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7DC8FF83-8FF6-466A-87CF-F1D24E2A0122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</calcChain>
</file>

<file path=xl/sharedStrings.xml><?xml version="1.0" encoding="utf-8"?>
<sst xmlns="http://schemas.openxmlformats.org/spreadsheetml/2006/main" count="13400" uniqueCount="98">
  <si>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</si>
  <si>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</si>
  <si>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</si>
  <si>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</si>
  <si>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</si>
  <si>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</si>
  <si>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</si>
  <si>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</si>
  <si>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</si>
  <si>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</si>
  <si>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</si>
  <si>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</si>
  <si>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</si>
  <si>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</si>
  <si>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</si>
  <si>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</si>
  <si>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</si>
  <si>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</si>
  <si>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</si>
  <si>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</si>
  <si>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</si>
  <si>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</si>
  <si>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</si>
  <si>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</si>
  <si>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</si>
  <si>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</si>
  <si>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</si>
  <si>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</si>
  <si>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</si>
  <si>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</si>
  <si>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</si>
  <si>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</si>
  <si>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</si>
  <si>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</si>
  <si>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</si>
  <si>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</si>
  <si>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</si>
  <si>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</si>
  <si>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</si>
  <si>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</si>
  <si>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</si>
  <si>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Kooper</t>
  </si>
  <si>
    <t>mcp_road_part_02</t>
  </si>
  <si>
    <t>Plane_01</t>
  </si>
  <si>
    <t>Building 07 (16)</t>
  </si>
  <si>
    <t>Box001</t>
  </si>
  <si>
    <t>Building 18 (9)</t>
  </si>
  <si>
    <t>Building 03</t>
  </si>
  <si>
    <t>Tree 04 (25)</t>
  </si>
  <si>
    <t>Tree 04 (24)</t>
  </si>
  <si>
    <t>mcp_roads_turn_01 (1)</t>
  </si>
  <si>
    <t>Floor 01</t>
  </si>
  <si>
    <t>Wall Small 03 (21)</t>
  </si>
  <si>
    <t>Building 15 (22)</t>
  </si>
  <si>
    <t>Plane_01 (1)</t>
  </si>
  <si>
    <t>FAR</t>
  </si>
  <si>
    <t>Building 15 (34)</t>
  </si>
  <si>
    <t>Stand 03 (4)</t>
  </si>
  <si>
    <t>mcp_roads_T_cross_01</t>
  </si>
  <si>
    <t>mcp_road_part_01</t>
  </si>
  <si>
    <t>Building 15 (31)</t>
  </si>
  <si>
    <t>mcp_roads_cross_01</t>
  </si>
  <si>
    <t>Building 01 (9)</t>
  </si>
  <si>
    <t>Building 15 (18)</t>
  </si>
  <si>
    <t>Building 02 (8)</t>
  </si>
  <si>
    <t>Building 15 (33)</t>
  </si>
  <si>
    <t>Stand 03 (2)</t>
  </si>
  <si>
    <t>Building 01</t>
  </si>
  <si>
    <t>Shurbs (2)</t>
  </si>
  <si>
    <t>Building 07 (4)</t>
  </si>
  <si>
    <t>Building 24</t>
  </si>
  <si>
    <t>Tree 02 (3)</t>
  </si>
  <si>
    <t>mcp_building_24_fountain_marble</t>
  </si>
  <si>
    <t>Building 07 (18)</t>
  </si>
  <si>
    <t>Tree 04 (7)</t>
  </si>
  <si>
    <t>Building 18 (5)</t>
  </si>
  <si>
    <t>Tong (3)</t>
  </si>
  <si>
    <t>Building 11 (3)</t>
  </si>
  <si>
    <t>Building 24 (1)</t>
  </si>
  <si>
    <t>mcp_roads_cross_02</t>
  </si>
  <si>
    <t>Building 15 (32)</t>
  </si>
  <si>
    <t>Building 09 (4)</t>
  </si>
  <si>
    <t>mcp_roads_turn_01</t>
  </si>
  <si>
    <t>Building 13 (1)</t>
  </si>
  <si>
    <t>mcp_road_part_02 (1)</t>
  </si>
  <si>
    <t>mcp_road_part_02 (2)</t>
  </si>
  <si>
    <t>Building 23 (4)</t>
  </si>
  <si>
    <t>mcp_road_part_02 (3)</t>
  </si>
  <si>
    <t>Shurbs (1)</t>
  </si>
  <si>
    <t>Building 04 (3)</t>
  </si>
  <si>
    <t>Building 07 (14)</t>
  </si>
  <si>
    <t>Building 07 (15)</t>
  </si>
  <si>
    <t>mcp_road_part_02 (6)</t>
  </si>
  <si>
    <t>mcp_road_part_02 (8)</t>
  </si>
  <si>
    <t>mcp_road_part_02 (10)</t>
  </si>
  <si>
    <t>mcp_road_part_02 (11)</t>
  </si>
  <si>
    <t>mcp_road_part_02 (12)</t>
  </si>
  <si>
    <t>Canopi 01 (7)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</si>
</sst>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681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"20190305135755360"</f>
        <v>20190305135755360</v>
      </c>
      <c r="B2" t="str">
        <f>"1551765475348485"</f>
        <v>1551765475348485</v>
      </c>
      <c r="C2" t="s">
        <v>40</v>
      </c>
      <c r="D2">
        <v>4.1549129999999996</v>
      </c>
      <c r="E2">
        <v>0.58565179999999994</v>
      </c>
      <c r="F2" t="s">
        <v>41</v>
      </c>
      <c r="G2">
        <v>-475.90640000000002</v>
      </c>
      <c r="H2">
        <v>0.98627390000000004</v>
      </c>
      <c r="I2">
        <v>367.0849</v>
      </c>
      <c r="J2">
        <v>-476.608</v>
      </c>
      <c r="K2">
        <v>1.1094759999999999</v>
      </c>
      <c r="L2">
        <v>367.21980000000002</v>
      </c>
      <c r="M2">
        <v>0.99996790000000002</v>
      </c>
      <c r="N2">
        <v>-8.0114399999999999E-3</v>
      </c>
      <c r="O2" s="1">
        <v>3.3451560000000001E-5</v>
      </c>
      <c r="P2">
        <v>0.99649900000000002</v>
      </c>
      <c r="Q2">
        <v>7.5464080000000003E-2</v>
      </c>
      <c r="R2">
        <v>3.5983599999999998E-2</v>
      </c>
      <c r="S2">
        <v>3.0710449999999998</v>
      </c>
      <c r="T2">
        <v>-0.53247959999999905</v>
      </c>
      <c r="U2">
        <v>-0.58114619999999995</v>
      </c>
      <c r="V2">
        <v>-3.595226E-2</v>
      </c>
      <c r="W2">
        <v>8.3444069999999995E-2</v>
      </c>
      <c r="X2">
        <v>0.99586370000000002</v>
      </c>
      <c r="Y2">
        <v>0.1832</v>
      </c>
      <c r="Z2">
        <v>-1.6380240000000001E-2</v>
      </c>
      <c r="AA2">
        <v>0.98293920000000001</v>
      </c>
      <c r="AB2">
        <v>1</v>
      </c>
      <c r="AC2">
        <v>0.70159999999998401</v>
      </c>
      <c r="AD2">
        <v>-0.12320209999999999</v>
      </c>
      <c r="AE2">
        <v>-0.13490000000001601</v>
      </c>
      <c r="AF2">
        <v>0.13102717020945601</v>
      </c>
      <c r="AG2">
        <v>-0.12320209999999999</v>
      </c>
      <c r="AH2">
        <v>0.68133491581612704</v>
      </c>
      <c r="AI2">
        <v>100.06910439529</v>
      </c>
      <c r="AJ2">
        <v>79.114373616117007</v>
      </c>
      <c r="AK2">
        <v>0.70467307617623398</v>
      </c>
      <c r="AL2">
        <v>85.213441202121203</v>
      </c>
      <c r="AM2">
        <v>92.067570641920994</v>
      </c>
      <c r="AN2">
        <v>0.99999999339748102</v>
      </c>
    </row>
    <row r="3" spans="1:40" x14ac:dyDescent="0.25">
      <c r="A3" t="str">
        <f>"20190305135755382"</f>
        <v>20190305135755382</v>
      </c>
      <c r="B3" t="str">
        <f>"1551765475368981"</f>
        <v>1551765475368981</v>
      </c>
      <c r="C3" t="s">
        <v>40</v>
      </c>
      <c r="D3">
        <v>4.1674239999999996</v>
      </c>
      <c r="E3">
        <v>0.58641350000000003</v>
      </c>
      <c r="F3" t="s">
        <v>41</v>
      </c>
      <c r="G3">
        <v>-475.90309999999999</v>
      </c>
      <c r="H3">
        <v>0.97982530000000001</v>
      </c>
      <c r="I3">
        <v>367.08210000000003</v>
      </c>
      <c r="J3">
        <v>-476.60160000000002</v>
      </c>
      <c r="K3">
        <v>1.109804</v>
      </c>
      <c r="L3">
        <v>367.21980000000002</v>
      </c>
      <c r="M3">
        <v>0.99996189999999996</v>
      </c>
      <c r="N3">
        <v>-8.7473519999999999E-3</v>
      </c>
      <c r="O3" s="1">
        <v>4.949258E-5</v>
      </c>
      <c r="P3">
        <v>0.99650289999999997</v>
      </c>
      <c r="Q3">
        <v>7.532962E-2</v>
      </c>
      <c r="R3">
        <v>3.6161699999999998E-2</v>
      </c>
      <c r="S3">
        <v>3.0750120000000001</v>
      </c>
      <c r="T3">
        <v>-0.56575779999999998</v>
      </c>
      <c r="U3">
        <v>-0.59866330000000001</v>
      </c>
      <c r="V3">
        <v>-3.6111879999999999E-2</v>
      </c>
      <c r="W3">
        <v>8.4043729999999997E-2</v>
      </c>
      <c r="X3">
        <v>0.99580749999999996</v>
      </c>
      <c r="Y3">
        <v>0.18795480000000001</v>
      </c>
      <c r="Z3">
        <v>-1.783614E-2</v>
      </c>
      <c r="AA3">
        <v>0.98201570000000005</v>
      </c>
      <c r="AB3">
        <v>1</v>
      </c>
      <c r="AC3">
        <v>0.69850000000002399</v>
      </c>
      <c r="AD3">
        <v>-0.1299787</v>
      </c>
      <c r="AE3">
        <v>-0.13769999999999499</v>
      </c>
      <c r="AF3">
        <v>0.13329177267574099</v>
      </c>
      <c r="AG3">
        <v>-0.1299787</v>
      </c>
      <c r="AH3">
        <v>0.67596242181715505</v>
      </c>
      <c r="AI3">
        <v>100.683522013947</v>
      </c>
      <c r="AJ3">
        <v>78.845062219836294</v>
      </c>
      <c r="AK3">
        <v>0.70113219497156498</v>
      </c>
      <c r="AL3">
        <v>85.178962115992803</v>
      </c>
      <c r="AM3">
        <v>92.076859275138403</v>
      </c>
      <c r="AN3">
        <v>0.99999999674284801</v>
      </c>
    </row>
    <row r="4" spans="1:40" x14ac:dyDescent="0.25">
      <c r="A4" t="str">
        <f>"20190305135755406"</f>
        <v>20190305135755406</v>
      </c>
      <c r="B4" t="str">
        <f>"1551765475399238"</f>
        <v>1551765475399238</v>
      </c>
      <c r="C4" t="s">
        <v>40</v>
      </c>
      <c r="D4">
        <v>4.183516</v>
      </c>
      <c r="E4">
        <v>0.58581499999999997</v>
      </c>
      <c r="F4" t="s">
        <v>41</v>
      </c>
      <c r="G4">
        <v>-475.90089999999998</v>
      </c>
      <c r="H4">
        <v>0.97663719999999998</v>
      </c>
      <c r="I4">
        <v>367.08170000000001</v>
      </c>
      <c r="J4">
        <v>-476.5958</v>
      </c>
      <c r="K4">
        <v>1.1100749999999999</v>
      </c>
      <c r="L4">
        <v>367.2199</v>
      </c>
      <c r="M4">
        <v>0.99995460000000003</v>
      </c>
      <c r="N4">
        <v>-9.5378999999999898E-3</v>
      </c>
      <c r="O4" s="1">
        <v>5.5501689999999997E-5</v>
      </c>
      <c r="P4">
        <v>0.99651290000000003</v>
      </c>
      <c r="Q4">
        <v>7.5126410000000005E-2</v>
      </c>
      <c r="R4">
        <v>3.6310139999999998E-2</v>
      </c>
      <c r="S4">
        <v>3.0767820000000001</v>
      </c>
      <c r="T4">
        <v>-0.58494590000000002</v>
      </c>
      <c r="U4">
        <v>-0.60534670000000002</v>
      </c>
      <c r="V4">
        <v>-3.6251579999999999E-2</v>
      </c>
      <c r="W4">
        <v>8.4629109999999994E-2</v>
      </c>
      <c r="X4">
        <v>0.99575290000000005</v>
      </c>
      <c r="Y4">
        <v>0.18965599999999999</v>
      </c>
      <c r="Z4">
        <v>-1.8634080000000001E-2</v>
      </c>
      <c r="AA4">
        <v>0.98167380000000004</v>
      </c>
      <c r="AB4">
        <v>1</v>
      </c>
      <c r="AC4">
        <v>0.69490000000001795</v>
      </c>
      <c r="AD4">
        <v>-0.133437799999999</v>
      </c>
      <c r="AE4">
        <v>-0.138199999999983</v>
      </c>
      <c r="AF4">
        <v>0.133503151792564</v>
      </c>
      <c r="AG4">
        <v>-0.133437799999999</v>
      </c>
      <c r="AH4">
        <v>0.67108851172325101</v>
      </c>
      <c r="AI4">
        <v>101.03511355073699</v>
      </c>
      <c r="AJ4">
        <v>78.748739571879995</v>
      </c>
      <c r="AK4">
        <v>0.69712877474274204</v>
      </c>
      <c r="AL4">
        <v>85.145302655775794</v>
      </c>
      <c r="AM4">
        <v>92.085000816561603</v>
      </c>
      <c r="AN4">
        <v>1.0000000505851401</v>
      </c>
    </row>
    <row r="5" spans="1:40" x14ac:dyDescent="0.25">
      <c r="A5" t="str">
        <f>"20190305135755451"</f>
        <v>20190305135755451</v>
      </c>
      <c r="B5" t="str">
        <f>"1551765475449013"</f>
        <v>1551765475449013</v>
      </c>
      <c r="C5" t="s">
        <v>40</v>
      </c>
      <c r="D5">
        <v>4.1671259999999997</v>
      </c>
      <c r="E5">
        <v>0.58692559999999905</v>
      </c>
      <c r="F5" t="s">
        <v>41</v>
      </c>
      <c r="G5">
        <v>-475.88290000000001</v>
      </c>
      <c r="H5">
        <v>0.97257839999999995</v>
      </c>
      <c r="I5">
        <v>367.08339999999998</v>
      </c>
      <c r="J5">
        <v>-476.56939999999997</v>
      </c>
      <c r="K5">
        <v>1.109513</v>
      </c>
      <c r="L5">
        <v>367.2199</v>
      </c>
      <c r="M5">
        <v>0.99997360000000002</v>
      </c>
      <c r="N5">
        <v>-7.2821400000000003E-3</v>
      </c>
      <c r="O5">
        <v>1.3085270000000001E-4</v>
      </c>
      <c r="P5">
        <v>0.9963263</v>
      </c>
      <c r="Q5">
        <v>7.7334280000000005E-2</v>
      </c>
      <c r="R5">
        <v>3.6792999999999999E-2</v>
      </c>
      <c r="S5">
        <v>3.0788880000000001</v>
      </c>
      <c r="T5">
        <v>-0.60239889999999996</v>
      </c>
      <c r="U5">
        <v>-0.59869380000000005</v>
      </c>
      <c r="V5">
        <v>-3.6660999999999999E-2</v>
      </c>
      <c r="W5">
        <v>8.4588250000000004E-2</v>
      </c>
      <c r="X5">
        <v>0.99574130000000005</v>
      </c>
      <c r="Y5">
        <v>0.1874431</v>
      </c>
      <c r="Z5">
        <v>-1.8720359999999998E-2</v>
      </c>
      <c r="AA5">
        <v>0.98209709999999995</v>
      </c>
      <c r="AB5">
        <v>1</v>
      </c>
      <c r="AC5">
        <v>0.68649999999996603</v>
      </c>
      <c r="AD5">
        <v>-0.13693459999999999</v>
      </c>
      <c r="AE5">
        <v>-0.136500000000012</v>
      </c>
      <c r="AF5">
        <v>0.131554681621361</v>
      </c>
      <c r="AG5">
        <v>-0.13693459999999999</v>
      </c>
      <c r="AH5">
        <v>0.66117614541838299</v>
      </c>
      <c r="AI5">
        <v>101.48203598401901</v>
      </c>
      <c r="AJ5">
        <v>78.746784932965397</v>
      </c>
      <c r="AK5">
        <v>0.68790378266438401</v>
      </c>
      <c r="AL5">
        <v>85.147651787937704</v>
      </c>
      <c r="AM5">
        <v>92.108551913675498</v>
      </c>
      <c r="AN5">
        <v>0.99999996874237496</v>
      </c>
    </row>
    <row r="6" spans="1:40" x14ac:dyDescent="0.25">
      <c r="A6" t="str">
        <f>"20190305135755472"</f>
        <v>20190305135755472</v>
      </c>
      <c r="B6" t="str">
        <f>"1551765475468534"</f>
        <v>1551765475468534</v>
      </c>
      <c r="C6" t="s">
        <v>40</v>
      </c>
      <c r="D6">
        <v>4.1597790000000003</v>
      </c>
      <c r="E6">
        <v>0.58635899999999996</v>
      </c>
      <c r="F6" t="s">
        <v>41</v>
      </c>
      <c r="G6">
        <v>-475.8689</v>
      </c>
      <c r="H6">
        <v>0.97181220000000001</v>
      </c>
      <c r="I6">
        <v>367.0813</v>
      </c>
      <c r="J6">
        <v>-476.55549999999999</v>
      </c>
      <c r="K6">
        <v>1.1095090000000001</v>
      </c>
      <c r="L6">
        <v>367.22</v>
      </c>
      <c r="M6">
        <v>0.99997579999999997</v>
      </c>
      <c r="N6">
        <v>-6.962045E-3</v>
      </c>
      <c r="O6">
        <v>1.71588E-4</v>
      </c>
      <c r="P6">
        <v>0.99630719999999995</v>
      </c>
      <c r="Q6">
        <v>7.7322260000000004E-2</v>
      </c>
      <c r="R6">
        <v>3.7328939999999998E-2</v>
      </c>
      <c r="S6">
        <v>3.080505</v>
      </c>
      <c r="T6">
        <v>-0.60583419999999999</v>
      </c>
      <c r="U6">
        <v>-0.60708619999999902</v>
      </c>
      <c r="V6">
        <v>-3.715678E-2</v>
      </c>
      <c r="W6">
        <v>8.4257079999999998E-2</v>
      </c>
      <c r="X6">
        <v>0.99575100000000005</v>
      </c>
      <c r="Y6">
        <v>0.18988730000000001</v>
      </c>
      <c r="Z6">
        <v>-1.902935E-2</v>
      </c>
      <c r="AA6">
        <v>0.98162139999999998</v>
      </c>
      <c r="AB6">
        <v>1</v>
      </c>
      <c r="AC6">
        <v>0.68659999999999799</v>
      </c>
      <c r="AD6">
        <v>-0.13769680000000001</v>
      </c>
      <c r="AE6">
        <v>-0.138700000000028</v>
      </c>
      <c r="AF6">
        <v>0.13365307358117701</v>
      </c>
      <c r="AG6">
        <v>-0.13769680000000001</v>
      </c>
      <c r="AH6">
        <v>0.66103201009560597</v>
      </c>
      <c r="AI6">
        <v>101.539715388291</v>
      </c>
      <c r="AJ6">
        <v>78.569549123828196</v>
      </c>
      <c r="AK6">
        <v>0.68832177880623002</v>
      </c>
      <c r="AL6">
        <v>85.166694409436104</v>
      </c>
      <c r="AM6">
        <v>92.137019565143504</v>
      </c>
      <c r="AN6">
        <v>0.99999996791554602</v>
      </c>
    </row>
    <row r="7" spans="1:40" x14ac:dyDescent="0.25">
      <c r="A7" t="str">
        <f>"20190305135755496"</f>
        <v>20190305135755496</v>
      </c>
      <c r="B7" t="str">
        <f>"1551765475489030"</f>
        <v>1551765475489030</v>
      </c>
      <c r="C7" t="s">
        <v>40</v>
      </c>
      <c r="D7">
        <v>4.1859349999999997</v>
      </c>
      <c r="E7">
        <v>0.58640879999999995</v>
      </c>
      <c r="F7" t="s">
        <v>41</v>
      </c>
      <c r="G7">
        <v>-475.85660000000001</v>
      </c>
      <c r="H7">
        <v>0.97141420000000001</v>
      </c>
      <c r="I7">
        <v>367.08350000000002</v>
      </c>
      <c r="J7">
        <v>-476.54340000000002</v>
      </c>
      <c r="K7">
        <v>1.1099349999999999</v>
      </c>
      <c r="L7">
        <v>367.22</v>
      </c>
      <c r="M7">
        <v>0.99996640000000003</v>
      </c>
      <c r="N7">
        <v>-8.1939170000000002E-3</v>
      </c>
      <c r="O7">
        <v>1.9519709999999999E-4</v>
      </c>
      <c r="P7">
        <v>0.99645589999999995</v>
      </c>
      <c r="Q7">
        <v>7.5332999999999997E-2</v>
      </c>
      <c r="R7">
        <v>3.7425130000000001E-2</v>
      </c>
      <c r="S7">
        <v>3.0809329999999999</v>
      </c>
      <c r="T7">
        <v>-0.60871319999999995</v>
      </c>
      <c r="U7">
        <v>-0.60147090000000003</v>
      </c>
      <c r="V7">
        <v>-3.7227540000000003E-2</v>
      </c>
      <c r="W7">
        <v>8.3496819999999999E-2</v>
      </c>
      <c r="X7">
        <v>0.99581240000000004</v>
      </c>
      <c r="Y7">
        <v>0.18813779999999999</v>
      </c>
      <c r="Z7">
        <v>-1.9062050000000001E-2</v>
      </c>
      <c r="AA7">
        <v>0.98195770000000004</v>
      </c>
      <c r="AB7">
        <v>2</v>
      </c>
      <c r="AC7">
        <v>0.68680000000000496</v>
      </c>
      <c r="AD7">
        <v>-0.1385208</v>
      </c>
      <c r="AE7">
        <v>-0.136500000000012</v>
      </c>
      <c r="AF7">
        <v>0.13148850599975401</v>
      </c>
      <c r="AG7">
        <v>-0.1385208</v>
      </c>
      <c r="AH7">
        <v>0.66090986748513703</v>
      </c>
      <c r="AI7">
        <v>101.61604185639401</v>
      </c>
      <c r="AJ7">
        <v>78.747885206033303</v>
      </c>
      <c r="AK7">
        <v>0.68795282700335503</v>
      </c>
      <c r="AL7">
        <v>85.210408164454506</v>
      </c>
      <c r="AM7">
        <v>92.140953549642404</v>
      </c>
      <c r="AN7">
        <v>0.99999997233916105</v>
      </c>
    </row>
    <row r="8" spans="1:40" x14ac:dyDescent="0.25">
      <c r="A8" t="str">
        <f>"20190305135755519"</f>
        <v>20190305135755519</v>
      </c>
      <c r="B8" t="str">
        <f>"1551765475508551"</f>
        <v>1551765475508551</v>
      </c>
      <c r="C8" t="s">
        <v>40</v>
      </c>
      <c r="D8">
        <v>4.1604609999999997</v>
      </c>
      <c r="E8">
        <v>0.5861324</v>
      </c>
      <c r="F8" t="s">
        <v>41</v>
      </c>
      <c r="G8">
        <v>-475.84809999999999</v>
      </c>
      <c r="H8">
        <v>0.97030910000000004</v>
      </c>
      <c r="I8">
        <v>367.08359999999999</v>
      </c>
      <c r="J8">
        <v>-476.52949999999998</v>
      </c>
      <c r="K8">
        <v>1.1099000000000001</v>
      </c>
      <c r="L8">
        <v>367.2201</v>
      </c>
      <c r="M8">
        <v>0.99996759999999996</v>
      </c>
      <c r="N8">
        <v>-8.0571519999999997E-3</v>
      </c>
      <c r="O8">
        <v>2.2326E-4</v>
      </c>
      <c r="P8">
        <v>0.99645130000000004</v>
      </c>
      <c r="Q8">
        <v>7.5349899999999997E-2</v>
      </c>
      <c r="R8">
        <v>3.7519549999999999E-2</v>
      </c>
      <c r="S8">
        <v>3.0800480000000001</v>
      </c>
      <c r="T8">
        <v>-0.6188458</v>
      </c>
      <c r="U8">
        <v>-0.60202029999999995</v>
      </c>
      <c r="V8">
        <v>-3.7294859999999999E-2</v>
      </c>
      <c r="W8">
        <v>8.3377069999999998E-2</v>
      </c>
      <c r="X8">
        <v>0.99581989999999998</v>
      </c>
      <c r="Y8">
        <v>0.1882655</v>
      </c>
      <c r="Z8">
        <v>-1.9370970000000001E-2</v>
      </c>
      <c r="AA8">
        <v>0.9819272</v>
      </c>
      <c r="AB8">
        <v>1</v>
      </c>
      <c r="AC8">
        <v>0.68139999999999601</v>
      </c>
      <c r="AD8">
        <v>-0.13959089999999999</v>
      </c>
      <c r="AE8">
        <v>-0.136500000000012</v>
      </c>
      <c r="AF8">
        <v>0.13135231974777101</v>
      </c>
      <c r="AG8">
        <v>-0.13959089999999999</v>
      </c>
      <c r="AH8">
        <v>0.65494379614880005</v>
      </c>
      <c r="AI8">
        <v>101.803404994606</v>
      </c>
      <c r="AJ8">
        <v>78.659489068478095</v>
      </c>
      <c r="AK8">
        <v>0.68241514298829298</v>
      </c>
      <c r="AL8">
        <v>85.217293272807794</v>
      </c>
      <c r="AM8">
        <v>92.144805367531305</v>
      </c>
      <c r="AN8">
        <v>0.99999995781010598</v>
      </c>
    </row>
    <row r="9" spans="1:40" x14ac:dyDescent="0.25">
      <c r="A9" t="str">
        <f>"20190305135755540"</f>
        <v>20190305135755540</v>
      </c>
      <c r="B9" t="str">
        <f>"1551765475529046"</f>
        <v>1551765475529046</v>
      </c>
      <c r="C9" t="s">
        <v>40</v>
      </c>
      <c r="D9">
        <v>4.1750489999999996</v>
      </c>
      <c r="E9">
        <v>0.58602779999999999</v>
      </c>
      <c r="F9" t="s">
        <v>41</v>
      </c>
      <c r="G9">
        <v>-475.8202</v>
      </c>
      <c r="H9">
        <v>0.96697040000000001</v>
      </c>
      <c r="I9">
        <v>367.08150000000001</v>
      </c>
      <c r="J9">
        <v>-476.51089999999999</v>
      </c>
      <c r="K9">
        <v>1.1095999999999999</v>
      </c>
      <c r="L9">
        <v>367.2201</v>
      </c>
      <c r="M9">
        <v>0.99997590000000003</v>
      </c>
      <c r="N9">
        <v>-6.932166E-3</v>
      </c>
      <c r="O9">
        <v>2.7303439999999999E-4</v>
      </c>
      <c r="P9">
        <v>0.99638590000000005</v>
      </c>
      <c r="Q9">
        <v>7.6146160000000004E-2</v>
      </c>
      <c r="R9">
        <v>3.764472E-2</v>
      </c>
      <c r="S9">
        <v>3.0802</v>
      </c>
      <c r="T9">
        <v>-0.62080999999999997</v>
      </c>
      <c r="U9">
        <v>-0.59960939999999996</v>
      </c>
      <c r="V9">
        <v>-3.7371870000000001E-2</v>
      </c>
      <c r="W9">
        <v>8.3052059999999997E-2</v>
      </c>
      <c r="X9">
        <v>0.99584419999999996</v>
      </c>
      <c r="Y9">
        <v>0.1875753</v>
      </c>
      <c r="Z9">
        <v>-1.926042E-2</v>
      </c>
      <c r="AA9">
        <v>0.98206139999999997</v>
      </c>
      <c r="AB9">
        <v>1</v>
      </c>
      <c r="AC9">
        <v>0.69069999999999199</v>
      </c>
      <c r="AD9">
        <v>-0.142629599999999</v>
      </c>
      <c r="AE9">
        <v>-0.138599999999996</v>
      </c>
      <c r="AF9">
        <v>0.13332343341994601</v>
      </c>
      <c r="AG9">
        <v>-0.142629599999999</v>
      </c>
      <c r="AH9">
        <v>0.66346556611891305</v>
      </c>
      <c r="AI9">
        <v>101.901661937461</v>
      </c>
      <c r="AJ9">
        <v>78.637737292964502</v>
      </c>
      <c r="AK9">
        <v>0.69159590666843396</v>
      </c>
      <c r="AL9">
        <v>85.235979920923</v>
      </c>
      <c r="AM9">
        <v>92.149177623057199</v>
      </c>
      <c r="AN9">
        <v>0.99999998600559004</v>
      </c>
    </row>
    <row r="10" spans="1:40" x14ac:dyDescent="0.25">
      <c r="A10" t="str">
        <f>"20190305135755565"</f>
        <v>20190305135755565</v>
      </c>
      <c r="B10" t="str">
        <f>"1551765475559302"</f>
        <v>1551765475559302</v>
      </c>
      <c r="C10" t="s">
        <v>40</v>
      </c>
      <c r="D10">
        <v>4.138191</v>
      </c>
      <c r="E10">
        <v>0.58607919999999902</v>
      </c>
      <c r="F10" t="s">
        <v>41</v>
      </c>
      <c r="G10">
        <v>-475.80130000000003</v>
      </c>
      <c r="H10">
        <v>0.96671200000000002</v>
      </c>
      <c r="I10">
        <v>367.08210000000003</v>
      </c>
      <c r="J10">
        <v>-476.48779999999999</v>
      </c>
      <c r="K10">
        <v>1.109337</v>
      </c>
      <c r="L10">
        <v>367.22019999999998</v>
      </c>
      <c r="M10">
        <v>0.99998350000000003</v>
      </c>
      <c r="N10">
        <v>-5.7339740000000002E-3</v>
      </c>
      <c r="O10">
        <v>3.4502089999999898E-4</v>
      </c>
      <c r="P10">
        <v>0.99633260000000001</v>
      </c>
      <c r="Q10">
        <v>7.6786980000000005E-2</v>
      </c>
      <c r="R10">
        <v>3.7753229999999999E-2</v>
      </c>
      <c r="S10">
        <v>3.0808719999999998</v>
      </c>
      <c r="T10">
        <v>-0.6204904</v>
      </c>
      <c r="U10">
        <v>-0.59851069999999995</v>
      </c>
      <c r="V10">
        <v>-3.7410150000000003E-2</v>
      </c>
      <c r="W10">
        <v>8.2498450000000001E-2</v>
      </c>
      <c r="X10">
        <v>0.99588880000000002</v>
      </c>
      <c r="Y10">
        <v>0.1873002</v>
      </c>
      <c r="Z10">
        <v>-1.9119290000000001E-2</v>
      </c>
      <c r="AA10">
        <v>0.98211660000000001</v>
      </c>
      <c r="AB10">
        <v>2</v>
      </c>
      <c r="AC10">
        <v>0.68649999999996603</v>
      </c>
      <c r="AD10">
        <v>-0.142624999999999</v>
      </c>
      <c r="AE10">
        <v>-0.13809999999995101</v>
      </c>
      <c r="AF10">
        <v>0.13282665761635601</v>
      </c>
      <c r="AG10">
        <v>-0.142624999999999</v>
      </c>
      <c r="AH10">
        <v>0.659109734078408</v>
      </c>
      <c r="AI10">
        <v>101.976384283421</v>
      </c>
      <c r="AJ10">
        <v>78.606112821778396</v>
      </c>
      <c r="AK10">
        <v>0.68732121541200997</v>
      </c>
      <c r="AL10">
        <v>85.267808770127104</v>
      </c>
      <c r="AM10">
        <v>92.151280700809806</v>
      </c>
      <c r="AN10">
        <v>1.0000000077704301</v>
      </c>
    </row>
    <row r="11" spans="1:40" x14ac:dyDescent="0.25">
      <c r="A11" t="str">
        <f>"20190305135755584"</f>
        <v>20190305135755584</v>
      </c>
      <c r="B11" t="str">
        <f>"1551765475578821"</f>
        <v>1551765475578821</v>
      </c>
      <c r="C11" t="s">
        <v>40</v>
      </c>
      <c r="D11">
        <v>4.1404610000000002</v>
      </c>
      <c r="E11">
        <v>0.58610079999999998</v>
      </c>
      <c r="F11" t="s">
        <v>41</v>
      </c>
      <c r="G11">
        <v>-475.78059999999999</v>
      </c>
      <c r="H11">
        <v>0.96689570000000002</v>
      </c>
      <c r="I11">
        <v>367.08249999999998</v>
      </c>
      <c r="J11">
        <v>-476.46600000000001</v>
      </c>
      <c r="K11">
        <v>1.109194</v>
      </c>
      <c r="L11">
        <v>367.22019999999998</v>
      </c>
      <c r="M11">
        <v>0.99998779999999998</v>
      </c>
      <c r="N11">
        <v>-4.9238880000000004E-3</v>
      </c>
      <c r="O11">
        <v>4.1850189999999998E-4</v>
      </c>
      <c r="P11">
        <v>0.99634069999999997</v>
      </c>
      <c r="Q11">
        <v>7.6635720000000004E-2</v>
      </c>
      <c r="R11">
        <v>3.7845570000000002E-2</v>
      </c>
      <c r="S11">
        <v>3.0815429999999999</v>
      </c>
      <c r="T11">
        <v>-0.62099479999999996</v>
      </c>
      <c r="U11">
        <v>-0.59817500000000001</v>
      </c>
      <c r="V11">
        <v>-3.7430690000000003E-2</v>
      </c>
      <c r="W11">
        <v>8.1539909999999993E-2</v>
      </c>
      <c r="X11">
        <v>0.99596700000000005</v>
      </c>
      <c r="Y11">
        <v>0.18723980000000001</v>
      </c>
      <c r="Z11">
        <v>-1.9061370000000001E-2</v>
      </c>
      <c r="AA11">
        <v>0.98212929999999998</v>
      </c>
      <c r="AB11">
        <v>2</v>
      </c>
      <c r="AC11">
        <v>0.685400000000015</v>
      </c>
      <c r="AD11">
        <v>-0.14229829999999999</v>
      </c>
      <c r="AE11">
        <v>-0.13769999999999499</v>
      </c>
      <c r="AF11">
        <v>0.132497322706463</v>
      </c>
      <c r="AG11">
        <v>-0.14229829999999999</v>
      </c>
      <c r="AH11">
        <v>0.65807743896614002</v>
      </c>
      <c r="AI11">
        <v>101.968360047323</v>
      </c>
      <c r="AJ11">
        <v>78.616262244862497</v>
      </c>
      <c r="AK11">
        <v>0.68619987057963205</v>
      </c>
      <c r="AL11">
        <v>85.322914881772505</v>
      </c>
      <c r="AM11">
        <v>92.152291903229695</v>
      </c>
      <c r="AN11">
        <v>1.0000000392828401</v>
      </c>
    </row>
    <row r="12" spans="1:40" x14ac:dyDescent="0.25">
      <c r="A12" t="str">
        <f>"20190305135755607"</f>
        <v>20190305135755607</v>
      </c>
      <c r="B12" t="str">
        <f>"1551765475598342"</f>
        <v>1551765475598342</v>
      </c>
      <c r="C12" t="s">
        <v>40</v>
      </c>
      <c r="D12">
        <v>4.1406559999999999</v>
      </c>
      <c r="E12">
        <v>0.58620419999999995</v>
      </c>
      <c r="F12" t="s">
        <v>41</v>
      </c>
      <c r="G12">
        <v>-475.75850000000003</v>
      </c>
      <c r="H12">
        <v>0.96625530000000004</v>
      </c>
      <c r="I12">
        <v>367.08260000000001</v>
      </c>
      <c r="J12">
        <v>-476.44049999999999</v>
      </c>
      <c r="K12">
        <v>1.109094</v>
      </c>
      <c r="L12">
        <v>367.22030000000001</v>
      </c>
      <c r="M12">
        <v>0.99999119999999997</v>
      </c>
      <c r="N12">
        <v>-4.1888159999999997E-3</v>
      </c>
      <c r="O12">
        <v>5.0853239999999896E-4</v>
      </c>
      <c r="P12">
        <v>0.99640450000000003</v>
      </c>
      <c r="Q12">
        <v>7.5892689999999999E-2</v>
      </c>
      <c r="R12">
        <v>3.7667150000000003E-2</v>
      </c>
      <c r="S12">
        <v>3.0816650000000001</v>
      </c>
      <c r="T12">
        <v>-0.62282349999999997</v>
      </c>
      <c r="U12">
        <v>-0.59777829999999998</v>
      </c>
      <c r="V12">
        <v>-3.7163969999999998E-2</v>
      </c>
      <c r="W12">
        <v>8.0064170000000004E-2</v>
      </c>
      <c r="X12">
        <v>0.99609669999999895</v>
      </c>
      <c r="Y12">
        <v>0.18719079999999999</v>
      </c>
      <c r="Z12">
        <v>-1.9057270000000001E-2</v>
      </c>
      <c r="AA12">
        <v>0.98213870000000003</v>
      </c>
      <c r="AB12">
        <v>2</v>
      </c>
      <c r="AC12">
        <v>0.68199999999995897</v>
      </c>
      <c r="AD12">
        <v>-0.14283870000000001</v>
      </c>
      <c r="AE12">
        <v>-0.13769999999999499</v>
      </c>
      <c r="AF12">
        <v>0.132463810616575</v>
      </c>
      <c r="AG12">
        <v>-0.14283870000000001</v>
      </c>
      <c r="AH12">
        <v>0.65435076002598402</v>
      </c>
      <c r="AI12">
        <v>102.07641299246001</v>
      </c>
      <c r="AJ12">
        <v>78.555954851501099</v>
      </c>
      <c r="AK12">
        <v>0.682733090224384</v>
      </c>
      <c r="AL12">
        <v>85.407745918252203</v>
      </c>
      <c r="AM12">
        <v>92.136691586002598</v>
      </c>
      <c r="AN12">
        <v>1.00000003386741</v>
      </c>
    </row>
    <row r="13" spans="1:40" x14ac:dyDescent="0.25">
      <c r="A13" t="str">
        <f>"20190305135755629"</f>
        <v>20190305135755629</v>
      </c>
      <c r="B13" t="str">
        <f>"1551765475618931"</f>
        <v>1551765475618931</v>
      </c>
      <c r="C13" t="s">
        <v>40</v>
      </c>
      <c r="D13">
        <v>4.1285920000000003</v>
      </c>
      <c r="E13">
        <v>0.58625780000000005</v>
      </c>
      <c r="F13" t="s">
        <v>41</v>
      </c>
      <c r="G13">
        <v>-475.73419999999999</v>
      </c>
      <c r="H13">
        <v>0.96563940000000004</v>
      </c>
      <c r="I13">
        <v>367.08260000000001</v>
      </c>
      <c r="J13">
        <v>-476.41180000000003</v>
      </c>
      <c r="K13">
        <v>1.108994</v>
      </c>
      <c r="L13">
        <v>367.22050000000002</v>
      </c>
      <c r="M13">
        <v>0.99999400000000005</v>
      </c>
      <c r="N13">
        <v>-3.4409879999999999E-3</v>
      </c>
      <c r="O13">
        <v>6.1242559999999998E-4</v>
      </c>
      <c r="P13">
        <v>0.99644390000000005</v>
      </c>
      <c r="Q13">
        <v>7.5471159999999995E-2</v>
      </c>
      <c r="R13">
        <v>3.7473680000000002E-2</v>
      </c>
      <c r="S13">
        <v>3.0811459999999999</v>
      </c>
      <c r="T13">
        <v>-0.62598909999999997</v>
      </c>
      <c r="U13">
        <v>-0.59921259999999998</v>
      </c>
      <c r="V13">
        <v>-3.6867700000000003E-2</v>
      </c>
      <c r="W13">
        <v>7.8897720000000005E-2</v>
      </c>
      <c r="X13">
        <v>0.99620070000000005</v>
      </c>
      <c r="Y13">
        <v>0.18772749999999999</v>
      </c>
      <c r="Z13">
        <v>-1.9156360000000001E-2</v>
      </c>
      <c r="AA13">
        <v>0.98203430000000003</v>
      </c>
      <c r="AB13">
        <v>3</v>
      </c>
      <c r="AC13">
        <v>0.67760000000003995</v>
      </c>
      <c r="AD13">
        <v>-0.1433546</v>
      </c>
      <c r="AE13">
        <v>-0.13790000000000099</v>
      </c>
      <c r="AF13">
        <v>0.13261534199497099</v>
      </c>
      <c r="AG13">
        <v>-0.1433546</v>
      </c>
      <c r="AH13">
        <v>0.64959669944101595</v>
      </c>
      <c r="AI13">
        <v>102.200821735481</v>
      </c>
      <c r="AJ13">
        <v>78.461603974179795</v>
      </c>
      <c r="AK13">
        <v>0.67831647643136705</v>
      </c>
      <c r="AL13">
        <v>85.474790333037802</v>
      </c>
      <c r="AM13">
        <v>92.119452463073998</v>
      </c>
      <c r="AN13">
        <v>0.99999995610248804</v>
      </c>
    </row>
    <row r="14" spans="1:40" x14ac:dyDescent="0.25">
      <c r="A14" t="str">
        <f>"20190305135755652"</f>
        <v>20190305135755652</v>
      </c>
      <c r="B14" t="str">
        <f>"1551765475649187"</f>
        <v>1551765475649187</v>
      </c>
      <c r="C14" t="s">
        <v>40</v>
      </c>
      <c r="D14">
        <v>4.0978219999999999</v>
      </c>
      <c r="E14">
        <v>0.58626400000000001</v>
      </c>
      <c r="F14" t="s">
        <v>41</v>
      </c>
      <c r="G14">
        <v>-475.70749999999998</v>
      </c>
      <c r="H14">
        <v>0.965476</v>
      </c>
      <c r="I14">
        <v>367.0831</v>
      </c>
      <c r="J14">
        <v>-476.37920000000003</v>
      </c>
      <c r="K14">
        <v>1.1088880000000001</v>
      </c>
      <c r="L14">
        <v>367.22059999999999</v>
      </c>
      <c r="M14">
        <v>0.9999962</v>
      </c>
      <c r="N14">
        <v>-2.6366110000000001E-3</v>
      </c>
      <c r="O14">
        <v>7.3278899999999997E-4</v>
      </c>
      <c r="P14">
        <v>0.99639390000000005</v>
      </c>
      <c r="Q14">
        <v>7.6358620000000002E-2</v>
      </c>
      <c r="R14">
        <v>3.6993360000000003E-2</v>
      </c>
      <c r="S14">
        <v>3.0808409999999999</v>
      </c>
      <c r="T14">
        <v>-0.62788920000000004</v>
      </c>
      <c r="U14">
        <v>-0.60021969999999902</v>
      </c>
      <c r="V14">
        <v>-3.6268439999999999E-2</v>
      </c>
      <c r="W14">
        <v>7.8983280000000003E-2</v>
      </c>
      <c r="X14">
        <v>0.99621590000000004</v>
      </c>
      <c r="Y14">
        <v>0.1881545</v>
      </c>
      <c r="Z14">
        <v>-1.9204180000000001E-2</v>
      </c>
      <c r="AA14">
        <v>0.98195169999999998</v>
      </c>
      <c r="AB14">
        <v>3</v>
      </c>
      <c r="AC14">
        <v>0.67170000000004304</v>
      </c>
      <c r="AD14">
        <v>-0.14341199999999901</v>
      </c>
      <c r="AE14">
        <v>-0.13749999999998799</v>
      </c>
      <c r="AF14">
        <v>0.132207890120183</v>
      </c>
      <c r="AG14">
        <v>-0.14341199999999901</v>
      </c>
      <c r="AH14">
        <v>0.64344729792976696</v>
      </c>
      <c r="AI14">
        <v>102.315569863061</v>
      </c>
      <c r="AJ14">
        <v>78.389137963370203</v>
      </c>
      <c r="AK14">
        <v>0.67236177253555096</v>
      </c>
      <c r="AL14">
        <v>85.469872681416604</v>
      </c>
      <c r="AM14">
        <v>92.085001042235106</v>
      </c>
      <c r="AN14">
        <v>0.99999993883619898</v>
      </c>
    </row>
    <row r="15" spans="1:40" x14ac:dyDescent="0.25">
      <c r="A15" t="str">
        <f>"20190305135755673"</f>
        <v>20190305135755673</v>
      </c>
      <c r="B15" t="str">
        <f>"1551765475668707"</f>
        <v>1551765475668707</v>
      </c>
      <c r="C15" t="s">
        <v>40</v>
      </c>
      <c r="D15">
        <v>4.1056980000000003</v>
      </c>
      <c r="E15">
        <v>0.58639319999999995</v>
      </c>
      <c r="F15" t="s">
        <v>41</v>
      </c>
      <c r="G15">
        <v>-475.67759999999998</v>
      </c>
      <c r="H15">
        <v>0.96654620000000002</v>
      </c>
      <c r="I15">
        <v>367.08280000000002</v>
      </c>
      <c r="J15">
        <v>-476.34679999999997</v>
      </c>
      <c r="K15">
        <v>1.108808</v>
      </c>
      <c r="L15">
        <v>367.2208</v>
      </c>
      <c r="M15">
        <v>0.99999780000000005</v>
      </c>
      <c r="N15">
        <v>-1.9302869999999999E-3</v>
      </c>
      <c r="O15">
        <v>8.5284919999999999E-4</v>
      </c>
      <c r="P15">
        <v>0.99630830000000004</v>
      </c>
      <c r="Q15">
        <v>7.7647040000000001E-2</v>
      </c>
      <c r="R15">
        <v>3.6614750000000001E-2</v>
      </c>
      <c r="S15">
        <v>3.0811459999999999</v>
      </c>
      <c r="T15">
        <v>-0.62544659999999996</v>
      </c>
      <c r="U15">
        <v>-0.60226440000000003</v>
      </c>
      <c r="V15">
        <v>-3.5770360000000001E-2</v>
      </c>
      <c r="W15">
        <v>7.9567949999999998E-2</v>
      </c>
      <c r="X15">
        <v>0.99618739999999995</v>
      </c>
      <c r="Y15">
        <v>0.1889082</v>
      </c>
      <c r="Z15">
        <v>-1.916116E-2</v>
      </c>
      <c r="AA15">
        <v>0.98180780000000001</v>
      </c>
      <c r="AB15">
        <v>3</v>
      </c>
      <c r="AC15">
        <v>0.66919999999998903</v>
      </c>
      <c r="AD15">
        <v>-0.14226179999999999</v>
      </c>
      <c r="AE15">
        <v>-0.137999999999976</v>
      </c>
      <c r="AF15">
        <v>0.132813363110139</v>
      </c>
      <c r="AG15">
        <v>-0.14226179999999999</v>
      </c>
      <c r="AH15">
        <v>0.64128313859277997</v>
      </c>
      <c r="AI15">
        <v>102.25591700790299</v>
      </c>
      <c r="AJ15">
        <v>78.299142479246697</v>
      </c>
      <c r="AK15">
        <v>0.67016555641369202</v>
      </c>
      <c r="AL15">
        <v>85.436267873325704</v>
      </c>
      <c r="AM15">
        <v>92.056450941131999</v>
      </c>
      <c r="AN15">
        <v>0.99999995662024499</v>
      </c>
    </row>
    <row r="16" spans="1:40" x14ac:dyDescent="0.25">
      <c r="A16" t="str">
        <f>"20190305135755697"</f>
        <v>20190305135755697</v>
      </c>
      <c r="B16" t="str">
        <f>"1551765475689203"</f>
        <v>1551765475689203</v>
      </c>
      <c r="C16" t="s">
        <v>40</v>
      </c>
      <c r="D16">
        <v>4.103478</v>
      </c>
      <c r="E16">
        <v>0.58655049999999997</v>
      </c>
      <c r="F16" t="s">
        <v>41</v>
      </c>
      <c r="G16">
        <v>-475.64569999999998</v>
      </c>
      <c r="H16">
        <v>0.96725399999999995</v>
      </c>
      <c r="I16">
        <v>367.08319999999998</v>
      </c>
      <c r="J16">
        <v>-476.30739999999997</v>
      </c>
      <c r="K16">
        <v>1.108743</v>
      </c>
      <c r="L16">
        <v>367.221</v>
      </c>
      <c r="M16">
        <v>0.99999890000000002</v>
      </c>
      <c r="N16">
        <v>-1.22679E-3</v>
      </c>
      <c r="O16">
        <v>9.9899839999999999E-4</v>
      </c>
      <c r="P16">
        <v>0.99619310000000005</v>
      </c>
      <c r="Q16">
        <v>7.9034270000000004E-2</v>
      </c>
      <c r="R16">
        <v>3.6783650000000001E-2</v>
      </c>
      <c r="S16">
        <v>3.0817869999999998</v>
      </c>
      <c r="T16">
        <v>-0.62221459999999995</v>
      </c>
      <c r="U16">
        <v>-0.60449219999999904</v>
      </c>
      <c r="V16">
        <v>-3.5794520000000003E-2</v>
      </c>
      <c r="W16">
        <v>8.0253820000000003E-2</v>
      </c>
      <c r="X16">
        <v>0.99613149999999995</v>
      </c>
      <c r="Y16">
        <v>0.18973139999999999</v>
      </c>
      <c r="Z16">
        <v>-1.9103599999999998E-2</v>
      </c>
      <c r="AA16">
        <v>0.98165020000000003</v>
      </c>
      <c r="AB16">
        <v>3</v>
      </c>
      <c r="AC16">
        <v>0.66169999999999596</v>
      </c>
      <c r="AD16">
        <v>-0.141488999999999</v>
      </c>
      <c r="AE16">
        <v>-0.13780000000002601</v>
      </c>
      <c r="AF16">
        <v>0.132648153881853</v>
      </c>
      <c r="AG16">
        <v>-0.141488999999999</v>
      </c>
      <c r="AH16">
        <v>0.63378856668753702</v>
      </c>
      <c r="AI16">
        <v>102.32589437921899</v>
      </c>
      <c r="AJ16">
        <v>78.1789678288728</v>
      </c>
      <c r="AK16">
        <v>0.66279907748359701</v>
      </c>
      <c r="AL16">
        <v>85.396844281637797</v>
      </c>
      <c r="AM16">
        <v>92.057954095133397</v>
      </c>
      <c r="AN16">
        <v>0.99999994428943395</v>
      </c>
    </row>
    <row r="17" spans="1:40" x14ac:dyDescent="0.25">
      <c r="A17" t="str">
        <f>"20190305135755720"</f>
        <v>20190305135755720</v>
      </c>
      <c r="B17" t="str">
        <f>"1551765475708723"</f>
        <v>1551765475708723</v>
      </c>
      <c r="C17" t="s">
        <v>40</v>
      </c>
      <c r="D17">
        <v>4.113378</v>
      </c>
      <c r="E17">
        <v>0.58665089999999998</v>
      </c>
      <c r="F17" t="s">
        <v>41</v>
      </c>
      <c r="G17">
        <v>-475.61099999999999</v>
      </c>
      <c r="H17">
        <v>0.96904460000000003</v>
      </c>
      <c r="I17">
        <v>367.08359999999999</v>
      </c>
      <c r="J17">
        <v>-476.26490000000001</v>
      </c>
      <c r="K17">
        <v>1.1087049999999901</v>
      </c>
      <c r="L17">
        <v>367.22109999999998</v>
      </c>
      <c r="M17">
        <v>0.99999919999999998</v>
      </c>
      <c r="N17">
        <v>-6.4120339999999896E-4</v>
      </c>
      <c r="O17">
        <v>1.1561309999999999E-3</v>
      </c>
      <c r="P17">
        <v>0.99610889999999996</v>
      </c>
      <c r="Q17">
        <v>7.988054E-2</v>
      </c>
      <c r="R17">
        <v>3.7233799999999997E-2</v>
      </c>
      <c r="S17">
        <v>3.082916</v>
      </c>
      <c r="T17">
        <v>-0.61869030000000003</v>
      </c>
      <c r="U17">
        <v>-0.60540769999999899</v>
      </c>
      <c r="V17">
        <v>-3.6088240000000001E-2</v>
      </c>
      <c r="W17">
        <v>8.051664E-2</v>
      </c>
      <c r="X17">
        <v>0.99609979999999998</v>
      </c>
      <c r="Y17">
        <v>0.1901429</v>
      </c>
      <c r="Z17">
        <v>-1.9006370000000002E-2</v>
      </c>
      <c r="AA17">
        <v>0.98157240000000001</v>
      </c>
      <c r="AB17">
        <v>4</v>
      </c>
      <c r="AC17">
        <v>0.65390000000002102</v>
      </c>
      <c r="AD17">
        <v>-0.13966039999999899</v>
      </c>
      <c r="AE17">
        <v>-0.13749999999998799</v>
      </c>
      <c r="AF17">
        <v>0.132468980636538</v>
      </c>
      <c r="AG17">
        <v>-0.13966039999999899</v>
      </c>
      <c r="AH17">
        <v>0.62637723810983104</v>
      </c>
      <c r="AI17">
        <v>102.305752866204</v>
      </c>
      <c r="AJ17">
        <v>78.0587906244198</v>
      </c>
      <c r="AK17">
        <v>0.65528734352278195</v>
      </c>
      <c r="AL17">
        <v>85.381737408346794</v>
      </c>
      <c r="AM17">
        <v>92.074892373703705</v>
      </c>
      <c r="AN17">
        <v>1.00000005097161</v>
      </c>
    </row>
    <row r="18" spans="1:40" x14ac:dyDescent="0.25">
      <c r="A18" t="str">
        <f>"20190305135755742"</f>
        <v>20190305135755742</v>
      </c>
      <c r="B18" t="str">
        <f>"1551765475738978"</f>
        <v>1551765475738978</v>
      </c>
      <c r="C18" t="s">
        <v>40</v>
      </c>
      <c r="D18">
        <v>4.138274</v>
      </c>
      <c r="E18">
        <v>0.58665979999999995</v>
      </c>
      <c r="F18" t="s">
        <v>41</v>
      </c>
      <c r="G18">
        <v>-475.53890000000001</v>
      </c>
      <c r="H18">
        <v>0.96358259999999996</v>
      </c>
      <c r="I18">
        <v>367.07819999999998</v>
      </c>
      <c r="J18">
        <v>-476.22059999999999</v>
      </c>
      <c r="K18">
        <v>1.108676</v>
      </c>
      <c r="L18">
        <v>367.22140000000002</v>
      </c>
      <c r="M18">
        <v>0.99999930000000004</v>
      </c>
      <c r="N18">
        <v>-1.576487E-4</v>
      </c>
      <c r="O18">
        <v>1.3176189999999999E-3</v>
      </c>
      <c r="P18">
        <v>0.99606799999999995</v>
      </c>
      <c r="Q18">
        <v>8.0213899999999894E-2</v>
      </c>
      <c r="R18">
        <v>3.7610329999999997E-2</v>
      </c>
      <c r="S18">
        <v>3.0838320000000001</v>
      </c>
      <c r="T18">
        <v>-0.61671169999999997</v>
      </c>
      <c r="U18">
        <v>-0.60501099999999997</v>
      </c>
      <c r="V18">
        <v>-3.6304790000000003E-2</v>
      </c>
      <c r="W18">
        <v>8.0367880000000003E-2</v>
      </c>
      <c r="X18">
        <v>0.99610390000000004</v>
      </c>
      <c r="Y18">
        <v>0.19015560000000001</v>
      </c>
      <c r="Z18">
        <v>-1.892837E-2</v>
      </c>
      <c r="AA18">
        <v>0.98157150000000004</v>
      </c>
      <c r="AB18">
        <v>4</v>
      </c>
      <c r="AC18">
        <v>0.68169999999997799</v>
      </c>
      <c r="AD18">
        <v>-0.14509340000000001</v>
      </c>
      <c r="AE18">
        <v>-0.14320000000003499</v>
      </c>
      <c r="AF18">
        <v>0.13810614063503801</v>
      </c>
      <c r="AG18">
        <v>-0.14509340000000001</v>
      </c>
      <c r="AH18">
        <v>0.65317182117602701</v>
      </c>
      <c r="AI18">
        <v>102.26151224658</v>
      </c>
      <c r="AJ18">
        <v>78.061265474949096</v>
      </c>
      <c r="AK18">
        <v>0.683197503495931</v>
      </c>
      <c r="AL18">
        <v>85.390288235387899</v>
      </c>
      <c r="AM18">
        <v>92.0873233455616</v>
      </c>
      <c r="AN18">
        <v>1.0000000067539201</v>
      </c>
    </row>
    <row r="19" spans="1:40" x14ac:dyDescent="0.25">
      <c r="A19" t="str">
        <f>"20190305135755763"</f>
        <v>20190305135755763</v>
      </c>
      <c r="B19" t="str">
        <f>"1551765475758499"</f>
        <v>1551765475758499</v>
      </c>
      <c r="C19" t="s">
        <v>40</v>
      </c>
      <c r="D19">
        <v>4.1704330000000001</v>
      </c>
      <c r="E19">
        <v>0.58669749999999998</v>
      </c>
      <c r="F19" t="s">
        <v>41</v>
      </c>
      <c r="G19">
        <v>-475.49799999999999</v>
      </c>
      <c r="H19">
        <v>0.964453</v>
      </c>
      <c r="I19">
        <v>367.07960000000003</v>
      </c>
      <c r="J19">
        <v>-476.17989999999998</v>
      </c>
      <c r="K19">
        <v>1.1086560000000001</v>
      </c>
      <c r="L19">
        <v>367.22160000000002</v>
      </c>
      <c r="M19">
        <v>0.99999890000000002</v>
      </c>
      <c r="N19">
        <v>2.2625060000000001E-4</v>
      </c>
      <c r="O19">
        <v>1.465535E-3</v>
      </c>
      <c r="P19">
        <v>0.99606450000000002</v>
      </c>
      <c r="Q19">
        <v>8.0135440000000002E-2</v>
      </c>
      <c r="R19">
        <v>3.7866129999999998E-2</v>
      </c>
      <c r="S19">
        <v>3.0842290000000001</v>
      </c>
      <c r="T19">
        <v>-0.61573219999999995</v>
      </c>
      <c r="U19">
        <v>-0.60369869999999903</v>
      </c>
      <c r="V19">
        <v>-3.6413010000000003E-2</v>
      </c>
      <c r="W19">
        <v>7.9906840000000007E-2</v>
      </c>
      <c r="X19">
        <v>0.99613700000000005</v>
      </c>
      <c r="Y19">
        <v>0.18989600000000001</v>
      </c>
      <c r="Z19">
        <v>-1.8864220000000001E-2</v>
      </c>
      <c r="AA19">
        <v>0.98162300000000002</v>
      </c>
      <c r="AB19">
        <v>4</v>
      </c>
      <c r="AC19">
        <v>0.68189999999992701</v>
      </c>
      <c r="AD19">
        <v>-0.144202999999999</v>
      </c>
      <c r="AE19">
        <v>-0.14199999999999499</v>
      </c>
      <c r="AF19">
        <v>0.13712189501897001</v>
      </c>
      <c r="AG19">
        <v>-0.144202999999999</v>
      </c>
      <c r="AH19">
        <v>0.65367349347360204</v>
      </c>
      <c r="AI19">
        <v>102.183422993157</v>
      </c>
      <c r="AJ19">
        <v>78.152775192830603</v>
      </c>
      <c r="AK19">
        <v>0.68329053511121896</v>
      </c>
      <c r="AL19">
        <v>85.416788928411705</v>
      </c>
      <c r="AM19">
        <v>92.093470361801593</v>
      </c>
      <c r="AN19">
        <v>0.99999996657252199</v>
      </c>
    </row>
    <row r="20" spans="1:40" x14ac:dyDescent="0.25">
      <c r="A20" t="str">
        <f>"20190305135755786"</f>
        <v>20190305135755786</v>
      </c>
      <c r="B20" t="str">
        <f>"1551765475778995"</f>
        <v>1551765475778995</v>
      </c>
      <c r="C20" t="s">
        <v>40</v>
      </c>
      <c r="D20">
        <v>4.1716670000000002</v>
      </c>
      <c r="E20">
        <v>0.5868601</v>
      </c>
      <c r="F20" t="s">
        <v>41</v>
      </c>
      <c r="G20">
        <v>-475.4554</v>
      </c>
      <c r="H20">
        <v>0.96393180000000001</v>
      </c>
      <c r="I20">
        <v>367.0795</v>
      </c>
      <c r="J20">
        <v>-476.12889999999999</v>
      </c>
      <c r="K20">
        <v>1.1086259999999999</v>
      </c>
      <c r="L20">
        <v>367.22190000000001</v>
      </c>
      <c r="M20">
        <v>0.99999850000000001</v>
      </c>
      <c r="N20">
        <v>6.3685199999999895E-4</v>
      </c>
      <c r="O20">
        <v>1.6479979999999999E-3</v>
      </c>
      <c r="P20">
        <v>0.99601289999999998</v>
      </c>
      <c r="Q20">
        <v>8.0484970000000003E-2</v>
      </c>
      <c r="R20">
        <v>3.8480359999999998E-2</v>
      </c>
      <c r="S20">
        <v>3.0844420000000001</v>
      </c>
      <c r="T20">
        <v>-0.61632559999999903</v>
      </c>
      <c r="U20">
        <v>-0.60314939999999995</v>
      </c>
      <c r="V20">
        <v>-3.6845910000000003E-2</v>
      </c>
      <c r="W20">
        <v>7.9847429999999997E-2</v>
      </c>
      <c r="X20">
        <v>0.99612590000000001</v>
      </c>
      <c r="Y20">
        <v>0.18989139999999999</v>
      </c>
      <c r="Z20">
        <v>-1.887745E-2</v>
      </c>
      <c r="AA20">
        <v>0.98162360000000004</v>
      </c>
      <c r="AB20">
        <v>5</v>
      </c>
      <c r="AC20">
        <v>0.67349999999999</v>
      </c>
      <c r="AD20">
        <v>-0.1446942</v>
      </c>
      <c r="AE20">
        <v>-0.14240000000000899</v>
      </c>
      <c r="AF20">
        <v>0.13743762526907699</v>
      </c>
      <c r="AG20">
        <v>-0.1446942</v>
      </c>
      <c r="AH20">
        <v>0.64477760174412002</v>
      </c>
      <c r="AI20">
        <v>102.37893331866699</v>
      </c>
      <c r="AJ20">
        <v>77.967193457983001</v>
      </c>
      <c r="AK20">
        <v>0.67495456740742399</v>
      </c>
      <c r="AL20">
        <v>85.420204031580795</v>
      </c>
      <c r="AM20">
        <v>92.118359852439795</v>
      </c>
      <c r="AN20">
        <v>1.00000002090607</v>
      </c>
    </row>
    <row r="21" spans="1:40" x14ac:dyDescent="0.25">
      <c r="A21" t="str">
        <f>"20190305135755809"</f>
        <v>20190305135755809</v>
      </c>
      <c r="B21" t="str">
        <f>"1551765475798515"</f>
        <v>1551765475798515</v>
      </c>
      <c r="C21" t="s">
        <v>40</v>
      </c>
      <c r="D21">
        <v>4.1590199999999999</v>
      </c>
      <c r="E21">
        <v>0.58698209999999995</v>
      </c>
      <c r="F21" t="s">
        <v>41</v>
      </c>
      <c r="G21">
        <v>-475.40969999999999</v>
      </c>
      <c r="H21">
        <v>0.9651632</v>
      </c>
      <c r="I21">
        <v>367.08120000000002</v>
      </c>
      <c r="J21">
        <v>-476.07679999999999</v>
      </c>
      <c r="K21">
        <v>1.1086009999999999</v>
      </c>
      <c r="L21">
        <v>367.22219999999999</v>
      </c>
      <c r="M21">
        <v>0.99999800000000005</v>
      </c>
      <c r="N21">
        <v>9.9202480000000004E-4</v>
      </c>
      <c r="O21">
        <v>1.831956E-3</v>
      </c>
      <c r="P21">
        <v>0.99601819999999996</v>
      </c>
      <c r="Q21">
        <v>8.0310580000000006E-2</v>
      </c>
      <c r="R21">
        <v>3.8706890000000001E-2</v>
      </c>
      <c r="S21">
        <v>3.0850219999999999</v>
      </c>
      <c r="T21">
        <v>-0.61556140000000004</v>
      </c>
      <c r="U21">
        <v>-0.60241699999999998</v>
      </c>
      <c r="V21">
        <v>-3.688926E-2</v>
      </c>
      <c r="W21">
        <v>7.9319340000000002E-2</v>
      </c>
      <c r="X21">
        <v>0.99616649999999995</v>
      </c>
      <c r="Y21">
        <v>0.189827</v>
      </c>
      <c r="Z21">
        <v>-1.8847550000000001E-2</v>
      </c>
      <c r="AA21">
        <v>0.98163659999999997</v>
      </c>
      <c r="AB21">
        <v>5</v>
      </c>
      <c r="AC21">
        <v>0.66710000000000402</v>
      </c>
      <c r="AD21">
        <v>-0.143437799999999</v>
      </c>
      <c r="AE21">
        <v>-0.14099999999996199</v>
      </c>
      <c r="AF21">
        <v>0.136194542271526</v>
      </c>
      <c r="AG21">
        <v>-0.143437799999999</v>
      </c>
      <c r="AH21">
        <v>0.63858007337122202</v>
      </c>
      <c r="AI21">
        <v>102.389884468982</v>
      </c>
      <c r="AJ21">
        <v>77.960503475830706</v>
      </c>
      <c r="AK21">
        <v>0.66851167971860104</v>
      </c>
      <c r="AL21">
        <v>85.450557701052901</v>
      </c>
      <c r="AM21">
        <v>92.120763514490903</v>
      </c>
      <c r="AN21">
        <v>1.0000000354618099</v>
      </c>
    </row>
    <row r="22" spans="1:40" x14ac:dyDescent="0.25">
      <c r="A22" t="str">
        <f>"20190305135755830"</f>
        <v>20190305135755830</v>
      </c>
      <c r="B22" t="str">
        <f>"1551765475819011"</f>
        <v>1551765475819011</v>
      </c>
      <c r="C22" t="s">
        <v>40</v>
      </c>
      <c r="D22">
        <v>4.1536169999999997</v>
      </c>
      <c r="E22">
        <v>0.58697790000000005</v>
      </c>
      <c r="F22" t="s">
        <v>41</v>
      </c>
      <c r="G22">
        <v>-475.36200000000002</v>
      </c>
      <c r="H22">
        <v>0.96587440000000002</v>
      </c>
      <c r="I22">
        <v>367.08170000000001</v>
      </c>
      <c r="J22">
        <v>-476.02449999999999</v>
      </c>
      <c r="K22">
        <v>1.108568</v>
      </c>
      <c r="L22">
        <v>367.22250000000003</v>
      </c>
      <c r="M22">
        <v>0.99999720000000003</v>
      </c>
      <c r="N22">
        <v>1.2910809999999999E-3</v>
      </c>
      <c r="O22">
        <v>2.0141619999999999E-3</v>
      </c>
      <c r="P22">
        <v>0.99601390000000001</v>
      </c>
      <c r="Q22">
        <v>8.0133209999999996E-2</v>
      </c>
      <c r="R22">
        <v>3.91776E-2</v>
      </c>
      <c r="S22">
        <v>3.0851139999999999</v>
      </c>
      <c r="T22">
        <v>-0.61641659999999998</v>
      </c>
      <c r="U22">
        <v>-0.60284419999999905</v>
      </c>
      <c r="V22">
        <v>-3.7178049999999997E-2</v>
      </c>
      <c r="W22">
        <v>7.8843999999999997E-2</v>
      </c>
      <c r="X22">
        <v>0.99619349999999995</v>
      </c>
      <c r="Y22">
        <v>0.19011810000000001</v>
      </c>
      <c r="Z22">
        <v>-1.8908500000000002E-2</v>
      </c>
      <c r="AA22">
        <v>0.98157910000000004</v>
      </c>
      <c r="AB22">
        <v>5</v>
      </c>
      <c r="AC22">
        <v>0.66250000000002196</v>
      </c>
      <c r="AD22">
        <v>-0.142693599999999</v>
      </c>
      <c r="AE22">
        <v>-0.140800000000012</v>
      </c>
      <c r="AF22">
        <v>0.13609338718778599</v>
      </c>
      <c r="AG22">
        <v>-0.142693599999999</v>
      </c>
      <c r="AH22">
        <v>0.63407086864699502</v>
      </c>
      <c r="AI22">
        <v>102.40919251941401</v>
      </c>
      <c r="AJ22">
        <v>77.886146034143707</v>
      </c>
      <c r="AK22">
        <v>0.66402465314471504</v>
      </c>
      <c r="AL22">
        <v>85.477878245381504</v>
      </c>
      <c r="AM22">
        <v>92.137292837566903</v>
      </c>
      <c r="AN22">
        <v>1.0000000365900199</v>
      </c>
    </row>
    <row r="23" spans="1:40" x14ac:dyDescent="0.25">
      <c r="A23" t="str">
        <f>"20190305135755853"</f>
        <v>20190305135755853</v>
      </c>
      <c r="B23" t="str">
        <f>"1551765475848292"</f>
        <v>1551765475848292</v>
      </c>
      <c r="C23" t="s">
        <v>40</v>
      </c>
      <c r="D23">
        <v>4.1991589999999999</v>
      </c>
      <c r="E23">
        <v>0.58701599999999998</v>
      </c>
      <c r="F23" t="s">
        <v>41</v>
      </c>
      <c r="G23">
        <v>-475.31220000000002</v>
      </c>
      <c r="H23">
        <v>0.96625839999999996</v>
      </c>
      <c r="I23">
        <v>367.0829</v>
      </c>
      <c r="J23">
        <v>-475.96730000000002</v>
      </c>
      <c r="K23">
        <v>1.108536</v>
      </c>
      <c r="L23">
        <v>367.22280000000001</v>
      </c>
      <c r="M23">
        <v>0.99999640000000001</v>
      </c>
      <c r="N23">
        <v>1.565409E-3</v>
      </c>
      <c r="O23">
        <v>2.2103499999999998E-3</v>
      </c>
      <c r="P23">
        <v>0.99604130000000002</v>
      </c>
      <c r="Q23">
        <v>7.9746890000000001E-2</v>
      </c>
      <c r="R23">
        <v>3.9276150000000003E-2</v>
      </c>
      <c r="S23">
        <v>3.0853269999999999</v>
      </c>
      <c r="T23">
        <v>-0.61663519999999905</v>
      </c>
      <c r="U23">
        <v>-0.60223389999999999</v>
      </c>
      <c r="V23">
        <v>-3.7081660000000002E-2</v>
      </c>
      <c r="W23">
        <v>7.8184190000000001E-2</v>
      </c>
      <c r="X23">
        <v>0.9962491</v>
      </c>
      <c r="Y23">
        <v>0.1901099</v>
      </c>
      <c r="Z23">
        <v>-1.8926160000000001E-2</v>
      </c>
      <c r="AA23">
        <v>0.98158040000000002</v>
      </c>
      <c r="AB23">
        <v>5</v>
      </c>
      <c r="AC23">
        <v>0.65510000000000401</v>
      </c>
      <c r="AD23">
        <v>-0.142277599999999</v>
      </c>
      <c r="AE23">
        <v>-0.13990000000001099</v>
      </c>
      <c r="AF23">
        <v>0.13524645324658399</v>
      </c>
      <c r="AG23">
        <v>-0.142277599999999</v>
      </c>
      <c r="AH23">
        <v>0.62652549693830595</v>
      </c>
      <c r="AI23">
        <v>102.515409558646</v>
      </c>
      <c r="AJ23">
        <v>77.818623726321405</v>
      </c>
      <c r="AK23">
        <v>0.65655823571967498</v>
      </c>
      <c r="AL23">
        <v>85.515799665700101</v>
      </c>
      <c r="AM23">
        <v>92.131637823300295</v>
      </c>
      <c r="AN23">
        <v>1.00000004316256</v>
      </c>
    </row>
    <row r="24" spans="1:40" x14ac:dyDescent="0.25">
      <c r="A24" t="str">
        <f>"20190305135755874"</f>
        <v>20190305135755874</v>
      </c>
      <c r="B24" t="str">
        <f>"1551765475868789"</f>
        <v>1551765475868789</v>
      </c>
      <c r="C24" t="s">
        <v>40</v>
      </c>
      <c r="D24">
        <v>4.2066970000000001</v>
      </c>
      <c r="E24">
        <v>0.586982</v>
      </c>
      <c r="F24" t="s">
        <v>41</v>
      </c>
      <c r="G24">
        <v>-475.25990000000002</v>
      </c>
      <c r="H24">
        <v>0.96690310000000002</v>
      </c>
      <c r="I24">
        <v>367.08420000000001</v>
      </c>
      <c r="J24">
        <v>-475.90879999999999</v>
      </c>
      <c r="K24">
        <v>1.1085119999999999</v>
      </c>
      <c r="L24">
        <v>367.22320000000002</v>
      </c>
      <c r="M24">
        <v>0.99999559999999998</v>
      </c>
      <c r="N24">
        <v>1.8023150000000001E-3</v>
      </c>
      <c r="O24">
        <v>2.40749E-3</v>
      </c>
      <c r="P24">
        <v>0.99605920000000003</v>
      </c>
      <c r="Q24">
        <v>7.9379259999999993E-2</v>
      </c>
      <c r="R24">
        <v>3.9565120000000002E-2</v>
      </c>
      <c r="S24">
        <v>3.0851440000000001</v>
      </c>
      <c r="T24">
        <v>-0.617921099999999</v>
      </c>
      <c r="U24">
        <v>-0.60226440000000003</v>
      </c>
      <c r="V24">
        <v>-3.7174150000000003E-2</v>
      </c>
      <c r="W24">
        <v>7.7580449999999995E-2</v>
      </c>
      <c r="X24">
        <v>0.99629279999999998</v>
      </c>
      <c r="Y24">
        <v>0.1903049</v>
      </c>
      <c r="Z24">
        <v>-1.9001899999999999E-2</v>
      </c>
      <c r="AA24">
        <v>0.98154110000000006</v>
      </c>
      <c r="AB24">
        <v>6</v>
      </c>
      <c r="AC24">
        <v>0.64889999999996895</v>
      </c>
      <c r="AD24">
        <v>-0.14160890000000001</v>
      </c>
      <c r="AE24">
        <v>-0.13900000000001</v>
      </c>
      <c r="AF24">
        <v>0.134440142455832</v>
      </c>
      <c r="AG24">
        <v>-0.14160890000000001</v>
      </c>
      <c r="AH24">
        <v>0.62031756909704805</v>
      </c>
      <c r="AI24">
        <v>102.576993404416</v>
      </c>
      <c r="AJ24">
        <v>77.771524649686299</v>
      </c>
      <c r="AK24">
        <v>0.65032385700758799</v>
      </c>
      <c r="AL24">
        <v>85.550496587723899</v>
      </c>
      <c r="AM24">
        <v>92.136856039042499</v>
      </c>
      <c r="AN24">
        <v>0.999999993491132</v>
      </c>
    </row>
    <row r="25" spans="1:40" x14ac:dyDescent="0.25">
      <c r="A25" t="str">
        <f>"20190305135755899"</f>
        <v>20190305135755899</v>
      </c>
      <c r="B25" t="str">
        <f>"1551765475889284"</f>
        <v>1551765475889284</v>
      </c>
      <c r="C25" t="s">
        <v>40</v>
      </c>
      <c r="D25">
        <v>4.2545479999999998</v>
      </c>
      <c r="E25">
        <v>0.58705410000000002</v>
      </c>
      <c r="F25" t="s">
        <v>41</v>
      </c>
      <c r="G25">
        <v>-475.2056</v>
      </c>
      <c r="H25">
        <v>0.96743210000000002</v>
      </c>
      <c r="I25">
        <v>367.08569999999997</v>
      </c>
      <c r="J25">
        <v>-475.84100000000001</v>
      </c>
      <c r="K25">
        <v>1.108493</v>
      </c>
      <c r="L25">
        <v>367.22359999999998</v>
      </c>
      <c r="M25">
        <v>0.99999450000000001</v>
      </c>
      <c r="N25">
        <v>2.035921E-3</v>
      </c>
      <c r="O25">
        <v>2.6318439999999999E-3</v>
      </c>
      <c r="P25">
        <v>0.9960156</v>
      </c>
      <c r="Q25">
        <v>7.9819379999999995E-2</v>
      </c>
      <c r="R25">
        <v>3.9773530000000001E-2</v>
      </c>
      <c r="S25">
        <v>3.0850520000000001</v>
      </c>
      <c r="T25">
        <v>-0.61902250000000003</v>
      </c>
      <c r="U25">
        <v>-0.60131840000000003</v>
      </c>
      <c r="V25">
        <v>-3.7158820000000002E-2</v>
      </c>
      <c r="W25">
        <v>7.7787729999999999E-2</v>
      </c>
      <c r="X25">
        <v>0.99627719999999997</v>
      </c>
      <c r="Y25">
        <v>0.19022839999999999</v>
      </c>
      <c r="Z25">
        <v>-1.905161E-2</v>
      </c>
      <c r="AA25">
        <v>0.98155499999999996</v>
      </c>
      <c r="AB25">
        <v>6</v>
      </c>
      <c r="AC25">
        <v>0.63540000000000396</v>
      </c>
      <c r="AD25">
        <v>-0.14106089999999899</v>
      </c>
      <c r="AE25">
        <v>-0.13790000000000099</v>
      </c>
      <c r="AF25">
        <v>0.133297680946561</v>
      </c>
      <c r="AG25">
        <v>-0.14106089999999899</v>
      </c>
      <c r="AH25">
        <v>0.60648838411635997</v>
      </c>
      <c r="AI25">
        <v>102.798360521224</v>
      </c>
      <c r="AJ25">
        <v>77.604274995608293</v>
      </c>
      <c r="AK25">
        <v>0.63678458627907697</v>
      </c>
      <c r="AL25">
        <v>85.538584277624196</v>
      </c>
      <c r="AM25">
        <v>92.136009066368203</v>
      </c>
      <c r="AN25">
        <v>0.99999998404109203</v>
      </c>
    </row>
    <row r="26" spans="1:40" x14ac:dyDescent="0.25">
      <c r="A26" t="str">
        <f>"20190305135755920"</f>
        <v>20190305135755920</v>
      </c>
      <c r="B26" t="str">
        <f>"1551765475908804"</f>
        <v>1551765475908804</v>
      </c>
      <c r="C26" t="s">
        <v>40</v>
      </c>
      <c r="D26">
        <v>4.2550330000000001</v>
      </c>
      <c r="E26">
        <v>0.58705090000000004</v>
      </c>
      <c r="F26" t="s">
        <v>41</v>
      </c>
      <c r="G26">
        <v>-475.09379999999999</v>
      </c>
      <c r="H26">
        <v>0.95893379999999995</v>
      </c>
      <c r="I26">
        <v>367.07749999999999</v>
      </c>
      <c r="J26">
        <v>-475.77640000000002</v>
      </c>
      <c r="K26">
        <v>1.1084719999999999</v>
      </c>
      <c r="L26">
        <v>367.22399999999999</v>
      </c>
      <c r="M26">
        <v>0.99999360000000004</v>
      </c>
      <c r="N26">
        <v>2.2210699999999999E-3</v>
      </c>
      <c r="O26">
        <v>2.8412649999999999E-3</v>
      </c>
      <c r="P26">
        <v>0.99598120000000001</v>
      </c>
      <c r="Q26">
        <v>8.0003920000000006E-2</v>
      </c>
      <c r="R26">
        <v>4.0265210000000003E-2</v>
      </c>
      <c r="S26">
        <v>3.0855410000000001</v>
      </c>
      <c r="T26">
        <v>-0.61780080000000004</v>
      </c>
      <c r="U26">
        <v>-0.60144039999999999</v>
      </c>
      <c r="V26">
        <v>-3.7442429999999999E-2</v>
      </c>
      <c r="W26">
        <v>7.7787720000000005E-2</v>
      </c>
      <c r="X26">
        <v>0.9962666</v>
      </c>
      <c r="Y26">
        <v>0.19045280000000001</v>
      </c>
      <c r="Z26">
        <v>-1.9057279999999999E-2</v>
      </c>
      <c r="AA26">
        <v>0.98151140000000003</v>
      </c>
      <c r="AB26">
        <v>6</v>
      </c>
      <c r="AC26">
        <v>0.68260000000003596</v>
      </c>
      <c r="AD26">
        <v>-0.14953819999999901</v>
      </c>
      <c r="AE26">
        <v>-0.14650000000000299</v>
      </c>
      <c r="AF26">
        <v>0.14192736947724699</v>
      </c>
      <c r="AG26">
        <v>-0.14953819999999901</v>
      </c>
      <c r="AH26">
        <v>0.65225611496847802</v>
      </c>
      <c r="AI26">
        <v>102.62697926798501</v>
      </c>
      <c r="AJ26">
        <v>77.724107657093498</v>
      </c>
      <c r="AK26">
        <v>0.68406366003446095</v>
      </c>
      <c r="AL26">
        <v>85.5385849308703</v>
      </c>
      <c r="AM26">
        <v>92.152319489723695</v>
      </c>
      <c r="AN26">
        <v>1.00000000161133</v>
      </c>
    </row>
    <row r="27" spans="1:40" x14ac:dyDescent="0.25">
      <c r="A27" t="str">
        <f>"20190305135755955"</f>
        <v>20190305135755955</v>
      </c>
      <c r="B27" t="str">
        <f>"1551765475948820"</f>
        <v>1551765475948820</v>
      </c>
      <c r="C27" t="s">
        <v>40</v>
      </c>
      <c r="D27">
        <v>4.2861000000000002</v>
      </c>
      <c r="E27">
        <v>0.58728239999999998</v>
      </c>
      <c r="F27" t="s">
        <v>41</v>
      </c>
      <c r="G27">
        <v>-475.03230000000002</v>
      </c>
      <c r="H27">
        <v>0.95986009999999999</v>
      </c>
      <c r="I27">
        <v>367.07839999999999</v>
      </c>
      <c r="J27">
        <v>-475.66890000000001</v>
      </c>
      <c r="K27">
        <v>1.1084419999999999</v>
      </c>
      <c r="L27">
        <v>367.22469999999998</v>
      </c>
      <c r="M27">
        <v>0.99999179999999999</v>
      </c>
      <c r="N27">
        <v>2.4744350000000001E-3</v>
      </c>
      <c r="O27">
        <v>3.1819489999999999E-3</v>
      </c>
      <c r="P27">
        <v>0.99587230000000004</v>
      </c>
      <c r="Q27">
        <v>8.1069189999999999E-2</v>
      </c>
      <c r="R27">
        <v>4.0822570000000002E-2</v>
      </c>
      <c r="S27">
        <v>3.0859070000000002</v>
      </c>
      <c r="T27">
        <v>-0.61664580000000002</v>
      </c>
      <c r="U27">
        <v>-0.6006165</v>
      </c>
      <c r="V27">
        <v>-3.7661399999999998E-2</v>
      </c>
      <c r="W27">
        <v>7.8601099999999993E-2</v>
      </c>
      <c r="X27">
        <v>0.99619449999999998</v>
      </c>
      <c r="Y27">
        <v>0.19052350000000001</v>
      </c>
      <c r="Z27">
        <v>-1.9070839999999999E-2</v>
      </c>
      <c r="AA27">
        <v>0.98149739999999996</v>
      </c>
      <c r="AB27">
        <v>7</v>
      </c>
      <c r="AC27">
        <v>0.63659999999998695</v>
      </c>
      <c r="AD27">
        <v>-0.14858189999999899</v>
      </c>
      <c r="AE27">
        <v>-0.14629999999999599</v>
      </c>
      <c r="AF27">
        <v>0.14102777857111701</v>
      </c>
      <c r="AG27">
        <v>-0.14858189999999899</v>
      </c>
      <c r="AH27">
        <v>0.60483560993204899</v>
      </c>
      <c r="AI27">
        <v>103.454519479894</v>
      </c>
      <c r="AJ27">
        <v>76.875009508199796</v>
      </c>
      <c r="AK27">
        <v>0.63858557012994599</v>
      </c>
      <c r="AL27">
        <v>85.491838540388301</v>
      </c>
      <c r="AM27">
        <v>92.165051231523904</v>
      </c>
      <c r="AN27">
        <v>0.99999999790071004</v>
      </c>
    </row>
    <row r="28" spans="1:40" x14ac:dyDescent="0.25">
      <c r="A28" t="str">
        <f>"20190305135755975"</f>
        <v>20190305135755975</v>
      </c>
      <c r="B28" t="str">
        <f>"1551765475969315"</f>
        <v>1551765475969315</v>
      </c>
      <c r="C28" t="s">
        <v>40</v>
      </c>
      <c r="D28">
        <v>4.2908390000000001</v>
      </c>
      <c r="E28">
        <v>0.58738500000000005</v>
      </c>
      <c r="F28" t="s">
        <v>41</v>
      </c>
      <c r="G28">
        <v>-474.96539999999999</v>
      </c>
      <c r="H28">
        <v>0.96849790000000002</v>
      </c>
      <c r="I28">
        <v>367.08760000000001</v>
      </c>
      <c r="J28">
        <v>-475.6028</v>
      </c>
      <c r="K28">
        <v>1.1084270000000001</v>
      </c>
      <c r="L28">
        <v>367.2251</v>
      </c>
      <c r="M28">
        <v>0.99999090000000002</v>
      </c>
      <c r="N28">
        <v>2.6028779999999999E-3</v>
      </c>
      <c r="O28">
        <v>3.3862800000000002E-3</v>
      </c>
      <c r="P28">
        <v>0.99583290000000002</v>
      </c>
      <c r="Q28">
        <v>8.1456929999999997E-2</v>
      </c>
      <c r="R28">
        <v>4.1007130000000003E-2</v>
      </c>
      <c r="S28">
        <v>3.0869749999999998</v>
      </c>
      <c r="T28">
        <v>-0.61414489999999999</v>
      </c>
      <c r="U28">
        <v>-0.60037229999999997</v>
      </c>
      <c r="V28">
        <v>-3.7642559999999999E-2</v>
      </c>
      <c r="W28">
        <v>7.8860639999999996E-2</v>
      </c>
      <c r="X28">
        <v>0.99617469999999997</v>
      </c>
      <c r="Y28">
        <v>0.1906139</v>
      </c>
      <c r="Z28">
        <v>-1.9024840000000001E-2</v>
      </c>
      <c r="AA28">
        <v>0.98148069999999998</v>
      </c>
      <c r="AB28">
        <v>7</v>
      </c>
      <c r="AC28">
        <v>0.63740000000001296</v>
      </c>
      <c r="AD28">
        <v>-0.1399291</v>
      </c>
      <c r="AE28">
        <v>-0.13749999999998799</v>
      </c>
      <c r="AF28">
        <v>0.13350940530513999</v>
      </c>
      <c r="AG28">
        <v>-0.1399291</v>
      </c>
      <c r="AH28">
        <v>0.608890761881969</v>
      </c>
      <c r="AI28">
        <v>102.651859559513</v>
      </c>
      <c r="AJ28">
        <v>77.632668612519595</v>
      </c>
      <c r="AK28">
        <v>0.63886843265021798</v>
      </c>
      <c r="AL28">
        <v>85.476921690376997</v>
      </c>
      <c r="AM28">
        <v>92.164012171423906</v>
      </c>
      <c r="AN28">
        <v>0.99999999789232596</v>
      </c>
    </row>
    <row r="29" spans="1:40" x14ac:dyDescent="0.25">
      <c r="A29" t="str">
        <f>"20190305135756000"</f>
        <v>20190305135756000</v>
      </c>
      <c r="B29" t="str">
        <f>"1551765475988835"</f>
        <v>1551765475988835</v>
      </c>
      <c r="C29" t="s">
        <v>40</v>
      </c>
      <c r="D29">
        <v>4.3256009999999998</v>
      </c>
      <c r="E29">
        <v>0.58742349999999999</v>
      </c>
      <c r="F29" t="s">
        <v>41</v>
      </c>
      <c r="G29">
        <v>-474.89960000000002</v>
      </c>
      <c r="H29">
        <v>0.96877869999999999</v>
      </c>
      <c r="I29">
        <v>367.08780000000002</v>
      </c>
      <c r="J29">
        <v>-475.5206</v>
      </c>
      <c r="K29">
        <v>1.1084069999999999</v>
      </c>
      <c r="L29">
        <v>367.22570000000002</v>
      </c>
      <c r="M29">
        <v>0.99998989999999999</v>
      </c>
      <c r="N29">
        <v>2.7396130000000001E-3</v>
      </c>
      <c r="O29">
        <v>3.6351729999999998E-3</v>
      </c>
      <c r="P29">
        <v>0.9958302</v>
      </c>
      <c r="Q29">
        <v>8.1360009999999996E-2</v>
      </c>
      <c r="R29">
        <v>4.1268279999999997E-2</v>
      </c>
      <c r="S29">
        <v>3.087402</v>
      </c>
      <c r="T29">
        <v>-0.61338169999999903</v>
      </c>
      <c r="U29">
        <v>-0.60018919999999998</v>
      </c>
      <c r="V29">
        <v>-3.7656090000000003E-2</v>
      </c>
      <c r="W29">
        <v>7.8627240000000001E-2</v>
      </c>
      <c r="X29">
        <v>0.99619259999999998</v>
      </c>
      <c r="Y29">
        <v>0.1907809</v>
      </c>
      <c r="Z29">
        <v>-1.905134E-2</v>
      </c>
      <c r="AA29">
        <v>0.98144779999999998</v>
      </c>
      <c r="AB29">
        <v>7</v>
      </c>
      <c r="AC29">
        <v>0.62099999999998001</v>
      </c>
      <c r="AD29">
        <v>-0.13962829999999901</v>
      </c>
      <c r="AE29">
        <v>-0.13790000000000099</v>
      </c>
      <c r="AF29">
        <v>0.13371429413513899</v>
      </c>
      <c r="AG29">
        <v>-0.13962829999999901</v>
      </c>
      <c r="AH29">
        <v>0.59197379288033203</v>
      </c>
      <c r="AI29">
        <v>102.95672465537</v>
      </c>
      <c r="AJ29">
        <v>77.271703524946204</v>
      </c>
      <c r="AK29">
        <v>0.62274276075605695</v>
      </c>
      <c r="AL29">
        <v>85.490336008432905</v>
      </c>
      <c r="AM29">
        <v>92.164750389343098</v>
      </c>
      <c r="AN29">
        <v>0.99999996013943204</v>
      </c>
    </row>
    <row r="30" spans="1:40" x14ac:dyDescent="0.25">
      <c r="A30" t="str">
        <f>"20190305135756021"</f>
        <v>20190305135756021</v>
      </c>
      <c r="B30" t="str">
        <f>"1551765476009332"</f>
        <v>1551765476009332</v>
      </c>
      <c r="C30" t="s">
        <v>40</v>
      </c>
      <c r="D30">
        <v>4.3453099999999996</v>
      </c>
      <c r="E30">
        <v>0.58749370000000001</v>
      </c>
      <c r="F30" t="s">
        <v>41</v>
      </c>
      <c r="G30">
        <v>-474.76589999999999</v>
      </c>
      <c r="H30">
        <v>0.9582465</v>
      </c>
      <c r="I30">
        <v>367.07889999999998</v>
      </c>
      <c r="J30">
        <v>-475.44369999999998</v>
      </c>
      <c r="K30">
        <v>1.108387</v>
      </c>
      <c r="L30">
        <v>367.22620000000001</v>
      </c>
      <c r="M30">
        <v>0.99998860000000001</v>
      </c>
      <c r="N30">
        <v>2.8470470000000001E-3</v>
      </c>
      <c r="O30">
        <v>3.8631770000000002E-3</v>
      </c>
      <c r="P30">
        <v>0.99589229999999995</v>
      </c>
      <c r="Q30">
        <v>8.0588030000000005E-2</v>
      </c>
      <c r="R30">
        <v>4.1282819999999998E-2</v>
      </c>
      <c r="S30">
        <v>3.0875849999999998</v>
      </c>
      <c r="T30">
        <v>-0.61445629999999996</v>
      </c>
      <c r="U30">
        <v>-0.59881589999999996</v>
      </c>
      <c r="V30">
        <v>-3.744302E-2</v>
      </c>
      <c r="W30">
        <v>7.774826E-2</v>
      </c>
      <c r="X30">
        <v>0.99626959999999998</v>
      </c>
      <c r="Y30">
        <v>0.19056190000000001</v>
      </c>
      <c r="Z30">
        <v>-1.9098270000000001E-2</v>
      </c>
      <c r="AA30">
        <v>0.98148939999999996</v>
      </c>
      <c r="AB30">
        <v>8</v>
      </c>
      <c r="AC30">
        <v>0.67779999999998997</v>
      </c>
      <c r="AD30">
        <v>-0.15014050000000001</v>
      </c>
      <c r="AE30">
        <v>-0.14730000000002899</v>
      </c>
      <c r="AF30">
        <v>0.14320746001363299</v>
      </c>
      <c r="AG30">
        <v>-0.15014050000000001</v>
      </c>
      <c r="AH30">
        <v>0.64691502062065698</v>
      </c>
      <c r="AI30">
        <v>102.767666940276</v>
      </c>
      <c r="AJ30">
        <v>77.517741564543599</v>
      </c>
      <c r="AK30">
        <v>0.67937441094615203</v>
      </c>
      <c r="AL30">
        <v>85.540852431880595</v>
      </c>
      <c r="AM30">
        <v>92.152346897910604</v>
      </c>
      <c r="AN30">
        <v>0.99999994378195201</v>
      </c>
    </row>
    <row r="31" spans="1:40" x14ac:dyDescent="0.25">
      <c r="A31" t="str">
        <f>"20190305135756042"</f>
        <v>20190305135756042</v>
      </c>
      <c r="B31" t="str">
        <f>"1551765476028851"</f>
        <v>1551765476028851</v>
      </c>
      <c r="C31" t="s">
        <v>40</v>
      </c>
      <c r="D31">
        <v>4.3356089999999998</v>
      </c>
      <c r="E31">
        <v>0.58759050000000002</v>
      </c>
      <c r="F31" t="s">
        <v>41</v>
      </c>
      <c r="G31">
        <v>-474.69330000000002</v>
      </c>
      <c r="H31">
        <v>0.9585148</v>
      </c>
      <c r="I31">
        <v>367.08030000000002</v>
      </c>
      <c r="J31">
        <v>-475.36720000000003</v>
      </c>
      <c r="K31">
        <v>1.108366</v>
      </c>
      <c r="L31">
        <v>367.22669999999999</v>
      </c>
      <c r="M31">
        <v>0.99998739999999997</v>
      </c>
      <c r="N31">
        <v>2.9399560000000001E-3</v>
      </c>
      <c r="O31">
        <v>4.0863100000000001E-3</v>
      </c>
      <c r="P31">
        <v>0.99590409999999996</v>
      </c>
      <c r="Q31">
        <v>8.0459030000000001E-2</v>
      </c>
      <c r="R31">
        <v>4.1247569999999997E-2</v>
      </c>
      <c r="S31">
        <v>3.0871580000000001</v>
      </c>
      <c r="T31">
        <v>-0.61675380000000002</v>
      </c>
      <c r="U31">
        <v>-0.59985350000000004</v>
      </c>
      <c r="V31">
        <v>-3.7185700000000002E-2</v>
      </c>
      <c r="W31">
        <v>7.7526239999999996E-2</v>
      </c>
      <c r="X31">
        <v>0.99629659999999998</v>
      </c>
      <c r="Y31">
        <v>0.1910838</v>
      </c>
      <c r="Z31">
        <v>-1.9257380000000001E-2</v>
      </c>
      <c r="AA31">
        <v>0.98138479999999995</v>
      </c>
      <c r="AB31">
        <v>8</v>
      </c>
      <c r="AC31">
        <v>0.67390000000000305</v>
      </c>
      <c r="AD31">
        <v>-0.14985119999999899</v>
      </c>
      <c r="AE31">
        <v>-0.146399999999971</v>
      </c>
      <c r="AF31">
        <v>0.142427495777324</v>
      </c>
      <c r="AG31">
        <v>-0.14985119999999899</v>
      </c>
      <c r="AH31">
        <v>0.64293825396792903</v>
      </c>
      <c r="AI31">
        <v>102.819688574488</v>
      </c>
      <c r="AJ31">
        <v>77.509215007797906</v>
      </c>
      <c r="AK31">
        <v>0.67535958726456902</v>
      </c>
      <c r="AL31">
        <v>85.553612024678699</v>
      </c>
      <c r="AM31">
        <v>92.137511198766603</v>
      </c>
      <c r="AN31">
        <v>1.0000000046722901</v>
      </c>
    </row>
    <row r="32" spans="1:40" x14ac:dyDescent="0.25">
      <c r="A32" t="str">
        <f>"20190305135756064"</f>
        <v>20190305135756064</v>
      </c>
      <c r="B32" t="str">
        <f>"1551765476059108"</f>
        <v>1551765476059108</v>
      </c>
      <c r="C32" t="s">
        <v>40</v>
      </c>
      <c r="D32">
        <v>4.3716530000000002</v>
      </c>
      <c r="E32">
        <v>0.58761129999999995</v>
      </c>
      <c r="F32" t="s">
        <v>41</v>
      </c>
      <c r="G32">
        <v>-474.61840000000001</v>
      </c>
      <c r="H32">
        <v>0.95877349999999995</v>
      </c>
      <c r="I32">
        <v>367.0804</v>
      </c>
      <c r="J32">
        <v>-475.28449999999998</v>
      </c>
      <c r="K32">
        <v>1.1083499999999999</v>
      </c>
      <c r="L32">
        <v>367.22730000000001</v>
      </c>
      <c r="M32">
        <v>0.99998620000000005</v>
      </c>
      <c r="N32">
        <v>3.026281E-3</v>
      </c>
      <c r="O32">
        <v>4.3226810000000001E-3</v>
      </c>
      <c r="P32">
        <v>0.99594649999999996</v>
      </c>
      <c r="Q32">
        <v>8.0007610000000007E-2</v>
      </c>
      <c r="R32">
        <v>4.1107350000000001E-2</v>
      </c>
      <c r="S32">
        <v>3.087097</v>
      </c>
      <c r="T32">
        <v>-0.61681070000000005</v>
      </c>
      <c r="U32">
        <v>-0.60079959999999999</v>
      </c>
      <c r="V32">
        <v>-3.6810509999999998E-2</v>
      </c>
      <c r="W32">
        <v>7.6988559999999998E-2</v>
      </c>
      <c r="X32">
        <v>0.99635220000000002</v>
      </c>
      <c r="Y32">
        <v>0.19159580000000001</v>
      </c>
      <c r="Z32">
        <v>-1.9347360000000001E-2</v>
      </c>
      <c r="AA32">
        <v>0.98128320000000002</v>
      </c>
      <c r="AB32">
        <v>8</v>
      </c>
      <c r="AC32">
        <v>0.66609999999997105</v>
      </c>
      <c r="AD32">
        <v>-0.149576499999999</v>
      </c>
      <c r="AE32">
        <v>-0.14690000000001599</v>
      </c>
      <c r="AF32">
        <v>0.14290612868628499</v>
      </c>
      <c r="AG32">
        <v>-0.149576499999999</v>
      </c>
      <c r="AH32">
        <v>0.63492736428065</v>
      </c>
      <c r="AI32">
        <v>102.943564654808</v>
      </c>
      <c r="AJ32">
        <v>77.315539149679907</v>
      </c>
      <c r="AK32">
        <v>0.66777844295898303</v>
      </c>
      <c r="AL32">
        <v>85.5845110590556</v>
      </c>
      <c r="AM32">
        <v>92.115846231799594</v>
      </c>
      <c r="AN32">
        <v>0.99999997923108597</v>
      </c>
    </row>
    <row r="33" spans="1:40" x14ac:dyDescent="0.25">
      <c r="A33" t="str">
        <f>"20190305135756088"</f>
        <v>20190305135756088</v>
      </c>
      <c r="B33" t="str">
        <f>"1551765476078627"</f>
        <v>1551765476078627</v>
      </c>
      <c r="C33" t="s">
        <v>40</v>
      </c>
      <c r="D33">
        <v>4.2957859999999997</v>
      </c>
      <c r="E33">
        <v>0.55860030000000005</v>
      </c>
      <c r="F33" t="s">
        <v>41</v>
      </c>
      <c r="G33">
        <v>-474.54090000000002</v>
      </c>
      <c r="H33">
        <v>0.95960330000000005</v>
      </c>
      <c r="I33">
        <v>367.08179999999999</v>
      </c>
      <c r="J33">
        <v>-475.19380000000001</v>
      </c>
      <c r="K33">
        <v>1.108331</v>
      </c>
      <c r="L33">
        <v>367.22800000000001</v>
      </c>
      <c r="M33">
        <v>0.99998489999999995</v>
      </c>
      <c r="N33">
        <v>3.107514E-3</v>
      </c>
      <c r="O33">
        <v>4.5778909999999997E-3</v>
      </c>
      <c r="P33">
        <v>0.99598180000000003</v>
      </c>
      <c r="Q33">
        <v>7.9596310000000003E-2</v>
      </c>
      <c r="R33">
        <v>4.1047380000000001E-2</v>
      </c>
      <c r="S33">
        <v>3.0867</v>
      </c>
      <c r="T33">
        <v>-0.61768659999999997</v>
      </c>
      <c r="U33">
        <v>-0.60214230000000002</v>
      </c>
      <c r="V33">
        <v>-3.6495949999999999E-2</v>
      </c>
      <c r="W33">
        <v>7.6496480000000006E-2</v>
      </c>
      <c r="X33">
        <v>0.99640169999999995</v>
      </c>
      <c r="Y33">
        <v>0.19225410000000001</v>
      </c>
      <c r="Z33">
        <v>-1.9483239999999999E-2</v>
      </c>
      <c r="AA33">
        <v>0.98115180000000002</v>
      </c>
      <c r="AB33">
        <v>8</v>
      </c>
      <c r="AC33">
        <v>0.65289999999998805</v>
      </c>
      <c r="AD33">
        <v>-0.14872769999999899</v>
      </c>
      <c r="AE33">
        <v>-0.14620000000002101</v>
      </c>
      <c r="AF33">
        <v>0.14216268360788301</v>
      </c>
      <c r="AG33">
        <v>-0.14872769999999899</v>
      </c>
      <c r="AH33">
        <v>0.62151296631921704</v>
      </c>
      <c r="AI33">
        <v>103.130837428761</v>
      </c>
      <c r="AJ33">
        <v>77.116011949926104</v>
      </c>
      <c r="AK33">
        <v>0.65468200270115595</v>
      </c>
      <c r="AL33">
        <v>85.612788680187094</v>
      </c>
      <c r="AM33">
        <v>92.097677611548306</v>
      </c>
      <c r="AN33">
        <v>1.0000000067908399</v>
      </c>
    </row>
    <row r="34" spans="1:40" x14ac:dyDescent="0.25">
      <c r="A34" t="str">
        <f>"20190305135756109"</f>
        <v>20190305135756109</v>
      </c>
      <c r="B34" t="str">
        <f>"1551765476099123"</f>
        <v>1551765476099123</v>
      </c>
      <c r="C34" t="s">
        <v>40</v>
      </c>
      <c r="D34">
        <v>4.3334000000000001</v>
      </c>
      <c r="E34">
        <v>0.5465989</v>
      </c>
      <c r="F34" t="s">
        <v>41</v>
      </c>
      <c r="G34">
        <v>-474.44459999999998</v>
      </c>
      <c r="H34">
        <v>0.99974510000000005</v>
      </c>
      <c r="I34">
        <v>367.13810000000001</v>
      </c>
      <c r="J34">
        <v>-475.1044</v>
      </c>
      <c r="K34">
        <v>1.1083099999999999</v>
      </c>
      <c r="L34">
        <v>367.2287</v>
      </c>
      <c r="M34">
        <v>0.99998350000000003</v>
      </c>
      <c r="N34">
        <v>3.1758260000000001E-3</v>
      </c>
      <c r="O34">
        <v>4.8247129999999996E-3</v>
      </c>
      <c r="P34">
        <v>0.99596430000000002</v>
      </c>
      <c r="Q34">
        <v>7.9807630000000004E-2</v>
      </c>
      <c r="R34">
        <v>4.1063950000000002E-2</v>
      </c>
      <c r="S34">
        <v>3.0626829999999998</v>
      </c>
      <c r="T34">
        <v>-0.44418970000000002</v>
      </c>
      <c r="U34">
        <v>-0.36557010000000001</v>
      </c>
      <c r="V34">
        <v>-3.6267500000000001E-2</v>
      </c>
      <c r="W34">
        <v>7.6639120000000005E-2</v>
      </c>
      <c r="X34">
        <v>0.99639900000000003</v>
      </c>
      <c r="Y34">
        <v>0.12202780000000001</v>
      </c>
      <c r="Z34">
        <v>-9.2857979999999996E-3</v>
      </c>
      <c r="AA34">
        <v>0.99248329999999996</v>
      </c>
      <c r="AB34">
        <v>9</v>
      </c>
      <c r="AC34">
        <v>0.65980000000001804</v>
      </c>
      <c r="AD34">
        <v>-0.10856490000000001</v>
      </c>
      <c r="AE34">
        <v>-9.0599999999994907E-2</v>
      </c>
      <c r="AF34">
        <v>9.1354730722739502E-2</v>
      </c>
      <c r="AG34">
        <v>-0.10856490000000001</v>
      </c>
      <c r="AH34">
        <v>0.642287643263177</v>
      </c>
      <c r="AI34">
        <v>99.500090604965294</v>
      </c>
      <c r="AJ34">
        <v>81.904925923805095</v>
      </c>
      <c r="AK34">
        <v>0.65777309235480297</v>
      </c>
      <c r="AL34">
        <v>85.604591595163797</v>
      </c>
      <c r="AM34">
        <v>92.084564255754501</v>
      </c>
      <c r="AN34">
        <v>0.99999992673580895</v>
      </c>
    </row>
    <row r="35" spans="1:40" x14ac:dyDescent="0.25">
      <c r="A35" t="str">
        <f>"20190305135756135"</f>
        <v>20190305135756135</v>
      </c>
      <c r="B35" t="str">
        <f>"1551765476129206"</f>
        <v>1551765476129206</v>
      </c>
      <c r="C35" t="s">
        <v>40</v>
      </c>
      <c r="D35">
        <v>4.2953419999999998</v>
      </c>
      <c r="E35">
        <v>0.54343069999999905</v>
      </c>
      <c r="F35" t="s">
        <v>42</v>
      </c>
      <c r="G35">
        <v>-454.45699999999999</v>
      </c>
      <c r="H35" s="1">
        <v>-3.0984869999999999E-6</v>
      </c>
      <c r="I35">
        <v>365.4545</v>
      </c>
      <c r="J35">
        <v>-475.00170000000003</v>
      </c>
      <c r="K35">
        <v>1.1082890000000001</v>
      </c>
      <c r="L35">
        <v>367.22949999999997</v>
      </c>
      <c r="M35">
        <v>0.99998180000000003</v>
      </c>
      <c r="N35">
        <v>3.2425539999999999E-3</v>
      </c>
      <c r="O35">
        <v>5.1027080000000001E-3</v>
      </c>
      <c r="P35">
        <v>0.99597380000000002</v>
      </c>
      <c r="Q35">
        <v>7.9607839999999999E-2</v>
      </c>
      <c r="R35">
        <v>4.1220449999999999E-2</v>
      </c>
      <c r="S35">
        <v>3.0359500000000001</v>
      </c>
      <c r="T35">
        <v>-0.16296340000000001</v>
      </c>
      <c r="U35">
        <v>-0.26086429999999999</v>
      </c>
      <c r="V35">
        <v>-3.6147079999999998E-2</v>
      </c>
      <c r="W35">
        <v>7.6372869999999995E-2</v>
      </c>
      <c r="X35">
        <v>0.99642390000000003</v>
      </c>
      <c r="Y35">
        <v>9.0562770000000001E-2</v>
      </c>
      <c r="Z35">
        <v>-2.5669270000000001E-3</v>
      </c>
      <c r="AA35">
        <v>0.99588750000000004</v>
      </c>
      <c r="AB35">
        <v>9</v>
      </c>
      <c r="AC35">
        <v>20.544699999999999</v>
      </c>
      <c r="AD35">
        <v>-1.1082920984869999</v>
      </c>
      <c r="AE35">
        <v>-1.7749999999999699</v>
      </c>
      <c r="AF35">
        <v>1.8743967599814699</v>
      </c>
      <c r="AG35">
        <v>-1.1082920984869999</v>
      </c>
      <c r="AH35">
        <v>20.476228665847099</v>
      </c>
      <c r="AI35">
        <v>93.085281700802099</v>
      </c>
      <c r="AJ35">
        <v>84.769713270517002</v>
      </c>
      <c r="AK35">
        <v>20.591688006704398</v>
      </c>
      <c r="AL35">
        <v>85.619891794405603</v>
      </c>
      <c r="AM35">
        <v>92.077597020731801</v>
      </c>
      <c r="AN35">
        <v>1.0000000075778801</v>
      </c>
    </row>
    <row r="36" spans="1:40" x14ac:dyDescent="0.25">
      <c r="A36" t="str">
        <f>"20190305135756154"</f>
        <v>20190305135756154</v>
      </c>
      <c r="B36" t="str">
        <f>"1551765476148726"</f>
        <v>1551765476148726</v>
      </c>
      <c r="C36" t="s">
        <v>40</v>
      </c>
      <c r="D36">
        <v>4.343045</v>
      </c>
      <c r="E36">
        <v>0.54309859999999999</v>
      </c>
      <c r="F36" t="s">
        <v>42</v>
      </c>
      <c r="G36">
        <v>-444.25209999999998</v>
      </c>
      <c r="H36" s="1">
        <v>-3.5411810000000002E-6</v>
      </c>
      <c r="I36">
        <v>364.86040000000003</v>
      </c>
      <c r="J36">
        <v>-474.9196</v>
      </c>
      <c r="K36">
        <v>1.108279</v>
      </c>
      <c r="L36">
        <v>367.23020000000002</v>
      </c>
      <c r="M36">
        <v>0.99998039999999999</v>
      </c>
      <c r="N36">
        <v>3.287927E-3</v>
      </c>
      <c r="O36">
        <v>5.3210729999999999E-3</v>
      </c>
      <c r="P36">
        <v>0.99600999999999995</v>
      </c>
      <c r="Q36">
        <v>7.9152500000000001E-2</v>
      </c>
      <c r="R36">
        <v>4.1219279999999997E-2</v>
      </c>
      <c r="S36">
        <v>3.0305179999999998</v>
      </c>
      <c r="T36">
        <v>-0.1092273</v>
      </c>
      <c r="U36">
        <v>-0.23349</v>
      </c>
      <c r="V36">
        <v>-3.5928950000000001E-2</v>
      </c>
      <c r="W36">
        <v>7.5871750000000002E-2</v>
      </c>
      <c r="X36">
        <v>0.99647010000000003</v>
      </c>
      <c r="Y36">
        <v>8.2070669999999998E-2</v>
      </c>
      <c r="Z36">
        <v>-1.5500990000000001E-3</v>
      </c>
      <c r="AA36">
        <v>0.99662530000000005</v>
      </c>
      <c r="AB36">
        <v>9</v>
      </c>
      <c r="AC36">
        <v>30.6675</v>
      </c>
      <c r="AD36">
        <v>-1.108282541181</v>
      </c>
      <c r="AE36">
        <v>-2.3697999999999899</v>
      </c>
      <c r="AF36">
        <v>2.5296672018640698</v>
      </c>
      <c r="AG36">
        <v>-1.108282541181</v>
      </c>
      <c r="AH36">
        <v>30.6147103101592</v>
      </c>
      <c r="AI36">
        <v>92.066222545512204</v>
      </c>
      <c r="AJ36">
        <v>85.276429654011906</v>
      </c>
      <c r="AK36">
        <v>30.7390304615848</v>
      </c>
      <c r="AL36">
        <v>85.648687530458105</v>
      </c>
      <c r="AM36">
        <v>92.064974962308497</v>
      </c>
      <c r="AN36">
        <v>1.00000003604508</v>
      </c>
    </row>
    <row r="37" spans="1:40" x14ac:dyDescent="0.25">
      <c r="A37" t="str">
        <f>"20190305135756176"</f>
        <v>20190305135756176</v>
      </c>
      <c r="B37" t="str">
        <f>"1551765476169221"</f>
        <v>1551765476169221</v>
      </c>
      <c r="C37" t="s">
        <v>40</v>
      </c>
      <c r="D37">
        <v>4.3096519999999998</v>
      </c>
      <c r="E37">
        <v>0.54294869999999995</v>
      </c>
      <c r="F37" t="s">
        <v>42</v>
      </c>
      <c r="G37">
        <v>-442.78910000000002</v>
      </c>
      <c r="H37" s="1">
        <v>-4.2462509999999996E-6</v>
      </c>
      <c r="I37">
        <v>364.7842</v>
      </c>
      <c r="J37">
        <v>-474.81970000000001</v>
      </c>
      <c r="K37">
        <v>1.1082669999999999</v>
      </c>
      <c r="L37">
        <v>367.23090000000002</v>
      </c>
      <c r="M37">
        <v>0.99997879999999995</v>
      </c>
      <c r="N37">
        <v>3.3356359999999999E-3</v>
      </c>
      <c r="O37">
        <v>5.5830630000000001E-3</v>
      </c>
      <c r="P37">
        <v>0.99607650000000003</v>
      </c>
      <c r="Q37">
        <v>7.8184030000000002E-2</v>
      </c>
      <c r="R37">
        <v>4.146151E-2</v>
      </c>
      <c r="S37">
        <v>3.029846</v>
      </c>
      <c r="T37">
        <v>-0.1045089</v>
      </c>
      <c r="U37">
        <v>-0.23065189999999999</v>
      </c>
      <c r="V37">
        <v>-3.590985E-2</v>
      </c>
      <c r="W37">
        <v>7.4855160000000004E-2</v>
      </c>
      <c r="X37">
        <v>0.99654759999999998</v>
      </c>
      <c r="Y37">
        <v>8.1425319999999995E-2</v>
      </c>
      <c r="Z37">
        <v>-1.4766689999999999E-3</v>
      </c>
      <c r="AA37">
        <v>0.99667839999999996</v>
      </c>
      <c r="AB37">
        <v>9</v>
      </c>
      <c r="AC37">
        <v>32.0305999999999</v>
      </c>
      <c r="AD37">
        <v>-1.108271246251</v>
      </c>
      <c r="AE37">
        <v>-2.4467000000000199</v>
      </c>
      <c r="AF37">
        <v>2.6223704728471202</v>
      </c>
      <c r="AG37">
        <v>-1.108271246251</v>
      </c>
      <c r="AH37">
        <v>31.978378615735</v>
      </c>
      <c r="AI37">
        <v>91.978264063817306</v>
      </c>
      <c r="AJ37">
        <v>85.311978891305799</v>
      </c>
      <c r="AK37">
        <v>32.104856189421298</v>
      </c>
      <c r="AL37">
        <v>85.707099662104497</v>
      </c>
      <c r="AM37">
        <v>92.063717795536803</v>
      </c>
      <c r="AN37">
        <v>0.99999996568570304</v>
      </c>
    </row>
    <row r="38" spans="1:40" x14ac:dyDescent="0.25">
      <c r="A38" t="str">
        <f>"20190305135756199"</f>
        <v>20190305135756199</v>
      </c>
      <c r="B38" t="str">
        <f>"1551765476188743"</f>
        <v>1551765476188743</v>
      </c>
      <c r="C38" t="s">
        <v>40</v>
      </c>
      <c r="D38">
        <v>4.3253069999999996</v>
      </c>
      <c r="E38">
        <v>0.54311889999999996</v>
      </c>
      <c r="F38" t="s">
        <v>42</v>
      </c>
      <c r="G38">
        <v>-443.36329999999998</v>
      </c>
      <c r="H38" s="1">
        <v>-3.9620420000000002E-6</v>
      </c>
      <c r="I38">
        <v>364.85610000000003</v>
      </c>
      <c r="J38">
        <v>-474.71449999999999</v>
      </c>
      <c r="K38">
        <v>1.108252</v>
      </c>
      <c r="L38">
        <v>367.23180000000002</v>
      </c>
      <c r="M38">
        <v>0.99997720000000001</v>
      </c>
      <c r="N38">
        <v>3.378121E-3</v>
      </c>
      <c r="O38">
        <v>5.8536419999999896E-3</v>
      </c>
      <c r="P38">
        <v>0.99611629999999995</v>
      </c>
      <c r="Q38">
        <v>7.7441049999999997E-2</v>
      </c>
      <c r="R38">
        <v>4.1895490000000001E-2</v>
      </c>
      <c r="S38">
        <v>3.0297239999999999</v>
      </c>
      <c r="T38">
        <v>-0.1067432</v>
      </c>
      <c r="U38">
        <v>-0.22872919999999999</v>
      </c>
      <c r="V38">
        <v>-3.6074019999999998E-2</v>
      </c>
      <c r="W38">
        <v>7.4069620000000003E-2</v>
      </c>
      <c r="X38">
        <v>0.99660040000000005</v>
      </c>
      <c r="Y38">
        <v>8.1067089999999994E-2</v>
      </c>
      <c r="Z38">
        <v>-1.5140760000000001E-3</v>
      </c>
      <c r="AA38">
        <v>0.99670749999999997</v>
      </c>
      <c r="AB38">
        <v>10</v>
      </c>
      <c r="AC38">
        <v>31.351199999999999</v>
      </c>
      <c r="AD38">
        <v>-1.1082559620420001</v>
      </c>
      <c r="AE38">
        <v>-2.3756999999999899</v>
      </c>
      <c r="AF38">
        <v>2.5560032865483899</v>
      </c>
      <c r="AG38">
        <v>-1.1082559620420001</v>
      </c>
      <c r="AH38">
        <v>31.297869689733599</v>
      </c>
      <c r="AI38">
        <v>92.021269672759104</v>
      </c>
      <c r="AJ38">
        <v>85.331186430975507</v>
      </c>
      <c r="AK38">
        <v>31.421617259361302</v>
      </c>
      <c r="AL38">
        <v>85.7522332376208</v>
      </c>
      <c r="AM38">
        <v>92.073034594611102</v>
      </c>
      <c r="AN38">
        <v>1.0000000004030301</v>
      </c>
    </row>
    <row r="39" spans="1:40" x14ac:dyDescent="0.25">
      <c r="A39" t="str">
        <f>"20190305135756221"</f>
        <v>20190305135756221</v>
      </c>
      <c r="B39" t="str">
        <f>"1551765476209238"</f>
        <v>1551765476209238</v>
      </c>
      <c r="C39" t="s">
        <v>40</v>
      </c>
      <c r="D39">
        <v>4.3126569999999997</v>
      </c>
      <c r="E39">
        <v>0.5429581</v>
      </c>
      <c r="F39" t="s">
        <v>42</v>
      </c>
      <c r="G39">
        <v>-444.30619999999999</v>
      </c>
      <c r="H39" s="1">
        <v>-3.50195E-6</v>
      </c>
      <c r="I39">
        <v>364.93720000000002</v>
      </c>
      <c r="J39">
        <v>-474.61130000000003</v>
      </c>
      <c r="K39">
        <v>1.108239</v>
      </c>
      <c r="L39">
        <v>367.23270000000002</v>
      </c>
      <c r="M39">
        <v>0.99997550000000002</v>
      </c>
      <c r="N39">
        <v>3.412932E-3</v>
      </c>
      <c r="O39">
        <v>6.1139209999999996E-3</v>
      </c>
      <c r="P39">
        <v>0.99624669999999904</v>
      </c>
      <c r="Q39">
        <v>7.5484880000000004E-2</v>
      </c>
      <c r="R39">
        <v>4.2362039999999997E-2</v>
      </c>
      <c r="S39">
        <v>3.0298769999999999</v>
      </c>
      <c r="T39">
        <v>-0.1104265</v>
      </c>
      <c r="U39">
        <v>-0.2286377</v>
      </c>
      <c r="V39">
        <v>-3.6280819999999998E-2</v>
      </c>
      <c r="W39">
        <v>7.2078439999999994E-2</v>
      </c>
      <c r="X39">
        <v>0.99673889999999998</v>
      </c>
      <c r="Y39">
        <v>8.1288879999999994E-2</v>
      </c>
      <c r="Z39">
        <v>-1.5830529999999901E-3</v>
      </c>
      <c r="AA39">
        <v>0.9966893</v>
      </c>
      <c r="AB39">
        <v>10</v>
      </c>
      <c r="AC39">
        <v>30.305099999999999</v>
      </c>
      <c r="AD39">
        <v>-1.10824250195</v>
      </c>
      <c r="AE39">
        <v>-2.2955000000000001</v>
      </c>
      <c r="AF39">
        <v>2.4774468999417598</v>
      </c>
      <c r="AG39">
        <v>-1.10824250195</v>
      </c>
      <c r="AH39">
        <v>30.2502752214988</v>
      </c>
      <c r="AI39">
        <v>92.091142326423807</v>
      </c>
      <c r="AJ39">
        <v>85.318020785653104</v>
      </c>
      <c r="AK39">
        <v>30.371781237879102</v>
      </c>
      <c r="AL39">
        <v>85.866625361131895</v>
      </c>
      <c r="AM39">
        <v>92.084618684973194</v>
      </c>
      <c r="AN39">
        <v>1.0000000170929499</v>
      </c>
    </row>
    <row r="40" spans="1:40" x14ac:dyDescent="0.25">
      <c r="A40" t="str">
        <f>"20190305135756243"</f>
        <v>20190305135756243</v>
      </c>
      <c r="B40" t="str">
        <f>"1551765476239026"</f>
        <v>1551765476239026</v>
      </c>
      <c r="C40" t="s">
        <v>40</v>
      </c>
      <c r="D40">
        <v>4.4392449999999997</v>
      </c>
      <c r="E40">
        <v>0.54257959999999905</v>
      </c>
      <c r="F40" t="s">
        <v>42</v>
      </c>
      <c r="G40">
        <v>-445.61309999999997</v>
      </c>
      <c r="H40" s="1">
        <v>-2.8799090000000002E-6</v>
      </c>
      <c r="I40">
        <v>365.06479999999999</v>
      </c>
      <c r="J40">
        <v>-474.50650000000002</v>
      </c>
      <c r="K40">
        <v>1.1082540000000001</v>
      </c>
      <c r="L40">
        <v>367.23360000000002</v>
      </c>
      <c r="M40">
        <v>0.99997380000000002</v>
      </c>
      <c r="N40">
        <v>3.4430620000000002E-3</v>
      </c>
      <c r="O40">
        <v>6.3748650000000004E-3</v>
      </c>
      <c r="P40">
        <v>0.99619749999999996</v>
      </c>
      <c r="Q40">
        <v>7.6277579999999998E-2</v>
      </c>
      <c r="R40">
        <v>4.2101510000000002E-2</v>
      </c>
      <c r="S40">
        <v>3.0296940000000001</v>
      </c>
      <c r="T40">
        <v>-0.1157879</v>
      </c>
      <c r="U40">
        <v>-0.22650149999999999</v>
      </c>
      <c r="V40">
        <v>-3.576124E-2</v>
      </c>
      <c r="W40">
        <v>7.2841290000000003E-2</v>
      </c>
      <c r="X40">
        <v>0.99670219999999998</v>
      </c>
      <c r="Y40">
        <v>8.0849219999999999E-2</v>
      </c>
      <c r="Z40">
        <v>-1.667923E-3</v>
      </c>
      <c r="AA40">
        <v>0.99672499999999997</v>
      </c>
      <c r="AB40">
        <v>10</v>
      </c>
      <c r="AC40">
        <v>28.8934</v>
      </c>
      <c r="AD40">
        <v>-1.108256879909</v>
      </c>
      <c r="AE40">
        <v>-2.1688000000000298</v>
      </c>
      <c r="AF40">
        <v>2.3495112094528001</v>
      </c>
      <c r="AG40">
        <v>-1.108256879909</v>
      </c>
      <c r="AH40">
        <v>28.836798845611</v>
      </c>
      <c r="AI40">
        <v>92.193648331842894</v>
      </c>
      <c r="AJ40">
        <v>85.342049621110107</v>
      </c>
      <c r="AK40">
        <v>28.9535732492112</v>
      </c>
      <c r="AL40">
        <v>85.822801997046597</v>
      </c>
      <c r="AM40">
        <v>92.054866096426295</v>
      </c>
      <c r="AN40">
        <v>0.99999999765002001</v>
      </c>
    </row>
    <row r="41" spans="1:40" x14ac:dyDescent="0.25">
      <c r="A41" t="str">
        <f>"20190305135756266"</f>
        <v>20190305135756266</v>
      </c>
      <c r="B41" t="str">
        <f>"1551765476258547"</f>
        <v>1551765476258547</v>
      </c>
      <c r="C41" t="s">
        <v>40</v>
      </c>
      <c r="D41">
        <v>4.3221080000000001</v>
      </c>
      <c r="E41">
        <v>0.542079599999999</v>
      </c>
      <c r="F41" t="s">
        <v>42</v>
      </c>
      <c r="G41">
        <v>-446.04129999999998</v>
      </c>
      <c r="H41" s="1">
        <v>-2.6977189999999999E-6</v>
      </c>
      <c r="I41">
        <v>365.13150000000002</v>
      </c>
      <c r="J41">
        <v>-474.3981</v>
      </c>
      <c r="K41">
        <v>1.108252</v>
      </c>
      <c r="L41">
        <v>367.2346</v>
      </c>
      <c r="M41">
        <v>0.99997199999999997</v>
      </c>
      <c r="N41">
        <v>3.4695250000000002E-3</v>
      </c>
      <c r="O41">
        <v>6.6402839999999998E-3</v>
      </c>
      <c r="P41">
        <v>0.99603120000000001</v>
      </c>
      <c r="Q41">
        <v>7.8525750000000005E-2</v>
      </c>
      <c r="R41">
        <v>4.1905060000000001E-2</v>
      </c>
      <c r="S41">
        <v>3.0299070000000001</v>
      </c>
      <c r="T41">
        <v>-0.1179658</v>
      </c>
      <c r="U41">
        <v>-0.22375490000000001</v>
      </c>
      <c r="V41">
        <v>-3.5302E-2</v>
      </c>
      <c r="W41">
        <v>7.5062959999999998E-2</v>
      </c>
      <c r="X41">
        <v>0.99655369999999999</v>
      </c>
      <c r="Y41">
        <v>8.0207899999999999E-2</v>
      </c>
      <c r="Z41">
        <v>-1.7004030000000001E-3</v>
      </c>
      <c r="AA41">
        <v>0.99677669999999996</v>
      </c>
      <c r="AB41">
        <v>11</v>
      </c>
      <c r="AC41">
        <v>28.3568</v>
      </c>
      <c r="AD41">
        <v>-1.108254697719</v>
      </c>
      <c r="AE41">
        <v>-2.10309999999998</v>
      </c>
      <c r="AF41">
        <v>2.2878764772722899</v>
      </c>
      <c r="AG41">
        <v>-1.108254697719</v>
      </c>
      <c r="AH41">
        <v>28.299220592867101</v>
      </c>
      <c r="AI41">
        <v>92.235386560914307</v>
      </c>
      <c r="AJ41">
        <v>85.377922658354507</v>
      </c>
      <c r="AK41">
        <v>28.4131746451189</v>
      </c>
      <c r="AL41">
        <v>85.695160061247904</v>
      </c>
      <c r="AM41">
        <v>92.028802051682504</v>
      </c>
      <c r="AN41">
        <v>0.99999997807582497</v>
      </c>
    </row>
    <row r="42" spans="1:40" x14ac:dyDescent="0.25">
      <c r="A42" t="str">
        <f>"20190305135756289"</f>
        <v>20190305135756289</v>
      </c>
      <c r="B42" t="str">
        <f>"1551765476279042"</f>
        <v>1551765476279042</v>
      </c>
      <c r="C42" t="s">
        <v>40</v>
      </c>
      <c r="D42">
        <v>4.2934769999999904</v>
      </c>
      <c r="E42">
        <v>0.54209110000000005</v>
      </c>
      <c r="F42" t="s">
        <v>42</v>
      </c>
      <c r="G42">
        <v>-445.42599999999999</v>
      </c>
      <c r="H42" s="1">
        <v>-2.9394959999999999E-6</v>
      </c>
      <c r="I42">
        <v>365.12389999999999</v>
      </c>
      <c r="J42">
        <v>-474.27420000000001</v>
      </c>
      <c r="K42">
        <v>1.108225</v>
      </c>
      <c r="L42">
        <v>367.23570000000001</v>
      </c>
      <c r="M42">
        <v>0.99996989999999997</v>
      </c>
      <c r="N42">
        <v>3.494877E-3</v>
      </c>
      <c r="O42">
        <v>6.9383090000000001E-3</v>
      </c>
      <c r="P42">
        <v>0.99645139999999999</v>
      </c>
      <c r="Q42">
        <v>7.3438229999999993E-2</v>
      </c>
      <c r="R42">
        <v>4.1127810000000001E-2</v>
      </c>
      <c r="S42">
        <v>3.0303960000000001</v>
      </c>
      <c r="T42">
        <v>-0.1159201</v>
      </c>
      <c r="U42">
        <v>-0.22076419999999999</v>
      </c>
      <c r="V42">
        <v>-3.4224640000000001E-2</v>
      </c>
      <c r="W42">
        <v>6.9949029999999995E-2</v>
      </c>
      <c r="X42">
        <v>0.9969633</v>
      </c>
      <c r="Y42">
        <v>7.9517130000000005E-2</v>
      </c>
      <c r="Z42">
        <v>-1.6682960000000001E-3</v>
      </c>
      <c r="AA42">
        <v>0.9968321</v>
      </c>
      <c r="AB42">
        <v>11</v>
      </c>
      <c r="AC42">
        <v>28.848199999999999</v>
      </c>
      <c r="AD42">
        <v>-1.108227939496</v>
      </c>
      <c r="AE42">
        <v>-2.1118000000000099</v>
      </c>
      <c r="AF42">
        <v>2.3085193996286302</v>
      </c>
      <c r="AG42">
        <v>-1.108227939496</v>
      </c>
      <c r="AH42">
        <v>28.7905911764907</v>
      </c>
      <c r="AI42">
        <v>92.197336204531695</v>
      </c>
      <c r="AJ42">
        <v>85.415653665093501</v>
      </c>
      <c r="AK42">
        <v>28.904248325742099</v>
      </c>
      <c r="AL42">
        <v>85.9889403526591</v>
      </c>
      <c r="AM42">
        <v>91.966128213458404</v>
      </c>
      <c r="AN42">
        <v>1.0000000071639801</v>
      </c>
    </row>
    <row r="43" spans="1:40" x14ac:dyDescent="0.25">
      <c r="A43" t="str">
        <f>"20190305135756312"</f>
        <v>20190305135756312</v>
      </c>
      <c r="B43" t="str">
        <f>"1551765476298562"</f>
        <v>1551765476298562</v>
      </c>
      <c r="C43" t="s">
        <v>40</v>
      </c>
      <c r="D43">
        <v>4.4275729999999998</v>
      </c>
      <c r="E43">
        <v>0.541695699999999</v>
      </c>
      <c r="F43" t="s">
        <v>42</v>
      </c>
      <c r="G43">
        <v>-448.76830000000001</v>
      </c>
      <c r="H43" s="1">
        <v>-1.5915740000000001E-6</v>
      </c>
      <c r="I43">
        <v>365.35300000000001</v>
      </c>
      <c r="J43">
        <v>-474.1678</v>
      </c>
      <c r="K43">
        <v>1.1081970000000001</v>
      </c>
      <c r="L43">
        <v>367.23669999999998</v>
      </c>
      <c r="M43">
        <v>0.99996790000000002</v>
      </c>
      <c r="N43">
        <v>3.513338E-3</v>
      </c>
      <c r="O43">
        <v>7.1887260000000003E-3</v>
      </c>
      <c r="P43">
        <v>0.99679479999999998</v>
      </c>
      <c r="Q43">
        <v>6.8813529999999998E-2</v>
      </c>
      <c r="R43">
        <v>4.0804E-2</v>
      </c>
      <c r="S43">
        <v>3.0295719999999999</v>
      </c>
      <c r="T43">
        <v>-0.13163420000000001</v>
      </c>
      <c r="U43">
        <v>-0.22363279999999999</v>
      </c>
      <c r="V43">
        <v>-3.3648629999999999E-2</v>
      </c>
      <c r="W43">
        <v>6.5304349999999997E-2</v>
      </c>
      <c r="X43">
        <v>0.99729789999999996</v>
      </c>
      <c r="Y43">
        <v>8.0706239999999999E-2</v>
      </c>
      <c r="Z43">
        <v>-1.945106E-3</v>
      </c>
      <c r="AA43">
        <v>0.99673599999999996</v>
      </c>
      <c r="AB43">
        <v>11</v>
      </c>
      <c r="AC43">
        <v>25.3994999999999</v>
      </c>
      <c r="AD43">
        <v>-1.10819859157399</v>
      </c>
      <c r="AE43">
        <v>-1.88369999999997</v>
      </c>
      <c r="AF43">
        <v>2.0623380408694598</v>
      </c>
      <c r="AG43">
        <v>-1.10819859157399</v>
      </c>
      <c r="AH43">
        <v>25.3373328742891</v>
      </c>
      <c r="AI43">
        <v>92.496149245625801</v>
      </c>
      <c r="AJ43">
        <v>85.3466551678478</v>
      </c>
      <c r="AK43">
        <v>25.4452702775136</v>
      </c>
      <c r="AL43">
        <v>86.255671739137796</v>
      </c>
      <c r="AM43">
        <v>91.932414996869099</v>
      </c>
      <c r="AN43">
        <v>0.999999994887104</v>
      </c>
    </row>
    <row r="44" spans="1:40" x14ac:dyDescent="0.25">
      <c r="A44" t="str">
        <f>"20190305135756334"</f>
        <v>20190305135756334</v>
      </c>
      <c r="B44" t="str">
        <f>"1551765476328818"</f>
        <v>1551765476328818</v>
      </c>
      <c r="C44" t="s">
        <v>40</v>
      </c>
      <c r="D44">
        <v>4.4157970000000004</v>
      </c>
      <c r="E44">
        <v>0.54033959999999903</v>
      </c>
      <c r="F44" t="s">
        <v>42</v>
      </c>
      <c r="G44">
        <v>-451.56459999999998</v>
      </c>
      <c r="H44" s="1">
        <v>-4.3170929999999997E-6</v>
      </c>
      <c r="I44">
        <v>365.5797</v>
      </c>
      <c r="J44">
        <v>-474.04289999999997</v>
      </c>
      <c r="K44">
        <v>1.108169</v>
      </c>
      <c r="L44">
        <v>367.23790000000002</v>
      </c>
      <c r="M44">
        <v>0.99996600000000002</v>
      </c>
      <c r="N44">
        <v>3.5315979999999999E-3</v>
      </c>
      <c r="O44">
        <v>7.4740759999999996E-3</v>
      </c>
      <c r="P44">
        <v>0.99705080000000001</v>
      </c>
      <c r="Q44">
        <v>6.5231140000000007E-2</v>
      </c>
      <c r="R44">
        <v>4.0433589999999998E-2</v>
      </c>
      <c r="S44">
        <v>3.0289920000000001</v>
      </c>
      <c r="T44">
        <v>-0.14850650000000001</v>
      </c>
      <c r="U44">
        <v>-0.22204589999999999</v>
      </c>
      <c r="V44">
        <v>-3.2990899999999997E-2</v>
      </c>
      <c r="W44">
        <v>6.170291E-2</v>
      </c>
      <c r="X44">
        <v>0.99754920000000002</v>
      </c>
      <c r="Y44">
        <v>8.0463320000000005E-2</v>
      </c>
      <c r="Z44">
        <v>-2.2184169999999999E-3</v>
      </c>
      <c r="AA44">
        <v>0.9967551</v>
      </c>
      <c r="AB44">
        <v>11</v>
      </c>
      <c r="AC44">
        <v>22.478299999999901</v>
      </c>
      <c r="AD44">
        <v>-1.1081733170929999</v>
      </c>
      <c r="AE44">
        <v>-1.6582000000000201</v>
      </c>
      <c r="AF44">
        <v>1.82175548679489</v>
      </c>
      <c r="AG44">
        <v>-1.1081733170929999</v>
      </c>
      <c r="AH44">
        <v>22.411104077196601</v>
      </c>
      <c r="AI44">
        <v>92.821536473309095</v>
      </c>
      <c r="AJ44">
        <v>85.352754407616104</v>
      </c>
      <c r="AK44">
        <v>22.512317231091998</v>
      </c>
      <c r="AL44">
        <v>86.462436613654504</v>
      </c>
      <c r="AM44">
        <v>91.894192919937595</v>
      </c>
      <c r="AN44">
        <v>1.0000000275029499</v>
      </c>
    </row>
    <row r="45" spans="1:40" x14ac:dyDescent="0.25">
      <c r="A45" t="str">
        <f>"20190305135756356"</f>
        <v>20190305135756356</v>
      </c>
      <c r="B45" t="str">
        <f>"1551765476349314"</f>
        <v>1551765476349314</v>
      </c>
      <c r="C45" t="s">
        <v>40</v>
      </c>
      <c r="D45">
        <v>4.4279219999999997</v>
      </c>
      <c r="E45">
        <v>0.5395778</v>
      </c>
      <c r="F45" t="s">
        <v>42</v>
      </c>
      <c r="G45">
        <v>-454.00110000000001</v>
      </c>
      <c r="H45" s="1">
        <v>-3.226895E-6</v>
      </c>
      <c r="I45">
        <v>365.8331</v>
      </c>
      <c r="J45">
        <v>-473.92430000000002</v>
      </c>
      <c r="K45">
        <v>1.108139</v>
      </c>
      <c r="L45">
        <v>367.23899999999998</v>
      </c>
      <c r="M45">
        <v>0.99996390000000002</v>
      </c>
      <c r="N45">
        <v>3.5459860000000001E-3</v>
      </c>
      <c r="O45">
        <v>7.7347010000000001E-3</v>
      </c>
      <c r="P45">
        <v>0.99734730000000005</v>
      </c>
      <c r="Q45">
        <v>6.1261919999999997E-2</v>
      </c>
      <c r="R45">
        <v>3.9318029999999997E-2</v>
      </c>
      <c r="S45">
        <v>3.0284420000000001</v>
      </c>
      <c r="T45">
        <v>-0.16745090000000001</v>
      </c>
      <c r="U45">
        <v>-0.21224979999999999</v>
      </c>
      <c r="V45">
        <v>-3.1612319999999999E-2</v>
      </c>
      <c r="W45">
        <v>5.7718440000000003E-2</v>
      </c>
      <c r="X45">
        <v>0.99783230000000001</v>
      </c>
      <c r="Y45">
        <v>7.7504169999999997E-2</v>
      </c>
      <c r="Z45">
        <v>-2.4549960000000001E-3</v>
      </c>
      <c r="AA45">
        <v>0.99698900000000001</v>
      </c>
      <c r="AB45">
        <v>12</v>
      </c>
      <c r="AC45">
        <v>19.923200000000001</v>
      </c>
      <c r="AD45">
        <v>-1.1081422268950001</v>
      </c>
      <c r="AE45">
        <v>-1.4059000000000299</v>
      </c>
      <c r="AF45">
        <v>1.5551715569052</v>
      </c>
      <c r="AG45">
        <v>-1.1081422268950001</v>
      </c>
      <c r="AH45">
        <v>19.8506229148479</v>
      </c>
      <c r="AI45">
        <v>93.185425823602699</v>
      </c>
      <c r="AJ45">
        <v>85.520385689391702</v>
      </c>
      <c r="AK45">
        <v>19.942260851616599</v>
      </c>
      <c r="AL45">
        <v>86.691138143033598</v>
      </c>
      <c r="AM45">
        <v>91.814580371226995</v>
      </c>
      <c r="AN45">
        <v>1.0000000280075501</v>
      </c>
    </row>
    <row r="46" spans="1:40" x14ac:dyDescent="0.25">
      <c r="A46" t="str">
        <f>"20190305135756376"</f>
        <v>20190305135756376</v>
      </c>
      <c r="B46" t="str">
        <f>"1551765476368834"</f>
        <v>1551765476368834</v>
      </c>
      <c r="C46" t="s">
        <v>40</v>
      </c>
      <c r="D46">
        <v>4.3674989999999996</v>
      </c>
      <c r="E46">
        <v>0.53904659999999904</v>
      </c>
      <c r="F46" t="s">
        <v>41</v>
      </c>
      <c r="G46">
        <v>-473.17320000000001</v>
      </c>
      <c r="H46">
        <v>1.0610999999999999</v>
      </c>
      <c r="I46">
        <v>367.18669999999997</v>
      </c>
      <c r="J46">
        <v>-473.80630000000002</v>
      </c>
      <c r="K46">
        <v>1.1081179999999999</v>
      </c>
      <c r="L46">
        <v>367.24020000000002</v>
      </c>
      <c r="M46">
        <v>0.99996189999999996</v>
      </c>
      <c r="N46">
        <v>3.5580260000000002E-3</v>
      </c>
      <c r="O46">
        <v>7.9823450000000001E-3</v>
      </c>
      <c r="P46">
        <v>0.9975598</v>
      </c>
      <c r="Q46">
        <v>5.8168119999999997E-2</v>
      </c>
      <c r="R46">
        <v>3.8610180000000001E-2</v>
      </c>
      <c r="S46">
        <v>3.027863</v>
      </c>
      <c r="T46">
        <v>-0.18955279999999999</v>
      </c>
      <c r="U46">
        <v>-0.2103882</v>
      </c>
      <c r="V46">
        <v>-3.065464E-2</v>
      </c>
      <c r="W46">
        <v>5.4612460000000002E-2</v>
      </c>
      <c r="X46">
        <v>0.99803699999999995</v>
      </c>
      <c r="Y46">
        <v>7.7118870000000006E-2</v>
      </c>
      <c r="Z46">
        <v>-2.7981830000000001E-3</v>
      </c>
      <c r="AA46">
        <v>0.99701799999999996</v>
      </c>
      <c r="AB46">
        <v>12</v>
      </c>
      <c r="AC46">
        <v>0.63310000000001299</v>
      </c>
      <c r="AD46">
        <v>-4.7017999999999997E-2</v>
      </c>
      <c r="AE46">
        <v>-5.3500000000042201E-2</v>
      </c>
      <c r="AF46">
        <v>5.8233043530199702E-2</v>
      </c>
      <c r="AG46">
        <v>-4.7017999999999997E-2</v>
      </c>
      <c r="AH46">
        <v>0.62920699642689804</v>
      </c>
      <c r="AI46">
        <v>94.255411990839505</v>
      </c>
      <c r="AJ46">
        <v>84.7123442128254</v>
      </c>
      <c r="AK46">
        <v>0.63364282055062204</v>
      </c>
      <c r="AL46">
        <v>86.8693791528313</v>
      </c>
      <c r="AM46">
        <v>91.759282951747494</v>
      </c>
      <c r="AN46">
        <v>1.0000000405548799</v>
      </c>
    </row>
    <row r="47" spans="1:40" x14ac:dyDescent="0.25">
      <c r="A47" t="str">
        <f>"20190305135756399"</f>
        <v>20190305135756399</v>
      </c>
      <c r="B47" t="str">
        <f>"1551765476389345"</f>
        <v>1551765476389345</v>
      </c>
      <c r="C47" t="s">
        <v>40</v>
      </c>
      <c r="D47">
        <v>4.3570589999999996</v>
      </c>
      <c r="E47">
        <v>0.53865509999999905</v>
      </c>
      <c r="F47" t="s">
        <v>41</v>
      </c>
      <c r="G47">
        <v>-473.06360000000001</v>
      </c>
      <c r="H47">
        <v>1.0588789999999999</v>
      </c>
      <c r="I47">
        <v>367.18880000000001</v>
      </c>
      <c r="J47">
        <v>-473.68150000000003</v>
      </c>
      <c r="K47">
        <v>1.1081030000000001</v>
      </c>
      <c r="L47">
        <v>367.24149999999997</v>
      </c>
      <c r="M47">
        <v>0.99995990000000001</v>
      </c>
      <c r="N47">
        <v>3.5687779999999999E-3</v>
      </c>
      <c r="O47">
        <v>8.2281530000000002E-3</v>
      </c>
      <c r="P47">
        <v>0.99765219999999999</v>
      </c>
      <c r="Q47">
        <v>5.7214679999999997E-2</v>
      </c>
      <c r="R47">
        <v>3.763992E-2</v>
      </c>
      <c r="S47">
        <v>3.0270999999999999</v>
      </c>
      <c r="T47">
        <v>-0.2009504</v>
      </c>
      <c r="U47">
        <v>-0.20849609999999999</v>
      </c>
      <c r="V47">
        <v>-2.9437850000000002E-2</v>
      </c>
      <c r="W47">
        <v>5.3648759999999997E-2</v>
      </c>
      <c r="X47">
        <v>0.99812590000000001</v>
      </c>
      <c r="Y47">
        <v>7.6741089999999998E-2</v>
      </c>
      <c r="Z47">
        <v>-2.978442E-3</v>
      </c>
      <c r="AA47">
        <v>0.99704660000000001</v>
      </c>
      <c r="AB47">
        <v>12</v>
      </c>
      <c r="AC47">
        <v>0.61790000000001999</v>
      </c>
      <c r="AD47">
        <v>-4.92239999999999E-2</v>
      </c>
      <c r="AE47">
        <v>-5.2699999999958801E-2</v>
      </c>
      <c r="AF47">
        <v>5.7420649114389197E-2</v>
      </c>
      <c r="AG47">
        <v>-4.92239999999999E-2</v>
      </c>
      <c r="AH47">
        <v>0.61357964503292795</v>
      </c>
      <c r="AI47">
        <v>94.566821905690702</v>
      </c>
      <c r="AJ47">
        <v>84.653657802806194</v>
      </c>
      <c r="AK47">
        <v>0.61822335277749896</v>
      </c>
      <c r="AL47">
        <v>86.924676180125303</v>
      </c>
      <c r="AM47">
        <v>91.689341768234598</v>
      </c>
      <c r="AN47">
        <v>1.00000004435648</v>
      </c>
    </row>
    <row r="48" spans="1:40" x14ac:dyDescent="0.25">
      <c r="A48" t="str">
        <f>"20190305135756421"</f>
        <v>20190305135756421</v>
      </c>
      <c r="B48" t="str">
        <f>"1551765476408850"</f>
        <v>1551765476408850</v>
      </c>
      <c r="C48" t="s">
        <v>40</v>
      </c>
      <c r="D48">
        <v>4.3425390000000004</v>
      </c>
      <c r="E48">
        <v>0.53826790000000002</v>
      </c>
      <c r="F48" t="s">
        <v>41</v>
      </c>
      <c r="G48">
        <v>-472.83940000000001</v>
      </c>
      <c r="H48">
        <v>1.0507789999999999</v>
      </c>
      <c r="I48">
        <v>367.18329999999997</v>
      </c>
      <c r="J48">
        <v>-473.55360000000002</v>
      </c>
      <c r="K48">
        <v>1.1080989999999999</v>
      </c>
      <c r="L48">
        <v>367.24279999999999</v>
      </c>
      <c r="M48">
        <v>0.99995789999999996</v>
      </c>
      <c r="N48">
        <v>3.5792380000000002E-3</v>
      </c>
      <c r="O48">
        <v>8.4593680000000001E-3</v>
      </c>
      <c r="P48">
        <v>0.99765320000000002</v>
      </c>
      <c r="Q48">
        <v>5.7046949999999999E-2</v>
      </c>
      <c r="R48">
        <v>3.7865219999999998E-2</v>
      </c>
      <c r="S48">
        <v>3.026764</v>
      </c>
      <c r="T48">
        <v>-0.20611499999999999</v>
      </c>
      <c r="U48">
        <v>-0.20858760000000001</v>
      </c>
      <c r="V48">
        <v>-2.9431470000000001E-2</v>
      </c>
      <c r="W48">
        <v>5.347068E-2</v>
      </c>
      <c r="X48">
        <v>0.99813560000000001</v>
      </c>
      <c r="Y48">
        <v>7.6998579999999997E-2</v>
      </c>
      <c r="Z48">
        <v>-3.0824260000000001E-3</v>
      </c>
      <c r="AA48">
        <v>0.99702639999999998</v>
      </c>
      <c r="AB48">
        <v>13</v>
      </c>
      <c r="AC48">
        <v>0.71420000000000505</v>
      </c>
      <c r="AD48">
        <v>-5.7319999999999802E-2</v>
      </c>
      <c r="AE48">
        <v>-5.9500000000014097E-2</v>
      </c>
      <c r="AF48">
        <v>6.5123005141055804E-2</v>
      </c>
      <c r="AG48">
        <v>-5.7319999999999802E-2</v>
      </c>
      <c r="AH48">
        <v>0.70913485205805604</v>
      </c>
      <c r="AI48">
        <v>94.601940830108802</v>
      </c>
      <c r="AJ48">
        <v>84.752991225287104</v>
      </c>
      <c r="AK48">
        <v>0.71442202275825994</v>
      </c>
      <c r="AL48">
        <v>86.934893943878706</v>
      </c>
      <c r="AM48">
        <v>91.688959448862903</v>
      </c>
      <c r="AN48">
        <v>1.00000000051669</v>
      </c>
    </row>
    <row r="49" spans="1:40" x14ac:dyDescent="0.25">
      <c r="A49" t="str">
        <f>"20190305135756442"</f>
        <v>20190305135756442</v>
      </c>
      <c r="B49" t="str">
        <f>"1551765476438637"</f>
        <v>1551765476438637</v>
      </c>
      <c r="C49" t="s">
        <v>40</v>
      </c>
      <c r="D49">
        <v>4.3179270000000001</v>
      </c>
      <c r="E49">
        <v>0.53798630000000003</v>
      </c>
      <c r="F49" t="s">
        <v>41</v>
      </c>
      <c r="G49">
        <v>-472.7208</v>
      </c>
      <c r="H49">
        <v>1.0512570000000001</v>
      </c>
      <c r="I49">
        <v>367.18619999999999</v>
      </c>
      <c r="J49">
        <v>-473.4271</v>
      </c>
      <c r="K49">
        <v>1.1080920000000001</v>
      </c>
      <c r="L49">
        <v>367.2441</v>
      </c>
      <c r="M49">
        <v>0.99995610000000001</v>
      </c>
      <c r="N49">
        <v>3.6002030000000002E-3</v>
      </c>
      <c r="O49">
        <v>8.6686929999999999E-3</v>
      </c>
      <c r="P49">
        <v>0.99748320000000001</v>
      </c>
      <c r="Q49">
        <v>5.8855020000000001E-2</v>
      </c>
      <c r="R49">
        <v>3.9546390000000001E-2</v>
      </c>
      <c r="S49">
        <v>3.0266109999999999</v>
      </c>
      <c r="T49">
        <v>-0.20671510000000001</v>
      </c>
      <c r="U49">
        <v>-0.2045593</v>
      </c>
      <c r="V49">
        <v>-3.0904330000000001E-2</v>
      </c>
      <c r="W49">
        <v>5.5258549999999997E-2</v>
      </c>
      <c r="X49">
        <v>0.99799369999999998</v>
      </c>
      <c r="Y49">
        <v>7.5890600000000003E-2</v>
      </c>
      <c r="Z49">
        <v>-3.0706380000000001E-3</v>
      </c>
      <c r="AA49">
        <v>0.99711139999999998</v>
      </c>
      <c r="AB49">
        <v>13</v>
      </c>
      <c r="AC49">
        <v>0.70629999999999804</v>
      </c>
      <c r="AD49">
        <v>-5.6835000000000101E-2</v>
      </c>
      <c r="AE49">
        <v>-5.7900000000017798E-2</v>
      </c>
      <c r="AF49">
        <v>6.3611413825806998E-2</v>
      </c>
      <c r="AG49">
        <v>-5.6835000000000101E-2</v>
      </c>
      <c r="AH49">
        <v>0.70126104509259501</v>
      </c>
      <c r="AI49">
        <v>94.614650873096906</v>
      </c>
      <c r="AJ49">
        <v>84.816882884106803</v>
      </c>
      <c r="AK49">
        <v>0.70643023898915602</v>
      </c>
      <c r="AL49">
        <v>86.832304825487498</v>
      </c>
      <c r="AM49">
        <v>91.773680554886894</v>
      </c>
      <c r="AN49">
        <v>1.00000000510027</v>
      </c>
    </row>
    <row r="50" spans="1:40" x14ac:dyDescent="0.25">
      <c r="A50" t="str">
        <f>"20190305135756464"</f>
        <v>20190305135756464</v>
      </c>
      <c r="B50" t="str">
        <f>"1551765476459134"</f>
        <v>1551765476459134</v>
      </c>
      <c r="C50" t="s">
        <v>40</v>
      </c>
      <c r="D50">
        <v>4.2740629999999999</v>
      </c>
      <c r="E50">
        <v>0.53784860000000001</v>
      </c>
      <c r="F50" t="s">
        <v>41</v>
      </c>
      <c r="G50">
        <v>-472.59899999999999</v>
      </c>
      <c r="H50">
        <v>1.053315</v>
      </c>
      <c r="I50">
        <v>367.18959999999998</v>
      </c>
      <c r="J50">
        <v>-473.28859999999997</v>
      </c>
      <c r="K50">
        <v>1.108077</v>
      </c>
      <c r="L50">
        <v>367.24560000000002</v>
      </c>
      <c r="M50">
        <v>0.99995409999999996</v>
      </c>
      <c r="N50">
        <v>3.6464309999999999E-3</v>
      </c>
      <c r="O50">
        <v>8.8695790000000007E-3</v>
      </c>
      <c r="P50">
        <v>0.9972647</v>
      </c>
      <c r="Q50">
        <v>6.0466069999999997E-2</v>
      </c>
      <c r="R50">
        <v>4.2515190000000001E-2</v>
      </c>
      <c r="S50">
        <v>3.0272519999999998</v>
      </c>
      <c r="T50">
        <v>-0.20053080000000001</v>
      </c>
      <c r="U50">
        <v>-0.1976929</v>
      </c>
      <c r="V50">
        <v>-3.3673250000000002E-2</v>
      </c>
      <c r="W50">
        <v>5.6824880000000001E-2</v>
      </c>
      <c r="X50">
        <v>0.99781609999999998</v>
      </c>
      <c r="Y50">
        <v>7.3840009999999998E-2</v>
      </c>
      <c r="Z50">
        <v>-2.9240500000000001E-3</v>
      </c>
      <c r="AA50">
        <v>0.99726579999999998</v>
      </c>
      <c r="AB50">
        <v>13</v>
      </c>
      <c r="AC50">
        <v>0.689599999999984</v>
      </c>
      <c r="AD50">
        <v>-5.4761999999999901E-2</v>
      </c>
      <c r="AE50">
        <v>-5.6000000000039997E-2</v>
      </c>
      <c r="AF50">
        <v>6.1727585953376199E-2</v>
      </c>
      <c r="AG50">
        <v>-5.4761999999999901E-2</v>
      </c>
      <c r="AH50">
        <v>0.68478610316835697</v>
      </c>
      <c r="AI50">
        <v>94.5537993257511</v>
      </c>
      <c r="AJ50">
        <v>84.849198359505806</v>
      </c>
      <c r="AK50">
        <v>0.68973993548593004</v>
      </c>
      <c r="AL50">
        <v>86.742419316745</v>
      </c>
      <c r="AM50">
        <v>91.932824290490004</v>
      </c>
      <c r="AN50">
        <v>0.99999996208589204</v>
      </c>
    </row>
    <row r="51" spans="1:40" x14ac:dyDescent="0.25">
      <c r="A51" t="str">
        <f>"20190305135756488"</f>
        <v>20190305135756488</v>
      </c>
      <c r="B51" t="str">
        <f>"1551765476478657"</f>
        <v>1551765476478657</v>
      </c>
      <c r="C51" t="s">
        <v>40</v>
      </c>
      <c r="D51">
        <v>4.3099489999999996</v>
      </c>
      <c r="E51">
        <v>0.53767310000000001</v>
      </c>
      <c r="F51" t="s">
        <v>41</v>
      </c>
      <c r="G51">
        <v>-472.4744</v>
      </c>
      <c r="H51">
        <v>1.0556730000000001</v>
      </c>
      <c r="I51">
        <v>367.19470000000001</v>
      </c>
      <c r="J51">
        <v>-473.14409999999998</v>
      </c>
      <c r="K51">
        <v>1.108047</v>
      </c>
      <c r="L51">
        <v>367.24709999999999</v>
      </c>
      <c r="M51">
        <v>0.99995219999999996</v>
      </c>
      <c r="N51">
        <v>3.724645E-3</v>
      </c>
      <c r="O51">
        <v>9.0430030000000008E-3</v>
      </c>
      <c r="P51">
        <v>0.99706760000000005</v>
      </c>
      <c r="Q51">
        <v>6.1423119999999998E-2</v>
      </c>
      <c r="R51">
        <v>4.564439E-2</v>
      </c>
      <c r="S51">
        <v>3.0281069999999999</v>
      </c>
      <c r="T51">
        <v>-0.19496559999999999</v>
      </c>
      <c r="U51">
        <v>-0.18795780000000001</v>
      </c>
      <c r="V51">
        <v>-3.6629750000000003E-2</v>
      </c>
      <c r="W51">
        <v>5.7705109999999997E-2</v>
      </c>
      <c r="X51">
        <v>0.99766149999999998</v>
      </c>
      <c r="Y51">
        <v>7.0816509999999999E-2</v>
      </c>
      <c r="Z51">
        <v>-2.7578149999999998E-3</v>
      </c>
      <c r="AA51">
        <v>0.99748550000000002</v>
      </c>
      <c r="AB51">
        <v>14</v>
      </c>
      <c r="AC51">
        <v>0.66969999999997698</v>
      </c>
      <c r="AD51">
        <v>-5.2374000000000101E-2</v>
      </c>
      <c r="AE51">
        <v>-5.2399999999977298E-2</v>
      </c>
      <c r="AF51">
        <v>5.8100813236522497E-2</v>
      </c>
      <c r="AG51">
        <v>-5.2374000000000101E-2</v>
      </c>
      <c r="AH51">
        <v>0.66515539141723001</v>
      </c>
      <c r="AI51">
        <v>94.485143820642904</v>
      </c>
      <c r="AJ51">
        <v>85.007928195362993</v>
      </c>
      <c r="AK51">
        <v>0.66973907987077597</v>
      </c>
      <c r="AL51">
        <v>86.691903221956295</v>
      </c>
      <c r="AM51">
        <v>92.102704962652197</v>
      </c>
      <c r="AN51">
        <v>1.00000004344371</v>
      </c>
    </row>
    <row r="52" spans="1:40" x14ac:dyDescent="0.25">
      <c r="A52" t="str">
        <f>"20190305135756510"</f>
        <v>20190305135756510</v>
      </c>
      <c r="B52" t="str">
        <f>"1551765476499152"</f>
        <v>1551765476499152</v>
      </c>
      <c r="C52" t="s">
        <v>40</v>
      </c>
      <c r="D52">
        <v>4.2961830000000001</v>
      </c>
      <c r="E52">
        <v>0.53755240000000004</v>
      </c>
      <c r="F52" t="s">
        <v>41</v>
      </c>
      <c r="G52">
        <v>-472.3467</v>
      </c>
      <c r="H52">
        <v>1.057739</v>
      </c>
      <c r="I52">
        <v>367.2</v>
      </c>
      <c r="J52">
        <v>-473.00439999999998</v>
      </c>
      <c r="K52">
        <v>1.1080080000000001</v>
      </c>
      <c r="L52">
        <v>367.24849999999998</v>
      </c>
      <c r="M52">
        <v>0.99995080000000003</v>
      </c>
      <c r="N52">
        <v>3.823164E-3</v>
      </c>
      <c r="O52">
        <v>9.1707430000000003E-3</v>
      </c>
      <c r="P52">
        <v>0.99688600000000005</v>
      </c>
      <c r="Q52">
        <v>6.1621339999999997E-2</v>
      </c>
      <c r="R52">
        <v>4.9206699999999902E-2</v>
      </c>
      <c r="S52">
        <v>3.0286870000000001</v>
      </c>
      <c r="T52">
        <v>-0.19139339999999999</v>
      </c>
      <c r="U52">
        <v>-0.177124</v>
      </c>
      <c r="V52">
        <v>-4.0063519999999998E-2</v>
      </c>
      <c r="W52">
        <v>5.7807450000000003E-2</v>
      </c>
      <c r="X52">
        <v>0.99752350000000001</v>
      </c>
      <c r="Y52">
        <v>6.7388740000000003E-2</v>
      </c>
      <c r="Z52">
        <v>-2.6097719999999998E-3</v>
      </c>
      <c r="AA52">
        <v>0.99772340000000004</v>
      </c>
      <c r="AB52">
        <v>14</v>
      </c>
      <c r="AC52">
        <v>0.65769999999997697</v>
      </c>
      <c r="AD52">
        <v>-5.0268999999999897E-2</v>
      </c>
      <c r="AE52">
        <v>-4.8499999999990002E-2</v>
      </c>
      <c r="AF52">
        <v>5.4214604621758603E-2</v>
      </c>
      <c r="AG52">
        <v>-5.0268999999999897E-2</v>
      </c>
      <c r="AH52">
        <v>0.65343100603830895</v>
      </c>
      <c r="AI52">
        <v>94.384142825627805</v>
      </c>
      <c r="AJ52">
        <v>85.257082113562603</v>
      </c>
      <c r="AK52">
        <v>0.65760039185475705</v>
      </c>
      <c r="AL52">
        <v>86.686029490750997</v>
      </c>
      <c r="AM52">
        <v>92.299933338569801</v>
      </c>
      <c r="AN52">
        <v>0.99999995998127</v>
      </c>
    </row>
    <row r="53" spans="1:40" x14ac:dyDescent="0.25">
      <c r="A53" t="str">
        <f>"20190305135756534"</f>
        <v>20190305135756534</v>
      </c>
      <c r="B53" t="str">
        <f>"1551765476519142"</f>
        <v>1551765476519142</v>
      </c>
      <c r="C53" t="s">
        <v>40</v>
      </c>
      <c r="D53">
        <v>4.2658860000000001</v>
      </c>
      <c r="E53">
        <v>0.53746519999999898</v>
      </c>
      <c r="F53" t="s">
        <v>41</v>
      </c>
      <c r="G53">
        <v>-472.21769999999998</v>
      </c>
      <c r="H53">
        <v>1.0586420000000001</v>
      </c>
      <c r="I53">
        <v>367.2054</v>
      </c>
      <c r="J53">
        <v>-472.85180000000003</v>
      </c>
      <c r="K53">
        <v>1.107958</v>
      </c>
      <c r="L53">
        <v>367.25009999999997</v>
      </c>
      <c r="M53">
        <v>0.99994950000000005</v>
      </c>
      <c r="N53">
        <v>3.9347740000000003E-3</v>
      </c>
      <c r="O53">
        <v>9.2580660000000006E-3</v>
      </c>
      <c r="P53">
        <v>0.99674549999999995</v>
      </c>
      <c r="Q53">
        <v>6.133595E-2</v>
      </c>
      <c r="R53">
        <v>5.2312709999999998E-2</v>
      </c>
      <c r="S53">
        <v>3.0292970000000001</v>
      </c>
      <c r="T53">
        <v>-0.19007479999999999</v>
      </c>
      <c r="U53">
        <v>-0.16571040000000001</v>
      </c>
      <c r="V53">
        <v>-4.3080449999999999E-2</v>
      </c>
      <c r="W53">
        <v>5.7413279999999997E-2</v>
      </c>
      <c r="X53">
        <v>0.99742050000000004</v>
      </c>
      <c r="Y53">
        <v>6.3725329999999997E-2</v>
      </c>
      <c r="Z53">
        <v>-2.4864969999999998E-3</v>
      </c>
      <c r="AA53">
        <v>0.99796439999999997</v>
      </c>
      <c r="AB53">
        <v>14</v>
      </c>
      <c r="AC53">
        <v>0.63410000000004596</v>
      </c>
      <c r="AD53">
        <v>-4.9315999999999902E-2</v>
      </c>
      <c r="AE53">
        <v>-4.4699999999977501E-2</v>
      </c>
      <c r="AF53">
        <v>5.0266128788437101E-2</v>
      </c>
      <c r="AG53">
        <v>-4.9315999999999902E-2</v>
      </c>
      <c r="AH53">
        <v>0.62986795833548204</v>
      </c>
      <c r="AI53">
        <v>94.462753405140205</v>
      </c>
      <c r="AJ53">
        <v>85.437224253198096</v>
      </c>
      <c r="AK53">
        <v>0.63379207670740501</v>
      </c>
      <c r="AL53">
        <v>86.708651248188204</v>
      </c>
      <c r="AM53">
        <v>92.473174314349095</v>
      </c>
      <c r="AN53">
        <v>0.99999993185640301</v>
      </c>
    </row>
    <row r="54" spans="1:40" x14ac:dyDescent="0.25">
      <c r="A54" t="str">
        <f>"20190305135756556"</f>
        <v>20190305135756556</v>
      </c>
      <c r="B54" t="str">
        <f>"1551765476548422"</f>
        <v>1551765476548422</v>
      </c>
      <c r="C54" t="s">
        <v>40</v>
      </c>
      <c r="D54">
        <v>4.2142080000000002</v>
      </c>
      <c r="E54">
        <v>0.53764089999999998</v>
      </c>
      <c r="F54" t="s">
        <v>41</v>
      </c>
      <c r="G54">
        <v>-472.08580000000001</v>
      </c>
      <c r="H54">
        <v>1.0598559999999999</v>
      </c>
      <c r="I54">
        <v>367.21030000000002</v>
      </c>
      <c r="J54">
        <v>-472.70729999999998</v>
      </c>
      <c r="K54">
        <v>1.107917</v>
      </c>
      <c r="L54">
        <v>367.25150000000002</v>
      </c>
      <c r="M54">
        <v>0.99994890000000003</v>
      </c>
      <c r="N54">
        <v>4.0145470000000003E-3</v>
      </c>
      <c r="O54">
        <v>9.2838899999999995E-3</v>
      </c>
      <c r="P54">
        <v>0.99668060000000003</v>
      </c>
      <c r="Q54">
        <v>6.0006909999999997E-2</v>
      </c>
      <c r="R54">
        <v>5.5017690000000001E-2</v>
      </c>
      <c r="S54">
        <v>3.0296630000000002</v>
      </c>
      <c r="T54">
        <v>-0.1905258</v>
      </c>
      <c r="U54">
        <v>-0.15563959999999999</v>
      </c>
      <c r="V54">
        <v>-4.5756869999999998E-2</v>
      </c>
      <c r="W54">
        <v>5.600745E-2</v>
      </c>
      <c r="X54">
        <v>0.99738130000000003</v>
      </c>
      <c r="Y54">
        <v>6.0441639999999998E-2</v>
      </c>
      <c r="Z54">
        <v>-2.3959620000000002E-3</v>
      </c>
      <c r="AA54">
        <v>0.99816890000000003</v>
      </c>
      <c r="AB54">
        <v>14</v>
      </c>
      <c r="AC54">
        <v>0.62149999999996897</v>
      </c>
      <c r="AD54">
        <v>-4.8061000000000097E-2</v>
      </c>
      <c r="AE54">
        <v>-4.1200000000003401E-2</v>
      </c>
      <c r="AF54">
        <v>4.6690220936814998E-2</v>
      </c>
      <c r="AG54">
        <v>-4.8061000000000097E-2</v>
      </c>
      <c r="AH54">
        <v>0.61741471192657804</v>
      </c>
      <c r="AI54">
        <v>94.438439063792401</v>
      </c>
      <c r="AJ54">
        <v>85.675401789354495</v>
      </c>
      <c r="AK54">
        <v>0.62104006549940705</v>
      </c>
      <c r="AL54">
        <v>86.789329415441998</v>
      </c>
      <c r="AM54">
        <v>92.626717158087999</v>
      </c>
      <c r="AN54">
        <v>0.99999999159869402</v>
      </c>
    </row>
    <row r="55" spans="1:40" x14ac:dyDescent="0.25">
      <c r="A55" t="str">
        <f>"20190305135756576"</f>
        <v>20190305135756576</v>
      </c>
      <c r="B55" t="str">
        <f>"1551765476568918"</f>
        <v>1551765476568918</v>
      </c>
      <c r="C55" t="s">
        <v>40</v>
      </c>
      <c r="D55">
        <v>4.17523</v>
      </c>
      <c r="E55">
        <v>0.53772279999999995</v>
      </c>
      <c r="F55" t="s">
        <v>41</v>
      </c>
      <c r="G55">
        <v>-471.9529</v>
      </c>
      <c r="H55">
        <v>1.0596429999999999</v>
      </c>
      <c r="I55">
        <v>367.21440000000001</v>
      </c>
      <c r="J55">
        <v>-472.56189999999998</v>
      </c>
      <c r="K55">
        <v>1.107888</v>
      </c>
      <c r="L55">
        <v>367.25290000000001</v>
      </c>
      <c r="M55">
        <v>0.99994899999999998</v>
      </c>
      <c r="N55">
        <v>4.0522989999999997E-3</v>
      </c>
      <c r="O55">
        <v>9.2580639999999999E-3</v>
      </c>
      <c r="P55">
        <v>0.99663599999999997</v>
      </c>
      <c r="Q55">
        <v>5.9062370000000003E-2</v>
      </c>
      <c r="R55">
        <v>5.6820059999999999E-2</v>
      </c>
      <c r="S55">
        <v>3.029846</v>
      </c>
      <c r="T55">
        <v>-0.19384219999999999</v>
      </c>
      <c r="U55">
        <v>-0.14904790000000001</v>
      </c>
      <c r="V55">
        <v>-4.7582310000000003E-2</v>
      </c>
      <c r="W55">
        <v>5.5028109999999998E-2</v>
      </c>
      <c r="X55">
        <v>0.99735039999999997</v>
      </c>
      <c r="Y55">
        <v>5.8246039999999999E-2</v>
      </c>
      <c r="Z55">
        <v>-2.3708219999999999E-3</v>
      </c>
      <c r="AA55">
        <v>0.99829939999999995</v>
      </c>
      <c r="AB55">
        <v>15</v>
      </c>
      <c r="AC55">
        <v>0.60899999999998</v>
      </c>
      <c r="AD55">
        <v>-4.8244999999999802E-2</v>
      </c>
      <c r="AE55">
        <v>-3.8499999999999E-2</v>
      </c>
      <c r="AF55">
        <v>4.3862380513053197E-2</v>
      </c>
      <c r="AG55">
        <v>-4.8244999999999802E-2</v>
      </c>
      <c r="AH55">
        <v>0.60483672879474104</v>
      </c>
      <c r="AI55">
        <v>94.548665951768896</v>
      </c>
      <c r="AJ55">
        <v>85.852206971976202</v>
      </c>
      <c r="AK55">
        <v>0.608341151779489</v>
      </c>
      <c r="AL55">
        <v>86.845528152205802</v>
      </c>
      <c r="AM55">
        <v>92.731437141014794</v>
      </c>
      <c r="AN55">
        <v>0.99999999474763401</v>
      </c>
    </row>
    <row r="56" spans="1:40" x14ac:dyDescent="0.25">
      <c r="A56" t="str">
        <f>"20190305135756600"</f>
        <v>20190305135756600</v>
      </c>
      <c r="B56" t="str">
        <f>"1551765476588438"</f>
        <v>1551765476588438</v>
      </c>
      <c r="C56" t="s">
        <v>40</v>
      </c>
      <c r="D56">
        <v>4.2729889999999999</v>
      </c>
      <c r="E56">
        <v>0.53775539999999999</v>
      </c>
      <c r="F56" t="s">
        <v>41</v>
      </c>
      <c r="G56">
        <v>-471.81729999999999</v>
      </c>
      <c r="H56">
        <v>1.0597099999999999</v>
      </c>
      <c r="I56">
        <v>367.21690000000001</v>
      </c>
      <c r="J56">
        <v>-472.40559999999999</v>
      </c>
      <c r="K56">
        <v>1.1078669999999999</v>
      </c>
      <c r="L56">
        <v>367.25439999999998</v>
      </c>
      <c r="M56">
        <v>0.99994970000000005</v>
      </c>
      <c r="N56">
        <v>4.0490400000000003E-3</v>
      </c>
      <c r="O56">
        <v>9.1871910000000008E-3</v>
      </c>
      <c r="P56">
        <v>0.99657879999999999</v>
      </c>
      <c r="Q56">
        <v>5.8247130000000001E-2</v>
      </c>
      <c r="R56">
        <v>5.8637750000000002E-2</v>
      </c>
      <c r="S56">
        <v>3.0300289999999999</v>
      </c>
      <c r="T56">
        <v>-0.19633390000000001</v>
      </c>
      <c r="U56">
        <v>-0.14465329999999901</v>
      </c>
      <c r="V56">
        <v>-4.9468159999999997E-2</v>
      </c>
      <c r="W56">
        <v>5.4220129999999998E-2</v>
      </c>
      <c r="X56">
        <v>0.99730289999999999</v>
      </c>
      <c r="Y56">
        <v>5.6727449999999999E-2</v>
      </c>
      <c r="Z56">
        <v>-2.3513610000000002E-3</v>
      </c>
      <c r="AA56">
        <v>0.99838689999999997</v>
      </c>
      <c r="AB56">
        <v>15</v>
      </c>
      <c r="AC56">
        <v>0.58830000000000304</v>
      </c>
      <c r="AD56">
        <v>-4.8156999999999998E-2</v>
      </c>
      <c r="AE56">
        <v>-3.7499999999965797E-2</v>
      </c>
      <c r="AF56">
        <v>4.2618864367240501E-2</v>
      </c>
      <c r="AG56">
        <v>-4.8156999999999998E-2</v>
      </c>
      <c r="AH56">
        <v>0.584033046619295</v>
      </c>
      <c r="AI56">
        <v>94.701269915155606</v>
      </c>
      <c r="AJ56">
        <v>85.8263313441946</v>
      </c>
      <c r="AK56">
        <v>0.587562816890559</v>
      </c>
      <c r="AL56">
        <v>86.891891227910094</v>
      </c>
      <c r="AM56">
        <v>92.839654573138006</v>
      </c>
      <c r="AN56">
        <v>0.99999999784970595</v>
      </c>
    </row>
    <row r="57" spans="1:40" x14ac:dyDescent="0.25">
      <c r="A57" t="str">
        <f>"20190305135756621"</f>
        <v>20190305135756621</v>
      </c>
      <c r="B57" t="str">
        <f>"1551765476608934"</f>
        <v>1551765476608934</v>
      </c>
      <c r="C57" t="s">
        <v>40</v>
      </c>
      <c r="D57">
        <v>4.2148580000000004</v>
      </c>
      <c r="E57">
        <v>0.53781800000000002</v>
      </c>
      <c r="F57" t="s">
        <v>41</v>
      </c>
      <c r="G57">
        <v>-471.54610000000002</v>
      </c>
      <c r="H57">
        <v>1.051401</v>
      </c>
      <c r="I57">
        <v>367.21420000000001</v>
      </c>
      <c r="J57">
        <v>-472.25490000000002</v>
      </c>
      <c r="K57">
        <v>1.107866</v>
      </c>
      <c r="L57">
        <v>367.25569999999999</v>
      </c>
      <c r="M57">
        <v>0.99995060000000002</v>
      </c>
      <c r="N57">
        <v>4.0177260000000001E-3</v>
      </c>
      <c r="O57">
        <v>9.0979200000000007E-3</v>
      </c>
      <c r="P57">
        <v>0.99654920000000002</v>
      </c>
      <c r="Q57">
        <v>5.7683560000000002E-2</v>
      </c>
      <c r="R57">
        <v>5.9687410000000003E-2</v>
      </c>
      <c r="S57">
        <v>3.0301209999999998</v>
      </c>
      <c r="T57">
        <v>-0.19938520000000001</v>
      </c>
      <c r="U57">
        <v>-0.139679</v>
      </c>
      <c r="V57">
        <v>-5.0605200000000003E-2</v>
      </c>
      <c r="W57">
        <v>5.3689710000000002E-2</v>
      </c>
      <c r="X57">
        <v>0.99727460000000001</v>
      </c>
      <c r="Y57">
        <v>5.5000840000000002E-2</v>
      </c>
      <c r="Z57">
        <v>-2.330192E-3</v>
      </c>
      <c r="AA57">
        <v>0.99848360000000003</v>
      </c>
      <c r="AB57">
        <v>15</v>
      </c>
      <c r="AC57">
        <v>0.70879999999999599</v>
      </c>
      <c r="AD57">
        <v>-5.6464999999999897E-2</v>
      </c>
      <c r="AE57">
        <v>-4.1499999999984903E-2</v>
      </c>
      <c r="AF57">
        <v>4.7645605974653601E-2</v>
      </c>
      <c r="AG57">
        <v>-5.6464999999999897E-2</v>
      </c>
      <c r="AH57">
        <v>0.70394103491723203</v>
      </c>
      <c r="AI57">
        <v>94.575605320721706</v>
      </c>
      <c r="AJ57">
        <v>86.127893173141601</v>
      </c>
      <c r="AK57">
        <v>0.70780744601483003</v>
      </c>
      <c r="AL57">
        <v>86.922326547564694</v>
      </c>
      <c r="AM57">
        <v>92.904896611727807</v>
      </c>
      <c r="AN57">
        <v>1.0000000495160399</v>
      </c>
    </row>
    <row r="58" spans="1:40" x14ac:dyDescent="0.25">
      <c r="A58" t="str">
        <f>"20190305135756643"</f>
        <v>20190305135756643</v>
      </c>
      <c r="B58" t="str">
        <f>"1551765476638721"</f>
        <v>1551765476638721</v>
      </c>
      <c r="C58" t="s">
        <v>40</v>
      </c>
      <c r="D58">
        <v>4.2038149999999996</v>
      </c>
      <c r="E58">
        <v>0.53801290000000002</v>
      </c>
      <c r="F58" t="s">
        <v>41</v>
      </c>
      <c r="G58">
        <v>-471.40410000000003</v>
      </c>
      <c r="H58">
        <v>1.050627</v>
      </c>
      <c r="I58">
        <v>367.21719999999999</v>
      </c>
      <c r="J58">
        <v>-472.09820000000002</v>
      </c>
      <c r="K58">
        <v>1.1078680000000001</v>
      </c>
      <c r="L58">
        <v>367.25709999999998</v>
      </c>
      <c r="M58">
        <v>0.9999517</v>
      </c>
      <c r="N58">
        <v>3.9686330000000001E-3</v>
      </c>
      <c r="O58">
        <v>8.9997059999999997E-3</v>
      </c>
      <c r="P58">
        <v>0.99651769999999995</v>
      </c>
      <c r="Q58">
        <v>5.711869E-2</v>
      </c>
      <c r="R58">
        <v>6.0746759999999997E-2</v>
      </c>
      <c r="S58">
        <v>3.0304259999999998</v>
      </c>
      <c r="T58">
        <v>-0.2038702</v>
      </c>
      <c r="U58">
        <v>-0.13732910000000001</v>
      </c>
      <c r="V58">
        <v>-5.1761670000000003E-2</v>
      </c>
      <c r="W58">
        <v>5.3175460000000001E-2</v>
      </c>
      <c r="X58">
        <v>0.99724270000000004</v>
      </c>
      <c r="Y58">
        <v>5.4121389999999998E-2</v>
      </c>
      <c r="Z58">
        <v>-2.350081E-3</v>
      </c>
      <c r="AA58">
        <v>0.99853159999999996</v>
      </c>
      <c r="AB58">
        <v>16</v>
      </c>
      <c r="AC58">
        <v>0.69409999999999095</v>
      </c>
      <c r="AD58">
        <v>-5.7241000000000097E-2</v>
      </c>
      <c r="AE58">
        <v>-3.9899999999988701E-2</v>
      </c>
      <c r="AF58">
        <v>4.5834437180454102E-2</v>
      </c>
      <c r="AG58">
        <v>-5.7241000000000097E-2</v>
      </c>
      <c r="AH58">
        <v>0.68904208404540102</v>
      </c>
      <c r="AI58">
        <v>94.738421488960597</v>
      </c>
      <c r="AJ58">
        <v>86.194344614624796</v>
      </c>
      <c r="AK58">
        <v>0.69293312902348503</v>
      </c>
      <c r="AL58">
        <v>86.951832752832104</v>
      </c>
      <c r="AM58">
        <v>92.971258853533797</v>
      </c>
      <c r="AN58">
        <v>0.99999995136534403</v>
      </c>
    </row>
    <row r="59" spans="1:40" x14ac:dyDescent="0.25">
      <c r="A59" t="str">
        <f>"20190305135756667"</f>
        <v>20190305135756667</v>
      </c>
      <c r="B59" t="str">
        <f>"1551765476659216"</f>
        <v>1551765476659216</v>
      </c>
      <c r="C59" t="s">
        <v>40</v>
      </c>
      <c r="D59">
        <v>4.2260460000000002</v>
      </c>
      <c r="E59">
        <v>0.53813279999999997</v>
      </c>
      <c r="F59" t="s">
        <v>41</v>
      </c>
      <c r="G59">
        <v>-471.25990000000002</v>
      </c>
      <c r="H59">
        <v>1.0499879999999999</v>
      </c>
      <c r="I59">
        <v>367.2192</v>
      </c>
      <c r="J59">
        <v>-471.92509999999999</v>
      </c>
      <c r="K59">
        <v>1.1078790000000001</v>
      </c>
      <c r="L59">
        <v>367.25850000000003</v>
      </c>
      <c r="M59">
        <v>0.99995290000000003</v>
      </c>
      <c r="N59">
        <v>3.9038779999999999E-3</v>
      </c>
      <c r="O59">
        <v>8.9019549999999996E-3</v>
      </c>
      <c r="P59">
        <v>0.9964324</v>
      </c>
      <c r="Q59">
        <v>5.742705E-2</v>
      </c>
      <c r="R59">
        <v>6.1845509999999999E-2</v>
      </c>
      <c r="S59">
        <v>3.0307620000000002</v>
      </c>
      <c r="T59">
        <v>-0.2095072</v>
      </c>
      <c r="U59">
        <v>-0.135437</v>
      </c>
      <c r="V59">
        <v>-5.2958419999999999E-2</v>
      </c>
      <c r="W59">
        <v>5.3548760000000001E-2</v>
      </c>
      <c r="X59">
        <v>0.99716000000000005</v>
      </c>
      <c r="Y59">
        <v>5.3390640000000003E-2</v>
      </c>
      <c r="Z59">
        <v>-2.3869059999999998E-3</v>
      </c>
      <c r="AA59">
        <v>0.99857090000000004</v>
      </c>
      <c r="AB59">
        <v>16</v>
      </c>
      <c r="AC59">
        <v>0.66519999999997004</v>
      </c>
      <c r="AD59">
        <v>-5.7891000000000102E-2</v>
      </c>
      <c r="AE59">
        <v>-3.9300000000025599E-2</v>
      </c>
      <c r="AF59">
        <v>4.4881324743850599E-2</v>
      </c>
      <c r="AG59">
        <v>-5.7891000000000102E-2</v>
      </c>
      <c r="AH59">
        <v>0.65984360873656001</v>
      </c>
      <c r="AI59">
        <v>95.002474189092993</v>
      </c>
      <c r="AJ59">
        <v>86.108841918341895</v>
      </c>
      <c r="AK59">
        <v>0.66389704712571995</v>
      </c>
      <c r="AL59">
        <v>86.930414068373196</v>
      </c>
      <c r="AM59">
        <v>93.040079764964503</v>
      </c>
      <c r="AN59">
        <v>1.0000000647732099</v>
      </c>
    </row>
    <row r="60" spans="1:40" x14ac:dyDescent="0.25">
      <c r="A60" t="str">
        <f>"20190305135756688"</f>
        <v>20190305135756688</v>
      </c>
      <c r="B60" t="str">
        <f>"1551765476678740"</f>
        <v>1551765476678740</v>
      </c>
      <c r="C60" t="s">
        <v>40</v>
      </c>
      <c r="D60">
        <v>4.1417849999999996</v>
      </c>
      <c r="E60">
        <v>0.53843960000000002</v>
      </c>
      <c r="F60" t="s">
        <v>41</v>
      </c>
      <c r="G60">
        <v>-471.11259999999999</v>
      </c>
      <c r="H60">
        <v>1.0510809999999999</v>
      </c>
      <c r="I60">
        <v>367.22250000000003</v>
      </c>
      <c r="J60">
        <v>-471.7636</v>
      </c>
      <c r="K60">
        <v>1.1078969999999999</v>
      </c>
      <c r="L60">
        <v>367.25990000000002</v>
      </c>
      <c r="M60">
        <v>0.99995369999999995</v>
      </c>
      <c r="N60">
        <v>3.8403019999999999E-3</v>
      </c>
      <c r="O60">
        <v>8.8312200000000007E-3</v>
      </c>
      <c r="P60">
        <v>0.99633430000000001</v>
      </c>
      <c r="Q60">
        <v>5.8342699999999997E-2</v>
      </c>
      <c r="R60">
        <v>6.256507E-2</v>
      </c>
      <c r="S60">
        <v>3.0312190000000001</v>
      </c>
      <c r="T60">
        <v>-0.21209140000000001</v>
      </c>
      <c r="U60">
        <v>-0.133606</v>
      </c>
      <c r="V60">
        <v>-5.3750560000000003E-2</v>
      </c>
      <c r="W60">
        <v>5.4527230000000003E-2</v>
      </c>
      <c r="X60">
        <v>0.99706450000000002</v>
      </c>
      <c r="Y60">
        <v>5.2709350000000002E-2</v>
      </c>
      <c r="Z60">
        <v>-2.3902289999999998E-3</v>
      </c>
      <c r="AA60">
        <v>0.99860700000000002</v>
      </c>
      <c r="AB60">
        <v>16</v>
      </c>
      <c r="AC60">
        <v>0.65100000000001002</v>
      </c>
      <c r="AD60">
        <v>-5.6815999999999901E-2</v>
      </c>
      <c r="AE60">
        <v>-3.7399999999991003E-2</v>
      </c>
      <c r="AF60">
        <v>4.2822604440337801E-2</v>
      </c>
      <c r="AG60">
        <v>-5.6815999999999901E-2</v>
      </c>
      <c r="AH60">
        <v>0.64574193957790804</v>
      </c>
      <c r="AI60">
        <v>95.017291766543494</v>
      </c>
      <c r="AJ60">
        <v>86.205965377405803</v>
      </c>
      <c r="AK60">
        <v>0.64964950999511495</v>
      </c>
      <c r="AL60">
        <v>86.874269567597395</v>
      </c>
      <c r="AM60">
        <v>93.0857603276324</v>
      </c>
      <c r="AN60">
        <v>0.99999997933601803</v>
      </c>
    </row>
    <row r="61" spans="1:40" x14ac:dyDescent="0.25">
      <c r="A61" t="str">
        <f>"20190305135756710"</f>
        <v>20190305135756710</v>
      </c>
      <c r="B61" t="str">
        <f>"1551765476699235"</f>
        <v>1551765476699235</v>
      </c>
      <c r="C61" t="s">
        <v>40</v>
      </c>
      <c r="D61">
        <v>4.201816</v>
      </c>
      <c r="E61">
        <v>0.53860140000000001</v>
      </c>
      <c r="F61" t="s">
        <v>41</v>
      </c>
      <c r="G61">
        <v>-470.96300000000002</v>
      </c>
      <c r="H61">
        <v>1.0524100000000001</v>
      </c>
      <c r="I61">
        <v>367.2242</v>
      </c>
      <c r="J61">
        <v>-471.59960000000001</v>
      </c>
      <c r="K61">
        <v>1.107925</v>
      </c>
      <c r="L61">
        <v>367.26119999999997</v>
      </c>
      <c r="M61">
        <v>0.99995429999999996</v>
      </c>
      <c r="N61">
        <v>3.7782950000000001E-3</v>
      </c>
      <c r="O61">
        <v>8.785602E-3</v>
      </c>
      <c r="P61">
        <v>0.99617730000000004</v>
      </c>
      <c r="Q61">
        <v>6.1091010000000001E-2</v>
      </c>
      <c r="R61">
        <v>6.2440620000000002E-2</v>
      </c>
      <c r="S61">
        <v>3.0317690000000002</v>
      </c>
      <c r="T61">
        <v>-0.21024300000000001</v>
      </c>
      <c r="U61">
        <v>-0.13430790000000001</v>
      </c>
      <c r="V61">
        <v>-5.3674119999999999E-2</v>
      </c>
      <c r="W61">
        <v>5.7335690000000002E-2</v>
      </c>
      <c r="X61">
        <v>0.99691110000000005</v>
      </c>
      <c r="Y61">
        <v>5.2888850000000001E-2</v>
      </c>
      <c r="Z61">
        <v>-2.3720439999999998E-3</v>
      </c>
      <c r="AA61">
        <v>0.99859759999999997</v>
      </c>
      <c r="AB61">
        <v>16</v>
      </c>
      <c r="AC61">
        <v>0.63659999999998695</v>
      </c>
      <c r="AD61">
        <v>-5.5514999999999898E-2</v>
      </c>
      <c r="AE61">
        <v>-3.6999999999977697E-2</v>
      </c>
      <c r="AF61">
        <v>4.2271144920426697E-2</v>
      </c>
      <c r="AG61">
        <v>-5.5514999999999898E-2</v>
      </c>
      <c r="AH61">
        <v>0.63146437240717501</v>
      </c>
      <c r="AI61">
        <v>95.013061450947703</v>
      </c>
      <c r="AJ61">
        <v>86.170250809943397</v>
      </c>
      <c r="AK61">
        <v>0.63530781400630598</v>
      </c>
      <c r="AL61">
        <v>86.713104443041104</v>
      </c>
      <c r="AM61">
        <v>93.081853688754506</v>
      </c>
      <c r="AN61">
        <v>1.0000000169043799</v>
      </c>
    </row>
    <row r="62" spans="1:40" x14ac:dyDescent="0.25">
      <c r="A62" t="str">
        <f>"20190305135756735"</f>
        <v>20190305135756735</v>
      </c>
      <c r="B62" t="str">
        <f>"1551765476728512"</f>
        <v>1551765476728512</v>
      </c>
      <c r="C62" t="s">
        <v>40</v>
      </c>
      <c r="D62">
        <v>4.2200759999999997</v>
      </c>
      <c r="E62">
        <v>0.5389661</v>
      </c>
      <c r="F62" t="s">
        <v>41</v>
      </c>
      <c r="G62">
        <v>-470.8091</v>
      </c>
      <c r="H62">
        <v>1.0556270000000001</v>
      </c>
      <c r="I62">
        <v>367.22570000000002</v>
      </c>
      <c r="J62">
        <v>-471.41849999999999</v>
      </c>
      <c r="K62">
        <v>1.1079669999999999</v>
      </c>
      <c r="L62">
        <v>367.2627</v>
      </c>
      <c r="M62">
        <v>0.99995469999999997</v>
      </c>
      <c r="N62">
        <v>3.7176420000000002E-3</v>
      </c>
      <c r="O62">
        <v>8.7740279999999997E-3</v>
      </c>
      <c r="P62">
        <v>0.99608019999999997</v>
      </c>
      <c r="Q62">
        <v>6.3908359999999997E-2</v>
      </c>
      <c r="R62">
        <v>6.1157839999999998E-2</v>
      </c>
      <c r="S62">
        <v>3.0322879999999999</v>
      </c>
      <c r="T62">
        <v>-0.20071530000000001</v>
      </c>
      <c r="U62">
        <v>-0.1355896</v>
      </c>
      <c r="V62">
        <v>-5.2407849999999999E-2</v>
      </c>
      <c r="W62">
        <v>6.0210329999999999E-2</v>
      </c>
      <c r="X62">
        <v>0.9968089</v>
      </c>
      <c r="Y62">
        <v>5.330302E-2</v>
      </c>
      <c r="Z62">
        <v>-2.2745370000000001E-3</v>
      </c>
      <c r="AA62">
        <v>0.99857580000000001</v>
      </c>
      <c r="AB62">
        <v>17</v>
      </c>
      <c r="AC62">
        <v>0.60939999999999295</v>
      </c>
      <c r="AD62">
        <v>-5.2339999999999803E-2</v>
      </c>
      <c r="AE62">
        <v>-3.6999999999977697E-2</v>
      </c>
      <c r="AF62">
        <v>4.2036552397518398E-2</v>
      </c>
      <c r="AG62">
        <v>-5.2339999999999803E-2</v>
      </c>
      <c r="AH62">
        <v>0.60460826392288602</v>
      </c>
      <c r="AI62">
        <v>94.935815567316595</v>
      </c>
      <c r="AJ62">
        <v>86.022801075664901</v>
      </c>
      <c r="AK62">
        <v>0.60832368040486096</v>
      </c>
      <c r="AL62">
        <v>86.548114124329302</v>
      </c>
      <c r="AM62">
        <v>93.009590373001998</v>
      </c>
      <c r="AN62">
        <v>0.99999992484976796</v>
      </c>
    </row>
    <row r="63" spans="1:40" x14ac:dyDescent="0.25">
      <c r="A63" t="str">
        <f>"20190305135756757"</f>
        <v>20190305135756757</v>
      </c>
      <c r="B63" t="str">
        <f>"1551765476749008"</f>
        <v>1551765476749008</v>
      </c>
      <c r="C63" t="s">
        <v>40</v>
      </c>
      <c r="D63">
        <v>4.1585650000000003</v>
      </c>
      <c r="E63">
        <v>0.53927559999999997</v>
      </c>
      <c r="F63" t="s">
        <v>41</v>
      </c>
      <c r="G63">
        <v>-470.65190000000001</v>
      </c>
      <c r="H63">
        <v>1.0598939999999999</v>
      </c>
      <c r="I63">
        <v>367.22669999999999</v>
      </c>
      <c r="J63">
        <v>-471.24119999999999</v>
      </c>
      <c r="K63">
        <v>1.1080139999999901</v>
      </c>
      <c r="L63">
        <v>367.26429999999999</v>
      </c>
      <c r="M63">
        <v>0.99995520000000004</v>
      </c>
      <c r="N63">
        <v>3.6995169999999998E-3</v>
      </c>
      <c r="O63">
        <v>8.7350940000000005E-3</v>
      </c>
      <c r="P63">
        <v>0.99602400000000002</v>
      </c>
      <c r="Q63">
        <v>6.6395350000000006E-2</v>
      </c>
      <c r="R63">
        <v>5.9397289999999998E-2</v>
      </c>
      <c r="S63">
        <v>3.032715</v>
      </c>
      <c r="T63">
        <v>-0.19039120000000001</v>
      </c>
      <c r="U63">
        <v>-0.14178470000000001</v>
      </c>
      <c r="V63">
        <v>-5.0691189999999997E-2</v>
      </c>
      <c r="W63">
        <v>6.27109E-2</v>
      </c>
      <c r="X63">
        <v>0.99674359999999995</v>
      </c>
      <c r="Y63">
        <v>5.5303100000000001E-2</v>
      </c>
      <c r="Z63">
        <v>-2.2106719999999999E-3</v>
      </c>
      <c r="AA63">
        <v>0.99846710000000005</v>
      </c>
      <c r="AB63">
        <v>17</v>
      </c>
      <c r="AC63">
        <v>0.58929999999997995</v>
      </c>
      <c r="AD63">
        <v>-4.8119999999999698E-2</v>
      </c>
      <c r="AE63">
        <v>-3.7599999999997601E-2</v>
      </c>
      <c r="AF63">
        <v>4.2464198550004301E-2</v>
      </c>
      <c r="AG63">
        <v>-4.8119999999999698E-2</v>
      </c>
      <c r="AH63">
        <v>0.585063841191376</v>
      </c>
      <c r="AI63">
        <v>94.689567154500295</v>
      </c>
      <c r="AJ63">
        <v>85.848725693471195</v>
      </c>
      <c r="AK63">
        <v>0.58857322469519602</v>
      </c>
      <c r="AL63">
        <v>86.4045709752817</v>
      </c>
      <c r="AM63">
        <v>92.911371728865603</v>
      </c>
      <c r="AN63">
        <v>1.0000000289316899</v>
      </c>
    </row>
    <row r="64" spans="1:40" x14ac:dyDescent="0.25">
      <c r="A64" t="str">
        <f>"20190305135756780"</f>
        <v>20190305135756780</v>
      </c>
      <c r="B64" t="str">
        <f>"1551765476768528"</f>
        <v>1551765476768528</v>
      </c>
      <c r="C64" t="s">
        <v>40</v>
      </c>
      <c r="D64">
        <v>4.1668859999999999</v>
      </c>
      <c r="E64">
        <v>0.53923759999999998</v>
      </c>
      <c r="F64" t="s">
        <v>41</v>
      </c>
      <c r="G64">
        <v>-470.49040000000002</v>
      </c>
      <c r="H64">
        <v>1.0623</v>
      </c>
      <c r="I64">
        <v>367.22730000000001</v>
      </c>
      <c r="J64">
        <v>-471.07080000000002</v>
      </c>
      <c r="K64">
        <v>1.1079600000000001</v>
      </c>
      <c r="L64">
        <v>367.26589999999999</v>
      </c>
      <c r="M64">
        <v>0.99995480000000003</v>
      </c>
      <c r="N64">
        <v>3.6041720000000001E-3</v>
      </c>
      <c r="O64">
        <v>8.8119029999999994E-3</v>
      </c>
      <c r="P64">
        <v>0.99602239999999997</v>
      </c>
      <c r="Q64">
        <v>6.7472909999999997E-2</v>
      </c>
      <c r="R64">
        <v>5.819788E-2</v>
      </c>
      <c r="S64">
        <v>3.0331419999999998</v>
      </c>
      <c r="T64">
        <v>-0.18465790000000001</v>
      </c>
      <c r="U64">
        <v>-0.1489868</v>
      </c>
      <c r="V64">
        <v>-4.9411799999999999E-2</v>
      </c>
      <c r="W64">
        <v>6.3886310000000002E-2</v>
      </c>
      <c r="X64">
        <v>0.99673319999999999</v>
      </c>
      <c r="Y64">
        <v>5.7741340000000002E-2</v>
      </c>
      <c r="Z64">
        <v>-2.2181430000000001E-3</v>
      </c>
      <c r="AA64">
        <v>0.99832909999999997</v>
      </c>
      <c r="AB64">
        <v>17</v>
      </c>
      <c r="AC64">
        <v>0.58039999999999703</v>
      </c>
      <c r="AD64">
        <v>-4.5659999999999999E-2</v>
      </c>
      <c r="AE64">
        <v>-3.8599999999973898E-2</v>
      </c>
      <c r="AF64">
        <v>4.3445265846951797E-2</v>
      </c>
      <c r="AG64">
        <v>-4.5659999999999999E-2</v>
      </c>
      <c r="AH64">
        <v>0.57648519656350905</v>
      </c>
      <c r="AI64">
        <v>94.515855053231704</v>
      </c>
      <c r="AJ64">
        <v>85.690203547397601</v>
      </c>
      <c r="AK64">
        <v>0.57992026053706802</v>
      </c>
      <c r="AL64">
        <v>86.337089617470497</v>
      </c>
      <c r="AM64">
        <v>92.838043145362505</v>
      </c>
      <c r="AN64">
        <v>1.0000000292834399</v>
      </c>
    </row>
    <row r="65" spans="1:40" x14ac:dyDescent="0.25">
      <c r="A65" t="str">
        <f>"20190305135756801"</f>
        <v>20190305135756801</v>
      </c>
      <c r="B65" t="str">
        <f>"1551765476789024"</f>
        <v>1551765476789024</v>
      </c>
      <c r="C65" t="s">
        <v>40</v>
      </c>
      <c r="D65">
        <v>4.2011279999999998</v>
      </c>
      <c r="E65">
        <v>0.50720299999999996</v>
      </c>
      <c r="F65" t="s">
        <v>41</v>
      </c>
      <c r="G65">
        <v>-470.18239999999997</v>
      </c>
      <c r="H65">
        <v>1.0550389999999901</v>
      </c>
      <c r="I65">
        <v>367.22120000000001</v>
      </c>
      <c r="J65">
        <v>-470.88920000000002</v>
      </c>
      <c r="K65">
        <v>1.1078330000000001</v>
      </c>
      <c r="L65">
        <v>367.26760000000002</v>
      </c>
      <c r="M65">
        <v>0.99995250000000002</v>
      </c>
      <c r="N65">
        <v>3.4821520000000001E-3</v>
      </c>
      <c r="O65">
        <v>9.0960539999999993E-3</v>
      </c>
      <c r="P65">
        <v>0.99617670000000003</v>
      </c>
      <c r="Q65">
        <v>6.5324599999999997E-2</v>
      </c>
      <c r="R65">
        <v>5.8003590000000001E-2</v>
      </c>
      <c r="S65">
        <v>3.0330810000000001</v>
      </c>
      <c r="T65">
        <v>-0.18080969999999999</v>
      </c>
      <c r="U65">
        <v>-0.1520996</v>
      </c>
      <c r="V65">
        <v>-4.8922779999999999E-2</v>
      </c>
      <c r="W65">
        <v>6.1867119999999998E-2</v>
      </c>
      <c r="X65">
        <v>0.99688460000000001</v>
      </c>
      <c r="Y65">
        <v>5.905009E-2</v>
      </c>
      <c r="Z65">
        <v>-2.2275070000000001E-3</v>
      </c>
      <c r="AA65">
        <v>0.99825249999999999</v>
      </c>
      <c r="AB65">
        <v>18</v>
      </c>
      <c r="AC65">
        <v>0.70680000000004295</v>
      </c>
      <c r="AD65">
        <v>-5.2794000000000202E-2</v>
      </c>
      <c r="AE65">
        <v>-4.6400000000005499E-2</v>
      </c>
      <c r="AF65">
        <v>5.2535360495255597E-2</v>
      </c>
      <c r="AG65">
        <v>-5.2794000000000202E-2</v>
      </c>
      <c r="AH65">
        <v>0.70244639135639197</v>
      </c>
      <c r="AI65">
        <v>94.286191819011904</v>
      </c>
      <c r="AJ65">
        <v>85.722860752277498</v>
      </c>
      <c r="AK65">
        <v>0.70638382149365797</v>
      </c>
      <c r="AL65">
        <v>86.453009761848094</v>
      </c>
      <c r="AM65">
        <v>92.8095746876227</v>
      </c>
      <c r="AN65">
        <v>0.99999994232858902</v>
      </c>
    </row>
    <row r="66" spans="1:40" x14ac:dyDescent="0.25">
      <c r="A66" t="str">
        <f>"20190305135756822"</f>
        <v>20190305135756822</v>
      </c>
      <c r="B66" t="str">
        <f>"1551765476808544"</f>
        <v>1551765476808544</v>
      </c>
      <c r="C66" t="s">
        <v>40</v>
      </c>
      <c r="D66">
        <v>4.177632</v>
      </c>
      <c r="E66">
        <v>0.50454600000000005</v>
      </c>
      <c r="F66" t="s">
        <v>43</v>
      </c>
      <c r="G66">
        <v>-416.42660000000001</v>
      </c>
      <c r="H66">
        <v>-0.05</v>
      </c>
      <c r="I66">
        <v>369.2011</v>
      </c>
      <c r="J66">
        <v>-470.72329999999999</v>
      </c>
      <c r="K66">
        <v>1.1077650000000001</v>
      </c>
      <c r="L66">
        <v>367.26929999999999</v>
      </c>
      <c r="M66">
        <v>0.99995000000000001</v>
      </c>
      <c r="N66">
        <v>3.397616E-3</v>
      </c>
      <c r="O66">
        <v>9.4189410000000001E-3</v>
      </c>
      <c r="P66">
        <v>0.99631479999999994</v>
      </c>
      <c r="Q66">
        <v>6.2575339999999993E-2</v>
      </c>
      <c r="R66">
        <v>5.8665490000000001E-2</v>
      </c>
      <c r="S66">
        <v>3.0095209999999999</v>
      </c>
      <c r="T66">
        <v>-6.3980099999999998E-2</v>
      </c>
      <c r="U66">
        <v>0.10684200000000001</v>
      </c>
      <c r="V66">
        <v>-4.9260640000000001E-2</v>
      </c>
      <c r="W66">
        <v>5.9203619999999998E-2</v>
      </c>
      <c r="X66">
        <v>0.99702970000000002</v>
      </c>
      <c r="Y66">
        <v>-2.6062269999999998E-2</v>
      </c>
      <c r="Z66" s="1">
        <v>4.8769289999999998E-7</v>
      </c>
      <c r="AA66">
        <v>0.99966029999999995</v>
      </c>
      <c r="AB66">
        <v>18</v>
      </c>
      <c r="AC66">
        <v>54.296699999999902</v>
      </c>
      <c r="AD66">
        <v>-1.1577649999999999</v>
      </c>
      <c r="AE66">
        <v>1.9318</v>
      </c>
      <c r="AF66">
        <v>-1.41964935495773</v>
      </c>
      <c r="AG66">
        <v>-1.1577649999999999</v>
      </c>
      <c r="AH66">
        <v>54.287835314813201</v>
      </c>
      <c r="AI66">
        <v>91.221311078079694</v>
      </c>
      <c r="AJ66">
        <v>91.497966943880002</v>
      </c>
      <c r="AK66">
        <v>54.318734219922099</v>
      </c>
      <c r="AL66">
        <v>86.6058975426442</v>
      </c>
      <c r="AM66">
        <v>92.828535123989695</v>
      </c>
      <c r="AN66">
        <v>0.99999995097820005</v>
      </c>
    </row>
    <row r="67" spans="1:40" x14ac:dyDescent="0.25">
      <c r="A67" t="str">
        <f>"20190305135756844"</f>
        <v>20190305135756844</v>
      </c>
      <c r="B67" t="str">
        <f>"1551765476838800"</f>
        <v>1551765476838800</v>
      </c>
      <c r="C67" t="s">
        <v>40</v>
      </c>
      <c r="D67">
        <v>4.2312079999999996</v>
      </c>
      <c r="E67">
        <v>0.50453909999999902</v>
      </c>
      <c r="F67" t="s">
        <v>43</v>
      </c>
      <c r="G67">
        <v>-421.64249999999998</v>
      </c>
      <c r="H67">
        <v>-0.05</v>
      </c>
      <c r="I67">
        <v>369.3852</v>
      </c>
      <c r="J67">
        <v>-470.53769999999997</v>
      </c>
      <c r="K67">
        <v>1.1077629999999901</v>
      </c>
      <c r="L67">
        <v>367.2713</v>
      </c>
      <c r="M67">
        <v>0.99994669999999997</v>
      </c>
      <c r="N67">
        <v>3.3351219999999998E-3</v>
      </c>
      <c r="O67">
        <v>9.7743420000000001E-3</v>
      </c>
      <c r="P67">
        <v>0.99639100000000003</v>
      </c>
      <c r="Q67">
        <v>6.0654760000000002E-2</v>
      </c>
      <c r="R67">
        <v>5.9379689999999999E-2</v>
      </c>
      <c r="S67">
        <v>3.0079349999999998</v>
      </c>
      <c r="T67">
        <v>-7.0954080000000003E-2</v>
      </c>
      <c r="U67">
        <v>0.12966920000000001</v>
      </c>
      <c r="V67">
        <v>-4.9626419999999997E-2</v>
      </c>
      <c r="W67">
        <v>5.7339500000000002E-2</v>
      </c>
      <c r="X67">
        <v>0.99712060000000002</v>
      </c>
      <c r="Y67">
        <v>-3.3297260000000002E-2</v>
      </c>
      <c r="Z67" s="1">
        <v>7.3936190000000005E-5</v>
      </c>
      <c r="AA67">
        <v>0.99944549999999999</v>
      </c>
      <c r="AB67">
        <v>18</v>
      </c>
      <c r="AC67">
        <v>48.895199999999903</v>
      </c>
      <c r="AD67">
        <v>-1.1577630000000001</v>
      </c>
      <c r="AE67">
        <v>2.1139000000000001</v>
      </c>
      <c r="AF67">
        <v>-1.6349630045041299</v>
      </c>
      <c r="AG67">
        <v>-1.1577630000000001</v>
      </c>
      <c r="AH67">
        <v>48.886168499901601</v>
      </c>
      <c r="AI67">
        <v>91.355915001187697</v>
      </c>
      <c r="AJ67">
        <v>91.915502477799706</v>
      </c>
      <c r="AK67">
        <v>48.9272009192334</v>
      </c>
      <c r="AL67">
        <v>86.712885880117497</v>
      </c>
      <c r="AM67">
        <v>92.849244303322095</v>
      </c>
      <c r="AN67">
        <v>1.00000004538331</v>
      </c>
    </row>
    <row r="68" spans="1:40" x14ac:dyDescent="0.25">
      <c r="A68" t="str">
        <f>"20190305135756868"</f>
        <v>20190305135756868</v>
      </c>
      <c r="B68" t="str">
        <f>"1551765476859296"</f>
        <v>1551765476859296</v>
      </c>
      <c r="C68" t="s">
        <v>40</v>
      </c>
      <c r="D68">
        <v>4.1683139999999996</v>
      </c>
      <c r="E68">
        <v>0.50454889999999997</v>
      </c>
      <c r="F68" t="s">
        <v>43</v>
      </c>
      <c r="G68">
        <v>-423.39569999999998</v>
      </c>
      <c r="H68">
        <v>-0.05</v>
      </c>
      <c r="I68">
        <v>369.32780000000002</v>
      </c>
      <c r="J68">
        <v>-470.34269999999998</v>
      </c>
      <c r="K68">
        <v>1.1078209999999999</v>
      </c>
      <c r="L68">
        <v>367.27350000000001</v>
      </c>
      <c r="M68">
        <v>0.99994340000000004</v>
      </c>
      <c r="N68">
        <v>3.2889299999999998E-3</v>
      </c>
      <c r="O68">
        <v>1.0118490000000001E-2</v>
      </c>
      <c r="P68">
        <v>0.99635260000000003</v>
      </c>
      <c r="Q68">
        <v>6.0427019999999998E-2</v>
      </c>
      <c r="R68">
        <v>6.0250449999999997E-2</v>
      </c>
      <c r="S68">
        <v>3.0075379999999998</v>
      </c>
      <c r="T68">
        <v>-7.3862199999999906E-2</v>
      </c>
      <c r="U68">
        <v>0.13119510000000001</v>
      </c>
      <c r="V68">
        <v>-5.0166139999999998E-2</v>
      </c>
      <c r="W68">
        <v>5.7148129999999998E-2</v>
      </c>
      <c r="X68">
        <v>0.99710449999999995</v>
      </c>
      <c r="Y68">
        <v>-3.3464670000000002E-2</v>
      </c>
      <c r="Z68" s="1">
        <v>7.4019919999999994E-5</v>
      </c>
      <c r="AA68">
        <v>0.99943990000000005</v>
      </c>
      <c r="AB68">
        <v>18</v>
      </c>
      <c r="AC68">
        <v>46.946999999999903</v>
      </c>
      <c r="AD68">
        <v>-1.157821</v>
      </c>
      <c r="AE68">
        <v>2.0543000000000098</v>
      </c>
      <c r="AF68">
        <v>-1.5782014408232801</v>
      </c>
      <c r="AG68">
        <v>-1.157821</v>
      </c>
      <c r="AH68">
        <v>46.936889311075397</v>
      </c>
      <c r="AI68">
        <v>91.412265742849996</v>
      </c>
      <c r="AJ68">
        <v>91.925782243022198</v>
      </c>
      <c r="AK68">
        <v>46.977684568909901</v>
      </c>
      <c r="AL68">
        <v>86.7238683254769</v>
      </c>
      <c r="AM68">
        <v>92.880226242997495</v>
      </c>
      <c r="AN68">
        <v>0.99999996714262196</v>
      </c>
    </row>
    <row r="69" spans="1:40" x14ac:dyDescent="0.25">
      <c r="A69" t="str">
        <f>"20190305135756889"</f>
        <v>20190305135756889</v>
      </c>
      <c r="B69" t="str">
        <f>"1551765476878819"</f>
        <v>1551765476878819</v>
      </c>
      <c r="C69" t="s">
        <v>40</v>
      </c>
      <c r="D69">
        <v>4.2580439999999999</v>
      </c>
      <c r="E69">
        <v>0.50459869999999996</v>
      </c>
      <c r="F69" t="s">
        <v>43</v>
      </c>
      <c r="G69">
        <v>-423.50170000000003</v>
      </c>
      <c r="H69">
        <v>-0.05</v>
      </c>
      <c r="I69">
        <v>369.35070000000002</v>
      </c>
      <c r="J69">
        <v>-470.15210000000002</v>
      </c>
      <c r="K69">
        <v>1.1078859999999999</v>
      </c>
      <c r="L69">
        <v>367.2758</v>
      </c>
      <c r="M69">
        <v>0.99994019999999995</v>
      </c>
      <c r="N69">
        <v>3.2518550000000001E-3</v>
      </c>
      <c r="O69">
        <v>1.044409E-2</v>
      </c>
      <c r="P69">
        <v>0.99618419999999996</v>
      </c>
      <c r="Q69">
        <v>6.2148299999999997E-2</v>
      </c>
      <c r="R69">
        <v>6.1276049999999999E-2</v>
      </c>
      <c r="S69">
        <v>3.0073850000000002</v>
      </c>
      <c r="T69">
        <v>-7.4336890000000003E-2</v>
      </c>
      <c r="U69">
        <v>0.1333618</v>
      </c>
      <c r="V69">
        <v>-5.0879840000000003E-2</v>
      </c>
      <c r="W69">
        <v>5.8897079999999997E-2</v>
      </c>
      <c r="X69">
        <v>0.99696660000000004</v>
      </c>
      <c r="Y69">
        <v>-3.3860040000000001E-2</v>
      </c>
      <c r="Z69" s="1">
        <v>7.1204009999999897E-5</v>
      </c>
      <c r="AA69">
        <v>0.99942660000000005</v>
      </c>
      <c r="AB69">
        <v>19</v>
      </c>
      <c r="AC69">
        <v>46.650399999999898</v>
      </c>
      <c r="AD69">
        <v>-1.157886</v>
      </c>
      <c r="AE69">
        <v>2.0749000000000102</v>
      </c>
      <c r="AF69">
        <v>-1.58658779474336</v>
      </c>
      <c r="AG69">
        <v>-1.157886</v>
      </c>
      <c r="AH69">
        <v>46.6408494807539</v>
      </c>
      <c r="AI69">
        <v>91.421286924458897</v>
      </c>
      <c r="AJ69">
        <v>91.948286659766097</v>
      </c>
      <c r="AK69">
        <v>46.682189334967603</v>
      </c>
      <c r="AL69">
        <v>86.623491902621197</v>
      </c>
      <c r="AM69">
        <v>92.921535313392994</v>
      </c>
      <c r="AN69">
        <v>1.00000001283325</v>
      </c>
    </row>
    <row r="70" spans="1:40" x14ac:dyDescent="0.25">
      <c r="A70" t="str">
        <f>"20190305135756912"</f>
        <v>20190305135756912</v>
      </c>
      <c r="B70" t="str">
        <f>"1551765476898337"</f>
        <v>1551765476898337</v>
      </c>
      <c r="C70" t="s">
        <v>40</v>
      </c>
      <c r="D70">
        <v>4.2550080000000001</v>
      </c>
      <c r="E70">
        <v>0.50439520000000004</v>
      </c>
      <c r="F70" t="s">
        <v>43</v>
      </c>
      <c r="G70">
        <v>-420.11840000000001</v>
      </c>
      <c r="H70">
        <v>-0.05</v>
      </c>
      <c r="I70">
        <v>369.53100000000001</v>
      </c>
      <c r="J70">
        <v>-469.96629999999999</v>
      </c>
      <c r="K70">
        <v>1.107939</v>
      </c>
      <c r="L70">
        <v>367.27820000000003</v>
      </c>
      <c r="M70">
        <v>0.99993679999999996</v>
      </c>
      <c r="N70">
        <v>3.2201259999999998E-3</v>
      </c>
      <c r="O70">
        <v>1.0774489999999999E-2</v>
      </c>
      <c r="P70">
        <v>0.99601280000000003</v>
      </c>
      <c r="Q70">
        <v>6.4367949999999993E-2</v>
      </c>
      <c r="R70">
        <v>6.1769629999999999E-2</v>
      </c>
      <c r="S70">
        <v>3.0075069999999999</v>
      </c>
      <c r="T70">
        <v>-6.9600220000000004E-2</v>
      </c>
      <c r="U70">
        <v>0.13555909999999999</v>
      </c>
      <c r="V70">
        <v>-5.1054059999999998E-2</v>
      </c>
      <c r="W70">
        <v>6.1142259999999997E-2</v>
      </c>
      <c r="X70">
        <v>0.99682249999999994</v>
      </c>
      <c r="Y70">
        <v>-3.425748E-2</v>
      </c>
      <c r="Z70" s="1">
        <v>5.7109309999999898E-5</v>
      </c>
      <c r="AA70">
        <v>0.999413</v>
      </c>
      <c r="AB70">
        <v>19</v>
      </c>
      <c r="AC70">
        <v>49.847899999999903</v>
      </c>
      <c r="AD70">
        <v>-1.1579390000000001</v>
      </c>
      <c r="AE70">
        <v>2.2527999999999802</v>
      </c>
      <c r="AF70">
        <v>-1.7146574083500801</v>
      </c>
      <c r="AG70">
        <v>-1.1579390000000001</v>
      </c>
      <c r="AH70">
        <v>49.842438858269503</v>
      </c>
      <c r="AI70">
        <v>91.330069000950203</v>
      </c>
      <c r="AJ70">
        <v>91.9702869064471</v>
      </c>
      <c r="AK70">
        <v>49.885364427816597</v>
      </c>
      <c r="AL70">
        <v>86.494620144571101</v>
      </c>
      <c r="AM70">
        <v>92.931944696364098</v>
      </c>
      <c r="AN70">
        <v>0.99999999475332002</v>
      </c>
    </row>
    <row r="71" spans="1:40" x14ac:dyDescent="0.25">
      <c r="A71" t="str">
        <f>"20190305135756936"</f>
        <v>20190305135756936</v>
      </c>
      <c r="B71" t="str">
        <f>"1551765476928593"</f>
        <v>1551765476928593</v>
      </c>
      <c r="C71" t="s">
        <v>40</v>
      </c>
      <c r="D71">
        <v>4.1993589999999896</v>
      </c>
      <c r="E71">
        <v>0.50409720000000002</v>
      </c>
      <c r="F71" t="s">
        <v>43</v>
      </c>
      <c r="G71">
        <v>-418.82909999999998</v>
      </c>
      <c r="H71">
        <v>-0.05</v>
      </c>
      <c r="I71">
        <v>369.63170000000002</v>
      </c>
      <c r="J71">
        <v>-469.74990000000003</v>
      </c>
      <c r="K71">
        <v>1.1079870000000001</v>
      </c>
      <c r="L71">
        <v>367.28100000000001</v>
      </c>
      <c r="M71">
        <v>0.9999325</v>
      </c>
      <c r="N71">
        <v>3.1868080000000002E-3</v>
      </c>
      <c r="O71">
        <v>1.118717E-2</v>
      </c>
      <c r="P71">
        <v>0.99582979999999999</v>
      </c>
      <c r="Q71">
        <v>6.6925029999999996E-2</v>
      </c>
      <c r="R71">
        <v>6.200166E-2</v>
      </c>
      <c r="S71">
        <v>3.0078130000000001</v>
      </c>
      <c r="T71">
        <v>-6.8108199999999994E-2</v>
      </c>
      <c r="U71">
        <v>0.13842769999999999</v>
      </c>
      <c r="V71">
        <v>-5.0882780000000002E-2</v>
      </c>
      <c r="W71">
        <v>6.3728820000000005E-2</v>
      </c>
      <c r="X71">
        <v>0.99666920000000003</v>
      </c>
      <c r="Y71">
        <v>-3.4791870000000003E-2</v>
      </c>
      <c r="Z71" s="1">
        <v>4.9414460000000003E-5</v>
      </c>
      <c r="AA71">
        <v>0.99939460000000002</v>
      </c>
      <c r="AB71">
        <v>19</v>
      </c>
      <c r="AC71">
        <v>50.9208</v>
      </c>
      <c r="AD71">
        <v>-1.1579870000000001</v>
      </c>
      <c r="AE71">
        <v>2.35070000000001</v>
      </c>
      <c r="AF71">
        <v>-1.77997189021378</v>
      </c>
      <c r="AG71">
        <v>-1.1579870000000001</v>
      </c>
      <c r="AH71">
        <v>50.917635156769997</v>
      </c>
      <c r="AI71">
        <v>91.302021398131998</v>
      </c>
      <c r="AJ71">
        <v>92.002122908098102</v>
      </c>
      <c r="AK71">
        <v>50.961895606227799</v>
      </c>
      <c r="AL71">
        <v>86.346131290578001</v>
      </c>
      <c r="AM71">
        <v>92.922574143910595</v>
      </c>
      <c r="AN71">
        <v>0.999999957013879</v>
      </c>
    </row>
    <row r="72" spans="1:40" x14ac:dyDescent="0.25">
      <c r="A72" t="str">
        <f>"20190305135756958"</f>
        <v>20190305135756958</v>
      </c>
      <c r="B72" t="str">
        <f>"1551765476949089"</f>
        <v>1551765476949089</v>
      </c>
      <c r="C72" t="s">
        <v>40</v>
      </c>
      <c r="D72">
        <v>4.2778359999999997</v>
      </c>
      <c r="E72">
        <v>0.50392510000000001</v>
      </c>
      <c r="F72" t="s">
        <v>43</v>
      </c>
      <c r="G72">
        <v>-419.72460000000001</v>
      </c>
      <c r="H72">
        <v>-0.05</v>
      </c>
      <c r="I72">
        <v>369.64980000000003</v>
      </c>
      <c r="J72">
        <v>-469.55410000000001</v>
      </c>
      <c r="K72">
        <v>1.1080179999999999</v>
      </c>
      <c r="L72">
        <v>367.28370000000001</v>
      </c>
      <c r="M72">
        <v>0.99992800000000004</v>
      </c>
      <c r="N72">
        <v>3.1578299999999999E-3</v>
      </c>
      <c r="O72">
        <v>1.157855E-2</v>
      </c>
      <c r="P72">
        <v>0.99564050000000004</v>
      </c>
      <c r="Q72">
        <v>6.9255059999999993E-2</v>
      </c>
      <c r="R72">
        <v>6.2480290000000001E-2</v>
      </c>
      <c r="S72">
        <v>3.0083920000000002</v>
      </c>
      <c r="T72">
        <v>-6.9638370000000005E-2</v>
      </c>
      <c r="U72">
        <v>0.1424561</v>
      </c>
      <c r="V72">
        <v>-5.0975680000000002E-2</v>
      </c>
      <c r="W72">
        <v>6.6087030000000005E-2</v>
      </c>
      <c r="X72">
        <v>0.99651089999999998</v>
      </c>
      <c r="Y72">
        <v>-3.5726819999999999E-2</v>
      </c>
      <c r="Z72" s="1">
        <v>5.2416059999999998E-5</v>
      </c>
      <c r="AA72">
        <v>0.99936159999999996</v>
      </c>
      <c r="AB72">
        <v>19</v>
      </c>
      <c r="AC72">
        <v>49.829500000000003</v>
      </c>
      <c r="AD72">
        <v>-1.158018</v>
      </c>
      <c r="AE72">
        <v>2.3661000000000101</v>
      </c>
      <c r="AF72">
        <v>-1.7880216665666</v>
      </c>
      <c r="AG72">
        <v>-1.158018</v>
      </c>
      <c r="AH72">
        <v>49.826706021040202</v>
      </c>
      <c r="AI72">
        <v>91.330510314602293</v>
      </c>
      <c r="AJ72">
        <v>92.055166061669397</v>
      </c>
      <c r="AK72">
        <v>49.8722233319872</v>
      </c>
      <c r="AL72">
        <v>86.210730389559004</v>
      </c>
      <c r="AM72">
        <v>92.928365101496695</v>
      </c>
      <c r="AN72">
        <v>0.99999999465224598</v>
      </c>
    </row>
    <row r="73" spans="1:40" x14ac:dyDescent="0.25">
      <c r="A73" t="str">
        <f>"20190305135756992"</f>
        <v>20190305135756992</v>
      </c>
      <c r="B73" t="str">
        <f>"1551765476989105"</f>
        <v>1551765476989105</v>
      </c>
      <c r="C73" t="s">
        <v>40</v>
      </c>
      <c r="D73">
        <v>4.2849329999999997</v>
      </c>
      <c r="E73">
        <v>0.50350349999999999</v>
      </c>
      <c r="F73" t="s">
        <v>43</v>
      </c>
      <c r="G73">
        <v>-417.6327</v>
      </c>
      <c r="H73">
        <v>-0.05</v>
      </c>
      <c r="I73">
        <v>369.7989</v>
      </c>
      <c r="J73">
        <v>-469.2543</v>
      </c>
      <c r="K73">
        <v>1.108017</v>
      </c>
      <c r="L73">
        <v>367.28789999999998</v>
      </c>
      <c r="M73">
        <v>0.99992110000000001</v>
      </c>
      <c r="N73">
        <v>3.1094009999999999E-3</v>
      </c>
      <c r="O73">
        <v>1.2176299999999999E-2</v>
      </c>
      <c r="P73">
        <v>0.99560090000000001</v>
      </c>
      <c r="Q73">
        <v>6.7159499999999997E-2</v>
      </c>
      <c r="R73">
        <v>6.5335379999999998E-2</v>
      </c>
      <c r="S73">
        <v>3.008667</v>
      </c>
      <c r="T73">
        <v>-6.7103270000000007E-2</v>
      </c>
      <c r="U73">
        <v>0.14575199999999999</v>
      </c>
      <c r="V73">
        <v>-5.3234530000000002E-2</v>
      </c>
      <c r="W73">
        <v>6.4039070000000003E-2</v>
      </c>
      <c r="X73">
        <v>0.99652649999999998</v>
      </c>
      <c r="Y73">
        <v>-3.6217810000000003E-2</v>
      </c>
      <c r="Z73" s="1">
        <v>3.8063969999999998E-5</v>
      </c>
      <c r="AA73">
        <v>0.99934389999999995</v>
      </c>
      <c r="AB73">
        <v>20</v>
      </c>
      <c r="AC73">
        <v>51.621600000000001</v>
      </c>
      <c r="AD73">
        <v>-1.1580170000000001</v>
      </c>
      <c r="AE73">
        <v>2.5110000000000201</v>
      </c>
      <c r="AF73">
        <v>-1.8813062684525701</v>
      </c>
      <c r="AG73">
        <v>-1.1580170000000001</v>
      </c>
      <c r="AH73">
        <v>51.6224312282082</v>
      </c>
      <c r="AI73">
        <v>91.284216271664107</v>
      </c>
      <c r="AJ73">
        <v>92.087139724001005</v>
      </c>
      <c r="AK73">
        <v>51.669678947706799</v>
      </c>
      <c r="AL73">
        <v>86.328319015929907</v>
      </c>
      <c r="AM73">
        <v>93.057838878864899</v>
      </c>
      <c r="AN73">
        <v>0.99999999143651797</v>
      </c>
    </row>
    <row r="74" spans="1:40" x14ac:dyDescent="0.25">
      <c r="A74" t="str">
        <f>"20190305135757011"</f>
        <v>20190305135757011</v>
      </c>
      <c r="B74" t="str">
        <f>"1551765476998865"</f>
        <v>1551765476998865</v>
      </c>
      <c r="C74" t="s">
        <v>40</v>
      </c>
      <c r="D74">
        <v>4.298502</v>
      </c>
      <c r="E74">
        <v>0.50339440000000002</v>
      </c>
      <c r="F74" t="s">
        <v>43</v>
      </c>
      <c r="G74">
        <v>-425.6379</v>
      </c>
      <c r="H74">
        <v>-0.05</v>
      </c>
      <c r="I74">
        <v>369.57499999999999</v>
      </c>
      <c r="J74">
        <v>-469.06970000000001</v>
      </c>
      <c r="K74">
        <v>1.1080209999999999</v>
      </c>
      <c r="L74">
        <v>367.29059999999998</v>
      </c>
      <c r="M74">
        <v>0.99991680000000005</v>
      </c>
      <c r="N74">
        <v>3.0763700000000001E-3</v>
      </c>
      <c r="O74">
        <v>1.2532379999999999E-2</v>
      </c>
      <c r="P74">
        <v>0.99558259999999998</v>
      </c>
      <c r="Q74">
        <v>6.5503400000000003E-2</v>
      </c>
      <c r="R74">
        <v>6.7265060000000002E-2</v>
      </c>
      <c r="S74">
        <v>3.0083009999999999</v>
      </c>
      <c r="T74">
        <v>-7.9870579999999997E-2</v>
      </c>
      <c r="U74">
        <v>0.15774540000000001</v>
      </c>
      <c r="V74">
        <v>-5.4808679999999999E-2</v>
      </c>
      <c r="W74">
        <v>6.2415360000000003E-2</v>
      </c>
      <c r="X74">
        <v>0.99654419999999999</v>
      </c>
      <c r="Y74">
        <v>-3.9838520000000002E-2</v>
      </c>
      <c r="Z74" s="1">
        <v>9.6132049999999997E-5</v>
      </c>
      <c r="AA74">
        <v>0.99920609999999999</v>
      </c>
      <c r="AB74">
        <v>20</v>
      </c>
      <c r="AC74">
        <v>43.431800000000003</v>
      </c>
      <c r="AD74">
        <v>-1.158021</v>
      </c>
      <c r="AE74">
        <v>2.2844000000000002</v>
      </c>
      <c r="AF74">
        <v>-1.73868159174699</v>
      </c>
      <c r="AG74">
        <v>-1.158021</v>
      </c>
      <c r="AH74">
        <v>43.4262310717898</v>
      </c>
      <c r="AI74">
        <v>91.526287589844799</v>
      </c>
      <c r="AJ74">
        <v>92.292760290427793</v>
      </c>
      <c r="AK74">
        <v>43.476448468273098</v>
      </c>
      <c r="AL74">
        <v>86.421537322881505</v>
      </c>
      <c r="AM74">
        <v>93.148024390895898</v>
      </c>
      <c r="AN74">
        <v>1.0000000055604501</v>
      </c>
    </row>
    <row r="75" spans="1:40" x14ac:dyDescent="0.25">
      <c r="A75" t="str">
        <f>"20190305135757035"</f>
        <v>20190305135757035</v>
      </c>
      <c r="B75" t="str">
        <f>"1551765477029121"</f>
        <v>1551765477029121</v>
      </c>
      <c r="C75" t="s">
        <v>40</v>
      </c>
      <c r="D75">
        <v>4.2723490000000002</v>
      </c>
      <c r="E75">
        <v>0.50312230000000002</v>
      </c>
      <c r="F75" t="s">
        <v>43</v>
      </c>
      <c r="G75">
        <v>-428.77339999999998</v>
      </c>
      <c r="H75">
        <v>-0.05</v>
      </c>
      <c r="I75">
        <v>369.48349999999999</v>
      </c>
      <c r="J75">
        <v>-468.84629999999999</v>
      </c>
      <c r="K75">
        <v>1.1080399999999999</v>
      </c>
      <c r="L75">
        <v>367.29379999999998</v>
      </c>
      <c r="M75">
        <v>0.99991149999999995</v>
      </c>
      <c r="N75">
        <v>3.03353E-3</v>
      </c>
      <c r="O75">
        <v>1.295253E-2</v>
      </c>
      <c r="P75">
        <v>0.99550119999999997</v>
      </c>
      <c r="Q75">
        <v>6.5730780000000003E-2</v>
      </c>
      <c r="R75">
        <v>6.8241209999999997E-2</v>
      </c>
      <c r="S75">
        <v>3.0079349999999998</v>
      </c>
      <c r="T75">
        <v>-8.6441039999999997E-2</v>
      </c>
      <c r="U75">
        <v>0.16369629999999999</v>
      </c>
      <c r="V75">
        <v>-5.5367499999999903E-2</v>
      </c>
      <c r="W75">
        <v>6.2684719999999999E-2</v>
      </c>
      <c r="X75">
        <v>0.99649639999999995</v>
      </c>
      <c r="Y75">
        <v>-4.1394350000000003E-2</v>
      </c>
      <c r="Z75">
        <v>1.2029140000000001E-4</v>
      </c>
      <c r="AA75">
        <v>0.99914289999999994</v>
      </c>
      <c r="AB75">
        <v>20</v>
      </c>
      <c r="AC75">
        <v>40.072899999999997</v>
      </c>
      <c r="AD75">
        <v>-1.15804</v>
      </c>
      <c r="AE75">
        <v>2.18970000000001</v>
      </c>
      <c r="AF75">
        <v>-1.6690787555075</v>
      </c>
      <c r="AG75">
        <v>-1.15804</v>
      </c>
      <c r="AH75">
        <v>40.064541797102798</v>
      </c>
      <c r="AI75">
        <v>91.654202910237302</v>
      </c>
      <c r="AJ75">
        <v>92.385548364719696</v>
      </c>
      <c r="AK75">
        <v>40.116011640559201</v>
      </c>
      <c r="AL75">
        <v>86.406073848516897</v>
      </c>
      <c r="AM75">
        <v>93.180207796894393</v>
      </c>
      <c r="AN75">
        <v>1.0000000046953399</v>
      </c>
    </row>
    <row r="76" spans="1:40" x14ac:dyDescent="0.25">
      <c r="A76" t="str">
        <f>"20190305135757058"</f>
        <v>20190305135757058</v>
      </c>
      <c r="B76" t="str">
        <f>"1551765477048641"</f>
        <v>1551765477048641</v>
      </c>
      <c r="C76" t="s">
        <v>40</v>
      </c>
      <c r="D76">
        <v>4.1149620000000002</v>
      </c>
      <c r="E76">
        <v>0.50299700000000003</v>
      </c>
      <c r="F76" t="s">
        <v>43</v>
      </c>
      <c r="G76">
        <v>-430.43389999999999</v>
      </c>
      <c r="H76">
        <v>-0.05</v>
      </c>
      <c r="I76">
        <v>369.44150000000002</v>
      </c>
      <c r="J76">
        <v>-468.6336</v>
      </c>
      <c r="K76">
        <v>1.108042</v>
      </c>
      <c r="L76">
        <v>367.29719999999998</v>
      </c>
      <c r="M76">
        <v>0.99991260000000004</v>
      </c>
      <c r="N76">
        <v>3.208635E-3</v>
      </c>
      <c r="O76">
        <v>1.282228E-2</v>
      </c>
      <c r="P76">
        <v>0.99538400000000005</v>
      </c>
      <c r="Q76">
        <v>6.7522070000000003E-2</v>
      </c>
      <c r="R76">
        <v>6.8201919999999999E-2</v>
      </c>
      <c r="S76">
        <v>3.007965</v>
      </c>
      <c r="T76">
        <v>-9.0682979999999996E-2</v>
      </c>
      <c r="U76">
        <v>0.16818239999999901</v>
      </c>
      <c r="V76">
        <v>-5.5464430000000002E-2</v>
      </c>
      <c r="W76">
        <v>6.4297939999999998E-2</v>
      </c>
      <c r="X76">
        <v>0.99638819999999995</v>
      </c>
      <c r="Y76">
        <v>-4.3007919999999998E-2</v>
      </c>
      <c r="Z76">
        <v>1.5134029999999999E-4</v>
      </c>
      <c r="AA76">
        <v>0.99907469999999998</v>
      </c>
      <c r="AB76">
        <v>21</v>
      </c>
      <c r="AC76">
        <v>38.1997</v>
      </c>
      <c r="AD76">
        <v>-1.158042</v>
      </c>
      <c r="AE76">
        <v>2.1443000000000398</v>
      </c>
      <c r="AF76">
        <v>-1.6527997281448801</v>
      </c>
      <c r="AG76">
        <v>-1.158042</v>
      </c>
      <c r="AH76">
        <v>38.189067995936902</v>
      </c>
      <c r="AI76">
        <v>91.735276594067003</v>
      </c>
      <c r="AJ76">
        <v>92.478180102004998</v>
      </c>
      <c r="AK76">
        <v>38.242355087172797</v>
      </c>
      <c r="AL76">
        <v>86.313456208377701</v>
      </c>
      <c r="AM76">
        <v>93.186109057186101</v>
      </c>
      <c r="AN76">
        <v>0.99999998659135403</v>
      </c>
    </row>
    <row r="77" spans="1:40" x14ac:dyDescent="0.25">
      <c r="A77" t="str">
        <f>"20190305135757079"</f>
        <v>20190305135757079</v>
      </c>
      <c r="B77" t="str">
        <f>"1551765477069137"</f>
        <v>1551765477069137</v>
      </c>
      <c r="C77" t="s">
        <v>40</v>
      </c>
      <c r="D77">
        <v>4.240551</v>
      </c>
      <c r="E77">
        <v>0.50296629999999998</v>
      </c>
      <c r="F77" t="s">
        <v>43</v>
      </c>
      <c r="G77">
        <v>-431.07870000000003</v>
      </c>
      <c r="H77">
        <v>-0.05</v>
      </c>
      <c r="I77">
        <v>369.38810000000001</v>
      </c>
      <c r="J77">
        <v>-468.42899999999997</v>
      </c>
      <c r="K77">
        <v>1.1079300000000001</v>
      </c>
      <c r="L77">
        <v>367.30040000000002</v>
      </c>
      <c r="M77">
        <v>0.99991010000000002</v>
      </c>
      <c r="N77">
        <v>3.20047E-3</v>
      </c>
      <c r="O77">
        <v>1.301831E-2</v>
      </c>
      <c r="P77">
        <v>0.99540410000000001</v>
      </c>
      <c r="Q77">
        <v>6.7069459999999997E-2</v>
      </c>
      <c r="R77">
        <v>6.8356719999999996E-2</v>
      </c>
      <c r="S77">
        <v>3.0086979999999999</v>
      </c>
      <c r="T77">
        <v>-9.277618E-2</v>
      </c>
      <c r="U77">
        <v>0.16751099999999999</v>
      </c>
      <c r="V77">
        <v>-5.5409439999999997E-2</v>
      </c>
      <c r="W77">
        <v>6.3865870000000005E-2</v>
      </c>
      <c r="X77">
        <v>0.9964191</v>
      </c>
      <c r="Y77">
        <v>-4.2575979999999999E-2</v>
      </c>
      <c r="Z77">
        <v>1.4496579999999999E-4</v>
      </c>
      <c r="AA77">
        <v>0.99909320000000001</v>
      </c>
      <c r="AB77">
        <v>21</v>
      </c>
      <c r="AC77">
        <v>37.350299999999997</v>
      </c>
      <c r="AD77">
        <v>-1.1579299999999999</v>
      </c>
      <c r="AE77">
        <v>2.0876999999999799</v>
      </c>
      <c r="AF77">
        <v>-1.5997500320469999</v>
      </c>
      <c r="AG77">
        <v>-1.1579299999999999</v>
      </c>
      <c r="AH77">
        <v>37.338538355039098</v>
      </c>
      <c r="AI77">
        <v>91.774640847780404</v>
      </c>
      <c r="AJ77">
        <v>92.453307127206401</v>
      </c>
      <c r="AK77">
        <v>37.390726772030803</v>
      </c>
      <c r="AL77">
        <v>86.338263175754605</v>
      </c>
      <c r="AM77">
        <v>93.182858195825403</v>
      </c>
      <c r="AN77">
        <v>1.0000000391183801</v>
      </c>
    </row>
    <row r="78" spans="1:40" x14ac:dyDescent="0.25">
      <c r="A78" t="str">
        <f>"20190305135757101"</f>
        <v>20190305135757101</v>
      </c>
      <c r="B78" t="str">
        <f>"1551765477088661"</f>
        <v>1551765477088661</v>
      </c>
      <c r="C78" t="s">
        <v>40</v>
      </c>
      <c r="D78">
        <v>4.2228130000000004</v>
      </c>
      <c r="E78">
        <v>0.50288459999999902</v>
      </c>
      <c r="F78" t="s">
        <v>43</v>
      </c>
      <c r="G78">
        <v>-432.87979999999999</v>
      </c>
      <c r="H78">
        <v>-0.05</v>
      </c>
      <c r="I78">
        <v>369.2697</v>
      </c>
      <c r="J78">
        <v>-468.21969999999999</v>
      </c>
      <c r="K78">
        <v>1.107774</v>
      </c>
      <c r="L78">
        <v>367.30380000000002</v>
      </c>
      <c r="M78">
        <v>0.9999015</v>
      </c>
      <c r="N78">
        <v>3.031897E-3</v>
      </c>
      <c r="O78">
        <v>1.370363E-2</v>
      </c>
      <c r="P78">
        <v>0.99540410000000001</v>
      </c>
      <c r="Q78">
        <v>6.4916550000000003E-2</v>
      </c>
      <c r="R78">
        <v>7.0403869999999993E-2</v>
      </c>
      <c r="S78">
        <v>3.008972</v>
      </c>
      <c r="T78">
        <v>-9.8009940000000004E-2</v>
      </c>
      <c r="U78">
        <v>0.166687</v>
      </c>
      <c r="V78">
        <v>-5.6749639999999997E-2</v>
      </c>
      <c r="W78">
        <v>6.1901860000000003E-2</v>
      </c>
      <c r="X78">
        <v>0.99646760000000001</v>
      </c>
      <c r="Y78">
        <v>-4.1612669999999997E-2</v>
      </c>
      <c r="Z78">
        <v>1.2651230000000001E-4</v>
      </c>
      <c r="AA78">
        <v>0.99913379999999996</v>
      </c>
      <c r="AB78">
        <v>21</v>
      </c>
      <c r="AC78">
        <v>35.3399</v>
      </c>
      <c r="AD78">
        <v>-1.1577740000000001</v>
      </c>
      <c r="AE78">
        <v>1.96589999999997</v>
      </c>
      <c r="AF78">
        <v>-1.4798448578562999</v>
      </c>
      <c r="AG78">
        <v>-1.1577740000000001</v>
      </c>
      <c r="AH78">
        <v>35.325723904043699</v>
      </c>
      <c r="AI78">
        <v>91.875510344541198</v>
      </c>
      <c r="AJ78">
        <v>92.398799205438806</v>
      </c>
      <c r="AK78">
        <v>35.375657602129799</v>
      </c>
      <c r="AL78">
        <v>86.451015759539899</v>
      </c>
      <c r="AM78">
        <v>93.259520299722695</v>
      </c>
      <c r="AN78">
        <v>1.00000001988067</v>
      </c>
    </row>
    <row r="79" spans="1:40" x14ac:dyDescent="0.25">
      <c r="A79" t="str">
        <f>"20190305135757123"</f>
        <v>20190305135757123</v>
      </c>
      <c r="B79" t="str">
        <f>"1551765477118913"</f>
        <v>1551765477118913</v>
      </c>
      <c r="C79" t="s">
        <v>40</v>
      </c>
      <c r="D79">
        <v>4.1904120000000002</v>
      </c>
      <c r="E79">
        <v>0.50288500000000003</v>
      </c>
      <c r="F79" t="s">
        <v>43</v>
      </c>
      <c r="G79">
        <v>-436.0292</v>
      </c>
      <c r="H79">
        <v>-0.05</v>
      </c>
      <c r="I79">
        <v>369.14530000000002</v>
      </c>
      <c r="J79">
        <v>-467.99709999999999</v>
      </c>
      <c r="K79">
        <v>1.1076919999999999</v>
      </c>
      <c r="L79">
        <v>367.3073</v>
      </c>
      <c r="M79">
        <v>0.99988889999999997</v>
      </c>
      <c r="N79">
        <v>2.8769059999999998E-3</v>
      </c>
      <c r="O79">
        <v>1.462691E-2</v>
      </c>
      <c r="P79">
        <v>0.99522969999999999</v>
      </c>
      <c r="Q79">
        <v>6.454493E-2</v>
      </c>
      <c r="R79">
        <v>7.3156009999999994E-2</v>
      </c>
      <c r="S79">
        <v>3.0087280000000001</v>
      </c>
      <c r="T79">
        <v>-0.1082129</v>
      </c>
      <c r="U79">
        <v>0.1721191</v>
      </c>
      <c r="V79">
        <v>-5.8572029999999997E-2</v>
      </c>
      <c r="W79">
        <v>6.1696719999999997E-2</v>
      </c>
      <c r="X79">
        <v>0.9963748</v>
      </c>
      <c r="Y79">
        <v>-4.2489850000000003E-2</v>
      </c>
      <c r="Z79">
        <v>1.3459879999999999E-4</v>
      </c>
      <c r="AA79">
        <v>0.99909689999999995</v>
      </c>
      <c r="AB79">
        <v>22</v>
      </c>
      <c r="AC79">
        <v>31.967899999999901</v>
      </c>
      <c r="AD79">
        <v>-1.1576919999999999</v>
      </c>
      <c r="AE79">
        <v>1.8380000000000201</v>
      </c>
      <c r="AF79">
        <v>-1.36842111994249</v>
      </c>
      <c r="AG79">
        <v>-1.1576919999999999</v>
      </c>
      <c r="AH79">
        <v>31.949601610751301</v>
      </c>
      <c r="AI79">
        <v>92.073302243965102</v>
      </c>
      <c r="AJ79">
        <v>92.452514585919502</v>
      </c>
      <c r="AK79">
        <v>31.999841721703699</v>
      </c>
      <c r="AL79">
        <v>86.462791694799293</v>
      </c>
      <c r="AM79">
        <v>93.364268570942301</v>
      </c>
      <c r="AN79">
        <v>0.99999995501605798</v>
      </c>
    </row>
    <row r="80" spans="1:40" x14ac:dyDescent="0.25">
      <c r="A80" t="str">
        <f>"20190305135757148"</f>
        <v>20190305135757148</v>
      </c>
      <c r="B80" t="str">
        <f>"1551765477138433"</f>
        <v>1551765477138433</v>
      </c>
      <c r="C80" t="s">
        <v>40</v>
      </c>
      <c r="D80">
        <v>4.1716199999999999</v>
      </c>
      <c r="E80">
        <v>0.50298540000000003</v>
      </c>
      <c r="F80" t="s">
        <v>43</v>
      </c>
      <c r="G80">
        <v>-437.52339999999998</v>
      </c>
      <c r="H80">
        <v>-0.05</v>
      </c>
      <c r="I80">
        <v>369.12599999999998</v>
      </c>
      <c r="J80">
        <v>-467.7593</v>
      </c>
      <c r="K80">
        <v>1.1077140000000001</v>
      </c>
      <c r="L80">
        <v>367.31099999999998</v>
      </c>
      <c r="M80">
        <v>0.99987780000000004</v>
      </c>
      <c r="N80">
        <v>2.8388829999999999E-3</v>
      </c>
      <c r="O80">
        <v>1.537558E-2</v>
      </c>
      <c r="P80">
        <v>0.99486960000000002</v>
      </c>
      <c r="Q80">
        <v>6.6191150000000004E-2</v>
      </c>
      <c r="R80">
        <v>7.6506740000000004E-2</v>
      </c>
      <c r="S80">
        <v>3.008575</v>
      </c>
      <c r="T80">
        <v>-0.11429540000000001</v>
      </c>
      <c r="U80">
        <v>0.17956539999999999</v>
      </c>
      <c r="V80">
        <v>-6.1187970000000001E-2</v>
      </c>
      <c r="W80">
        <v>6.3376669999999996E-2</v>
      </c>
      <c r="X80">
        <v>0.9961122</v>
      </c>
      <c r="Y80">
        <v>-4.4206530000000001E-2</v>
      </c>
      <c r="Z80">
        <v>1.4892329999999999E-4</v>
      </c>
      <c r="AA80">
        <v>0.99902239999999998</v>
      </c>
      <c r="AB80">
        <v>22</v>
      </c>
      <c r="AC80">
        <v>30.235900000000001</v>
      </c>
      <c r="AD80">
        <v>-1.1577139999999999</v>
      </c>
      <c r="AE80">
        <v>1.81499999999999</v>
      </c>
      <c r="AF80">
        <v>-1.3479200321746501</v>
      </c>
      <c r="AG80">
        <v>-1.1577139999999999</v>
      </c>
      <c r="AH80">
        <v>30.2160924733234</v>
      </c>
      <c r="AI80">
        <v>92.192007149385205</v>
      </c>
      <c r="AJ80">
        <v>92.554233674074595</v>
      </c>
      <c r="AK80">
        <v>30.2682909077365</v>
      </c>
      <c r="AL80">
        <v>86.366349181506095</v>
      </c>
      <c r="AM80">
        <v>93.515078882062596</v>
      </c>
      <c r="AN80">
        <v>1.0000000424809199</v>
      </c>
    </row>
    <row r="81" spans="1:40" x14ac:dyDescent="0.25">
      <c r="A81" t="str">
        <f>"20190305135757170"</f>
        <v>20190305135757170</v>
      </c>
      <c r="B81" t="str">
        <f>"1551765477158929"</f>
        <v>1551765477158929</v>
      </c>
      <c r="C81" t="s">
        <v>40</v>
      </c>
      <c r="D81">
        <v>4.1819169999999897</v>
      </c>
      <c r="E81">
        <v>0.50303469999999995</v>
      </c>
      <c r="F81" t="s">
        <v>43</v>
      </c>
      <c r="G81">
        <v>-436.6069</v>
      </c>
      <c r="H81">
        <v>-0.05</v>
      </c>
      <c r="I81">
        <v>369.26749999999998</v>
      </c>
      <c r="J81">
        <v>-467.53629999999998</v>
      </c>
      <c r="K81">
        <v>1.107802</v>
      </c>
      <c r="L81">
        <v>367.31470000000002</v>
      </c>
      <c r="M81">
        <v>0.99987179999999998</v>
      </c>
      <c r="N81">
        <v>2.854947E-3</v>
      </c>
      <c r="O81">
        <v>1.575673E-2</v>
      </c>
      <c r="P81">
        <v>0.99444790000000005</v>
      </c>
      <c r="Q81">
        <v>6.8841079999999999E-2</v>
      </c>
      <c r="R81">
        <v>7.958788E-2</v>
      </c>
      <c r="S81">
        <v>3.008362</v>
      </c>
      <c r="T81">
        <v>-0.1117992</v>
      </c>
      <c r="U81">
        <v>0.1889343</v>
      </c>
      <c r="V81">
        <v>-6.3911809999999999E-2</v>
      </c>
      <c r="W81">
        <v>6.5995200000000004E-2</v>
      </c>
      <c r="X81">
        <v>0.99577099999999996</v>
      </c>
      <c r="Y81">
        <v>-4.692876E-2</v>
      </c>
      <c r="Z81">
        <v>1.74140299999999E-4</v>
      </c>
      <c r="AA81">
        <v>0.99889819999999996</v>
      </c>
      <c r="AB81">
        <v>22</v>
      </c>
      <c r="AC81">
        <v>30.929399999999902</v>
      </c>
      <c r="AD81">
        <v>-1.157802</v>
      </c>
      <c r="AE81">
        <v>1.9527999999999599</v>
      </c>
      <c r="AF81">
        <v>-1.4631672174928501</v>
      </c>
      <c r="AG81">
        <v>-1.157802</v>
      </c>
      <c r="AH81">
        <v>30.913184006641998</v>
      </c>
      <c r="AI81">
        <v>92.142519443510693</v>
      </c>
      <c r="AJ81">
        <v>92.709872499325698</v>
      </c>
      <c r="AK81">
        <v>30.969441538491701</v>
      </c>
      <c r="AL81">
        <v>86.216003336488996</v>
      </c>
      <c r="AM81">
        <v>93.672391556769099</v>
      </c>
      <c r="AN81">
        <v>0.99999998516075705</v>
      </c>
    </row>
    <row r="82" spans="1:40" x14ac:dyDescent="0.25">
      <c r="A82" t="str">
        <f>"20190305135757191"</f>
        <v>20190305135757191</v>
      </c>
      <c r="B82" t="str">
        <f>"1551765477178449"</f>
        <v>1551765477178449</v>
      </c>
      <c r="C82" t="s">
        <v>40</v>
      </c>
      <c r="D82">
        <v>4.0096590000000001</v>
      </c>
      <c r="E82">
        <v>0.50310770000000005</v>
      </c>
      <c r="F82" t="s">
        <v>43</v>
      </c>
      <c r="G82">
        <v>-434.69799999999998</v>
      </c>
      <c r="H82">
        <v>-0.05</v>
      </c>
      <c r="I82">
        <v>369.48009999999999</v>
      </c>
      <c r="J82">
        <v>-467.32769999999999</v>
      </c>
      <c r="K82">
        <v>1.107899</v>
      </c>
      <c r="L82">
        <v>367.31849999999997</v>
      </c>
      <c r="M82">
        <v>0.99986850000000005</v>
      </c>
      <c r="N82">
        <v>2.8465320000000001E-3</v>
      </c>
      <c r="O82">
        <v>1.5968110000000001E-2</v>
      </c>
      <c r="P82">
        <v>0.99401220000000001</v>
      </c>
      <c r="Q82">
        <v>7.1536909999999995E-2</v>
      </c>
      <c r="R82">
        <v>8.2599399999999906E-2</v>
      </c>
      <c r="S82">
        <v>3.0082089999999999</v>
      </c>
      <c r="T82">
        <v>-0.1060623</v>
      </c>
      <c r="U82">
        <v>0.19836429999999999</v>
      </c>
      <c r="V82">
        <v>-6.6735509999999998E-2</v>
      </c>
      <c r="W82">
        <v>6.8685109999999994E-2</v>
      </c>
      <c r="X82">
        <v>0.99540379999999995</v>
      </c>
      <c r="Y82">
        <v>-4.9839340000000003E-2</v>
      </c>
      <c r="Z82">
        <v>1.9883379999999999E-4</v>
      </c>
      <c r="AA82">
        <v>0.99875720000000001</v>
      </c>
      <c r="AB82">
        <v>22</v>
      </c>
      <c r="AC82">
        <v>32.6296999999999</v>
      </c>
      <c r="AD82">
        <v>-1.157899</v>
      </c>
      <c r="AE82">
        <v>2.1616000000000199</v>
      </c>
      <c r="AF82">
        <v>-1.63823372640558</v>
      </c>
      <c r="AG82">
        <v>-1.157899</v>
      </c>
      <c r="AH82">
        <v>32.619160031372999</v>
      </c>
      <c r="AI82">
        <v>92.030446957959398</v>
      </c>
      <c r="AJ82">
        <v>92.875153074952095</v>
      </c>
      <c r="AK82">
        <v>32.680791621208598</v>
      </c>
      <c r="AL82">
        <v>86.061532212663906</v>
      </c>
      <c r="AM82">
        <v>93.835578621141295</v>
      </c>
      <c r="AN82">
        <v>0.99999999884255597</v>
      </c>
    </row>
    <row r="83" spans="1:40" x14ac:dyDescent="0.25">
      <c r="A83" t="str">
        <f>"20190305135757213"</f>
        <v>20190305135757213</v>
      </c>
      <c r="B83" t="str">
        <f>"1551765477208705"</f>
        <v>1551765477208705</v>
      </c>
      <c r="C83" t="s">
        <v>40</v>
      </c>
      <c r="D83">
        <v>4.1765439999999998</v>
      </c>
      <c r="E83">
        <v>0.50380809999999998</v>
      </c>
      <c r="F83" t="s">
        <v>43</v>
      </c>
      <c r="G83">
        <v>-432.04140000000001</v>
      </c>
      <c r="H83">
        <v>-0.05</v>
      </c>
      <c r="I83">
        <v>369.76010000000002</v>
      </c>
      <c r="J83">
        <v>-467.09989999999999</v>
      </c>
      <c r="K83">
        <v>1.107969</v>
      </c>
      <c r="L83">
        <v>367.32260000000002</v>
      </c>
      <c r="M83">
        <v>0.99986459999999999</v>
      </c>
      <c r="N83">
        <v>2.7979749999999999E-3</v>
      </c>
      <c r="O83">
        <v>1.6217280000000001E-2</v>
      </c>
      <c r="P83">
        <v>0.99375840000000004</v>
      </c>
      <c r="Q83">
        <v>7.1979310000000005E-2</v>
      </c>
      <c r="R83">
        <v>8.5225079999999995E-2</v>
      </c>
      <c r="S83">
        <v>3.0078740000000002</v>
      </c>
      <c r="T83">
        <v>-9.8701720000000007E-2</v>
      </c>
      <c r="U83">
        <v>0.20812990000000001</v>
      </c>
      <c r="V83">
        <v>-6.9127599999999997E-2</v>
      </c>
      <c r="W83">
        <v>6.9165099999999993E-2</v>
      </c>
      <c r="X83">
        <v>0.99520730000000002</v>
      </c>
      <c r="Y83">
        <v>-5.2826610000000003E-2</v>
      </c>
      <c r="Z83">
        <v>2.1485340000000001E-4</v>
      </c>
      <c r="AA83">
        <v>0.99860369999999998</v>
      </c>
      <c r="AB83">
        <v>23</v>
      </c>
      <c r="AC83">
        <v>35.058499999999903</v>
      </c>
      <c r="AD83">
        <v>-1.157969</v>
      </c>
      <c r="AE83">
        <v>2.4375</v>
      </c>
      <c r="AF83">
        <v>-1.8665971431577499</v>
      </c>
      <c r="AG83">
        <v>-1.157969</v>
      </c>
      <c r="AH83">
        <v>35.055359366753798</v>
      </c>
      <c r="AI83">
        <v>91.889265114494606</v>
      </c>
      <c r="AJ83">
        <v>93.047957195369193</v>
      </c>
      <c r="AK83">
        <v>35.124112763628098</v>
      </c>
      <c r="AL83">
        <v>86.033965269172398</v>
      </c>
      <c r="AM83">
        <v>93.973411631547805</v>
      </c>
      <c r="AN83">
        <v>1.0000000030565299</v>
      </c>
    </row>
    <row r="84" spans="1:40" x14ac:dyDescent="0.25">
      <c r="A84" t="str">
        <f>"20190305135757236"</f>
        <v>20190305135757236</v>
      </c>
      <c r="B84" t="str">
        <f>"1551765477229201"</f>
        <v>1551765477229201</v>
      </c>
      <c r="C84" t="s">
        <v>40</v>
      </c>
      <c r="D84">
        <v>4.1640069999999998</v>
      </c>
      <c r="E84">
        <v>0.50402769999999997</v>
      </c>
      <c r="F84" t="s">
        <v>43</v>
      </c>
      <c r="G84">
        <v>-432.68270000000001</v>
      </c>
      <c r="H84">
        <v>-0.05</v>
      </c>
      <c r="I84">
        <v>369.74160000000001</v>
      </c>
      <c r="J84">
        <v>-466.86290000000002</v>
      </c>
      <c r="K84">
        <v>1.107988</v>
      </c>
      <c r="L84">
        <v>367.327</v>
      </c>
      <c r="M84">
        <v>0.99985889999999999</v>
      </c>
      <c r="N84">
        <v>2.7256979999999999E-3</v>
      </c>
      <c r="O84">
        <v>1.658652E-2</v>
      </c>
      <c r="P84">
        <v>0.99379609999999996</v>
      </c>
      <c r="Q84">
        <v>6.9808579999999995E-2</v>
      </c>
      <c r="R84">
        <v>8.6581809999999995E-2</v>
      </c>
      <c r="S84">
        <v>3.008057</v>
      </c>
      <c r="T84">
        <v>-0.1012063</v>
      </c>
      <c r="U84">
        <v>0.2114258</v>
      </c>
      <c r="V84">
        <v>-7.0118079999999999E-2</v>
      </c>
      <c r="W84">
        <v>6.7062849999999993E-2</v>
      </c>
      <c r="X84">
        <v>0.99528190000000005</v>
      </c>
      <c r="Y84">
        <v>-5.354134E-2</v>
      </c>
      <c r="Z84">
        <v>2.24002E-4</v>
      </c>
      <c r="AA84">
        <v>0.99856560000000005</v>
      </c>
      <c r="AB84">
        <v>23</v>
      </c>
      <c r="AC84">
        <v>34.180199999999999</v>
      </c>
      <c r="AD84">
        <v>-1.157988</v>
      </c>
      <c r="AE84">
        <v>2.4146000000000001</v>
      </c>
      <c r="AF84">
        <v>-1.8452278570026901</v>
      </c>
      <c r="AG84">
        <v>-1.157988</v>
      </c>
      <c r="AH84">
        <v>34.176515538118601</v>
      </c>
      <c r="AI84">
        <v>91.937765449919496</v>
      </c>
      <c r="AJ84">
        <v>93.090461869317295</v>
      </c>
      <c r="AK84">
        <v>34.245875903233497</v>
      </c>
      <c r="AL84">
        <v>86.154695783602307</v>
      </c>
      <c r="AM84">
        <v>94.029856445726907</v>
      </c>
      <c r="AN84">
        <v>1.0000000157303</v>
      </c>
    </row>
    <row r="85" spans="1:40" x14ac:dyDescent="0.25">
      <c r="A85" t="str">
        <f>"20190305135757257"</f>
        <v>20190305135757257</v>
      </c>
      <c r="B85" t="str">
        <f>"1551765477248739"</f>
        <v>1551765477248739</v>
      </c>
      <c r="C85" t="s">
        <v>40</v>
      </c>
      <c r="D85">
        <v>4.1641560000000002</v>
      </c>
      <c r="E85">
        <v>0.50424519999999995</v>
      </c>
      <c r="F85" t="s">
        <v>43</v>
      </c>
      <c r="G85">
        <v>-434.64170000000001</v>
      </c>
      <c r="H85">
        <v>-0.05</v>
      </c>
      <c r="I85">
        <v>369.62299999999999</v>
      </c>
      <c r="J85">
        <v>-466.63249999999999</v>
      </c>
      <c r="K85">
        <v>1.107996</v>
      </c>
      <c r="L85">
        <v>367.3313</v>
      </c>
      <c r="M85">
        <v>0.9998515</v>
      </c>
      <c r="N85">
        <v>2.6522590000000001E-3</v>
      </c>
      <c r="O85">
        <v>1.7039189999999999E-2</v>
      </c>
      <c r="P85">
        <v>0.99401949999999994</v>
      </c>
      <c r="Q85">
        <v>6.592315E-2</v>
      </c>
      <c r="R85">
        <v>8.7060819999999997E-2</v>
      </c>
      <c r="S85">
        <v>3.00766</v>
      </c>
      <c r="T85">
        <v>-0.10809149999999999</v>
      </c>
      <c r="U85">
        <v>0.21432499999999999</v>
      </c>
      <c r="V85">
        <v>-7.0139380000000001E-2</v>
      </c>
      <c r="W85">
        <v>6.3251520000000006E-2</v>
      </c>
      <c r="X85">
        <v>0.99552989999999997</v>
      </c>
      <c r="Y85">
        <v>-5.4053480000000001E-2</v>
      </c>
      <c r="Z85">
        <v>2.4156270000000001E-4</v>
      </c>
      <c r="AA85">
        <v>0.99853800000000004</v>
      </c>
      <c r="AB85">
        <v>23</v>
      </c>
      <c r="AC85">
        <v>31.990799999999901</v>
      </c>
      <c r="AD85">
        <v>-1.15799599999999</v>
      </c>
      <c r="AE85">
        <v>2.29170000000004</v>
      </c>
      <c r="AF85">
        <v>-1.7439947105960201</v>
      </c>
      <c r="AG85">
        <v>-1.15799599999999</v>
      </c>
      <c r="AH85">
        <v>31.9835110888664</v>
      </c>
      <c r="AI85">
        <v>92.070473943973397</v>
      </c>
      <c r="AJ85">
        <v>93.121129458590005</v>
      </c>
      <c r="AK85">
        <v>32.051949298884203</v>
      </c>
      <c r="AL85">
        <v>86.373534134987693</v>
      </c>
      <c r="AM85">
        <v>94.030075686859206</v>
      </c>
      <c r="AN85">
        <v>1.0000000346015501</v>
      </c>
    </row>
    <row r="86" spans="1:40" x14ac:dyDescent="0.25">
      <c r="A86" t="str">
        <f>"20190305135757280"</f>
        <v>20190305135757280</v>
      </c>
      <c r="B86" t="str">
        <f>"1551765477269220"</f>
        <v>1551765477269220</v>
      </c>
      <c r="C86" t="s">
        <v>40</v>
      </c>
      <c r="D86">
        <v>4.1886650000000003</v>
      </c>
      <c r="E86">
        <v>0.50450159999999999</v>
      </c>
      <c r="F86" t="s">
        <v>43</v>
      </c>
      <c r="G86">
        <v>-438.07130000000001</v>
      </c>
      <c r="H86">
        <v>-0.05</v>
      </c>
      <c r="I86">
        <v>369.36709999999999</v>
      </c>
      <c r="J86">
        <v>-466.39409999999998</v>
      </c>
      <c r="K86">
        <v>1.1080000000000001</v>
      </c>
      <c r="L86">
        <v>367.33580000000001</v>
      </c>
      <c r="M86">
        <v>0.99984289999999998</v>
      </c>
      <c r="N86">
        <v>2.5766589999999998E-3</v>
      </c>
      <c r="O86">
        <v>1.754002E-2</v>
      </c>
      <c r="P86">
        <v>0.99438839999999995</v>
      </c>
      <c r="Q86">
        <v>6.1609009999999999E-2</v>
      </c>
      <c r="R86">
        <v>8.6001129999999995E-2</v>
      </c>
      <c r="S86">
        <v>3.0073240000000001</v>
      </c>
      <c r="T86">
        <v>-0.12193</v>
      </c>
      <c r="U86">
        <v>0.2143555</v>
      </c>
      <c r="V86">
        <v>-6.8571579999999993E-2</v>
      </c>
      <c r="W86">
        <v>5.9013690000000001E-2</v>
      </c>
      <c r="X86">
        <v>0.99589930000000004</v>
      </c>
      <c r="Y86">
        <v>-5.3566030000000001E-2</v>
      </c>
      <c r="Z86">
        <v>2.6001010000000001E-4</v>
      </c>
      <c r="AA86">
        <v>0.99856429999999996</v>
      </c>
      <c r="AB86">
        <v>23</v>
      </c>
      <c r="AC86">
        <v>28.322799999999901</v>
      </c>
      <c r="AD86">
        <v>-1.1579999999999999</v>
      </c>
      <c r="AE86">
        <v>2.0312999999999799</v>
      </c>
      <c r="AF86">
        <v>-1.5316561212364299</v>
      </c>
      <c r="AG86">
        <v>-1.1579999999999999</v>
      </c>
      <c r="AH86">
        <v>28.306994836889199</v>
      </c>
      <c r="AI86">
        <v>92.339166934158698</v>
      </c>
      <c r="AJ86">
        <v>93.0971827956092</v>
      </c>
      <c r="AK86">
        <v>28.3720441838333</v>
      </c>
      <c r="AL86">
        <v>86.616799114262605</v>
      </c>
      <c r="AM86">
        <v>93.938822927865303</v>
      </c>
      <c r="AN86">
        <v>1.0000000464658001</v>
      </c>
    </row>
    <row r="87" spans="1:40" x14ac:dyDescent="0.25">
      <c r="A87" t="str">
        <f>"20190305135757303"</f>
        <v>20190305135757303</v>
      </c>
      <c r="B87" t="str">
        <f>"1551765477299474"</f>
        <v>1551765477299474</v>
      </c>
      <c r="C87" t="s">
        <v>40</v>
      </c>
      <c r="D87">
        <v>4.222518</v>
      </c>
      <c r="E87">
        <v>0.50487660000000001</v>
      </c>
      <c r="F87" t="s">
        <v>42</v>
      </c>
      <c r="G87">
        <v>-441.649</v>
      </c>
      <c r="H87" s="1">
        <v>-4.0279710000000001E-6</v>
      </c>
      <c r="I87">
        <v>369.05290000000002</v>
      </c>
      <c r="J87">
        <v>-466.15629999999999</v>
      </c>
      <c r="K87">
        <v>1.1080209999999999</v>
      </c>
      <c r="L87">
        <v>367.34050000000002</v>
      </c>
      <c r="M87">
        <v>0.99983449999999996</v>
      </c>
      <c r="N87">
        <v>2.4990020000000002E-3</v>
      </c>
      <c r="O87">
        <v>1.8024709999999999E-2</v>
      </c>
      <c r="P87">
        <v>0.99477260000000001</v>
      </c>
      <c r="Q87">
        <v>5.6774539999999998E-2</v>
      </c>
      <c r="R87">
        <v>8.4878049999999997E-2</v>
      </c>
      <c r="S87">
        <v>3.0072329999999998</v>
      </c>
      <c r="T87">
        <v>-0.13465429999999901</v>
      </c>
      <c r="U87">
        <v>0.20867920000000001</v>
      </c>
      <c r="V87">
        <v>-6.6957420000000004E-2</v>
      </c>
      <c r="W87">
        <v>5.425584E-2</v>
      </c>
      <c r="X87">
        <v>0.99627960000000004</v>
      </c>
      <c r="Y87">
        <v>-5.120504E-2</v>
      </c>
      <c r="Z87">
        <v>2.298291E-4</v>
      </c>
      <c r="AA87">
        <v>0.99868820000000003</v>
      </c>
      <c r="AB87">
        <v>24</v>
      </c>
      <c r="AC87">
        <v>24.507299999999901</v>
      </c>
      <c r="AD87">
        <v>-1.108025027971</v>
      </c>
      <c r="AE87">
        <v>1.7123999999999999</v>
      </c>
      <c r="AF87">
        <v>-1.2678045216389</v>
      </c>
      <c r="AG87">
        <v>-1.108025027971</v>
      </c>
      <c r="AH87">
        <v>24.484378117901901</v>
      </c>
      <c r="AI87">
        <v>92.587654410626399</v>
      </c>
      <c r="AJ87">
        <v>92.964136233604904</v>
      </c>
      <c r="AK87">
        <v>24.5422048640315</v>
      </c>
      <c r="AL87">
        <v>86.889842238559794</v>
      </c>
      <c r="AM87">
        <v>93.844921718956002</v>
      </c>
      <c r="AN87">
        <v>1.0000000168216601</v>
      </c>
    </row>
    <row r="88" spans="1:40" x14ac:dyDescent="0.25">
      <c r="A88" t="str">
        <f>"20190305135757324"</f>
        <v>20190305135757324</v>
      </c>
      <c r="B88" t="str">
        <f>"1551765477318993"</f>
        <v>1551765477318993</v>
      </c>
      <c r="C88" t="s">
        <v>40</v>
      </c>
      <c r="D88">
        <v>4.1901140000000003</v>
      </c>
      <c r="E88">
        <v>0.50505749999999905</v>
      </c>
      <c r="F88" t="s">
        <v>42</v>
      </c>
      <c r="G88">
        <v>-443.81610000000001</v>
      </c>
      <c r="H88" s="1">
        <v>-3.041675E-6</v>
      </c>
      <c r="I88">
        <v>368.83819999999997</v>
      </c>
      <c r="J88">
        <v>-465.91969999999998</v>
      </c>
      <c r="K88">
        <v>1.1080589999999999</v>
      </c>
      <c r="L88">
        <v>367.3451</v>
      </c>
      <c r="M88">
        <v>0.99982629999999995</v>
      </c>
      <c r="N88">
        <v>2.4194849999999999E-3</v>
      </c>
      <c r="O88">
        <v>1.8482419999999999E-2</v>
      </c>
      <c r="P88">
        <v>0.99506269999999997</v>
      </c>
      <c r="Q88">
        <v>5.4362779999999999E-2</v>
      </c>
      <c r="R88">
        <v>8.3034540000000004E-2</v>
      </c>
      <c r="S88">
        <v>3.00705</v>
      </c>
      <c r="T88">
        <v>-0.1491432</v>
      </c>
      <c r="U88">
        <v>0.2015991</v>
      </c>
      <c r="V88">
        <v>-6.4653639999999998E-2</v>
      </c>
      <c r="W88">
        <v>5.1921679999999998E-2</v>
      </c>
      <c r="X88">
        <v>0.99655609999999994</v>
      </c>
      <c r="Y88">
        <v>-4.8408060000000003E-2</v>
      </c>
      <c r="Z88">
        <v>1.801591E-4</v>
      </c>
      <c r="AA88">
        <v>0.99882760000000004</v>
      </c>
      <c r="AB88">
        <v>24</v>
      </c>
      <c r="AC88">
        <v>22.103599999999901</v>
      </c>
      <c r="AD88">
        <v>-1.108062041675</v>
      </c>
      <c r="AE88">
        <v>1.4930999999999699</v>
      </c>
      <c r="AF88">
        <v>-1.08160995849421</v>
      </c>
      <c r="AG88">
        <v>-1.108062041675</v>
      </c>
      <c r="AH88">
        <v>22.072203818525701</v>
      </c>
      <c r="AI88">
        <v>92.870493908402807</v>
      </c>
      <c r="AJ88">
        <v>92.805435875395702</v>
      </c>
      <c r="AK88">
        <v>22.126451658525198</v>
      </c>
      <c r="AL88">
        <v>87.023768618516499</v>
      </c>
      <c r="AM88">
        <v>93.711980188343304</v>
      </c>
      <c r="AN88">
        <v>1.00000000723324</v>
      </c>
    </row>
    <row r="89" spans="1:40" x14ac:dyDescent="0.25">
      <c r="A89" t="str">
        <f>"20190305135757349"</f>
        <v>20190305135757349</v>
      </c>
      <c r="B89" t="str">
        <f>"1551765477338513"</f>
        <v>1551765477338513</v>
      </c>
      <c r="C89" t="s">
        <v>40</v>
      </c>
      <c r="D89">
        <v>4.1638859999999998</v>
      </c>
      <c r="E89">
        <v>0.50525529999999996</v>
      </c>
      <c r="F89" t="s">
        <v>42</v>
      </c>
      <c r="G89">
        <v>-444.5034</v>
      </c>
      <c r="H89" s="1">
        <v>-2.7371590000000002E-6</v>
      </c>
      <c r="I89">
        <v>368.72320000000002</v>
      </c>
      <c r="J89">
        <v>-465.64819999999997</v>
      </c>
      <c r="K89">
        <v>1.108117</v>
      </c>
      <c r="L89">
        <v>367.35059999999999</v>
      </c>
      <c r="M89">
        <v>0.99981710000000001</v>
      </c>
      <c r="N89">
        <v>2.3274049999999998E-3</v>
      </c>
      <c r="O89">
        <v>1.8987500000000001E-2</v>
      </c>
      <c r="P89">
        <v>0.99523910000000004</v>
      </c>
      <c r="Q89">
        <v>5.4261120000000003E-2</v>
      </c>
      <c r="R89">
        <v>8.0963820000000006E-2</v>
      </c>
      <c r="S89">
        <v>3.0072019999999999</v>
      </c>
      <c r="T89">
        <v>-0.15559049999999999</v>
      </c>
      <c r="U89">
        <v>0.19351199999999999</v>
      </c>
      <c r="V89">
        <v>-6.2079790000000003E-2</v>
      </c>
      <c r="W89">
        <v>5.1908830000000003E-2</v>
      </c>
      <c r="X89">
        <v>0.99672039999999995</v>
      </c>
      <c r="Y89">
        <v>-4.5226860000000001E-2</v>
      </c>
      <c r="Z89" s="1">
        <v>9.0635499999999996E-5</v>
      </c>
      <c r="AA89">
        <v>0.9989768</v>
      </c>
      <c r="AB89">
        <v>24</v>
      </c>
      <c r="AC89">
        <v>21.144799999999901</v>
      </c>
      <c r="AD89">
        <v>-1.1081197371589999</v>
      </c>
      <c r="AE89">
        <v>1.37260000000003</v>
      </c>
      <c r="AF89">
        <v>-0.96821663894763399</v>
      </c>
      <c r="AG89">
        <v>-1.1081197371589999</v>
      </c>
      <c r="AH89">
        <v>21.1093186479815</v>
      </c>
      <c r="AI89">
        <v>93.001795828782093</v>
      </c>
      <c r="AJ89">
        <v>92.626132806208901</v>
      </c>
      <c r="AK89">
        <v>21.1605459899748</v>
      </c>
      <c r="AL89">
        <v>87.024505816205703</v>
      </c>
      <c r="AM89">
        <v>93.564009717646499</v>
      </c>
      <c r="AN89">
        <v>0.99999999136728601</v>
      </c>
    </row>
    <row r="90" spans="1:40" x14ac:dyDescent="0.25">
      <c r="A90" t="str">
        <f>"20190305135757372"</f>
        <v>20190305135757372</v>
      </c>
      <c r="B90" t="str">
        <f>"1551765477368768"</f>
        <v>1551765477368768</v>
      </c>
      <c r="C90" t="s">
        <v>40</v>
      </c>
      <c r="D90">
        <v>4.3502179999999999</v>
      </c>
      <c r="E90">
        <v>0.50551579999999996</v>
      </c>
      <c r="F90" t="s">
        <v>42</v>
      </c>
      <c r="G90">
        <v>-444.3229</v>
      </c>
      <c r="H90" s="1">
        <v>-2.8324659999999999E-6</v>
      </c>
      <c r="I90">
        <v>368.66699999999997</v>
      </c>
      <c r="J90">
        <v>-465.39519999999999</v>
      </c>
      <c r="K90">
        <v>1.1081780000000001</v>
      </c>
      <c r="L90">
        <v>367.35579999999999</v>
      </c>
      <c r="M90">
        <v>0.99980840000000004</v>
      </c>
      <c r="N90">
        <v>2.2421580000000002E-3</v>
      </c>
      <c r="O90">
        <v>1.9451019999999999E-2</v>
      </c>
      <c r="P90">
        <v>0.99529429999999997</v>
      </c>
      <c r="Q90">
        <v>5.5884120000000002E-2</v>
      </c>
      <c r="R90">
        <v>7.9162280000000002E-2</v>
      </c>
      <c r="S90">
        <v>3.0077820000000002</v>
      </c>
      <c r="T90">
        <v>-0.15629279999999901</v>
      </c>
      <c r="U90">
        <v>0.1856689</v>
      </c>
      <c r="V90">
        <v>-5.9819539999999997E-2</v>
      </c>
      <c r="W90">
        <v>5.3614000000000002E-2</v>
      </c>
      <c r="X90">
        <v>0.9967684</v>
      </c>
      <c r="Y90">
        <v>-4.2160709999999997E-2</v>
      </c>
      <c r="Z90" s="1">
        <v>-6.1632599999999997E-6</v>
      </c>
      <c r="AA90">
        <v>0.99911079999999997</v>
      </c>
      <c r="AB90">
        <v>24</v>
      </c>
      <c r="AC90">
        <v>21.072299999999899</v>
      </c>
      <c r="AD90">
        <v>-1.1081808324660001</v>
      </c>
      <c r="AE90">
        <v>1.3111999999999799</v>
      </c>
      <c r="AF90">
        <v>-0.898597595155608</v>
      </c>
      <c r="AG90">
        <v>-1.1081808324660001</v>
      </c>
      <c r="AH90">
        <v>21.0358640972673</v>
      </c>
      <c r="AI90">
        <v>93.012842862226293</v>
      </c>
      <c r="AJ90">
        <v>92.446040103566602</v>
      </c>
      <c r="AK90">
        <v>21.084191251128502</v>
      </c>
      <c r="AL90">
        <v>86.926670640832299</v>
      </c>
      <c r="AM90">
        <v>93.434399913373795</v>
      </c>
      <c r="AN90">
        <v>1.0000000408001799</v>
      </c>
    </row>
    <row r="91" spans="1:40" x14ac:dyDescent="0.25">
      <c r="A91" t="str">
        <f>"20190305135757391"</f>
        <v>20190305135757391</v>
      </c>
      <c r="B91" t="str">
        <f>"1551765477378529"</f>
        <v>1551765477378529</v>
      </c>
      <c r="C91" t="s">
        <v>40</v>
      </c>
      <c r="D91">
        <v>4.2671809999999999</v>
      </c>
      <c r="E91">
        <v>0.54144550000000002</v>
      </c>
      <c r="F91" t="s">
        <v>42</v>
      </c>
      <c r="G91">
        <v>-443.24849999999998</v>
      </c>
      <c r="H91" s="1">
        <v>-3.3398939999999998E-6</v>
      </c>
      <c r="I91">
        <v>368.6696</v>
      </c>
      <c r="J91">
        <v>-465.17989999999998</v>
      </c>
      <c r="K91">
        <v>1.108233</v>
      </c>
      <c r="L91">
        <v>367.36040000000003</v>
      </c>
      <c r="M91">
        <v>0.99980069999999999</v>
      </c>
      <c r="N91">
        <v>2.1700819999999998E-3</v>
      </c>
      <c r="O91">
        <v>1.984553E-2</v>
      </c>
      <c r="P91">
        <v>0.99526130000000002</v>
      </c>
      <c r="Q91">
        <v>5.7521820000000001E-2</v>
      </c>
      <c r="R91">
        <v>7.8400339999999999E-2</v>
      </c>
      <c r="S91">
        <v>3.0085139999999999</v>
      </c>
      <c r="T91">
        <v>-0.15054049999999999</v>
      </c>
      <c r="U91">
        <v>0.17846679999999901</v>
      </c>
      <c r="V91">
        <v>-5.8668570000000003E-2</v>
      </c>
      <c r="W91">
        <v>5.5321879999999997E-2</v>
      </c>
      <c r="X91">
        <v>0.99674339999999995</v>
      </c>
      <c r="Y91">
        <v>-3.9374050000000001E-2</v>
      </c>
      <c r="Z91" s="1">
        <v>-9.3519569999999996E-5</v>
      </c>
      <c r="AA91">
        <v>0.99922449999999996</v>
      </c>
      <c r="AB91">
        <v>25</v>
      </c>
      <c r="AC91">
        <v>21.9314</v>
      </c>
      <c r="AD91">
        <v>-1.1082363398940001</v>
      </c>
      <c r="AE91">
        <v>1.3091999999999699</v>
      </c>
      <c r="AF91">
        <v>-0.87148346787564801</v>
      </c>
      <c r="AG91">
        <v>-1.1082363398940001</v>
      </c>
      <c r="AH91">
        <v>21.897346755548099</v>
      </c>
      <c r="AI91">
        <v>92.895009824450895</v>
      </c>
      <c r="AJ91">
        <v>92.279088290749797</v>
      </c>
      <c r="AK91">
        <v>21.9426859375181</v>
      </c>
      <c r="AL91">
        <v>86.828670576794394</v>
      </c>
      <c r="AM91">
        <v>93.368557584454507</v>
      </c>
      <c r="AN91">
        <v>0.999999958478068</v>
      </c>
    </row>
    <row r="92" spans="1:40" x14ac:dyDescent="0.25">
      <c r="A92" t="str">
        <f>"20190305135757419"</f>
        <v>20190305135757419</v>
      </c>
      <c r="B92" t="str">
        <f>"1551765477408785"</f>
        <v>1551765477408785</v>
      </c>
      <c r="C92" t="s">
        <v>40</v>
      </c>
      <c r="D92">
        <v>4.3070490000000001</v>
      </c>
      <c r="E92">
        <v>0.5549307</v>
      </c>
      <c r="F92" t="s">
        <v>42</v>
      </c>
      <c r="G92">
        <v>-442.7783</v>
      </c>
      <c r="H92" s="1">
        <v>-3.9390129999999996E-6</v>
      </c>
      <c r="I92">
        <v>366.54500000000002</v>
      </c>
      <c r="J92">
        <v>-464.86290000000002</v>
      </c>
      <c r="K92">
        <v>1.1082939999999999</v>
      </c>
      <c r="L92">
        <v>367.3673</v>
      </c>
      <c r="M92">
        <v>0.99978920000000004</v>
      </c>
      <c r="N92">
        <v>2.0643129999999999E-3</v>
      </c>
      <c r="O92">
        <v>2.0429969999999999E-2</v>
      </c>
      <c r="P92">
        <v>0.99516729999999998</v>
      </c>
      <c r="Q92">
        <v>5.9594649999999999E-2</v>
      </c>
      <c r="R92">
        <v>7.8042479999999997E-2</v>
      </c>
      <c r="S92">
        <v>3.031647</v>
      </c>
      <c r="T92">
        <v>-0.1499799</v>
      </c>
      <c r="U92">
        <v>-0.11035159999999999</v>
      </c>
      <c r="V92">
        <v>-5.773416E-2</v>
      </c>
      <c r="W92">
        <v>5.7498029999999999E-2</v>
      </c>
      <c r="X92">
        <v>0.99667479999999997</v>
      </c>
      <c r="Y92">
        <v>5.6691249999999999E-2</v>
      </c>
      <c r="Z92">
        <v>-2.3943329999999998E-3</v>
      </c>
      <c r="AA92">
        <v>0.99838890000000002</v>
      </c>
      <c r="AB92">
        <v>25</v>
      </c>
      <c r="AC92">
        <v>22.084599999999998</v>
      </c>
      <c r="AD92">
        <v>-1.1082979390129899</v>
      </c>
      <c r="AE92">
        <v>-0.82229999999998404</v>
      </c>
      <c r="AF92">
        <v>1.2701227139381399</v>
      </c>
      <c r="AG92">
        <v>-1.1082979390129899</v>
      </c>
      <c r="AH92">
        <v>22.007842027430399</v>
      </c>
      <c r="AI92">
        <v>92.878154702153196</v>
      </c>
      <c r="AJ92">
        <v>86.6969938650426</v>
      </c>
      <c r="AK92">
        <v>22.072304971035901</v>
      </c>
      <c r="AL92">
        <v>86.703787478121598</v>
      </c>
      <c r="AM92">
        <v>93.315255093771995</v>
      </c>
      <c r="AN92">
        <v>0.99999995681991205</v>
      </c>
    </row>
    <row r="93" spans="1:40" x14ac:dyDescent="0.25">
      <c r="A93" t="str">
        <f>"20190305135757437"</f>
        <v>20190305135757437</v>
      </c>
      <c r="B93" t="str">
        <f>"1551765477429281"</f>
        <v>1551765477429281</v>
      </c>
      <c r="C93" t="s">
        <v>40</v>
      </c>
      <c r="D93">
        <v>4.2801799999999997</v>
      </c>
      <c r="E93">
        <v>0.55780850000000004</v>
      </c>
      <c r="F93" t="s">
        <v>41</v>
      </c>
      <c r="G93">
        <v>-463.9323</v>
      </c>
      <c r="H93">
        <v>1.021382</v>
      </c>
      <c r="I93">
        <v>367.29820000000001</v>
      </c>
      <c r="J93">
        <v>-464.65839999999997</v>
      </c>
      <c r="K93">
        <v>1.1083229999999999</v>
      </c>
      <c r="L93">
        <v>367.37189999999998</v>
      </c>
      <c r="M93">
        <v>0.99978160000000005</v>
      </c>
      <c r="N93">
        <v>1.996734E-3</v>
      </c>
      <c r="O93">
        <v>2.0807929999999999E-2</v>
      </c>
      <c r="P93">
        <v>0.99514619999999998</v>
      </c>
      <c r="Q93">
        <v>6.0660369999999998E-2</v>
      </c>
      <c r="R93">
        <v>7.7488500000000002E-2</v>
      </c>
      <c r="S93">
        <v>3.0493769999999998</v>
      </c>
      <c r="T93">
        <v>-0.28499289999999999</v>
      </c>
      <c r="U93">
        <v>-0.22579959999999999</v>
      </c>
      <c r="V93">
        <v>-5.6806019999999999E-2</v>
      </c>
      <c r="W93">
        <v>5.8630500000000002E-2</v>
      </c>
      <c r="X93">
        <v>0.99666220000000005</v>
      </c>
      <c r="Y93">
        <v>9.4087500000000004E-2</v>
      </c>
      <c r="Z93">
        <v>-6.2663930000000003E-3</v>
      </c>
      <c r="AA93">
        <v>0.99554419999999999</v>
      </c>
      <c r="AB93">
        <v>25</v>
      </c>
      <c r="AC93">
        <v>0.72609999999997399</v>
      </c>
      <c r="AD93">
        <v>-8.6940999999999893E-2</v>
      </c>
      <c r="AE93">
        <v>-7.3699999999973898E-2</v>
      </c>
      <c r="AF93">
        <v>8.75503063997944E-2</v>
      </c>
      <c r="AG93">
        <v>-8.6940999999999893E-2</v>
      </c>
      <c r="AH93">
        <v>0.71427318207700996</v>
      </c>
      <c r="AI93">
        <v>96.888822018053006</v>
      </c>
      <c r="AJ93">
        <v>83.011965557268198</v>
      </c>
      <c r="AK93">
        <v>0.72485168984152604</v>
      </c>
      <c r="AL93">
        <v>86.6387922090709</v>
      </c>
      <c r="AM93">
        <v>93.262115914389298</v>
      </c>
      <c r="AN93">
        <v>1.00000000017366</v>
      </c>
    </row>
    <row r="94" spans="1:40" x14ac:dyDescent="0.25">
      <c r="A94" t="str">
        <f>"20190305135757459"</f>
        <v>20190305135757459</v>
      </c>
      <c r="B94" t="str">
        <f>"1551765477448804"</f>
        <v>1551765477448804</v>
      </c>
      <c r="C94" t="s">
        <v>40</v>
      </c>
      <c r="D94">
        <v>4.2417689999999997</v>
      </c>
      <c r="E94">
        <v>0.55908619999999898</v>
      </c>
      <c r="F94" t="s">
        <v>41</v>
      </c>
      <c r="G94">
        <v>-463.92410000000001</v>
      </c>
      <c r="H94">
        <v>1.0394950000000001</v>
      </c>
      <c r="I94">
        <v>367.31150000000002</v>
      </c>
      <c r="J94">
        <v>-464.40550000000002</v>
      </c>
      <c r="K94">
        <v>1.108344</v>
      </c>
      <c r="L94">
        <v>367.3775</v>
      </c>
      <c r="M94">
        <v>0.99977179999999999</v>
      </c>
      <c r="N94">
        <v>1.9132999999999999E-3</v>
      </c>
      <c r="O94">
        <v>2.12771E-2</v>
      </c>
      <c r="P94">
        <v>0.99518249999999997</v>
      </c>
      <c r="Q94">
        <v>6.1040810000000001E-2</v>
      </c>
      <c r="R94">
        <v>7.6719759999999998E-2</v>
      </c>
      <c r="S94">
        <v>3.0515439999999998</v>
      </c>
      <c r="T94">
        <v>-0.28620030000000002</v>
      </c>
      <c r="U94">
        <v>-0.24996950000000001</v>
      </c>
      <c r="V94">
        <v>-5.5570710000000002E-2</v>
      </c>
      <c r="W94">
        <v>5.9093659999999999E-2</v>
      </c>
      <c r="X94">
        <v>0.99670449999999999</v>
      </c>
      <c r="Y94">
        <v>0.10229630000000001</v>
      </c>
      <c r="Z94">
        <v>-6.7091700000000004E-3</v>
      </c>
      <c r="AA94">
        <v>0.99473140000000004</v>
      </c>
      <c r="AB94">
        <v>25</v>
      </c>
      <c r="AC94">
        <v>0.48140000000000699</v>
      </c>
      <c r="AD94">
        <v>-6.8848999999999896E-2</v>
      </c>
      <c r="AE94">
        <v>-6.5999999999973996E-2</v>
      </c>
      <c r="AF94">
        <v>7.4727578453437998E-2</v>
      </c>
      <c r="AG94">
        <v>-6.8848999999999896E-2</v>
      </c>
      <c r="AH94">
        <v>0.470441737109001</v>
      </c>
      <c r="AI94">
        <v>98.224435556396998</v>
      </c>
      <c r="AJ94">
        <v>80.974228498951405</v>
      </c>
      <c r="AK94">
        <v>0.48128975035486599</v>
      </c>
      <c r="AL94">
        <v>86.612209045068596</v>
      </c>
      <c r="AM94">
        <v>93.191190673424799</v>
      </c>
      <c r="AN94">
        <v>1.0000000123911701</v>
      </c>
    </row>
    <row r="95" spans="1:40" x14ac:dyDescent="0.25">
      <c r="A95" t="str">
        <f>"20190305135757481"</f>
        <v>20190305135757481</v>
      </c>
      <c r="B95" t="str">
        <f>"1551765477469301"</f>
        <v>1551765477469301</v>
      </c>
      <c r="C95" t="s">
        <v>40</v>
      </c>
      <c r="D95">
        <v>4.3009320000000004</v>
      </c>
      <c r="E95">
        <v>0.55920110000000001</v>
      </c>
      <c r="F95" t="s">
        <v>41</v>
      </c>
      <c r="G95">
        <v>-463.47210000000001</v>
      </c>
      <c r="H95">
        <v>1.0178309999999999</v>
      </c>
      <c r="I95">
        <v>367.29700000000003</v>
      </c>
      <c r="J95">
        <v>-464.15609999999998</v>
      </c>
      <c r="K95">
        <v>1.1083620000000001</v>
      </c>
      <c r="L95">
        <v>367.38330000000002</v>
      </c>
      <c r="M95">
        <v>0.99976209999999999</v>
      </c>
      <c r="N95">
        <v>1.8313019999999999E-3</v>
      </c>
      <c r="O95">
        <v>2.1739120000000001E-2</v>
      </c>
      <c r="P95">
        <v>0.99533119999999997</v>
      </c>
      <c r="Q95">
        <v>6.0009409999999999E-2</v>
      </c>
      <c r="R95">
        <v>7.5596350000000007E-2</v>
      </c>
      <c r="S95">
        <v>3.0529480000000002</v>
      </c>
      <c r="T95">
        <v>-0.29629229999999901</v>
      </c>
      <c r="U95">
        <v>-0.26266479999999998</v>
      </c>
      <c r="V95">
        <v>-5.3984369999999997E-2</v>
      </c>
      <c r="W95">
        <v>5.8144010000000003E-2</v>
      </c>
      <c r="X95">
        <v>0.9968475</v>
      </c>
      <c r="Y95">
        <v>0.1067647</v>
      </c>
      <c r="Z95">
        <v>-7.2020620000000004E-3</v>
      </c>
      <c r="AA95">
        <v>0.99425819999999998</v>
      </c>
      <c r="AB95">
        <v>26</v>
      </c>
      <c r="AC95">
        <v>0.68399999999996897</v>
      </c>
      <c r="AD95">
        <v>-9.0531000000000098E-2</v>
      </c>
      <c r="AE95">
        <v>-8.63000000000511E-2</v>
      </c>
      <c r="AF95">
        <v>9.9434594186867994E-2</v>
      </c>
      <c r="AG95">
        <v>-9.0531000000000098E-2</v>
      </c>
      <c r="AH95">
        <v>0.67040223733627602</v>
      </c>
      <c r="AI95">
        <v>97.608445484038199</v>
      </c>
      <c r="AJ95">
        <v>81.563351614152793</v>
      </c>
      <c r="AK95">
        <v>0.68375599471419002</v>
      </c>
      <c r="AL95">
        <v>86.666713626850594</v>
      </c>
      <c r="AM95">
        <v>93.099830320404706</v>
      </c>
      <c r="AN95">
        <v>0.99999998817971303</v>
      </c>
    </row>
    <row r="96" spans="1:40" x14ac:dyDescent="0.25">
      <c r="A96" t="str">
        <f>"20190305135757502"</f>
        <v>20190305135757502</v>
      </c>
      <c r="B96" t="str">
        <f>"1551765477498578"</f>
        <v>1551765477498578</v>
      </c>
      <c r="C96" t="s">
        <v>40</v>
      </c>
      <c r="D96">
        <v>4.3164040000000004</v>
      </c>
      <c r="E96">
        <v>0.55911480000000002</v>
      </c>
      <c r="F96" t="s">
        <v>41</v>
      </c>
      <c r="G96">
        <v>-463.23950000000002</v>
      </c>
      <c r="H96">
        <v>1.0156879999999999</v>
      </c>
      <c r="I96">
        <v>367.30279999999999</v>
      </c>
      <c r="J96">
        <v>-463.90100000000001</v>
      </c>
      <c r="K96">
        <v>1.1083860000000001</v>
      </c>
      <c r="L96">
        <v>367.38929999999999</v>
      </c>
      <c r="M96">
        <v>0.99975190000000003</v>
      </c>
      <c r="N96">
        <v>1.7474910000000001E-3</v>
      </c>
      <c r="O96">
        <v>2.221134E-2</v>
      </c>
      <c r="P96">
        <v>0.99548789999999998</v>
      </c>
      <c r="Q96">
        <v>5.8537159999999998E-2</v>
      </c>
      <c r="R96">
        <v>7.4682040000000005E-2</v>
      </c>
      <c r="S96">
        <v>3.0530400000000002</v>
      </c>
      <c r="T96">
        <v>-0.30883650000000001</v>
      </c>
      <c r="U96">
        <v>-0.26718140000000001</v>
      </c>
      <c r="V96">
        <v>-5.2595330000000003E-2</v>
      </c>
      <c r="W96">
        <v>5.6754899999999997E-2</v>
      </c>
      <c r="X96">
        <v>0.99700180000000005</v>
      </c>
      <c r="Y96">
        <v>0.10862810000000001</v>
      </c>
      <c r="Z96">
        <v>-7.6504700000000004E-3</v>
      </c>
      <c r="AA96">
        <v>0.99405299999999996</v>
      </c>
      <c r="AB96">
        <v>26</v>
      </c>
      <c r="AC96">
        <v>0.66149999999998899</v>
      </c>
      <c r="AD96">
        <v>-9.26980000000001E-2</v>
      </c>
      <c r="AE96">
        <v>-8.6500000000000896E-2</v>
      </c>
      <c r="AF96">
        <v>9.9255149824547806E-2</v>
      </c>
      <c r="AG96">
        <v>-9.26980000000001E-2</v>
      </c>
      <c r="AH96">
        <v>0.64692525097650599</v>
      </c>
      <c r="AI96">
        <v>98.061345911222503</v>
      </c>
      <c r="AJ96">
        <v>81.277355984060705</v>
      </c>
      <c r="AK96">
        <v>0.66102706776780995</v>
      </c>
      <c r="AL96">
        <v>86.746435442232794</v>
      </c>
      <c r="AM96">
        <v>93.019753468804296</v>
      </c>
      <c r="AN96">
        <v>0.99999998830752901</v>
      </c>
    </row>
    <row r="97" spans="1:40" x14ac:dyDescent="0.25">
      <c r="A97" t="str">
        <f>"20190305135757527"</f>
        <v>20190305135757527</v>
      </c>
      <c r="B97" t="str">
        <f>"1551765477519074"</f>
        <v>1551765477519074</v>
      </c>
      <c r="C97" t="s">
        <v>40</v>
      </c>
      <c r="D97">
        <v>4.2866799999999996</v>
      </c>
      <c r="E97">
        <v>0.55887940000000003</v>
      </c>
      <c r="F97" t="s">
        <v>41</v>
      </c>
      <c r="G97">
        <v>-463.00479999999999</v>
      </c>
      <c r="H97">
        <v>1.014</v>
      </c>
      <c r="I97">
        <v>367.31020000000001</v>
      </c>
      <c r="J97">
        <v>-463.61250000000001</v>
      </c>
      <c r="K97">
        <v>1.1084039999999999</v>
      </c>
      <c r="L97">
        <v>367.3963</v>
      </c>
      <c r="M97">
        <v>0.99973999999999996</v>
      </c>
      <c r="N97">
        <v>1.6526799999999999E-3</v>
      </c>
      <c r="O97">
        <v>2.2744190000000001E-2</v>
      </c>
      <c r="P97">
        <v>0.99573840000000002</v>
      </c>
      <c r="Q97">
        <v>5.7134320000000002E-2</v>
      </c>
      <c r="R97">
        <v>7.2395780000000007E-2</v>
      </c>
      <c r="S97">
        <v>3.0527340000000001</v>
      </c>
      <c r="T97">
        <v>-0.32158880000000001</v>
      </c>
      <c r="U97">
        <v>-0.2696228</v>
      </c>
      <c r="V97">
        <v>-4.9772490000000003E-2</v>
      </c>
      <c r="W97">
        <v>5.5448039999999997E-2</v>
      </c>
      <c r="X97">
        <v>0.9972202</v>
      </c>
      <c r="Y97">
        <v>0.1098895</v>
      </c>
      <c r="Z97">
        <v>-8.092419E-3</v>
      </c>
      <c r="AA97">
        <v>0.99391079999999998</v>
      </c>
      <c r="AB97">
        <v>26</v>
      </c>
      <c r="AC97">
        <v>0.607700000000022</v>
      </c>
      <c r="AD97">
        <v>-9.4404000000000099E-2</v>
      </c>
      <c r="AE97">
        <v>-8.6099999999987603E-2</v>
      </c>
      <c r="AF97">
        <v>9.7590629360194303E-2</v>
      </c>
      <c r="AG97">
        <v>-9.4404000000000099E-2</v>
      </c>
      <c r="AH97">
        <v>0.59158894379175697</v>
      </c>
      <c r="AI97">
        <v>98.947711150149303</v>
      </c>
      <c r="AJ97">
        <v>80.632646388256504</v>
      </c>
      <c r="AK97">
        <v>0.60697077736211102</v>
      </c>
      <c r="AL97">
        <v>86.8214310227889</v>
      </c>
      <c r="AM97">
        <v>92.857331926501899</v>
      </c>
      <c r="AN97">
        <v>0.99999995659434004</v>
      </c>
    </row>
    <row r="98" spans="1:40" x14ac:dyDescent="0.25">
      <c r="A98" t="str">
        <f>"20190305135757550"</f>
        <v>20190305135757550</v>
      </c>
      <c r="B98" t="str">
        <f>"1551765477538593"</f>
        <v>1551765477538593</v>
      </c>
      <c r="C98" t="s">
        <v>40</v>
      </c>
      <c r="D98">
        <v>4.2785060000000001</v>
      </c>
      <c r="E98">
        <v>0.55861530000000004</v>
      </c>
      <c r="F98" t="s">
        <v>41</v>
      </c>
      <c r="G98">
        <v>-462.76600000000002</v>
      </c>
      <c r="H98">
        <v>1.016823</v>
      </c>
      <c r="I98">
        <v>367.31959999999998</v>
      </c>
      <c r="J98">
        <v>-463.33839999999998</v>
      </c>
      <c r="K98">
        <v>1.108425</v>
      </c>
      <c r="L98">
        <v>367.40300000000002</v>
      </c>
      <c r="M98">
        <v>0.99972859999999997</v>
      </c>
      <c r="N98">
        <v>1.5627900000000001E-3</v>
      </c>
      <c r="O98">
        <v>2.324586E-2</v>
      </c>
      <c r="P98">
        <v>0.99596269999999998</v>
      </c>
      <c r="Q98">
        <v>5.7197060000000001E-2</v>
      </c>
      <c r="R98">
        <v>6.9188199999999894E-2</v>
      </c>
      <c r="S98">
        <v>3.0517880000000002</v>
      </c>
      <c r="T98">
        <v>-0.33052409999999999</v>
      </c>
      <c r="U98">
        <v>-0.27493289999999998</v>
      </c>
      <c r="V98">
        <v>-4.6061329999999998E-2</v>
      </c>
      <c r="W98">
        <v>5.5602770000000003E-2</v>
      </c>
      <c r="X98">
        <v>0.99738990000000005</v>
      </c>
      <c r="Y98">
        <v>0.1120738</v>
      </c>
      <c r="Z98">
        <v>-8.4931609999999904E-3</v>
      </c>
      <c r="AA98">
        <v>0.99366359999999998</v>
      </c>
      <c r="AB98">
        <v>26</v>
      </c>
      <c r="AC98">
        <v>0.57240000000001601</v>
      </c>
      <c r="AD98">
        <v>-9.1601999999999906E-2</v>
      </c>
      <c r="AE98">
        <v>-8.3400000000040095E-2</v>
      </c>
      <c r="AF98">
        <v>9.4318129024358405E-2</v>
      </c>
      <c r="AG98">
        <v>-9.1601999999999906E-2</v>
      </c>
      <c r="AH98">
        <v>0.55635453373656996</v>
      </c>
      <c r="AI98">
        <v>99.220432140527706</v>
      </c>
      <c r="AJ98">
        <v>80.378194920351703</v>
      </c>
      <c r="AK98">
        <v>0.57167928340625696</v>
      </c>
      <c r="AL98">
        <v>86.812551970132603</v>
      </c>
      <c r="AM98">
        <v>92.644147486871304</v>
      </c>
      <c r="AN98">
        <v>0.99999996338752495</v>
      </c>
    </row>
    <row r="99" spans="1:40" x14ac:dyDescent="0.25">
      <c r="A99" t="str">
        <f>"20190305135757572"</f>
        <v>20190305135757572</v>
      </c>
      <c r="B99" t="str">
        <f>"1551765477559089"</f>
        <v>1551765477559089</v>
      </c>
      <c r="C99" t="s">
        <v>40</v>
      </c>
      <c r="D99">
        <v>4.2079870000000001</v>
      </c>
      <c r="E99">
        <v>0.55857219999999996</v>
      </c>
      <c r="F99" t="s">
        <v>41</v>
      </c>
      <c r="G99">
        <v>-462.52550000000002</v>
      </c>
      <c r="H99">
        <v>1.0195099999999999</v>
      </c>
      <c r="I99">
        <v>367.32749999999999</v>
      </c>
      <c r="J99">
        <v>-463.0763</v>
      </c>
      <c r="K99">
        <v>1.1084400000000001</v>
      </c>
      <c r="L99">
        <v>367.40960000000001</v>
      </c>
      <c r="M99">
        <v>0.99971770000000004</v>
      </c>
      <c r="N99">
        <v>1.476659E-3</v>
      </c>
      <c r="O99">
        <v>2.3715759999999999E-2</v>
      </c>
      <c r="P99">
        <v>0.9963284</v>
      </c>
      <c r="Q99">
        <v>5.684852E-2</v>
      </c>
      <c r="R99">
        <v>6.4017779999999996E-2</v>
      </c>
      <c r="S99">
        <v>3.050964</v>
      </c>
      <c r="T99">
        <v>-0.33381319999999998</v>
      </c>
      <c r="U99">
        <v>-0.28311160000000002</v>
      </c>
      <c r="V99">
        <v>-4.0414489999999997E-2</v>
      </c>
      <c r="W99">
        <v>5.5343780000000002E-2</v>
      </c>
      <c r="X99">
        <v>0.99764909999999996</v>
      </c>
      <c r="Y99">
        <v>0.1151688</v>
      </c>
      <c r="Z99">
        <v>-8.7998360000000001E-3</v>
      </c>
      <c r="AA99">
        <v>0.99330689999999999</v>
      </c>
      <c r="AB99">
        <v>27</v>
      </c>
      <c r="AC99">
        <v>0.55079999999998097</v>
      </c>
      <c r="AD99">
        <v>-8.8929999999999704E-2</v>
      </c>
      <c r="AE99">
        <v>-8.2100000000025306E-2</v>
      </c>
      <c r="AF99">
        <v>9.2773696555842305E-2</v>
      </c>
      <c r="AG99">
        <v>-8.8929999999999704E-2</v>
      </c>
      <c r="AH99">
        <v>0.53505336551669902</v>
      </c>
      <c r="AI99">
        <v>99.300441753139296</v>
      </c>
      <c r="AJ99">
        <v>80.163201514657104</v>
      </c>
      <c r="AK99">
        <v>0.55027048587343097</v>
      </c>
      <c r="AL99">
        <v>86.827413992573099</v>
      </c>
      <c r="AM99">
        <v>92.319767844864899</v>
      </c>
      <c r="AN99">
        <v>0.99999999585872901</v>
      </c>
    </row>
    <row r="100" spans="1:40" x14ac:dyDescent="0.25">
      <c r="A100" t="str">
        <f>"20190305135757593"</f>
        <v>20190305135757593</v>
      </c>
      <c r="B100" t="str">
        <f>"1551765477589345"</f>
        <v>1551765477589345</v>
      </c>
      <c r="C100" t="s">
        <v>40</v>
      </c>
      <c r="D100">
        <v>4.2580030000000004</v>
      </c>
      <c r="E100">
        <v>0.55853540000000002</v>
      </c>
      <c r="F100" t="s">
        <v>41</v>
      </c>
      <c r="G100">
        <v>-462.2835</v>
      </c>
      <c r="H100">
        <v>1.0208600000000001</v>
      </c>
      <c r="I100">
        <v>367.33109999999999</v>
      </c>
      <c r="J100">
        <v>-462.82659999999998</v>
      </c>
      <c r="K100">
        <v>1.1084419999999999</v>
      </c>
      <c r="L100">
        <v>367.41590000000002</v>
      </c>
      <c r="M100">
        <v>0.99970760000000003</v>
      </c>
      <c r="N100">
        <v>1.3944020000000001E-3</v>
      </c>
      <c r="O100">
        <v>2.4145739999999999E-2</v>
      </c>
      <c r="P100">
        <v>0.99678129999999998</v>
      </c>
      <c r="Q100">
        <v>5.5827660000000001E-2</v>
      </c>
      <c r="R100">
        <v>5.7536629999999998E-2</v>
      </c>
      <c r="S100">
        <v>3.0495000000000001</v>
      </c>
      <c r="T100">
        <v>-0.33724959999999998</v>
      </c>
      <c r="U100">
        <v>-0.29962159999999999</v>
      </c>
      <c r="V100">
        <v>-3.3493639999999998E-2</v>
      </c>
      <c r="W100">
        <v>5.4410109999999998E-2</v>
      </c>
      <c r="X100">
        <v>0.99795679999999998</v>
      </c>
      <c r="Y100">
        <v>0.1209126</v>
      </c>
      <c r="Z100">
        <v>-9.2549680000000006E-3</v>
      </c>
      <c r="AA100">
        <v>0.99261999999999995</v>
      </c>
      <c r="AB100">
        <v>27</v>
      </c>
      <c r="AC100">
        <v>0.54309999999998104</v>
      </c>
      <c r="AD100">
        <v>-8.7581999999999799E-2</v>
      </c>
      <c r="AE100">
        <v>-8.4800000000029699E-2</v>
      </c>
      <c r="AF100">
        <v>9.5465275003609504E-2</v>
      </c>
      <c r="AG100">
        <v>-8.7581999999999799E-2</v>
      </c>
      <c r="AH100">
        <v>0.52750246456249505</v>
      </c>
      <c r="AI100">
        <v>99.278863687454404</v>
      </c>
      <c r="AJ100">
        <v>79.741870957600497</v>
      </c>
      <c r="AK100">
        <v>0.54317867739356396</v>
      </c>
      <c r="AL100">
        <v>86.880990182172397</v>
      </c>
      <c r="AM100">
        <v>91.922251692430393</v>
      </c>
      <c r="AN100">
        <v>1.0000000293284499</v>
      </c>
    </row>
    <row r="101" spans="1:40" x14ac:dyDescent="0.25">
      <c r="A101" t="str">
        <f>"20190305135757616"</f>
        <v>20190305135757616</v>
      </c>
      <c r="B101" t="str">
        <f>"1551765477608866"</f>
        <v>1551765477608866</v>
      </c>
      <c r="C101" t="s">
        <v>40</v>
      </c>
      <c r="D101">
        <v>4.2321780000000002</v>
      </c>
      <c r="E101">
        <v>0.55814770000000002</v>
      </c>
      <c r="F101" t="s">
        <v>41</v>
      </c>
      <c r="G101">
        <v>-462.04039999999998</v>
      </c>
      <c r="H101">
        <v>1.0202469999999999</v>
      </c>
      <c r="I101">
        <v>367.33330000000001</v>
      </c>
      <c r="J101">
        <v>-462.52960000000002</v>
      </c>
      <c r="K101">
        <v>1.108436</v>
      </c>
      <c r="L101">
        <v>367.42360000000002</v>
      </c>
      <c r="M101">
        <v>0.99969600000000003</v>
      </c>
      <c r="N101">
        <v>1.29678E-3</v>
      </c>
      <c r="O101">
        <v>2.462313E-2</v>
      </c>
      <c r="P101">
        <v>0.99725660000000005</v>
      </c>
      <c r="Q101">
        <v>5.3586389999999998E-2</v>
      </c>
      <c r="R101">
        <v>5.1070940000000002E-2</v>
      </c>
      <c r="S101">
        <v>3.0473020000000002</v>
      </c>
      <c r="T101">
        <v>-0.34180429999999901</v>
      </c>
      <c r="U101">
        <v>-0.32040410000000002</v>
      </c>
      <c r="V101">
        <v>-2.6538320000000001E-2</v>
      </c>
      <c r="W101">
        <v>5.227263E-2</v>
      </c>
      <c r="X101">
        <v>0.99828019999999995</v>
      </c>
      <c r="Y101">
        <v>0.12808159999999999</v>
      </c>
      <c r="Z101">
        <v>-9.8358930000000001E-3</v>
      </c>
      <c r="AA101">
        <v>0.99171480000000001</v>
      </c>
      <c r="AB101">
        <v>27</v>
      </c>
      <c r="AC101">
        <v>0.48920000000003899</v>
      </c>
      <c r="AD101">
        <v>-8.8189000000000003E-2</v>
      </c>
      <c r="AE101">
        <v>-9.03000000000133E-2</v>
      </c>
      <c r="AF101">
        <v>9.9200671929529305E-2</v>
      </c>
      <c r="AG101">
        <v>-8.8189000000000003E-2</v>
      </c>
      <c r="AH101">
        <v>0.47199475628223198</v>
      </c>
      <c r="AI101">
        <v>100.36197187617501</v>
      </c>
      <c r="AJ101">
        <v>78.130713983065903</v>
      </c>
      <c r="AK101">
        <v>0.49030309298452701</v>
      </c>
      <c r="AL101">
        <v>87.003633401688305</v>
      </c>
      <c r="AM101">
        <v>91.522794592604797</v>
      </c>
      <c r="AN101">
        <v>1.00000003399378</v>
      </c>
    </row>
    <row r="102" spans="1:40" x14ac:dyDescent="0.25">
      <c r="A102" t="str">
        <f>"20190305135757639"</f>
        <v>20190305135757639</v>
      </c>
      <c r="B102" t="str">
        <f>"1551765477628385"</f>
        <v>1551765477628385</v>
      </c>
      <c r="C102" t="s">
        <v>40</v>
      </c>
      <c r="D102">
        <v>4.2445069999999996</v>
      </c>
      <c r="E102">
        <v>0.55751249999999997</v>
      </c>
      <c r="F102" t="s">
        <v>41</v>
      </c>
      <c r="G102">
        <v>-461.79340000000002</v>
      </c>
      <c r="H102">
        <v>1.0245109999999999</v>
      </c>
      <c r="I102">
        <v>367.34120000000001</v>
      </c>
      <c r="J102">
        <v>-462.26310000000001</v>
      </c>
      <c r="K102">
        <v>1.10842</v>
      </c>
      <c r="L102">
        <v>367.43049999999999</v>
      </c>
      <c r="M102">
        <v>0.99968679999999999</v>
      </c>
      <c r="N102">
        <v>1.209054E-3</v>
      </c>
      <c r="O102">
        <v>2.5001349999999999E-2</v>
      </c>
      <c r="P102">
        <v>0.99765950000000003</v>
      </c>
      <c r="Q102">
        <v>5.1954050000000002E-2</v>
      </c>
      <c r="R102">
        <v>4.4460439999999997E-2</v>
      </c>
      <c r="S102">
        <v>3.0442809999999998</v>
      </c>
      <c r="T102">
        <v>-0.34739219999999998</v>
      </c>
      <c r="U102">
        <v>-0.33853149999999999</v>
      </c>
      <c r="V102">
        <v>-1.9537539999999999E-2</v>
      </c>
      <c r="W102">
        <v>5.0734019999999998E-2</v>
      </c>
      <c r="X102">
        <v>0.99852110000000005</v>
      </c>
      <c r="Y102">
        <v>0.13431860000000001</v>
      </c>
      <c r="Z102">
        <v>-1.03999E-2</v>
      </c>
      <c r="AA102">
        <v>0.99088359999999998</v>
      </c>
      <c r="AB102">
        <v>27</v>
      </c>
      <c r="AC102">
        <v>0.46969999999998802</v>
      </c>
      <c r="AD102">
        <v>-8.3909000000000206E-2</v>
      </c>
      <c r="AE102">
        <v>-8.9299999999980104E-2</v>
      </c>
      <c r="AF102">
        <v>9.7996893849604902E-2</v>
      </c>
      <c r="AG102">
        <v>-8.3909000000000206E-2</v>
      </c>
      <c r="AH102">
        <v>0.45335702498514902</v>
      </c>
      <c r="AI102">
        <v>100.254224603713</v>
      </c>
      <c r="AJ102">
        <v>77.802700250717905</v>
      </c>
      <c r="AK102">
        <v>0.47135623851664099</v>
      </c>
      <c r="AL102">
        <v>87.091906384921401</v>
      </c>
      <c r="AM102">
        <v>91.120933510086999</v>
      </c>
      <c r="AN102">
        <v>1.0000000216999101</v>
      </c>
    </row>
    <row r="103" spans="1:40" x14ac:dyDescent="0.25">
      <c r="A103" t="str">
        <f>"20190305135757661"</f>
        <v>20190305135757661</v>
      </c>
      <c r="B103" t="str">
        <f>"1551765477648885"</f>
        <v>1551765477648885</v>
      </c>
      <c r="C103" t="s">
        <v>40</v>
      </c>
      <c r="D103">
        <v>4.225886</v>
      </c>
      <c r="E103">
        <v>0.55691489999999999</v>
      </c>
      <c r="F103" t="s">
        <v>41</v>
      </c>
      <c r="G103">
        <v>-461.30849999999998</v>
      </c>
      <c r="H103">
        <v>0.99852110000000005</v>
      </c>
      <c r="I103">
        <v>367.31880000000001</v>
      </c>
      <c r="J103">
        <v>-461.9751</v>
      </c>
      <c r="K103">
        <v>1.1083799999999999</v>
      </c>
      <c r="L103">
        <v>367.43810000000002</v>
      </c>
      <c r="M103">
        <v>0.99967850000000003</v>
      </c>
      <c r="N103">
        <v>1.1142890000000001E-3</v>
      </c>
      <c r="O103">
        <v>2.5333640000000001E-2</v>
      </c>
      <c r="P103">
        <v>0.99799340000000003</v>
      </c>
      <c r="Q103">
        <v>5.0547929999999998E-2</v>
      </c>
      <c r="R103">
        <v>3.8134359999999999E-2</v>
      </c>
      <c r="S103">
        <v>3.0411069999999998</v>
      </c>
      <c r="T103">
        <v>-0.35022700000000001</v>
      </c>
      <c r="U103">
        <v>-0.35531620000000003</v>
      </c>
      <c r="V103">
        <v>-1.2867389999999999E-2</v>
      </c>
      <c r="W103">
        <v>4.9427699999999998E-2</v>
      </c>
      <c r="X103">
        <v>0.99869479999999999</v>
      </c>
      <c r="Y103">
        <v>0.1400999</v>
      </c>
      <c r="Z103">
        <v>-1.0862139999999999E-2</v>
      </c>
      <c r="AA103">
        <v>0.99007780000000001</v>
      </c>
      <c r="AB103">
        <v>28</v>
      </c>
      <c r="AC103">
        <v>0.66660000000001596</v>
      </c>
      <c r="AD103">
        <v>-0.109858899999999</v>
      </c>
      <c r="AE103">
        <v>-0.119300000000009</v>
      </c>
      <c r="AF103">
        <v>0.13265787579698499</v>
      </c>
      <c r="AG103">
        <v>-0.109858899999999</v>
      </c>
      <c r="AH103">
        <v>0.64635322725653299</v>
      </c>
      <c r="AI103">
        <v>99.452848134884505</v>
      </c>
      <c r="AJ103">
        <v>78.401649117523505</v>
      </c>
      <c r="AK103">
        <v>0.66890924967824605</v>
      </c>
      <c r="AL103">
        <v>87.166846946496406</v>
      </c>
      <c r="AM103">
        <v>90.738169808621805</v>
      </c>
      <c r="AN103">
        <v>0.99999998539987101</v>
      </c>
    </row>
    <row r="104" spans="1:40" x14ac:dyDescent="0.25">
      <c r="A104" t="str">
        <f>"20190305135757682"</f>
        <v>20190305135757682</v>
      </c>
      <c r="B104" t="str">
        <f>"1551765477679138"</f>
        <v>1551765477679138</v>
      </c>
      <c r="C104" t="s">
        <v>40</v>
      </c>
      <c r="D104">
        <v>4.251188</v>
      </c>
      <c r="E104">
        <v>0.55626509999999996</v>
      </c>
      <c r="F104" t="s">
        <v>41</v>
      </c>
      <c r="G104">
        <v>-461.05650000000003</v>
      </c>
      <c r="H104">
        <v>1.0017480000000001</v>
      </c>
      <c r="I104">
        <v>367.32560000000001</v>
      </c>
      <c r="J104">
        <v>-461.72469999999998</v>
      </c>
      <c r="K104">
        <v>1.1083449999999999</v>
      </c>
      <c r="L104">
        <v>367.44470000000001</v>
      </c>
      <c r="M104">
        <v>0.99967269999999997</v>
      </c>
      <c r="N104">
        <v>1.0316749999999999E-3</v>
      </c>
      <c r="O104">
        <v>2.5566430000000001E-2</v>
      </c>
      <c r="P104">
        <v>0.99827440000000001</v>
      </c>
      <c r="Q104">
        <v>4.805065E-2</v>
      </c>
      <c r="R104">
        <v>3.3755710000000001E-2</v>
      </c>
      <c r="S104">
        <v>3.038116</v>
      </c>
      <c r="T104">
        <v>-0.35272419999999999</v>
      </c>
      <c r="U104">
        <v>-0.37158200000000002</v>
      </c>
      <c r="V104">
        <v>-8.244655E-3</v>
      </c>
      <c r="W104">
        <v>4.7016269999999999E-2</v>
      </c>
      <c r="X104">
        <v>0.99886010000000003</v>
      </c>
      <c r="Y104">
        <v>0.14561160000000001</v>
      </c>
      <c r="Z104">
        <v>-1.1292369999999999E-2</v>
      </c>
      <c r="AA104">
        <v>0.98927739999999997</v>
      </c>
      <c r="AB104">
        <v>28</v>
      </c>
      <c r="AC104">
        <v>0.66819999999995605</v>
      </c>
      <c r="AD104">
        <v>-0.106597</v>
      </c>
      <c r="AE104">
        <v>-0.119100000000003</v>
      </c>
      <c r="AF104">
        <v>0.13286729351159501</v>
      </c>
      <c r="AG104">
        <v>-0.106597</v>
      </c>
      <c r="AH104">
        <v>0.648930267182797</v>
      </c>
      <c r="AI104">
        <v>99.142066573467801</v>
      </c>
      <c r="AJ104">
        <v>78.428720592101001</v>
      </c>
      <c r="AK104">
        <v>0.67091514348688897</v>
      </c>
      <c r="AL104">
        <v>87.305172709934496</v>
      </c>
      <c r="AM104">
        <v>90.472912280417006</v>
      </c>
      <c r="AN104">
        <v>1.0000000016763899</v>
      </c>
    </row>
    <row r="105" spans="1:40" x14ac:dyDescent="0.25">
      <c r="A105" t="str">
        <f>"20190305135757705"</f>
        <v>20190305135757705</v>
      </c>
      <c r="B105" t="str">
        <f>"1551765477698657"</f>
        <v>1551765477698657</v>
      </c>
      <c r="C105" t="s">
        <v>40</v>
      </c>
      <c r="D105">
        <v>4.202877</v>
      </c>
      <c r="E105">
        <v>0.54283630000000005</v>
      </c>
      <c r="F105" t="s">
        <v>41</v>
      </c>
      <c r="G105">
        <v>-460.80470000000003</v>
      </c>
      <c r="H105">
        <v>0.99992449999999999</v>
      </c>
      <c r="I105">
        <v>367.32870000000003</v>
      </c>
      <c r="J105">
        <v>-461.42349999999999</v>
      </c>
      <c r="K105">
        <v>1.1082920000000001</v>
      </c>
      <c r="L105">
        <v>367.45269999999999</v>
      </c>
      <c r="M105">
        <v>0.9996678</v>
      </c>
      <c r="N105">
        <v>9.3204629999999995E-4</v>
      </c>
      <c r="O105">
        <v>2.5765429999999999E-2</v>
      </c>
      <c r="P105">
        <v>0.99850450000000002</v>
      </c>
      <c r="Q105">
        <v>4.5733240000000001E-2</v>
      </c>
      <c r="R105">
        <v>2.9958430000000001E-2</v>
      </c>
      <c r="S105">
        <v>3.0352779999999999</v>
      </c>
      <c r="T105">
        <v>-0.3579465</v>
      </c>
      <c r="U105">
        <v>-0.3813782</v>
      </c>
      <c r="V105">
        <v>-4.2365440000000001E-3</v>
      </c>
      <c r="W105">
        <v>4.4800840000000001E-2</v>
      </c>
      <c r="X105">
        <v>0.99898699999999996</v>
      </c>
      <c r="Y105">
        <v>0.14900339999999901</v>
      </c>
      <c r="Z105">
        <v>-1.169272E-2</v>
      </c>
      <c r="AA105">
        <v>0.98876759999999997</v>
      </c>
      <c r="AB105">
        <v>28</v>
      </c>
      <c r="AC105">
        <v>0.61879999999996405</v>
      </c>
      <c r="AD105">
        <v>-0.10836749999999901</v>
      </c>
      <c r="AE105">
        <v>-0.123999999999966</v>
      </c>
      <c r="AF105">
        <v>0.13589561991465299</v>
      </c>
      <c r="AG105">
        <v>-0.10836749999999901</v>
      </c>
      <c r="AH105">
        <v>0.59777435124501599</v>
      </c>
      <c r="AI105">
        <v>100.02486616667601</v>
      </c>
      <c r="AJ105">
        <v>77.192287690972194</v>
      </c>
      <c r="AK105">
        <v>0.62253137236177702</v>
      </c>
      <c r="AL105">
        <v>87.432241611118897</v>
      </c>
      <c r="AM105">
        <v>90.242980775282007</v>
      </c>
      <c r="AN105">
        <v>1.00000004486938</v>
      </c>
    </row>
    <row r="106" spans="1:40" x14ac:dyDescent="0.25">
      <c r="A106" t="str">
        <f>"20190305135757727"</f>
        <v>20190305135757727</v>
      </c>
      <c r="B106" t="str">
        <f>"1551765477719153"</f>
        <v>1551765477719153</v>
      </c>
      <c r="C106" t="s">
        <v>40</v>
      </c>
      <c r="D106">
        <v>4.1445650000000001</v>
      </c>
      <c r="E106">
        <v>0.53594419999999898</v>
      </c>
      <c r="F106" t="s">
        <v>41</v>
      </c>
      <c r="G106">
        <v>-460.54919999999998</v>
      </c>
      <c r="H106">
        <v>1.0060439999999999</v>
      </c>
      <c r="I106">
        <v>367.37009999999998</v>
      </c>
      <c r="J106">
        <v>-461.137</v>
      </c>
      <c r="K106">
        <v>1.108239</v>
      </c>
      <c r="L106">
        <v>367.46019999999999</v>
      </c>
      <c r="M106">
        <v>0.99966469999999996</v>
      </c>
      <c r="N106">
        <v>8.3689249999999995E-4</v>
      </c>
      <c r="O106">
        <v>2.5879699999999999E-2</v>
      </c>
      <c r="P106">
        <v>0.99865040000000005</v>
      </c>
      <c r="Q106">
        <v>4.4031279999999999E-2</v>
      </c>
      <c r="R106">
        <v>2.754622E-2</v>
      </c>
      <c r="S106">
        <v>3.0292970000000001</v>
      </c>
      <c r="T106">
        <v>-0.35430119999999998</v>
      </c>
      <c r="U106">
        <v>-0.2861938</v>
      </c>
      <c r="V106">
        <v>-1.7014969999999999E-3</v>
      </c>
      <c r="W106">
        <v>4.3194990000000003E-2</v>
      </c>
      <c r="X106">
        <v>0.99906519999999999</v>
      </c>
      <c r="Y106">
        <v>0.11881510000000001</v>
      </c>
      <c r="Z106">
        <v>-9.8915029999999994E-3</v>
      </c>
      <c r="AA106">
        <v>0.9928671</v>
      </c>
      <c r="AB106">
        <v>28</v>
      </c>
      <c r="AC106">
        <v>0.58779999999995802</v>
      </c>
      <c r="AD106">
        <v>-0.10219499999999899</v>
      </c>
      <c r="AE106">
        <v>-9.0100000000006703E-2</v>
      </c>
      <c r="AF106">
        <v>0.10226177334887</v>
      </c>
      <c r="AG106">
        <v>-0.10219499999999899</v>
      </c>
      <c r="AH106">
        <v>0.56848212901182604</v>
      </c>
      <c r="AI106">
        <v>100.033414924922</v>
      </c>
      <c r="AJ106">
        <v>79.802372946503397</v>
      </c>
      <c r="AK106">
        <v>0.58657754757514702</v>
      </c>
      <c r="AL106">
        <v>87.524339088957007</v>
      </c>
      <c r="AM106">
        <v>90.097579720221106</v>
      </c>
      <c r="AN106">
        <v>0.99999998805209001</v>
      </c>
    </row>
    <row r="107" spans="1:40" x14ac:dyDescent="0.25">
      <c r="A107" t="str">
        <f>"20190305135757752"</f>
        <v>20190305135757752</v>
      </c>
      <c r="B107" t="str">
        <f>"1551765477738677"</f>
        <v>1551765477738677</v>
      </c>
      <c r="C107" t="s">
        <v>40</v>
      </c>
      <c r="D107">
        <v>4.2108679999999996</v>
      </c>
      <c r="E107">
        <v>0.52622009999999997</v>
      </c>
      <c r="F107" t="s">
        <v>41</v>
      </c>
      <c r="G107">
        <v>-460.2731</v>
      </c>
      <c r="H107">
        <v>1.049563</v>
      </c>
      <c r="I107">
        <v>367.39420000000001</v>
      </c>
      <c r="J107">
        <v>-460.83080000000001</v>
      </c>
      <c r="K107">
        <v>1.108188</v>
      </c>
      <c r="L107">
        <v>367.46820000000002</v>
      </c>
      <c r="M107">
        <v>0.999664</v>
      </c>
      <c r="N107">
        <v>7.3478809999999895E-4</v>
      </c>
      <c r="O107">
        <v>2.5915279999999999E-2</v>
      </c>
      <c r="P107">
        <v>0.99872830000000001</v>
      </c>
      <c r="Q107">
        <v>4.3566609999999999E-2</v>
      </c>
      <c r="R107">
        <v>2.5372559999999999E-2</v>
      </c>
      <c r="S107">
        <v>3.0194399999999999</v>
      </c>
      <c r="T107">
        <v>-0.20542260000000001</v>
      </c>
      <c r="U107">
        <v>-0.22802729999999999</v>
      </c>
      <c r="V107">
        <v>5.1517879999999998E-4</v>
      </c>
      <c r="W107">
        <v>4.2832450000000001E-2</v>
      </c>
      <c r="X107">
        <v>0.99908209999999997</v>
      </c>
      <c r="Y107">
        <v>0.1008315</v>
      </c>
      <c r="Z107">
        <v>-5.1618439999999996E-3</v>
      </c>
      <c r="AA107">
        <v>0.99489019999999995</v>
      </c>
      <c r="AB107">
        <v>28</v>
      </c>
      <c r="AC107">
        <v>0.55770000000001096</v>
      </c>
      <c r="AD107">
        <v>-5.8624999999999899E-2</v>
      </c>
      <c r="AE107">
        <v>-7.4000000000012195E-2</v>
      </c>
      <c r="AF107">
        <v>8.7478185797357805E-2</v>
      </c>
      <c r="AG107">
        <v>-5.8624999999999899E-2</v>
      </c>
      <c r="AH107">
        <v>0.54962663573276604</v>
      </c>
      <c r="AI107">
        <v>96.013217217202296</v>
      </c>
      <c r="AJ107">
        <v>80.956695944479193</v>
      </c>
      <c r="AK107">
        <v>0.559623768546615</v>
      </c>
      <c r="AL107">
        <v>87.545130283263006</v>
      </c>
      <c r="AM107">
        <v>89.970455312612998</v>
      </c>
      <c r="AN107">
        <v>0.99999996336130303</v>
      </c>
    </row>
    <row r="108" spans="1:40" x14ac:dyDescent="0.25">
      <c r="A108" t="str">
        <f>"20190305135757774"</f>
        <v>20190305135757774</v>
      </c>
      <c r="B108" t="str">
        <f>"1551765477768929"</f>
        <v>1551765477768929</v>
      </c>
      <c r="C108" t="s">
        <v>40</v>
      </c>
      <c r="D108">
        <v>4.2628779999999997</v>
      </c>
      <c r="E108">
        <v>0.52413959999999904</v>
      </c>
      <c r="F108" t="s">
        <v>43</v>
      </c>
      <c r="G108">
        <v>-410.59840000000003</v>
      </c>
      <c r="H108">
        <v>-0.05</v>
      </c>
      <c r="I108">
        <v>365.00979999999998</v>
      </c>
      <c r="J108">
        <v>-460.5367</v>
      </c>
      <c r="K108">
        <v>1.1081319999999999</v>
      </c>
      <c r="L108">
        <v>367.47579999999999</v>
      </c>
      <c r="M108">
        <v>0.99966540000000004</v>
      </c>
      <c r="N108">
        <v>6.3643079999999995E-4</v>
      </c>
      <c r="O108">
        <v>2.5862309999999999E-2</v>
      </c>
      <c r="P108">
        <v>0.99879969999999996</v>
      </c>
      <c r="Q108">
        <v>4.2732140000000002E-2</v>
      </c>
      <c r="R108">
        <v>2.3945310000000001E-2</v>
      </c>
      <c r="S108">
        <v>3.0105900000000001</v>
      </c>
      <c r="T108">
        <v>-6.9414020000000007E-2</v>
      </c>
      <c r="U108">
        <v>-0.14733889999999999</v>
      </c>
      <c r="V108">
        <v>1.8968629999999999E-3</v>
      </c>
      <c r="W108">
        <v>4.2096399999999999E-2</v>
      </c>
      <c r="X108">
        <v>0.99911179999999999</v>
      </c>
      <c r="Y108">
        <v>7.4670260000000002E-2</v>
      </c>
      <c r="Z108">
        <v>-1.4487669999999999E-3</v>
      </c>
      <c r="AA108">
        <v>0.99720719999999996</v>
      </c>
      <c r="AB108">
        <v>29</v>
      </c>
      <c r="AC108">
        <v>49.938299999999899</v>
      </c>
      <c r="AD108">
        <v>-1.1581319999999999</v>
      </c>
      <c r="AE108">
        <v>-2.4660000000000002</v>
      </c>
      <c r="AF108">
        <v>3.7546806176427601</v>
      </c>
      <c r="AG108">
        <v>-1.1581319999999999</v>
      </c>
      <c r="AH108">
        <v>49.831084216843003</v>
      </c>
      <c r="AI108">
        <v>91.327618478548004</v>
      </c>
      <c r="AJ108">
        <v>85.691010541833407</v>
      </c>
      <c r="AK108">
        <v>49.985756476180597</v>
      </c>
      <c r="AL108">
        <v>87.587341120907894</v>
      </c>
      <c r="AM108">
        <v>89.891221269097699</v>
      </c>
      <c r="AN108">
        <v>1.00000004694071</v>
      </c>
    </row>
    <row r="109" spans="1:40" x14ac:dyDescent="0.25">
      <c r="A109" t="str">
        <f>"20190305135757795"</f>
        <v>20190305135757795</v>
      </c>
      <c r="B109" t="str">
        <f>"1551765477788449"</f>
        <v>1551765477788449</v>
      </c>
      <c r="C109" t="s">
        <v>40</v>
      </c>
      <c r="D109">
        <v>4.2445430000000002</v>
      </c>
      <c r="E109">
        <v>0.52415159999999905</v>
      </c>
      <c r="F109" t="s">
        <v>42</v>
      </c>
      <c r="G109">
        <v>-391.06020000000001</v>
      </c>
      <c r="H109" s="1">
        <v>-4.7429169999999998E-6</v>
      </c>
      <c r="I109">
        <v>364.399</v>
      </c>
      <c r="J109">
        <v>-460.27179999999998</v>
      </c>
      <c r="K109">
        <v>1.108088</v>
      </c>
      <c r="L109">
        <v>367.48259999999999</v>
      </c>
      <c r="M109">
        <v>0.99966849999999996</v>
      </c>
      <c r="N109">
        <v>5.4778400000000005E-4</v>
      </c>
      <c r="O109">
        <v>2.5743869999999999E-2</v>
      </c>
      <c r="P109">
        <v>0.99885520000000005</v>
      </c>
      <c r="Q109">
        <v>4.16715E-2</v>
      </c>
      <c r="R109">
        <v>2.3500279999999998E-2</v>
      </c>
      <c r="S109">
        <v>3.0088200000000001</v>
      </c>
      <c r="T109">
        <v>-4.7989959999999998E-2</v>
      </c>
      <c r="U109">
        <v>-0.13323969999999999</v>
      </c>
      <c r="V109">
        <v>2.2302649999999999E-3</v>
      </c>
      <c r="W109">
        <v>4.112354E-2</v>
      </c>
      <c r="X109">
        <v>0.99915160000000003</v>
      </c>
      <c r="Y109">
        <v>6.9931640000000003E-2</v>
      </c>
      <c r="Z109">
        <v>-9.6272329999999996E-4</v>
      </c>
      <c r="AA109">
        <v>0.99755130000000003</v>
      </c>
      <c r="AB109">
        <v>29</v>
      </c>
      <c r="AC109">
        <v>69.211599999999905</v>
      </c>
      <c r="AD109">
        <v>-1.108092742917</v>
      </c>
      <c r="AE109">
        <v>-3.0835999999999899</v>
      </c>
      <c r="AF109">
        <v>4.86310849115445</v>
      </c>
      <c r="AG109">
        <v>-1.108092742917</v>
      </c>
      <c r="AH109">
        <v>69.0916025453609</v>
      </c>
      <c r="AI109">
        <v>90.9165650316599</v>
      </c>
      <c r="AJ109">
        <v>85.973797079695998</v>
      </c>
      <c r="AK109">
        <v>69.271402728757806</v>
      </c>
      <c r="AL109">
        <v>87.643130145573494</v>
      </c>
      <c r="AM109">
        <v>89.872106936058699</v>
      </c>
      <c r="AN109">
        <v>1.0000000197033301</v>
      </c>
    </row>
    <row r="110" spans="1:40" x14ac:dyDescent="0.25">
      <c r="A110" t="str">
        <f>"20190305135757817"</f>
        <v>20190305135757817</v>
      </c>
      <c r="B110" t="str">
        <f>"1551765477808946"</f>
        <v>1551765477808946</v>
      </c>
      <c r="C110" t="s">
        <v>40</v>
      </c>
      <c r="D110">
        <v>4.2118679999999999</v>
      </c>
      <c r="E110">
        <v>0.52373859999999905</v>
      </c>
      <c r="F110" t="s">
        <v>42</v>
      </c>
      <c r="G110">
        <v>-397.64949999999999</v>
      </c>
      <c r="H110" s="1">
        <v>-2.1001500000000001E-6</v>
      </c>
      <c r="I110">
        <v>364.67700000000002</v>
      </c>
      <c r="J110">
        <v>-459.97300000000001</v>
      </c>
      <c r="K110">
        <v>1.1080410000000001</v>
      </c>
      <c r="L110">
        <v>367.49020000000002</v>
      </c>
      <c r="M110">
        <v>0.99967349999999999</v>
      </c>
      <c r="N110">
        <v>4.4784000000000002E-4</v>
      </c>
      <c r="O110">
        <v>2.5550179999999999E-2</v>
      </c>
      <c r="P110">
        <v>0.99891350000000001</v>
      </c>
      <c r="Q110">
        <v>4.0270460000000001E-2</v>
      </c>
      <c r="R110">
        <v>2.3465E-2</v>
      </c>
      <c r="S110">
        <v>3.0087890000000002</v>
      </c>
      <c r="T110">
        <v>-5.3239939999999999E-2</v>
      </c>
      <c r="U110">
        <v>-0.1347961</v>
      </c>
      <c r="V110">
        <v>2.0785159999999999E-3</v>
      </c>
      <c r="W110">
        <v>3.9822360000000001E-2</v>
      </c>
      <c r="X110">
        <v>0.9992046</v>
      </c>
      <c r="Y110">
        <v>7.0250989999999999E-2</v>
      </c>
      <c r="Z110">
        <v>-1.068746E-3</v>
      </c>
      <c r="AA110">
        <v>0.99752879999999999</v>
      </c>
      <c r="AB110">
        <v>29</v>
      </c>
      <c r="AC110">
        <v>62.323500000000003</v>
      </c>
      <c r="AD110">
        <v>-1.10804310015</v>
      </c>
      <c r="AE110">
        <v>-2.8132000000000499</v>
      </c>
      <c r="AF110">
        <v>4.4032693176240096</v>
      </c>
      <c r="AG110">
        <v>-1.10804310015</v>
      </c>
      <c r="AH110">
        <v>62.211651707470303</v>
      </c>
      <c r="AI110">
        <v>91.0178335241404</v>
      </c>
      <c r="AJ110">
        <v>85.951422114458495</v>
      </c>
      <c r="AK110">
        <v>62.377128407509304</v>
      </c>
      <c r="AL110">
        <v>87.717743331779005</v>
      </c>
      <c r="AM110">
        <v>89.8808151777136</v>
      </c>
      <c r="AN110">
        <v>0.99999998662294498</v>
      </c>
    </row>
    <row r="111" spans="1:40" x14ac:dyDescent="0.25">
      <c r="A111" t="str">
        <f>"20190305135757840"</f>
        <v>20190305135757840</v>
      </c>
      <c r="B111" t="str">
        <f>"1551765477828709"</f>
        <v>1551765477828709</v>
      </c>
      <c r="C111" t="s">
        <v>40</v>
      </c>
      <c r="D111">
        <v>4.1797309999999896</v>
      </c>
      <c r="E111">
        <v>0.52363530000000003</v>
      </c>
      <c r="F111" t="s">
        <v>43</v>
      </c>
      <c r="G111">
        <v>-410.7269</v>
      </c>
      <c r="H111">
        <v>-0.05</v>
      </c>
      <c r="I111">
        <v>365.32420000000002</v>
      </c>
      <c r="J111">
        <v>-459.67680000000001</v>
      </c>
      <c r="K111">
        <v>1.108009</v>
      </c>
      <c r="L111">
        <v>367.4975</v>
      </c>
      <c r="M111">
        <v>0.99967969999999895</v>
      </c>
      <c r="N111">
        <v>3.4890920000000002E-4</v>
      </c>
      <c r="O111">
        <v>2.530789E-2</v>
      </c>
      <c r="P111">
        <v>0.99893609999999999</v>
      </c>
      <c r="Q111">
        <v>3.9293410000000001E-2</v>
      </c>
      <c r="R111">
        <v>2.4143999999999999E-2</v>
      </c>
      <c r="S111">
        <v>3.0092469999999998</v>
      </c>
      <c r="T111">
        <v>-7.0763590000000001E-2</v>
      </c>
      <c r="U111">
        <v>-0.13235469999999999</v>
      </c>
      <c r="V111">
        <v>1.1619550000000001E-3</v>
      </c>
      <c r="W111">
        <v>3.8944230000000003E-2</v>
      </c>
      <c r="X111">
        <v>0.99924069999999998</v>
      </c>
      <c r="Y111">
        <v>6.9183579999999995E-2</v>
      </c>
      <c r="Z111">
        <v>-1.404471E-3</v>
      </c>
      <c r="AA111">
        <v>0.99760289999999996</v>
      </c>
      <c r="AB111">
        <v>29</v>
      </c>
      <c r="AC111">
        <v>48.9499</v>
      </c>
      <c r="AD111">
        <v>-1.1580090000000001</v>
      </c>
      <c r="AE111">
        <v>-2.1732999999999798</v>
      </c>
      <c r="AF111">
        <v>3.4095181912492101</v>
      </c>
      <c r="AG111">
        <v>-1.1580090000000001</v>
      </c>
      <c r="AH111">
        <v>48.851933475345596</v>
      </c>
      <c r="AI111">
        <v>91.354617598215995</v>
      </c>
      <c r="AJ111">
        <v>86.007635228400005</v>
      </c>
      <c r="AK111">
        <v>48.984458794806898</v>
      </c>
      <c r="AL111">
        <v>87.768095548576795</v>
      </c>
      <c r="AM111">
        <v>89.9333743236472</v>
      </c>
      <c r="AN111">
        <v>0.99999998986310201</v>
      </c>
    </row>
    <row r="112" spans="1:40" x14ac:dyDescent="0.25">
      <c r="A112" t="str">
        <f>"20190305135757860"</f>
        <v>20190305135757860</v>
      </c>
      <c r="B112" t="str">
        <f>"1551765477849205"</f>
        <v>1551765477849205</v>
      </c>
      <c r="C112" t="s">
        <v>40</v>
      </c>
      <c r="D112">
        <v>4.1911680000000002</v>
      </c>
      <c r="E112">
        <v>0.52338640000000003</v>
      </c>
      <c r="F112" t="s">
        <v>43</v>
      </c>
      <c r="G112">
        <v>-419.81670000000003</v>
      </c>
      <c r="H112">
        <v>-0.05</v>
      </c>
      <c r="I112">
        <v>365.77330000000001</v>
      </c>
      <c r="J112">
        <v>-459.39510000000001</v>
      </c>
      <c r="K112">
        <v>1.1079859999999999</v>
      </c>
      <c r="L112">
        <v>367.50450000000001</v>
      </c>
      <c r="M112">
        <v>0.99968619999999997</v>
      </c>
      <c r="N112">
        <v>2.550637E-4</v>
      </c>
      <c r="O112">
        <v>2.5049189999999999E-2</v>
      </c>
      <c r="P112">
        <v>0.9989384</v>
      </c>
      <c r="Q112">
        <v>3.8609690000000002E-2</v>
      </c>
      <c r="R112">
        <v>2.513108E-2</v>
      </c>
      <c r="S112">
        <v>3.0097659999999999</v>
      </c>
      <c r="T112">
        <v>-8.7439059999999999E-2</v>
      </c>
      <c r="U112">
        <v>-0.130188</v>
      </c>
      <c r="V112" s="1">
        <v>-8.0880359999999996E-5</v>
      </c>
      <c r="W112">
        <v>3.8355300000000002E-2</v>
      </c>
      <c r="X112">
        <v>0.99926420000000005</v>
      </c>
      <c r="Y112">
        <v>6.8187819999999996E-2</v>
      </c>
      <c r="Z112">
        <v>-1.714772E-3</v>
      </c>
      <c r="AA112">
        <v>0.99767099999999997</v>
      </c>
      <c r="AB112">
        <v>30</v>
      </c>
      <c r="AC112">
        <v>39.578399999999903</v>
      </c>
      <c r="AD112">
        <v>-1.157986</v>
      </c>
      <c r="AE112">
        <v>-1.7312000000000001</v>
      </c>
      <c r="AF112">
        <v>2.71973992558658</v>
      </c>
      <c r="AG112">
        <v>-1.157986</v>
      </c>
      <c r="AH112">
        <v>39.4888767216746</v>
      </c>
      <c r="AI112">
        <v>91.675713202204193</v>
      </c>
      <c r="AJ112">
        <v>86.060057039609006</v>
      </c>
      <c r="AK112">
        <v>39.599359863243201</v>
      </c>
      <c r="AL112">
        <v>87.801864090924795</v>
      </c>
      <c r="AM112">
        <v>90.004637515547302</v>
      </c>
      <c r="AN112">
        <v>1.00000003849068</v>
      </c>
    </row>
    <row r="113" spans="1:40" x14ac:dyDescent="0.25">
      <c r="A113" t="str">
        <f>"20190305135757883"</f>
        <v>20190305135757883</v>
      </c>
      <c r="B113" t="str">
        <f>"1551765477878486"</f>
        <v>1551765477878486</v>
      </c>
      <c r="C113" t="s">
        <v>40</v>
      </c>
      <c r="D113">
        <v>4.219697</v>
      </c>
      <c r="E113">
        <v>0.52317599999999997</v>
      </c>
      <c r="F113" t="s">
        <v>43</v>
      </c>
      <c r="G113">
        <v>-423.9973</v>
      </c>
      <c r="H113">
        <v>-0.05</v>
      </c>
      <c r="I113">
        <v>366.02620000000002</v>
      </c>
      <c r="J113">
        <v>-459.1001</v>
      </c>
      <c r="K113">
        <v>1.107969</v>
      </c>
      <c r="L113">
        <v>367.51159999999999</v>
      </c>
      <c r="M113">
        <v>0.99969350000000001</v>
      </c>
      <c r="N113">
        <v>1.5673600000000001E-4</v>
      </c>
      <c r="O113">
        <v>2.4761519999999999E-2</v>
      </c>
      <c r="P113">
        <v>0.99893379999999998</v>
      </c>
      <c r="Q113">
        <v>3.8195649999999998E-2</v>
      </c>
      <c r="R113">
        <v>2.5933879999999999E-2</v>
      </c>
      <c r="S113">
        <v>3.0101619999999998</v>
      </c>
      <c r="T113">
        <v>-9.8473069999999996E-2</v>
      </c>
      <c r="U113">
        <v>-0.12570190000000001</v>
      </c>
      <c r="V113">
        <v>-1.1696129999999999E-3</v>
      </c>
      <c r="W113">
        <v>3.8039870000000003E-2</v>
      </c>
      <c r="X113">
        <v>0.99927560000000004</v>
      </c>
      <c r="Y113">
        <v>6.6401329999999995E-2</v>
      </c>
      <c r="Z113">
        <v>-1.8935289999999999E-3</v>
      </c>
      <c r="AA113">
        <v>0.99779119999999999</v>
      </c>
      <c r="AB113">
        <v>30</v>
      </c>
      <c r="AC113">
        <v>35.102800000000002</v>
      </c>
      <c r="AD113">
        <v>-1.157969</v>
      </c>
      <c r="AE113">
        <v>-1.4853999999999601</v>
      </c>
      <c r="AF113">
        <v>2.3515887077906301</v>
      </c>
      <c r="AG113">
        <v>-1.157969</v>
      </c>
      <c r="AH113">
        <v>35.017218485880903</v>
      </c>
      <c r="AI113">
        <v>91.889745439932398</v>
      </c>
      <c r="AJ113">
        <v>86.158058380296396</v>
      </c>
      <c r="AK113">
        <v>35.115188339855003</v>
      </c>
      <c r="AL113">
        <v>87.819950148872394</v>
      </c>
      <c r="AM113">
        <v>90.067062437991197</v>
      </c>
      <c r="AN113">
        <v>1.00000006222977</v>
      </c>
    </row>
    <row r="114" spans="1:40" x14ac:dyDescent="0.25">
      <c r="A114" t="str">
        <f>"20190305135757906"</f>
        <v>20190305135757906</v>
      </c>
      <c r="B114" t="str">
        <f>"1551765477898982"</f>
        <v>1551765477898982</v>
      </c>
      <c r="C114" t="s">
        <v>40</v>
      </c>
      <c r="D114">
        <v>4.194604</v>
      </c>
      <c r="E114">
        <v>0.5230899</v>
      </c>
      <c r="F114" t="s">
        <v>43</v>
      </c>
      <c r="G114">
        <v>-426.81130000000002</v>
      </c>
      <c r="H114">
        <v>-0.05</v>
      </c>
      <c r="I114">
        <v>366.20260000000002</v>
      </c>
      <c r="J114">
        <v>-458.78120000000001</v>
      </c>
      <c r="K114">
        <v>1.107966</v>
      </c>
      <c r="L114">
        <v>367.51920000000001</v>
      </c>
      <c r="M114">
        <v>0.99970130000000001</v>
      </c>
      <c r="N114" s="1">
        <v>5.0745560000000001E-5</v>
      </c>
      <c r="O114">
        <v>2.4440630000000001E-2</v>
      </c>
      <c r="P114">
        <v>0.99892800000000004</v>
      </c>
      <c r="Q114">
        <v>3.7884080000000001E-2</v>
      </c>
      <c r="R114">
        <v>2.660442E-2</v>
      </c>
      <c r="S114">
        <v>3.010437</v>
      </c>
      <c r="T114">
        <v>-0.1079628</v>
      </c>
      <c r="U114">
        <v>-0.1220398</v>
      </c>
      <c r="V114">
        <v>-2.1593020000000001E-3</v>
      </c>
      <c r="W114">
        <v>3.78345E-2</v>
      </c>
      <c r="X114">
        <v>0.99928170000000005</v>
      </c>
      <c r="Y114">
        <v>6.4856799999999895E-2</v>
      </c>
      <c r="Z114">
        <v>-2.037629E-3</v>
      </c>
      <c r="AA114">
        <v>0.99789249999999996</v>
      </c>
      <c r="AB114">
        <v>30</v>
      </c>
      <c r="AC114">
        <v>31.969899999999999</v>
      </c>
      <c r="AD114">
        <v>-1.1579660000000001</v>
      </c>
      <c r="AE114">
        <v>-1.31659999999999</v>
      </c>
      <c r="AF114">
        <v>2.0948275894901101</v>
      </c>
      <c r="AG114">
        <v>-1.1579660000000001</v>
      </c>
      <c r="AH114">
        <v>31.886409765428098</v>
      </c>
      <c r="AI114">
        <v>92.075332228344095</v>
      </c>
      <c r="AJ114">
        <v>86.241265505706295</v>
      </c>
      <c r="AK114">
        <v>31.976121022031901</v>
      </c>
      <c r="AL114">
        <v>87.831725354438504</v>
      </c>
      <c r="AM114">
        <v>90.123807629755305</v>
      </c>
      <c r="AN114">
        <v>1.0000000139651299</v>
      </c>
    </row>
    <row r="115" spans="1:40" x14ac:dyDescent="0.25">
      <c r="A115" t="str">
        <f>"20190305135757930"</f>
        <v>20190305135757930</v>
      </c>
      <c r="B115" t="str">
        <f>"1551765477918502"</f>
        <v>1551765477918502</v>
      </c>
      <c r="C115" t="s">
        <v>40</v>
      </c>
      <c r="D115">
        <v>4.2298859999999996</v>
      </c>
      <c r="E115">
        <v>0.52314259999999901</v>
      </c>
      <c r="F115" t="s">
        <v>43</v>
      </c>
      <c r="G115">
        <v>-427.69720000000001</v>
      </c>
      <c r="H115">
        <v>-0.05</v>
      </c>
      <c r="I115">
        <v>366.28160000000003</v>
      </c>
      <c r="J115">
        <v>-458.46120000000002</v>
      </c>
      <c r="K115">
        <v>1.1079639999999999</v>
      </c>
      <c r="L115">
        <v>367.52670000000001</v>
      </c>
      <c r="M115">
        <v>0.99970919999999996</v>
      </c>
      <c r="N115" s="1">
        <v>-5.5647189999999997E-5</v>
      </c>
      <c r="O115">
        <v>2.4116700000000001E-2</v>
      </c>
      <c r="P115">
        <v>0.99889050000000001</v>
      </c>
      <c r="Q115">
        <v>3.7776079999999997E-2</v>
      </c>
      <c r="R115">
        <v>2.8128960000000001E-2</v>
      </c>
      <c r="S115">
        <v>3.0107119999999998</v>
      </c>
      <c r="T115">
        <v>-0.11215749999999999</v>
      </c>
      <c r="U115">
        <v>-0.11987299999999999</v>
      </c>
      <c r="V115">
        <v>-4.0080970000000004E-3</v>
      </c>
      <c r="W115">
        <v>3.7834020000000003E-2</v>
      </c>
      <c r="X115">
        <v>0.99927600000000005</v>
      </c>
      <c r="Y115">
        <v>6.3809110000000002E-2</v>
      </c>
      <c r="Z115">
        <v>-2.0858790000000001E-3</v>
      </c>
      <c r="AA115">
        <v>0.99795999999999996</v>
      </c>
      <c r="AB115">
        <v>30</v>
      </c>
      <c r="AC115">
        <v>30.763999999999999</v>
      </c>
      <c r="AD115">
        <v>-1.157964</v>
      </c>
      <c r="AE115">
        <v>-1.2450999999999699</v>
      </c>
      <c r="AF115">
        <v>1.9838578773928599</v>
      </c>
      <c r="AG115">
        <v>-1.157964</v>
      </c>
      <c r="AH115">
        <v>30.681626356428399</v>
      </c>
      <c r="AI115">
        <v>92.156890647822294</v>
      </c>
      <c r="AJ115">
        <v>86.300434967419903</v>
      </c>
      <c r="AK115">
        <v>30.7674953250743</v>
      </c>
      <c r="AL115">
        <v>87.831752848086296</v>
      </c>
      <c r="AM115">
        <v>90.229812194489298</v>
      </c>
      <c r="AN115">
        <v>1.00000000104346</v>
      </c>
    </row>
    <row r="116" spans="1:40" x14ac:dyDescent="0.25">
      <c r="A116" t="str">
        <f>"20190305135757952"</f>
        <v>20190305135757952</v>
      </c>
      <c r="B116" t="str">
        <f>"1551765477948758"</f>
        <v>1551765477948758</v>
      </c>
      <c r="C116" t="s">
        <v>40</v>
      </c>
      <c r="D116">
        <v>4.2021309999999996</v>
      </c>
      <c r="E116">
        <v>0.52337009999999995</v>
      </c>
      <c r="F116" t="s">
        <v>43</v>
      </c>
      <c r="G116">
        <v>-428.11509999999998</v>
      </c>
      <c r="H116">
        <v>-0.05</v>
      </c>
      <c r="I116">
        <v>366.35939999999999</v>
      </c>
      <c r="J116">
        <v>-458.15750000000003</v>
      </c>
      <c r="K116">
        <v>1.107974</v>
      </c>
      <c r="L116">
        <v>367.53379999999999</v>
      </c>
      <c r="M116">
        <v>0.99971639999999995</v>
      </c>
      <c r="N116">
        <v>-1.56675E-4</v>
      </c>
      <c r="O116">
        <v>2.381453E-2</v>
      </c>
      <c r="P116">
        <v>0.99888180000000004</v>
      </c>
      <c r="Q116">
        <v>3.7146100000000001E-2</v>
      </c>
      <c r="R116">
        <v>2.92445E-2</v>
      </c>
      <c r="S116">
        <v>3.0109249999999999</v>
      </c>
      <c r="T116">
        <v>-0.1148922</v>
      </c>
      <c r="U116">
        <v>-0.11581420000000001</v>
      </c>
      <c r="V116">
        <v>-5.4252869999999896E-3</v>
      </c>
      <c r="W116">
        <v>3.7306060000000002E-2</v>
      </c>
      <c r="X116">
        <v>0.99928919999999999</v>
      </c>
      <c r="Y116">
        <v>6.2159739999999998E-2</v>
      </c>
      <c r="Z116">
        <v>-2.0943350000000001E-3</v>
      </c>
      <c r="AA116">
        <v>0.99806399999999995</v>
      </c>
      <c r="AB116">
        <v>30</v>
      </c>
      <c r="AC116">
        <v>30.042400000000001</v>
      </c>
      <c r="AD116">
        <v>-1.1579740000000001</v>
      </c>
      <c r="AE116">
        <v>-1.1743999999999899</v>
      </c>
      <c r="AF116">
        <v>1.8867137687278599</v>
      </c>
      <c r="AG116">
        <v>-1.1579740000000001</v>
      </c>
      <c r="AH116">
        <v>29.961466457933199</v>
      </c>
      <c r="AI116">
        <v>92.208939175686197</v>
      </c>
      <c r="AJ116">
        <v>86.396765556891594</v>
      </c>
      <c r="AK116">
        <v>30.0431367360274</v>
      </c>
      <c r="AL116">
        <v>87.862024184250302</v>
      </c>
      <c r="AM116">
        <v>90.311064098034706</v>
      </c>
      <c r="AN116">
        <v>1.00000004054419</v>
      </c>
    </row>
    <row r="117" spans="1:40" x14ac:dyDescent="0.25">
      <c r="A117" t="str">
        <f>"20190305135757975"</f>
        <v>20190305135757975</v>
      </c>
      <c r="B117" t="str">
        <f>"1551765477969254"</f>
        <v>1551765477969254</v>
      </c>
      <c r="C117" t="s">
        <v>40</v>
      </c>
      <c r="D117">
        <v>4.2869140000000003</v>
      </c>
      <c r="E117">
        <v>0.52352879999999902</v>
      </c>
      <c r="F117" t="s">
        <v>43</v>
      </c>
      <c r="G117">
        <v>-429.0872</v>
      </c>
      <c r="H117">
        <v>-0.05</v>
      </c>
      <c r="I117">
        <v>366.42570000000001</v>
      </c>
      <c r="J117">
        <v>-457.84620000000001</v>
      </c>
      <c r="K117">
        <v>1.107985</v>
      </c>
      <c r="L117">
        <v>367.54090000000002</v>
      </c>
      <c r="M117">
        <v>0.99972360000000005</v>
      </c>
      <c r="N117">
        <v>-2.5999710000000002E-4</v>
      </c>
      <c r="O117">
        <v>2.35111E-2</v>
      </c>
      <c r="P117">
        <v>0.99883500000000003</v>
      </c>
      <c r="Q117">
        <v>3.766924E-2</v>
      </c>
      <c r="R117">
        <v>3.0163019999999999E-2</v>
      </c>
      <c r="S117">
        <v>3.011139</v>
      </c>
      <c r="T117">
        <v>-0.1199443</v>
      </c>
      <c r="U117">
        <v>-0.11477660000000001</v>
      </c>
      <c r="V117">
        <v>-6.647343E-3</v>
      </c>
      <c r="W117">
        <v>3.7933130000000002E-2</v>
      </c>
      <c r="X117">
        <v>0.99925819999999999</v>
      </c>
      <c r="Y117">
        <v>6.1505780000000003E-2</v>
      </c>
      <c r="Z117">
        <v>-2.161821E-3</v>
      </c>
      <c r="AA117">
        <v>0.9981044</v>
      </c>
      <c r="AB117">
        <v>31</v>
      </c>
      <c r="AC117">
        <v>28.759</v>
      </c>
      <c r="AD117">
        <v>-1.157985</v>
      </c>
      <c r="AE117">
        <v>-1.11520000000001</v>
      </c>
      <c r="AF117">
        <v>1.7881526951587201</v>
      </c>
      <c r="AG117">
        <v>-1.157985</v>
      </c>
      <c r="AH117">
        <v>28.678404797118301</v>
      </c>
      <c r="AI117">
        <v>92.307772800242404</v>
      </c>
      <c r="AJ117">
        <v>86.432118852830001</v>
      </c>
      <c r="AK117">
        <v>28.757422016390901</v>
      </c>
      <c r="AL117">
        <v>87.826070246886204</v>
      </c>
      <c r="AM117">
        <v>90.381141811911505</v>
      </c>
      <c r="AN117">
        <v>1.00000002989389</v>
      </c>
    </row>
    <row r="118" spans="1:40" x14ac:dyDescent="0.25">
      <c r="A118" t="str">
        <f>"20190305135757998"</f>
        <v>20190305135757998</v>
      </c>
      <c r="B118" t="str">
        <f>"1551765477988775"</f>
        <v>1551765477988775</v>
      </c>
      <c r="C118" t="s">
        <v>40</v>
      </c>
      <c r="D118">
        <v>4.2882769999999999</v>
      </c>
      <c r="E118">
        <v>0.55373839999999996</v>
      </c>
      <c r="F118" t="s">
        <v>43</v>
      </c>
      <c r="G118">
        <v>-428.67129999999997</v>
      </c>
      <c r="H118">
        <v>-0.05</v>
      </c>
      <c r="I118">
        <v>366.44310000000002</v>
      </c>
      <c r="J118">
        <v>-457.52350000000001</v>
      </c>
      <c r="K118">
        <v>1.108001</v>
      </c>
      <c r="L118">
        <v>367.54809999999998</v>
      </c>
      <c r="M118">
        <v>0.99973069999999997</v>
      </c>
      <c r="N118">
        <v>-3.6692449999999998E-4</v>
      </c>
      <c r="O118">
        <v>2.3203370000000001E-2</v>
      </c>
      <c r="P118">
        <v>0.99880089999999999</v>
      </c>
      <c r="Q118">
        <v>3.8306590000000001E-2</v>
      </c>
      <c r="R118">
        <v>3.0487469999999999E-2</v>
      </c>
      <c r="S118">
        <v>3.011444</v>
      </c>
      <c r="T118">
        <v>-0.1195273</v>
      </c>
      <c r="U118">
        <v>-0.1133118</v>
      </c>
      <c r="V118">
        <v>-7.2799049999999997E-3</v>
      </c>
      <c r="W118">
        <v>3.8677400000000001E-2</v>
      </c>
      <c r="X118">
        <v>0.99922529999999998</v>
      </c>
      <c r="Y118">
        <v>6.07112E-2</v>
      </c>
      <c r="Z118">
        <v>-2.126902E-3</v>
      </c>
      <c r="AA118">
        <v>0.99815310000000002</v>
      </c>
      <c r="AB118">
        <v>31</v>
      </c>
      <c r="AC118">
        <v>28.8522</v>
      </c>
      <c r="AD118">
        <v>-1.1580010000000001</v>
      </c>
      <c r="AE118">
        <v>-1.10499999999996</v>
      </c>
      <c r="AF118">
        <v>1.7713216252258699</v>
      </c>
      <c r="AG118">
        <v>-1.1580010000000001</v>
      </c>
      <c r="AH118">
        <v>28.772511428904199</v>
      </c>
      <c r="AI118">
        <v>92.300376492940799</v>
      </c>
      <c r="AJ118">
        <v>86.477146962844699</v>
      </c>
      <c r="AK118">
        <v>28.8502332840207</v>
      </c>
      <c r="AL118">
        <v>87.783395484823203</v>
      </c>
      <c r="AM118">
        <v>90.417423830312202</v>
      </c>
      <c r="AN118">
        <v>1.00000006922382</v>
      </c>
    </row>
    <row r="119" spans="1:40" x14ac:dyDescent="0.25">
      <c r="A119" t="str">
        <f>"20190305135758019"</f>
        <v>20190305135758019</v>
      </c>
      <c r="B119" t="str">
        <f>"1551765478009270"</f>
        <v>1551765478009270</v>
      </c>
      <c r="C119" t="s">
        <v>40</v>
      </c>
      <c r="D119">
        <v>4.238448</v>
      </c>
      <c r="E119">
        <v>0.55826730000000002</v>
      </c>
      <c r="F119" t="s">
        <v>43</v>
      </c>
      <c r="G119">
        <v>-434.82080000000002</v>
      </c>
      <c r="H119">
        <v>-0.05</v>
      </c>
      <c r="I119">
        <v>364.87139999999999</v>
      </c>
      <c r="J119">
        <v>-457.2312</v>
      </c>
      <c r="K119">
        <v>1.1080190000000001</v>
      </c>
      <c r="L119">
        <v>367.55470000000003</v>
      </c>
      <c r="M119">
        <v>0.99973710000000005</v>
      </c>
      <c r="N119">
        <v>-4.638245E-4</v>
      </c>
      <c r="O119">
        <v>2.29292E-2</v>
      </c>
      <c r="P119">
        <v>0.9987722</v>
      </c>
      <c r="Q119">
        <v>3.9051969999999998E-2</v>
      </c>
      <c r="R119">
        <v>3.0484730000000002E-2</v>
      </c>
      <c r="S119">
        <v>3.0203549999999999</v>
      </c>
      <c r="T119">
        <v>-0.15405959999999999</v>
      </c>
      <c r="U119">
        <v>-0.35610960000000003</v>
      </c>
      <c r="V119">
        <v>-7.5512409999999898E-3</v>
      </c>
      <c r="W119">
        <v>3.952029E-2</v>
      </c>
      <c r="X119">
        <v>0.99919020000000003</v>
      </c>
      <c r="Y119">
        <v>0.1396232</v>
      </c>
      <c r="Z119">
        <v>-4.733325E-3</v>
      </c>
      <c r="AA119">
        <v>0.9901934</v>
      </c>
      <c r="AB119">
        <v>31</v>
      </c>
      <c r="AC119">
        <v>22.4103999999999</v>
      </c>
      <c r="AD119">
        <v>-1.1580189999999999</v>
      </c>
      <c r="AE119">
        <v>-2.6833000000000302</v>
      </c>
      <c r="AF119">
        <v>3.1880548741350401</v>
      </c>
      <c r="AG119">
        <v>-1.1580189999999999</v>
      </c>
      <c r="AH119">
        <v>22.284321176088699</v>
      </c>
      <c r="AI119">
        <v>92.944806699005099</v>
      </c>
      <c r="AJ119">
        <v>81.858356680500407</v>
      </c>
      <c r="AK119">
        <v>22.540977622187</v>
      </c>
      <c r="AL119">
        <v>87.735064254939104</v>
      </c>
      <c r="AM119">
        <v>90.432996643521506</v>
      </c>
      <c r="AN119">
        <v>0.99999996516918099</v>
      </c>
    </row>
    <row r="120" spans="1:40" x14ac:dyDescent="0.25">
      <c r="A120" t="str">
        <f>"20190305135758051"</f>
        <v>20190305135758051</v>
      </c>
      <c r="B120" t="str">
        <f>"1551765478049286"</f>
        <v>1551765478049286</v>
      </c>
      <c r="C120" t="s">
        <v>40</v>
      </c>
      <c r="D120">
        <v>4.2630730000000003</v>
      </c>
      <c r="E120">
        <v>0.56015280000000001</v>
      </c>
      <c r="F120" t="s">
        <v>43</v>
      </c>
      <c r="G120">
        <v>-436.46460000000002</v>
      </c>
      <c r="H120">
        <v>-0.05</v>
      </c>
      <c r="I120">
        <v>364.8537</v>
      </c>
      <c r="J120">
        <v>-456.78030000000001</v>
      </c>
      <c r="K120">
        <v>1.108033</v>
      </c>
      <c r="L120">
        <v>367.56459999999998</v>
      </c>
      <c r="M120">
        <v>0.99974640000000004</v>
      </c>
      <c r="N120">
        <v>-6.1261620000000003E-4</v>
      </c>
      <c r="O120">
        <v>2.2510269999999999E-2</v>
      </c>
      <c r="P120">
        <v>0.99875970000000003</v>
      </c>
      <c r="Q120">
        <v>4.0793309999999999E-2</v>
      </c>
      <c r="R120">
        <v>2.8551300000000002E-2</v>
      </c>
      <c r="S120">
        <v>3.0223080000000002</v>
      </c>
      <c r="T120">
        <v>-0.1685345</v>
      </c>
      <c r="U120">
        <v>-0.39309690000000003</v>
      </c>
      <c r="V120">
        <v>-6.0361340000000003E-3</v>
      </c>
      <c r="W120">
        <v>4.1409399999999999E-2</v>
      </c>
      <c r="X120">
        <v>0.99912409999999996</v>
      </c>
      <c r="Y120">
        <v>0.1510012</v>
      </c>
      <c r="Z120">
        <v>-5.4714789999999996E-3</v>
      </c>
      <c r="AA120">
        <v>0.98851840000000002</v>
      </c>
      <c r="AB120">
        <v>31</v>
      </c>
      <c r="AC120">
        <v>20.3157</v>
      </c>
      <c r="AD120">
        <v>-1.1580330000000001</v>
      </c>
      <c r="AE120">
        <v>-2.7108999999999801</v>
      </c>
      <c r="AF120">
        <v>3.1574453422043098</v>
      </c>
      <c r="AG120">
        <v>-1.1580330000000001</v>
      </c>
      <c r="AH120">
        <v>20.185090839472601</v>
      </c>
      <c r="AI120">
        <v>93.244136116788596</v>
      </c>
      <c r="AJ120">
        <v>81.109574068665594</v>
      </c>
      <c r="AK120">
        <v>20.463342681875201</v>
      </c>
      <c r="AL120">
        <v>87.626737730817695</v>
      </c>
      <c r="AM120">
        <v>90.346143982736706</v>
      </c>
      <c r="AN120">
        <v>1.00000007026141</v>
      </c>
    </row>
    <row r="121" spans="1:40" x14ac:dyDescent="0.25">
      <c r="A121" t="str">
        <f>"20190305135758072"</f>
        <v>20190305135758072</v>
      </c>
      <c r="B121" t="str">
        <f>"1551765478068806"</f>
        <v>1551765478068806</v>
      </c>
      <c r="C121" t="s">
        <v>40</v>
      </c>
      <c r="D121">
        <v>4.2035369999999999</v>
      </c>
      <c r="E121">
        <v>0.56039319999999904</v>
      </c>
      <c r="F121" t="s">
        <v>43</v>
      </c>
      <c r="G121">
        <v>-437.27379999999999</v>
      </c>
      <c r="H121">
        <v>-0.05</v>
      </c>
      <c r="I121">
        <v>364.89170000000001</v>
      </c>
      <c r="J121">
        <v>-456.47190000000001</v>
      </c>
      <c r="K121">
        <v>1.1080399999999999</v>
      </c>
      <c r="L121">
        <v>367.57130000000001</v>
      </c>
      <c r="M121">
        <v>0.99975290000000006</v>
      </c>
      <c r="N121">
        <v>-7.1409800000000003E-4</v>
      </c>
      <c r="O121">
        <v>2.2224689999999998E-2</v>
      </c>
      <c r="P121">
        <v>0.99877329999999998</v>
      </c>
      <c r="Q121">
        <v>4.1065890000000001E-2</v>
      </c>
      <c r="R121">
        <v>2.7678959999999999E-2</v>
      </c>
      <c r="S121">
        <v>3.0229189999999999</v>
      </c>
      <c r="T121">
        <v>-0.1794605</v>
      </c>
      <c r="U121">
        <v>-0.4142151</v>
      </c>
      <c r="V121">
        <v>-5.4490989999999998E-3</v>
      </c>
      <c r="W121">
        <v>4.1782909999999999E-2</v>
      </c>
      <c r="X121">
        <v>0.99911179999999999</v>
      </c>
      <c r="Y121">
        <v>0.1574287</v>
      </c>
      <c r="Z121">
        <v>-6.0005269999999899E-3</v>
      </c>
      <c r="AA121">
        <v>0.9875121</v>
      </c>
      <c r="AB121">
        <v>31</v>
      </c>
      <c r="AC121">
        <v>19.1981</v>
      </c>
      <c r="AD121">
        <v>-1.15804</v>
      </c>
      <c r="AE121">
        <v>-2.67959999999999</v>
      </c>
      <c r="AF121">
        <v>3.0945653822403698</v>
      </c>
      <c r="AG121">
        <v>-1.15804</v>
      </c>
      <c r="AH121">
        <v>19.065758374758701</v>
      </c>
      <c r="AI121">
        <v>93.431041381960199</v>
      </c>
      <c r="AJ121">
        <v>80.780713937937193</v>
      </c>
      <c r="AK121">
        <v>19.349949197639901</v>
      </c>
      <c r="AL121">
        <v>87.6053183511264</v>
      </c>
      <c r="AM121">
        <v>90.312484828311099</v>
      </c>
      <c r="AN121">
        <v>0.99999994657360802</v>
      </c>
    </row>
    <row r="122" spans="1:40" x14ac:dyDescent="0.25">
      <c r="A122" t="str">
        <f>"20190305135758096"</f>
        <v>20190305135758096</v>
      </c>
      <c r="B122" t="str">
        <f>"1551765478089302"</f>
        <v>1551765478089302</v>
      </c>
      <c r="C122" t="s">
        <v>40</v>
      </c>
      <c r="D122">
        <v>4.2103640000000002</v>
      </c>
      <c r="E122">
        <v>0.56050069999999996</v>
      </c>
      <c r="F122" t="s">
        <v>43</v>
      </c>
      <c r="G122">
        <v>-437.375</v>
      </c>
      <c r="H122">
        <v>-0.05</v>
      </c>
      <c r="I122">
        <v>364.92570000000001</v>
      </c>
      <c r="J122">
        <v>-456.1386</v>
      </c>
      <c r="K122">
        <v>1.1080479999999999</v>
      </c>
      <c r="L122">
        <v>367.57830000000001</v>
      </c>
      <c r="M122">
        <v>0.99975959999999997</v>
      </c>
      <c r="N122">
        <v>-8.2345429999999896E-4</v>
      </c>
      <c r="O122">
        <v>2.1916160000000001E-2</v>
      </c>
      <c r="P122">
        <v>0.99879899999999999</v>
      </c>
      <c r="Q122">
        <v>4.1109630000000001E-2</v>
      </c>
      <c r="R122">
        <v>2.6665250000000001E-2</v>
      </c>
      <c r="S122">
        <v>3.0228269999999999</v>
      </c>
      <c r="T122">
        <v>-0.18330469999999999</v>
      </c>
      <c r="U122">
        <v>-0.41876219999999997</v>
      </c>
      <c r="V122">
        <v>-4.7425459999999899E-3</v>
      </c>
      <c r="W122">
        <v>4.193537E-2</v>
      </c>
      <c r="X122">
        <v>0.99910909999999997</v>
      </c>
      <c r="Y122">
        <v>0.15857019999999999</v>
      </c>
      <c r="Z122">
        <v>-6.1503080000000002E-3</v>
      </c>
      <c r="AA122">
        <v>0.98732850000000005</v>
      </c>
      <c r="AB122">
        <v>32</v>
      </c>
      <c r="AC122">
        <v>18.7636</v>
      </c>
      <c r="AD122">
        <v>-1.158048</v>
      </c>
      <c r="AE122">
        <v>-2.6526000000000001</v>
      </c>
      <c r="AF122">
        <v>3.0517922530639501</v>
      </c>
      <c r="AG122">
        <v>-1.158048</v>
      </c>
      <c r="AH122">
        <v>18.631380397114501</v>
      </c>
      <c r="AI122">
        <v>93.510032356251799</v>
      </c>
      <c r="AJ122">
        <v>80.697643895059102</v>
      </c>
      <c r="AK122">
        <v>18.915148601799199</v>
      </c>
      <c r="AL122">
        <v>87.596575574550002</v>
      </c>
      <c r="AM122">
        <v>90.271968125531401</v>
      </c>
      <c r="AN122">
        <v>1.0000000303512</v>
      </c>
    </row>
    <row r="123" spans="1:40" x14ac:dyDescent="0.25">
      <c r="A123" t="str">
        <f>"20190305135758118"</f>
        <v>20190305135758118</v>
      </c>
      <c r="B123" t="str">
        <f>"1551765478108825"</f>
        <v>1551765478108825</v>
      </c>
      <c r="C123" t="s">
        <v>40</v>
      </c>
      <c r="D123">
        <v>4.1934209999999998</v>
      </c>
      <c r="E123">
        <v>0.56059630000000005</v>
      </c>
      <c r="F123" t="s">
        <v>43</v>
      </c>
      <c r="G123">
        <v>-437.2432</v>
      </c>
      <c r="H123">
        <v>-0.05</v>
      </c>
      <c r="I123">
        <v>364.93450000000001</v>
      </c>
      <c r="J123">
        <v>-455.81740000000002</v>
      </c>
      <c r="K123">
        <v>1.108055</v>
      </c>
      <c r="L123">
        <v>367.58510000000001</v>
      </c>
      <c r="M123">
        <v>0.99976600000000004</v>
      </c>
      <c r="N123">
        <v>-9.2888750000000005E-4</v>
      </c>
      <c r="O123">
        <v>2.1618289999999998E-2</v>
      </c>
      <c r="P123">
        <v>0.99880210000000003</v>
      </c>
      <c r="Q123">
        <v>4.1260909999999998E-2</v>
      </c>
      <c r="R123">
        <v>2.6313980000000001E-2</v>
      </c>
      <c r="S123">
        <v>3.0225520000000001</v>
      </c>
      <c r="T123">
        <v>-0.18524379999999999</v>
      </c>
      <c r="U123">
        <v>-0.42291260000000003</v>
      </c>
      <c r="V123">
        <v>-4.6886609999999898E-3</v>
      </c>
      <c r="W123">
        <v>4.2192149999999998E-2</v>
      </c>
      <c r="X123">
        <v>0.9990985</v>
      </c>
      <c r="Y123">
        <v>0.15960949999999999</v>
      </c>
      <c r="Z123">
        <v>-6.2351119999999897E-3</v>
      </c>
      <c r="AA123">
        <v>0.98716060000000005</v>
      </c>
      <c r="AB123">
        <v>32</v>
      </c>
      <c r="AC123">
        <v>18.574200000000001</v>
      </c>
      <c r="AD123">
        <v>-1.1580549999999901</v>
      </c>
      <c r="AE123">
        <v>-2.6505999999999901</v>
      </c>
      <c r="AF123">
        <v>3.03994205183607</v>
      </c>
      <c r="AG123">
        <v>-1.1580549999999901</v>
      </c>
      <c r="AH123">
        <v>18.4422993485001</v>
      </c>
      <c r="AI123">
        <v>93.545362577877398</v>
      </c>
      <c r="AJ123">
        <v>80.639801337850699</v>
      </c>
      <c r="AK123">
        <v>18.727005748950798</v>
      </c>
      <c r="AL123">
        <v>87.581850026446205</v>
      </c>
      <c r="AM123">
        <v>90.268880910924196</v>
      </c>
      <c r="AN123">
        <v>0.99999998688292202</v>
      </c>
    </row>
    <row r="124" spans="1:40" x14ac:dyDescent="0.25">
      <c r="A124" t="str">
        <f>"20190305135758140"</f>
        <v>20190305135758140</v>
      </c>
      <c r="B124" t="str">
        <f>"1551765478129318"</f>
        <v>1551765478129318</v>
      </c>
      <c r="C124" t="s">
        <v>40</v>
      </c>
      <c r="D124">
        <v>4.1889570000000003</v>
      </c>
      <c r="E124">
        <v>0.56096939999999995</v>
      </c>
      <c r="F124" t="s">
        <v>43</v>
      </c>
      <c r="G124">
        <v>-436.99799999999999</v>
      </c>
      <c r="H124">
        <v>-0.05</v>
      </c>
      <c r="I124">
        <v>364.9391</v>
      </c>
      <c r="J124">
        <v>-455.50670000000002</v>
      </c>
      <c r="K124">
        <v>1.108077</v>
      </c>
      <c r="L124">
        <v>367.59160000000003</v>
      </c>
      <c r="M124">
        <v>0.99977190000000005</v>
      </c>
      <c r="N124">
        <v>-1.085246E-3</v>
      </c>
      <c r="O124">
        <v>2.1330789999999999E-2</v>
      </c>
      <c r="P124">
        <v>0.99882629999999994</v>
      </c>
      <c r="Q124">
        <v>4.0897620000000003E-2</v>
      </c>
      <c r="R124">
        <v>2.5955570000000001E-2</v>
      </c>
      <c r="S124">
        <v>3.022491</v>
      </c>
      <c r="T124">
        <v>-0.18598990000000001</v>
      </c>
      <c r="U124">
        <v>-0.42495729999999998</v>
      </c>
      <c r="V124">
        <v>-4.6172399999999999E-3</v>
      </c>
      <c r="W124">
        <v>4.1985389999999997E-2</v>
      </c>
      <c r="X124">
        <v>0.99910750000000004</v>
      </c>
      <c r="Y124">
        <v>0.15997990000000001</v>
      </c>
      <c r="Z124">
        <v>-6.2632310000000002E-3</v>
      </c>
      <c r="AA124">
        <v>0.98710039999999999</v>
      </c>
      <c r="AB124">
        <v>32</v>
      </c>
      <c r="AC124">
        <v>18.508699999999902</v>
      </c>
      <c r="AD124">
        <v>-1.158077</v>
      </c>
      <c r="AE124">
        <v>-2.6525000000000301</v>
      </c>
      <c r="AF124">
        <v>3.03505900736794</v>
      </c>
      <c r="AG124">
        <v>-1.158077</v>
      </c>
      <c r="AH124">
        <v>18.377410588163698</v>
      </c>
      <c r="AI124">
        <v>93.557735915348104</v>
      </c>
      <c r="AJ124">
        <v>80.622158536094304</v>
      </c>
      <c r="AK124">
        <v>18.6623135072285</v>
      </c>
      <c r="AL124">
        <v>87.593706906036303</v>
      </c>
      <c r="AM124">
        <v>90.264782800351696</v>
      </c>
      <c r="AN124">
        <v>0.99999994421745797</v>
      </c>
    </row>
    <row r="125" spans="1:40" x14ac:dyDescent="0.25">
      <c r="A125" t="str">
        <f>"20190305135758163"</f>
        <v>20190305135758163</v>
      </c>
      <c r="B125" t="str">
        <f>"1551765478158598"</f>
        <v>1551765478158598</v>
      </c>
      <c r="C125" t="s">
        <v>40</v>
      </c>
      <c r="D125">
        <v>4.1818499999999998</v>
      </c>
      <c r="E125">
        <v>0.56120899999999996</v>
      </c>
      <c r="F125" t="s">
        <v>43</v>
      </c>
      <c r="G125">
        <v>-436.78190000000001</v>
      </c>
      <c r="H125">
        <v>-0.05</v>
      </c>
      <c r="I125">
        <v>364.93279999999999</v>
      </c>
      <c r="J125">
        <v>-455.16789999999997</v>
      </c>
      <c r="K125">
        <v>1.108139</v>
      </c>
      <c r="L125">
        <v>367.5985</v>
      </c>
      <c r="M125">
        <v>0.99977819999999995</v>
      </c>
      <c r="N125">
        <v>-1.408575E-3</v>
      </c>
      <c r="O125">
        <v>2.1019099999999999E-2</v>
      </c>
      <c r="P125">
        <v>0.99885170000000001</v>
      </c>
      <c r="Q125">
        <v>4.0268930000000001E-2</v>
      </c>
      <c r="R125">
        <v>2.5959860000000001E-2</v>
      </c>
      <c r="S125">
        <v>3.0223080000000002</v>
      </c>
      <c r="T125">
        <v>-0.18692039999999999</v>
      </c>
      <c r="U125">
        <v>-0.42913820000000003</v>
      </c>
      <c r="V125">
        <v>-4.9317340000000001E-3</v>
      </c>
      <c r="W125">
        <v>4.1679540000000001E-2</v>
      </c>
      <c r="X125">
        <v>0.99911890000000003</v>
      </c>
      <c r="Y125">
        <v>0.16101309999999999</v>
      </c>
      <c r="Z125">
        <v>-6.3268980000000001E-3</v>
      </c>
      <c r="AA125">
        <v>0.98693200000000003</v>
      </c>
      <c r="AB125">
        <v>32</v>
      </c>
      <c r="AC125">
        <v>18.3859999999999</v>
      </c>
      <c r="AD125">
        <v>-1.158139</v>
      </c>
      <c r="AE125">
        <v>-2.66570000000001</v>
      </c>
      <c r="AF125">
        <v>3.0397558381756098</v>
      </c>
      <c r="AG125">
        <v>-1.158139</v>
      </c>
      <c r="AH125">
        <v>18.254967035588599</v>
      </c>
      <c r="AI125">
        <v>93.580941497532294</v>
      </c>
      <c r="AJ125">
        <v>80.546041372972496</v>
      </c>
      <c r="AK125">
        <v>18.542524719397498</v>
      </c>
      <c r="AL125">
        <v>87.611246406226797</v>
      </c>
      <c r="AM125">
        <v>90.282814436803307</v>
      </c>
      <c r="AN125">
        <v>1.0000000411960299</v>
      </c>
    </row>
    <row r="126" spans="1:40" x14ac:dyDescent="0.25">
      <c r="A126" t="str">
        <f>"20190305135758185"</f>
        <v>20190305135758185</v>
      </c>
      <c r="B126" t="str">
        <f>"1551765478179095"</f>
        <v>1551765478179095</v>
      </c>
      <c r="C126" t="s">
        <v>40</v>
      </c>
      <c r="D126">
        <v>4.1549480000000001</v>
      </c>
      <c r="E126">
        <v>0.56137289999999995</v>
      </c>
      <c r="F126" t="s">
        <v>43</v>
      </c>
      <c r="G126">
        <v>-436.84410000000003</v>
      </c>
      <c r="H126">
        <v>-0.05</v>
      </c>
      <c r="I126">
        <v>364.98469999999998</v>
      </c>
      <c r="J126">
        <v>-454.84070000000003</v>
      </c>
      <c r="K126">
        <v>1.108239</v>
      </c>
      <c r="L126">
        <v>367.60509999999999</v>
      </c>
      <c r="M126">
        <v>0.99978350000000005</v>
      </c>
      <c r="N126">
        <v>-1.9408540000000001E-3</v>
      </c>
      <c r="O126">
        <v>2.072013E-2</v>
      </c>
      <c r="P126">
        <v>0.99888239999999995</v>
      </c>
      <c r="Q126">
        <v>3.918514E-2</v>
      </c>
      <c r="R126">
        <v>2.6439629999999999E-2</v>
      </c>
      <c r="S126">
        <v>3.0224000000000002</v>
      </c>
      <c r="T126">
        <v>-0.1910279</v>
      </c>
      <c r="U126">
        <v>-0.4311218</v>
      </c>
      <c r="V126">
        <v>-5.7093760000000004E-3</v>
      </c>
      <c r="W126">
        <v>4.11283E-2</v>
      </c>
      <c r="X126">
        <v>0.99913759999999996</v>
      </c>
      <c r="Y126">
        <v>0.16133140000000001</v>
      </c>
      <c r="Z126">
        <v>-6.487418E-3</v>
      </c>
      <c r="AA126">
        <v>0.98687899999999995</v>
      </c>
      <c r="AB126">
        <v>32</v>
      </c>
      <c r="AC126">
        <v>17.996600000000001</v>
      </c>
      <c r="AD126">
        <v>-1.158239</v>
      </c>
      <c r="AE126">
        <v>-2.6204000000000098</v>
      </c>
      <c r="AF126">
        <v>2.9806403529553802</v>
      </c>
      <c r="AG126">
        <v>-1.158239</v>
      </c>
      <c r="AH126">
        <v>17.8659758096769</v>
      </c>
      <c r="AI126">
        <v>93.658826523488699</v>
      </c>
      <c r="AJ126">
        <v>80.528386662898995</v>
      </c>
      <c r="AK126">
        <v>18.149898791088301</v>
      </c>
      <c r="AL126">
        <v>87.642857231975697</v>
      </c>
      <c r="AM126">
        <v>90.327401939408702</v>
      </c>
      <c r="AN126">
        <v>1.0000000388844701</v>
      </c>
    </row>
    <row r="127" spans="1:40" x14ac:dyDescent="0.25">
      <c r="A127" t="str">
        <f>"20190305135758208"</f>
        <v>20190305135758208</v>
      </c>
      <c r="B127" t="str">
        <f>"1551765478198617"</f>
        <v>1551765478198617</v>
      </c>
      <c r="C127" t="s">
        <v>40</v>
      </c>
      <c r="D127">
        <v>4.1378760000000003</v>
      </c>
      <c r="E127">
        <v>0.5617048</v>
      </c>
      <c r="F127" t="s">
        <v>43</v>
      </c>
      <c r="G127">
        <v>-436.9221</v>
      </c>
      <c r="H127">
        <v>-0.05</v>
      </c>
      <c r="I127">
        <v>365.04849999999999</v>
      </c>
      <c r="J127">
        <v>-454.517</v>
      </c>
      <c r="K127">
        <v>1.1083940000000001</v>
      </c>
      <c r="L127">
        <v>367.61149999999998</v>
      </c>
      <c r="M127">
        <v>0.99978769999999995</v>
      </c>
      <c r="N127">
        <v>-2.7185400000000002E-3</v>
      </c>
      <c r="O127">
        <v>2.0425479999999999E-2</v>
      </c>
      <c r="P127">
        <v>0.99888160000000004</v>
      </c>
      <c r="Q127">
        <v>3.8719679999999999E-2</v>
      </c>
      <c r="R127">
        <v>2.71366E-2</v>
      </c>
      <c r="S127">
        <v>3.0224299999999999</v>
      </c>
      <c r="T127">
        <v>-0.1953664</v>
      </c>
      <c r="U127">
        <v>-0.43124390000000001</v>
      </c>
      <c r="V127">
        <v>-6.6997749999999998E-3</v>
      </c>
      <c r="W127">
        <v>4.144084E-2</v>
      </c>
      <c r="X127">
        <v>0.99911850000000002</v>
      </c>
      <c r="Y127">
        <v>0.1610598</v>
      </c>
      <c r="Z127">
        <v>-6.6515849999999998E-3</v>
      </c>
      <c r="AA127">
        <v>0.98692219999999997</v>
      </c>
      <c r="AB127">
        <v>32</v>
      </c>
      <c r="AC127">
        <v>17.5948999999999</v>
      </c>
      <c r="AD127">
        <v>-1.1583939999999999</v>
      </c>
      <c r="AE127">
        <v>-2.5629999999999802</v>
      </c>
      <c r="AF127">
        <v>2.9095016999704799</v>
      </c>
      <c r="AG127">
        <v>-1.1583939999999999</v>
      </c>
      <c r="AH127">
        <v>17.464750553538899</v>
      </c>
      <c r="AI127">
        <v>93.743291156991106</v>
      </c>
      <c r="AJ127">
        <v>80.5417956918279</v>
      </c>
      <c r="AK127">
        <v>17.743297007566099</v>
      </c>
      <c r="AL127">
        <v>87.624934645664695</v>
      </c>
      <c r="AM127">
        <v>90.384201751475601</v>
      </c>
      <c r="AN127">
        <v>1.0000000036236001</v>
      </c>
    </row>
    <row r="128" spans="1:40" x14ac:dyDescent="0.25">
      <c r="A128" t="str">
        <f>"20190305135758229"</f>
        <v>20190305135758229</v>
      </c>
      <c r="B128" t="str">
        <f>"1551765478219110"</f>
        <v>1551765478219110</v>
      </c>
      <c r="C128" t="s">
        <v>40</v>
      </c>
      <c r="D128">
        <v>4.201454</v>
      </c>
      <c r="E128">
        <v>0.5618398</v>
      </c>
      <c r="F128" t="s">
        <v>43</v>
      </c>
      <c r="G128">
        <v>-436.40949999999998</v>
      </c>
      <c r="H128">
        <v>-0.05</v>
      </c>
      <c r="I128">
        <v>365.02620000000002</v>
      </c>
      <c r="J128">
        <v>-454.2002</v>
      </c>
      <c r="K128">
        <v>1.1085320000000001</v>
      </c>
      <c r="L128">
        <v>367.61770000000001</v>
      </c>
      <c r="M128">
        <v>0.99979110000000004</v>
      </c>
      <c r="N128">
        <v>-3.4925049999999999E-3</v>
      </c>
      <c r="O128">
        <v>2.0134579999999999E-2</v>
      </c>
      <c r="P128">
        <v>0.99889899999999998</v>
      </c>
      <c r="Q128">
        <v>3.7913330000000002E-2</v>
      </c>
      <c r="R128">
        <v>2.7629029999999999E-2</v>
      </c>
      <c r="S128">
        <v>3.0225520000000001</v>
      </c>
      <c r="T128">
        <v>-0.1933628</v>
      </c>
      <c r="U128">
        <v>-0.43154910000000002</v>
      </c>
      <c r="V128">
        <v>-7.4820609999999999E-3</v>
      </c>
      <c r="W128">
        <v>4.1408449999999999E-2</v>
      </c>
      <c r="X128">
        <v>0.99911430000000001</v>
      </c>
      <c r="Y128">
        <v>0.1608704</v>
      </c>
      <c r="Z128">
        <v>-6.6080399999999999E-3</v>
      </c>
      <c r="AA128">
        <v>0.98695339999999998</v>
      </c>
      <c r="AB128">
        <v>32</v>
      </c>
      <c r="AC128">
        <v>17.790700000000001</v>
      </c>
      <c r="AD128">
        <v>-1.1585319999999999</v>
      </c>
      <c r="AE128">
        <v>-2.5914999999999901</v>
      </c>
      <c r="AF128">
        <v>2.9369892327720302</v>
      </c>
      <c r="AG128">
        <v>-1.1585319999999999</v>
      </c>
      <c r="AH128">
        <v>17.661574351500501</v>
      </c>
      <c r="AI128">
        <v>93.702311127882794</v>
      </c>
      <c r="AJ128">
        <v>80.5585318830191</v>
      </c>
      <c r="AK128">
        <v>17.941552628522</v>
      </c>
      <c r="AL128">
        <v>87.6267920718863</v>
      </c>
      <c r="AM128">
        <v>90.429062524575997</v>
      </c>
      <c r="AN128">
        <v>1.00000001271635</v>
      </c>
    </row>
    <row r="129" spans="1:40" x14ac:dyDescent="0.25">
      <c r="A129" t="str">
        <f>"20190305135758251"</f>
        <v>20190305135758251</v>
      </c>
      <c r="B129" t="str">
        <f>"1551765478249367"</f>
        <v>1551765478249367</v>
      </c>
      <c r="C129" t="s">
        <v>40</v>
      </c>
      <c r="D129">
        <v>4.1271839999999997</v>
      </c>
      <c r="E129">
        <v>0.56206630000000002</v>
      </c>
      <c r="F129" t="s">
        <v>43</v>
      </c>
      <c r="G129">
        <v>-436.39210000000003</v>
      </c>
      <c r="H129">
        <v>-0.05</v>
      </c>
      <c r="I129">
        <v>365.07859999999999</v>
      </c>
      <c r="J129">
        <v>-453.88650000000001</v>
      </c>
      <c r="K129">
        <v>1.108633</v>
      </c>
      <c r="L129">
        <v>367.62369999999999</v>
      </c>
      <c r="M129">
        <v>0.99979470000000004</v>
      </c>
      <c r="N129">
        <v>-4.1589599999999997E-3</v>
      </c>
      <c r="O129">
        <v>1.9842149999999999E-2</v>
      </c>
      <c r="P129">
        <v>0.99890630000000002</v>
      </c>
      <c r="Q129">
        <v>3.7588799999999999E-2</v>
      </c>
      <c r="R129">
        <v>2.7819420000000001E-2</v>
      </c>
      <c r="S129">
        <v>3.0227360000000001</v>
      </c>
      <c r="T129">
        <v>-0.19664899999999999</v>
      </c>
      <c r="U129">
        <v>-0.43099979999999899</v>
      </c>
      <c r="V129">
        <v>-7.964077E-3</v>
      </c>
      <c r="W129">
        <v>4.1750040000000002E-2</v>
      </c>
      <c r="X129">
        <v>0.99909630000000005</v>
      </c>
      <c r="Y129">
        <v>0.160384</v>
      </c>
      <c r="Z129">
        <v>-6.7223489999999999E-3</v>
      </c>
      <c r="AA129">
        <v>0.98703180000000001</v>
      </c>
      <c r="AB129">
        <v>32</v>
      </c>
      <c r="AC129">
        <v>17.494399999999899</v>
      </c>
      <c r="AD129">
        <v>-1.158633</v>
      </c>
      <c r="AE129">
        <v>-2.5450999999999899</v>
      </c>
      <c r="AF129">
        <v>2.8793605159289202</v>
      </c>
      <c r="AG129">
        <v>-1.158633</v>
      </c>
      <c r="AH129">
        <v>17.365862707891999</v>
      </c>
      <c r="AI129">
        <v>93.765798152646497</v>
      </c>
      <c r="AJ129">
        <v>80.585676206563903</v>
      </c>
      <c r="AK129">
        <v>17.6410412107317</v>
      </c>
      <c r="AL129">
        <v>87.607203327333906</v>
      </c>
      <c r="AM129">
        <v>90.456711065171703</v>
      </c>
      <c r="AN129">
        <v>0.999999954518075</v>
      </c>
    </row>
    <row r="130" spans="1:40" x14ac:dyDescent="0.25">
      <c r="A130" t="str">
        <f>"20190305135758273"</f>
        <v>20190305135758273</v>
      </c>
      <c r="B130" t="str">
        <f>"1551765478268886"</f>
        <v>1551765478268886</v>
      </c>
      <c r="C130" t="s">
        <v>40</v>
      </c>
      <c r="D130">
        <v>4.1729620000000001</v>
      </c>
      <c r="E130">
        <v>0.56220680000000001</v>
      </c>
      <c r="F130" t="s">
        <v>43</v>
      </c>
      <c r="G130">
        <v>-436.17020000000002</v>
      </c>
      <c r="H130">
        <v>-0.05</v>
      </c>
      <c r="I130">
        <v>365.09089999999998</v>
      </c>
      <c r="J130">
        <v>-453.56049999999999</v>
      </c>
      <c r="K130">
        <v>1.1087400000000001</v>
      </c>
      <c r="L130">
        <v>367.62990000000002</v>
      </c>
      <c r="M130">
        <v>0.99979720000000005</v>
      </c>
      <c r="N130">
        <v>-4.9109519999999997E-3</v>
      </c>
      <c r="O130">
        <v>1.9533149999999999E-2</v>
      </c>
      <c r="P130">
        <v>0.9989401</v>
      </c>
      <c r="Q130">
        <v>3.6331049999999997E-2</v>
      </c>
      <c r="R130">
        <v>2.8265309999999998E-2</v>
      </c>
      <c r="S130">
        <v>3.0227360000000001</v>
      </c>
      <c r="T130">
        <v>-0.197685</v>
      </c>
      <c r="U130">
        <v>-0.43215940000000003</v>
      </c>
      <c r="V130">
        <v>-8.7174580000000008E-3</v>
      </c>
      <c r="W130">
        <v>4.124456E-2</v>
      </c>
      <c r="X130">
        <v>0.99911110000000003</v>
      </c>
      <c r="Y130">
        <v>0.16044349999999999</v>
      </c>
      <c r="Z130">
        <v>-6.7855459999999999E-3</v>
      </c>
      <c r="AA130">
        <v>0.9870217</v>
      </c>
      <c r="AB130">
        <v>33</v>
      </c>
      <c r="AC130">
        <v>17.3902999999999</v>
      </c>
      <c r="AD130">
        <v>-1.1587399999999899</v>
      </c>
      <c r="AE130">
        <v>-2.5390000000000401</v>
      </c>
      <c r="AF130">
        <v>2.86574934870238</v>
      </c>
      <c r="AG130">
        <v>-1.1587399999999899</v>
      </c>
      <c r="AH130">
        <v>17.262345965501002</v>
      </c>
      <c r="AI130">
        <v>93.788538181692005</v>
      </c>
      <c r="AJ130">
        <v>80.574200877652999</v>
      </c>
      <c r="AK130">
        <v>17.536926354120201</v>
      </c>
      <c r="AL130">
        <v>87.636190391792795</v>
      </c>
      <c r="AM130">
        <v>90.499905242965198</v>
      </c>
      <c r="AN130">
        <v>1.00000004897339</v>
      </c>
    </row>
    <row r="131" spans="1:40" x14ac:dyDescent="0.25">
      <c r="A131" t="str">
        <f>"20190305135758297"</f>
        <v>20190305135758297</v>
      </c>
      <c r="B131" t="str">
        <f>"1551765478289383"</f>
        <v>1551765478289383</v>
      </c>
      <c r="C131" t="s">
        <v>40</v>
      </c>
      <c r="D131">
        <v>4.146655</v>
      </c>
      <c r="E131">
        <v>0.56229069999999903</v>
      </c>
      <c r="F131" t="s">
        <v>43</v>
      </c>
      <c r="G131">
        <v>-436.27089999999998</v>
      </c>
      <c r="H131">
        <v>-0.05</v>
      </c>
      <c r="I131">
        <v>365.15929999999997</v>
      </c>
      <c r="J131">
        <v>-453.21839999999997</v>
      </c>
      <c r="K131">
        <v>1.1088450000000001</v>
      </c>
      <c r="L131">
        <v>367.63619999999997</v>
      </c>
      <c r="M131">
        <v>0.99979910000000005</v>
      </c>
      <c r="N131">
        <v>-5.7392349999999996E-3</v>
      </c>
      <c r="O131">
        <v>1.920883E-2</v>
      </c>
      <c r="P131">
        <v>0.99897000000000002</v>
      </c>
      <c r="Q131">
        <v>3.5018899999999999E-2</v>
      </c>
      <c r="R131">
        <v>2.8859099999999999E-2</v>
      </c>
      <c r="S131">
        <v>3.0227659999999998</v>
      </c>
      <c r="T131">
        <v>-0.20258429999999999</v>
      </c>
      <c r="U131">
        <v>-0.43194579999999999</v>
      </c>
      <c r="V131">
        <v>-9.6347399999999993E-3</v>
      </c>
      <c r="W131">
        <v>4.0760490000000003E-2</v>
      </c>
      <c r="X131">
        <v>0.99912250000000002</v>
      </c>
      <c r="Y131">
        <v>0.16003229999999999</v>
      </c>
      <c r="Z131">
        <v>-6.9620410000000004E-3</v>
      </c>
      <c r="AA131">
        <v>0.98708720000000005</v>
      </c>
      <c r="AB131">
        <v>33</v>
      </c>
      <c r="AC131">
        <v>16.947499999999899</v>
      </c>
      <c r="AD131">
        <v>-1.1588449999999999</v>
      </c>
      <c r="AE131">
        <v>-2.4769000000000001</v>
      </c>
      <c r="AF131">
        <v>2.7892213576101001</v>
      </c>
      <c r="AG131">
        <v>-1.1588449999999999</v>
      </c>
      <c r="AH131">
        <v>16.819795531322601</v>
      </c>
      <c r="AI131">
        <v>93.888382761933698</v>
      </c>
      <c r="AJ131">
        <v>80.5843436604641</v>
      </c>
      <c r="AK131">
        <v>17.0888325883097</v>
      </c>
      <c r="AL131">
        <v>87.663948806369007</v>
      </c>
      <c r="AM131">
        <v>90.552497645008899</v>
      </c>
      <c r="AN131">
        <v>1.00000000788307</v>
      </c>
    </row>
    <row r="132" spans="1:40" x14ac:dyDescent="0.25">
      <c r="A132" t="str">
        <f>"20190305135758319"</f>
        <v>20190305135758319</v>
      </c>
      <c r="B132" t="str">
        <f>"1551765478308906"</f>
        <v>1551765478308906</v>
      </c>
      <c r="C132" t="s">
        <v>40</v>
      </c>
      <c r="D132">
        <v>4.1413970000000004</v>
      </c>
      <c r="E132">
        <v>0.56254939999999998</v>
      </c>
      <c r="F132" t="s">
        <v>43</v>
      </c>
      <c r="G132">
        <v>-436.26889999999997</v>
      </c>
      <c r="H132">
        <v>-0.05</v>
      </c>
      <c r="I132">
        <v>365.22089999999997</v>
      </c>
      <c r="J132">
        <v>-452.89870000000002</v>
      </c>
      <c r="K132">
        <v>1.1089329999999999</v>
      </c>
      <c r="L132">
        <v>367.64210000000003</v>
      </c>
      <c r="M132">
        <v>0.99980060000000004</v>
      </c>
      <c r="N132">
        <v>-6.4677249999999997E-3</v>
      </c>
      <c r="O132">
        <v>1.8902579999999999E-2</v>
      </c>
      <c r="P132">
        <v>0.99898889999999996</v>
      </c>
      <c r="Q132">
        <v>3.4560349999999997E-2</v>
      </c>
      <c r="R132">
        <v>2.8755679999999999E-2</v>
      </c>
      <c r="S132">
        <v>3.0228269999999999</v>
      </c>
      <c r="T132">
        <v>-0.20667199999999999</v>
      </c>
      <c r="U132">
        <v>-0.43075560000000002</v>
      </c>
      <c r="V132">
        <v>-9.8361569999999999E-3</v>
      </c>
      <c r="W132">
        <v>4.1030629999999998E-2</v>
      </c>
      <c r="X132">
        <v>0.99910940000000004</v>
      </c>
      <c r="Y132">
        <v>0.1593291</v>
      </c>
      <c r="Z132">
        <v>-7.0948840000000001E-3</v>
      </c>
      <c r="AA132">
        <v>0.98719999999999997</v>
      </c>
      <c r="AB132">
        <v>33</v>
      </c>
      <c r="AC132">
        <v>16.629799999999999</v>
      </c>
      <c r="AD132">
        <v>-1.158933</v>
      </c>
      <c r="AE132">
        <v>-2.42120000000005</v>
      </c>
      <c r="AF132">
        <v>2.7221736388356699</v>
      </c>
      <c r="AG132">
        <v>-1.158933</v>
      </c>
      <c r="AH132">
        <v>16.5025761407604</v>
      </c>
      <c r="AI132">
        <v>93.963747605090603</v>
      </c>
      <c r="AJ132">
        <v>80.633154669893997</v>
      </c>
      <c r="AK132">
        <v>16.7656903913932</v>
      </c>
      <c r="AL132">
        <v>87.648457777094706</v>
      </c>
      <c r="AM132">
        <v>90.564054423100401</v>
      </c>
      <c r="AN132">
        <v>0.99999992787554004</v>
      </c>
    </row>
    <row r="133" spans="1:40" x14ac:dyDescent="0.25">
      <c r="A133" t="str">
        <f>"20190305135758340"</f>
        <v>20190305135758340</v>
      </c>
      <c r="B133" t="str">
        <f>"1551765478328947"</f>
        <v>1551765478328947</v>
      </c>
      <c r="C133" t="s">
        <v>40</v>
      </c>
      <c r="D133">
        <v>4.1612039999999997</v>
      </c>
      <c r="E133">
        <v>0.56273260000000003</v>
      </c>
      <c r="F133" t="s">
        <v>43</v>
      </c>
      <c r="G133">
        <v>-436.03519999999997</v>
      </c>
      <c r="H133">
        <v>-0.05</v>
      </c>
      <c r="I133">
        <v>365.22699999999998</v>
      </c>
      <c r="J133">
        <v>-452.58760000000001</v>
      </c>
      <c r="K133">
        <v>1.108994</v>
      </c>
      <c r="L133">
        <v>367.64760000000001</v>
      </c>
      <c r="M133">
        <v>0.99980179999999996</v>
      </c>
      <c r="N133">
        <v>-7.1101300000000001E-3</v>
      </c>
      <c r="O133">
        <v>1.8601840000000001E-2</v>
      </c>
      <c r="P133">
        <v>0.99902139999999995</v>
      </c>
      <c r="Q133">
        <v>3.3744040000000003E-2</v>
      </c>
      <c r="R133">
        <v>2.8596079999999999E-2</v>
      </c>
      <c r="S133">
        <v>3.0226440000000001</v>
      </c>
      <c r="T133">
        <v>-0.20772969999999999</v>
      </c>
      <c r="U133">
        <v>-0.43289179999999999</v>
      </c>
      <c r="V133">
        <v>-9.9762930000000007E-3</v>
      </c>
      <c r="W133">
        <v>4.0856259999999998E-2</v>
      </c>
      <c r="X133">
        <v>0.99911519999999998</v>
      </c>
      <c r="Y133">
        <v>0.15971679999999999</v>
      </c>
      <c r="Z133">
        <v>-7.1648390000000001E-3</v>
      </c>
      <c r="AA133">
        <v>0.98713689999999998</v>
      </c>
      <c r="AB133">
        <v>32</v>
      </c>
      <c r="AC133">
        <v>16.552399999999999</v>
      </c>
      <c r="AD133">
        <v>-1.1589940000000001</v>
      </c>
      <c r="AE133">
        <v>-2.4206000000000301</v>
      </c>
      <c r="AF133">
        <v>2.7150614129036801</v>
      </c>
      <c r="AG133">
        <v>-1.1589940000000001</v>
      </c>
      <c r="AH133">
        <v>16.425662174258001</v>
      </c>
      <c r="AI133">
        <v>93.982240830978299</v>
      </c>
      <c r="AJ133">
        <v>80.614223927256205</v>
      </c>
      <c r="AK133">
        <v>16.688834693612499</v>
      </c>
      <c r="AL133">
        <v>87.658456929977504</v>
      </c>
      <c r="AM133">
        <v>90.572086670823097</v>
      </c>
      <c r="AN133">
        <v>0.99999997163712395</v>
      </c>
    </row>
    <row r="134" spans="1:40" x14ac:dyDescent="0.25">
      <c r="A134" t="str">
        <f>"20190305135758364"</f>
        <v>20190305135758364</v>
      </c>
      <c r="B134" t="str">
        <f>"1551765478359199"</f>
        <v>1551765478359199</v>
      </c>
      <c r="C134" t="s">
        <v>40</v>
      </c>
      <c r="D134">
        <v>4.0714819999999996</v>
      </c>
      <c r="E134">
        <v>0.5631294</v>
      </c>
      <c r="F134" t="s">
        <v>43</v>
      </c>
      <c r="G134">
        <v>-435.90859999999998</v>
      </c>
      <c r="H134">
        <v>-0.05</v>
      </c>
      <c r="I134">
        <v>365.24880000000002</v>
      </c>
      <c r="J134">
        <v>-452.24779999999998</v>
      </c>
      <c r="K134">
        <v>1.1090370000000001</v>
      </c>
      <c r="L134">
        <v>367.65350000000001</v>
      </c>
      <c r="M134">
        <v>0.99980309999999994</v>
      </c>
      <c r="N134">
        <v>-7.7432040000000001E-3</v>
      </c>
      <c r="O134">
        <v>1.8277970000000001E-2</v>
      </c>
      <c r="P134">
        <v>0.99903710000000001</v>
      </c>
      <c r="Q134">
        <v>3.3163980000000003E-2</v>
      </c>
      <c r="R134">
        <v>2.8729939999999999E-2</v>
      </c>
      <c r="S134">
        <v>3.022491</v>
      </c>
      <c r="T134">
        <v>-0.21002750000000001</v>
      </c>
      <c r="U134">
        <v>-0.43469239999999998</v>
      </c>
      <c r="V134">
        <v>-1.043315E-2</v>
      </c>
      <c r="W134">
        <v>4.0909630000000002E-2</v>
      </c>
      <c r="X134">
        <v>0.99910840000000001</v>
      </c>
      <c r="Y134">
        <v>0.1599679</v>
      </c>
      <c r="Z134">
        <v>-7.2681069999999898E-3</v>
      </c>
      <c r="AA134">
        <v>0.98709550000000001</v>
      </c>
      <c r="AB134">
        <v>32</v>
      </c>
      <c r="AC134">
        <v>16.339200000000002</v>
      </c>
      <c r="AD134">
        <v>-1.1590370000000001</v>
      </c>
      <c r="AE134">
        <v>-2.4046999999999898</v>
      </c>
      <c r="AF134">
        <v>2.6897071466330198</v>
      </c>
      <c r="AG134">
        <v>-1.1590370000000001</v>
      </c>
      <c r="AH134">
        <v>16.2126648113098</v>
      </c>
      <c r="AI134">
        <v>94.034142049985107</v>
      </c>
      <c r="AJ134">
        <v>80.580333042335795</v>
      </c>
      <c r="AK134">
        <v>16.475083962939301</v>
      </c>
      <c r="AL134">
        <v>87.655396612878306</v>
      </c>
      <c r="AM134">
        <v>90.598287168149497</v>
      </c>
      <c r="AN134">
        <v>1.0000000216981</v>
      </c>
    </row>
    <row r="135" spans="1:40" x14ac:dyDescent="0.25">
      <c r="A135" t="str">
        <f>"20190305135758387"</f>
        <v>20190305135758387</v>
      </c>
      <c r="B135" t="str">
        <f>"1551765478378719"</f>
        <v>1551765478378719</v>
      </c>
      <c r="C135" t="s">
        <v>40</v>
      </c>
      <c r="D135">
        <v>4.0841589999999997</v>
      </c>
      <c r="E135">
        <v>0.56306199999999995</v>
      </c>
      <c r="F135" t="s">
        <v>43</v>
      </c>
      <c r="G135">
        <v>-435.59249999999997</v>
      </c>
      <c r="H135">
        <v>-0.05</v>
      </c>
      <c r="I135">
        <v>365.2439</v>
      </c>
      <c r="J135">
        <v>-451.90480000000002</v>
      </c>
      <c r="K135">
        <v>1.1090770000000001</v>
      </c>
      <c r="L135">
        <v>367.65940000000001</v>
      </c>
      <c r="M135">
        <v>0.99980429999999998</v>
      </c>
      <c r="N135">
        <v>-8.31549E-3</v>
      </c>
      <c r="O135">
        <v>1.795366E-2</v>
      </c>
      <c r="P135">
        <v>0.99908509999999995</v>
      </c>
      <c r="Q135">
        <v>3.2037169999999997E-2</v>
      </c>
      <c r="R135">
        <v>2.8335599999999999E-2</v>
      </c>
      <c r="S135">
        <v>3.0224609999999998</v>
      </c>
      <c r="T135">
        <v>-0.21033199999999999</v>
      </c>
      <c r="U135">
        <v>-0.43728640000000002</v>
      </c>
      <c r="V135">
        <v>-1.036288E-2</v>
      </c>
      <c r="W135">
        <v>4.0354559999999998E-2</v>
      </c>
      <c r="X135">
        <v>0.99913169999999996</v>
      </c>
      <c r="Y135">
        <v>0.1604746</v>
      </c>
      <c r="Z135">
        <v>-7.3131949999999998E-3</v>
      </c>
      <c r="AA135">
        <v>0.98701289999999997</v>
      </c>
      <c r="AB135">
        <v>32</v>
      </c>
      <c r="AC135">
        <v>16.3123</v>
      </c>
      <c r="AD135">
        <v>-1.1590769999999999</v>
      </c>
      <c r="AE135">
        <v>-2.4155000000000002</v>
      </c>
      <c r="AF135">
        <v>2.6946731057079099</v>
      </c>
      <c r="AG135">
        <v>-1.1590769999999999</v>
      </c>
      <c r="AH135">
        <v>16.1863328546514</v>
      </c>
      <c r="AI135">
        <v>94.040446469404003</v>
      </c>
      <c r="AJ135">
        <v>80.548179280457106</v>
      </c>
      <c r="AK135">
        <v>16.4499876571419</v>
      </c>
      <c r="AL135">
        <v>87.687226055304194</v>
      </c>
      <c r="AM135">
        <v>90.594243979961206</v>
      </c>
      <c r="AN135">
        <v>1.00000001686978</v>
      </c>
    </row>
    <row r="136" spans="1:40" x14ac:dyDescent="0.25">
      <c r="A136" t="str">
        <f>"20190305135758409"</f>
        <v>20190305135758409</v>
      </c>
      <c r="B136" t="str">
        <f>"1551765478399215"</f>
        <v>1551765478399215</v>
      </c>
      <c r="C136" t="s">
        <v>40</v>
      </c>
      <c r="D136">
        <v>4.0653739999999896</v>
      </c>
      <c r="E136">
        <v>0.53769540000000005</v>
      </c>
      <c r="F136" t="s">
        <v>43</v>
      </c>
      <c r="G136">
        <v>-435.42320000000001</v>
      </c>
      <c r="H136">
        <v>-0.05</v>
      </c>
      <c r="I136">
        <v>365.27030000000002</v>
      </c>
      <c r="J136">
        <v>-451.5829</v>
      </c>
      <c r="K136">
        <v>1.1091059999999999</v>
      </c>
      <c r="L136">
        <v>367.66480000000001</v>
      </c>
      <c r="M136">
        <v>0.99980570000000002</v>
      </c>
      <c r="N136">
        <v>-8.7930030000000006E-3</v>
      </c>
      <c r="O136">
        <v>1.7646019999999998E-2</v>
      </c>
      <c r="P136">
        <v>0.99914069999999999</v>
      </c>
      <c r="Q136">
        <v>3.067802E-2</v>
      </c>
      <c r="R136">
        <v>2.7875049999999998E-2</v>
      </c>
      <c r="S136">
        <v>3.021973</v>
      </c>
      <c r="T136">
        <v>-0.21252209999999999</v>
      </c>
      <c r="U136">
        <v>-0.43804929999999997</v>
      </c>
      <c r="V136">
        <v>-1.0209350000000001E-2</v>
      </c>
      <c r="W136">
        <v>3.9472640000000003E-2</v>
      </c>
      <c r="X136">
        <v>0.99916850000000001</v>
      </c>
      <c r="Y136">
        <v>0.16042690000000001</v>
      </c>
      <c r="Z136">
        <v>-7.3940899999999999E-3</v>
      </c>
      <c r="AA136">
        <v>0.98702000000000001</v>
      </c>
      <c r="AB136">
        <v>32</v>
      </c>
      <c r="AC136">
        <v>16.159699999999901</v>
      </c>
      <c r="AD136">
        <v>-1.159106</v>
      </c>
      <c r="AE136">
        <v>-2.3944999999999901</v>
      </c>
      <c r="AF136">
        <v>2.6658714834749402</v>
      </c>
      <c r="AG136">
        <v>-1.159106</v>
      </c>
      <c r="AH136">
        <v>16.0342061329305</v>
      </c>
      <c r="AI136">
        <v>94.078896349555095</v>
      </c>
      <c r="AJ136">
        <v>80.560265085861005</v>
      </c>
      <c r="AK136">
        <v>16.295587249281599</v>
      </c>
      <c r="AL136">
        <v>87.737796622777196</v>
      </c>
      <c r="AM136">
        <v>90.585419086610699</v>
      </c>
      <c r="AN136">
        <v>1.0000000057641201</v>
      </c>
    </row>
    <row r="137" spans="1:40" x14ac:dyDescent="0.25">
      <c r="A137" t="str">
        <f>"20190305135758430"</f>
        <v>20190305135758430</v>
      </c>
      <c r="B137" t="str">
        <f>"1551765478418738"</f>
        <v>1551765478418738</v>
      </c>
      <c r="C137" t="s">
        <v>40</v>
      </c>
      <c r="D137">
        <v>4.0109760000000003</v>
      </c>
      <c r="E137">
        <v>0.53591480000000002</v>
      </c>
      <c r="F137" t="s">
        <v>41</v>
      </c>
      <c r="G137">
        <v>-450.7439</v>
      </c>
      <c r="H137">
        <v>1.009128</v>
      </c>
      <c r="I137">
        <v>367.59609999999998</v>
      </c>
      <c r="J137">
        <v>-451.28050000000002</v>
      </c>
      <c r="K137">
        <v>1.1091260000000001</v>
      </c>
      <c r="L137">
        <v>367.66980000000001</v>
      </c>
      <c r="M137">
        <v>0.99980720000000001</v>
      </c>
      <c r="N137">
        <v>-9.1913289999999998E-3</v>
      </c>
      <c r="O137">
        <v>1.7353529999999999E-2</v>
      </c>
      <c r="P137">
        <v>0.99914499999999995</v>
      </c>
      <c r="Q137">
        <v>3.050957E-2</v>
      </c>
      <c r="R137">
        <v>2.7906420000000001E-2</v>
      </c>
      <c r="S137">
        <v>3.020508</v>
      </c>
      <c r="T137">
        <v>-0.3599677</v>
      </c>
      <c r="U137">
        <v>-0.24606320000000001</v>
      </c>
      <c r="V137">
        <v>-1.0533239999999999E-2</v>
      </c>
      <c r="W137">
        <v>3.9702769999999998E-2</v>
      </c>
      <c r="X137">
        <v>0.99915600000000004</v>
      </c>
      <c r="Y137">
        <v>9.7635830000000007E-2</v>
      </c>
      <c r="Z137">
        <v>-8.1380199999999993E-3</v>
      </c>
      <c r="AA137">
        <v>0.99518899999999999</v>
      </c>
      <c r="AB137">
        <v>32</v>
      </c>
      <c r="AC137">
        <v>0.53660000000002095</v>
      </c>
      <c r="AD137">
        <v>-9.9998000000000004E-2</v>
      </c>
      <c r="AE137">
        <v>-7.3700000000030699E-2</v>
      </c>
      <c r="AF137">
        <v>8.02653428868179E-2</v>
      </c>
      <c r="AG137">
        <v>-9.9998000000000004E-2</v>
      </c>
      <c r="AH137">
        <v>0.51759778789672795</v>
      </c>
      <c r="AI137">
        <v>100.80852804165001</v>
      </c>
      <c r="AJ137">
        <v>81.185193284542294</v>
      </c>
      <c r="AK137">
        <v>0.53324440485421398</v>
      </c>
      <c r="AL137">
        <v>87.724600755226405</v>
      </c>
      <c r="AM137">
        <v>90.603997614705804</v>
      </c>
      <c r="AN137">
        <v>0.99999998571328497</v>
      </c>
    </row>
    <row r="138" spans="1:40" x14ac:dyDescent="0.25">
      <c r="A138" t="str">
        <f>"20190305135758452"</f>
        <v>20190305135758452</v>
      </c>
      <c r="B138" t="str">
        <f>"1551765478448991"</f>
        <v>1551765478448991</v>
      </c>
      <c r="C138" t="s">
        <v>40</v>
      </c>
      <c r="D138">
        <v>4.0316020000000004</v>
      </c>
      <c r="E138">
        <v>0.53728779999999998</v>
      </c>
      <c r="F138" t="s">
        <v>41</v>
      </c>
      <c r="G138">
        <v>-450.4624</v>
      </c>
      <c r="H138">
        <v>0.99082340000000002</v>
      </c>
      <c r="I138">
        <v>367.60590000000002</v>
      </c>
      <c r="J138">
        <v>-450.96179999999998</v>
      </c>
      <c r="K138">
        <v>1.1091489999999999</v>
      </c>
      <c r="L138">
        <v>367.67500000000001</v>
      </c>
      <c r="M138">
        <v>0.99980910000000001</v>
      </c>
      <c r="N138">
        <v>-9.5627669999999998E-3</v>
      </c>
      <c r="O138">
        <v>1.704346E-2</v>
      </c>
      <c r="P138">
        <v>0.99918359999999995</v>
      </c>
      <c r="Q138">
        <v>2.9891939999999999E-2</v>
      </c>
      <c r="R138">
        <v>2.7181070000000002E-2</v>
      </c>
      <c r="S138">
        <v>3.0225219999999999</v>
      </c>
      <c r="T138">
        <v>-0.43706289999999998</v>
      </c>
      <c r="U138">
        <v>-0.23632810000000001</v>
      </c>
      <c r="V138">
        <v>-1.0117879999999999E-2</v>
      </c>
      <c r="W138">
        <v>3.9456440000000002E-2</v>
      </c>
      <c r="X138">
        <v>0.99917009999999995</v>
      </c>
      <c r="Y138">
        <v>9.3743969999999996E-2</v>
      </c>
      <c r="Z138">
        <v>-9.4704539999999997E-3</v>
      </c>
      <c r="AA138">
        <v>0.99555130000000003</v>
      </c>
      <c r="AB138">
        <v>32</v>
      </c>
      <c r="AC138">
        <v>0.49939999999998003</v>
      </c>
      <c r="AD138">
        <v>-0.118325599999999</v>
      </c>
      <c r="AE138">
        <v>-6.9099999999991696E-2</v>
      </c>
      <c r="AF138">
        <v>7.3550414522764895E-2</v>
      </c>
      <c r="AG138">
        <v>-0.118325599999999</v>
      </c>
      <c r="AH138">
        <v>0.472142282597039</v>
      </c>
      <c r="AI138">
        <v>103.908242038778</v>
      </c>
      <c r="AJ138">
        <v>81.145619338169993</v>
      </c>
      <c r="AK138">
        <v>0.492269180538222</v>
      </c>
      <c r="AL138">
        <v>87.738725605199605</v>
      </c>
      <c r="AM138">
        <v>90.580173493957602</v>
      </c>
      <c r="AN138">
        <v>1.0000000354435801</v>
      </c>
    </row>
    <row r="139" spans="1:40" x14ac:dyDescent="0.25">
      <c r="A139" t="str">
        <f>"20190305135758475"</f>
        <v>20190305135758475</v>
      </c>
      <c r="B139" t="str">
        <f>"1551765478469487"</f>
        <v>1551765478469487</v>
      </c>
      <c r="C139" t="s">
        <v>40</v>
      </c>
      <c r="D139">
        <v>4.0378170000000004</v>
      </c>
      <c r="E139">
        <v>0.53816129999999995</v>
      </c>
      <c r="F139" t="s">
        <v>41</v>
      </c>
      <c r="G139">
        <v>-450.17500000000001</v>
      </c>
      <c r="H139">
        <v>0.98459680000000005</v>
      </c>
      <c r="I139">
        <v>367.60899999999998</v>
      </c>
      <c r="J139">
        <v>-450.62880000000001</v>
      </c>
      <c r="K139">
        <v>1.1091690000000001</v>
      </c>
      <c r="L139">
        <v>367.68029999999999</v>
      </c>
      <c r="M139">
        <v>0.99981129999999996</v>
      </c>
      <c r="N139">
        <v>-9.9034929999999993E-3</v>
      </c>
      <c r="O139">
        <v>1.6720309999999999E-2</v>
      </c>
      <c r="P139">
        <v>0.99918960000000001</v>
      </c>
      <c r="Q139">
        <v>2.9381910000000001E-2</v>
      </c>
      <c r="R139">
        <v>2.7510940000000001E-2</v>
      </c>
      <c r="S139">
        <v>3.0236209999999999</v>
      </c>
      <c r="T139">
        <v>-0.4787225</v>
      </c>
      <c r="U139">
        <v>-0.25198359999999997</v>
      </c>
      <c r="V139">
        <v>-1.077115E-2</v>
      </c>
      <c r="W139">
        <v>3.9286809999999998E-2</v>
      </c>
      <c r="X139">
        <v>0.99916990000000006</v>
      </c>
      <c r="Y139">
        <v>9.8227430000000004E-2</v>
      </c>
      <c r="Z139">
        <v>-1.0667690000000001E-2</v>
      </c>
      <c r="AA139">
        <v>0.99510679999999996</v>
      </c>
      <c r="AB139">
        <v>32</v>
      </c>
      <c r="AC139">
        <v>0.45380000000000098</v>
      </c>
      <c r="AD139">
        <v>-0.12457219999999999</v>
      </c>
      <c r="AE139">
        <v>-7.1299999999951E-2</v>
      </c>
      <c r="AF139">
        <v>7.3474759625709901E-2</v>
      </c>
      <c r="AG139">
        <v>-0.12457219999999999</v>
      </c>
      <c r="AH139">
        <v>0.42154406845320302</v>
      </c>
      <c r="AI139">
        <v>106.231595001747</v>
      </c>
      <c r="AJ139">
        <v>80.112723384833302</v>
      </c>
      <c r="AK139">
        <v>0.44566374652082102</v>
      </c>
      <c r="AL139">
        <v>87.748452104912701</v>
      </c>
      <c r="AM139">
        <v>90.617630225909494</v>
      </c>
      <c r="AN139">
        <v>0.99999998008915403</v>
      </c>
    </row>
    <row r="140" spans="1:40" x14ac:dyDescent="0.25">
      <c r="A140" t="str">
        <f>"20190305135758497"</f>
        <v>20190305135758497</v>
      </c>
      <c r="B140" t="str">
        <f>"1551765478489006"</f>
        <v>1551765478489006</v>
      </c>
      <c r="C140" t="s">
        <v>40</v>
      </c>
      <c r="D140">
        <v>4.0189719999999998</v>
      </c>
      <c r="E140">
        <v>0.5386784</v>
      </c>
      <c r="F140" t="s">
        <v>41</v>
      </c>
      <c r="G140">
        <v>-449.8827</v>
      </c>
      <c r="H140">
        <v>0.98855789999999999</v>
      </c>
      <c r="I140">
        <v>367.61630000000002</v>
      </c>
      <c r="J140">
        <v>-450.3048</v>
      </c>
      <c r="K140">
        <v>1.109173</v>
      </c>
      <c r="L140">
        <v>367.68540000000002</v>
      </c>
      <c r="M140">
        <v>0.99981350000000002</v>
      </c>
      <c r="N140">
        <v>-1.0192089999999999E-2</v>
      </c>
      <c r="O140">
        <v>1.6406790000000001E-2</v>
      </c>
      <c r="P140">
        <v>0.9992164</v>
      </c>
      <c r="Q140">
        <v>2.859194E-2</v>
      </c>
      <c r="R140">
        <v>2.73733E-2</v>
      </c>
      <c r="S140">
        <v>3.023895</v>
      </c>
      <c r="T140">
        <v>-0.48896030000000001</v>
      </c>
      <c r="U140">
        <v>-0.25881959999999998</v>
      </c>
      <c r="V140">
        <v>-1.09467E-2</v>
      </c>
      <c r="W140">
        <v>3.8785569999999998E-2</v>
      </c>
      <c r="X140">
        <v>0.99918759999999995</v>
      </c>
      <c r="Y140">
        <v>0.1000567</v>
      </c>
      <c r="Z140">
        <v>-1.100285E-2</v>
      </c>
      <c r="AA140">
        <v>0.9949209</v>
      </c>
      <c r="AB140">
        <v>32</v>
      </c>
      <c r="AC140">
        <v>0.42209999999999998</v>
      </c>
      <c r="AD140">
        <v>-0.120615099999999</v>
      </c>
      <c r="AE140">
        <v>-6.9099999999991696E-2</v>
      </c>
      <c r="AF140">
        <v>7.0416690743143801E-2</v>
      </c>
      <c r="AG140">
        <v>-0.120615099999999</v>
      </c>
      <c r="AH140">
        <v>0.38990352130127798</v>
      </c>
      <c r="AI140">
        <v>106.93136454509801</v>
      </c>
      <c r="AJ140">
        <v>79.7627148354523</v>
      </c>
      <c r="AK140">
        <v>0.414163335661622</v>
      </c>
      <c r="AL140">
        <v>87.777193004805397</v>
      </c>
      <c r="AM140">
        <v>90.627684549078097</v>
      </c>
      <c r="AN140">
        <v>1.0000000053374301</v>
      </c>
    </row>
    <row r="141" spans="1:40" x14ac:dyDescent="0.25">
      <c r="A141" t="str">
        <f>"20190305135758522"</f>
        <v>20190305135758522</v>
      </c>
      <c r="B141" t="str">
        <f>"1551765478519263"</f>
        <v>1551765478519263</v>
      </c>
      <c r="C141" t="s">
        <v>40</v>
      </c>
      <c r="D141">
        <v>4.0207490000000004</v>
      </c>
      <c r="E141">
        <v>0.53947100000000003</v>
      </c>
      <c r="F141" t="s">
        <v>41</v>
      </c>
      <c r="G141">
        <v>-449.5908</v>
      </c>
      <c r="H141">
        <v>0.99203129999999995</v>
      </c>
      <c r="I141">
        <v>367.62259999999998</v>
      </c>
      <c r="J141">
        <v>-449.96570000000003</v>
      </c>
      <c r="K141">
        <v>1.109186</v>
      </c>
      <c r="L141">
        <v>367.69049999999999</v>
      </c>
      <c r="M141">
        <v>0.99981609999999999</v>
      </c>
      <c r="N141">
        <v>-1.04542E-2</v>
      </c>
      <c r="O141">
        <v>1.607979E-2</v>
      </c>
      <c r="P141">
        <v>0.99924669999999904</v>
      </c>
      <c r="Q141">
        <v>2.7658430000000001E-2</v>
      </c>
      <c r="R141">
        <v>2.7227310000000001E-2</v>
      </c>
      <c r="S141">
        <v>3.0237729999999998</v>
      </c>
      <c r="T141">
        <v>-0.49640059999999903</v>
      </c>
      <c r="U141">
        <v>-0.26300050000000003</v>
      </c>
      <c r="V141">
        <v>-1.1128040000000001E-2</v>
      </c>
      <c r="W141">
        <v>3.8114670000000003E-2</v>
      </c>
      <c r="X141">
        <v>0.99921139999999997</v>
      </c>
      <c r="Y141">
        <v>0.10104200000000001</v>
      </c>
      <c r="Z141">
        <v>-1.120735E-2</v>
      </c>
      <c r="AA141">
        <v>0.99481900000000001</v>
      </c>
      <c r="AB141">
        <v>32</v>
      </c>
      <c r="AC141">
        <v>0.37490000000002499</v>
      </c>
      <c r="AD141">
        <v>-0.117154699999999</v>
      </c>
      <c r="AE141">
        <v>-6.7900000000008703E-2</v>
      </c>
      <c r="AF141">
        <v>6.7534347872789599E-2</v>
      </c>
      <c r="AG141">
        <v>-0.117154699999999</v>
      </c>
      <c r="AH141">
        <v>0.341472684962562</v>
      </c>
      <c r="AI141">
        <v>108.601555328834</v>
      </c>
      <c r="AJ141">
        <v>78.812766315397198</v>
      </c>
      <c r="AK141">
        <v>0.36727334023889302</v>
      </c>
      <c r="AL141">
        <v>87.815661160241106</v>
      </c>
      <c r="AM141">
        <v>90.638066547660799</v>
      </c>
      <c r="AN141">
        <v>0.99999999161670505</v>
      </c>
    </row>
    <row r="142" spans="1:40" x14ac:dyDescent="0.25">
      <c r="A142" t="str">
        <f>"20190305135758540"</f>
        <v>20190305135758540</v>
      </c>
      <c r="B142" t="str">
        <f>"1551765478529024"</f>
        <v>1551765478529024</v>
      </c>
      <c r="C142" t="s">
        <v>40</v>
      </c>
      <c r="D142">
        <v>4.0305330000000001</v>
      </c>
      <c r="E142">
        <v>0.53979460000000001</v>
      </c>
      <c r="F142" t="s">
        <v>41</v>
      </c>
      <c r="G142">
        <v>-449.02879999999999</v>
      </c>
      <c r="H142">
        <v>0.95296800000000004</v>
      </c>
      <c r="I142">
        <v>367.60649999999998</v>
      </c>
      <c r="J142">
        <v>-449.67700000000002</v>
      </c>
      <c r="K142">
        <v>1.1091679999999999</v>
      </c>
      <c r="L142">
        <v>367.69490000000002</v>
      </c>
      <c r="M142">
        <v>0.99981969999999998</v>
      </c>
      <c r="N142">
        <v>-1.0540809999999999E-2</v>
      </c>
      <c r="O142">
        <v>1.5802699999999999E-2</v>
      </c>
      <c r="P142">
        <v>0.99924930000000001</v>
      </c>
      <c r="Q142">
        <v>2.7451929999999999E-2</v>
      </c>
      <c r="R142">
        <v>2.7340730000000001E-2</v>
      </c>
      <c r="S142">
        <v>3.02359</v>
      </c>
      <c r="T142">
        <v>-0.50427029999999995</v>
      </c>
      <c r="U142">
        <v>-0.2697754</v>
      </c>
      <c r="V142">
        <v>-1.1518779999999999E-2</v>
      </c>
      <c r="W142">
        <v>3.7994600000000003E-2</v>
      </c>
      <c r="X142">
        <v>0.99921150000000003</v>
      </c>
      <c r="Y142">
        <v>0.10290870000000001</v>
      </c>
      <c r="Z142">
        <v>-1.150107E-2</v>
      </c>
      <c r="AA142">
        <v>0.99462430000000002</v>
      </c>
      <c r="AB142">
        <v>32</v>
      </c>
      <c r="AC142">
        <v>0.64819999999997402</v>
      </c>
      <c r="AD142">
        <v>-0.15619999999999901</v>
      </c>
      <c r="AE142">
        <v>-8.8400000000035506E-2</v>
      </c>
      <c r="AF142">
        <v>9.3313179008122693E-2</v>
      </c>
      <c r="AG142">
        <v>-0.15619999999999901</v>
      </c>
      <c r="AH142">
        <v>0.61184173756563798</v>
      </c>
      <c r="AI142">
        <v>104.16432669309199</v>
      </c>
      <c r="AJ142">
        <v>81.328529193658099</v>
      </c>
      <c r="AK142">
        <v>0.63832288162335205</v>
      </c>
      <c r="AL142">
        <v>87.822545553686695</v>
      </c>
      <c r="AM142">
        <v>90.660469026103499</v>
      </c>
      <c r="AN142">
        <v>0.99999994682704696</v>
      </c>
    </row>
    <row r="143" spans="1:40" x14ac:dyDescent="0.25">
      <c r="A143" t="str">
        <f>"20190305135758566"</f>
        <v>20190305135758566</v>
      </c>
      <c r="B143" t="str">
        <f>"1551765478559279"</f>
        <v>1551765478559279</v>
      </c>
      <c r="C143" t="s">
        <v>40</v>
      </c>
      <c r="D143">
        <v>4.0322009999999997</v>
      </c>
      <c r="E143">
        <v>0.54028759999999998</v>
      </c>
      <c r="F143" t="s">
        <v>41</v>
      </c>
      <c r="G143">
        <v>-448.73599999999999</v>
      </c>
      <c r="H143">
        <v>0.95161390000000001</v>
      </c>
      <c r="I143">
        <v>367.61</v>
      </c>
      <c r="J143">
        <v>-449.31700000000001</v>
      </c>
      <c r="K143">
        <v>1.1088739999999999</v>
      </c>
      <c r="L143">
        <v>367.7002</v>
      </c>
      <c r="M143">
        <v>0.99983509999999998</v>
      </c>
      <c r="N143">
        <v>-9.5166810000000008E-3</v>
      </c>
      <c r="O143">
        <v>1.546763E-2</v>
      </c>
      <c r="P143">
        <v>0.99921439999999995</v>
      </c>
      <c r="Q143">
        <v>2.8581349999999998E-2</v>
      </c>
      <c r="R143">
        <v>2.7449999999999999E-2</v>
      </c>
      <c r="S143">
        <v>3.0236209999999999</v>
      </c>
      <c r="T143">
        <v>-0.50633159999999999</v>
      </c>
      <c r="U143">
        <v>-0.27212520000000001</v>
      </c>
      <c r="V143">
        <v>-1.19647E-2</v>
      </c>
      <c r="W143">
        <v>3.8099899999999999E-2</v>
      </c>
      <c r="X143">
        <v>0.99920229999999999</v>
      </c>
      <c r="Y143">
        <v>0.1033321</v>
      </c>
      <c r="Z143">
        <v>-1.149303E-2</v>
      </c>
      <c r="AA143">
        <v>0.99458049999999998</v>
      </c>
      <c r="AB143">
        <v>32</v>
      </c>
      <c r="AC143">
        <v>0.58099999999995999</v>
      </c>
      <c r="AD143">
        <v>-0.15726009999999899</v>
      </c>
      <c r="AE143">
        <v>-9.01999999999816E-2</v>
      </c>
      <c r="AF143">
        <v>9.2555035280103198E-2</v>
      </c>
      <c r="AG143">
        <v>-0.15726009999999899</v>
      </c>
      <c r="AH143">
        <v>0.54084393777888895</v>
      </c>
      <c r="AI143">
        <v>105.99238707078401</v>
      </c>
      <c r="AJ143">
        <v>80.288998350839705</v>
      </c>
      <c r="AK143">
        <v>0.57079710812151596</v>
      </c>
      <c r="AL143">
        <v>87.8165080444316</v>
      </c>
      <c r="AM143">
        <v>90.686041306878806</v>
      </c>
      <c r="AN143">
        <v>0.99999999637569403</v>
      </c>
    </row>
    <row r="144" spans="1:40" x14ac:dyDescent="0.25">
      <c r="A144" t="str">
        <f>"20190305135758579"</f>
        <v>20190305135758579</v>
      </c>
      <c r="B144" t="str">
        <f>"1551765478569039"</f>
        <v>1551765478569039</v>
      </c>
      <c r="C144" t="s">
        <v>40</v>
      </c>
      <c r="D144">
        <v>4.0428350000000002</v>
      </c>
      <c r="E144">
        <v>0.54041689999999998</v>
      </c>
      <c r="F144" t="s">
        <v>41</v>
      </c>
      <c r="G144">
        <v>-448.43549999999999</v>
      </c>
      <c r="H144">
        <v>0.96142439999999996</v>
      </c>
      <c r="I144">
        <v>367.61930000000001</v>
      </c>
      <c r="J144">
        <v>-449.11090000000002</v>
      </c>
      <c r="K144">
        <v>1.1086929999999999</v>
      </c>
      <c r="L144">
        <v>367.70319999999998</v>
      </c>
      <c r="M144">
        <v>0.99984470000000003</v>
      </c>
      <c r="N144">
        <v>-8.7891719999999996E-3</v>
      </c>
      <c r="O144">
        <v>1.527805E-2</v>
      </c>
      <c r="P144">
        <v>0.99920019999999998</v>
      </c>
      <c r="Q144">
        <v>2.885739E-2</v>
      </c>
      <c r="R144">
        <v>2.7687590000000002E-2</v>
      </c>
      <c r="S144">
        <v>3.024384</v>
      </c>
      <c r="T144">
        <v>-0.50606600000000002</v>
      </c>
      <c r="U144">
        <v>-0.27563480000000001</v>
      </c>
      <c r="V144">
        <v>-1.239373E-2</v>
      </c>
      <c r="W144">
        <v>3.7649139999999998E-2</v>
      </c>
      <c r="X144">
        <v>0.99921420000000005</v>
      </c>
      <c r="Y144">
        <v>0.1042619</v>
      </c>
      <c r="Z144">
        <v>-1.1508600000000001E-2</v>
      </c>
      <c r="AA144">
        <v>0.99448329999999996</v>
      </c>
      <c r="AB144">
        <v>33</v>
      </c>
      <c r="AC144">
        <v>0.67540000000002398</v>
      </c>
      <c r="AD144">
        <v>-0.147268599999999</v>
      </c>
      <c r="AE144">
        <v>-8.38999999999714E-2</v>
      </c>
      <c r="AF144">
        <v>8.9995645936240196E-2</v>
      </c>
      <c r="AG144">
        <v>-0.147268599999999</v>
      </c>
      <c r="AH144">
        <v>0.64389117256994099</v>
      </c>
      <c r="AI144">
        <v>102.762965891905</v>
      </c>
      <c r="AJ144">
        <v>82.043404026894294</v>
      </c>
      <c r="AK144">
        <v>0.666620655955796</v>
      </c>
      <c r="AL144">
        <v>87.842353328085196</v>
      </c>
      <c r="AM144">
        <v>90.710630422336394</v>
      </c>
      <c r="AN144">
        <v>1.00000003988384</v>
      </c>
    </row>
    <row r="145" spans="1:40" x14ac:dyDescent="0.25">
      <c r="A145" t="str">
        <f>"20190305135758600"</f>
        <v>20190305135758600</v>
      </c>
      <c r="B145" t="str">
        <f>"1551765478588559"</f>
        <v>1551765478588559</v>
      </c>
      <c r="C145" t="s">
        <v>40</v>
      </c>
      <c r="D145">
        <v>4.0288490000000001</v>
      </c>
      <c r="E145">
        <v>0.54060850000000005</v>
      </c>
      <c r="F145" t="s">
        <v>41</v>
      </c>
      <c r="G145">
        <v>-448.14420000000001</v>
      </c>
      <c r="H145">
        <v>0.9465344</v>
      </c>
      <c r="I145">
        <v>367.6148</v>
      </c>
      <c r="J145">
        <v>-448.80160000000001</v>
      </c>
      <c r="K145">
        <v>1.108463</v>
      </c>
      <c r="L145">
        <v>367.70760000000001</v>
      </c>
      <c r="M145">
        <v>0.99985829999999998</v>
      </c>
      <c r="N145">
        <v>-7.6754299999999996E-3</v>
      </c>
      <c r="O145">
        <v>1.499495E-2</v>
      </c>
      <c r="P145">
        <v>0.99918589999999996</v>
      </c>
      <c r="Q145">
        <v>2.928774E-2</v>
      </c>
      <c r="R145">
        <v>2.7751950000000001E-2</v>
      </c>
      <c r="S145">
        <v>3.02475</v>
      </c>
      <c r="T145">
        <v>-0.50736689999999995</v>
      </c>
      <c r="U145">
        <v>-0.27636719999999998</v>
      </c>
      <c r="V145">
        <v>-1.274377E-2</v>
      </c>
      <c r="W145">
        <v>3.6965829999999998E-2</v>
      </c>
      <c r="X145">
        <v>0.99923530000000005</v>
      </c>
      <c r="Y145">
        <v>0.1042115</v>
      </c>
      <c r="Z145">
        <v>-1.144446E-2</v>
      </c>
      <c r="AA145">
        <v>0.99448930000000002</v>
      </c>
      <c r="AB145">
        <v>33</v>
      </c>
      <c r="AC145">
        <v>0.65739999999999499</v>
      </c>
      <c r="AD145">
        <v>-0.16192859999999901</v>
      </c>
      <c r="AE145">
        <v>-9.2800000000011096E-2</v>
      </c>
      <c r="AF145">
        <v>9.6884226649281202E-2</v>
      </c>
      <c r="AG145">
        <v>-0.16192859999999901</v>
      </c>
      <c r="AH145">
        <v>0.61910603339438697</v>
      </c>
      <c r="AI145">
        <v>104.488707498552</v>
      </c>
      <c r="AJ145">
        <v>81.105888849086199</v>
      </c>
      <c r="AK145">
        <v>0.64722461746809501</v>
      </c>
      <c r="AL145">
        <v>87.881531360976695</v>
      </c>
      <c r="AM145">
        <v>90.730683405908493</v>
      </c>
      <c r="AN145">
        <v>1.00000003051374</v>
      </c>
    </row>
    <row r="146" spans="1:40" x14ac:dyDescent="0.25">
      <c r="A146" t="str">
        <f>"20190305135758620"</f>
        <v>20190305135758620</v>
      </c>
      <c r="B146" t="str">
        <f>"1551765478609054"</f>
        <v>1551765478609054</v>
      </c>
      <c r="C146" t="s">
        <v>40</v>
      </c>
      <c r="D146">
        <v>4.010319</v>
      </c>
      <c r="E146">
        <v>0.54078440000000005</v>
      </c>
      <c r="F146" t="s">
        <v>41</v>
      </c>
      <c r="G146">
        <v>-447.8433</v>
      </c>
      <c r="H146">
        <v>0.94722910000000005</v>
      </c>
      <c r="I146">
        <v>367.61930000000001</v>
      </c>
      <c r="J146">
        <v>-448.49560000000002</v>
      </c>
      <c r="K146">
        <v>1.1082799999999999</v>
      </c>
      <c r="L146">
        <v>367.71199999999999</v>
      </c>
      <c r="M146">
        <v>0.99986989999999998</v>
      </c>
      <c r="N146">
        <v>-6.5935960000000002E-3</v>
      </c>
      <c r="O146">
        <v>1.472036E-2</v>
      </c>
      <c r="P146">
        <v>0.99917610000000001</v>
      </c>
      <c r="Q146">
        <v>2.8911900000000001E-2</v>
      </c>
      <c r="R146">
        <v>2.848171E-2</v>
      </c>
      <c r="S146">
        <v>3.0250849999999998</v>
      </c>
      <c r="T146">
        <v>-0.50914929999999903</v>
      </c>
      <c r="U146">
        <v>-0.27761839999999999</v>
      </c>
      <c r="V146">
        <v>-1.3749849999999999E-2</v>
      </c>
      <c r="W146">
        <v>3.5509100000000002E-2</v>
      </c>
      <c r="X146">
        <v>0.99927469999999996</v>
      </c>
      <c r="Y146">
        <v>0.1043336</v>
      </c>
      <c r="Z146">
        <v>-1.1407459999999999E-2</v>
      </c>
      <c r="AA146">
        <v>0.9944769</v>
      </c>
      <c r="AB146">
        <v>33</v>
      </c>
      <c r="AC146">
        <v>0.65230000000002497</v>
      </c>
      <c r="AD146">
        <v>-0.1610509</v>
      </c>
      <c r="AE146">
        <v>-9.2699999999979299E-2</v>
      </c>
      <c r="AF146">
        <v>9.6524766951921998E-2</v>
      </c>
      <c r="AG146">
        <v>-0.1610509</v>
      </c>
      <c r="AH146">
        <v>0.61416736437759201</v>
      </c>
      <c r="AI146">
        <v>104.523039681523</v>
      </c>
      <c r="AJ146">
        <v>81.068248885736097</v>
      </c>
      <c r="AK146">
        <v>0.64222735420756605</v>
      </c>
      <c r="AL146">
        <v>87.965050517982803</v>
      </c>
      <c r="AM146">
        <v>90.788330436297002</v>
      </c>
      <c r="AN146">
        <v>0.999999940308959</v>
      </c>
    </row>
    <row r="147" spans="1:40" x14ac:dyDescent="0.25">
      <c r="A147" t="str">
        <f>"20190305135758643"</f>
        <v>20190305135758643</v>
      </c>
      <c r="B147" t="str">
        <f>"1551765478639311"</f>
        <v>1551765478639311</v>
      </c>
      <c r="C147" t="s">
        <v>40</v>
      </c>
      <c r="D147">
        <v>4.0326649999999997</v>
      </c>
      <c r="E147">
        <v>0.54110409999999998</v>
      </c>
      <c r="F147" t="s">
        <v>41</v>
      </c>
      <c r="G147">
        <v>-447.54050000000001</v>
      </c>
      <c r="H147">
        <v>0.94688890000000003</v>
      </c>
      <c r="I147">
        <v>367.62419999999997</v>
      </c>
      <c r="J147">
        <v>-448.16079999999999</v>
      </c>
      <c r="K147">
        <v>1.1081030000000001</v>
      </c>
      <c r="L147">
        <v>367.71679999999998</v>
      </c>
      <c r="M147">
        <v>0.99988109999999997</v>
      </c>
      <c r="N147">
        <v>-5.4505739999999997E-3</v>
      </c>
      <c r="O147">
        <v>1.4432850000000001E-2</v>
      </c>
      <c r="P147">
        <v>0.99916590000000005</v>
      </c>
      <c r="Q147">
        <v>2.8699430000000001E-2</v>
      </c>
      <c r="R147">
        <v>2.9057360000000001E-2</v>
      </c>
      <c r="S147">
        <v>3.0252080000000001</v>
      </c>
      <c r="T147">
        <v>-0.51128390000000001</v>
      </c>
      <c r="U147">
        <v>-0.27706910000000001</v>
      </c>
      <c r="V147">
        <v>-1.461441E-2</v>
      </c>
      <c r="W147">
        <v>3.4154749999999998E-2</v>
      </c>
      <c r="X147">
        <v>0.99930969999999997</v>
      </c>
      <c r="Y147">
        <v>0.103869</v>
      </c>
      <c r="Z147">
        <v>-1.132293E-2</v>
      </c>
      <c r="AA147">
        <v>0.99452660000000004</v>
      </c>
      <c r="AB147">
        <v>34</v>
      </c>
      <c r="AC147">
        <v>0.62029999999998597</v>
      </c>
      <c r="AD147">
        <v>-0.161214099999999</v>
      </c>
      <c r="AE147">
        <v>-9.2600000000004401E-2</v>
      </c>
      <c r="AF147">
        <v>9.5249660653034293E-2</v>
      </c>
      <c r="AG147">
        <v>-0.161214099999999</v>
      </c>
      <c r="AH147">
        <v>0.58054028793210299</v>
      </c>
      <c r="AI147">
        <v>105.32471738716301</v>
      </c>
      <c r="AJ147">
        <v>80.6824555332404</v>
      </c>
      <c r="AK147">
        <v>0.60999140141941099</v>
      </c>
      <c r="AL147">
        <v>88.042696305392994</v>
      </c>
      <c r="AM147">
        <v>90.837862701383202</v>
      </c>
      <c r="AN147">
        <v>1.0000000022206501</v>
      </c>
    </row>
    <row r="148" spans="1:40" x14ac:dyDescent="0.25">
      <c r="A148" t="str">
        <f>"20190305135758664"</f>
        <v>20190305135758664</v>
      </c>
      <c r="B148" t="str">
        <f>"1551765478658832"</f>
        <v>1551765478658832</v>
      </c>
      <c r="C148" t="s">
        <v>40</v>
      </c>
      <c r="D148">
        <v>4.0465580000000001</v>
      </c>
      <c r="E148">
        <v>0.54127289999999995</v>
      </c>
      <c r="F148" t="s">
        <v>41</v>
      </c>
      <c r="G148">
        <v>-447.23360000000002</v>
      </c>
      <c r="H148">
        <v>0.95039989999999996</v>
      </c>
      <c r="I148">
        <v>367.63130000000001</v>
      </c>
      <c r="J148">
        <v>-447.81779999999998</v>
      </c>
      <c r="K148">
        <v>1.107958</v>
      </c>
      <c r="L148">
        <v>367.72149999999999</v>
      </c>
      <c r="M148">
        <v>0.99989050000000002</v>
      </c>
      <c r="N148">
        <v>-4.3580729999999996E-3</v>
      </c>
      <c r="O148">
        <v>1.415164E-2</v>
      </c>
      <c r="P148">
        <v>0.99915770000000004</v>
      </c>
      <c r="Q148">
        <v>2.8164729999999999E-2</v>
      </c>
      <c r="R148">
        <v>2.9848860000000001E-2</v>
      </c>
      <c r="S148">
        <v>3.0253909999999999</v>
      </c>
      <c r="T148">
        <v>-0.51468910000000001</v>
      </c>
      <c r="U148">
        <v>-0.27810669999999998</v>
      </c>
      <c r="V148">
        <v>-1.5687880000000001E-2</v>
      </c>
      <c r="W148">
        <v>3.2529170000000003E-2</v>
      </c>
      <c r="X148">
        <v>0.99934769999999995</v>
      </c>
      <c r="Y148">
        <v>0.1039103</v>
      </c>
      <c r="Z148">
        <v>-1.1310840000000001E-2</v>
      </c>
      <c r="AA148">
        <v>0.99452229999999997</v>
      </c>
      <c r="AB148">
        <v>34</v>
      </c>
      <c r="AC148">
        <v>0.58419999999995298</v>
      </c>
      <c r="AD148">
        <v>-0.15755810000000001</v>
      </c>
      <c r="AE148">
        <v>-9.01999999999816E-2</v>
      </c>
      <c r="AF148">
        <v>9.1927543655093494E-2</v>
      </c>
      <c r="AG148">
        <v>-0.15755810000000001</v>
      </c>
      <c r="AH148">
        <v>0.54420273558180599</v>
      </c>
      <c r="AI148">
        <v>105.93280704503</v>
      </c>
      <c r="AJ148">
        <v>80.412023064199701</v>
      </c>
      <c r="AK148">
        <v>0.57396153666669103</v>
      </c>
      <c r="AL148">
        <v>88.135887074853599</v>
      </c>
      <c r="AM148">
        <v>90.899362143580305</v>
      </c>
      <c r="AN148">
        <v>1.00000004098753</v>
      </c>
    </row>
    <row r="149" spans="1:40" x14ac:dyDescent="0.25">
      <c r="A149" t="str">
        <f>"20190305135758688"</f>
        <v>20190305135758688</v>
      </c>
      <c r="B149" t="str">
        <f>"1551765478679327"</f>
        <v>1551765478679327</v>
      </c>
      <c r="C149" t="s">
        <v>40</v>
      </c>
      <c r="D149">
        <v>4.0555659999999998</v>
      </c>
      <c r="E149">
        <v>0.54149840000000005</v>
      </c>
      <c r="F149" t="s">
        <v>41</v>
      </c>
      <c r="G149">
        <v>-446.9237</v>
      </c>
      <c r="H149">
        <v>0.95504809999999996</v>
      </c>
      <c r="I149">
        <v>367.6395</v>
      </c>
      <c r="J149">
        <v>-447.45839999999998</v>
      </c>
      <c r="K149">
        <v>1.1078440000000001</v>
      </c>
      <c r="L149">
        <v>367.72640000000001</v>
      </c>
      <c r="M149">
        <v>0.99989830000000002</v>
      </c>
      <c r="N149">
        <v>-3.335953E-3</v>
      </c>
      <c r="O149">
        <v>1.386777E-2</v>
      </c>
      <c r="P149">
        <v>0.99914130000000001</v>
      </c>
      <c r="Q149">
        <v>2.839332E-2</v>
      </c>
      <c r="R149">
        <v>3.017941E-2</v>
      </c>
      <c r="S149">
        <v>3.0254210000000001</v>
      </c>
      <c r="T149">
        <v>-0.51742429999999995</v>
      </c>
      <c r="U149">
        <v>-0.27658080000000002</v>
      </c>
      <c r="V149">
        <v>-1.630206E-2</v>
      </c>
      <c r="W149">
        <v>3.1737069999999999E-2</v>
      </c>
      <c r="X149">
        <v>0.99936329999999995</v>
      </c>
      <c r="Y149">
        <v>0.10313360000000001</v>
      </c>
      <c r="Z149">
        <v>-1.121582E-2</v>
      </c>
      <c r="AA149">
        <v>0.9946043</v>
      </c>
      <c r="AB149">
        <v>34</v>
      </c>
      <c r="AC149">
        <v>0.53469999999998596</v>
      </c>
      <c r="AD149">
        <v>-0.15279590000000001</v>
      </c>
      <c r="AE149">
        <v>-8.6900000000014105E-2</v>
      </c>
      <c r="AF149">
        <v>8.73568897446277E-2</v>
      </c>
      <c r="AG149">
        <v>-0.15279590000000001</v>
      </c>
      <c r="AH149">
        <v>0.49413161462813199</v>
      </c>
      <c r="AI149">
        <v>106.93545161284</v>
      </c>
      <c r="AJ149">
        <v>79.974344717567405</v>
      </c>
      <c r="AK149">
        <v>0.52454157682462998</v>
      </c>
      <c r="AL149">
        <v>88.181294438841206</v>
      </c>
      <c r="AM149">
        <v>90.934551429485595</v>
      </c>
      <c r="AN149">
        <v>1.00000000207965</v>
      </c>
    </row>
    <row r="150" spans="1:40" x14ac:dyDescent="0.25">
      <c r="A150" t="str">
        <f>"20190305135758700"</f>
        <v>20190305135758700</v>
      </c>
      <c r="B150" t="str">
        <f>"1551765478689088"</f>
        <v>1551765478689088</v>
      </c>
      <c r="C150" t="s">
        <v>40</v>
      </c>
      <c r="D150">
        <v>4.0718870000000003</v>
      </c>
      <c r="E150">
        <v>0.54165410000000003</v>
      </c>
      <c r="F150" t="s">
        <v>41</v>
      </c>
      <c r="G150">
        <v>-446.60989999999998</v>
      </c>
      <c r="H150">
        <v>0.96278070000000004</v>
      </c>
      <c r="I150">
        <v>367.64879999999999</v>
      </c>
      <c r="J150">
        <v>-447.26319999999998</v>
      </c>
      <c r="K150">
        <v>1.107799</v>
      </c>
      <c r="L150">
        <v>367.72899999999998</v>
      </c>
      <c r="M150">
        <v>0.99990199999999996</v>
      </c>
      <c r="N150">
        <v>-2.8339250000000002E-3</v>
      </c>
      <c r="O150">
        <v>1.371585E-2</v>
      </c>
      <c r="P150">
        <v>0.99911550000000005</v>
      </c>
      <c r="Q150">
        <v>2.8897180000000001E-2</v>
      </c>
      <c r="R150">
        <v>3.0548780000000001E-2</v>
      </c>
      <c r="S150">
        <v>3.0256349999999999</v>
      </c>
      <c r="T150">
        <v>-0.51725109999999996</v>
      </c>
      <c r="U150">
        <v>-0.27636719999999998</v>
      </c>
      <c r="V150">
        <v>-1.6822899999999998E-2</v>
      </c>
      <c r="W150">
        <v>3.1739450000000002E-2</v>
      </c>
      <c r="X150">
        <v>0.99935459999999998</v>
      </c>
      <c r="Y150">
        <v>0.10291640000000001</v>
      </c>
      <c r="Z150">
        <v>-1.1148170000000001E-2</v>
      </c>
      <c r="AA150">
        <v>0.9946275</v>
      </c>
      <c r="AB150">
        <v>34</v>
      </c>
      <c r="AC150">
        <v>0.65330000000000099</v>
      </c>
      <c r="AD150">
        <v>-0.14501829999999999</v>
      </c>
      <c r="AE150">
        <v>-8.0200000000047497E-2</v>
      </c>
      <c r="AF150">
        <v>8.5025677679430395E-2</v>
      </c>
      <c r="AG150">
        <v>-0.14501829999999999</v>
      </c>
      <c r="AH150">
        <v>0.62194750313281699</v>
      </c>
      <c r="AI150">
        <v>103.008218005731</v>
      </c>
      <c r="AJ150">
        <v>82.215421220403996</v>
      </c>
      <c r="AK150">
        <v>0.64426576026736204</v>
      </c>
      <c r="AL150">
        <v>88.181158019828999</v>
      </c>
      <c r="AM150">
        <v>90.964412569709793</v>
      </c>
      <c r="AN150">
        <v>1.0000000095959301</v>
      </c>
    </row>
    <row r="151" spans="1:40" x14ac:dyDescent="0.25">
      <c r="A151" t="str">
        <f>"20190305135758721"</f>
        <v>20190305135758721</v>
      </c>
      <c r="B151" t="str">
        <f>"1551765478708622"</f>
        <v>1551765478708622</v>
      </c>
      <c r="C151" t="s">
        <v>40</v>
      </c>
      <c r="D151">
        <v>4.0226540000000002</v>
      </c>
      <c r="E151">
        <v>0.5419292</v>
      </c>
      <c r="F151" t="s">
        <v>41</v>
      </c>
      <c r="G151">
        <v>-446.30549999999999</v>
      </c>
      <c r="H151">
        <v>0.94462349999999995</v>
      </c>
      <c r="I151">
        <v>367.64159999999998</v>
      </c>
      <c r="J151">
        <v>-446.94099999999997</v>
      </c>
      <c r="K151">
        <v>1.107753</v>
      </c>
      <c r="L151">
        <v>367.73320000000001</v>
      </c>
      <c r="M151">
        <v>0.99990710000000005</v>
      </c>
      <c r="N151">
        <v>-2.127061E-3</v>
      </c>
      <c r="O151">
        <v>1.346723E-2</v>
      </c>
      <c r="P151">
        <v>0.99907690000000005</v>
      </c>
      <c r="Q151">
        <v>2.9719590000000001E-2</v>
      </c>
      <c r="R151">
        <v>3.1021190000000001E-2</v>
      </c>
      <c r="S151">
        <v>3.0260009999999999</v>
      </c>
      <c r="T151">
        <v>-0.51562209999999997</v>
      </c>
      <c r="U151">
        <v>-0.27609250000000002</v>
      </c>
      <c r="V151">
        <v>-1.7543349999999999E-2</v>
      </c>
      <c r="W151">
        <v>3.185669E-2</v>
      </c>
      <c r="X151">
        <v>0.99933839999999996</v>
      </c>
      <c r="Y151">
        <v>0.1025924</v>
      </c>
      <c r="Z151">
        <v>-1.1016349999999999E-2</v>
      </c>
      <c r="AA151">
        <v>0.9946625</v>
      </c>
      <c r="AB151">
        <v>35</v>
      </c>
      <c r="AC151">
        <v>0.63549999999997897</v>
      </c>
      <c r="AD151">
        <v>-0.16312949999999901</v>
      </c>
      <c r="AE151">
        <v>-9.1600000000028103E-2</v>
      </c>
      <c r="AF151">
        <v>9.4077342813942699E-2</v>
      </c>
      <c r="AG151">
        <v>-0.16312949999999901</v>
      </c>
      <c r="AH151">
        <v>0.59575231354648395</v>
      </c>
      <c r="AI151">
        <v>105.134643130841</v>
      </c>
      <c r="AJ151">
        <v>81.026323564092806</v>
      </c>
      <c r="AK151">
        <v>0.62480604934425099</v>
      </c>
      <c r="AL151">
        <v>88.174437114676607</v>
      </c>
      <c r="AM151">
        <v>91.005722062679396</v>
      </c>
      <c r="AN151">
        <v>0.99999992777076596</v>
      </c>
    </row>
    <row r="152" spans="1:40" x14ac:dyDescent="0.25">
      <c r="A152" t="str">
        <f>"20190305135758734"</f>
        <v>20190305135758734</v>
      </c>
      <c r="B152" t="str">
        <f>"1551765478729104"</f>
        <v>1551765478729104</v>
      </c>
      <c r="C152" t="s">
        <v>40</v>
      </c>
      <c r="D152">
        <v>4.0349629999999896</v>
      </c>
      <c r="E152">
        <v>0.54214680000000004</v>
      </c>
      <c r="F152" t="s">
        <v>41</v>
      </c>
      <c r="G152">
        <v>-445.9898</v>
      </c>
      <c r="H152">
        <v>0.9468278</v>
      </c>
      <c r="I152">
        <v>367.64580000000001</v>
      </c>
      <c r="J152">
        <v>-446.72789999999998</v>
      </c>
      <c r="K152">
        <v>1.1077399999999999</v>
      </c>
      <c r="L152">
        <v>367.73599999999999</v>
      </c>
      <c r="M152">
        <v>0.99990999999999997</v>
      </c>
      <c r="N152">
        <v>-1.736645E-3</v>
      </c>
      <c r="O152">
        <v>1.3302430000000001E-2</v>
      </c>
      <c r="P152">
        <v>0.99903520000000001</v>
      </c>
      <c r="Q152">
        <v>3.089859E-2</v>
      </c>
      <c r="R152">
        <v>3.1203160000000001E-2</v>
      </c>
      <c r="S152">
        <v>3.0265200000000001</v>
      </c>
      <c r="T152">
        <v>-0.51218900000000001</v>
      </c>
      <c r="U152">
        <v>-0.27639770000000002</v>
      </c>
      <c r="V152">
        <v>-1.788932E-2</v>
      </c>
      <c r="W152">
        <v>3.2645449999999999E-2</v>
      </c>
      <c r="X152">
        <v>0.9993069</v>
      </c>
      <c r="Y152">
        <v>0.1025406</v>
      </c>
      <c r="Z152">
        <v>-1.089593E-2</v>
      </c>
      <c r="AA152">
        <v>0.99466909999999997</v>
      </c>
      <c r="AB152">
        <v>35</v>
      </c>
      <c r="AC152">
        <v>0.738099999999974</v>
      </c>
      <c r="AD152">
        <v>-0.16091219999999901</v>
      </c>
      <c r="AE152">
        <v>-9.01999999999816E-2</v>
      </c>
      <c r="AF152">
        <v>9.5536722340354596E-2</v>
      </c>
      <c r="AG152">
        <v>-0.16091219999999901</v>
      </c>
      <c r="AH152">
        <v>0.70387351611569804</v>
      </c>
      <c r="AI152">
        <v>102.763925454385</v>
      </c>
      <c r="AJ152">
        <v>82.270481324949102</v>
      </c>
      <c r="AK152">
        <v>0.72832542734237504</v>
      </c>
      <c r="AL152">
        <v>88.129221136276101</v>
      </c>
      <c r="AM152">
        <v>91.0255838949208</v>
      </c>
      <c r="AN152">
        <v>1.00000001678168</v>
      </c>
    </row>
    <row r="153" spans="1:40" x14ac:dyDescent="0.25">
      <c r="A153" t="str">
        <f>"20190305135758754"</f>
        <v>20190305135758754</v>
      </c>
      <c r="B153" t="str">
        <f>"1551765478748623"</f>
        <v>1551765478748623</v>
      </c>
      <c r="C153" t="s">
        <v>40</v>
      </c>
      <c r="D153">
        <v>4.060187</v>
      </c>
      <c r="E153">
        <v>0.5423983</v>
      </c>
      <c r="F153" t="s">
        <v>41</v>
      </c>
      <c r="G153">
        <v>-445.97390000000001</v>
      </c>
      <c r="H153">
        <v>0.98144569999999998</v>
      </c>
      <c r="I153">
        <v>367.6662</v>
      </c>
      <c r="J153">
        <v>-446.41419999999999</v>
      </c>
      <c r="K153">
        <v>1.1077379999999999</v>
      </c>
      <c r="L153">
        <v>367.73989999999998</v>
      </c>
      <c r="M153">
        <v>0.99991390000000002</v>
      </c>
      <c r="N153">
        <v>-1.2723859999999999E-3</v>
      </c>
      <c r="O153">
        <v>1.305943E-2</v>
      </c>
      <c r="P153">
        <v>0.99895480000000003</v>
      </c>
      <c r="Q153">
        <v>3.2720619999999999E-2</v>
      </c>
      <c r="R153">
        <v>3.1924580000000001E-2</v>
      </c>
      <c r="S153">
        <v>3.0272519999999998</v>
      </c>
      <c r="T153">
        <v>-0.50737169999999998</v>
      </c>
      <c r="U153">
        <v>-0.27783200000000002</v>
      </c>
      <c r="V153">
        <v>-1.8853379999999999E-2</v>
      </c>
      <c r="W153">
        <v>3.4005109999999998E-2</v>
      </c>
      <c r="X153">
        <v>0.99924380000000002</v>
      </c>
      <c r="Y153">
        <v>0.1027788</v>
      </c>
      <c r="Z153">
        <v>-1.0754659999999999E-2</v>
      </c>
      <c r="AA153">
        <v>0.99464609999999998</v>
      </c>
      <c r="AB153">
        <v>35</v>
      </c>
      <c r="AC153">
        <v>0.44029999999997899</v>
      </c>
      <c r="AD153">
        <v>-0.126292299999999</v>
      </c>
      <c r="AE153">
        <v>-7.3699999999973898E-2</v>
      </c>
      <c r="AF153">
        <v>7.3556983100877202E-2</v>
      </c>
      <c r="AG153">
        <v>-0.126292299999999</v>
      </c>
      <c r="AH153">
        <v>0.40674773800525599</v>
      </c>
      <c r="AI153">
        <v>106.98985237344699</v>
      </c>
      <c r="AJ153">
        <v>79.749316580063393</v>
      </c>
      <c r="AK153">
        <v>0.43220839553921803</v>
      </c>
      <c r="AL153">
        <v>88.051274994848001</v>
      </c>
      <c r="AM153">
        <v>91.080908332082402</v>
      </c>
      <c r="AN153">
        <v>0.99999998464098805</v>
      </c>
    </row>
    <row r="154" spans="1:40" x14ac:dyDescent="0.25">
      <c r="A154" t="str">
        <f>"20190305135758779"</f>
        <v>20190305135758779</v>
      </c>
      <c r="B154" t="str">
        <f>"1551765478769120"</f>
        <v>1551765478769120</v>
      </c>
      <c r="C154" t="s">
        <v>40</v>
      </c>
      <c r="D154">
        <v>4.0242940000000003</v>
      </c>
      <c r="E154">
        <v>0.54262759999999999</v>
      </c>
      <c r="F154" t="s">
        <v>41</v>
      </c>
      <c r="G154">
        <v>-445.65660000000003</v>
      </c>
      <c r="H154">
        <v>0.98253409999999997</v>
      </c>
      <c r="I154">
        <v>367.67059999999998</v>
      </c>
      <c r="J154">
        <v>-446.0308</v>
      </c>
      <c r="K154">
        <v>1.1077589999999999</v>
      </c>
      <c r="L154">
        <v>367.74470000000002</v>
      </c>
      <c r="M154">
        <v>0.99991830000000004</v>
      </c>
      <c r="N154">
        <v>-8.6724640000000004E-4</v>
      </c>
      <c r="O154">
        <v>1.276061E-2</v>
      </c>
      <c r="P154">
        <v>0.99892000000000003</v>
      </c>
      <c r="Q154">
        <v>3.349034E-2</v>
      </c>
      <c r="R154">
        <v>3.2210490000000001E-2</v>
      </c>
      <c r="S154">
        <v>3.028381</v>
      </c>
      <c r="T154">
        <v>-0.5005174</v>
      </c>
      <c r="U154">
        <v>-0.27706910000000001</v>
      </c>
      <c r="V154">
        <v>-1.943682E-2</v>
      </c>
      <c r="W154">
        <v>3.4371110000000003E-2</v>
      </c>
      <c r="X154">
        <v>0.99922010000000006</v>
      </c>
      <c r="Y154">
        <v>0.102257</v>
      </c>
      <c r="Z154">
        <v>-1.050077E-2</v>
      </c>
      <c r="AA154">
        <v>0.99470259999999999</v>
      </c>
      <c r="AB154">
        <v>35</v>
      </c>
      <c r="AC154">
        <v>0.374199999999973</v>
      </c>
      <c r="AD154">
        <v>-0.125224899999999</v>
      </c>
      <c r="AE154">
        <v>-7.4100000000044006E-2</v>
      </c>
      <c r="AF154">
        <v>7.1196632353733996E-2</v>
      </c>
      <c r="AG154">
        <v>-0.125224899999999</v>
      </c>
      <c r="AH154">
        <v>0.33691683395168998</v>
      </c>
      <c r="AI154">
        <v>109.983706522994</v>
      </c>
      <c r="AJ154">
        <v>78.067907187708499</v>
      </c>
      <c r="AK154">
        <v>0.36641941684161999</v>
      </c>
      <c r="AL154">
        <v>88.030292475158106</v>
      </c>
      <c r="AM154">
        <v>91.114376426554202</v>
      </c>
      <c r="AN154">
        <v>0.99999998570917703</v>
      </c>
    </row>
    <row r="155" spans="1:40" x14ac:dyDescent="0.25">
      <c r="A155" t="str">
        <f>"20190305135758801"</f>
        <v>20190305135758801</v>
      </c>
      <c r="B155" t="str">
        <f>"1551765478788638"</f>
        <v>1551765478788638</v>
      </c>
      <c r="C155" t="s">
        <v>40</v>
      </c>
      <c r="D155">
        <v>4.0505820000000003</v>
      </c>
      <c r="E155">
        <v>0.54294699999999996</v>
      </c>
      <c r="F155" t="s">
        <v>41</v>
      </c>
      <c r="G155">
        <v>-445.03480000000002</v>
      </c>
      <c r="H155">
        <v>0.94432590000000005</v>
      </c>
      <c r="I155">
        <v>367.6533</v>
      </c>
      <c r="J155">
        <v>-445.67410000000001</v>
      </c>
      <c r="K155">
        <v>1.1077969999999999</v>
      </c>
      <c r="L155">
        <v>367.74900000000002</v>
      </c>
      <c r="M155">
        <v>0.99992190000000003</v>
      </c>
      <c r="N155">
        <v>-6.4744300000000004E-4</v>
      </c>
      <c r="O155">
        <v>1.247854E-2</v>
      </c>
      <c r="P155">
        <v>0.99890979999999996</v>
      </c>
      <c r="Q155">
        <v>3.362996E-2</v>
      </c>
      <c r="R155">
        <v>3.2380190000000003E-2</v>
      </c>
      <c r="S155">
        <v>3.02887</v>
      </c>
      <c r="T155">
        <v>-0.49702259999999998</v>
      </c>
      <c r="U155">
        <v>-0.27780149999999998</v>
      </c>
      <c r="V155">
        <v>-1.9888090000000001E-2</v>
      </c>
      <c r="W155">
        <v>3.4291049999999997E-2</v>
      </c>
      <c r="X155">
        <v>0.99921400000000005</v>
      </c>
      <c r="Y155">
        <v>0.10222779999999999</v>
      </c>
      <c r="Z155">
        <v>-1.0370229999999999E-2</v>
      </c>
      <c r="AA155">
        <v>0.99470689999999995</v>
      </c>
      <c r="AB155">
        <v>36</v>
      </c>
      <c r="AC155">
        <v>0.63929999999999099</v>
      </c>
      <c r="AD155">
        <v>-0.16347109999999901</v>
      </c>
      <c r="AE155">
        <v>-9.5700000000022101E-2</v>
      </c>
      <c r="AF155">
        <v>9.7438764391276397E-2</v>
      </c>
      <c r="AG155">
        <v>-0.16347109999999901</v>
      </c>
      <c r="AH155">
        <v>0.59970427470658905</v>
      </c>
      <c r="AI155">
        <v>105.05925115721899</v>
      </c>
      <c r="AJ155">
        <v>80.771340605831</v>
      </c>
      <c r="AK155">
        <v>0.62917591374961701</v>
      </c>
      <c r="AL155">
        <v>88.034882338567698</v>
      </c>
      <c r="AM155">
        <v>91.140249416639904</v>
      </c>
      <c r="AN155">
        <v>1.0000000150149699</v>
      </c>
    </row>
    <row r="156" spans="1:40" x14ac:dyDescent="0.25">
      <c r="A156" t="str">
        <f>"20190305135758821"</f>
        <v>20190305135758821</v>
      </c>
      <c r="B156" t="str">
        <f>"1551765478818895"</f>
        <v>1551765478818895</v>
      </c>
      <c r="C156" t="s">
        <v>40</v>
      </c>
      <c r="D156">
        <v>4.0405419999999896</v>
      </c>
      <c r="E156">
        <v>0.54331589999999996</v>
      </c>
      <c r="F156" t="s">
        <v>41</v>
      </c>
      <c r="G156">
        <v>-444.71010000000001</v>
      </c>
      <c r="H156">
        <v>0.94983070000000003</v>
      </c>
      <c r="I156">
        <v>367.65940000000001</v>
      </c>
      <c r="J156">
        <v>-445.34</v>
      </c>
      <c r="K156">
        <v>1.107831</v>
      </c>
      <c r="L156">
        <v>367.75290000000001</v>
      </c>
      <c r="M156">
        <v>0.99992550000000002</v>
      </c>
      <c r="N156">
        <v>-5.3320970000000001E-4</v>
      </c>
      <c r="O156">
        <v>1.220884E-2</v>
      </c>
      <c r="P156">
        <v>0.99892970000000003</v>
      </c>
      <c r="Q156">
        <v>3.2700149999999997E-2</v>
      </c>
      <c r="R156">
        <v>3.2719690000000003E-2</v>
      </c>
      <c r="S156">
        <v>3.029083</v>
      </c>
      <c r="T156">
        <v>-0.49656129999999998</v>
      </c>
      <c r="U156">
        <v>-0.27963259999999901</v>
      </c>
      <c r="V156">
        <v>-2.049724E-2</v>
      </c>
      <c r="W156">
        <v>3.3248319999999998E-2</v>
      </c>
      <c r="X156">
        <v>0.99923689999999998</v>
      </c>
      <c r="Y156">
        <v>0.1025525</v>
      </c>
      <c r="Z156">
        <v>-1.033806E-2</v>
      </c>
      <c r="AA156">
        <v>0.99467380000000005</v>
      </c>
      <c r="AB156">
        <v>36</v>
      </c>
      <c r="AC156">
        <v>0.62989999999996305</v>
      </c>
      <c r="AD156">
        <v>-0.15800030000000001</v>
      </c>
      <c r="AE156">
        <v>-9.3500000000005898E-2</v>
      </c>
      <c r="AF156">
        <v>9.5315628591817803E-2</v>
      </c>
      <c r="AG156">
        <v>-0.15800030000000001</v>
      </c>
      <c r="AH156">
        <v>0.59225175796282403</v>
      </c>
      <c r="AI156">
        <v>104.75598507207501</v>
      </c>
      <c r="AJ156">
        <v>80.857346239155504</v>
      </c>
      <c r="AK156">
        <v>0.62033161185288499</v>
      </c>
      <c r="AL156">
        <v>88.094660406264495</v>
      </c>
      <c r="AM156">
        <v>91.175137410977499</v>
      </c>
      <c r="AN156">
        <v>0.99999998497602405</v>
      </c>
    </row>
    <row r="157" spans="1:40" x14ac:dyDescent="0.25">
      <c r="A157" t="str">
        <f>"20190305135758844"</f>
        <v>20190305135758844</v>
      </c>
      <c r="B157" t="str">
        <f>"1551765478839391"</f>
        <v>1551765478839391</v>
      </c>
      <c r="C157" t="s">
        <v>40</v>
      </c>
      <c r="D157">
        <v>4.0310249999999996</v>
      </c>
      <c r="E157">
        <v>0.54346949999999905</v>
      </c>
      <c r="F157" t="s">
        <v>41</v>
      </c>
      <c r="G157">
        <v>-444.38589999999999</v>
      </c>
      <c r="H157">
        <v>0.95042550000000003</v>
      </c>
      <c r="I157">
        <v>367.66399999999999</v>
      </c>
      <c r="J157">
        <v>-444.97120000000001</v>
      </c>
      <c r="K157">
        <v>1.1078680000000001</v>
      </c>
      <c r="L157">
        <v>367.75709999999998</v>
      </c>
      <c r="M157">
        <v>0.99992910000000002</v>
      </c>
      <c r="N157">
        <v>-4.8448950000000001E-4</v>
      </c>
      <c r="O157">
        <v>1.190422E-2</v>
      </c>
      <c r="P157">
        <v>0.99895069999999997</v>
      </c>
      <c r="Q157">
        <v>3.2127490000000002E-2</v>
      </c>
      <c r="R157">
        <v>3.2644010000000001E-2</v>
      </c>
      <c r="S157">
        <v>3.0288089999999999</v>
      </c>
      <c r="T157">
        <v>-0.49972870000000003</v>
      </c>
      <c r="U157">
        <v>-0.28155520000000001</v>
      </c>
      <c r="V157">
        <v>-2.0725899999999998E-2</v>
      </c>
      <c r="W157">
        <v>3.2626860000000001E-2</v>
      </c>
      <c r="X157">
        <v>0.99925269999999999</v>
      </c>
      <c r="Y157">
        <v>0.1028645</v>
      </c>
      <c r="Z157">
        <v>-1.0377610000000001E-2</v>
      </c>
      <c r="AA157">
        <v>0.9946412</v>
      </c>
      <c r="AB157">
        <v>36</v>
      </c>
      <c r="AC157">
        <v>0.58530000000001703</v>
      </c>
      <c r="AD157">
        <v>-0.15744250000000001</v>
      </c>
      <c r="AE157">
        <v>-9.3099999999992605E-2</v>
      </c>
      <c r="AF157">
        <v>9.34648935886504E-2</v>
      </c>
      <c r="AG157">
        <v>-0.15744250000000001</v>
      </c>
      <c r="AH157">
        <v>0.54564287064225903</v>
      </c>
      <c r="AI157">
        <v>105.87589745611599</v>
      </c>
      <c r="AJ157">
        <v>80.279958417541494</v>
      </c>
      <c r="AK157">
        <v>0.57554319509704299</v>
      </c>
      <c r="AL157">
        <v>88.130286832327002</v>
      </c>
      <c r="AM157">
        <v>91.188224309886706</v>
      </c>
      <c r="AN157">
        <v>1.0000000166907701</v>
      </c>
    </row>
    <row r="158" spans="1:40" x14ac:dyDescent="0.25">
      <c r="A158" t="str">
        <f>"20190305135758857"</f>
        <v>20190305135758857</v>
      </c>
      <c r="B158" t="str">
        <f>"1551765478849152"</f>
        <v>1551765478849152</v>
      </c>
      <c r="C158" t="s">
        <v>40</v>
      </c>
      <c r="D158">
        <v>4.0544390000000003</v>
      </c>
      <c r="E158">
        <v>0.54357670000000002</v>
      </c>
      <c r="F158" t="s">
        <v>41</v>
      </c>
      <c r="G158">
        <v>-444.05739999999997</v>
      </c>
      <c r="H158">
        <v>0.95672040000000003</v>
      </c>
      <c r="I158">
        <v>367.67129999999997</v>
      </c>
      <c r="J158">
        <v>-444.74799999999999</v>
      </c>
      <c r="K158">
        <v>1.1078950000000001</v>
      </c>
      <c r="L158">
        <v>367.75959999999998</v>
      </c>
      <c r="M158">
        <v>0.99993120000000002</v>
      </c>
      <c r="N158">
        <v>-4.7877569999999999E-4</v>
      </c>
      <c r="O158">
        <v>1.1716529999999999E-2</v>
      </c>
      <c r="P158">
        <v>0.99896320000000005</v>
      </c>
      <c r="Q158">
        <v>3.191103E-2</v>
      </c>
      <c r="R158">
        <v>3.246769E-2</v>
      </c>
      <c r="S158">
        <v>3.0285639999999998</v>
      </c>
      <c r="T158">
        <v>-0.50101229999999997</v>
      </c>
      <c r="U158">
        <v>-0.28335569999999999</v>
      </c>
      <c r="V158">
        <v>-2.073701E-2</v>
      </c>
      <c r="W158">
        <v>3.2405249999999997E-2</v>
      </c>
      <c r="X158">
        <v>0.99925969999999997</v>
      </c>
      <c r="Y158">
        <v>0.10326059999999999</v>
      </c>
      <c r="Z158">
        <v>-1.040605E-2</v>
      </c>
      <c r="AA158">
        <v>0.99459989999999998</v>
      </c>
      <c r="AB158">
        <v>36</v>
      </c>
      <c r="AC158">
        <v>0.69060000000007404</v>
      </c>
      <c r="AD158">
        <v>-0.15117459999999999</v>
      </c>
      <c r="AE158">
        <v>-8.8300000000003806E-2</v>
      </c>
      <c r="AF158">
        <v>9.2045621556555296E-2</v>
      </c>
      <c r="AG158">
        <v>-0.15117459999999999</v>
      </c>
      <c r="AH158">
        <v>0.65847245759304696</v>
      </c>
      <c r="AI158">
        <v>102.80973254364901</v>
      </c>
      <c r="AJ158">
        <v>82.042382218116003</v>
      </c>
      <c r="AK158">
        <v>0.68184465499226399</v>
      </c>
      <c r="AL158">
        <v>88.142990903299705</v>
      </c>
      <c r="AM158">
        <v>91.188852742164798</v>
      </c>
      <c r="AN158">
        <v>1.0000000359276899</v>
      </c>
    </row>
    <row r="159" spans="1:40" x14ac:dyDescent="0.25">
      <c r="A159" t="str">
        <f>"20190305135758878"</f>
        <v>20190305135758878</v>
      </c>
      <c r="B159" t="str">
        <f>"1551765478868674"</f>
        <v>1551765478868674</v>
      </c>
      <c r="C159" t="s">
        <v>40</v>
      </c>
      <c r="D159">
        <v>4.0619990000000001</v>
      </c>
      <c r="E159">
        <v>0.54375410000000002</v>
      </c>
      <c r="F159" t="s">
        <v>41</v>
      </c>
      <c r="G159">
        <v>-444.04160000000002</v>
      </c>
      <c r="H159">
        <v>0.99090210000000001</v>
      </c>
      <c r="I159">
        <v>367.69290000000001</v>
      </c>
      <c r="J159">
        <v>-444.41289999999998</v>
      </c>
      <c r="K159">
        <v>1.10792</v>
      </c>
      <c r="L159">
        <v>367.76319999999998</v>
      </c>
      <c r="M159">
        <v>0.99993460000000001</v>
      </c>
      <c r="N159">
        <v>-5.0358489999999896E-4</v>
      </c>
      <c r="O159">
        <v>1.1428560000000001E-2</v>
      </c>
      <c r="P159">
        <v>0.99897740000000002</v>
      </c>
      <c r="Q159">
        <v>3.1621080000000003E-2</v>
      </c>
      <c r="R159">
        <v>3.2318159999999999E-2</v>
      </c>
      <c r="S159">
        <v>3.028381</v>
      </c>
      <c r="T159">
        <v>-0.50171379999999999</v>
      </c>
      <c r="U159">
        <v>-0.28454590000000002</v>
      </c>
      <c r="V159">
        <v>-2.0875370000000001E-2</v>
      </c>
      <c r="W159">
        <v>3.2139790000000001E-2</v>
      </c>
      <c r="X159">
        <v>0.99926539999999997</v>
      </c>
      <c r="Y159">
        <v>0.1033652</v>
      </c>
      <c r="Z159">
        <v>-1.03833E-2</v>
      </c>
      <c r="AA159">
        <v>0.99458930000000001</v>
      </c>
      <c r="AB159">
        <v>36</v>
      </c>
      <c r="AC159">
        <v>0.37129999999996199</v>
      </c>
      <c r="AD159">
        <v>-0.11701789999999899</v>
      </c>
      <c r="AE159">
        <v>-7.0299999999974702E-2</v>
      </c>
      <c r="AF159">
        <v>6.8016909885477803E-2</v>
      </c>
      <c r="AG159">
        <v>-0.11701789999999899</v>
      </c>
      <c r="AH159">
        <v>0.33805710960702501</v>
      </c>
      <c r="AI159">
        <v>108.74453298761701</v>
      </c>
      <c r="AJ159">
        <v>78.624001706121504</v>
      </c>
      <c r="AK159">
        <v>0.36414571026806802</v>
      </c>
      <c r="AL159">
        <v>88.158208580985601</v>
      </c>
      <c r="AM159">
        <v>91.196775796636402</v>
      </c>
      <c r="AN159">
        <v>1.0000000434055101</v>
      </c>
    </row>
    <row r="160" spans="1:40" x14ac:dyDescent="0.25">
      <c r="A160" t="str">
        <f>"20190305135758900"</f>
        <v>20190305135758900</v>
      </c>
      <c r="B160" t="str">
        <f>"1551765478889170"</f>
        <v>1551765478889170</v>
      </c>
      <c r="C160" t="s">
        <v>40</v>
      </c>
      <c r="D160">
        <v>4.0457789999999996</v>
      </c>
      <c r="E160">
        <v>0.54392580000000001</v>
      </c>
      <c r="F160" t="s">
        <v>41</v>
      </c>
      <c r="G160">
        <v>-443.40800000000002</v>
      </c>
      <c r="H160">
        <v>0.94116650000000002</v>
      </c>
      <c r="I160">
        <v>367.66809999999998</v>
      </c>
      <c r="J160">
        <v>-444.0462</v>
      </c>
      <c r="K160">
        <v>1.107944</v>
      </c>
      <c r="L160">
        <v>367.7672</v>
      </c>
      <c r="M160">
        <v>0.99993810000000005</v>
      </c>
      <c r="N160">
        <v>-5.5721820000000002E-4</v>
      </c>
      <c r="O160">
        <v>1.110887E-2</v>
      </c>
      <c r="P160">
        <v>0.99898690000000001</v>
      </c>
      <c r="Q160">
        <v>3.1520180000000002E-2</v>
      </c>
      <c r="R160">
        <v>3.2119380000000003E-2</v>
      </c>
      <c r="S160">
        <v>3.0282290000000001</v>
      </c>
      <c r="T160">
        <v>-0.50261529999999999</v>
      </c>
      <c r="U160">
        <v>-0.2861938</v>
      </c>
      <c r="V160">
        <v>-2.0995949999999999E-2</v>
      </c>
      <c r="W160">
        <v>3.2092610000000001E-2</v>
      </c>
      <c r="X160">
        <v>0.99926440000000005</v>
      </c>
      <c r="Y160">
        <v>0.1035837</v>
      </c>
      <c r="Z160">
        <v>-1.0369730000000001E-2</v>
      </c>
      <c r="AA160">
        <v>0.99456670000000003</v>
      </c>
      <c r="AB160">
        <v>37</v>
      </c>
      <c r="AC160">
        <v>0.638199999999983</v>
      </c>
      <c r="AD160">
        <v>-0.166777499999999</v>
      </c>
      <c r="AE160">
        <v>-9.9100000000021199E-2</v>
      </c>
      <c r="AF160">
        <v>9.9545588262600904E-2</v>
      </c>
      <c r="AG160">
        <v>-0.166777499999999</v>
      </c>
      <c r="AH160">
        <v>0.59723446185172402</v>
      </c>
      <c r="AI160">
        <v>105.400200042148</v>
      </c>
      <c r="AJ160">
        <v>80.537070014442904</v>
      </c>
      <c r="AK160">
        <v>0.628023137370046</v>
      </c>
      <c r="AL160">
        <v>88.160913209181302</v>
      </c>
      <c r="AM160">
        <v>91.2036877713617</v>
      </c>
      <c r="AN160">
        <v>1.00000005332018</v>
      </c>
    </row>
    <row r="161" spans="1:40" x14ac:dyDescent="0.25">
      <c r="A161" t="str">
        <f>"20190305135758922"</f>
        <v>20190305135758922</v>
      </c>
      <c r="B161" t="str">
        <f>"1551765478908687"</f>
        <v>1551765478908687</v>
      </c>
      <c r="C161" t="s">
        <v>40</v>
      </c>
      <c r="D161">
        <v>4.0543290000000001</v>
      </c>
      <c r="E161">
        <v>0.54411730000000003</v>
      </c>
      <c r="F161" t="s">
        <v>41</v>
      </c>
      <c r="G161">
        <v>-443.07490000000001</v>
      </c>
      <c r="H161">
        <v>0.94688760000000005</v>
      </c>
      <c r="I161">
        <v>367.67439999999999</v>
      </c>
      <c r="J161">
        <v>-443.70510000000002</v>
      </c>
      <c r="K161">
        <v>1.1079559999999999</v>
      </c>
      <c r="L161">
        <v>367.77080000000001</v>
      </c>
      <c r="M161">
        <v>0.99994150000000004</v>
      </c>
      <c r="N161">
        <v>-6.2104689999999997E-4</v>
      </c>
      <c r="O161">
        <v>1.0809010000000001E-2</v>
      </c>
      <c r="P161">
        <v>0.99900109999999998</v>
      </c>
      <c r="Q161">
        <v>3.1269409999999997E-2</v>
      </c>
      <c r="R161">
        <v>3.1928249999999998E-2</v>
      </c>
      <c r="S161">
        <v>3.028168</v>
      </c>
      <c r="T161">
        <v>-0.50217970000000001</v>
      </c>
      <c r="U161">
        <v>-0.28848269999999998</v>
      </c>
      <c r="V161">
        <v>-2.1103770000000001E-2</v>
      </c>
      <c r="W161">
        <v>3.190627E-2</v>
      </c>
      <c r="X161">
        <v>0.99926809999999999</v>
      </c>
      <c r="Y161">
        <v>0.10403270000000001</v>
      </c>
      <c r="Z161">
        <v>-1.0351290000000001E-2</v>
      </c>
      <c r="AA161">
        <v>0.99451999999999996</v>
      </c>
      <c r="AB161">
        <v>37</v>
      </c>
      <c r="AC161">
        <v>0.63020000000000198</v>
      </c>
      <c r="AD161">
        <v>-0.161068399999999</v>
      </c>
      <c r="AE161">
        <v>-9.6400000000016903E-2</v>
      </c>
      <c r="AF161">
        <v>9.7013894851073604E-2</v>
      </c>
      <c r="AG161">
        <v>-0.161068399999999</v>
      </c>
      <c r="AH161">
        <v>0.59137429099801497</v>
      </c>
      <c r="AI161">
        <v>105.04388723811699</v>
      </c>
      <c r="AJ161">
        <v>80.683711137171798</v>
      </c>
      <c r="AK161">
        <v>0.62054675676063298</v>
      </c>
      <c r="AL161">
        <v>88.1715951820659</v>
      </c>
      <c r="AM161">
        <v>91.209862729337402</v>
      </c>
      <c r="AN161">
        <v>1.0000000574255601</v>
      </c>
    </row>
    <row r="162" spans="1:40" x14ac:dyDescent="0.25">
      <c r="A162" t="str">
        <f>"20190305135758945"</f>
        <v>20190305135758945</v>
      </c>
      <c r="B162" t="str">
        <f>"1551765478938944"</f>
        <v>1551765478938944</v>
      </c>
      <c r="C162" t="s">
        <v>40</v>
      </c>
      <c r="D162">
        <v>4.0808980000000004</v>
      </c>
      <c r="E162">
        <v>0.54443790000000003</v>
      </c>
      <c r="F162" t="s">
        <v>41</v>
      </c>
      <c r="G162">
        <v>-442.7423</v>
      </c>
      <c r="H162">
        <v>0.94795070000000003</v>
      </c>
      <c r="I162">
        <v>367.678</v>
      </c>
      <c r="J162">
        <v>-443.30549999999999</v>
      </c>
      <c r="K162">
        <v>1.107961</v>
      </c>
      <c r="L162">
        <v>367.77480000000003</v>
      </c>
      <c r="M162">
        <v>0.99994499999999997</v>
      </c>
      <c r="N162">
        <v>-7.0627440000000004E-4</v>
      </c>
      <c r="O162">
        <v>1.0455300000000001E-2</v>
      </c>
      <c r="P162">
        <v>0.99900670000000003</v>
      </c>
      <c r="Q162">
        <v>3.0856560000000002E-2</v>
      </c>
      <c r="R162">
        <v>3.2147879999999997E-2</v>
      </c>
      <c r="S162">
        <v>3.0280459999999998</v>
      </c>
      <c r="T162">
        <v>-0.50332670000000002</v>
      </c>
      <c r="U162">
        <v>-0.29046630000000001</v>
      </c>
      <c r="V162">
        <v>-2.1676730000000002E-2</v>
      </c>
      <c r="W162">
        <v>3.1578839999999997E-2</v>
      </c>
      <c r="X162">
        <v>0.99926619999999999</v>
      </c>
      <c r="Y162">
        <v>0.1043234</v>
      </c>
      <c r="Z162">
        <v>-1.0344239999999999E-2</v>
      </c>
      <c r="AA162">
        <v>0.99448959999999997</v>
      </c>
      <c r="AB162">
        <v>37</v>
      </c>
      <c r="AC162">
        <v>0.56319999999999404</v>
      </c>
      <c r="AD162">
        <v>-0.16001029999999999</v>
      </c>
      <c r="AE162">
        <v>-9.6799999999973296E-2</v>
      </c>
      <c r="AF162">
        <v>9.5217868322045901E-2</v>
      </c>
      <c r="AG162">
        <v>-0.16001029999999999</v>
      </c>
      <c r="AH162">
        <v>0.52128720337046497</v>
      </c>
      <c r="AI162">
        <v>106.80202307193601</v>
      </c>
      <c r="AJ162">
        <v>79.648519375558095</v>
      </c>
      <c r="AK162">
        <v>0.55354321145840502</v>
      </c>
      <c r="AL162">
        <v>88.190364930939296</v>
      </c>
      <c r="AM162">
        <v>91.242702278507096</v>
      </c>
      <c r="AN162">
        <v>1.00000002111083</v>
      </c>
    </row>
    <row r="163" spans="1:40" x14ac:dyDescent="0.25">
      <c r="A163" t="str">
        <f>"20190305135758968"</f>
        <v>20190305135758968</v>
      </c>
      <c r="B163" t="str">
        <f>"1551765478959440"</f>
        <v>1551765478959440</v>
      </c>
      <c r="C163" t="s">
        <v>40</v>
      </c>
      <c r="D163">
        <v>4.0373590000000004</v>
      </c>
      <c r="E163">
        <v>0.54461190000000004</v>
      </c>
      <c r="F163" t="s">
        <v>41</v>
      </c>
      <c r="G163">
        <v>-442.4042</v>
      </c>
      <c r="H163">
        <v>0.95773240000000004</v>
      </c>
      <c r="I163">
        <v>367.68779999999998</v>
      </c>
      <c r="J163">
        <v>-442.92540000000002</v>
      </c>
      <c r="K163">
        <v>1.1079559999999999</v>
      </c>
      <c r="L163">
        <v>367.77850000000001</v>
      </c>
      <c r="M163">
        <v>0.99994870000000002</v>
      </c>
      <c r="N163">
        <v>-7.9161569999999998E-4</v>
      </c>
      <c r="O163">
        <v>1.0117920000000001E-2</v>
      </c>
      <c r="P163">
        <v>0.99902599999999997</v>
      </c>
      <c r="Q163">
        <v>3.039012E-2</v>
      </c>
      <c r="R163">
        <v>3.1996900000000002E-2</v>
      </c>
      <c r="S163">
        <v>3.0279850000000001</v>
      </c>
      <c r="T163">
        <v>-0.50473380000000001</v>
      </c>
      <c r="U163">
        <v>-0.29248049999999998</v>
      </c>
      <c r="V163">
        <v>-2.1862820000000002E-2</v>
      </c>
      <c r="W163">
        <v>3.119804E-2</v>
      </c>
      <c r="X163">
        <v>0.99927410000000005</v>
      </c>
      <c r="Y163">
        <v>0.1046363</v>
      </c>
      <c r="Z163">
        <v>-1.0346670000000001E-2</v>
      </c>
      <c r="AA163">
        <v>0.99445669999999997</v>
      </c>
      <c r="AB163">
        <v>37</v>
      </c>
      <c r="AC163">
        <v>0.52120000000002098</v>
      </c>
      <c r="AD163">
        <v>-0.15022359999999901</v>
      </c>
      <c r="AE163">
        <v>-9.0700000000026607E-2</v>
      </c>
      <c r="AF163">
        <v>8.8807996226598407E-2</v>
      </c>
      <c r="AG163">
        <v>-0.15022359999999901</v>
      </c>
      <c r="AH163">
        <v>0.481436165424104</v>
      </c>
      <c r="AI163">
        <v>107.05890320236701</v>
      </c>
      <c r="AJ163">
        <v>79.548438047326002</v>
      </c>
      <c r="AK163">
        <v>0.51208863643807701</v>
      </c>
      <c r="AL163">
        <v>88.212193906293706</v>
      </c>
      <c r="AM163">
        <v>91.253357312312701</v>
      </c>
      <c r="AN163">
        <v>1.0000000137645</v>
      </c>
    </row>
    <row r="164" spans="1:40" x14ac:dyDescent="0.25">
      <c r="A164" t="str">
        <f>"20190305135758994"</f>
        <v>20190305135758994</v>
      </c>
      <c r="B164" t="str">
        <f>"1551765478988719"</f>
        <v>1551765478988719</v>
      </c>
      <c r="C164" t="s">
        <v>40</v>
      </c>
      <c r="D164">
        <v>4.0161280000000001</v>
      </c>
      <c r="E164">
        <v>0.54454709999999995</v>
      </c>
      <c r="F164" t="s">
        <v>41</v>
      </c>
      <c r="G164">
        <v>-442.06569999999999</v>
      </c>
      <c r="H164">
        <v>0.96463449999999995</v>
      </c>
      <c r="I164">
        <v>367.6943</v>
      </c>
      <c r="J164">
        <v>-442.4821</v>
      </c>
      <c r="K164">
        <v>1.1079369999999999</v>
      </c>
      <c r="L164">
        <v>367.78269999999998</v>
      </c>
      <c r="M164">
        <v>0.99995230000000002</v>
      </c>
      <c r="N164">
        <v>-8.9246390000000001E-4</v>
      </c>
      <c r="O164">
        <v>9.7246160000000002E-3</v>
      </c>
      <c r="P164">
        <v>0.99903319999999995</v>
      </c>
      <c r="Q164">
        <v>2.970954E-2</v>
      </c>
      <c r="R164">
        <v>3.2409849999999997E-2</v>
      </c>
      <c r="S164">
        <v>3.027771</v>
      </c>
      <c r="T164">
        <v>-0.50486469999999894</v>
      </c>
      <c r="U164">
        <v>-0.2949524</v>
      </c>
      <c r="V164">
        <v>-2.2668480000000001E-2</v>
      </c>
      <c r="W164">
        <v>3.061943E-2</v>
      </c>
      <c r="X164">
        <v>0.999274</v>
      </c>
      <c r="Y164">
        <v>0.1050542</v>
      </c>
      <c r="Z164">
        <v>-1.032401E-2</v>
      </c>
      <c r="AA164">
        <v>0.99441290000000004</v>
      </c>
      <c r="AB164">
        <v>37</v>
      </c>
      <c r="AC164">
        <v>0.41640000000000998</v>
      </c>
      <c r="AD164">
        <v>-0.1433025</v>
      </c>
      <c r="AE164">
        <v>-8.8399999999978704E-2</v>
      </c>
      <c r="AF164">
        <v>8.3034893613595104E-2</v>
      </c>
      <c r="AG164">
        <v>-0.1433025</v>
      </c>
      <c r="AH164">
        <v>0.37322361033548601</v>
      </c>
      <c r="AI164">
        <v>110.545754342712</v>
      </c>
      <c r="AJ164">
        <v>77.457103192006301</v>
      </c>
      <c r="AK164">
        <v>0.40832127470354201</v>
      </c>
      <c r="AL164">
        <v>88.245361584640094</v>
      </c>
      <c r="AM164">
        <v>91.299528966868706</v>
      </c>
      <c r="AN164">
        <v>0.99999996827751703</v>
      </c>
    </row>
    <row r="165" spans="1:40" x14ac:dyDescent="0.25">
      <c r="A165" t="str">
        <f>"20190305135759013"</f>
        <v>20190305135759013</v>
      </c>
      <c r="B165" t="str">
        <f>"1551765479009216"</f>
        <v>1551765479009216</v>
      </c>
      <c r="C165" t="s">
        <v>40</v>
      </c>
      <c r="D165">
        <v>3.9838390000000001</v>
      </c>
      <c r="E165">
        <v>0.53516980000000003</v>
      </c>
      <c r="F165" t="s">
        <v>41</v>
      </c>
      <c r="G165">
        <v>-441.72149999999999</v>
      </c>
      <c r="H165">
        <v>0.98041650000000002</v>
      </c>
      <c r="I165">
        <v>367.709</v>
      </c>
      <c r="J165">
        <v>-442.17750000000001</v>
      </c>
      <c r="K165">
        <v>1.1079270000000001</v>
      </c>
      <c r="L165">
        <v>367.78550000000001</v>
      </c>
      <c r="M165">
        <v>0.99995489999999998</v>
      </c>
      <c r="N165">
        <v>-9.6084190000000002E-4</v>
      </c>
      <c r="O165">
        <v>9.4539410000000004E-3</v>
      </c>
      <c r="P165">
        <v>0.9990289</v>
      </c>
      <c r="Q165">
        <v>2.9879220000000001E-2</v>
      </c>
      <c r="R165">
        <v>3.238013E-2</v>
      </c>
      <c r="S165">
        <v>3.0275569999999998</v>
      </c>
      <c r="T165">
        <v>-0.50755729999999999</v>
      </c>
      <c r="U165">
        <v>-0.29348750000000001</v>
      </c>
      <c r="V165">
        <v>-2.2908939999999999E-2</v>
      </c>
      <c r="W165">
        <v>3.0858219999999999E-2</v>
      </c>
      <c r="X165">
        <v>0.99926119999999996</v>
      </c>
      <c r="Y165">
        <v>0.10431169999999999</v>
      </c>
      <c r="Z165">
        <v>-1.0275299999999999E-2</v>
      </c>
      <c r="AA165">
        <v>0.99449160000000003</v>
      </c>
      <c r="AB165">
        <v>37</v>
      </c>
      <c r="AC165">
        <v>0.456000000000017</v>
      </c>
      <c r="AD165">
        <v>-0.127510499999999</v>
      </c>
      <c r="AE165">
        <v>-7.6500000000009893E-2</v>
      </c>
      <c r="AF165">
        <v>7.5096383790600699E-2</v>
      </c>
      <c r="AG165">
        <v>-0.127510499999999</v>
      </c>
      <c r="AH165">
        <v>0.423080469641889</v>
      </c>
      <c r="AI165">
        <v>106.528125574413</v>
      </c>
      <c r="AJ165">
        <v>79.934883106437596</v>
      </c>
      <c r="AK165">
        <v>0.44821365247064598</v>
      </c>
      <c r="AL165">
        <v>88.231673508446093</v>
      </c>
      <c r="AM165">
        <v>91.3133259696544</v>
      </c>
      <c r="AN165">
        <v>0.999999997549466</v>
      </c>
    </row>
    <row r="166" spans="1:40" x14ac:dyDescent="0.25">
      <c r="A166" t="str">
        <f>"20190305135759034"</f>
        <v>20190305135759034</v>
      </c>
      <c r="B166" t="str">
        <f>"1551765479028736"</f>
        <v>1551765479028736</v>
      </c>
      <c r="C166" t="s">
        <v>40</v>
      </c>
      <c r="D166">
        <v>4.0044899999999997</v>
      </c>
      <c r="E166">
        <v>0.53712199999999999</v>
      </c>
      <c r="F166" t="s">
        <v>41</v>
      </c>
      <c r="G166">
        <v>-441.39519999999999</v>
      </c>
      <c r="H166">
        <v>0.95528690000000005</v>
      </c>
      <c r="I166">
        <v>367.7276</v>
      </c>
      <c r="J166">
        <v>-441.81299999999999</v>
      </c>
      <c r="K166">
        <v>1.107915</v>
      </c>
      <c r="L166">
        <v>367.78870000000001</v>
      </c>
      <c r="M166">
        <v>0.99995769999999995</v>
      </c>
      <c r="N166">
        <v>-1.0411540000000001E-3</v>
      </c>
      <c r="O166">
        <v>9.1293090000000004E-3</v>
      </c>
      <c r="P166">
        <v>0.99902139999999995</v>
      </c>
      <c r="Q166">
        <v>2.9651690000000001E-2</v>
      </c>
      <c r="R166">
        <v>3.2819050000000002E-2</v>
      </c>
      <c r="S166">
        <v>3.0278320000000001</v>
      </c>
      <c r="T166">
        <v>-0.59087489999999998</v>
      </c>
      <c r="U166">
        <v>-0.2236938</v>
      </c>
      <c r="V166">
        <v>-2.3671899999999999E-2</v>
      </c>
      <c r="W166">
        <v>3.071142E-2</v>
      </c>
      <c r="X166">
        <v>0.99924800000000003</v>
      </c>
      <c r="Y166">
        <v>8.1080570000000005E-2</v>
      </c>
      <c r="Z166">
        <v>-9.6230280000000005E-3</v>
      </c>
      <c r="AA166">
        <v>0.99666109999999997</v>
      </c>
      <c r="AB166">
        <v>38</v>
      </c>
      <c r="AC166">
        <v>0.41780000000005602</v>
      </c>
      <c r="AD166">
        <v>-0.15262809999999899</v>
      </c>
      <c r="AE166">
        <v>-6.1100000000010299E-2</v>
      </c>
      <c r="AF166">
        <v>5.7410445825697203E-2</v>
      </c>
      <c r="AG166">
        <v>-0.15262809999999899</v>
      </c>
      <c r="AH166">
        <v>0.36901002314752102</v>
      </c>
      <c r="AI166">
        <v>112.229753538342</v>
      </c>
      <c r="AJ166">
        <v>81.156838220863506</v>
      </c>
      <c r="AK166">
        <v>0.403434868823766</v>
      </c>
      <c r="AL166">
        <v>88.240088623458007</v>
      </c>
      <c r="AM166">
        <v>91.3570668430404</v>
      </c>
      <c r="AN166">
        <v>1.00000005783601</v>
      </c>
    </row>
    <row r="167" spans="1:40" x14ac:dyDescent="0.25">
      <c r="A167" t="str">
        <f>"20190305135759057"</f>
        <v>20190305135759057</v>
      </c>
      <c r="B167" t="str">
        <f>"1551765479049231"</f>
        <v>1551765479049231</v>
      </c>
      <c r="C167" t="s">
        <v>40</v>
      </c>
      <c r="D167">
        <v>3.9980180000000001</v>
      </c>
      <c r="E167">
        <v>0.53921180000000002</v>
      </c>
      <c r="F167" t="s">
        <v>41</v>
      </c>
      <c r="G167">
        <v>-441.05340000000001</v>
      </c>
      <c r="H167">
        <v>0.95872190000000002</v>
      </c>
      <c r="I167">
        <v>367.72890000000001</v>
      </c>
      <c r="J167">
        <v>-441.42570000000001</v>
      </c>
      <c r="K167">
        <v>1.107901</v>
      </c>
      <c r="L167">
        <v>367.79199999999997</v>
      </c>
      <c r="M167">
        <v>0.99996079999999998</v>
      </c>
      <c r="N167">
        <v>-1.1237409999999999E-3</v>
      </c>
      <c r="O167">
        <v>8.7846419999999901E-3</v>
      </c>
      <c r="P167">
        <v>0.99901740000000006</v>
      </c>
      <c r="Q167">
        <v>2.9262759999999999E-2</v>
      </c>
      <c r="R167">
        <v>3.3283310000000003E-2</v>
      </c>
      <c r="S167">
        <v>3.0284119999999999</v>
      </c>
      <c r="T167">
        <v>-0.59477749999999996</v>
      </c>
      <c r="U167">
        <v>-0.23846439999999999</v>
      </c>
      <c r="V167">
        <v>-2.4480229999999999E-2</v>
      </c>
      <c r="W167">
        <v>3.0405910000000001E-2</v>
      </c>
      <c r="X167">
        <v>0.99923779999999995</v>
      </c>
      <c r="Y167">
        <v>8.5456619999999997E-2</v>
      </c>
      <c r="Z167">
        <v>-1.004523E-2</v>
      </c>
      <c r="AA167">
        <v>0.99629129999999999</v>
      </c>
      <c r="AB167">
        <v>38</v>
      </c>
      <c r="AC167">
        <v>0.37229999999999502</v>
      </c>
      <c r="AD167">
        <v>-0.14917909999999901</v>
      </c>
      <c r="AE167">
        <v>-6.3099999999963005E-2</v>
      </c>
      <c r="AF167">
        <v>5.7408172787300801E-2</v>
      </c>
      <c r="AG167">
        <v>-0.14917909999999901</v>
      </c>
      <c r="AH167">
        <v>0.32154633663724602</v>
      </c>
      <c r="AI167">
        <v>114.547162285817</v>
      </c>
      <c r="AJ167">
        <v>79.877196064369102</v>
      </c>
      <c r="AK167">
        <v>0.359085155338424</v>
      </c>
      <c r="AL167">
        <v>88.257601118425697</v>
      </c>
      <c r="AM167">
        <v>91.403403020775897</v>
      </c>
      <c r="AN167">
        <v>0.99999999098630998</v>
      </c>
    </row>
    <row r="168" spans="1:40" x14ac:dyDescent="0.25">
      <c r="A168" t="str">
        <f>"20190305135759079"</f>
        <v>20190305135759079</v>
      </c>
      <c r="B168" t="str">
        <f>"1551765479068751"</f>
        <v>1551765479068751</v>
      </c>
      <c r="C168" t="s">
        <v>40</v>
      </c>
      <c r="D168">
        <v>4.0057619999999998</v>
      </c>
      <c r="E168">
        <v>0.53950240000000005</v>
      </c>
      <c r="F168" t="s">
        <v>41</v>
      </c>
      <c r="G168">
        <v>-440.70749999999998</v>
      </c>
      <c r="H168">
        <v>0.96758060000000001</v>
      </c>
      <c r="I168">
        <v>367.73149999999998</v>
      </c>
      <c r="J168">
        <v>-441.0412</v>
      </c>
      <c r="K168">
        <v>1.1078790000000001</v>
      </c>
      <c r="L168">
        <v>367.79520000000002</v>
      </c>
      <c r="M168">
        <v>0.99996379999999996</v>
      </c>
      <c r="N168">
        <v>-1.189407E-3</v>
      </c>
      <c r="O168">
        <v>8.4420169999999996E-3</v>
      </c>
      <c r="P168">
        <v>0.99901229999999996</v>
      </c>
      <c r="Q168">
        <v>2.8899600000000001E-2</v>
      </c>
      <c r="R168">
        <v>3.3756399999999999E-2</v>
      </c>
      <c r="S168">
        <v>3.0287169999999999</v>
      </c>
      <c r="T168">
        <v>-0.59185189999999999</v>
      </c>
      <c r="U168">
        <v>-0.2533569</v>
      </c>
      <c r="V168">
        <v>-2.5296160000000002E-2</v>
      </c>
      <c r="W168">
        <v>3.0109449999999999E-2</v>
      </c>
      <c r="X168">
        <v>0.99922650000000002</v>
      </c>
      <c r="Y168">
        <v>8.9913629999999994E-2</v>
      </c>
      <c r="Z168">
        <v>-1.0363829999999999E-2</v>
      </c>
      <c r="AA168">
        <v>0.99589559999999999</v>
      </c>
      <c r="AB168">
        <v>38</v>
      </c>
      <c r="AC168">
        <v>0.33370000000002098</v>
      </c>
      <c r="AD168">
        <v>-0.14029839999999999</v>
      </c>
      <c r="AE168">
        <v>-6.3700000000039794E-2</v>
      </c>
      <c r="AF168">
        <v>5.68236191174478E-2</v>
      </c>
      <c r="AG168">
        <v>-0.14029839999999999</v>
      </c>
      <c r="AH168">
        <v>0.28461033317753798</v>
      </c>
      <c r="AI168">
        <v>115.79951592022501</v>
      </c>
      <c r="AJ168">
        <v>78.709125304488197</v>
      </c>
      <c r="AK168">
        <v>0.32235943678383899</v>
      </c>
      <c r="AL168">
        <v>88.274594884855503</v>
      </c>
      <c r="AM168">
        <v>91.450175409668006</v>
      </c>
      <c r="AN168">
        <v>1.0000000364961401</v>
      </c>
    </row>
    <row r="169" spans="1:40" x14ac:dyDescent="0.25">
      <c r="A169" t="str">
        <f>"20190305135759100"</f>
        <v>20190305135759100</v>
      </c>
      <c r="B169" t="str">
        <f>"1551765479089251"</f>
        <v>1551765479089251</v>
      </c>
      <c r="C169" t="s">
        <v>40</v>
      </c>
      <c r="D169">
        <v>3.9778950000000002</v>
      </c>
      <c r="E169">
        <v>0.53966639999999999</v>
      </c>
      <c r="F169" t="s">
        <v>41</v>
      </c>
      <c r="G169">
        <v>-440.0437</v>
      </c>
      <c r="H169">
        <v>0.91234479999999996</v>
      </c>
      <c r="I169">
        <v>367.71100000000001</v>
      </c>
      <c r="J169">
        <v>-440.66329999999999</v>
      </c>
      <c r="K169">
        <v>1.1077669999999999</v>
      </c>
      <c r="L169">
        <v>367.79809999999998</v>
      </c>
      <c r="M169">
        <v>0.99996680000000004</v>
      </c>
      <c r="N169">
        <v>-9.3621809999999998E-4</v>
      </c>
      <c r="O169">
        <v>8.0984100000000003E-3</v>
      </c>
      <c r="P169">
        <v>0.99900630000000001</v>
      </c>
      <c r="Q169">
        <v>2.8236029999999999E-2</v>
      </c>
      <c r="R169">
        <v>3.4484330000000001E-2</v>
      </c>
      <c r="S169">
        <v>3.0287169999999999</v>
      </c>
      <c r="T169">
        <v>-0.59383750000000002</v>
      </c>
      <c r="U169">
        <v>-0.2541504</v>
      </c>
      <c r="V169">
        <v>-2.6368450000000002E-2</v>
      </c>
      <c r="W169">
        <v>2.919385E-2</v>
      </c>
      <c r="X169">
        <v>0.9992259</v>
      </c>
      <c r="Y169">
        <v>8.9828190000000002E-2</v>
      </c>
      <c r="Z169">
        <v>-1.031367E-2</v>
      </c>
      <c r="AA169">
        <v>0.99590380000000001</v>
      </c>
      <c r="AB169">
        <v>38</v>
      </c>
      <c r="AC169">
        <v>0.61959999999999105</v>
      </c>
      <c r="AD169">
        <v>-0.19542219999999899</v>
      </c>
      <c r="AE169">
        <v>-8.7099999999963901E-2</v>
      </c>
      <c r="AF169">
        <v>8.3927780417329706E-2</v>
      </c>
      <c r="AG169">
        <v>-0.19542219999999899</v>
      </c>
      <c r="AH169">
        <v>0.56386898912990302</v>
      </c>
      <c r="AI169">
        <v>108.921580210176</v>
      </c>
      <c r="AJ169">
        <v>81.534094906172498</v>
      </c>
      <c r="AK169">
        <v>0.60264578774019295</v>
      </c>
      <c r="AL169">
        <v>88.327077895906399</v>
      </c>
      <c r="AM169">
        <v>91.511620495600695</v>
      </c>
      <c r="AN169">
        <v>0.99999998763201703</v>
      </c>
    </row>
    <row r="170" spans="1:40" x14ac:dyDescent="0.25">
      <c r="A170" t="str">
        <f>"20190305135759113"</f>
        <v>20190305135759113</v>
      </c>
      <c r="B170" t="str">
        <f>"1551765479108767"</f>
        <v>1551765479108767</v>
      </c>
      <c r="C170" t="s">
        <v>40</v>
      </c>
      <c r="D170">
        <v>4.0159549999999999</v>
      </c>
      <c r="E170">
        <v>0.53978539999999997</v>
      </c>
      <c r="F170" t="s">
        <v>41</v>
      </c>
      <c r="G170">
        <v>-439.69349999999997</v>
      </c>
      <c r="H170">
        <v>0.91707910000000004</v>
      </c>
      <c r="I170">
        <v>367.7165</v>
      </c>
      <c r="J170">
        <v>-440.44869999999997</v>
      </c>
      <c r="K170">
        <v>1.107661</v>
      </c>
      <c r="L170">
        <v>367.79969999999997</v>
      </c>
      <c r="M170">
        <v>0.99996850000000004</v>
      </c>
      <c r="N170">
        <v>-8.2359709999999995E-4</v>
      </c>
      <c r="O170">
        <v>7.9043800000000008E-3</v>
      </c>
      <c r="P170">
        <v>0.99901030000000002</v>
      </c>
      <c r="Q170">
        <v>2.7976839999999999E-2</v>
      </c>
      <c r="R170">
        <v>3.4586819999999997E-2</v>
      </c>
      <c r="S170">
        <v>3.0285639999999998</v>
      </c>
      <c r="T170">
        <v>-0.59560639999999998</v>
      </c>
      <c r="U170">
        <v>-0.2541504</v>
      </c>
      <c r="V170">
        <v>-2.666557E-2</v>
      </c>
      <c r="W170">
        <v>2.8822070000000002E-2</v>
      </c>
      <c r="X170">
        <v>0.99922880000000003</v>
      </c>
      <c r="Y170">
        <v>8.9636149999999998E-2</v>
      </c>
      <c r="Z170">
        <v>-1.028368E-2</v>
      </c>
      <c r="AA170">
        <v>0.99592150000000002</v>
      </c>
      <c r="AB170">
        <v>39</v>
      </c>
      <c r="AC170">
        <v>0.75520000000000198</v>
      </c>
      <c r="AD170">
        <v>-0.1905819</v>
      </c>
      <c r="AE170">
        <v>-8.3199999999976598E-2</v>
      </c>
      <c r="AF170">
        <v>8.3888396247313299E-2</v>
      </c>
      <c r="AG170">
        <v>-0.1905819</v>
      </c>
      <c r="AH170">
        <v>0.70985362207182301</v>
      </c>
      <c r="AI170">
        <v>104.929199005855</v>
      </c>
      <c r="AJ170">
        <v>83.2602141907483</v>
      </c>
      <c r="AK170">
        <v>0.73976407617634599</v>
      </c>
      <c r="AL170">
        <v>88.348388275668995</v>
      </c>
      <c r="AM170">
        <v>91.5286409817096</v>
      </c>
      <c r="AN170">
        <v>0.99999997954597397</v>
      </c>
    </row>
    <row r="171" spans="1:40" x14ac:dyDescent="0.25">
      <c r="A171" t="str">
        <f>"20190305135759134"</f>
        <v>20190305135759134</v>
      </c>
      <c r="B171" t="str">
        <f>"1551765479129264"</f>
        <v>1551765479129264</v>
      </c>
      <c r="C171" t="s">
        <v>40</v>
      </c>
      <c r="D171">
        <v>4.0579599999999996</v>
      </c>
      <c r="E171">
        <v>0.53967310000000002</v>
      </c>
      <c r="F171" t="s">
        <v>41</v>
      </c>
      <c r="G171">
        <v>-439.67599999999999</v>
      </c>
      <c r="H171">
        <v>0.95571019999999896</v>
      </c>
      <c r="I171">
        <v>367.73450000000003</v>
      </c>
      <c r="J171">
        <v>-440.08420000000001</v>
      </c>
      <c r="K171">
        <v>1.1073980000000001</v>
      </c>
      <c r="L171">
        <v>367.80250000000001</v>
      </c>
      <c r="M171">
        <v>0.99997100000000005</v>
      </c>
      <c r="N171">
        <v>-8.0057570000000001E-4</v>
      </c>
      <c r="O171">
        <v>7.5826510000000001E-3</v>
      </c>
      <c r="P171">
        <v>0.99899510000000002</v>
      </c>
      <c r="Q171">
        <v>2.7801360000000001E-2</v>
      </c>
      <c r="R171">
        <v>3.5156470000000002E-2</v>
      </c>
      <c r="S171">
        <v>3.0284420000000001</v>
      </c>
      <c r="T171">
        <v>-0.59570429999999996</v>
      </c>
      <c r="U171">
        <v>-0.25491329999999901</v>
      </c>
      <c r="V171">
        <v>-2.7556230000000001E-2</v>
      </c>
      <c r="W171">
        <v>2.8624739999999999E-2</v>
      </c>
      <c r="X171">
        <v>0.9992103</v>
      </c>
      <c r="Y171">
        <v>8.9574959999999995E-2</v>
      </c>
      <c r="Z171">
        <v>-1.021647E-2</v>
      </c>
      <c r="AA171">
        <v>0.99592769999999997</v>
      </c>
      <c r="AB171">
        <v>39</v>
      </c>
      <c r="AC171">
        <v>0.40820000000002199</v>
      </c>
      <c r="AD171">
        <v>-0.15168780000000001</v>
      </c>
      <c r="AE171">
        <v>-6.7999999999983601E-2</v>
      </c>
      <c r="AF171">
        <v>6.2672635515868796E-2</v>
      </c>
      <c r="AG171">
        <v>-0.15168780000000001</v>
      </c>
      <c r="AH171">
        <v>0.35938583241726502</v>
      </c>
      <c r="AI171">
        <v>112.57753760758099</v>
      </c>
      <c r="AJ171">
        <v>80.107771961842104</v>
      </c>
      <c r="AK171">
        <v>0.39508888171346401</v>
      </c>
      <c r="AL171">
        <v>88.359699107553396</v>
      </c>
      <c r="AM171">
        <v>91.579703087962699</v>
      </c>
      <c r="AN171">
        <v>0.99999997258898399</v>
      </c>
    </row>
    <row r="172" spans="1:40" x14ac:dyDescent="0.25">
      <c r="A172" t="str">
        <f>"20190305135759147"</f>
        <v>20190305135759147</v>
      </c>
      <c r="B172" t="str">
        <f>"1551765479139024"</f>
        <v>1551765479139024</v>
      </c>
      <c r="C172" t="s">
        <v>40</v>
      </c>
      <c r="D172">
        <v>4.0311849999999998</v>
      </c>
      <c r="E172">
        <v>0.54000109999999901</v>
      </c>
      <c r="F172" t="s">
        <v>41</v>
      </c>
      <c r="G172">
        <v>-439.32479999999998</v>
      </c>
      <c r="H172">
        <v>0.95782529999999999</v>
      </c>
      <c r="I172">
        <v>367.7389</v>
      </c>
      <c r="J172">
        <v>-439.85050000000001</v>
      </c>
      <c r="K172">
        <v>1.1071420000000001</v>
      </c>
      <c r="L172">
        <v>367.80410000000001</v>
      </c>
      <c r="M172">
        <v>0.99997230000000004</v>
      </c>
      <c r="N172">
        <v>-9.3083149999999997E-4</v>
      </c>
      <c r="O172">
        <v>7.3843440000000002E-3</v>
      </c>
      <c r="P172">
        <v>0.99899280000000001</v>
      </c>
      <c r="Q172">
        <v>2.7584299999999999E-2</v>
      </c>
      <c r="R172">
        <v>3.5394040000000002E-2</v>
      </c>
      <c r="S172">
        <v>3.0285030000000002</v>
      </c>
      <c r="T172">
        <v>-0.59657490000000002</v>
      </c>
      <c r="U172">
        <v>-0.25213619999999998</v>
      </c>
      <c r="V172">
        <v>-2.7991789999999999E-2</v>
      </c>
      <c r="W172">
        <v>2.853847E-2</v>
      </c>
      <c r="X172">
        <v>0.99920070000000005</v>
      </c>
      <c r="Y172">
        <v>8.8487040000000003E-2</v>
      </c>
      <c r="Z172">
        <v>-1.009125E-2</v>
      </c>
      <c r="AA172">
        <v>0.99602619999999997</v>
      </c>
      <c r="AB172">
        <v>39</v>
      </c>
      <c r="AC172">
        <v>0.52570000000002803</v>
      </c>
      <c r="AD172">
        <v>-0.149316699999999</v>
      </c>
      <c r="AE172">
        <v>-6.5200000000004296E-2</v>
      </c>
      <c r="AF172">
        <v>6.3995525973439604E-2</v>
      </c>
      <c r="AG172">
        <v>-0.149316699999999</v>
      </c>
      <c r="AH172">
        <v>0.48654654029202199</v>
      </c>
      <c r="AI172">
        <v>106.923442939268</v>
      </c>
      <c r="AJ172">
        <v>82.5068922367754</v>
      </c>
      <c r="AK172">
        <v>0.512950718991252</v>
      </c>
      <c r="AL172">
        <v>88.3646440988026</v>
      </c>
      <c r="AM172">
        <v>91.604674687877804</v>
      </c>
      <c r="AN172">
        <v>1.0000000117289101</v>
      </c>
    </row>
    <row r="173" spans="1:40" x14ac:dyDescent="0.25">
      <c r="A173" t="str">
        <f>"20190305135759168"</f>
        <v>20190305135759168</v>
      </c>
      <c r="B173" t="str">
        <f>"1551765479158543"</f>
        <v>1551765479158543</v>
      </c>
      <c r="C173" t="s">
        <v>40</v>
      </c>
      <c r="D173">
        <v>4.0427359999999997</v>
      </c>
      <c r="E173">
        <v>0.54028790000000004</v>
      </c>
      <c r="F173" t="s">
        <v>41</v>
      </c>
      <c r="G173">
        <v>-438.9828</v>
      </c>
      <c r="H173">
        <v>0.93611670000000002</v>
      </c>
      <c r="I173">
        <v>367.73110000000003</v>
      </c>
      <c r="J173">
        <v>-439.4846</v>
      </c>
      <c r="K173">
        <v>1.1066020000000001</v>
      </c>
      <c r="L173">
        <v>367.80669999999998</v>
      </c>
      <c r="M173">
        <v>0.99997409999999998</v>
      </c>
      <c r="N173">
        <v>-1.32862E-3</v>
      </c>
      <c r="O173">
        <v>7.0845789999999997E-3</v>
      </c>
      <c r="P173">
        <v>0.99897519999999995</v>
      </c>
      <c r="Q173">
        <v>2.7599559999999999E-2</v>
      </c>
      <c r="R173">
        <v>3.5878170000000001E-2</v>
      </c>
      <c r="S173">
        <v>3.0285030000000002</v>
      </c>
      <c r="T173">
        <v>-0.5970666</v>
      </c>
      <c r="U173">
        <v>-0.25442500000000001</v>
      </c>
      <c r="V173">
        <v>-2.8774729999999998E-2</v>
      </c>
      <c r="W173">
        <v>2.895267E-2</v>
      </c>
      <c r="X173">
        <v>0.99916649999999996</v>
      </c>
      <c r="Y173">
        <v>8.8927419999999993E-2</v>
      </c>
      <c r="Z173">
        <v>-1.0099149999999999E-2</v>
      </c>
      <c r="AA173">
        <v>0.99598690000000001</v>
      </c>
      <c r="AB173">
        <v>39</v>
      </c>
      <c r="AC173">
        <v>0.50180000000000202</v>
      </c>
      <c r="AD173">
        <v>-0.17048530000000001</v>
      </c>
      <c r="AE173">
        <v>-7.5599999999951706E-2</v>
      </c>
      <c r="AF173">
        <v>7.1125461457651196E-2</v>
      </c>
      <c r="AG173">
        <v>-0.17048530000000001</v>
      </c>
      <c r="AH173">
        <v>0.45041502009377199</v>
      </c>
      <c r="AI173">
        <v>110.49948321519599</v>
      </c>
      <c r="AJ173">
        <v>81.026467318265802</v>
      </c>
      <c r="AK173">
        <v>0.48682415625123499</v>
      </c>
      <c r="AL173">
        <v>88.340902304207603</v>
      </c>
      <c r="AM173">
        <v>91.649589961172595</v>
      </c>
      <c r="AN173">
        <v>0.99999996845447503</v>
      </c>
    </row>
    <row r="174" spans="1:40" x14ac:dyDescent="0.25">
      <c r="A174" t="str">
        <f>"20190305135759192"</f>
        <v>20190305135759192</v>
      </c>
      <c r="B174" t="str">
        <f>"1551765479179039"</f>
        <v>1551765479179039</v>
      </c>
      <c r="C174" t="s">
        <v>40</v>
      </c>
      <c r="D174">
        <v>4.1131510000000002</v>
      </c>
      <c r="E174">
        <v>0.54023639999999995</v>
      </c>
      <c r="F174" t="s">
        <v>41</v>
      </c>
      <c r="G174">
        <v>-438.62779999999998</v>
      </c>
      <c r="H174">
        <v>0.9380366</v>
      </c>
      <c r="I174">
        <v>367.73419999999999</v>
      </c>
      <c r="J174">
        <v>-439.06180000000001</v>
      </c>
      <c r="K174">
        <v>1.1057360000000001</v>
      </c>
      <c r="L174">
        <v>367.80950000000001</v>
      </c>
      <c r="M174">
        <v>0.99997510000000001</v>
      </c>
      <c r="N174">
        <v>-2.0817050000000001E-3</v>
      </c>
      <c r="O174">
        <v>6.7527189999999999E-3</v>
      </c>
      <c r="P174">
        <v>0.99897029999999998</v>
      </c>
      <c r="Q174">
        <v>2.693191E-2</v>
      </c>
      <c r="R174">
        <v>3.6509239999999998E-2</v>
      </c>
      <c r="S174">
        <v>3.0287169999999999</v>
      </c>
      <c r="T174">
        <v>-0.59598390000000001</v>
      </c>
      <c r="U174">
        <v>-0.25503540000000002</v>
      </c>
      <c r="V174">
        <v>-2.9735620000000001E-2</v>
      </c>
      <c r="W174">
        <v>2.90399E-2</v>
      </c>
      <c r="X174">
        <v>0.99913589999999997</v>
      </c>
      <c r="Y174">
        <v>8.8800299999999999E-2</v>
      </c>
      <c r="Z174">
        <v>-1.003268E-2</v>
      </c>
      <c r="AA174">
        <v>0.99599890000000002</v>
      </c>
      <c r="AB174">
        <v>39</v>
      </c>
      <c r="AC174">
        <v>0.43400000000002498</v>
      </c>
      <c r="AD174">
        <v>-0.1676994</v>
      </c>
      <c r="AE174">
        <v>-7.5300000000026998E-2</v>
      </c>
      <c r="AF174">
        <v>6.8325533027109295E-2</v>
      </c>
      <c r="AG174">
        <v>-0.1676994</v>
      </c>
      <c r="AH174">
        <v>0.378604796391315</v>
      </c>
      <c r="AI174">
        <v>113.55234624451801</v>
      </c>
      <c r="AJ174">
        <v>79.770131322249696</v>
      </c>
      <c r="AK174">
        <v>0.41968209286829</v>
      </c>
      <c r="AL174">
        <v>88.335902401193493</v>
      </c>
      <c r="AM174">
        <v>91.704695804331493</v>
      </c>
      <c r="AN174">
        <v>1.0000000347788001</v>
      </c>
    </row>
    <row r="175" spans="1:40" x14ac:dyDescent="0.25">
      <c r="A175" t="str">
        <f>"20190305135759215"</f>
        <v>20190305135759215</v>
      </c>
      <c r="B175" t="str">
        <f>"1551765479209295"</f>
        <v>1551765479209295</v>
      </c>
      <c r="C175" t="s">
        <v>40</v>
      </c>
      <c r="D175">
        <v>4.1199009999999996</v>
      </c>
      <c r="E175">
        <v>0.54014379999999995</v>
      </c>
      <c r="F175" t="s">
        <v>41</v>
      </c>
      <c r="G175">
        <v>-438.26679999999999</v>
      </c>
      <c r="H175">
        <v>0.94881590000000005</v>
      </c>
      <c r="I175">
        <v>367.74299999999999</v>
      </c>
      <c r="J175">
        <v>-438.67169999999999</v>
      </c>
      <c r="K175">
        <v>1.1047199999999999</v>
      </c>
      <c r="L175">
        <v>367.81189999999998</v>
      </c>
      <c r="M175">
        <v>0.99997420000000004</v>
      </c>
      <c r="N175">
        <v>-3.1170939999999999E-3</v>
      </c>
      <c r="O175">
        <v>6.4803949999999999E-3</v>
      </c>
      <c r="P175">
        <v>0.99898869999999895</v>
      </c>
      <c r="Q175">
        <v>2.586279E-2</v>
      </c>
      <c r="R175">
        <v>3.6782549999999997E-2</v>
      </c>
      <c r="S175">
        <v>3.0285030000000002</v>
      </c>
      <c r="T175">
        <v>-0.59780979999999995</v>
      </c>
      <c r="U175">
        <v>-0.25320429999999999</v>
      </c>
      <c r="V175">
        <v>-3.0279250000000001E-2</v>
      </c>
      <c r="W175">
        <v>2.9007479999999999E-2</v>
      </c>
      <c r="X175">
        <v>0.99912049999999997</v>
      </c>
      <c r="Y175">
        <v>8.7939519999999993E-2</v>
      </c>
      <c r="Z175">
        <v>-9.965448E-3</v>
      </c>
      <c r="AA175">
        <v>0.99607599999999996</v>
      </c>
      <c r="AB175">
        <v>40</v>
      </c>
      <c r="AC175">
        <v>0.40489999999999698</v>
      </c>
      <c r="AD175">
        <v>-0.15590409999999999</v>
      </c>
      <c r="AE175">
        <v>-6.8899999999928199E-2</v>
      </c>
      <c r="AF175">
        <v>6.2514934177463496E-2</v>
      </c>
      <c r="AG175">
        <v>-0.15590409999999999</v>
      </c>
      <c r="AH175">
        <v>0.35350917816045802</v>
      </c>
      <c r="AI175">
        <v>113.474353757107</v>
      </c>
      <c r="AJ175">
        <v>79.971436670897702</v>
      </c>
      <c r="AK175">
        <v>0.391385927743582</v>
      </c>
      <c r="AL175">
        <v>88.33776068892</v>
      </c>
      <c r="AM175">
        <v>91.735869091005199</v>
      </c>
      <c r="AN175">
        <v>1.0000000201983801</v>
      </c>
    </row>
    <row r="176" spans="1:40" x14ac:dyDescent="0.25">
      <c r="A176" t="str">
        <f>"20190305135759235"</f>
        <v>20190305135759235</v>
      </c>
      <c r="B176" t="str">
        <f>"1551765479228816"</f>
        <v>1551765479228816</v>
      </c>
      <c r="C176" t="s">
        <v>40</v>
      </c>
      <c r="D176">
        <v>4.0876960000000002</v>
      </c>
      <c r="E176">
        <v>0.53993429999999998</v>
      </c>
      <c r="F176" t="s">
        <v>41</v>
      </c>
      <c r="G176">
        <v>-437.90730000000002</v>
      </c>
      <c r="H176">
        <v>0.95297069999999995</v>
      </c>
      <c r="I176">
        <v>367.7482</v>
      </c>
      <c r="J176">
        <v>-438.28550000000001</v>
      </c>
      <c r="K176">
        <v>1.10344</v>
      </c>
      <c r="L176">
        <v>367.81420000000003</v>
      </c>
      <c r="M176">
        <v>0.99997259999999999</v>
      </c>
      <c r="N176">
        <v>-4.0511949999999996E-3</v>
      </c>
      <c r="O176">
        <v>6.2091319999999896E-3</v>
      </c>
      <c r="P176">
        <v>0.99899610000000005</v>
      </c>
      <c r="Q176">
        <v>2.4925429999999998E-2</v>
      </c>
      <c r="R176">
        <v>3.722599E-2</v>
      </c>
      <c r="S176">
        <v>3.0278930000000002</v>
      </c>
      <c r="T176">
        <v>-0.60115889999999905</v>
      </c>
      <c r="U176">
        <v>-0.25180049999999998</v>
      </c>
      <c r="V176">
        <v>-3.099244E-2</v>
      </c>
      <c r="W176">
        <v>2.9005099999999999E-2</v>
      </c>
      <c r="X176">
        <v>0.99909870000000001</v>
      </c>
      <c r="Y176">
        <v>8.7218560000000001E-2</v>
      </c>
      <c r="Z176">
        <v>-9.9328769999999997E-3</v>
      </c>
      <c r="AA176">
        <v>0.99613969999999996</v>
      </c>
      <c r="AB176">
        <v>40</v>
      </c>
      <c r="AC176">
        <v>0.37819999999999199</v>
      </c>
      <c r="AD176">
        <v>-0.150469299999999</v>
      </c>
      <c r="AE176">
        <v>-6.6000000000030895E-2</v>
      </c>
      <c r="AF176">
        <v>5.9246143223038603E-2</v>
      </c>
      <c r="AG176">
        <v>-0.150469299999999</v>
      </c>
      <c r="AH176">
        <v>0.32747840773921</v>
      </c>
      <c r="AI176">
        <v>114.329567459016</v>
      </c>
      <c r="AJ176">
        <v>79.7451884580598</v>
      </c>
      <c r="AK176">
        <v>0.36523037012918702</v>
      </c>
      <c r="AL176">
        <v>88.337897109533202</v>
      </c>
      <c r="AM176">
        <v>91.776768162298097</v>
      </c>
      <c r="AN176">
        <v>1.0000000197524199</v>
      </c>
    </row>
    <row r="177" spans="1:40" x14ac:dyDescent="0.25">
      <c r="A177" t="str">
        <f>"20190305135759257"</f>
        <v>20190305135759257</v>
      </c>
      <c r="B177" t="str">
        <f>"1551765479249312"</f>
        <v>1551765479249312</v>
      </c>
      <c r="C177" t="s">
        <v>40</v>
      </c>
      <c r="D177">
        <v>4.0633400000000002</v>
      </c>
      <c r="E177">
        <v>0.54005669999999995</v>
      </c>
      <c r="F177" t="s">
        <v>41</v>
      </c>
      <c r="G177">
        <v>-437.5455</v>
      </c>
      <c r="H177">
        <v>0.9557407</v>
      </c>
      <c r="I177">
        <v>367.75330000000002</v>
      </c>
      <c r="J177">
        <v>-437.88249999999999</v>
      </c>
      <c r="K177">
        <v>1.1018139999999901</v>
      </c>
      <c r="L177">
        <v>367.81650000000002</v>
      </c>
      <c r="M177">
        <v>0.99997029999999998</v>
      </c>
      <c r="N177">
        <v>-4.9633200000000002E-3</v>
      </c>
      <c r="O177">
        <v>5.8963899999999996E-3</v>
      </c>
      <c r="P177">
        <v>0.99901249999999997</v>
      </c>
      <c r="Q177">
        <v>2.401025E-2</v>
      </c>
      <c r="R177">
        <v>3.7388619999999997E-2</v>
      </c>
      <c r="S177">
        <v>3.0274350000000001</v>
      </c>
      <c r="T177">
        <v>-0.60416309999999995</v>
      </c>
      <c r="U177">
        <v>-0.249115</v>
      </c>
      <c r="V177">
        <v>-3.1466460000000002E-2</v>
      </c>
      <c r="W177">
        <v>2.9003190000000002E-2</v>
      </c>
      <c r="X177">
        <v>0.99908390000000002</v>
      </c>
      <c r="Y177">
        <v>8.6045469999999999E-2</v>
      </c>
      <c r="Z177">
        <v>-9.8384289999999992E-3</v>
      </c>
      <c r="AA177">
        <v>0.99624259999999998</v>
      </c>
      <c r="AB177">
        <v>40</v>
      </c>
      <c r="AC177">
        <v>0.33699999999998898</v>
      </c>
      <c r="AD177">
        <v>-0.14607329999999899</v>
      </c>
      <c r="AE177">
        <v>-6.3199999999994802E-2</v>
      </c>
      <c r="AF177">
        <v>5.5172373223507203E-2</v>
      </c>
      <c r="AG177">
        <v>-0.14607329999999899</v>
      </c>
      <c r="AH177">
        <v>0.28491092539618401</v>
      </c>
      <c r="AI177">
        <v>116.71827736122199</v>
      </c>
      <c r="AJ177">
        <v>79.040447320421904</v>
      </c>
      <c r="AK177">
        <v>0.32489326732038298</v>
      </c>
      <c r="AL177">
        <v>88.338006526416294</v>
      </c>
      <c r="AM177">
        <v>91.803952179165293</v>
      </c>
      <c r="AN177">
        <v>0.99999998118715805</v>
      </c>
    </row>
    <row r="178" spans="1:40" x14ac:dyDescent="0.25">
      <c r="A178" t="str">
        <f>"20190305135759280"</f>
        <v>20190305135759280</v>
      </c>
      <c r="B178" t="str">
        <f>"1551765479268835"</f>
        <v>1551765479268835</v>
      </c>
      <c r="C178" t="s">
        <v>40</v>
      </c>
      <c r="D178">
        <v>4.2024860000000004</v>
      </c>
      <c r="E178">
        <v>0.54040339999999998</v>
      </c>
      <c r="F178" t="s">
        <v>41</v>
      </c>
      <c r="G178">
        <v>-437.18009999999998</v>
      </c>
      <c r="H178">
        <v>0.96103799999999995</v>
      </c>
      <c r="I178">
        <v>367.75819999999999</v>
      </c>
      <c r="J178">
        <v>-437.46620000000001</v>
      </c>
      <c r="K178">
        <v>1.0998209999999999</v>
      </c>
      <c r="L178">
        <v>367.81869999999998</v>
      </c>
      <c r="M178">
        <v>0.99996669999999999</v>
      </c>
      <c r="N178">
        <v>-5.9732910000000004E-3</v>
      </c>
      <c r="O178">
        <v>5.5477259999999898E-3</v>
      </c>
      <c r="P178">
        <v>0.99903120000000001</v>
      </c>
      <c r="Q178">
        <v>2.3086659999999998E-2</v>
      </c>
      <c r="R178">
        <v>3.7465730000000003E-2</v>
      </c>
      <c r="S178">
        <v>3.0269170000000001</v>
      </c>
      <c r="T178">
        <v>-0.60688330000000001</v>
      </c>
      <c r="U178">
        <v>-0.24987789999999999</v>
      </c>
      <c r="V178">
        <v>-3.1891330000000002E-2</v>
      </c>
      <c r="W178">
        <v>2.9089469999999999E-2</v>
      </c>
      <c r="X178">
        <v>0.99906799999999996</v>
      </c>
      <c r="Y178">
        <v>8.5945579999999994E-2</v>
      </c>
      <c r="Z178">
        <v>-9.8434290000000008E-3</v>
      </c>
      <c r="AA178">
        <v>0.9962512</v>
      </c>
      <c r="AB178">
        <v>40</v>
      </c>
      <c r="AC178">
        <v>0.28610000000003299</v>
      </c>
      <c r="AD178">
        <v>-0.13878299999999999</v>
      </c>
      <c r="AE178">
        <v>-6.0499999999990402E-2</v>
      </c>
      <c r="AF178">
        <v>5.0672927519299103E-2</v>
      </c>
      <c r="AG178">
        <v>-0.13878299999999999</v>
      </c>
      <c r="AH178">
        <v>0.23322847399195001</v>
      </c>
      <c r="AI178">
        <v>120.177376726437</v>
      </c>
      <c r="AJ178">
        <v>77.7420091832293</v>
      </c>
      <c r="AK178">
        <v>0.27608692064817097</v>
      </c>
      <c r="AL178">
        <v>88.333061093526993</v>
      </c>
      <c r="AM178">
        <v>91.828322362788995</v>
      </c>
      <c r="AN178">
        <v>1.0000000614090201</v>
      </c>
    </row>
    <row r="179" spans="1:40" x14ac:dyDescent="0.25">
      <c r="A179" t="str">
        <f>"20190305135759302"</f>
        <v>20190305135759302</v>
      </c>
      <c r="B179" t="str">
        <f>"1551765479299087"</f>
        <v>1551765479299087</v>
      </c>
      <c r="C179" t="s">
        <v>40</v>
      </c>
      <c r="D179">
        <v>4.2805090000000003</v>
      </c>
      <c r="E179">
        <v>0.57371049999999901</v>
      </c>
      <c r="F179" t="s">
        <v>41</v>
      </c>
      <c r="G179">
        <v>-436.47859999999997</v>
      </c>
      <c r="H179">
        <v>0.90112340000000002</v>
      </c>
      <c r="I179">
        <v>367.73599999999999</v>
      </c>
      <c r="J179">
        <v>-437.08170000000001</v>
      </c>
      <c r="K179">
        <v>1.0976980000000001</v>
      </c>
      <c r="L179">
        <v>367.82060000000001</v>
      </c>
      <c r="M179">
        <v>0.99996309999999999</v>
      </c>
      <c r="N179">
        <v>-6.8314209999999998E-3</v>
      </c>
      <c r="O179">
        <v>5.2101760000000004E-3</v>
      </c>
      <c r="P179">
        <v>0.99903120000000001</v>
      </c>
      <c r="Q179">
        <v>2.301539E-2</v>
      </c>
      <c r="R179">
        <v>3.750937E-2</v>
      </c>
      <c r="S179">
        <v>3.026459</v>
      </c>
      <c r="T179">
        <v>-0.60888549999999997</v>
      </c>
      <c r="U179">
        <v>-0.25241089999999999</v>
      </c>
      <c r="V179">
        <v>-3.2270739999999999E-2</v>
      </c>
      <c r="W179">
        <v>2.9876380000000001E-2</v>
      </c>
      <c r="X179">
        <v>0.99903260000000005</v>
      </c>
      <c r="Y179">
        <v>8.6427199999999996E-2</v>
      </c>
      <c r="Z179">
        <v>-9.8929910000000003E-3</v>
      </c>
      <c r="AA179">
        <v>0.99620900000000001</v>
      </c>
      <c r="AB179">
        <v>41</v>
      </c>
      <c r="AC179">
        <v>0.60310000000004005</v>
      </c>
      <c r="AD179">
        <v>-0.19657459999999999</v>
      </c>
      <c r="AE179">
        <v>-8.4600000000023101E-2</v>
      </c>
      <c r="AF179">
        <v>7.9462250065054599E-2</v>
      </c>
      <c r="AG179">
        <v>-0.19657459999999999</v>
      </c>
      <c r="AH179">
        <v>0.54578711048014295</v>
      </c>
      <c r="AI179">
        <v>109.616553713082</v>
      </c>
      <c r="AJ179">
        <v>81.7163935857469</v>
      </c>
      <c r="AK179">
        <v>0.58552488633432498</v>
      </c>
      <c r="AL179">
        <v>88.287954874971106</v>
      </c>
      <c r="AM179">
        <v>91.850124330678995</v>
      </c>
      <c r="AN179">
        <v>1.0000000673024001</v>
      </c>
    </row>
    <row r="180" spans="1:40" x14ac:dyDescent="0.25">
      <c r="A180" t="str">
        <f>"20190305135759316"</f>
        <v>20190305135759316</v>
      </c>
      <c r="B180" t="str">
        <f>"1551765479308848"</f>
        <v>1551765479308848</v>
      </c>
      <c r="C180" t="s">
        <v>40</v>
      </c>
      <c r="D180">
        <v>4.6189580000000001</v>
      </c>
      <c r="E180">
        <v>0.57349850000000002</v>
      </c>
      <c r="F180" t="s">
        <v>41</v>
      </c>
      <c r="G180">
        <v>-436.11840000000001</v>
      </c>
      <c r="H180">
        <v>0.87483929999999999</v>
      </c>
      <c r="I180">
        <v>367.65410000000003</v>
      </c>
      <c r="J180">
        <v>-436.80419999999998</v>
      </c>
      <c r="K180">
        <v>1.096009</v>
      </c>
      <c r="L180">
        <v>367.82190000000003</v>
      </c>
      <c r="M180">
        <v>0.99996090000000004</v>
      </c>
      <c r="N180">
        <v>-7.3326110000000002E-3</v>
      </c>
      <c r="O180">
        <v>4.9612299999999996E-3</v>
      </c>
      <c r="P180">
        <v>0.99904360000000003</v>
      </c>
      <c r="Q180">
        <v>2.2748609999999999E-2</v>
      </c>
      <c r="R180">
        <v>3.7344740000000001E-2</v>
      </c>
      <c r="S180">
        <v>3.0387879999999998</v>
      </c>
      <c r="T180">
        <v>-0.70309250000000001</v>
      </c>
      <c r="U180">
        <v>-0.52441409999999999</v>
      </c>
      <c r="V180">
        <v>-3.2354359999999999E-2</v>
      </c>
      <c r="W180">
        <v>3.011088E-2</v>
      </c>
      <c r="X180">
        <v>0.99902279999999999</v>
      </c>
      <c r="Y180">
        <v>0.170310299999999</v>
      </c>
      <c r="Z180">
        <v>-2.103501E-2</v>
      </c>
      <c r="AA180">
        <v>0.98516599999999999</v>
      </c>
      <c r="AB180">
        <v>41</v>
      </c>
      <c r="AC180">
        <v>0.68579999999997199</v>
      </c>
      <c r="AD180">
        <v>-0.2211697</v>
      </c>
      <c r="AE180">
        <v>-0.16779999999999901</v>
      </c>
      <c r="AF180">
        <v>0.15590169671496701</v>
      </c>
      <c r="AG180">
        <v>-0.2211697</v>
      </c>
      <c r="AH180">
        <v>0.62375002374960298</v>
      </c>
      <c r="AI180">
        <v>108.983136208167</v>
      </c>
      <c r="AJ180">
        <v>75.966852410340294</v>
      </c>
      <c r="AK180">
        <v>0.67991577961121397</v>
      </c>
      <c r="AL180">
        <v>88.274512872986406</v>
      </c>
      <c r="AM180">
        <v>91.854933214701205</v>
      </c>
      <c r="AN180">
        <v>1.00000001231261</v>
      </c>
    </row>
    <row r="181" spans="1:40" x14ac:dyDescent="0.25">
      <c r="A181" t="str">
        <f>"20190305135759336"</f>
        <v>20190305135759336</v>
      </c>
      <c r="B181" t="str">
        <f>"1551765479328368"</f>
        <v>1551765479328368</v>
      </c>
      <c r="C181" t="s">
        <v>40</v>
      </c>
      <c r="D181">
        <v>4.2612680000000003</v>
      </c>
      <c r="E181">
        <v>0.57221440000000001</v>
      </c>
      <c r="F181" t="s">
        <v>41</v>
      </c>
      <c r="G181">
        <v>-436.09550000000002</v>
      </c>
      <c r="H181">
        <v>0.9330446</v>
      </c>
      <c r="I181">
        <v>367.69959999999998</v>
      </c>
      <c r="J181">
        <v>-436.45819999999998</v>
      </c>
      <c r="K181">
        <v>1.093691</v>
      </c>
      <c r="L181">
        <v>367.82350000000002</v>
      </c>
      <c r="M181">
        <v>0.9999593</v>
      </c>
      <c r="N181">
        <v>-7.7335719999999898E-3</v>
      </c>
      <c r="O181">
        <v>4.6482269999999996E-3</v>
      </c>
      <c r="P181">
        <v>0.99903790000000003</v>
      </c>
      <c r="Q181">
        <v>2.3051019999999998E-2</v>
      </c>
      <c r="R181">
        <v>3.730845E-2</v>
      </c>
      <c r="S181">
        <v>3.0383610000000001</v>
      </c>
      <c r="T181">
        <v>-0.69874720000000001</v>
      </c>
      <c r="U181">
        <v>-0.52313229999999999</v>
      </c>
      <c r="V181">
        <v>-3.2628989999999997E-2</v>
      </c>
      <c r="W181">
        <v>3.0814850000000001E-2</v>
      </c>
      <c r="X181">
        <v>0.9989924</v>
      </c>
      <c r="Y181">
        <v>0.16969200000000001</v>
      </c>
      <c r="Z181">
        <v>-2.080777E-2</v>
      </c>
      <c r="AA181">
        <v>0.98527750000000003</v>
      </c>
      <c r="AB181">
        <v>41</v>
      </c>
      <c r="AC181">
        <v>0.362699999999961</v>
      </c>
      <c r="AD181">
        <v>-0.160646399999999</v>
      </c>
      <c r="AE181">
        <v>-0.123900000000048</v>
      </c>
      <c r="AF181">
        <v>0.106819062040778</v>
      </c>
      <c r="AG181">
        <v>-0.160646399999999</v>
      </c>
      <c r="AH181">
        <v>0.308010116999341</v>
      </c>
      <c r="AI181">
        <v>116.232687241029</v>
      </c>
      <c r="AJ181">
        <v>70.873262576948605</v>
      </c>
      <c r="AK181">
        <v>0.36343886696689298</v>
      </c>
      <c r="AL181">
        <v>88.234159631773394</v>
      </c>
      <c r="AM181">
        <v>91.870723988222494</v>
      </c>
      <c r="AN181">
        <v>1.00000001061335</v>
      </c>
    </row>
    <row r="182" spans="1:40" x14ac:dyDescent="0.25">
      <c r="A182" t="str">
        <f>"20190305135759359"</f>
        <v>20190305135759359</v>
      </c>
      <c r="B182" t="str">
        <f>"1551765479348863"</f>
        <v>1551765479348863</v>
      </c>
      <c r="C182" t="s">
        <v>40</v>
      </c>
      <c r="D182">
        <v>4.2350240000000001</v>
      </c>
      <c r="E182">
        <v>0.57153759999999998</v>
      </c>
      <c r="F182" t="s">
        <v>41</v>
      </c>
      <c r="G182">
        <v>-435.72969999999998</v>
      </c>
      <c r="H182">
        <v>0.92817989999999995</v>
      </c>
      <c r="I182">
        <v>367.7002</v>
      </c>
      <c r="J182">
        <v>-436.03609999999998</v>
      </c>
      <c r="K182">
        <v>1.090686</v>
      </c>
      <c r="L182">
        <v>367.82510000000002</v>
      </c>
      <c r="M182">
        <v>0.99995820000000002</v>
      </c>
      <c r="N182">
        <v>-8.0792139999999995E-3</v>
      </c>
      <c r="O182">
        <v>4.3116969999999998E-3</v>
      </c>
      <c r="P182">
        <v>0.99904389999999998</v>
      </c>
      <c r="Q182">
        <v>2.3420170000000001E-2</v>
      </c>
      <c r="R182">
        <v>3.6919529999999999E-2</v>
      </c>
      <c r="S182">
        <v>3.0379939999999999</v>
      </c>
      <c r="T182">
        <v>-0.69030729999999996</v>
      </c>
      <c r="U182">
        <v>-0.51269529999999996</v>
      </c>
      <c r="V182">
        <v>-3.2573959999999999E-2</v>
      </c>
      <c r="W182">
        <v>3.1530700000000002E-2</v>
      </c>
      <c r="X182">
        <v>0.99897179999999997</v>
      </c>
      <c r="Y182">
        <v>0.16628189999999901</v>
      </c>
      <c r="Z182">
        <v>-2.0139480000000001E-2</v>
      </c>
      <c r="AA182">
        <v>0.98587259999999999</v>
      </c>
      <c r="AB182">
        <v>41</v>
      </c>
      <c r="AC182">
        <v>0.30639999999999601</v>
      </c>
      <c r="AD182">
        <v>-0.16250609999999999</v>
      </c>
      <c r="AE182">
        <v>-0.124900000000025</v>
      </c>
      <c r="AF182">
        <v>0.101690835064406</v>
      </c>
      <c r="AG182">
        <v>-0.16250609999999999</v>
      </c>
      <c r="AH182">
        <v>0.246419111603215</v>
      </c>
      <c r="AI182">
        <v>121.366584938418</v>
      </c>
      <c r="AJ182">
        <v>67.575318448312302</v>
      </c>
      <c r="AK182">
        <v>0.312204479526838</v>
      </c>
      <c r="AL182">
        <v>88.193124400002503</v>
      </c>
      <c r="AM182">
        <v>91.867609663359801</v>
      </c>
      <c r="AN182">
        <v>0.99999995255390395</v>
      </c>
    </row>
    <row r="183" spans="1:40" x14ac:dyDescent="0.25">
      <c r="A183" t="str">
        <f>"20190305135759381"</f>
        <v>20190305135759381</v>
      </c>
      <c r="B183" t="str">
        <f>"1551765479368383"</f>
        <v>1551765479368383</v>
      </c>
      <c r="C183" t="s">
        <v>40</v>
      </c>
      <c r="D183">
        <v>4.2602339999999996</v>
      </c>
      <c r="E183">
        <v>0.57099650000000002</v>
      </c>
      <c r="F183" t="s">
        <v>41</v>
      </c>
      <c r="G183">
        <v>-435.01850000000002</v>
      </c>
      <c r="H183">
        <v>0.86051299999999997</v>
      </c>
      <c r="I183">
        <v>367.65460000000002</v>
      </c>
      <c r="J183">
        <v>-435.642</v>
      </c>
      <c r="K183">
        <v>1.08778</v>
      </c>
      <c r="L183">
        <v>367.82659999999998</v>
      </c>
      <c r="M183">
        <v>0.9999576</v>
      </c>
      <c r="N183">
        <v>-8.3109199999999994E-3</v>
      </c>
      <c r="O183">
        <v>4.0145679999999996E-3</v>
      </c>
      <c r="P183">
        <v>0.99905200000000005</v>
      </c>
      <c r="Q183">
        <v>2.3252129999999999E-2</v>
      </c>
      <c r="R183">
        <v>3.6803290000000002E-2</v>
      </c>
      <c r="S183">
        <v>3.03775</v>
      </c>
      <c r="T183">
        <v>-0.68716140000000003</v>
      </c>
      <c r="U183">
        <v>-0.5078125</v>
      </c>
      <c r="V183">
        <v>-3.2753480000000001E-2</v>
      </c>
      <c r="W183">
        <v>3.1595520000000002E-2</v>
      </c>
      <c r="X183">
        <v>0.99896399999999996</v>
      </c>
      <c r="Y183">
        <v>0.1645443</v>
      </c>
      <c r="Z183">
        <v>-1.9811619999999999E-2</v>
      </c>
      <c r="AA183">
        <v>0.98617069999999996</v>
      </c>
      <c r="AB183">
        <v>41</v>
      </c>
      <c r="AC183">
        <v>0.62349999999997796</v>
      </c>
      <c r="AD183">
        <v>-0.227267</v>
      </c>
      <c r="AE183">
        <v>-0.17199999999996801</v>
      </c>
      <c r="AF183">
        <v>0.155324494219962</v>
      </c>
      <c r="AG183">
        <v>-0.227267</v>
      </c>
      <c r="AH183">
        <v>0.554359868996251</v>
      </c>
      <c r="AI183">
        <v>111.542142356277</v>
      </c>
      <c r="AJ183">
        <v>74.347812360985699</v>
      </c>
      <c r="AK183">
        <v>0.61894333516666</v>
      </c>
      <c r="AL183">
        <v>88.189408849348794</v>
      </c>
      <c r="AM183">
        <v>91.877909644415098</v>
      </c>
      <c r="AN183">
        <v>1.0000000703160801</v>
      </c>
    </row>
    <row r="184" spans="1:40" x14ac:dyDescent="0.25">
      <c r="A184" t="str">
        <f>"20190305135759404"</f>
        <v>20190305135759404</v>
      </c>
      <c r="B184" t="str">
        <f>"1551765479398640"</f>
        <v>1551765479398640</v>
      </c>
      <c r="C184" t="s">
        <v>40</v>
      </c>
      <c r="D184">
        <v>4.2677769999999997</v>
      </c>
      <c r="E184">
        <v>0.57120150000000003</v>
      </c>
      <c r="F184" t="s">
        <v>41</v>
      </c>
      <c r="G184">
        <v>-434.64819999999997</v>
      </c>
      <c r="H184">
        <v>0.86246919999999905</v>
      </c>
      <c r="I184">
        <v>367.6617</v>
      </c>
      <c r="J184">
        <v>-435.20530000000002</v>
      </c>
      <c r="K184">
        <v>1.0845689999999999</v>
      </c>
      <c r="L184">
        <v>367.82810000000001</v>
      </c>
      <c r="M184">
        <v>0.9999576</v>
      </c>
      <c r="N184">
        <v>-8.4585830000000004E-3</v>
      </c>
      <c r="O184">
        <v>3.6740560000000002E-3</v>
      </c>
      <c r="P184">
        <v>0.99904959999999998</v>
      </c>
      <c r="Q184">
        <v>2.3496389999999999E-2</v>
      </c>
      <c r="R184">
        <v>3.6720330000000002E-2</v>
      </c>
      <c r="S184">
        <v>3.0374150000000002</v>
      </c>
      <c r="T184">
        <v>-0.68862259999999997</v>
      </c>
      <c r="U184">
        <v>-0.50360109999999902</v>
      </c>
      <c r="V184">
        <v>-3.3010770000000002E-2</v>
      </c>
      <c r="W184">
        <v>3.198728E-2</v>
      </c>
      <c r="X184">
        <v>0.99894300000000003</v>
      </c>
      <c r="Y184">
        <v>0.16292279999999901</v>
      </c>
      <c r="Z184">
        <v>-1.9607019999999999E-2</v>
      </c>
      <c r="AA184">
        <v>0.98644399999999999</v>
      </c>
      <c r="AB184">
        <v>41</v>
      </c>
      <c r="AC184">
        <v>0.557100000000048</v>
      </c>
      <c r="AD184">
        <v>-0.22209980000000001</v>
      </c>
      <c r="AE184">
        <v>-0.16640000000001001</v>
      </c>
      <c r="AF184">
        <v>0.146996036448555</v>
      </c>
      <c r="AG184">
        <v>-0.22209980000000001</v>
      </c>
      <c r="AH184">
        <v>0.48562258209933701</v>
      </c>
      <c r="AI184">
        <v>113.640741336343</v>
      </c>
      <c r="AJ184">
        <v>73.159143543566998</v>
      </c>
      <c r="AK184">
        <v>0.55386410619975401</v>
      </c>
      <c r="AL184">
        <v>88.166951188634101</v>
      </c>
      <c r="AM184">
        <v>91.892690350901304</v>
      </c>
      <c r="AN184">
        <v>1.0000000071333901</v>
      </c>
    </row>
    <row r="185" spans="1:40" x14ac:dyDescent="0.25">
      <c r="A185" t="str">
        <f>"20190305135759424"</f>
        <v>20190305135759424</v>
      </c>
      <c r="B185" t="str">
        <f>"1551765479419136"</f>
        <v>1551765479419136</v>
      </c>
      <c r="C185" t="s">
        <v>40</v>
      </c>
      <c r="D185">
        <v>4.2770429999999999</v>
      </c>
      <c r="E185">
        <v>0.57118829999999998</v>
      </c>
      <c r="F185" t="s">
        <v>41</v>
      </c>
      <c r="G185">
        <v>-434.27429999999998</v>
      </c>
      <c r="H185">
        <v>0.87182999999999899</v>
      </c>
      <c r="I185">
        <v>367.67290000000003</v>
      </c>
      <c r="J185">
        <v>-434.81830000000002</v>
      </c>
      <c r="K185">
        <v>1.081799</v>
      </c>
      <c r="L185">
        <v>367.82929999999999</v>
      </c>
      <c r="M185">
        <v>0.99995820000000002</v>
      </c>
      <c r="N185">
        <v>-8.5194929999999995E-3</v>
      </c>
      <c r="O185">
        <v>3.3587259999999998E-3</v>
      </c>
      <c r="P185">
        <v>0.99903059999999999</v>
      </c>
      <c r="Q185">
        <v>2.4317160000000001E-2</v>
      </c>
      <c r="R185">
        <v>3.6696680000000002E-2</v>
      </c>
      <c r="S185">
        <v>3.03775</v>
      </c>
      <c r="T185">
        <v>-0.69416639999999996</v>
      </c>
      <c r="U185">
        <v>-0.50546259999999998</v>
      </c>
      <c r="V185">
        <v>-3.3302760000000001E-2</v>
      </c>
      <c r="W185">
        <v>3.2867540000000001E-2</v>
      </c>
      <c r="X185">
        <v>0.99890469999999998</v>
      </c>
      <c r="Y185">
        <v>0.16311809999999999</v>
      </c>
      <c r="Z185">
        <v>-1.9712489999999999E-2</v>
      </c>
      <c r="AA185">
        <v>0.9864096</v>
      </c>
      <c r="AB185">
        <v>41</v>
      </c>
      <c r="AC185">
        <v>0.54400000000003901</v>
      </c>
      <c r="AD185">
        <v>-0.20996899999999999</v>
      </c>
      <c r="AE185">
        <v>-0.15639999999996201</v>
      </c>
      <c r="AF185">
        <v>0.139087706408453</v>
      </c>
      <c r="AG185">
        <v>-0.20996899999999999</v>
      </c>
      <c r="AH185">
        <v>0.47773476784017999</v>
      </c>
      <c r="AI185">
        <v>112.879203561894</v>
      </c>
      <c r="AJ185">
        <v>73.767608548981599</v>
      </c>
      <c r="AK185">
        <v>0.54005821856377201</v>
      </c>
      <c r="AL185">
        <v>88.1164894045463</v>
      </c>
      <c r="AM185">
        <v>91.909492573909304</v>
      </c>
      <c r="AN185">
        <v>0.999999974345679</v>
      </c>
    </row>
    <row r="186" spans="1:40" x14ac:dyDescent="0.25">
      <c r="A186" t="str">
        <f>"20190305135759448"</f>
        <v>20190305135759448</v>
      </c>
      <c r="B186" t="str">
        <f>"1551765479438659"</f>
        <v>1551765479438659</v>
      </c>
      <c r="C186" t="s">
        <v>40</v>
      </c>
      <c r="D186">
        <v>4.2790689999999998</v>
      </c>
      <c r="E186">
        <v>0.57197279999999995</v>
      </c>
      <c r="F186" t="s">
        <v>41</v>
      </c>
      <c r="G186">
        <v>-433.90320000000003</v>
      </c>
      <c r="H186">
        <v>0.87248549999999903</v>
      </c>
      <c r="I186">
        <v>367.67689999999999</v>
      </c>
      <c r="J186">
        <v>-434.3811</v>
      </c>
      <c r="K186">
        <v>1.0788610000000001</v>
      </c>
      <c r="L186">
        <v>367.83049999999997</v>
      </c>
      <c r="M186">
        <v>0.99995860000000003</v>
      </c>
      <c r="N186">
        <v>-8.6110149999999996E-3</v>
      </c>
      <c r="O186">
        <v>2.9989579999999999E-3</v>
      </c>
      <c r="P186">
        <v>0.99900599999999995</v>
      </c>
      <c r="Q186">
        <v>2.521228E-2</v>
      </c>
      <c r="R186">
        <v>3.6765020000000002E-2</v>
      </c>
      <c r="S186">
        <v>3.0383909999999998</v>
      </c>
      <c r="T186">
        <v>-0.69488850000000002</v>
      </c>
      <c r="U186">
        <v>-0.50570680000000001</v>
      </c>
      <c r="V186">
        <v>-3.3730330000000003E-2</v>
      </c>
      <c r="W186">
        <v>3.3853090000000002E-2</v>
      </c>
      <c r="X186">
        <v>0.99885740000000001</v>
      </c>
      <c r="Y186">
        <v>0.16281470000000001</v>
      </c>
      <c r="Z186">
        <v>-1.96221E-2</v>
      </c>
      <c r="AA186">
        <v>0.98646149999999999</v>
      </c>
      <c r="AB186">
        <v>41</v>
      </c>
      <c r="AC186">
        <v>0.47789999999997601</v>
      </c>
      <c r="AD186">
        <v>-0.20637549999999999</v>
      </c>
      <c r="AE186">
        <v>-0.153599999999983</v>
      </c>
      <c r="AF186">
        <v>0.13261711612250601</v>
      </c>
      <c r="AG186">
        <v>-0.20637549999999999</v>
      </c>
      <c r="AH186">
        <v>0.40840673779694198</v>
      </c>
      <c r="AI186">
        <v>115.66963503328</v>
      </c>
      <c r="AJ186">
        <v>72.010441114765698</v>
      </c>
      <c r="AK186">
        <v>0.47641810415520602</v>
      </c>
      <c r="AL186">
        <v>88.059990023177704</v>
      </c>
      <c r="AM186">
        <v>91.934081325253302</v>
      </c>
      <c r="AN186">
        <v>0.99999993619960603</v>
      </c>
    </row>
    <row r="187" spans="1:40" x14ac:dyDescent="0.25">
      <c r="A187" t="str">
        <f>"20190305135759470"</f>
        <v>20190305135759470</v>
      </c>
      <c r="B187" t="str">
        <f>"1551765479459155"</f>
        <v>1551765479459155</v>
      </c>
      <c r="C187" t="s">
        <v>40</v>
      </c>
      <c r="D187">
        <v>4.3214420000000002</v>
      </c>
      <c r="E187">
        <v>0.57234249999999998</v>
      </c>
      <c r="F187" t="s">
        <v>41</v>
      </c>
      <c r="G187">
        <v>-433.52760000000001</v>
      </c>
      <c r="H187">
        <v>0.88388250000000002</v>
      </c>
      <c r="I187">
        <v>367.68639999999999</v>
      </c>
      <c r="J187">
        <v>-433.9776</v>
      </c>
      <c r="K187">
        <v>1.076373</v>
      </c>
      <c r="L187">
        <v>367.83150000000001</v>
      </c>
      <c r="M187">
        <v>0.9999576</v>
      </c>
      <c r="N187">
        <v>-8.8233010000000004E-3</v>
      </c>
      <c r="O187">
        <v>2.679407E-3</v>
      </c>
      <c r="P187">
        <v>0.9989789</v>
      </c>
      <c r="Q187">
        <v>2.5860589999999999E-2</v>
      </c>
      <c r="R187">
        <v>3.7046830000000003E-2</v>
      </c>
      <c r="S187">
        <v>3.0393680000000001</v>
      </c>
      <c r="T187">
        <v>-0.69436260000000005</v>
      </c>
      <c r="U187">
        <v>-0.51190190000000002</v>
      </c>
      <c r="V187">
        <v>-3.4332300000000003E-2</v>
      </c>
      <c r="W187">
        <v>3.471233E-2</v>
      </c>
      <c r="X187">
        <v>0.99880749999999996</v>
      </c>
      <c r="Y187">
        <v>0.16437750000000001</v>
      </c>
      <c r="Z187">
        <v>-1.97296E-2</v>
      </c>
      <c r="AA187">
        <v>0.98620019999999997</v>
      </c>
      <c r="AB187">
        <v>41</v>
      </c>
      <c r="AC187">
        <v>0.44999999999998802</v>
      </c>
      <c r="AD187">
        <v>-0.19249049999999901</v>
      </c>
      <c r="AE187">
        <v>-0.145100000000013</v>
      </c>
      <c r="AF187">
        <v>0.12550383229065001</v>
      </c>
      <c r="AG187">
        <v>-0.19249049999999901</v>
      </c>
      <c r="AH187">
        <v>0.38568487989730799</v>
      </c>
      <c r="AI187">
        <v>115.388672754255</v>
      </c>
      <c r="AJ187">
        <v>71.9748470501968</v>
      </c>
      <c r="AK187">
        <v>0.44895058869689702</v>
      </c>
      <c r="AL187">
        <v>88.010730438124796</v>
      </c>
      <c r="AM187">
        <v>91.968669354869107</v>
      </c>
      <c r="AN187">
        <v>1.0000000373667799</v>
      </c>
    </row>
    <row r="188" spans="1:40" x14ac:dyDescent="0.25">
      <c r="A188" t="str">
        <f>"20190305135759491"</f>
        <v>20190305135759491</v>
      </c>
      <c r="B188" t="str">
        <f>"1551765479478672"</f>
        <v>1551765479478672</v>
      </c>
      <c r="C188" t="s">
        <v>40</v>
      </c>
      <c r="D188">
        <v>4.2828879999999998</v>
      </c>
      <c r="E188">
        <v>0.57265109999999997</v>
      </c>
      <c r="F188" t="s">
        <v>41</v>
      </c>
      <c r="G188">
        <v>-433.15480000000002</v>
      </c>
      <c r="H188">
        <v>0.88819040000000005</v>
      </c>
      <c r="I188">
        <v>367.69209999999998</v>
      </c>
      <c r="J188">
        <v>-433.58870000000002</v>
      </c>
      <c r="K188">
        <v>1.0742179999999999</v>
      </c>
      <c r="L188">
        <v>367.83229999999998</v>
      </c>
      <c r="M188">
        <v>0.99995480000000003</v>
      </c>
      <c r="N188">
        <v>-9.2054100000000007E-3</v>
      </c>
      <c r="O188">
        <v>2.392464E-3</v>
      </c>
      <c r="P188">
        <v>0.99900290000000003</v>
      </c>
      <c r="Q188">
        <v>2.4616949999999999E-2</v>
      </c>
      <c r="R188">
        <v>3.7245649999999998E-2</v>
      </c>
      <c r="S188">
        <v>3.0401310000000001</v>
      </c>
      <c r="T188">
        <v>-0.69528719999999999</v>
      </c>
      <c r="U188">
        <v>-0.51422120000000004</v>
      </c>
      <c r="V188">
        <v>-3.4820080000000003E-2</v>
      </c>
      <c r="W188">
        <v>3.3849749999999998E-2</v>
      </c>
      <c r="X188">
        <v>0.99882020000000005</v>
      </c>
      <c r="Y188">
        <v>0.16476660000000001</v>
      </c>
      <c r="Z188">
        <v>-1.9763340000000001E-2</v>
      </c>
      <c r="AA188">
        <v>0.98613459999999997</v>
      </c>
      <c r="AB188">
        <v>41</v>
      </c>
      <c r="AC188">
        <v>0.43389999999999401</v>
      </c>
      <c r="AD188">
        <v>-0.18602759999999999</v>
      </c>
      <c r="AE188">
        <v>-0.140199999999993</v>
      </c>
      <c r="AF188">
        <v>0.12108484352608399</v>
      </c>
      <c r="AG188">
        <v>-0.18602759999999999</v>
      </c>
      <c r="AH188">
        <v>0.37169916121138402</v>
      </c>
      <c r="AI188">
        <v>115.44819069650001</v>
      </c>
      <c r="AJ188">
        <v>71.956445033923899</v>
      </c>
      <c r="AK188">
        <v>0.43292964063314299</v>
      </c>
      <c r="AL188">
        <v>88.060181659062394</v>
      </c>
      <c r="AM188">
        <v>91.996591599113103</v>
      </c>
      <c r="AN188">
        <v>1.00000001773715</v>
      </c>
    </row>
    <row r="189" spans="1:40" x14ac:dyDescent="0.25">
      <c r="A189" t="str">
        <f>"20190305135759505"</f>
        <v>20190305135759505</v>
      </c>
      <c r="B189" t="str">
        <f>"1551765479499168"</f>
        <v>1551765479499168</v>
      </c>
      <c r="C189" t="s">
        <v>40</v>
      </c>
      <c r="D189">
        <v>4.2899010000000004</v>
      </c>
      <c r="E189">
        <v>0.57307399999999997</v>
      </c>
      <c r="F189" t="s">
        <v>41</v>
      </c>
      <c r="G189">
        <v>-432.78410000000002</v>
      </c>
      <c r="H189">
        <v>0.88844040000000002</v>
      </c>
      <c r="I189">
        <v>367.69540000000001</v>
      </c>
      <c r="J189">
        <v>-433.3338</v>
      </c>
      <c r="K189">
        <v>1.072932</v>
      </c>
      <c r="L189">
        <v>367.83269999999999</v>
      </c>
      <c r="M189">
        <v>0.99995199999999995</v>
      </c>
      <c r="N189">
        <v>-9.5441970000000008E-3</v>
      </c>
      <c r="O189">
        <v>2.2210820000000001E-3</v>
      </c>
      <c r="P189">
        <v>0.99902880000000005</v>
      </c>
      <c r="Q189">
        <v>2.3319389999999999E-2</v>
      </c>
      <c r="R189">
        <v>3.7383619999999999E-2</v>
      </c>
      <c r="S189">
        <v>3.0395509999999999</v>
      </c>
      <c r="T189">
        <v>-0.70188059999999997</v>
      </c>
      <c r="U189">
        <v>-0.51617429999999997</v>
      </c>
      <c r="V189">
        <v>-3.513078E-2</v>
      </c>
      <c r="W189">
        <v>3.2889939999999999E-2</v>
      </c>
      <c r="X189">
        <v>0.99884130000000004</v>
      </c>
      <c r="Y189">
        <v>0.1651504</v>
      </c>
      <c r="Z189">
        <v>-1.9977689999999999E-2</v>
      </c>
      <c r="AA189">
        <v>0.986066</v>
      </c>
      <c r="AB189">
        <v>41</v>
      </c>
      <c r="AC189">
        <v>0.54969999999997299</v>
      </c>
      <c r="AD189">
        <v>-0.18449160000000001</v>
      </c>
      <c r="AE189">
        <v>-0.13729999999998199</v>
      </c>
      <c r="AF189">
        <v>0.12524157291516799</v>
      </c>
      <c r="AG189">
        <v>-0.18449160000000001</v>
      </c>
      <c r="AH189">
        <v>0.49672687951170202</v>
      </c>
      <c r="AI189">
        <v>109.80615598634</v>
      </c>
      <c r="AJ189">
        <v>75.848755134395802</v>
      </c>
      <c r="AK189">
        <v>0.54448158360614796</v>
      </c>
      <c r="AL189">
        <v>88.115205203480201</v>
      </c>
      <c r="AM189">
        <v>92.014350080009805</v>
      </c>
      <c r="AN189">
        <v>0.99999993122114805</v>
      </c>
    </row>
    <row r="190" spans="1:40" x14ac:dyDescent="0.25">
      <c r="A190" t="str">
        <f>"20190305135759536"</f>
        <v>20190305135759536</v>
      </c>
      <c r="B190" t="str">
        <f>"1551765479528448"</f>
        <v>1551765479528448</v>
      </c>
      <c r="C190" t="s">
        <v>40</v>
      </c>
      <c r="D190">
        <v>4.2348999999999997</v>
      </c>
      <c r="E190">
        <v>0.57353900000000002</v>
      </c>
      <c r="F190" t="s">
        <v>41</v>
      </c>
      <c r="G190">
        <v>-432.42489999999998</v>
      </c>
      <c r="H190">
        <v>0.860921099999999</v>
      </c>
      <c r="I190">
        <v>367.6771</v>
      </c>
      <c r="J190">
        <v>-432.74979999999999</v>
      </c>
      <c r="K190">
        <v>1.0703210000000001</v>
      </c>
      <c r="L190">
        <v>367.83370000000002</v>
      </c>
      <c r="M190">
        <v>0.99994360000000004</v>
      </c>
      <c r="N190">
        <v>-1.046155E-2</v>
      </c>
      <c r="O190">
        <v>1.878137E-3</v>
      </c>
      <c r="P190">
        <v>0.99908470000000005</v>
      </c>
      <c r="Q190">
        <v>1.9311060000000001E-2</v>
      </c>
      <c r="R190">
        <v>3.8169410000000001E-2</v>
      </c>
      <c r="S190">
        <v>3.03891</v>
      </c>
      <c r="T190">
        <v>-0.70890690000000001</v>
      </c>
      <c r="U190">
        <v>-0.51931759999999905</v>
      </c>
      <c r="V190">
        <v>-3.6264970000000001E-2</v>
      </c>
      <c r="W190">
        <v>2.9797259999999999E-2</v>
      </c>
      <c r="X190">
        <v>0.99889790000000001</v>
      </c>
      <c r="Y190">
        <v>0.16572519999999999</v>
      </c>
      <c r="Z190">
        <v>-2.0236790000000001E-2</v>
      </c>
      <c r="AA190">
        <v>0.98596430000000002</v>
      </c>
      <c r="AB190">
        <v>41</v>
      </c>
      <c r="AC190">
        <v>0.32490000000001301</v>
      </c>
      <c r="AD190">
        <v>-0.2093999</v>
      </c>
      <c r="AE190">
        <v>-0.156600000000025</v>
      </c>
      <c r="AF190">
        <v>0.117577251389634</v>
      </c>
      <c r="AG190">
        <v>-0.2093999</v>
      </c>
      <c r="AH190">
        <v>0.24277213348929699</v>
      </c>
      <c r="AI190">
        <v>127.821705561233</v>
      </c>
      <c r="AJ190">
        <v>64.158575604205694</v>
      </c>
      <c r="AK190">
        <v>0.341483582274897</v>
      </c>
      <c r="AL190">
        <v>88.292490054592093</v>
      </c>
      <c r="AM190">
        <v>92.0792090470609</v>
      </c>
      <c r="AN190">
        <v>1.0000000196884999</v>
      </c>
    </row>
    <row r="191" spans="1:40" x14ac:dyDescent="0.25">
      <c r="A191" t="str">
        <f>"20190305135759559"</f>
        <v>20190305135759559</v>
      </c>
      <c r="B191" t="str">
        <f>"1551765479548943"</f>
        <v>1551765479548943</v>
      </c>
      <c r="C191" t="s">
        <v>40</v>
      </c>
      <c r="D191">
        <v>4.2305250000000001</v>
      </c>
      <c r="E191">
        <v>0.57398769999999999</v>
      </c>
      <c r="F191" t="s">
        <v>41</v>
      </c>
      <c r="G191">
        <v>-432.03949999999998</v>
      </c>
      <c r="H191">
        <v>0.90099739999999995</v>
      </c>
      <c r="I191">
        <v>367.71179999999998</v>
      </c>
      <c r="J191">
        <v>-432.33760000000001</v>
      </c>
      <c r="K191">
        <v>1.0687359999999999</v>
      </c>
      <c r="L191">
        <v>367.83429999999998</v>
      </c>
      <c r="M191">
        <v>0.99993699999999996</v>
      </c>
      <c r="N191">
        <v>-1.1101079999999999E-2</v>
      </c>
      <c r="O191">
        <v>1.6688269999999999E-3</v>
      </c>
      <c r="P191">
        <v>0.99908819999999998</v>
      </c>
      <c r="Q191">
        <v>1.840748E-2</v>
      </c>
      <c r="R191">
        <v>3.8522099999999997E-2</v>
      </c>
      <c r="S191">
        <v>3.036591</v>
      </c>
      <c r="T191">
        <v>-0.72399460000000004</v>
      </c>
      <c r="U191">
        <v>-0.51968380000000003</v>
      </c>
      <c r="V191">
        <v>-3.6829210000000001E-2</v>
      </c>
      <c r="W191">
        <v>2.953035E-2</v>
      </c>
      <c r="X191">
        <v>0.99888520000000003</v>
      </c>
      <c r="Y191">
        <v>0.16556019999999999</v>
      </c>
      <c r="Z191">
        <v>-2.063918E-2</v>
      </c>
      <c r="AA191">
        <v>0.98598370000000002</v>
      </c>
      <c r="AB191">
        <v>41</v>
      </c>
      <c r="AC191">
        <v>0.29810000000003301</v>
      </c>
      <c r="AD191">
        <v>-0.16773859999999999</v>
      </c>
      <c r="AE191">
        <v>-0.122500000000002</v>
      </c>
      <c r="AF191">
        <v>9.6781257942744794E-2</v>
      </c>
      <c r="AG191">
        <v>-0.16773859999999999</v>
      </c>
      <c r="AH191">
        <v>0.23440073655503099</v>
      </c>
      <c r="AI191">
        <v>123.482380092702</v>
      </c>
      <c r="AJ191">
        <v>67.564855620814996</v>
      </c>
      <c r="AK191">
        <v>0.30405025097256699</v>
      </c>
      <c r="AL191">
        <v>88.307789633880205</v>
      </c>
      <c r="AM191">
        <v>92.111556841417496</v>
      </c>
      <c r="AN191">
        <v>1.00000003752969</v>
      </c>
    </row>
    <row r="192" spans="1:40" x14ac:dyDescent="0.25">
      <c r="A192" t="str">
        <f>"20190305135759581"</f>
        <v>20190305135759581</v>
      </c>
      <c r="B192" t="str">
        <f>"1551765479569439"</f>
        <v>1551765479569439</v>
      </c>
      <c r="C192" t="s">
        <v>40</v>
      </c>
      <c r="D192">
        <v>4.2895240000000001</v>
      </c>
      <c r="E192">
        <v>0.57515260000000001</v>
      </c>
      <c r="F192" t="s">
        <v>41</v>
      </c>
      <c r="G192">
        <v>-431.33109999999999</v>
      </c>
      <c r="H192">
        <v>0.82848929999999998</v>
      </c>
      <c r="I192">
        <v>367.66090000000003</v>
      </c>
      <c r="J192">
        <v>-431.93970000000002</v>
      </c>
      <c r="K192">
        <v>1.0674189999999999</v>
      </c>
      <c r="L192">
        <v>367.8347</v>
      </c>
      <c r="M192">
        <v>0.99993089999999996</v>
      </c>
      <c r="N192">
        <v>-1.1660230000000001E-2</v>
      </c>
      <c r="O192">
        <v>1.497518E-3</v>
      </c>
      <c r="P192">
        <v>0.99908560000000002</v>
      </c>
      <c r="Q192">
        <v>1.8412499999999998E-2</v>
      </c>
      <c r="R192">
        <v>3.858731E-2</v>
      </c>
      <c r="S192">
        <v>3.0361940000000001</v>
      </c>
      <c r="T192">
        <v>-0.72484510000000002</v>
      </c>
      <c r="U192">
        <v>-0.52163700000000002</v>
      </c>
      <c r="V192">
        <v>-3.7067210000000003E-2</v>
      </c>
      <c r="W192">
        <v>3.0090860000000001E-2</v>
      </c>
      <c r="X192">
        <v>0.99885959999999996</v>
      </c>
      <c r="Y192">
        <v>0.16599829999999999</v>
      </c>
      <c r="Z192">
        <v>-2.0725380000000002E-2</v>
      </c>
      <c r="AA192">
        <v>0.98590820000000001</v>
      </c>
      <c r="AB192">
        <v>41</v>
      </c>
      <c r="AC192">
        <v>0.60860000000002301</v>
      </c>
      <c r="AD192">
        <v>-0.23892969999999999</v>
      </c>
      <c r="AE192">
        <v>-0.17379999999997101</v>
      </c>
      <c r="AF192">
        <v>0.152919520699829</v>
      </c>
      <c r="AG192">
        <v>-0.23892969999999999</v>
      </c>
      <c r="AH192">
        <v>0.53246090108281097</v>
      </c>
      <c r="AI192">
        <v>113.33019831583501</v>
      </c>
      <c r="AJ192">
        <v>73.976257484526997</v>
      </c>
      <c r="AK192">
        <v>0.60331284797779205</v>
      </c>
      <c r="AL192">
        <v>88.275660380144402</v>
      </c>
      <c r="AM192">
        <v>92.125244219847303</v>
      </c>
      <c r="AN192">
        <v>0.99999996921244105</v>
      </c>
    </row>
    <row r="193" spans="1:40" x14ac:dyDescent="0.25">
      <c r="A193" t="str">
        <f>"20190305135759603"</f>
        <v>20190305135759603</v>
      </c>
      <c r="B193" t="str">
        <f>"1551765479598719"</f>
        <v>1551765479598719</v>
      </c>
      <c r="C193" t="s">
        <v>40</v>
      </c>
      <c r="D193">
        <v>4.4054379999999904</v>
      </c>
      <c r="E193">
        <v>0.57517869999999904</v>
      </c>
      <c r="F193" t="s">
        <v>41</v>
      </c>
      <c r="G193">
        <v>-430.96109999999999</v>
      </c>
      <c r="H193">
        <v>0.83361399999999997</v>
      </c>
      <c r="I193">
        <v>367.66359999999997</v>
      </c>
      <c r="J193">
        <v>-431.51889999999997</v>
      </c>
      <c r="K193">
        <v>1.066208</v>
      </c>
      <c r="L193">
        <v>367.83519999999999</v>
      </c>
      <c r="M193">
        <v>0.99992490000000001</v>
      </c>
      <c r="N193">
        <v>-1.2185980000000001E-2</v>
      </c>
      <c r="O193">
        <v>1.3477459999999999E-3</v>
      </c>
      <c r="P193">
        <v>0.99903960000000003</v>
      </c>
      <c r="Q193">
        <v>1.9801849999999999E-2</v>
      </c>
      <c r="R193">
        <v>3.9088190000000002E-2</v>
      </c>
      <c r="S193">
        <v>3.0365600000000001</v>
      </c>
      <c r="T193">
        <v>-0.72554110000000005</v>
      </c>
      <c r="U193">
        <v>-0.53024289999999996</v>
      </c>
      <c r="V193">
        <v>-3.7719870000000003E-2</v>
      </c>
      <c r="W193">
        <v>3.2001099999999998E-2</v>
      </c>
      <c r="X193">
        <v>0.99877579999999999</v>
      </c>
      <c r="Y193">
        <v>0.16846050000000001</v>
      </c>
      <c r="Z193">
        <v>-2.1051150000000001E-2</v>
      </c>
      <c r="AA193">
        <v>0.98548360000000002</v>
      </c>
      <c r="AB193">
        <v>41</v>
      </c>
      <c r="AC193">
        <v>0.55779999999998597</v>
      </c>
      <c r="AD193">
        <v>-0.232594</v>
      </c>
      <c r="AE193">
        <v>-0.17160000000001199</v>
      </c>
      <c r="AF193">
        <v>0.14872735410448401</v>
      </c>
      <c r="AG193">
        <v>-0.232594</v>
      </c>
      <c r="AH193">
        <v>0.48114208753646498</v>
      </c>
      <c r="AI193">
        <v>114.790251873646</v>
      </c>
      <c r="AJ193">
        <v>72.822932357629</v>
      </c>
      <c r="AK193">
        <v>0.55472290658838697</v>
      </c>
      <c r="AL193">
        <v>88.166158903465004</v>
      </c>
      <c r="AM193">
        <v>92.162810459730295</v>
      </c>
      <c r="AN193">
        <v>0.99999997882983305</v>
      </c>
    </row>
    <row r="194" spans="1:40" x14ac:dyDescent="0.25">
      <c r="A194" t="str">
        <f>"20190305135759627"</f>
        <v>20190305135759627</v>
      </c>
      <c r="B194" t="str">
        <f>"1551765479619215"</f>
        <v>1551765479619215</v>
      </c>
      <c r="C194" t="s">
        <v>40</v>
      </c>
      <c r="D194">
        <v>4.5772500000000003</v>
      </c>
      <c r="E194">
        <v>0.57500819999999997</v>
      </c>
      <c r="F194" t="s">
        <v>41</v>
      </c>
      <c r="G194">
        <v>-430.58929999999998</v>
      </c>
      <c r="H194">
        <v>0.84508059999999996</v>
      </c>
      <c r="I194">
        <v>367.673</v>
      </c>
      <c r="J194">
        <v>-431.09519999999998</v>
      </c>
      <c r="K194">
        <v>1.0651619999999999</v>
      </c>
      <c r="L194">
        <v>367.8356</v>
      </c>
      <c r="M194">
        <v>0.99991940000000001</v>
      </c>
      <c r="N194">
        <v>-1.2652760000000001E-2</v>
      </c>
      <c r="O194">
        <v>1.2324E-3</v>
      </c>
      <c r="P194">
        <v>0.99900290000000003</v>
      </c>
      <c r="Q194">
        <v>2.1731139999999999E-2</v>
      </c>
      <c r="R194">
        <v>3.900174E-2</v>
      </c>
      <c r="S194">
        <v>3.0378720000000001</v>
      </c>
      <c r="T194">
        <v>-0.72268889999999997</v>
      </c>
      <c r="U194">
        <v>-0.52868649999999995</v>
      </c>
      <c r="V194">
        <v>-3.7750690000000003E-2</v>
      </c>
      <c r="W194">
        <v>3.4391600000000001E-2</v>
      </c>
      <c r="X194">
        <v>0.99869520000000001</v>
      </c>
      <c r="Y194">
        <v>0.1678364</v>
      </c>
      <c r="Z194">
        <v>-2.090438E-2</v>
      </c>
      <c r="AA194">
        <v>0.98559319999999895</v>
      </c>
      <c r="AB194">
        <v>41</v>
      </c>
      <c r="AC194">
        <v>0.50589999999999602</v>
      </c>
      <c r="AD194">
        <v>-0.22008140000000001</v>
      </c>
      <c r="AE194">
        <v>-0.162599999999997</v>
      </c>
      <c r="AF194">
        <v>0.13932486341368799</v>
      </c>
      <c r="AG194">
        <v>-0.22008140000000001</v>
      </c>
      <c r="AH194">
        <v>0.43165670287719099</v>
      </c>
      <c r="AI194">
        <v>115.88288494573</v>
      </c>
      <c r="AJ194">
        <v>72.111593936398094</v>
      </c>
      <c r="AK194">
        <v>0.50415746481631096</v>
      </c>
      <c r="AL194">
        <v>88.029117817565805</v>
      </c>
      <c r="AM194">
        <v>92.164750486480898</v>
      </c>
      <c r="AN194">
        <v>0.99999999962453801</v>
      </c>
    </row>
    <row r="195" spans="1:40" x14ac:dyDescent="0.25">
      <c r="A195" t="str">
        <f>"20190305135759648"</f>
        <v>20190305135759648</v>
      </c>
      <c r="B195" t="str">
        <f>"1551765479638739"</f>
        <v>1551765479638739</v>
      </c>
      <c r="C195" t="s">
        <v>40</v>
      </c>
      <c r="D195">
        <v>4.2502370000000003</v>
      </c>
      <c r="E195">
        <v>0.57495299999999905</v>
      </c>
      <c r="F195" t="s">
        <v>41</v>
      </c>
      <c r="G195">
        <v>-430.21730000000002</v>
      </c>
      <c r="H195">
        <v>0.85812960000000005</v>
      </c>
      <c r="I195">
        <v>367.68329999999997</v>
      </c>
      <c r="J195">
        <v>-430.69560000000001</v>
      </c>
      <c r="K195">
        <v>1.0643100000000001</v>
      </c>
      <c r="L195">
        <v>367.83600000000001</v>
      </c>
      <c r="M195">
        <v>0.99991450000000004</v>
      </c>
      <c r="N195">
        <v>-1.30382999999999E-2</v>
      </c>
      <c r="O195">
        <v>1.1566949999999999E-3</v>
      </c>
      <c r="P195">
        <v>0.99895959999999995</v>
      </c>
      <c r="Q195">
        <v>2.3697889999999999E-2</v>
      </c>
      <c r="R195">
        <v>3.896492E-2</v>
      </c>
      <c r="S195">
        <v>3.039215</v>
      </c>
      <c r="T195">
        <v>-0.71675630000000001</v>
      </c>
      <c r="U195">
        <v>-0.52676389999999995</v>
      </c>
      <c r="V195">
        <v>-3.7791810000000002E-2</v>
      </c>
      <c r="W195">
        <v>3.6739010000000002E-2</v>
      </c>
      <c r="X195">
        <v>0.99861</v>
      </c>
      <c r="Y195">
        <v>0.1671753</v>
      </c>
      <c r="Z195">
        <v>-2.0673529999999999E-2</v>
      </c>
      <c r="AA195">
        <v>0.98571039999999999</v>
      </c>
      <c r="AB195">
        <v>41</v>
      </c>
      <c r="AC195">
        <v>0.47829999999999001</v>
      </c>
      <c r="AD195">
        <v>-0.20618040000000001</v>
      </c>
      <c r="AE195">
        <v>-0.152700000000038</v>
      </c>
      <c r="AF195">
        <v>0.131138866455835</v>
      </c>
      <c r="AG195">
        <v>-0.20618040000000001</v>
      </c>
      <c r="AH195">
        <v>0.40913022674069399</v>
      </c>
      <c r="AI195">
        <v>115.636271257148</v>
      </c>
      <c r="AJ195">
        <v>72.2277414984638</v>
      </c>
      <c r="AK195">
        <v>0.47654517317078499</v>
      </c>
      <c r="AL195">
        <v>87.894535861820401</v>
      </c>
      <c r="AM195">
        <v>92.167290915599494</v>
      </c>
      <c r="AN195">
        <v>0.99999995392942698</v>
      </c>
    </row>
    <row r="196" spans="1:40" x14ac:dyDescent="0.25">
      <c r="A196" t="str">
        <f>"20190305135759670"</f>
        <v>20190305135759670</v>
      </c>
      <c r="B196" t="str">
        <f>"1551765479659232"</f>
        <v>1551765479659232</v>
      </c>
      <c r="C196" t="s">
        <v>40</v>
      </c>
      <c r="D196">
        <v>4.2311889999999996</v>
      </c>
      <c r="E196">
        <v>0.57513789999999998</v>
      </c>
      <c r="F196" t="s">
        <v>41</v>
      </c>
      <c r="G196">
        <v>-429.84769999999997</v>
      </c>
      <c r="H196">
        <v>0.86607610000000002</v>
      </c>
      <c r="I196">
        <v>367.6891</v>
      </c>
      <c r="J196">
        <v>-430.29430000000002</v>
      </c>
      <c r="K196">
        <v>1.0635760000000001</v>
      </c>
      <c r="L196">
        <v>367.83640000000003</v>
      </c>
      <c r="M196">
        <v>0.99990999999999997</v>
      </c>
      <c r="N196">
        <v>-1.337467E-2</v>
      </c>
      <c r="O196">
        <v>1.106966E-3</v>
      </c>
      <c r="P196">
        <v>0.99891079999999999</v>
      </c>
      <c r="Q196">
        <v>2.487851E-2</v>
      </c>
      <c r="R196">
        <v>3.9477810000000002E-2</v>
      </c>
      <c r="S196">
        <v>3.0404659999999999</v>
      </c>
      <c r="T196">
        <v>-0.71095039999999998</v>
      </c>
      <c r="U196">
        <v>-0.52593990000000002</v>
      </c>
      <c r="V196">
        <v>-3.8357219999999997E-2</v>
      </c>
      <c r="W196">
        <v>3.8251899999999998E-2</v>
      </c>
      <c r="X196">
        <v>0.99853170000000002</v>
      </c>
      <c r="Y196">
        <v>0.16687850000000001</v>
      </c>
      <c r="Z196">
        <v>-2.049312E-2</v>
      </c>
      <c r="AA196">
        <v>0.98576439999999999</v>
      </c>
      <c r="AB196">
        <v>41</v>
      </c>
      <c r="AC196">
        <v>0.44660000000004602</v>
      </c>
      <c r="AD196">
        <v>-0.19749990000000001</v>
      </c>
      <c r="AE196">
        <v>-0.14730000000002899</v>
      </c>
      <c r="AF196">
        <v>0.125634861514206</v>
      </c>
      <c r="AG196">
        <v>-0.19749990000000001</v>
      </c>
      <c r="AH196">
        <v>0.37950041335581403</v>
      </c>
      <c r="AI196">
        <v>116.291738962964</v>
      </c>
      <c r="AJ196">
        <v>71.682704510530797</v>
      </c>
      <c r="AK196">
        <v>0.445882151094813</v>
      </c>
      <c r="AL196">
        <v>87.807792784652705</v>
      </c>
      <c r="AM196">
        <v>92.199856842288298</v>
      </c>
      <c r="AN196">
        <v>1.00000002004231</v>
      </c>
    </row>
    <row r="197" spans="1:40" x14ac:dyDescent="0.25">
      <c r="A197" t="str">
        <f>"20190305135759692"</f>
        <v>20190305135759692</v>
      </c>
      <c r="B197" t="str">
        <f>"1551765479678752"</f>
        <v>1551765479678752</v>
      </c>
      <c r="C197" t="s">
        <v>40</v>
      </c>
      <c r="D197">
        <v>4.2950619999999997</v>
      </c>
      <c r="E197">
        <v>0.57579650000000004</v>
      </c>
      <c r="F197" t="s">
        <v>41</v>
      </c>
      <c r="G197">
        <v>-429.47890000000001</v>
      </c>
      <c r="H197">
        <v>0.8735889</v>
      </c>
      <c r="I197">
        <v>367.69549999999998</v>
      </c>
      <c r="J197">
        <v>-429.90260000000001</v>
      </c>
      <c r="K197">
        <v>1.0629580000000001</v>
      </c>
      <c r="L197">
        <v>367.83679999999998</v>
      </c>
      <c r="M197">
        <v>0.99990630000000003</v>
      </c>
      <c r="N197">
        <v>-1.36572999999999E-2</v>
      </c>
      <c r="O197">
        <v>1.0782120000000001E-3</v>
      </c>
      <c r="P197">
        <v>0.99890089999999998</v>
      </c>
      <c r="Q197">
        <v>2.513263E-2</v>
      </c>
      <c r="R197">
        <v>3.956921E-2</v>
      </c>
      <c r="S197">
        <v>3.041687</v>
      </c>
      <c r="T197">
        <v>-0.70875900000000003</v>
      </c>
      <c r="U197">
        <v>-0.52508540000000004</v>
      </c>
      <c r="V197">
        <v>-3.8479760000000002E-2</v>
      </c>
      <c r="W197">
        <v>3.8785090000000001E-2</v>
      </c>
      <c r="X197">
        <v>0.99850640000000002</v>
      </c>
      <c r="Y197">
        <v>0.1665499</v>
      </c>
      <c r="Z197">
        <v>-2.0405619999999999E-2</v>
      </c>
      <c r="AA197">
        <v>0.98582179999999997</v>
      </c>
      <c r="AB197">
        <v>41</v>
      </c>
      <c r="AC197">
        <v>0.42369999999999602</v>
      </c>
      <c r="AD197">
        <v>-0.18936910000000001</v>
      </c>
      <c r="AE197">
        <v>-0.14130000000000101</v>
      </c>
      <c r="AF197">
        <v>0.120156908339554</v>
      </c>
      <c r="AG197">
        <v>-0.18936910000000001</v>
      </c>
      <c r="AH197">
        <v>0.35901025641280099</v>
      </c>
      <c r="AI197">
        <v>116.574369074486</v>
      </c>
      <c r="AJ197">
        <v>71.495155163876007</v>
      </c>
      <c r="AK197">
        <v>0.423304503715841</v>
      </c>
      <c r="AL197">
        <v>87.7772205222645</v>
      </c>
      <c r="AM197">
        <v>92.206933660174997</v>
      </c>
      <c r="AN197">
        <v>1.0000000029884599</v>
      </c>
    </row>
    <row r="198" spans="1:40" x14ac:dyDescent="0.25">
      <c r="A198" t="str">
        <f>"20190305135759714"</f>
        <v>20190305135759714</v>
      </c>
      <c r="B198" t="str">
        <f>"1551765479709008"</f>
        <v>1551765479709008</v>
      </c>
      <c r="C198" t="s">
        <v>40</v>
      </c>
      <c r="D198">
        <v>3.9941339999999999</v>
      </c>
      <c r="E198">
        <v>0.534663</v>
      </c>
      <c r="F198" t="s">
        <v>41</v>
      </c>
      <c r="G198">
        <v>-429.1114</v>
      </c>
      <c r="H198">
        <v>0.87860509999999903</v>
      </c>
      <c r="I198">
        <v>367.69850000000002</v>
      </c>
      <c r="J198">
        <v>-429.48430000000002</v>
      </c>
      <c r="K198">
        <v>1.0623880000000001</v>
      </c>
      <c r="L198">
        <v>367.8372</v>
      </c>
      <c r="M198">
        <v>0.99990270000000003</v>
      </c>
      <c r="N198">
        <v>-1.391478E-2</v>
      </c>
      <c r="O198">
        <v>1.062646E-3</v>
      </c>
      <c r="P198">
        <v>0.99890389999999996</v>
      </c>
      <c r="Q198">
        <v>2.4886209999999999E-2</v>
      </c>
      <c r="R198">
        <v>3.9648030000000001E-2</v>
      </c>
      <c r="S198">
        <v>3.0421749999999999</v>
      </c>
      <c r="T198">
        <v>-0.7089337</v>
      </c>
      <c r="U198">
        <v>-0.53097530000000004</v>
      </c>
      <c r="V198">
        <v>-3.8576869999999999E-2</v>
      </c>
      <c r="W198">
        <v>3.8793670000000002E-2</v>
      </c>
      <c r="X198">
        <v>0.99850229999999995</v>
      </c>
      <c r="Y198">
        <v>0.16830829999999999</v>
      </c>
      <c r="Z198">
        <v>-2.063593E-2</v>
      </c>
      <c r="AA198">
        <v>0.98551840000000002</v>
      </c>
      <c r="AB198">
        <v>41</v>
      </c>
      <c r="AC198">
        <v>0.372900000000015</v>
      </c>
      <c r="AD198">
        <v>-0.1837829</v>
      </c>
      <c r="AE198">
        <v>-0.13869999999997101</v>
      </c>
      <c r="AF198">
        <v>0.114635460991171</v>
      </c>
      <c r="AG198">
        <v>-0.1837829</v>
      </c>
      <c r="AH198">
        <v>0.30720203185042499</v>
      </c>
      <c r="AI198">
        <v>119.270417190605</v>
      </c>
      <c r="AJ198">
        <v>69.536445428682896</v>
      </c>
      <c r="AK198">
        <v>0.37588632805955802</v>
      </c>
      <c r="AL198">
        <v>87.776728510694994</v>
      </c>
      <c r="AM198">
        <v>92.212506767799098</v>
      </c>
      <c r="AN198">
        <v>0.99999998341817697</v>
      </c>
    </row>
    <row r="199" spans="1:40" x14ac:dyDescent="0.25">
      <c r="A199" t="str">
        <f>"20190305135759738"</f>
        <v>20190305135759738</v>
      </c>
      <c r="B199" t="str">
        <f>"1551765479729504"</f>
        <v>1551765479729504</v>
      </c>
      <c r="C199" t="s">
        <v>40</v>
      </c>
      <c r="D199">
        <v>4.2185300000000003</v>
      </c>
      <c r="E199">
        <v>0.50247980000000003</v>
      </c>
      <c r="F199" t="s">
        <v>41</v>
      </c>
      <c r="G199">
        <v>-428.72190000000001</v>
      </c>
      <c r="H199">
        <v>0.93259080000000005</v>
      </c>
      <c r="I199">
        <v>367.78890000000001</v>
      </c>
      <c r="J199">
        <v>-429.06560000000002</v>
      </c>
      <c r="K199">
        <v>1.061904</v>
      </c>
      <c r="L199">
        <v>367.83769999999998</v>
      </c>
      <c r="M199">
        <v>0.99989969999999995</v>
      </c>
      <c r="N199">
        <v>-1.4131960000000001E-2</v>
      </c>
      <c r="O199">
        <v>1.0562530000000001E-3</v>
      </c>
      <c r="P199">
        <v>0.99894519999999998</v>
      </c>
      <c r="Q199">
        <v>2.385147E-2</v>
      </c>
      <c r="R199">
        <v>3.9243529999999999E-2</v>
      </c>
      <c r="S199">
        <v>3.0236510000000001</v>
      </c>
      <c r="T199">
        <v>-0.51489259999999903</v>
      </c>
      <c r="U199">
        <v>-0.19082640000000001</v>
      </c>
      <c r="V199">
        <v>-3.8180510000000001E-2</v>
      </c>
      <c r="W199">
        <v>3.7974590000000003E-2</v>
      </c>
      <c r="X199">
        <v>0.99854900000000002</v>
      </c>
      <c r="Y199">
        <v>6.3047030000000004E-2</v>
      </c>
      <c r="Z199">
        <v>-5.9375299999999999E-3</v>
      </c>
      <c r="AA199">
        <v>0.99799289999999996</v>
      </c>
      <c r="AB199">
        <v>41</v>
      </c>
      <c r="AC199">
        <v>0.343700000000012</v>
      </c>
      <c r="AD199">
        <v>-0.12931319999999999</v>
      </c>
      <c r="AE199">
        <v>-4.8799999999971498E-2</v>
      </c>
      <c r="AF199">
        <v>4.3172505363708397E-2</v>
      </c>
      <c r="AG199">
        <v>-0.12931319999999999</v>
      </c>
      <c r="AH199">
        <v>0.301774571127154</v>
      </c>
      <c r="AI199">
        <v>112.986188232711</v>
      </c>
      <c r="AJ199">
        <v>81.858389382997103</v>
      </c>
      <c r="AK199">
        <v>0.33113994125233098</v>
      </c>
      <c r="AL199">
        <v>87.823692905750903</v>
      </c>
      <c r="AM199">
        <v>92.189694188024703</v>
      </c>
      <c r="AN199">
        <v>0.99999996311526296</v>
      </c>
    </row>
    <row r="200" spans="1:40" x14ac:dyDescent="0.25">
      <c r="A200" t="str">
        <f>"20190305135759759"</f>
        <v>20190305135759759</v>
      </c>
      <c r="B200" t="str">
        <f>"1551765479749039"</f>
        <v>1551765479749039</v>
      </c>
      <c r="C200" t="s">
        <v>40</v>
      </c>
      <c r="D200">
        <v>4.111605</v>
      </c>
      <c r="E200">
        <v>0.50378210000000001</v>
      </c>
      <c r="F200" t="s">
        <v>43</v>
      </c>
      <c r="G200">
        <v>-407.74639999999999</v>
      </c>
      <c r="H200">
        <v>-0.05</v>
      </c>
      <c r="I200">
        <v>368.43970000000002</v>
      </c>
      <c r="J200">
        <v>-428.66520000000003</v>
      </c>
      <c r="K200">
        <v>1.0615159999999999</v>
      </c>
      <c r="L200">
        <v>367.8381</v>
      </c>
      <c r="M200">
        <v>0.99989709999999998</v>
      </c>
      <c r="N200">
        <v>-1.430405E-2</v>
      </c>
      <c r="O200">
        <v>1.055442E-3</v>
      </c>
      <c r="P200">
        <v>0.99895929999999999</v>
      </c>
      <c r="Q200">
        <v>2.2951849999999999E-2</v>
      </c>
      <c r="R200">
        <v>3.9415029999999997E-2</v>
      </c>
      <c r="S200">
        <v>3.0035400000000001</v>
      </c>
      <c r="T200">
        <v>-0.15664939999999999</v>
      </c>
      <c r="U200">
        <v>8.4808350000000005E-2</v>
      </c>
      <c r="V200">
        <v>-3.8354399999999997E-2</v>
      </c>
      <c r="W200">
        <v>3.7246019999999998E-2</v>
      </c>
      <c r="X200">
        <v>0.99856979999999995</v>
      </c>
      <c r="Y200">
        <v>-2.712353E-2</v>
      </c>
      <c r="Z200">
        <v>8.6098580000000004E-4</v>
      </c>
      <c r="AA200">
        <v>0.99963170000000001</v>
      </c>
      <c r="AB200">
        <v>41</v>
      </c>
      <c r="AC200">
        <v>20.918800000000001</v>
      </c>
      <c r="AD200">
        <v>-1.1115159999999999</v>
      </c>
      <c r="AE200">
        <v>0.60160000000001901</v>
      </c>
      <c r="AF200">
        <v>-0.57788861700572003</v>
      </c>
      <c r="AG200">
        <v>-1.1115159999999999</v>
      </c>
      <c r="AH200">
        <v>20.860576252432299</v>
      </c>
      <c r="AI200">
        <v>93.048844598935702</v>
      </c>
      <c r="AJ200">
        <v>91.586826381189397</v>
      </c>
      <c r="AK200">
        <v>20.898159360466799</v>
      </c>
      <c r="AL200">
        <v>87.865466498140293</v>
      </c>
      <c r="AM200">
        <v>92.199611423020102</v>
      </c>
      <c r="AN200">
        <v>0.99999998573862003</v>
      </c>
    </row>
    <row r="201" spans="1:40" x14ac:dyDescent="0.25">
      <c r="A201" t="str">
        <f>"20190305135759781"</f>
        <v>20190305135759781</v>
      </c>
      <c r="B201" t="str">
        <f>"1551765479768543"</f>
        <v>1551765479768543</v>
      </c>
      <c r="C201" t="s">
        <v>40</v>
      </c>
      <c r="D201">
        <v>4.1311869999999997</v>
      </c>
      <c r="E201">
        <v>0.5057372</v>
      </c>
      <c r="F201" t="s">
        <v>42</v>
      </c>
      <c r="G201">
        <v>-399.51080000000002</v>
      </c>
      <c r="H201" s="1">
        <v>-4.2478550000000002E-7</v>
      </c>
      <c r="I201">
        <v>368.59300000000002</v>
      </c>
      <c r="J201">
        <v>-428.27859999999998</v>
      </c>
      <c r="K201">
        <v>1.06119599999999</v>
      </c>
      <c r="L201">
        <v>367.83850000000001</v>
      </c>
      <c r="M201">
        <v>0.99989510000000004</v>
      </c>
      <c r="N201">
        <v>-1.444375E-2</v>
      </c>
      <c r="O201">
        <v>1.055287E-3</v>
      </c>
      <c r="P201">
        <v>0.99898580000000003</v>
      </c>
      <c r="Q201">
        <v>2.2153550000000001E-2</v>
      </c>
      <c r="R201">
        <v>3.9199959999999999E-2</v>
      </c>
      <c r="S201">
        <v>3.0025629999999999</v>
      </c>
      <c r="T201">
        <v>-0.10932360000000001</v>
      </c>
      <c r="U201">
        <v>7.7758789999999994E-2</v>
      </c>
      <c r="V201">
        <v>-3.8140590000000002E-2</v>
      </c>
      <c r="W201">
        <v>3.6586529999999999E-2</v>
      </c>
      <c r="X201">
        <v>0.9986024</v>
      </c>
      <c r="Y201">
        <v>-2.4811030000000001E-2</v>
      </c>
      <c r="Z201">
        <v>6.0759889999999997E-4</v>
      </c>
      <c r="AA201">
        <v>0.99969200000000003</v>
      </c>
      <c r="AB201">
        <v>41</v>
      </c>
      <c r="AC201">
        <v>28.767799999999902</v>
      </c>
      <c r="AD201">
        <v>-1.0611964247854999</v>
      </c>
      <c r="AE201">
        <v>0.75450000000000705</v>
      </c>
      <c r="AF201">
        <v>-0.723154770193152</v>
      </c>
      <c r="AG201">
        <v>-1.0611964247854999</v>
      </c>
      <c r="AH201">
        <v>28.729513470722299</v>
      </c>
      <c r="AI201">
        <v>92.114731959370104</v>
      </c>
      <c r="AJ201">
        <v>91.441895945039406</v>
      </c>
      <c r="AK201">
        <v>28.758199438387098</v>
      </c>
      <c r="AL201">
        <v>87.903278330487893</v>
      </c>
      <c r="AM201">
        <v>92.187290099909205</v>
      </c>
      <c r="AN201">
        <v>1.0000000160343701</v>
      </c>
    </row>
    <row r="202" spans="1:40" x14ac:dyDescent="0.25">
      <c r="A202" t="str">
        <f>"20190305135759805"</f>
        <v>20190305135759805</v>
      </c>
      <c r="B202" t="str">
        <f>"1551765479798800"</f>
        <v>1551765479798800</v>
      </c>
      <c r="C202" t="s">
        <v>40</v>
      </c>
      <c r="D202">
        <v>4.150271</v>
      </c>
      <c r="E202">
        <v>0.50742810000000005</v>
      </c>
      <c r="F202" t="s">
        <v>42</v>
      </c>
      <c r="G202">
        <v>-397.91460000000001</v>
      </c>
      <c r="H202" s="1">
        <v>-1.0816040000000001E-6</v>
      </c>
      <c r="I202">
        <v>368.46260000000001</v>
      </c>
      <c r="J202">
        <v>-427.84480000000002</v>
      </c>
      <c r="K202">
        <v>1.060902</v>
      </c>
      <c r="L202">
        <v>367.83890000000002</v>
      </c>
      <c r="M202">
        <v>0.99989329999999998</v>
      </c>
      <c r="N202">
        <v>-1.4573350000000001E-2</v>
      </c>
      <c r="O202">
        <v>1.05488E-3</v>
      </c>
      <c r="P202">
        <v>0.99901930000000005</v>
      </c>
      <c r="Q202">
        <v>2.105483E-2</v>
      </c>
      <c r="R202">
        <v>3.8956570000000003E-2</v>
      </c>
      <c r="S202">
        <v>3.0029599999999999</v>
      </c>
      <c r="T202">
        <v>-0.10495069999999999</v>
      </c>
      <c r="U202">
        <v>6.1737060000000003E-2</v>
      </c>
      <c r="V202">
        <v>-3.789907E-2</v>
      </c>
      <c r="W202">
        <v>3.561632E-2</v>
      </c>
      <c r="X202">
        <v>0.9986467</v>
      </c>
      <c r="Y202">
        <v>-1.948298E-2</v>
      </c>
      <c r="Z202">
        <v>4.6088409999999998E-4</v>
      </c>
      <c r="AA202">
        <v>0.99981010000000003</v>
      </c>
      <c r="AB202">
        <v>41</v>
      </c>
      <c r="AC202">
        <v>29.930199999999999</v>
      </c>
      <c r="AD202">
        <v>-1.0609030816039999</v>
      </c>
      <c r="AE202">
        <v>0.62369999999998504</v>
      </c>
      <c r="AF202">
        <v>-0.59138083627596105</v>
      </c>
      <c r="AG202">
        <v>-1.0609030816039999</v>
      </c>
      <c r="AH202">
        <v>29.893299335176501</v>
      </c>
      <c r="AI202">
        <v>92.032157485464893</v>
      </c>
      <c r="AJ202">
        <v>91.133337820091</v>
      </c>
      <c r="AK202">
        <v>29.917964365653901</v>
      </c>
      <c r="AL202">
        <v>87.958903592758304</v>
      </c>
      <c r="AM202">
        <v>92.173356392243093</v>
      </c>
      <c r="AN202">
        <v>1.00000004658904</v>
      </c>
    </row>
    <row r="203" spans="1:40" x14ac:dyDescent="0.25">
      <c r="A203" t="str">
        <f>"20190305135759828"</f>
        <v>20190305135759828</v>
      </c>
      <c r="B203" t="str">
        <f>"1551765479819296"</f>
        <v>1551765479819296</v>
      </c>
      <c r="C203" t="s">
        <v>40</v>
      </c>
      <c r="D203">
        <v>4.3357089999999996</v>
      </c>
      <c r="E203">
        <v>0.50830280000000005</v>
      </c>
      <c r="F203" t="s">
        <v>42</v>
      </c>
      <c r="G203">
        <v>-399.34660000000002</v>
      </c>
      <c r="H203" s="1">
        <v>-5.61299E-7</v>
      </c>
      <c r="I203">
        <v>368.28989999999999</v>
      </c>
      <c r="J203">
        <v>-427.43579999999997</v>
      </c>
      <c r="K203">
        <v>1.0606690000000001</v>
      </c>
      <c r="L203">
        <v>367.83929999999998</v>
      </c>
      <c r="M203">
        <v>0.99989189999999994</v>
      </c>
      <c r="N203">
        <v>-1.467391E-2</v>
      </c>
      <c r="O203">
        <v>1.053268E-3</v>
      </c>
      <c r="P203">
        <v>0.99903960000000003</v>
      </c>
      <c r="Q203">
        <v>2.0508410000000001E-2</v>
      </c>
      <c r="R203">
        <v>3.8723239999999999E-2</v>
      </c>
      <c r="S203">
        <v>3.003479</v>
      </c>
      <c r="T203">
        <v>-0.1118103</v>
      </c>
      <c r="U203">
        <v>4.7546390000000001E-2</v>
      </c>
      <c r="V203">
        <v>-3.7667279999999997E-2</v>
      </c>
      <c r="W203">
        <v>3.5170279999999998E-2</v>
      </c>
      <c r="X203">
        <v>0.99867119999999998</v>
      </c>
      <c r="Y203">
        <v>-1.476121E-2</v>
      </c>
      <c r="Z203">
        <v>3.5927069999999999E-4</v>
      </c>
      <c r="AA203">
        <v>0.99989099999999997</v>
      </c>
      <c r="AB203">
        <v>41</v>
      </c>
      <c r="AC203">
        <v>28.089199999999899</v>
      </c>
      <c r="AD203">
        <v>-1.060669561299</v>
      </c>
      <c r="AE203">
        <v>0.45060000000000799</v>
      </c>
      <c r="AF203">
        <v>-0.42041181188906801</v>
      </c>
      <c r="AG203">
        <v>-1.060669561299</v>
      </c>
      <c r="AH203">
        <v>28.0496740287489</v>
      </c>
      <c r="AI203">
        <v>92.1653062039845</v>
      </c>
      <c r="AJ203">
        <v>90.858691583063802</v>
      </c>
      <c r="AK203">
        <v>28.072869093288499</v>
      </c>
      <c r="AL203">
        <v>87.984475667118403</v>
      </c>
      <c r="AM203">
        <v>92.160023873409202</v>
      </c>
      <c r="AN203">
        <v>0.99999996914365796</v>
      </c>
    </row>
    <row r="204" spans="1:40" x14ac:dyDescent="0.25">
      <c r="A204" t="str">
        <f>"20190305135759849"</f>
        <v>20190305135759849</v>
      </c>
      <c r="B204" t="str">
        <f>"1551765479838819"</f>
        <v>1551765479838819</v>
      </c>
      <c r="C204" t="s">
        <v>40</v>
      </c>
      <c r="D204">
        <v>4.1991949999999996</v>
      </c>
      <c r="E204">
        <v>0.5088703</v>
      </c>
      <c r="F204" t="s">
        <v>43</v>
      </c>
      <c r="G204">
        <v>-399.31849999999997</v>
      </c>
      <c r="H204">
        <v>-0.05</v>
      </c>
      <c r="I204">
        <v>368.21120000000002</v>
      </c>
      <c r="J204">
        <v>-427.0342</v>
      </c>
      <c r="K204">
        <v>1.0604929999999999</v>
      </c>
      <c r="L204">
        <v>367.83969999999999</v>
      </c>
      <c r="M204">
        <v>0.99989059999999996</v>
      </c>
      <c r="N204">
        <v>-1.4755259999999999E-2</v>
      </c>
      <c r="O204">
        <v>1.051581E-3</v>
      </c>
      <c r="P204">
        <v>0.9990405</v>
      </c>
      <c r="Q204">
        <v>2.066026E-2</v>
      </c>
      <c r="R204">
        <v>3.8618159999999999E-2</v>
      </c>
      <c r="S204">
        <v>3.0038149999999999</v>
      </c>
      <c r="T204">
        <v>-0.11865439999999999</v>
      </c>
      <c r="U204">
        <v>3.9733890000000001E-2</v>
      </c>
      <c r="V204">
        <v>-3.756458E-2</v>
      </c>
      <c r="W204">
        <v>3.540331E-2</v>
      </c>
      <c r="X204">
        <v>0.99866690000000002</v>
      </c>
      <c r="Y204">
        <v>-1.2162330000000001E-2</v>
      </c>
      <c r="Z204">
        <v>3.0388760000000001E-4</v>
      </c>
      <c r="AA204">
        <v>0.99992599999999998</v>
      </c>
      <c r="AB204">
        <v>41</v>
      </c>
      <c r="AC204">
        <v>27.715699999999998</v>
      </c>
      <c r="AD204">
        <v>-1.110493</v>
      </c>
      <c r="AE204">
        <v>0.37150000000002498</v>
      </c>
      <c r="AF204">
        <v>-0.34180269101569699</v>
      </c>
      <c r="AG204">
        <v>-1.110493</v>
      </c>
      <c r="AH204">
        <v>27.6716596136079</v>
      </c>
      <c r="AI204">
        <v>92.297932018322896</v>
      </c>
      <c r="AJ204">
        <v>90.707686347348798</v>
      </c>
      <c r="AK204">
        <v>27.696042489027398</v>
      </c>
      <c r="AL204">
        <v>87.971115843801101</v>
      </c>
      <c r="AM204">
        <v>92.154149381298893</v>
      </c>
      <c r="AN204">
        <v>1.0000000345925699</v>
      </c>
    </row>
    <row r="205" spans="1:40" x14ac:dyDescent="0.25">
      <c r="A205" t="str">
        <f>"20190305135759871"</f>
        <v>20190305135759871</v>
      </c>
      <c r="B205" t="str">
        <f>"1551765479859312"</f>
        <v>1551765479859312</v>
      </c>
      <c r="C205" t="s">
        <v>40</v>
      </c>
      <c r="D205">
        <v>4.1844510000000001</v>
      </c>
      <c r="E205">
        <v>0.50924250000000004</v>
      </c>
      <c r="F205" t="s">
        <v>43</v>
      </c>
      <c r="G205">
        <v>-399.36200000000002</v>
      </c>
      <c r="H205">
        <v>-0.05</v>
      </c>
      <c r="I205">
        <v>368.15910000000002</v>
      </c>
      <c r="J205">
        <v>-426.6574</v>
      </c>
      <c r="K205">
        <v>1.0603629999999999</v>
      </c>
      <c r="L205">
        <v>367.84010000000001</v>
      </c>
      <c r="M205">
        <v>0.99988969999999999</v>
      </c>
      <c r="N205">
        <v>-1.481828E-2</v>
      </c>
      <c r="O205">
        <v>1.0498199999999999E-3</v>
      </c>
      <c r="P205">
        <v>0.99901430000000002</v>
      </c>
      <c r="Q205">
        <v>2.1545640000000001E-2</v>
      </c>
      <c r="R205">
        <v>3.8814660000000001E-2</v>
      </c>
      <c r="S205">
        <v>3.0040279999999999</v>
      </c>
      <c r="T205">
        <v>-0.1205523</v>
      </c>
      <c r="U205">
        <v>3.4667969999999999E-2</v>
      </c>
      <c r="V205">
        <v>-3.7763310000000001E-2</v>
      </c>
      <c r="W205">
        <v>3.6350180000000003E-2</v>
      </c>
      <c r="X205">
        <v>0.99862530000000005</v>
      </c>
      <c r="Y205">
        <v>-1.0478639999999999E-2</v>
      </c>
      <c r="Z205">
        <v>2.6129270000000001E-4</v>
      </c>
      <c r="AA205">
        <v>0.99994499999999997</v>
      </c>
      <c r="AB205">
        <v>41</v>
      </c>
      <c r="AC205">
        <v>27.295400000000001</v>
      </c>
      <c r="AD205">
        <v>-1.110363</v>
      </c>
      <c r="AE205">
        <v>0.31900000000001599</v>
      </c>
      <c r="AF205">
        <v>-0.28986181818523699</v>
      </c>
      <c r="AG205">
        <v>-1.110363</v>
      </c>
      <c r="AH205">
        <v>27.250631124983901</v>
      </c>
      <c r="AI205">
        <v>92.333169732825496</v>
      </c>
      <c r="AJ205">
        <v>90.609425610522194</v>
      </c>
      <c r="AK205">
        <v>27.274783639386602</v>
      </c>
      <c r="AL205">
        <v>87.916829056768293</v>
      </c>
      <c r="AM205">
        <v>92.165624901190199</v>
      </c>
      <c r="AN205">
        <v>0.99999994648413704</v>
      </c>
    </row>
    <row r="206" spans="1:40" x14ac:dyDescent="0.25">
      <c r="A206" t="str">
        <f>"20190305135759893"</f>
        <v>20190305135759893</v>
      </c>
      <c r="B206" t="str">
        <f>"1551765479888593"</f>
        <v>1551765479888593</v>
      </c>
      <c r="C206" t="s">
        <v>40</v>
      </c>
      <c r="D206">
        <v>4.170776</v>
      </c>
      <c r="E206">
        <v>0.50972519999999999</v>
      </c>
      <c r="F206" t="s">
        <v>42</v>
      </c>
      <c r="G206">
        <v>-399.92899999999997</v>
      </c>
      <c r="H206" s="1">
        <v>-4.062389E-7</v>
      </c>
      <c r="I206">
        <v>368.12779999999998</v>
      </c>
      <c r="J206">
        <v>-426.24239999999998</v>
      </c>
      <c r="K206">
        <v>1.060241</v>
      </c>
      <c r="L206">
        <v>367.84050000000002</v>
      </c>
      <c r="M206">
        <v>0.99988880000000002</v>
      </c>
      <c r="N206">
        <v>-1.4875330000000001E-2</v>
      </c>
      <c r="O206">
        <v>1.0482670000000001E-3</v>
      </c>
      <c r="P206">
        <v>0.99893920000000003</v>
      </c>
      <c r="Q206">
        <v>2.3388119999999998E-2</v>
      </c>
      <c r="R206">
        <v>3.9671709999999999E-2</v>
      </c>
      <c r="S206">
        <v>3.0042719999999998</v>
      </c>
      <c r="T206">
        <v>-0.1191846</v>
      </c>
      <c r="U206">
        <v>3.2348630000000003E-2</v>
      </c>
      <c r="V206">
        <v>-3.8621969999999999E-2</v>
      </c>
      <c r="W206">
        <v>3.82481E-2</v>
      </c>
      <c r="X206">
        <v>0.99852160000000001</v>
      </c>
      <c r="Y206">
        <v>-9.7084110000000001E-3</v>
      </c>
      <c r="Z206">
        <v>2.387674E-4</v>
      </c>
      <c r="AA206">
        <v>0.99995290000000003</v>
      </c>
      <c r="AB206">
        <v>40</v>
      </c>
      <c r="AC206">
        <v>26.313399999999898</v>
      </c>
      <c r="AD206">
        <v>-1.0602414062389001</v>
      </c>
      <c r="AE206">
        <v>0.28729999999995898</v>
      </c>
      <c r="AF206">
        <v>-0.25929240653594998</v>
      </c>
      <c r="AG206">
        <v>-1.0602414062389001</v>
      </c>
      <c r="AH206">
        <v>26.2710404660655</v>
      </c>
      <c r="AI206">
        <v>92.310965014874299</v>
      </c>
      <c r="AJ206">
        <v>90.565484956401605</v>
      </c>
      <c r="AK206">
        <v>26.2937047895735</v>
      </c>
      <c r="AL206">
        <v>87.808010579569796</v>
      </c>
      <c r="AM206">
        <v>92.215048049893895</v>
      </c>
      <c r="AN206">
        <v>0.99999997969342502</v>
      </c>
    </row>
    <row r="207" spans="1:40" x14ac:dyDescent="0.25">
      <c r="A207" t="str">
        <f>"20190305135759915"</f>
        <v>20190305135759915</v>
      </c>
      <c r="B207" t="str">
        <f>"1551765479909089"</f>
        <v>1551765479909089</v>
      </c>
      <c r="C207" t="s">
        <v>40</v>
      </c>
      <c r="D207">
        <v>4.1350309999999997</v>
      </c>
      <c r="E207">
        <v>0.50986730000000002</v>
      </c>
      <c r="F207" t="s">
        <v>42</v>
      </c>
      <c r="G207">
        <v>-399.14120000000003</v>
      </c>
      <c r="H207" s="1">
        <v>-6.7735460000000002E-7</v>
      </c>
      <c r="I207">
        <v>368.11649999999997</v>
      </c>
      <c r="J207">
        <v>-425.84280000000001</v>
      </c>
      <c r="K207">
        <v>1.060157</v>
      </c>
      <c r="L207">
        <v>367.84089999999998</v>
      </c>
      <c r="M207">
        <v>0.9998882</v>
      </c>
      <c r="N207">
        <v>-1.4919750000000001E-2</v>
      </c>
      <c r="O207">
        <v>1.04732E-3</v>
      </c>
      <c r="P207">
        <v>0.99888549999999998</v>
      </c>
      <c r="Q207">
        <v>2.4696309999999999E-2</v>
      </c>
      <c r="R207">
        <v>4.0226129999999999E-2</v>
      </c>
      <c r="S207">
        <v>3.0047609999999998</v>
      </c>
      <c r="T207">
        <v>-0.1175505</v>
      </c>
      <c r="U207">
        <v>3.0609129999999998E-2</v>
      </c>
      <c r="V207">
        <v>-3.9177440000000001E-2</v>
      </c>
      <c r="W207">
        <v>3.9599380000000003E-2</v>
      </c>
      <c r="X207">
        <v>0.99844730000000004</v>
      </c>
      <c r="Y207">
        <v>-9.1296190000000003E-3</v>
      </c>
      <c r="Z207">
        <v>2.2132299999999999E-4</v>
      </c>
      <c r="AA207">
        <v>0.99995829999999997</v>
      </c>
      <c r="AB207">
        <v>40</v>
      </c>
      <c r="AC207">
        <v>26.7015999999999</v>
      </c>
      <c r="AD207">
        <v>-1.0601576773546</v>
      </c>
      <c r="AE207">
        <v>0.27559999999999701</v>
      </c>
      <c r="AF207">
        <v>-0.24724190703624399</v>
      </c>
      <c r="AG207">
        <v>-1.0601576773546</v>
      </c>
      <c r="AH207">
        <v>26.659851919187201</v>
      </c>
      <c r="AI207">
        <v>92.277130608645393</v>
      </c>
      <c r="AJ207">
        <v>90.531342474740796</v>
      </c>
      <c r="AK207">
        <v>26.682068270927498</v>
      </c>
      <c r="AL207">
        <v>87.7305292533363</v>
      </c>
      <c r="AM207">
        <v>92.247039988219001</v>
      </c>
      <c r="AN207">
        <v>0.99999999678931395</v>
      </c>
    </row>
    <row r="208" spans="1:40" x14ac:dyDescent="0.25">
      <c r="A208" t="str">
        <f>"20190305135759939"</f>
        <v>20190305135759939</v>
      </c>
      <c r="B208" t="str">
        <f>"1551765479928608"</f>
        <v>1551765479928608</v>
      </c>
      <c r="C208" t="s">
        <v>40</v>
      </c>
      <c r="D208">
        <v>4.1356820000000001</v>
      </c>
      <c r="E208">
        <v>0.50999550000000005</v>
      </c>
      <c r="F208" t="s">
        <v>42</v>
      </c>
      <c r="G208">
        <v>-398.22500000000002</v>
      </c>
      <c r="H208" s="1">
        <v>-1.0079699999999999E-6</v>
      </c>
      <c r="I208">
        <v>368.12689999999998</v>
      </c>
      <c r="J208">
        <v>-425.42079999999999</v>
      </c>
      <c r="K208">
        <v>1.0600889999999901</v>
      </c>
      <c r="L208">
        <v>367.84140000000002</v>
      </c>
      <c r="M208">
        <v>0.99988759999999999</v>
      </c>
      <c r="N208">
        <v>-1.495721E-2</v>
      </c>
      <c r="O208">
        <v>1.0468889999999901E-3</v>
      </c>
      <c r="P208">
        <v>0.99881960000000003</v>
      </c>
      <c r="Q208">
        <v>2.614414E-2</v>
      </c>
      <c r="R208">
        <v>4.0933690000000002E-2</v>
      </c>
      <c r="S208">
        <v>3.0049130000000002</v>
      </c>
      <c r="T208">
        <v>-0.1153486</v>
      </c>
      <c r="U208">
        <v>3.1127930000000002E-2</v>
      </c>
      <c r="V208">
        <v>-3.9885379999999998E-2</v>
      </c>
      <c r="W208">
        <v>4.1083519999999998E-2</v>
      </c>
      <c r="X208">
        <v>0.99835929999999995</v>
      </c>
      <c r="Y208">
        <v>-9.302266E-3</v>
      </c>
      <c r="Z208">
        <v>2.2356510000000001E-4</v>
      </c>
      <c r="AA208">
        <v>0.99995670000000003</v>
      </c>
      <c r="AB208">
        <v>40</v>
      </c>
      <c r="AC208">
        <v>27.195799999999899</v>
      </c>
      <c r="AD208">
        <v>-1.06009000796999</v>
      </c>
      <c r="AE208">
        <v>0.28549999999995601</v>
      </c>
      <c r="AF208">
        <v>-0.25663577663350301</v>
      </c>
      <c r="AG208">
        <v>-1.06009000796999</v>
      </c>
      <c r="AH208">
        <v>27.1548285941061</v>
      </c>
      <c r="AI208">
        <v>92.235519454740199</v>
      </c>
      <c r="AJ208">
        <v>90.541476778713999</v>
      </c>
      <c r="AK208">
        <v>27.176724760760401</v>
      </c>
      <c r="AL208">
        <v>87.645425005112997</v>
      </c>
      <c r="AM208">
        <v>92.2878028806891</v>
      </c>
      <c r="AN208">
        <v>0.99999999552491203</v>
      </c>
    </row>
    <row r="209" spans="1:40" x14ac:dyDescent="0.25">
      <c r="A209" t="str">
        <f>"20190305135759960"</f>
        <v>20190305135759960</v>
      </c>
      <c r="B209" t="str">
        <f>"1551765479949109"</f>
        <v>1551765479949109</v>
      </c>
      <c r="C209" t="s">
        <v>40</v>
      </c>
      <c r="D209">
        <v>4.1147090000000004</v>
      </c>
      <c r="E209">
        <v>0.51009289999999996</v>
      </c>
      <c r="F209" t="s">
        <v>42</v>
      </c>
      <c r="G209">
        <v>-397.12220000000002</v>
      </c>
      <c r="H209" s="1">
        <v>-1.478456E-6</v>
      </c>
      <c r="I209">
        <v>368.14159999999998</v>
      </c>
      <c r="J209">
        <v>-425.02760000000001</v>
      </c>
      <c r="K209">
        <v>1.060044</v>
      </c>
      <c r="L209">
        <v>367.84179999999998</v>
      </c>
      <c r="M209">
        <v>0.99988719999999998</v>
      </c>
      <c r="N209">
        <v>-1.498494E-2</v>
      </c>
      <c r="O209">
        <v>1.0472330000000001E-3</v>
      </c>
      <c r="P209">
        <v>0.99878169999999999</v>
      </c>
      <c r="Q209">
        <v>2.7255229999999998E-2</v>
      </c>
      <c r="R209">
        <v>4.1137819999999999E-2</v>
      </c>
      <c r="S209">
        <v>3.005188</v>
      </c>
      <c r="T209">
        <v>-0.1125765</v>
      </c>
      <c r="U209">
        <v>3.1890870000000002E-2</v>
      </c>
      <c r="V209">
        <v>-4.0089600000000003E-2</v>
      </c>
      <c r="W209">
        <v>4.2221679999999998E-2</v>
      </c>
      <c r="X209">
        <v>0.99830370000000002</v>
      </c>
      <c r="Y209">
        <v>-9.5549250000000006E-3</v>
      </c>
      <c r="Z209">
        <v>2.2700530000000001E-4</v>
      </c>
      <c r="AA209">
        <v>0.99995429999999996</v>
      </c>
      <c r="AB209">
        <v>40</v>
      </c>
      <c r="AC209">
        <v>27.905399999999901</v>
      </c>
      <c r="AD209">
        <v>-1.0600454784559901</v>
      </c>
      <c r="AE209">
        <v>0.29980000000000401</v>
      </c>
      <c r="AF209">
        <v>-0.27018326407719301</v>
      </c>
      <c r="AG209">
        <v>-1.0600454784559901</v>
      </c>
      <c r="AH209">
        <v>27.865492854422602</v>
      </c>
      <c r="AI209">
        <v>92.178465274906898</v>
      </c>
      <c r="AJ209">
        <v>90.555521329608098</v>
      </c>
      <c r="AK209">
        <v>27.8869572996493</v>
      </c>
      <c r="AL209">
        <v>87.580156754548895</v>
      </c>
      <c r="AM209">
        <v>92.299632214139507</v>
      </c>
      <c r="AN209">
        <v>1.00000006186193</v>
      </c>
    </row>
    <row r="210" spans="1:40" x14ac:dyDescent="0.25">
      <c r="A210" t="str">
        <f>"20190305135759985"</f>
        <v>20190305135759985</v>
      </c>
      <c r="B210" t="str">
        <f>"1551765479979364"</f>
        <v>1551765479979364</v>
      </c>
      <c r="C210" t="s">
        <v>40</v>
      </c>
      <c r="D210">
        <v>4.0564580000000001</v>
      </c>
      <c r="E210">
        <v>0.51073559999999996</v>
      </c>
      <c r="F210" t="s">
        <v>42</v>
      </c>
      <c r="G210">
        <v>-396.22210000000001</v>
      </c>
      <c r="H210" s="1">
        <v>-1.8637470000000001E-6</v>
      </c>
      <c r="I210">
        <v>368.1465</v>
      </c>
      <c r="J210">
        <v>-424.61680000000001</v>
      </c>
      <c r="K210">
        <v>1.0600080000000001</v>
      </c>
      <c r="L210">
        <v>367.84219999999999</v>
      </c>
      <c r="M210">
        <v>0.99988699999999997</v>
      </c>
      <c r="N210">
        <v>-1.500782E-2</v>
      </c>
      <c r="O210">
        <v>1.0470779999999999E-3</v>
      </c>
      <c r="P210">
        <v>0.99875800000000003</v>
      </c>
      <c r="Q210">
        <v>2.7546569999999999E-2</v>
      </c>
      <c r="R210">
        <v>4.1518779999999998E-2</v>
      </c>
      <c r="S210">
        <v>3.0054020000000001</v>
      </c>
      <c r="T210">
        <v>-0.1105988</v>
      </c>
      <c r="U210">
        <v>3.1799319999999999E-2</v>
      </c>
      <c r="V210">
        <v>-4.0470840000000001E-2</v>
      </c>
      <c r="W210">
        <v>4.253564E-2</v>
      </c>
      <c r="X210">
        <v>0.99827489999999997</v>
      </c>
      <c r="Y210">
        <v>-9.5241600000000003E-3</v>
      </c>
      <c r="Z210">
        <v>2.238823E-4</v>
      </c>
      <c r="AA210">
        <v>0.99995460000000003</v>
      </c>
      <c r="AB210">
        <v>40</v>
      </c>
      <c r="AC210">
        <v>28.3947</v>
      </c>
      <c r="AD210">
        <v>-1.0600098637469999</v>
      </c>
      <c r="AE210">
        <v>0.30430000000001101</v>
      </c>
      <c r="AF210">
        <v>-0.27418295998589198</v>
      </c>
      <c r="AG210">
        <v>-1.0600098637469999</v>
      </c>
      <c r="AH210">
        <v>28.3554907720134</v>
      </c>
      <c r="AI210">
        <v>92.140784264510302</v>
      </c>
      <c r="AJ210">
        <v>90.5540033486797</v>
      </c>
      <c r="AK210">
        <v>28.3766216123154</v>
      </c>
      <c r="AL210">
        <v>87.562151780223303</v>
      </c>
      <c r="AM210">
        <v>92.321544109680502</v>
      </c>
      <c r="AN210">
        <v>0.99999997276526198</v>
      </c>
    </row>
    <row r="211" spans="1:40" x14ac:dyDescent="0.25">
      <c r="A211" t="str">
        <f>"20190305135800006"</f>
        <v>20190305135800006</v>
      </c>
      <c r="B211" t="str">
        <f>"1551765479998884"</f>
        <v>1551765479998884</v>
      </c>
      <c r="C211" t="s">
        <v>40</v>
      </c>
      <c r="D211">
        <v>4.0212209999999997</v>
      </c>
      <c r="E211">
        <v>0.51094340000000005</v>
      </c>
      <c r="F211" t="s">
        <v>42</v>
      </c>
      <c r="G211">
        <v>-396.42349999999999</v>
      </c>
      <c r="H211" s="1">
        <v>-1.785298E-6</v>
      </c>
      <c r="I211">
        <v>368.10169999999999</v>
      </c>
      <c r="J211">
        <v>-424.21929999999998</v>
      </c>
      <c r="K211">
        <v>1.0599719999999999</v>
      </c>
      <c r="L211">
        <v>367.8426</v>
      </c>
      <c r="M211">
        <v>0.99988659999999996</v>
      </c>
      <c r="N211">
        <v>-1.502526E-2</v>
      </c>
      <c r="O211">
        <v>1.0472579999999999E-3</v>
      </c>
      <c r="P211">
        <v>0.99874289999999999</v>
      </c>
      <c r="Q211">
        <v>2.778895E-2</v>
      </c>
      <c r="R211">
        <v>4.171801E-2</v>
      </c>
      <c r="S211">
        <v>3.0057369999999999</v>
      </c>
      <c r="T211">
        <v>-0.1130091</v>
      </c>
      <c r="U211">
        <v>2.767944E-2</v>
      </c>
      <c r="V211">
        <v>-4.0670320000000003E-2</v>
      </c>
      <c r="W211">
        <v>4.2794819999999997E-2</v>
      </c>
      <c r="X211">
        <v>0.99825569999999997</v>
      </c>
      <c r="Y211">
        <v>-8.1533439999999999E-3</v>
      </c>
      <c r="Z211">
        <v>1.908774E-4</v>
      </c>
      <c r="AA211">
        <v>0.99996669999999999</v>
      </c>
      <c r="AB211">
        <v>40</v>
      </c>
      <c r="AC211">
        <v>27.7957999999999</v>
      </c>
      <c r="AD211">
        <v>-1.059973785298</v>
      </c>
      <c r="AE211">
        <v>0.25909999999998901</v>
      </c>
      <c r="AF211">
        <v>-0.22965325984266799</v>
      </c>
      <c r="AG211">
        <v>-1.059973785298</v>
      </c>
      <c r="AH211">
        <v>27.7556965816112</v>
      </c>
      <c r="AI211">
        <v>92.186954655737196</v>
      </c>
      <c r="AJ211">
        <v>90.474059883237501</v>
      </c>
      <c r="AK211">
        <v>27.776878474294801</v>
      </c>
      <c r="AL211">
        <v>87.547288286812702</v>
      </c>
      <c r="AM211">
        <v>92.333019165475093</v>
      </c>
      <c r="AN211">
        <v>0.99999995706511102</v>
      </c>
    </row>
    <row r="212" spans="1:40" x14ac:dyDescent="0.25">
      <c r="A212" t="str">
        <f>"20190305135800029"</f>
        <v>20190305135800029</v>
      </c>
      <c r="B212" t="str">
        <f>"1551765480019380"</f>
        <v>1551765480019380</v>
      </c>
      <c r="C212" t="s">
        <v>40</v>
      </c>
      <c r="D212">
        <v>4.0274080000000003</v>
      </c>
      <c r="E212">
        <v>0.51119349999999997</v>
      </c>
      <c r="F212" t="s">
        <v>42</v>
      </c>
      <c r="G212">
        <v>-396.0942</v>
      </c>
      <c r="H212" s="1">
        <v>-1.9289089999999999E-6</v>
      </c>
      <c r="I212">
        <v>368.08839999999998</v>
      </c>
      <c r="J212">
        <v>-423.80630000000002</v>
      </c>
      <c r="K212">
        <v>1.0599350000000001</v>
      </c>
      <c r="L212">
        <v>367.84300000000002</v>
      </c>
      <c r="M212">
        <v>0.99988630000000001</v>
      </c>
      <c r="N212">
        <v>-1.503932E-2</v>
      </c>
      <c r="O212">
        <v>1.0471650000000001E-3</v>
      </c>
      <c r="P212">
        <v>0.99873480000000003</v>
      </c>
      <c r="Q212">
        <v>2.7295280000000002E-2</v>
      </c>
      <c r="R212">
        <v>4.2237530000000002E-2</v>
      </c>
      <c r="S212">
        <v>3.0058289999999999</v>
      </c>
      <c r="T212">
        <v>-0.11328290000000001</v>
      </c>
      <c r="U212">
        <v>2.6275630000000001E-2</v>
      </c>
      <c r="V212">
        <v>-4.1189990000000003E-2</v>
      </c>
      <c r="W212">
        <v>4.2315070000000003E-2</v>
      </c>
      <c r="X212">
        <v>0.99825489999999995</v>
      </c>
      <c r="Y212">
        <v>-7.68661E-3</v>
      </c>
      <c r="Z212">
        <v>1.7892049999999901E-4</v>
      </c>
      <c r="AA212">
        <v>0.99997040000000004</v>
      </c>
      <c r="AB212">
        <v>40</v>
      </c>
      <c r="AC212">
        <v>27.7121</v>
      </c>
      <c r="AD212">
        <v>-1.0599369289089999</v>
      </c>
      <c r="AE212">
        <v>0.24539999999996001</v>
      </c>
      <c r="AF212">
        <v>-0.21606138412140599</v>
      </c>
      <c r="AG212">
        <v>-1.0599369289089999</v>
      </c>
      <c r="AH212">
        <v>27.671863202671801</v>
      </c>
      <c r="AI212">
        <v>92.193505702880898</v>
      </c>
      <c r="AJ212">
        <v>90.447355271167595</v>
      </c>
      <c r="AK212">
        <v>27.692998427804</v>
      </c>
      <c r="AL212">
        <v>87.574800996842995</v>
      </c>
      <c r="AM212">
        <v>92.3627979220485</v>
      </c>
      <c r="AN212">
        <v>1.00000001289965</v>
      </c>
    </row>
    <row r="213" spans="1:40" x14ac:dyDescent="0.25">
      <c r="A213" t="str">
        <f>"20190305135800052"</f>
        <v>20190305135800052</v>
      </c>
      <c r="B213" t="str">
        <f>"1551765480038900"</f>
        <v>1551765480038900</v>
      </c>
      <c r="C213" t="s">
        <v>40</v>
      </c>
      <c r="D213">
        <v>3.941055</v>
      </c>
      <c r="E213">
        <v>0.51145600000000002</v>
      </c>
      <c r="F213" t="s">
        <v>42</v>
      </c>
      <c r="G213">
        <v>-396.06560000000002</v>
      </c>
      <c r="H213" s="1">
        <v>-1.942169E-6</v>
      </c>
      <c r="I213">
        <v>368.0829</v>
      </c>
      <c r="J213">
        <v>-423.4033</v>
      </c>
      <c r="K213">
        <v>1.059914</v>
      </c>
      <c r="L213">
        <v>367.84339999999997</v>
      </c>
      <c r="M213">
        <v>0.99988630000000001</v>
      </c>
      <c r="N213">
        <v>-1.5049760000000001E-2</v>
      </c>
      <c r="O213">
        <v>1.0469769999999999E-3</v>
      </c>
      <c r="P213">
        <v>0.99876540000000003</v>
      </c>
      <c r="Q213">
        <v>2.6541579999999999E-2</v>
      </c>
      <c r="R213">
        <v>4.1992969999999998E-2</v>
      </c>
      <c r="S213">
        <v>3.0058590000000001</v>
      </c>
      <c r="T213">
        <v>-0.1148497</v>
      </c>
      <c r="U213">
        <v>2.600098E-2</v>
      </c>
      <c r="V213">
        <v>-4.0945660000000002E-2</v>
      </c>
      <c r="W213">
        <v>4.1572329999999998E-2</v>
      </c>
      <c r="X213">
        <v>0.99829610000000002</v>
      </c>
      <c r="Y213">
        <v>-7.5952669999999898E-3</v>
      </c>
      <c r="Z213">
        <v>1.7799919999999999E-4</v>
      </c>
      <c r="AA213">
        <v>0.99997119999999995</v>
      </c>
      <c r="AB213">
        <v>40</v>
      </c>
      <c r="AC213">
        <v>27.337699999999899</v>
      </c>
      <c r="AD213">
        <v>-1.0599159421690001</v>
      </c>
      <c r="AE213">
        <v>0.23950000000002</v>
      </c>
      <c r="AF213">
        <v>-0.21055819823091501</v>
      </c>
      <c r="AG213">
        <v>-1.0599159421690001</v>
      </c>
      <c r="AH213">
        <v>27.296906030937102</v>
      </c>
      <c r="AI213">
        <v>92.223563852057097</v>
      </c>
      <c r="AJ213">
        <v>90.441949604979598</v>
      </c>
      <c r="AK213">
        <v>27.3182875638485</v>
      </c>
      <c r="AL213">
        <v>87.617394208473797</v>
      </c>
      <c r="AM213">
        <v>92.348701239031996</v>
      </c>
      <c r="AN213">
        <v>0.99999995448483603</v>
      </c>
    </row>
    <row r="214" spans="1:40" x14ac:dyDescent="0.25">
      <c r="A214" t="str">
        <f>"20190305135800071"</f>
        <v>20190305135800071</v>
      </c>
      <c r="B214" t="str">
        <f>"1551765480059396"</f>
        <v>1551765480059396</v>
      </c>
      <c r="C214" t="s">
        <v>40</v>
      </c>
      <c r="D214">
        <v>3.9887239999999999</v>
      </c>
      <c r="E214">
        <v>0.51142609999999999</v>
      </c>
      <c r="F214" t="s">
        <v>42</v>
      </c>
      <c r="G214">
        <v>-396.09449999999998</v>
      </c>
      <c r="H214" s="1">
        <v>-1.934987E-6</v>
      </c>
      <c r="I214">
        <v>368.05349999999999</v>
      </c>
      <c r="J214">
        <v>-423.04790000000003</v>
      </c>
      <c r="K214">
        <v>1.0599019999999999</v>
      </c>
      <c r="L214">
        <v>367.84379999999999</v>
      </c>
      <c r="M214">
        <v>0.9998861</v>
      </c>
      <c r="N214">
        <v>-1.5056699999999999E-2</v>
      </c>
      <c r="O214">
        <v>1.0469330000000001E-3</v>
      </c>
      <c r="P214">
        <v>0.99877499999999997</v>
      </c>
      <c r="Q214">
        <v>2.6238259999999999E-2</v>
      </c>
      <c r="R214">
        <v>4.1954529999999997E-2</v>
      </c>
      <c r="S214">
        <v>3.0058590000000001</v>
      </c>
      <c r="T214">
        <v>-0.1166638</v>
      </c>
      <c r="U214">
        <v>2.3132320000000001E-2</v>
      </c>
      <c r="V214">
        <v>-4.090713E-2</v>
      </c>
      <c r="W214">
        <v>4.1276E-2</v>
      </c>
      <c r="X214">
        <v>0.99831000000000003</v>
      </c>
      <c r="Y214">
        <v>-6.641844E-3</v>
      </c>
      <c r="Z214">
        <v>1.5401609999999999E-4</v>
      </c>
      <c r="AA214">
        <v>0.99997789999999998</v>
      </c>
      <c r="AB214">
        <v>40</v>
      </c>
      <c r="AC214">
        <v>26.953399999999998</v>
      </c>
      <c r="AD214">
        <v>-1.0599039349869901</v>
      </c>
      <c r="AE214">
        <v>0.209699999999998</v>
      </c>
      <c r="AF214">
        <v>-0.18119810465397099</v>
      </c>
      <c r="AG214">
        <v>-1.0599039349869901</v>
      </c>
      <c r="AH214">
        <v>26.911992134078801</v>
      </c>
      <c r="AI214">
        <v>92.255324623034497</v>
      </c>
      <c r="AJ214">
        <v>90.385765933784498</v>
      </c>
      <c r="AK214">
        <v>26.933465238050001</v>
      </c>
      <c r="AL214">
        <v>87.634387311125195</v>
      </c>
      <c r="AM214">
        <v>92.346460940134193</v>
      </c>
      <c r="AN214">
        <v>0.99999997878041802</v>
      </c>
    </row>
    <row r="215" spans="1:40" x14ac:dyDescent="0.25">
      <c r="A215" t="str">
        <f>"20190305135800095"</f>
        <v>20190305135800095</v>
      </c>
      <c r="B215" t="str">
        <f>"1551765480088676"</f>
        <v>1551765480088676</v>
      </c>
      <c r="C215" t="s">
        <v>40</v>
      </c>
      <c r="D215">
        <v>3.923864</v>
      </c>
      <c r="E215">
        <v>0.49410799999999999</v>
      </c>
      <c r="F215" t="s">
        <v>42</v>
      </c>
      <c r="G215">
        <v>-395.96719999999999</v>
      </c>
      <c r="H215" s="1">
        <v>-1.9896399999999998E-6</v>
      </c>
      <c r="I215">
        <v>368.0532</v>
      </c>
      <c r="J215">
        <v>-422.61250000000001</v>
      </c>
      <c r="K215">
        <v>1.05989</v>
      </c>
      <c r="L215">
        <v>367.8442</v>
      </c>
      <c r="M215">
        <v>0.99988600000000005</v>
      </c>
      <c r="N215">
        <v>-1.506293E-2</v>
      </c>
      <c r="O215">
        <v>1.0473749999999999E-3</v>
      </c>
      <c r="P215">
        <v>0.99876830000000005</v>
      </c>
      <c r="Q215">
        <v>2.6224750000000002E-2</v>
      </c>
      <c r="R215">
        <v>4.2122319999999998E-2</v>
      </c>
      <c r="S215">
        <v>3.0057680000000002</v>
      </c>
      <c r="T215">
        <v>-0.1176417</v>
      </c>
      <c r="U215">
        <v>2.325439E-2</v>
      </c>
      <c r="V215">
        <v>-4.1074220000000002E-2</v>
      </c>
      <c r="W215">
        <v>4.1268369999999999E-2</v>
      </c>
      <c r="X215">
        <v>0.99830350000000001</v>
      </c>
      <c r="Y215">
        <v>-6.6821099999999998E-3</v>
      </c>
      <c r="Z215">
        <v>1.5586579999999999E-4</v>
      </c>
      <c r="AA215">
        <v>0.99997760000000002</v>
      </c>
      <c r="AB215">
        <v>40</v>
      </c>
      <c r="AC215">
        <v>26.645299999999999</v>
      </c>
      <c r="AD215">
        <v>-1.0598919896400001</v>
      </c>
      <c r="AE215">
        <v>0.20900000000000299</v>
      </c>
      <c r="AF215">
        <v>-0.180803035192594</v>
      </c>
      <c r="AG215">
        <v>-1.0598919896400001</v>
      </c>
      <c r="AH215">
        <v>26.603412980005398</v>
      </c>
      <c r="AI215">
        <v>92.281430510772196</v>
      </c>
      <c r="AJ215">
        <v>90.3893895628389</v>
      </c>
      <c r="AK215">
        <v>26.6251317921988</v>
      </c>
      <c r="AL215">
        <v>87.634824957782698</v>
      </c>
      <c r="AM215">
        <v>92.356049881124306</v>
      </c>
      <c r="AN215">
        <v>1.00000002401165</v>
      </c>
    </row>
    <row r="216" spans="1:40" x14ac:dyDescent="0.25">
      <c r="A216" t="str">
        <f>"20190305135800116"</f>
        <v>20190305135800116</v>
      </c>
      <c r="B216" t="str">
        <f>"1551765480109172"</f>
        <v>1551765480109172</v>
      </c>
      <c r="C216" t="s">
        <v>40</v>
      </c>
      <c r="D216">
        <v>3.8759929999999998</v>
      </c>
      <c r="E216">
        <v>0.49382429999999999</v>
      </c>
      <c r="F216" t="s">
        <v>42</v>
      </c>
      <c r="G216">
        <v>-398.2672</v>
      </c>
      <c r="H216" s="1">
        <v>-8.0832209999999997E-7</v>
      </c>
      <c r="I216">
        <v>369.15039999999999</v>
      </c>
      <c r="J216">
        <v>-422.23880000000003</v>
      </c>
      <c r="K216">
        <v>1.0598810000000001</v>
      </c>
      <c r="L216">
        <v>367.84460000000001</v>
      </c>
      <c r="M216">
        <v>0.99988600000000005</v>
      </c>
      <c r="N216">
        <v>-1.506655E-2</v>
      </c>
      <c r="O216">
        <v>1.0500570000000001E-3</v>
      </c>
      <c r="P216">
        <v>0.99874110000000005</v>
      </c>
      <c r="Q216">
        <v>2.7066380000000001E-2</v>
      </c>
      <c r="R216">
        <v>4.2234939999999999E-2</v>
      </c>
      <c r="S216">
        <v>3.0003359999999999</v>
      </c>
      <c r="T216">
        <v>-0.1306213</v>
      </c>
      <c r="U216">
        <v>0.16098019999999999</v>
      </c>
      <c r="V216">
        <v>-4.118463E-2</v>
      </c>
      <c r="W216">
        <v>4.2113060000000001E-2</v>
      </c>
      <c r="X216">
        <v>0.99826369999999998</v>
      </c>
      <c r="Y216">
        <v>-5.246199E-2</v>
      </c>
      <c r="Z216">
        <v>1.506535E-3</v>
      </c>
      <c r="AA216">
        <v>0.9986218</v>
      </c>
      <c r="AB216">
        <v>40</v>
      </c>
      <c r="AC216">
        <v>23.971599999999999</v>
      </c>
      <c r="AD216">
        <v>-1.05988180832209</v>
      </c>
      <c r="AE216">
        <v>1.3057999999999701</v>
      </c>
      <c r="AF216">
        <v>-1.2781336675509201</v>
      </c>
      <c r="AG216">
        <v>-1.05988180832209</v>
      </c>
      <c r="AH216">
        <v>23.926323310615999</v>
      </c>
      <c r="AI216">
        <v>92.532808189091497</v>
      </c>
      <c r="AJ216">
        <v>93.057808912632893</v>
      </c>
      <c r="AK216">
        <v>23.9838679591901</v>
      </c>
      <c r="AL216">
        <v>87.5863857313702</v>
      </c>
      <c r="AM216">
        <v>92.362470000140306</v>
      </c>
      <c r="AN216">
        <v>1.00000004915424</v>
      </c>
    </row>
    <row r="217" spans="1:40" x14ac:dyDescent="0.25">
      <c r="A217" t="str">
        <f>"20190305135800129"</f>
        <v>20190305135800129</v>
      </c>
      <c r="B217" t="str">
        <f>"1551765480118933"</f>
        <v>1551765480118933</v>
      </c>
      <c r="C217" t="s">
        <v>40</v>
      </c>
      <c r="D217">
        <v>3.87602</v>
      </c>
      <c r="E217">
        <v>0.49379240000000002</v>
      </c>
      <c r="F217" t="s">
        <v>42</v>
      </c>
      <c r="G217">
        <v>-396.89460000000003</v>
      </c>
      <c r="H217" s="1">
        <v>-1.3827760000000001E-6</v>
      </c>
      <c r="I217">
        <v>369.23149999999998</v>
      </c>
      <c r="J217">
        <v>-422.01119999999997</v>
      </c>
      <c r="K217">
        <v>1.059885</v>
      </c>
      <c r="L217">
        <v>367.84480000000002</v>
      </c>
      <c r="M217">
        <v>0.99988600000000005</v>
      </c>
      <c r="N217">
        <v>-1.5068E-2</v>
      </c>
      <c r="O217">
        <v>1.0556929999999999E-3</v>
      </c>
      <c r="P217">
        <v>0.99873889999999999</v>
      </c>
      <c r="Q217">
        <v>2.7161649999999999E-2</v>
      </c>
      <c r="R217">
        <v>4.222712E-2</v>
      </c>
      <c r="S217">
        <v>3.0002439999999999</v>
      </c>
      <c r="T217">
        <v>-0.1254683</v>
      </c>
      <c r="U217">
        <v>0.16418460000000001</v>
      </c>
      <c r="V217">
        <v>-4.1171619999999999E-2</v>
      </c>
      <c r="W217">
        <v>4.2209780000000002E-2</v>
      </c>
      <c r="X217">
        <v>0.99826009999999998</v>
      </c>
      <c r="Y217">
        <v>-5.3524580000000002E-2</v>
      </c>
      <c r="Z217">
        <v>1.4934709999999999E-3</v>
      </c>
      <c r="AA217">
        <v>0.99856540000000005</v>
      </c>
      <c r="AB217">
        <v>40</v>
      </c>
      <c r="AC217">
        <v>25.116599999999899</v>
      </c>
      <c r="AD217">
        <v>-1.0598863827759999</v>
      </c>
      <c r="AE217">
        <v>1.3866999999999601</v>
      </c>
      <c r="AF217">
        <v>-1.3577703315894101</v>
      </c>
      <c r="AG217">
        <v>-1.0598863827759999</v>
      </c>
      <c r="AH217">
        <v>25.0735367011116</v>
      </c>
      <c r="AI217">
        <v>92.416978584533496</v>
      </c>
      <c r="AJ217">
        <v>93.099626620500601</v>
      </c>
      <c r="AK217">
        <v>25.132631022631301</v>
      </c>
      <c r="AL217">
        <v>87.580839026948695</v>
      </c>
      <c r="AM217">
        <v>92.361733061319001</v>
      </c>
      <c r="AN217">
        <v>0.99999999753654101</v>
      </c>
    </row>
    <row r="218" spans="1:40" x14ac:dyDescent="0.25">
      <c r="A218" t="str">
        <f>"20190305135800150"</f>
        <v>20190305135800150</v>
      </c>
      <c r="B218" t="str">
        <f>"1551765480138753"</f>
        <v>1551765480138753</v>
      </c>
      <c r="C218" t="s">
        <v>40</v>
      </c>
      <c r="D218">
        <v>3.861078</v>
      </c>
      <c r="E218">
        <v>0.4939944</v>
      </c>
      <c r="F218" t="s">
        <v>42</v>
      </c>
      <c r="G218">
        <v>-396.53030000000001</v>
      </c>
      <c r="H218" s="1">
        <v>-1.5377879999999901E-6</v>
      </c>
      <c r="I218">
        <v>369.23869999999999</v>
      </c>
      <c r="J218">
        <v>-421.63990000000001</v>
      </c>
      <c r="K218">
        <v>1.0598989999999999</v>
      </c>
      <c r="L218">
        <v>367.84519999999998</v>
      </c>
      <c r="M218">
        <v>0.99988589999999999</v>
      </c>
      <c r="N218">
        <v>-1.506964E-2</v>
      </c>
      <c r="O218">
        <v>1.0721350000000001E-3</v>
      </c>
      <c r="P218">
        <v>0.99868190000000001</v>
      </c>
      <c r="Q218">
        <v>2.827172E-2</v>
      </c>
      <c r="R218">
        <v>4.2843260000000001E-2</v>
      </c>
      <c r="S218">
        <v>3.0002439999999999</v>
      </c>
      <c r="T218">
        <v>-0.1247958</v>
      </c>
      <c r="U218">
        <v>0.16412349999999901</v>
      </c>
      <c r="V218">
        <v>-4.1771780000000001E-2</v>
      </c>
      <c r="W218">
        <v>4.3319799999999999E-2</v>
      </c>
      <c r="X218">
        <v>0.99818759999999995</v>
      </c>
      <c r="Y218">
        <v>-5.3488540000000001E-2</v>
      </c>
      <c r="Z218">
        <v>1.4863089999999999E-3</v>
      </c>
      <c r="AA218">
        <v>0.99856730000000005</v>
      </c>
      <c r="AB218">
        <v>40</v>
      </c>
      <c r="AC218">
        <v>25.1096</v>
      </c>
      <c r="AD218">
        <v>-1.059900537788</v>
      </c>
      <c r="AE218">
        <v>1.39350000000001</v>
      </c>
      <c r="AF218">
        <v>-1.3641521246606101</v>
      </c>
      <c r="AG218">
        <v>-1.059900537788</v>
      </c>
      <c r="AH218">
        <v>25.0665541579991</v>
      </c>
      <c r="AI218">
        <v>92.417648061198804</v>
      </c>
      <c r="AJ218">
        <v>93.115032653358895</v>
      </c>
      <c r="AK218">
        <v>25.1260111741821</v>
      </c>
      <c r="AL218">
        <v>87.517181296900901</v>
      </c>
      <c r="AM218">
        <v>92.396294111195303</v>
      </c>
      <c r="AN218">
        <v>0.99999998573508397</v>
      </c>
    </row>
    <row r="219" spans="1:40" x14ac:dyDescent="0.25">
      <c r="A219" t="str">
        <f>"20190305135800172"</f>
        <v>20190305135800172</v>
      </c>
      <c r="B219" t="str">
        <f>"1551765480169005"</f>
        <v>1551765480169005</v>
      </c>
      <c r="C219" t="s">
        <v>40</v>
      </c>
      <c r="D219">
        <v>3.862978</v>
      </c>
      <c r="E219">
        <v>0.4941757</v>
      </c>
      <c r="F219" t="s">
        <v>42</v>
      </c>
      <c r="G219">
        <v>-396.21100000000001</v>
      </c>
      <c r="H219" s="1">
        <v>-1.6753909999999901E-6</v>
      </c>
      <c r="I219">
        <v>369.23509999999999</v>
      </c>
      <c r="J219">
        <v>-421.24419999999998</v>
      </c>
      <c r="K219">
        <v>1.0599190000000001</v>
      </c>
      <c r="L219">
        <v>367.84570000000002</v>
      </c>
      <c r="M219">
        <v>0.99988580000000005</v>
      </c>
      <c r="N219">
        <v>-1.5070389999999999E-2</v>
      </c>
      <c r="O219">
        <v>1.106384E-3</v>
      </c>
      <c r="P219">
        <v>0.99863500000000005</v>
      </c>
      <c r="Q219">
        <v>2.8908449999999999E-2</v>
      </c>
      <c r="R219">
        <v>4.3502930000000002E-2</v>
      </c>
      <c r="S219">
        <v>3.0004270000000002</v>
      </c>
      <c r="T219">
        <v>-0.12506019999999901</v>
      </c>
      <c r="U219">
        <v>0.16400149999999999</v>
      </c>
      <c r="V219">
        <v>-4.2398869999999998E-2</v>
      </c>
      <c r="W219">
        <v>4.3955290000000001E-2</v>
      </c>
      <c r="X219">
        <v>0.99813339999999995</v>
      </c>
      <c r="Y219">
        <v>-5.3410399999999997E-2</v>
      </c>
      <c r="Z219">
        <v>1.485398E-3</v>
      </c>
      <c r="AA219">
        <v>0.99857149999999995</v>
      </c>
      <c r="AB219">
        <v>40</v>
      </c>
      <c r="AC219">
        <v>25.033199999999901</v>
      </c>
      <c r="AD219">
        <v>-1.059920675391</v>
      </c>
      <c r="AE219">
        <v>1.38939999999996</v>
      </c>
      <c r="AF219">
        <v>-1.35927035496786</v>
      </c>
      <c r="AG219">
        <v>-1.059920675391</v>
      </c>
      <c r="AH219">
        <v>24.9900593069781</v>
      </c>
      <c r="AI219">
        <v>92.425089486567103</v>
      </c>
      <c r="AJ219">
        <v>93.113389430645697</v>
      </c>
      <c r="AK219">
        <v>25.0494333648946</v>
      </c>
      <c r="AL219">
        <v>87.480735739783995</v>
      </c>
      <c r="AM219">
        <v>92.432357000622901</v>
      </c>
      <c r="AN219">
        <v>1.0000000079459099</v>
      </c>
    </row>
    <row r="220" spans="1:40" x14ac:dyDescent="0.25">
      <c r="A220" t="str">
        <f>"20190305135800185"</f>
        <v>20190305135800185</v>
      </c>
      <c r="B220" t="str">
        <f>"1551765480178766"</f>
        <v>1551765480178766</v>
      </c>
      <c r="C220" t="s">
        <v>40</v>
      </c>
      <c r="D220">
        <v>3.855356</v>
      </c>
      <c r="E220">
        <v>0.49415049999999999</v>
      </c>
      <c r="F220" t="s">
        <v>42</v>
      </c>
      <c r="G220">
        <v>-396.30709999999999</v>
      </c>
      <c r="H220" s="1">
        <v>-1.637654E-6</v>
      </c>
      <c r="I220">
        <v>369.21539999999999</v>
      </c>
      <c r="J220">
        <v>-421.0283</v>
      </c>
      <c r="K220">
        <v>1.0599259999999999</v>
      </c>
      <c r="L220">
        <v>367.84589999999997</v>
      </c>
      <c r="M220">
        <v>0.99988589999999999</v>
      </c>
      <c r="N220">
        <v>-1.5070399999999999E-2</v>
      </c>
      <c r="O220">
        <v>1.136721E-3</v>
      </c>
      <c r="P220">
        <v>0.99861529999999998</v>
      </c>
      <c r="Q220">
        <v>2.8958439999999998E-2</v>
      </c>
      <c r="R220">
        <v>4.392194E-2</v>
      </c>
      <c r="S220">
        <v>3.0006710000000001</v>
      </c>
      <c r="T220">
        <v>-0.1275396</v>
      </c>
      <c r="U220">
        <v>0.16482539999999901</v>
      </c>
      <c r="V220">
        <v>-4.2788109999999997E-2</v>
      </c>
      <c r="W220">
        <v>4.400341E-2</v>
      </c>
      <c r="X220">
        <v>0.99811459999999996</v>
      </c>
      <c r="Y220">
        <v>-5.3646619999999999E-2</v>
      </c>
      <c r="Z220">
        <v>1.5123879999999999E-3</v>
      </c>
      <c r="AA220">
        <v>0.99855879999999997</v>
      </c>
      <c r="AB220">
        <v>40</v>
      </c>
      <c r="AC220">
        <v>24.7212</v>
      </c>
      <c r="AD220">
        <v>-1.0599276376540001</v>
      </c>
      <c r="AE220">
        <v>1.3695000000000099</v>
      </c>
      <c r="AF220">
        <v>-1.3389409919361399</v>
      </c>
      <c r="AG220">
        <v>-1.0599276376540001</v>
      </c>
      <c r="AH220">
        <v>24.677515376426701</v>
      </c>
      <c r="AI220">
        <v>92.455800226893004</v>
      </c>
      <c r="AJ220">
        <v>93.105682189606995</v>
      </c>
      <c r="AK220">
        <v>24.7365311782135</v>
      </c>
      <c r="AL220">
        <v>87.477975821651697</v>
      </c>
      <c r="AM220">
        <v>92.454706080667293</v>
      </c>
      <c r="AN220">
        <v>0.99999993859107805</v>
      </c>
    </row>
    <row r="221" spans="1:40" x14ac:dyDescent="0.25">
      <c r="A221" t="str">
        <f>"20190305135800206"</f>
        <v>20190305135800206</v>
      </c>
      <c r="B221" t="str">
        <f>"1551765480199262"</f>
        <v>1551765480199262</v>
      </c>
      <c r="C221" t="s">
        <v>40</v>
      </c>
      <c r="D221">
        <v>3.9656310000000001</v>
      </c>
      <c r="E221">
        <v>0.49418010000000001</v>
      </c>
      <c r="F221" t="s">
        <v>42</v>
      </c>
      <c r="G221">
        <v>-396.26220000000001</v>
      </c>
      <c r="H221" s="1">
        <v>-1.6561379999999999E-6</v>
      </c>
      <c r="I221">
        <v>369.2199</v>
      </c>
      <c r="J221">
        <v>-420.64269999999999</v>
      </c>
      <c r="K221">
        <v>1.0599559999999999</v>
      </c>
      <c r="L221">
        <v>367.84649999999999</v>
      </c>
      <c r="M221">
        <v>0.99988580000000005</v>
      </c>
      <c r="N221">
        <v>-1.5069859999999999E-2</v>
      </c>
      <c r="O221">
        <v>1.219068E-3</v>
      </c>
      <c r="P221">
        <v>0.99858400000000003</v>
      </c>
      <c r="Q221">
        <v>2.9432280000000002E-2</v>
      </c>
      <c r="R221">
        <v>4.4320209999999999E-2</v>
      </c>
      <c r="S221">
        <v>3.0005489999999999</v>
      </c>
      <c r="T221">
        <v>-0.12841549999999999</v>
      </c>
      <c r="U221">
        <v>0.16647339999999999</v>
      </c>
      <c r="V221">
        <v>-4.3107510000000002E-2</v>
      </c>
      <c r="W221">
        <v>4.4474050000000001E-2</v>
      </c>
      <c r="X221">
        <v>0.99808010000000003</v>
      </c>
      <c r="Y221">
        <v>-5.411204E-2</v>
      </c>
      <c r="Z221">
        <v>1.53107E-3</v>
      </c>
      <c r="AA221">
        <v>0.99853369999999997</v>
      </c>
      <c r="AB221">
        <v>40</v>
      </c>
      <c r="AC221">
        <v>24.380499999999898</v>
      </c>
      <c r="AD221">
        <v>-1.059957656138</v>
      </c>
      <c r="AE221">
        <v>1.3734</v>
      </c>
      <c r="AF221">
        <v>-1.3411471946596201</v>
      </c>
      <c r="AG221">
        <v>-1.059957656138</v>
      </c>
      <c r="AH221">
        <v>24.336303051638598</v>
      </c>
      <c r="AI221">
        <v>92.490144245505107</v>
      </c>
      <c r="AJ221">
        <v>93.154317467367704</v>
      </c>
      <c r="AK221">
        <v>24.3962667687445</v>
      </c>
      <c r="AL221">
        <v>87.450983972949501</v>
      </c>
      <c r="AM221">
        <v>92.473092413697898</v>
      </c>
      <c r="AN221">
        <v>1.0000000422788999</v>
      </c>
    </row>
    <row r="222" spans="1:40" x14ac:dyDescent="0.25">
      <c r="A222" t="str">
        <f>"20190305135800231"</f>
        <v>20190305135800231</v>
      </c>
      <c r="B222" t="str">
        <f>"1551765480218781"</f>
        <v>1551765480218781</v>
      </c>
      <c r="C222" t="s">
        <v>40</v>
      </c>
      <c r="D222">
        <v>3.910663</v>
      </c>
      <c r="E222">
        <v>0.49420019999999998</v>
      </c>
      <c r="F222" t="s">
        <v>42</v>
      </c>
      <c r="G222">
        <v>-395.79329999999999</v>
      </c>
      <c r="H222" s="1">
        <v>-1.855553E-6</v>
      </c>
      <c r="I222">
        <v>369.2296</v>
      </c>
      <c r="J222">
        <v>-420.21719999999999</v>
      </c>
      <c r="K222">
        <v>1.0599970000000001</v>
      </c>
      <c r="L222">
        <v>367.84710000000001</v>
      </c>
      <c r="M222">
        <v>0.99988560000000004</v>
      </c>
      <c r="N222">
        <v>-1.50686E-2</v>
      </c>
      <c r="O222">
        <v>1.3641459999999999E-3</v>
      </c>
      <c r="P222">
        <v>0.99854529999999997</v>
      </c>
      <c r="Q222">
        <v>3.0448840000000001E-2</v>
      </c>
      <c r="R222">
        <v>4.450146E-2</v>
      </c>
      <c r="S222">
        <v>3.0006409999999999</v>
      </c>
      <c r="T222">
        <v>-0.12799269999999999</v>
      </c>
      <c r="U222">
        <v>0.1670227</v>
      </c>
      <c r="V222">
        <v>-4.3147900000000003E-2</v>
      </c>
      <c r="W222">
        <v>4.5484410000000003E-2</v>
      </c>
      <c r="X222">
        <v>0.99803280000000005</v>
      </c>
      <c r="Y222">
        <v>-5.4148099999999998E-2</v>
      </c>
      <c r="Z222">
        <v>1.524407E-3</v>
      </c>
      <c r="AA222">
        <v>0.99853179999999997</v>
      </c>
      <c r="AB222">
        <v>40</v>
      </c>
      <c r="AC222">
        <v>24.4239</v>
      </c>
      <c r="AD222">
        <v>-1.05999885555299</v>
      </c>
      <c r="AE222">
        <v>1.3824999999999901</v>
      </c>
      <c r="AF222">
        <v>-1.3466487666492799</v>
      </c>
      <c r="AG222">
        <v>-1.05999885555299</v>
      </c>
      <c r="AH222">
        <v>24.379988770234299</v>
      </c>
      <c r="AI222">
        <v>92.485767001639502</v>
      </c>
      <c r="AJ222">
        <v>93.161566890223696</v>
      </c>
      <c r="AK222">
        <v>24.440149609019201</v>
      </c>
      <c r="AL222">
        <v>87.393035906645196</v>
      </c>
      <c r="AM222">
        <v>92.475523892161505</v>
      </c>
      <c r="AN222">
        <v>1.00000002135164</v>
      </c>
    </row>
    <row r="223" spans="1:40" x14ac:dyDescent="0.25">
      <c r="A223" t="str">
        <f>"20190305135800251"</f>
        <v>20190305135800251</v>
      </c>
      <c r="B223" t="str">
        <f>"1551765480239278"</f>
        <v>1551765480239278</v>
      </c>
      <c r="C223" t="s">
        <v>40</v>
      </c>
      <c r="D223">
        <v>3.8710260000000001</v>
      </c>
      <c r="E223">
        <v>0.50128950000000005</v>
      </c>
      <c r="F223" t="s">
        <v>42</v>
      </c>
      <c r="G223">
        <v>-394.97890000000001</v>
      </c>
      <c r="H223" s="1">
        <v>-2.200718E-6</v>
      </c>
      <c r="I223">
        <v>369.2534</v>
      </c>
      <c r="J223">
        <v>-419.84679999999997</v>
      </c>
      <c r="K223">
        <v>1.0600430000000001</v>
      </c>
      <c r="L223">
        <v>367.84769999999997</v>
      </c>
      <c r="M223">
        <v>0.99988520000000003</v>
      </c>
      <c r="N223">
        <v>-1.506707E-2</v>
      </c>
      <c r="O223">
        <v>1.5482479999999999E-3</v>
      </c>
      <c r="P223">
        <v>0.99854240000000005</v>
      </c>
      <c r="Q223">
        <v>3.1025460000000001E-2</v>
      </c>
      <c r="R223">
        <v>4.4164920000000003E-2</v>
      </c>
      <c r="S223">
        <v>3.0007320000000002</v>
      </c>
      <c r="T223">
        <v>-0.12602930000000001</v>
      </c>
      <c r="U223">
        <v>0.16720579999999999</v>
      </c>
      <c r="V223">
        <v>-4.263281E-2</v>
      </c>
      <c r="W223">
        <v>4.6055529999999997E-2</v>
      </c>
      <c r="X223">
        <v>0.99802869999999999</v>
      </c>
      <c r="Y223">
        <v>-5.4025259999999999E-2</v>
      </c>
      <c r="Z223">
        <v>1.499081E-3</v>
      </c>
      <c r="AA223">
        <v>0.99853840000000005</v>
      </c>
      <c r="AB223">
        <v>40</v>
      </c>
      <c r="AC223">
        <v>24.867899999999899</v>
      </c>
      <c r="AD223">
        <v>-1.0600452007179999</v>
      </c>
      <c r="AE223">
        <v>1.4057000000000199</v>
      </c>
      <c r="AF223">
        <v>-1.36472037630587</v>
      </c>
      <c r="AG223">
        <v>-1.0600452007179999</v>
      </c>
      <c r="AH223">
        <v>24.825081687730901</v>
      </c>
      <c r="AI223">
        <v>92.441395448457001</v>
      </c>
      <c r="AJ223">
        <v>93.146579457777904</v>
      </c>
      <c r="AK223">
        <v>24.885152969905199</v>
      </c>
      <c r="AL223">
        <v>87.360278695366503</v>
      </c>
      <c r="AM223">
        <v>92.446017786226506</v>
      </c>
      <c r="AN223">
        <v>0.99999997717788303</v>
      </c>
    </row>
    <row r="224" spans="1:40" x14ac:dyDescent="0.25">
      <c r="A224" t="str">
        <f>"20190305135800272"</f>
        <v>20190305135800272</v>
      </c>
      <c r="B224" t="str">
        <f>"1551765480268557"</f>
        <v>1551765480268557</v>
      </c>
      <c r="C224" t="s">
        <v>40</v>
      </c>
      <c r="D224">
        <v>3.8758789999999999</v>
      </c>
      <c r="E224">
        <v>0.49457640000000003</v>
      </c>
      <c r="F224" t="s">
        <v>43</v>
      </c>
      <c r="G224">
        <v>-405.5829</v>
      </c>
      <c r="H224">
        <v>-0.05</v>
      </c>
      <c r="I224">
        <v>368.33890000000002</v>
      </c>
      <c r="J224">
        <v>-419.47629999999998</v>
      </c>
      <c r="K224">
        <v>1.0600989999999999</v>
      </c>
      <c r="L224">
        <v>367.84859999999998</v>
      </c>
      <c r="M224">
        <v>0.99988500000000002</v>
      </c>
      <c r="N224">
        <v>-1.506526E-2</v>
      </c>
      <c r="O224">
        <v>1.7982110000000001E-3</v>
      </c>
      <c r="P224">
        <v>0.99856040000000001</v>
      </c>
      <c r="Q224">
        <v>3.082876E-2</v>
      </c>
      <c r="R224">
        <v>4.3895969999999999E-2</v>
      </c>
      <c r="S224">
        <v>3.00705</v>
      </c>
      <c r="T224">
        <v>-0.23401449999999999</v>
      </c>
      <c r="U224">
        <v>0.1035461</v>
      </c>
      <c r="V224">
        <v>-4.212018E-2</v>
      </c>
      <c r="W224">
        <v>4.5851669999999997E-2</v>
      </c>
      <c r="X224">
        <v>0.9980599</v>
      </c>
      <c r="Y224">
        <v>-3.2502950000000003E-2</v>
      </c>
      <c r="Z224">
        <v>1.3951650000000001E-3</v>
      </c>
      <c r="AA224">
        <v>0.99947070000000005</v>
      </c>
      <c r="AB224">
        <v>40</v>
      </c>
      <c r="AC224">
        <v>13.8933999999999</v>
      </c>
      <c r="AD224">
        <v>-1.1100989999999999</v>
      </c>
      <c r="AE224">
        <v>0.49030000000004698</v>
      </c>
      <c r="AF224">
        <v>-0.46236495164948799</v>
      </c>
      <c r="AG224">
        <v>-1.1100989999999999</v>
      </c>
      <c r="AH224">
        <v>13.8062272421577</v>
      </c>
      <c r="AI224">
        <v>94.594451380519899</v>
      </c>
      <c r="AJ224">
        <v>91.918095553791701</v>
      </c>
      <c r="AK224">
        <v>13.8584996229899</v>
      </c>
      <c r="AL224">
        <v>87.371971490396206</v>
      </c>
      <c r="AM224">
        <v>92.416565742852399</v>
      </c>
      <c r="AN224">
        <v>1.0000000245965099</v>
      </c>
    </row>
    <row r="225" spans="1:40" x14ac:dyDescent="0.25">
      <c r="A225" t="str">
        <f>"20190305135800286"</f>
        <v>20190305135800286</v>
      </c>
      <c r="B225" t="str">
        <f>"1551765480279294"</f>
        <v>1551765480279294</v>
      </c>
      <c r="C225" t="s">
        <v>40</v>
      </c>
      <c r="D225">
        <v>3.8928609999999999</v>
      </c>
      <c r="E225">
        <v>0.49472670000000002</v>
      </c>
      <c r="F225" t="s">
        <v>42</v>
      </c>
      <c r="G225">
        <v>-395.66160000000002</v>
      </c>
      <c r="H225" s="1">
        <v>-1.92918E-6</v>
      </c>
      <c r="I225">
        <v>369.13310000000001</v>
      </c>
      <c r="J225">
        <v>-419.22829999999999</v>
      </c>
      <c r="K225">
        <v>1.0601400000000001</v>
      </c>
      <c r="L225">
        <v>367.84910000000002</v>
      </c>
      <c r="M225">
        <v>0.99988449999999995</v>
      </c>
      <c r="N225">
        <v>-1.506391E-2</v>
      </c>
      <c r="O225">
        <v>2.0064319999999998E-3</v>
      </c>
      <c r="P225">
        <v>0.998587</v>
      </c>
      <c r="Q225">
        <v>3.0421960000000001E-2</v>
      </c>
      <c r="R225">
        <v>4.3573399999999998E-2</v>
      </c>
      <c r="S225">
        <v>3.0013429999999999</v>
      </c>
      <c r="T225">
        <v>-0.13360320000000001</v>
      </c>
      <c r="U225">
        <v>0.16189579999999901</v>
      </c>
      <c r="V225">
        <v>-4.1594119999999998E-2</v>
      </c>
      <c r="W225">
        <v>4.5439630000000002E-2</v>
      </c>
      <c r="X225">
        <v>0.99810080000000001</v>
      </c>
      <c r="Y225">
        <v>-5.179131E-2</v>
      </c>
      <c r="Z225">
        <v>1.482969E-3</v>
      </c>
      <c r="AA225">
        <v>0.99865680000000001</v>
      </c>
      <c r="AB225">
        <v>40</v>
      </c>
      <c r="AC225">
        <v>23.566699999999901</v>
      </c>
      <c r="AD225">
        <v>-1.0601419291799901</v>
      </c>
      <c r="AE225">
        <v>1.28399999999999</v>
      </c>
      <c r="AF225">
        <v>-1.23421686447363</v>
      </c>
      <c r="AG225">
        <v>-1.0601419291799901</v>
      </c>
      <c r="AH225">
        <v>23.521770690601201</v>
      </c>
      <c r="AI225">
        <v>92.577072229210501</v>
      </c>
      <c r="AJ225">
        <v>93.003627005714904</v>
      </c>
      <c r="AK225">
        <v>23.577974650079302</v>
      </c>
      <c r="AL225">
        <v>87.395604260657805</v>
      </c>
      <c r="AM225">
        <v>92.386321481288803</v>
      </c>
      <c r="AN225">
        <v>1.0000000188768701</v>
      </c>
    </row>
    <row r="226" spans="1:40" x14ac:dyDescent="0.25">
      <c r="A226" t="str">
        <f>"20190305135800307"</f>
        <v>20190305135800307</v>
      </c>
      <c r="B226" t="str">
        <f>"1551765480299790"</f>
        <v>1551765480299790</v>
      </c>
      <c r="C226" t="s">
        <v>40</v>
      </c>
      <c r="D226">
        <v>3.8720330000000001</v>
      </c>
      <c r="E226">
        <v>0.49447029999999997</v>
      </c>
      <c r="F226" t="s">
        <v>42</v>
      </c>
      <c r="G226">
        <v>-395.48739999999998</v>
      </c>
      <c r="H226" s="1">
        <v>-2.006998E-6</v>
      </c>
      <c r="I226">
        <v>369.1157</v>
      </c>
      <c r="J226">
        <v>-418.85719999999998</v>
      </c>
      <c r="K226">
        <v>1.0602039999999999</v>
      </c>
      <c r="L226">
        <v>367.8503</v>
      </c>
      <c r="M226">
        <v>0.99988379999999999</v>
      </c>
      <c r="N226">
        <v>-1.5061720000000001E-2</v>
      </c>
      <c r="O226">
        <v>2.3729990000000002E-3</v>
      </c>
      <c r="P226">
        <v>0.99861889999999998</v>
      </c>
      <c r="Q226">
        <v>2.9546969999999999E-2</v>
      </c>
      <c r="R226">
        <v>4.3441529999999999E-2</v>
      </c>
      <c r="S226">
        <v>3.001312</v>
      </c>
      <c r="T226">
        <v>-0.13402220000000001</v>
      </c>
      <c r="U226">
        <v>0.16012570000000001</v>
      </c>
      <c r="V226">
        <v>-4.1102689999999997E-2</v>
      </c>
      <c r="W226">
        <v>4.4557430000000002E-2</v>
      </c>
      <c r="X226">
        <v>0.99816090000000002</v>
      </c>
      <c r="Y226">
        <v>-5.0839509999999997E-2</v>
      </c>
      <c r="Z226">
        <v>1.4470220000000001E-3</v>
      </c>
      <c r="AA226">
        <v>0.99870579999999998</v>
      </c>
      <c r="AB226">
        <v>40</v>
      </c>
      <c r="AC226">
        <v>23.369800000000001</v>
      </c>
      <c r="AD226">
        <v>-1.0602060069979999</v>
      </c>
      <c r="AE226">
        <v>1.2653999999999901</v>
      </c>
      <c r="AF226">
        <v>-1.2074558123933901</v>
      </c>
      <c r="AG226">
        <v>-1.0602060069979999</v>
      </c>
      <c r="AH226">
        <v>23.324872285565501</v>
      </c>
      <c r="AI226">
        <v>92.599048936668197</v>
      </c>
      <c r="AJ226">
        <v>92.963378406603894</v>
      </c>
      <c r="AK226">
        <v>23.380155120402801</v>
      </c>
      <c r="AL226">
        <v>87.446201774338903</v>
      </c>
      <c r="AM226">
        <v>92.358017545330796</v>
      </c>
      <c r="AN226">
        <v>0.99999998899112497</v>
      </c>
    </row>
    <row r="227" spans="1:40" x14ac:dyDescent="0.25">
      <c r="A227" t="str">
        <f>"20190305135800330"</f>
        <v>20190305135800330</v>
      </c>
      <c r="B227" t="str">
        <f>"1551765480319317"</f>
        <v>1551765480319317</v>
      </c>
      <c r="C227" t="s">
        <v>40</v>
      </c>
      <c r="D227">
        <v>3.7771270000000001</v>
      </c>
      <c r="E227">
        <v>0.49439250000000001</v>
      </c>
      <c r="F227" t="s">
        <v>42</v>
      </c>
      <c r="G227">
        <v>-395.51929999999999</v>
      </c>
      <c r="H227" s="1">
        <v>-1.995034E-6</v>
      </c>
      <c r="I227">
        <v>369.10610000000003</v>
      </c>
      <c r="J227">
        <v>-418.4633</v>
      </c>
      <c r="K227">
        <v>1.0602689999999999</v>
      </c>
      <c r="L227">
        <v>367.85160000000002</v>
      </c>
      <c r="M227">
        <v>0.99988279999999996</v>
      </c>
      <c r="N227">
        <v>-1.505918E-2</v>
      </c>
      <c r="O227">
        <v>2.8255039999999999E-3</v>
      </c>
      <c r="P227">
        <v>0.99863210000000002</v>
      </c>
      <c r="Q227">
        <v>2.8478090000000001E-2</v>
      </c>
      <c r="R227">
        <v>4.3852929999999998E-2</v>
      </c>
      <c r="S227">
        <v>3.0011290000000002</v>
      </c>
      <c r="T227">
        <v>-0.13633619999999999</v>
      </c>
      <c r="U227">
        <v>0.161499</v>
      </c>
      <c r="V227">
        <v>-4.1067510000000002E-2</v>
      </c>
      <c r="W227">
        <v>4.3479869999999997E-2</v>
      </c>
      <c r="X227">
        <v>0.99820989999999998</v>
      </c>
      <c r="Y227">
        <v>-5.0844680000000003E-2</v>
      </c>
      <c r="Z227">
        <v>1.4511769999999999E-3</v>
      </c>
      <c r="AA227">
        <v>0.99870550000000002</v>
      </c>
      <c r="AB227">
        <v>39</v>
      </c>
      <c r="AC227">
        <v>22.943999999999999</v>
      </c>
      <c r="AD227">
        <v>-1.0602709950339999</v>
      </c>
      <c r="AE227">
        <v>1.2544999999999999</v>
      </c>
      <c r="AF227">
        <v>-1.18713174767783</v>
      </c>
      <c r="AG227">
        <v>-1.0602709950339999</v>
      </c>
      <c r="AH227">
        <v>22.898699427223001</v>
      </c>
      <c r="AI227">
        <v>92.647503914120605</v>
      </c>
      <c r="AJ227">
        <v>92.967714424240896</v>
      </c>
      <c r="AK227">
        <v>22.9539515514771</v>
      </c>
      <c r="AL227">
        <v>87.508001402140707</v>
      </c>
      <c r="AM227">
        <v>92.355886060643897</v>
      </c>
      <c r="AN227">
        <v>1.0000000219654099</v>
      </c>
    </row>
    <row r="228" spans="1:40" x14ac:dyDescent="0.25">
      <c r="A228" t="str">
        <f>"20190305135800343"</f>
        <v>20190305135800343</v>
      </c>
      <c r="B228" t="str">
        <f>"1551765480339336"</f>
        <v>1551765480339336</v>
      </c>
      <c r="C228" t="s">
        <v>40</v>
      </c>
      <c r="D228">
        <v>3.8742779999999999</v>
      </c>
      <c r="E228">
        <v>0.4944596</v>
      </c>
      <c r="F228" t="s">
        <v>42</v>
      </c>
      <c r="G228">
        <v>-395.72829999999999</v>
      </c>
      <c r="H228" s="1">
        <v>-1.9083520000000002E-6</v>
      </c>
      <c r="I228">
        <v>369.08909999999997</v>
      </c>
      <c r="J228">
        <v>-418.23739999999998</v>
      </c>
      <c r="K228">
        <v>1.0603020000000001</v>
      </c>
      <c r="L228">
        <v>367.85239999999999</v>
      </c>
      <c r="M228">
        <v>0.99988189999999999</v>
      </c>
      <c r="N228">
        <v>-1.5057620000000001E-2</v>
      </c>
      <c r="O228">
        <v>3.108001E-3</v>
      </c>
      <c r="P228">
        <v>0.99862329999999999</v>
      </c>
      <c r="Q228">
        <v>2.8232810000000001E-2</v>
      </c>
      <c r="R228">
        <v>4.4213229999999999E-2</v>
      </c>
      <c r="S228">
        <v>3.0009160000000001</v>
      </c>
      <c r="T228">
        <v>-0.13995089999999999</v>
      </c>
      <c r="U228">
        <v>0.16336059999999999</v>
      </c>
      <c r="V228">
        <v>-4.1149350000000001E-2</v>
      </c>
      <c r="W228">
        <v>4.3229759999999999E-2</v>
      </c>
      <c r="X228">
        <v>0.99821729999999997</v>
      </c>
      <c r="Y228">
        <v>-5.1180530000000002E-2</v>
      </c>
      <c r="Z228">
        <v>1.4798070000000001E-3</v>
      </c>
      <c r="AA228">
        <v>0.99868829999999997</v>
      </c>
      <c r="AB228">
        <v>39</v>
      </c>
      <c r="AC228">
        <v>22.509099999999901</v>
      </c>
      <c r="AD228">
        <v>-1.0603039083520001</v>
      </c>
      <c r="AE228">
        <v>1.2366999999999799</v>
      </c>
      <c r="AF228">
        <v>-1.1641523916649399</v>
      </c>
      <c r="AG228">
        <v>-1.0603039083520001</v>
      </c>
      <c r="AH228">
        <v>22.463141132873101</v>
      </c>
      <c r="AI228">
        <v>92.698849728507696</v>
      </c>
      <c r="AJ228">
        <v>92.966699915918795</v>
      </c>
      <c r="AK228">
        <v>22.5182638035098</v>
      </c>
      <c r="AL228">
        <v>87.522344907121393</v>
      </c>
      <c r="AM228">
        <v>92.360558123242896</v>
      </c>
      <c r="AN228">
        <v>0.99999992958718198</v>
      </c>
    </row>
    <row r="229" spans="1:40" x14ac:dyDescent="0.25">
      <c r="A229" t="str">
        <f>"20190305135800361"</f>
        <v>20190305135800361</v>
      </c>
      <c r="B229" t="str">
        <f>"1551765480358855"</f>
        <v>1551765480358855</v>
      </c>
      <c r="C229" t="s">
        <v>40</v>
      </c>
      <c r="D229">
        <v>3.8943819999999998</v>
      </c>
      <c r="E229">
        <v>0.49446289999999998</v>
      </c>
      <c r="F229" t="s">
        <v>42</v>
      </c>
      <c r="G229">
        <v>-395.56459999999998</v>
      </c>
      <c r="H229" s="1">
        <v>-1.9784239999999998E-6</v>
      </c>
      <c r="I229">
        <v>369.09010000000001</v>
      </c>
      <c r="J229">
        <v>-417.90370000000001</v>
      </c>
      <c r="K229">
        <v>1.060344</v>
      </c>
      <c r="L229">
        <v>367.85390000000001</v>
      </c>
      <c r="M229">
        <v>0.9998804</v>
      </c>
      <c r="N229">
        <v>-1.50551E-2</v>
      </c>
      <c r="O229">
        <v>3.5537059999999998E-3</v>
      </c>
      <c r="P229">
        <v>0.99858670000000005</v>
      </c>
      <c r="Q229">
        <v>2.833813E-2</v>
      </c>
      <c r="R229">
        <v>4.496298E-2</v>
      </c>
      <c r="S229">
        <v>3.0008539999999999</v>
      </c>
      <c r="T229">
        <v>-0.14033579999999901</v>
      </c>
      <c r="U229">
        <v>0.1638184</v>
      </c>
      <c r="V229">
        <v>-4.145857E-2</v>
      </c>
      <c r="W229">
        <v>4.3328369999999998E-2</v>
      </c>
      <c r="X229">
        <v>0.99820030000000004</v>
      </c>
      <c r="Y229">
        <v>-5.0888660000000002E-2</v>
      </c>
      <c r="Z229">
        <v>1.45950299999999E-3</v>
      </c>
      <c r="AA229">
        <v>0.99870320000000001</v>
      </c>
      <c r="AB229">
        <v>39</v>
      </c>
      <c r="AC229">
        <v>22.339099999999998</v>
      </c>
      <c r="AD229">
        <v>-1.0603459784239999</v>
      </c>
      <c r="AE229">
        <v>1.23619999999999</v>
      </c>
      <c r="AF229">
        <v>-1.1542041055635599</v>
      </c>
      <c r="AG229">
        <v>-1.0603459784239999</v>
      </c>
      <c r="AH229">
        <v>22.293278774897299</v>
      </c>
      <c r="AI229">
        <v>92.719497649332595</v>
      </c>
      <c r="AJ229">
        <v>92.963764603034306</v>
      </c>
      <c r="AK229">
        <v>22.3483064066731</v>
      </c>
      <c r="AL229">
        <v>87.516689845533904</v>
      </c>
      <c r="AM229">
        <v>92.378316885835005</v>
      </c>
      <c r="AN229">
        <v>0.99999999979669596</v>
      </c>
    </row>
    <row r="230" spans="1:40" x14ac:dyDescent="0.25">
      <c r="A230" t="str">
        <f>"20190305135800384"</f>
        <v>20190305135800384</v>
      </c>
      <c r="B230" t="str">
        <f>"1551765480379352"</f>
        <v>1551765480379352</v>
      </c>
      <c r="C230" t="s">
        <v>40</v>
      </c>
      <c r="D230">
        <v>3.9224299999999999</v>
      </c>
      <c r="E230">
        <v>0.49437360000000002</v>
      </c>
      <c r="F230" t="s">
        <v>42</v>
      </c>
      <c r="G230">
        <v>-395.36290000000002</v>
      </c>
      <c r="H230" s="1">
        <v>-2.062685E-6</v>
      </c>
      <c r="I230">
        <v>369.1028</v>
      </c>
      <c r="J230">
        <v>-417.50290000000001</v>
      </c>
      <c r="K230">
        <v>1.0603800000000001</v>
      </c>
      <c r="L230">
        <v>367.85579999999999</v>
      </c>
      <c r="M230">
        <v>0.99987820000000005</v>
      </c>
      <c r="N230">
        <v>-1.5051749999999999E-2</v>
      </c>
      <c r="O230">
        <v>4.1211829999999996E-3</v>
      </c>
      <c r="P230">
        <v>0.99852110000000005</v>
      </c>
      <c r="Q230">
        <v>2.8584740000000001E-2</v>
      </c>
      <c r="R230">
        <v>4.6249930000000002E-2</v>
      </c>
      <c r="S230">
        <v>3.0007320000000002</v>
      </c>
      <c r="T230">
        <v>-0.14115749999999999</v>
      </c>
      <c r="U230">
        <v>0.16625980000000001</v>
      </c>
      <c r="V230">
        <v>-4.218351E-2</v>
      </c>
      <c r="W230">
        <v>4.3566090000000002E-2</v>
      </c>
      <c r="X230">
        <v>0.99815960000000004</v>
      </c>
      <c r="Y230">
        <v>-5.1133369999999997E-2</v>
      </c>
      <c r="Z230">
        <v>1.4548810000000001E-3</v>
      </c>
      <c r="AA230">
        <v>0.99869079999999999</v>
      </c>
      <c r="AB230">
        <v>39</v>
      </c>
      <c r="AC230">
        <v>22.139999999999901</v>
      </c>
      <c r="AD230">
        <v>-1.06038206268499</v>
      </c>
      <c r="AE230">
        <v>1.2470000000000101</v>
      </c>
      <c r="AF230">
        <v>-1.1530993767569799</v>
      </c>
      <c r="AG230">
        <v>-1.06038206268499</v>
      </c>
      <c r="AH230">
        <v>22.094430077185098</v>
      </c>
      <c r="AI230">
        <v>92.7439698983288</v>
      </c>
      <c r="AJ230">
        <v>92.987533110300703</v>
      </c>
      <c r="AK230">
        <v>22.1498959078178</v>
      </c>
      <c r="AL230">
        <v>87.503056669465806</v>
      </c>
      <c r="AM230">
        <v>92.4199534138274</v>
      </c>
      <c r="AN230">
        <v>1.0000000198929799</v>
      </c>
    </row>
    <row r="231" spans="1:40" x14ac:dyDescent="0.25">
      <c r="A231" t="str">
        <f>"20190305135800396"</f>
        <v>20190305135800396</v>
      </c>
      <c r="B231" t="str">
        <f>"1551765480389114"</f>
        <v>1551765480389114</v>
      </c>
      <c r="C231" t="s">
        <v>40</v>
      </c>
      <c r="D231">
        <v>3.928096</v>
      </c>
      <c r="E231">
        <v>0.49433769999999999</v>
      </c>
      <c r="F231" t="s">
        <v>42</v>
      </c>
      <c r="G231">
        <v>-394.99579999999997</v>
      </c>
      <c r="H231" s="1">
        <v>-2.21402E-6</v>
      </c>
      <c r="I231">
        <v>369.13760000000002</v>
      </c>
      <c r="J231">
        <v>-417.28109999999998</v>
      </c>
      <c r="K231">
        <v>1.0604</v>
      </c>
      <c r="L231">
        <v>367.85700000000003</v>
      </c>
      <c r="M231">
        <v>0.99987689999999996</v>
      </c>
      <c r="N231">
        <v>-1.50498E-2</v>
      </c>
      <c r="O231">
        <v>4.4434599999999998E-3</v>
      </c>
      <c r="P231">
        <v>0.9984615</v>
      </c>
      <c r="Q231">
        <v>2.902397E-2</v>
      </c>
      <c r="R231">
        <v>4.7246200000000002E-2</v>
      </c>
      <c r="S231">
        <v>3.00061</v>
      </c>
      <c r="T231">
        <v>-0.1413674</v>
      </c>
      <c r="U231">
        <v>0.17089840000000001</v>
      </c>
      <c r="V231">
        <v>-4.2859969999999997E-2</v>
      </c>
      <c r="W231">
        <v>4.4000549999999999E-2</v>
      </c>
      <c r="X231">
        <v>0.99811170000000005</v>
      </c>
      <c r="Y231">
        <v>-5.2350899999999999E-2</v>
      </c>
      <c r="Z231">
        <v>1.4838339999999901E-3</v>
      </c>
      <c r="AA231">
        <v>0.99862770000000001</v>
      </c>
      <c r="AB231">
        <v>39</v>
      </c>
      <c r="AC231">
        <v>22.285299999999999</v>
      </c>
      <c r="AD231">
        <v>-1.06040221402</v>
      </c>
      <c r="AE231">
        <v>1.2806000000000399</v>
      </c>
      <c r="AF231">
        <v>-1.1788919046322699</v>
      </c>
      <c r="AG231">
        <v>-1.06040221402</v>
      </c>
      <c r="AH231">
        <v>22.2405807120867</v>
      </c>
      <c r="AI231">
        <v>92.725900719847502</v>
      </c>
      <c r="AJ231">
        <v>93.034200305517601</v>
      </c>
      <c r="AK231">
        <v>22.297032748532899</v>
      </c>
      <c r="AL231">
        <v>87.478139990200802</v>
      </c>
      <c r="AM231">
        <v>92.458830688484497</v>
      </c>
      <c r="AN231">
        <v>0.99999999555279595</v>
      </c>
    </row>
    <row r="232" spans="1:40" x14ac:dyDescent="0.25">
      <c r="A232" t="str">
        <f>"20190305135800409"</f>
        <v>20190305135800409</v>
      </c>
      <c r="B232" t="str">
        <f>"1551765480398872"</f>
        <v>1551765480398872</v>
      </c>
      <c r="C232" t="s">
        <v>40</v>
      </c>
      <c r="D232">
        <v>3.9403700000000002</v>
      </c>
      <c r="E232">
        <v>0.49431710000000001</v>
      </c>
      <c r="F232" t="s">
        <v>42</v>
      </c>
      <c r="G232">
        <v>-394.68</v>
      </c>
      <c r="H232" s="1">
        <v>-2.343965E-6</v>
      </c>
      <c r="I232">
        <v>369.16879999999998</v>
      </c>
      <c r="J232">
        <v>-417.07010000000002</v>
      </c>
      <c r="K232">
        <v>1.060414</v>
      </c>
      <c r="L232">
        <v>367.85820000000001</v>
      </c>
      <c r="M232">
        <v>0.99987570000000003</v>
      </c>
      <c r="N232">
        <v>-1.504788E-2</v>
      </c>
      <c r="O232">
        <v>4.7557110000000001E-3</v>
      </c>
      <c r="P232">
        <v>0.99841539999999995</v>
      </c>
      <c r="Q232">
        <v>2.982367E-2</v>
      </c>
      <c r="R232">
        <v>4.7723000000000002E-2</v>
      </c>
      <c r="S232">
        <v>3.0004580000000001</v>
      </c>
      <c r="T232">
        <v>-0.14077519999999999</v>
      </c>
      <c r="U232">
        <v>0.17416379999999901</v>
      </c>
      <c r="V232">
        <v>-4.30274E-2</v>
      </c>
      <c r="W232">
        <v>4.4796080000000002E-2</v>
      </c>
      <c r="X232">
        <v>0.99806910000000004</v>
      </c>
      <c r="Y232">
        <v>-5.3124709999999999E-2</v>
      </c>
      <c r="Z232">
        <v>1.4935479999999999E-3</v>
      </c>
      <c r="AA232">
        <v>0.9985868</v>
      </c>
      <c r="AB232">
        <v>39</v>
      </c>
      <c r="AC232">
        <v>22.3901</v>
      </c>
      <c r="AD232">
        <v>-1.0604163439650001</v>
      </c>
      <c r="AE232">
        <v>1.31059999999996</v>
      </c>
      <c r="AF232">
        <v>-1.20140667364641</v>
      </c>
      <c r="AG232">
        <v>-1.0604163439650001</v>
      </c>
      <c r="AH232">
        <v>22.346127747843301</v>
      </c>
      <c r="AI232">
        <v>92.712971714050994</v>
      </c>
      <c r="AJ232">
        <v>93.077460400232795</v>
      </c>
      <c r="AK232">
        <v>22.4035105762683</v>
      </c>
      <c r="AL232">
        <v>87.432514464817302</v>
      </c>
      <c r="AM232">
        <v>92.468529338783597</v>
      </c>
      <c r="AN232">
        <v>0.99999998715446803</v>
      </c>
    </row>
    <row r="233" spans="1:40" x14ac:dyDescent="0.25">
      <c r="A233" t="str">
        <f>"20190305135800432"</f>
        <v>20190305135800432</v>
      </c>
      <c r="B233" t="str">
        <f>"1551765480419367"</f>
        <v>1551765480419367</v>
      </c>
      <c r="C233" t="s">
        <v>40</v>
      </c>
      <c r="D233">
        <v>3.9594040000000001</v>
      </c>
      <c r="E233">
        <v>0.49423709999999998</v>
      </c>
      <c r="F233" t="s">
        <v>42</v>
      </c>
      <c r="G233">
        <v>-394.2688</v>
      </c>
      <c r="H233" s="1">
        <v>-2.5159630000000002E-6</v>
      </c>
      <c r="I233">
        <v>369.19369999999998</v>
      </c>
      <c r="J233">
        <v>-416.67959999999999</v>
      </c>
      <c r="K233">
        <v>1.060435</v>
      </c>
      <c r="L233">
        <v>367.8605</v>
      </c>
      <c r="M233">
        <v>0.9998726</v>
      </c>
      <c r="N233">
        <v>-1.504424E-2</v>
      </c>
      <c r="O233">
        <v>5.3382239999999999E-3</v>
      </c>
      <c r="P233">
        <v>0.99838479999999996</v>
      </c>
      <c r="Q233">
        <v>2.9666359999999999E-2</v>
      </c>
      <c r="R233">
        <v>4.8453139999999999E-2</v>
      </c>
      <c r="S233">
        <v>3.0004879999999998</v>
      </c>
      <c r="T233">
        <v>-0.13954229999999901</v>
      </c>
      <c r="U233">
        <v>0.17575070000000001</v>
      </c>
      <c r="V233">
        <v>-4.317812E-2</v>
      </c>
      <c r="W233">
        <v>4.4632690000000003E-2</v>
      </c>
      <c r="X233">
        <v>0.99806989999999995</v>
      </c>
      <c r="Y233">
        <v>-5.3070199999999998E-2</v>
      </c>
      <c r="Z233">
        <v>1.4644979999999901E-3</v>
      </c>
      <c r="AA233">
        <v>0.99858970000000002</v>
      </c>
      <c r="AB233">
        <v>39</v>
      </c>
      <c r="AC233">
        <v>22.410799999999899</v>
      </c>
      <c r="AD233">
        <v>-1.060437515963</v>
      </c>
      <c r="AE233">
        <v>1.33319999999997</v>
      </c>
      <c r="AF233">
        <v>-1.21083209019416</v>
      </c>
      <c r="AG233">
        <v>-1.060437515963</v>
      </c>
      <c r="AH233">
        <v>22.367693524126299</v>
      </c>
      <c r="AI233">
        <v>92.710360143999296</v>
      </c>
      <c r="AJ233">
        <v>93.098572566970603</v>
      </c>
      <c r="AK233">
        <v>22.425529105578502</v>
      </c>
      <c r="AL233">
        <v>87.441885366951595</v>
      </c>
      <c r="AM233">
        <v>92.477163575417194</v>
      </c>
      <c r="AN233">
        <v>0.99999997617468905</v>
      </c>
    </row>
    <row r="234" spans="1:40" x14ac:dyDescent="0.25">
      <c r="A234" t="str">
        <f>"20190305135800452"</f>
        <v>20190305135800452</v>
      </c>
      <c r="B234" t="str">
        <f>"1551765480448647"</f>
        <v>1551765480448647</v>
      </c>
      <c r="C234" t="s">
        <v>40</v>
      </c>
      <c r="D234">
        <v>3.961074</v>
      </c>
      <c r="E234">
        <v>0.49411939999999999</v>
      </c>
      <c r="F234" t="s">
        <v>42</v>
      </c>
      <c r="G234">
        <v>-394.13909999999998</v>
      </c>
      <c r="H234" s="1">
        <v>-2.570041E-6</v>
      </c>
      <c r="I234">
        <v>369.20229999999998</v>
      </c>
      <c r="J234">
        <v>-416.31040000000002</v>
      </c>
      <c r="K234">
        <v>1.0604559999999901</v>
      </c>
      <c r="L234">
        <v>367.863</v>
      </c>
      <c r="M234">
        <v>0.99986949999999997</v>
      </c>
      <c r="N234">
        <v>-1.5040700000000001E-2</v>
      </c>
      <c r="O234">
        <v>5.8905579999999997E-3</v>
      </c>
      <c r="P234">
        <v>0.9983978</v>
      </c>
      <c r="Q234">
        <v>2.866672E-2</v>
      </c>
      <c r="R234">
        <v>4.8784710000000002E-2</v>
      </c>
      <c r="S234">
        <v>3.000397</v>
      </c>
      <c r="T234">
        <v>-0.1411558</v>
      </c>
      <c r="U234">
        <v>0.17861939999999901</v>
      </c>
      <c r="V234">
        <v>-4.2958719999999999E-2</v>
      </c>
      <c r="W234">
        <v>4.3628489999999999E-2</v>
      </c>
      <c r="X234">
        <v>0.99812380000000001</v>
      </c>
      <c r="Y234">
        <v>-5.347002E-2</v>
      </c>
      <c r="Z234">
        <v>1.4705289999999999E-3</v>
      </c>
      <c r="AA234">
        <v>0.99856840000000002</v>
      </c>
      <c r="AB234">
        <v>39</v>
      </c>
      <c r="AC234">
        <v>22.171299999999999</v>
      </c>
      <c r="AD234">
        <v>-1.0604585700410001</v>
      </c>
      <c r="AE234">
        <v>1.33929999999992</v>
      </c>
      <c r="AF234">
        <v>-1.2059118783587499</v>
      </c>
      <c r="AG234">
        <v>-1.0604585700410001</v>
      </c>
      <c r="AH234">
        <v>22.1283656594245</v>
      </c>
      <c r="AI234">
        <v>92.739629958877799</v>
      </c>
      <c r="AJ234">
        <v>93.119316845712305</v>
      </c>
      <c r="AK234">
        <v>22.186558151149502</v>
      </c>
      <c r="AL234">
        <v>87.499477981612102</v>
      </c>
      <c r="AM234">
        <v>92.464459053898295</v>
      </c>
      <c r="AN234">
        <v>1.00000000844507</v>
      </c>
    </row>
    <row r="235" spans="1:40" x14ac:dyDescent="0.25">
      <c r="A235" t="str">
        <f>"20190305135800474"</f>
        <v>20190305135800474</v>
      </c>
      <c r="B235" t="str">
        <f>"1551765480469144"</f>
        <v>1551765480469144</v>
      </c>
      <c r="C235" t="s">
        <v>40</v>
      </c>
      <c r="D235">
        <v>4.2640440000000002</v>
      </c>
      <c r="E235">
        <v>0.4940659</v>
      </c>
      <c r="F235" t="s">
        <v>42</v>
      </c>
      <c r="G235">
        <v>-394.42189999999999</v>
      </c>
      <c r="H235" s="1">
        <v>-2.4523860000000001E-6</v>
      </c>
      <c r="I235">
        <v>369.18169999999998</v>
      </c>
      <c r="J235">
        <v>-415.9477</v>
      </c>
      <c r="K235">
        <v>1.060467</v>
      </c>
      <c r="L235">
        <v>367.86559999999997</v>
      </c>
      <c r="M235">
        <v>0.99986629999999999</v>
      </c>
      <c r="N235">
        <v>-1.5037170000000001E-2</v>
      </c>
      <c r="O235">
        <v>6.4322900000000002E-3</v>
      </c>
      <c r="P235">
        <v>0.9984459</v>
      </c>
      <c r="Q235">
        <v>2.795796E-2</v>
      </c>
      <c r="R235">
        <v>4.8214180000000002E-2</v>
      </c>
      <c r="S235">
        <v>3.0001530000000001</v>
      </c>
      <c r="T235">
        <v>-0.1453516</v>
      </c>
      <c r="U235">
        <v>0.18075559999999999</v>
      </c>
      <c r="V235">
        <v>-4.1847700000000002E-2</v>
      </c>
      <c r="W235">
        <v>4.2917719999999999E-2</v>
      </c>
      <c r="X235">
        <v>0.99820180000000003</v>
      </c>
      <c r="Y235">
        <v>-5.3638489999999997E-2</v>
      </c>
      <c r="Z235">
        <v>1.486844E-3</v>
      </c>
      <c r="AA235">
        <v>0.99855930000000004</v>
      </c>
      <c r="AB235">
        <v>39</v>
      </c>
      <c r="AC235">
        <v>21.5258</v>
      </c>
      <c r="AD235">
        <v>-1.0604694523860001</v>
      </c>
      <c r="AE235">
        <v>1.3161</v>
      </c>
      <c r="AF235">
        <v>-1.1747563625536299</v>
      </c>
      <c r="AG235">
        <v>-1.0604694523860001</v>
      </c>
      <c r="AH235">
        <v>21.481877781798001</v>
      </c>
      <c r="AI235">
        <v>92.821946435406801</v>
      </c>
      <c r="AJ235">
        <v>93.130154904583705</v>
      </c>
      <c r="AK235">
        <v>21.540095659093801</v>
      </c>
      <c r="AL235">
        <v>87.540240258269705</v>
      </c>
      <c r="AM235">
        <v>92.400610162276095</v>
      </c>
      <c r="AN235">
        <v>0.99999999710426402</v>
      </c>
    </row>
    <row r="236" spans="1:40" x14ac:dyDescent="0.25">
      <c r="A236" t="str">
        <f>"20190305135800497"</f>
        <v>20190305135800497</v>
      </c>
      <c r="B236" t="str">
        <f>"1551765480489640"</f>
        <v>1551765480489640</v>
      </c>
      <c r="C236" t="s">
        <v>40</v>
      </c>
      <c r="D236">
        <v>4.009614</v>
      </c>
      <c r="E236">
        <v>0.49408950000000001</v>
      </c>
      <c r="F236" t="s">
        <v>42</v>
      </c>
      <c r="G236">
        <v>-394.48439999999999</v>
      </c>
      <c r="H236" s="1">
        <v>-2.4316810000000001E-6</v>
      </c>
      <c r="I236">
        <v>369.14729999999997</v>
      </c>
      <c r="J236">
        <v>-415.53539999999998</v>
      </c>
      <c r="K236">
        <v>1.0604880000000001</v>
      </c>
      <c r="L236">
        <v>367.86880000000002</v>
      </c>
      <c r="M236">
        <v>0.99986229999999998</v>
      </c>
      <c r="N236">
        <v>-1.503295E-2</v>
      </c>
      <c r="O236">
        <v>7.047434E-3</v>
      </c>
      <c r="P236">
        <v>0.99847509999999995</v>
      </c>
      <c r="Q236">
        <v>2.7911390000000001E-2</v>
      </c>
      <c r="R236">
        <v>4.762806E-2</v>
      </c>
      <c r="S236">
        <v>3.0001530000000001</v>
      </c>
      <c r="T236">
        <v>-0.14823210000000001</v>
      </c>
      <c r="U236">
        <v>0.17916869999999999</v>
      </c>
      <c r="V236">
        <v>-4.0647809999999999E-2</v>
      </c>
      <c r="W236">
        <v>4.286769E-2</v>
      </c>
      <c r="X236">
        <v>0.99825350000000002</v>
      </c>
      <c r="Y236">
        <v>-5.2497330000000002E-2</v>
      </c>
      <c r="Z236">
        <v>1.448396E-3</v>
      </c>
      <c r="AA236">
        <v>0.99861999999999995</v>
      </c>
      <c r="AB236">
        <v>39</v>
      </c>
      <c r="AC236">
        <v>21.050999999999899</v>
      </c>
      <c r="AD236">
        <v>-1.06049043168099</v>
      </c>
      <c r="AE236">
        <v>1.27849999999995</v>
      </c>
      <c r="AF236">
        <v>-1.12724568339777</v>
      </c>
      <c r="AG236">
        <v>-1.06049043168099</v>
      </c>
      <c r="AH236">
        <v>21.0063729118941</v>
      </c>
      <c r="AI236">
        <v>92.885934175861493</v>
      </c>
      <c r="AJ236">
        <v>93.071664610413805</v>
      </c>
      <c r="AK236">
        <v>21.063309941696801</v>
      </c>
      <c r="AL236">
        <v>87.543109332107505</v>
      </c>
      <c r="AM236">
        <v>92.331734456754802</v>
      </c>
      <c r="AN236">
        <v>0.99999996678298997</v>
      </c>
    </row>
    <row r="237" spans="1:40" x14ac:dyDescent="0.25">
      <c r="A237" t="str">
        <f>"20190305135800509"</f>
        <v>20190305135800509</v>
      </c>
      <c r="B237" t="str">
        <f>"1551765480499400"</f>
        <v>1551765480499400</v>
      </c>
      <c r="C237" t="s">
        <v>40</v>
      </c>
      <c r="D237">
        <v>4.0276639999999997</v>
      </c>
      <c r="E237">
        <v>0.49409950000000002</v>
      </c>
      <c r="F237" t="s">
        <v>42</v>
      </c>
      <c r="G237">
        <v>-394.22559999999999</v>
      </c>
      <c r="H237" s="1">
        <v>-2.5461399999999999E-6</v>
      </c>
      <c r="I237">
        <v>369.12790000000001</v>
      </c>
      <c r="J237">
        <v>-415.32350000000002</v>
      </c>
      <c r="K237">
        <v>1.0604979999999999</v>
      </c>
      <c r="L237">
        <v>367.87060000000002</v>
      </c>
      <c r="M237">
        <v>0.99985990000000002</v>
      </c>
      <c r="N237">
        <v>-1.503081E-2</v>
      </c>
      <c r="O237">
        <v>7.3631219999999997E-3</v>
      </c>
      <c r="P237">
        <v>0.99848709999999996</v>
      </c>
      <c r="Q237">
        <v>2.7991579999999999E-2</v>
      </c>
      <c r="R237">
        <v>4.7327910000000001E-2</v>
      </c>
      <c r="S237">
        <v>3.0002749999999998</v>
      </c>
      <c r="T237">
        <v>-0.14930929999999901</v>
      </c>
      <c r="U237">
        <v>0.17727660000000001</v>
      </c>
      <c r="V237">
        <v>-4.0033150000000003E-2</v>
      </c>
      <c r="W237">
        <v>4.29463E-2</v>
      </c>
      <c r="X237">
        <v>0.99827500000000002</v>
      </c>
      <c r="Y237">
        <v>-5.1552750000000001E-2</v>
      </c>
      <c r="Z237">
        <v>1.4136520000000001E-3</v>
      </c>
      <c r="AA237">
        <v>0.99866929999999998</v>
      </c>
      <c r="AB237">
        <v>39</v>
      </c>
      <c r="AC237">
        <v>21.097899999999999</v>
      </c>
      <c r="AD237">
        <v>-1.0605005461400001</v>
      </c>
      <c r="AE237">
        <v>1.2572999999999801</v>
      </c>
      <c r="AF237">
        <v>-1.0991346535690401</v>
      </c>
      <c r="AG237">
        <v>-1.0605005461400001</v>
      </c>
      <c r="AH237">
        <v>21.053580079048398</v>
      </c>
      <c r="AI237">
        <v>92.879722415287802</v>
      </c>
      <c r="AJ237">
        <v>92.988501524683898</v>
      </c>
      <c r="AK237">
        <v>21.108907895482101</v>
      </c>
      <c r="AL237">
        <v>87.538601257342407</v>
      </c>
      <c r="AM237">
        <v>92.296463530419601</v>
      </c>
      <c r="AN237">
        <v>1.0000000067038</v>
      </c>
    </row>
    <row r="238" spans="1:40" x14ac:dyDescent="0.25">
      <c r="A238" t="str">
        <f>"20190305135800522"</f>
        <v>20190305135800522</v>
      </c>
      <c r="B238" t="str">
        <f>"1551765480518932"</f>
        <v>1551765480518932</v>
      </c>
      <c r="C238" t="s">
        <v>40</v>
      </c>
      <c r="D238">
        <v>4.1997159999999996</v>
      </c>
      <c r="E238">
        <v>0.49410920000000003</v>
      </c>
      <c r="F238" t="s">
        <v>42</v>
      </c>
      <c r="G238">
        <v>-394.04700000000003</v>
      </c>
      <c r="H238" s="1">
        <v>-2.6241209999999999E-6</v>
      </c>
      <c r="I238">
        <v>369.12029999999999</v>
      </c>
      <c r="J238">
        <v>-415.09140000000002</v>
      </c>
      <c r="K238">
        <v>1.060503</v>
      </c>
      <c r="L238">
        <v>367.87259999999998</v>
      </c>
      <c r="M238">
        <v>0.99985740000000001</v>
      </c>
      <c r="N238">
        <v>-1.502845E-2</v>
      </c>
      <c r="O238">
        <v>7.7080119999999898E-3</v>
      </c>
      <c r="P238">
        <v>0.99850799999999995</v>
      </c>
      <c r="Q238">
        <v>2.8144289999999999E-2</v>
      </c>
      <c r="R238">
        <v>4.6794599999999999E-2</v>
      </c>
      <c r="S238">
        <v>3.0003660000000001</v>
      </c>
      <c r="T238">
        <v>-0.14954879999999901</v>
      </c>
      <c r="U238">
        <v>0.17623900000000001</v>
      </c>
      <c r="V238">
        <v>-3.915511E-2</v>
      </c>
      <c r="W238">
        <v>4.3097799999999999E-2</v>
      </c>
      <c r="X238">
        <v>0.9983033</v>
      </c>
      <c r="Y238">
        <v>-5.0863419999999999E-2</v>
      </c>
      <c r="Z238">
        <v>1.38069E-3</v>
      </c>
      <c r="AA238">
        <v>0.9987047</v>
      </c>
      <c r="AB238">
        <v>39</v>
      </c>
      <c r="AC238">
        <v>21.0444</v>
      </c>
      <c r="AD238">
        <v>-1.060505624121</v>
      </c>
      <c r="AE238">
        <v>1.2477</v>
      </c>
      <c r="AF238">
        <v>-1.08269422422544</v>
      </c>
      <c r="AG238">
        <v>-1.060505624121</v>
      </c>
      <c r="AH238">
        <v>21.000249169536499</v>
      </c>
      <c r="AI238">
        <v>92.887133998965098</v>
      </c>
      <c r="AJ238">
        <v>92.951342796125203</v>
      </c>
      <c r="AK238">
        <v>21.054865569378101</v>
      </c>
      <c r="AL238">
        <v>87.529912912813003</v>
      </c>
      <c r="AM238">
        <v>92.2460841599801</v>
      </c>
      <c r="AN238">
        <v>1.0000000108974201</v>
      </c>
    </row>
    <row r="239" spans="1:40" x14ac:dyDescent="0.25">
      <c r="A239" t="str">
        <f>"20190305135800540"</f>
        <v>20190305135800540</v>
      </c>
      <c r="B239" t="str">
        <f>"1551765480528680"</f>
        <v>1551765480528680</v>
      </c>
      <c r="C239" t="s">
        <v>40</v>
      </c>
      <c r="D239">
        <v>4.033633</v>
      </c>
      <c r="E239">
        <v>0.4940986</v>
      </c>
      <c r="F239" t="s">
        <v>42</v>
      </c>
      <c r="G239">
        <v>-393.81150000000002</v>
      </c>
      <c r="H239" s="1">
        <v>-2.7271269999999998E-6</v>
      </c>
      <c r="I239">
        <v>369.10899999999998</v>
      </c>
      <c r="J239">
        <v>-414.77749999999997</v>
      </c>
      <c r="K239">
        <v>1.0605180000000001</v>
      </c>
      <c r="L239">
        <v>367.87540000000001</v>
      </c>
      <c r="M239">
        <v>0.99985380000000001</v>
      </c>
      <c r="N239">
        <v>-1.5025210000000001E-2</v>
      </c>
      <c r="O239">
        <v>8.1733540000000007E-3</v>
      </c>
      <c r="P239">
        <v>0.99854730000000003</v>
      </c>
      <c r="Q239">
        <v>2.8790679999999999E-2</v>
      </c>
      <c r="R239">
        <v>4.5551880000000003E-2</v>
      </c>
      <c r="S239">
        <v>3.0004879999999998</v>
      </c>
      <c r="T239">
        <v>-0.1495322</v>
      </c>
      <c r="U239">
        <v>0.1743469</v>
      </c>
      <c r="V239">
        <v>-3.7448870000000002E-2</v>
      </c>
      <c r="W239">
        <v>4.3743780000000003E-2</v>
      </c>
      <c r="X239">
        <v>0.99834069999999997</v>
      </c>
      <c r="Y239">
        <v>-4.9770630000000003E-2</v>
      </c>
      <c r="Z239">
        <v>1.328877E-3</v>
      </c>
      <c r="AA239">
        <v>0.99875979999999998</v>
      </c>
      <c r="AB239">
        <v>39</v>
      </c>
      <c r="AC239">
        <v>20.965999999999902</v>
      </c>
      <c r="AD239">
        <v>-1.0605207271269901</v>
      </c>
      <c r="AE239">
        <v>1.23360000000002</v>
      </c>
      <c r="AF239">
        <v>-1.05947546327153</v>
      </c>
      <c r="AG239">
        <v>-1.0605207271269901</v>
      </c>
      <c r="AH239">
        <v>20.922036288005</v>
      </c>
      <c r="AI239">
        <v>92.898085026307399</v>
      </c>
      <c r="AJ239">
        <v>92.898936962256002</v>
      </c>
      <c r="AK239">
        <v>20.975671500730101</v>
      </c>
      <c r="AL239">
        <v>87.492866129847002</v>
      </c>
      <c r="AM239">
        <v>92.148221215457397</v>
      </c>
      <c r="AN239">
        <v>1.0000000447147199</v>
      </c>
    </row>
    <row r="240" spans="1:40" x14ac:dyDescent="0.25">
      <c r="A240" t="str">
        <f>"20190305135800553"</f>
        <v>20190305135800553</v>
      </c>
      <c r="B240" t="str">
        <f>"1551765480539416"</f>
        <v>1551765480539416</v>
      </c>
      <c r="C240" t="s">
        <v>40</v>
      </c>
      <c r="D240">
        <v>4.0397210000000001</v>
      </c>
      <c r="E240">
        <v>0.49407099999999998</v>
      </c>
      <c r="F240" t="s">
        <v>42</v>
      </c>
      <c r="G240">
        <v>-393.23450000000003</v>
      </c>
      <c r="H240" s="1">
        <v>-2.9756279999999999E-6</v>
      </c>
      <c r="I240">
        <v>369.1035</v>
      </c>
      <c r="J240">
        <v>-414.54539999999997</v>
      </c>
      <c r="K240">
        <v>1.060527</v>
      </c>
      <c r="L240">
        <v>367.87759999999997</v>
      </c>
      <c r="M240">
        <v>0.99985100000000005</v>
      </c>
      <c r="N240">
        <v>-1.5022789999999999E-2</v>
      </c>
      <c r="O240">
        <v>8.5141950000000004E-3</v>
      </c>
      <c r="P240">
        <v>0.9985446</v>
      </c>
      <c r="Q240">
        <v>2.9368040000000002E-2</v>
      </c>
      <c r="R240">
        <v>4.523949E-2</v>
      </c>
      <c r="S240">
        <v>3.0008539999999999</v>
      </c>
      <c r="T240">
        <v>-0.1477263</v>
      </c>
      <c r="U240">
        <v>0.1710815</v>
      </c>
      <c r="V240">
        <v>-3.6797169999999997E-2</v>
      </c>
      <c r="W240">
        <v>4.431972E-2</v>
      </c>
      <c r="X240">
        <v>0.99833950000000005</v>
      </c>
      <c r="Y240">
        <v>-4.8343839999999999E-2</v>
      </c>
      <c r="Z240">
        <v>1.2612350000000001E-3</v>
      </c>
      <c r="AA240">
        <v>0.99883</v>
      </c>
      <c r="AB240">
        <v>39</v>
      </c>
      <c r="AC240">
        <v>21.310899999999901</v>
      </c>
      <c r="AD240">
        <v>-1.060529975628</v>
      </c>
      <c r="AE240">
        <v>1.22590000000002</v>
      </c>
      <c r="AF240">
        <v>-1.0418183598316899</v>
      </c>
      <c r="AG240">
        <v>-1.060529975628</v>
      </c>
      <c r="AH240">
        <v>21.268068971875302</v>
      </c>
      <c r="AI240">
        <v>92.851270229905893</v>
      </c>
      <c r="AJ240">
        <v>92.804397496792703</v>
      </c>
      <c r="AK240">
        <v>21.319964050545</v>
      </c>
      <c r="AL240">
        <v>87.4598350840417</v>
      </c>
      <c r="AM240">
        <v>92.110873675633798</v>
      </c>
      <c r="AN240">
        <v>1.00000001328056</v>
      </c>
    </row>
    <row r="241" spans="1:40" x14ac:dyDescent="0.25">
      <c r="A241" t="str">
        <f>"20190305135800567"</f>
        <v>20190305135800567</v>
      </c>
      <c r="B241" t="str">
        <f>"1551765480558936"</f>
        <v>1551765480558936</v>
      </c>
      <c r="C241" t="s">
        <v>40</v>
      </c>
      <c r="D241">
        <v>4.1973219999999998</v>
      </c>
      <c r="E241">
        <v>0.49489139999999998</v>
      </c>
      <c r="F241" t="s">
        <v>42</v>
      </c>
      <c r="G241">
        <v>-392.7525</v>
      </c>
      <c r="H241" s="1">
        <v>-3.1807939999999999E-6</v>
      </c>
      <c r="I241">
        <v>369.11259999999999</v>
      </c>
      <c r="J241">
        <v>-414.31290000000001</v>
      </c>
      <c r="K241">
        <v>1.0605329999999999</v>
      </c>
      <c r="L241">
        <v>367.87990000000002</v>
      </c>
      <c r="M241">
        <v>0.99984810000000002</v>
      </c>
      <c r="N241">
        <v>-1.502043E-2</v>
      </c>
      <c r="O241">
        <v>8.8513580000000001E-3</v>
      </c>
      <c r="P241">
        <v>0.99853829999999999</v>
      </c>
      <c r="Q241">
        <v>2.9924050000000001E-2</v>
      </c>
      <c r="R241">
        <v>4.5015409999999999E-2</v>
      </c>
      <c r="S241">
        <v>3.0009160000000001</v>
      </c>
      <c r="T241">
        <v>-0.1460361</v>
      </c>
      <c r="U241">
        <v>0.17007449999999999</v>
      </c>
      <c r="V241">
        <v>-3.6236919999999999E-2</v>
      </c>
      <c r="W241">
        <v>4.4874200000000003E-2</v>
      </c>
      <c r="X241">
        <v>0.99833519999999998</v>
      </c>
      <c r="Y241">
        <v>-4.7674340000000003E-2</v>
      </c>
      <c r="Z241">
        <v>1.2197200000000001E-3</v>
      </c>
      <c r="AA241">
        <v>0.99886220000000003</v>
      </c>
      <c r="AB241">
        <v>39</v>
      </c>
      <c r="AC241">
        <v>21.560400000000001</v>
      </c>
      <c r="AD241">
        <v>-1.0605361807939999</v>
      </c>
      <c r="AE241">
        <v>1.2326999999999599</v>
      </c>
      <c r="AF241">
        <v>-1.0392849416221801</v>
      </c>
      <c r="AG241">
        <v>-1.0605361807939999</v>
      </c>
      <c r="AH241">
        <v>21.518571553742401</v>
      </c>
      <c r="AI241">
        <v>92.818242162952004</v>
      </c>
      <c r="AJ241">
        <v>92.765072285832503</v>
      </c>
      <c r="AK241">
        <v>21.569742045147098</v>
      </c>
      <c r="AL241">
        <v>87.428034019927594</v>
      </c>
      <c r="AM241">
        <v>92.078772232679199</v>
      </c>
      <c r="AN241">
        <v>0.99999998987788297</v>
      </c>
    </row>
    <row r="242" spans="1:40" x14ac:dyDescent="0.25">
      <c r="A242" t="str">
        <f>"20190305135800586"</f>
        <v>20190305135800586</v>
      </c>
      <c r="B242" t="str">
        <f>"1551765480579432"</f>
        <v>1551765480579432</v>
      </c>
      <c r="C242" t="s">
        <v>40</v>
      </c>
      <c r="D242">
        <v>4.14384</v>
      </c>
      <c r="E242">
        <v>0.53754789999999997</v>
      </c>
      <c r="F242" t="s">
        <v>42</v>
      </c>
      <c r="G242">
        <v>-392.07749999999999</v>
      </c>
      <c r="H242" s="1">
        <v>-3.4749169999999998E-6</v>
      </c>
      <c r="I242">
        <v>369.08710000000002</v>
      </c>
      <c r="J242">
        <v>-413.98970000000003</v>
      </c>
      <c r="K242">
        <v>1.060532</v>
      </c>
      <c r="L242">
        <v>367.88310000000001</v>
      </c>
      <c r="M242">
        <v>0.99984399999999996</v>
      </c>
      <c r="N242">
        <v>-1.501711E-2</v>
      </c>
      <c r="O242">
        <v>9.3051690000000003E-3</v>
      </c>
      <c r="P242">
        <v>0.99850570000000005</v>
      </c>
      <c r="Q242">
        <v>3.1665079999999998E-2</v>
      </c>
      <c r="R242">
        <v>4.4541850000000001E-2</v>
      </c>
      <c r="S242">
        <v>3.0013429999999999</v>
      </c>
      <c r="T242">
        <v>-0.14315059999999999</v>
      </c>
      <c r="U242">
        <v>0.16296389999999999</v>
      </c>
      <c r="V242">
        <v>-3.531198E-2</v>
      </c>
      <c r="W242">
        <v>4.6612830000000001E-2</v>
      </c>
      <c r="X242">
        <v>0.99828870000000003</v>
      </c>
      <c r="Y242">
        <v>-4.4860299999999999E-2</v>
      </c>
      <c r="Z242">
        <v>1.102172E-3</v>
      </c>
      <c r="AA242">
        <v>0.99899269999999996</v>
      </c>
      <c r="AB242">
        <v>39</v>
      </c>
      <c r="AC242">
        <v>21.912199999999999</v>
      </c>
      <c r="AD242">
        <v>-1.060535474917</v>
      </c>
      <c r="AE242">
        <v>1.204</v>
      </c>
      <c r="AF242">
        <v>-0.997698089368107</v>
      </c>
      <c r="AG242">
        <v>-1.060535474917</v>
      </c>
      <c r="AH242">
        <v>21.871376458152099</v>
      </c>
      <c r="AI242">
        <v>92.773198801310699</v>
      </c>
      <c r="AJ242">
        <v>92.611828705938805</v>
      </c>
      <c r="AK242">
        <v>21.9197911747648</v>
      </c>
      <c r="AL242">
        <v>87.328313513729995</v>
      </c>
      <c r="AM242">
        <v>92.025851061481404</v>
      </c>
      <c r="AN242">
        <v>1.0000000101999</v>
      </c>
    </row>
    <row r="243" spans="1:40" x14ac:dyDescent="0.25">
      <c r="A243" t="str">
        <f>"20190305135800598"</f>
        <v>20190305135800598</v>
      </c>
      <c r="B243" t="str">
        <f>"1551765480589192"</f>
        <v>1551765480589192</v>
      </c>
      <c r="C243" t="s">
        <v>40</v>
      </c>
      <c r="D243">
        <v>4.1634919999999997</v>
      </c>
      <c r="E243">
        <v>0.53977379999999997</v>
      </c>
      <c r="F243" t="s">
        <v>44</v>
      </c>
      <c r="G243">
        <v>-169.2955</v>
      </c>
      <c r="H243">
        <v>3.437541</v>
      </c>
      <c r="I243">
        <v>354.09730000000002</v>
      </c>
      <c r="J243">
        <v>-413.76249999999999</v>
      </c>
      <c r="K243">
        <v>1.0605290000000001</v>
      </c>
      <c r="L243">
        <v>367.88549999999998</v>
      </c>
      <c r="M243">
        <v>0.99984119999999999</v>
      </c>
      <c r="N243">
        <v>-1.5014670000000001E-2</v>
      </c>
      <c r="O243">
        <v>9.6101569999999994E-3</v>
      </c>
      <c r="P243">
        <v>0.99848309999999996</v>
      </c>
      <c r="Q243">
        <v>3.260176E-2</v>
      </c>
      <c r="R243">
        <v>4.4370729999999997E-2</v>
      </c>
      <c r="S243">
        <v>3.0111690000000002</v>
      </c>
      <c r="T243">
        <v>2.9252170000000001E-2</v>
      </c>
      <c r="U243">
        <v>-0.1696472</v>
      </c>
      <c r="V243">
        <v>-3.4836329999999999E-2</v>
      </c>
      <c r="W243">
        <v>4.7548779999999999E-2</v>
      </c>
      <c r="X243">
        <v>0.99826130000000002</v>
      </c>
      <c r="Y243">
        <v>6.5842310000000001E-2</v>
      </c>
      <c r="Z243" s="1">
        <v>6.2297859999999996E-5</v>
      </c>
      <c r="AA243">
        <v>0.99782999999999999</v>
      </c>
      <c r="AB243">
        <v>39</v>
      </c>
      <c r="AC243">
        <v>244.46700000000001</v>
      </c>
      <c r="AD243">
        <v>2.3770120000000001</v>
      </c>
      <c r="AE243">
        <v>-13.7881999999999</v>
      </c>
      <c r="AF243">
        <v>16.135673341552899</v>
      </c>
      <c r="AG243">
        <v>2.3770120000000001</v>
      </c>
      <c r="AH243">
        <v>244.30016336303601</v>
      </c>
      <c r="AI243">
        <v>89.443748264659803</v>
      </c>
      <c r="AJ243">
        <v>86.221184961217801</v>
      </c>
      <c r="AK243">
        <v>244.84399106255299</v>
      </c>
      <c r="AL243">
        <v>87.274628075260793</v>
      </c>
      <c r="AM243">
        <v>91.998640076419804</v>
      </c>
      <c r="AN243">
        <v>1.0000000397225199</v>
      </c>
    </row>
    <row r="244" spans="1:40" x14ac:dyDescent="0.25">
      <c r="A244" t="str">
        <f>"20190305135800611"</f>
        <v>20190305135800611</v>
      </c>
      <c r="B244" t="str">
        <f>"1551765480608711"</f>
        <v>1551765480608711</v>
      </c>
      <c r="C244" t="s">
        <v>40</v>
      </c>
      <c r="D244">
        <v>4.2071120000000004</v>
      </c>
      <c r="E244">
        <v>0.5404658</v>
      </c>
      <c r="F244" t="s">
        <v>44</v>
      </c>
      <c r="G244">
        <v>-158.78319999999999</v>
      </c>
      <c r="H244">
        <v>4.1387179999999999</v>
      </c>
      <c r="I244">
        <v>352.00099999999998</v>
      </c>
      <c r="J244">
        <v>-413.54109999999997</v>
      </c>
      <c r="K244">
        <v>1.0605169999999999</v>
      </c>
      <c r="L244">
        <v>367.8879</v>
      </c>
      <c r="M244">
        <v>0.99983840000000002</v>
      </c>
      <c r="N244">
        <v>-1.501221E-2</v>
      </c>
      <c r="O244">
        <v>9.882109E-3</v>
      </c>
      <c r="P244">
        <v>0.99844460000000002</v>
      </c>
      <c r="Q244">
        <v>3.3787129999999999E-2</v>
      </c>
      <c r="R244">
        <v>4.4350050000000002E-2</v>
      </c>
      <c r="S244">
        <v>3.0117189999999998</v>
      </c>
      <c r="T244">
        <v>3.6359429999999998E-2</v>
      </c>
      <c r="U244">
        <v>-0.18762210000000001</v>
      </c>
      <c r="V244">
        <v>-3.4543980000000002E-2</v>
      </c>
      <c r="W244">
        <v>4.8733289999999999E-2</v>
      </c>
      <c r="X244">
        <v>0.9982143</v>
      </c>
      <c r="Y244">
        <v>7.2035559999999998E-2</v>
      </c>
      <c r="Z244">
        <v>1.6052389999999999E-4</v>
      </c>
      <c r="AA244">
        <v>0.99740209999999996</v>
      </c>
      <c r="AB244">
        <v>39</v>
      </c>
      <c r="AC244">
        <v>254.75790000000001</v>
      </c>
      <c r="AD244">
        <v>3.078201</v>
      </c>
      <c r="AE244">
        <v>-15.886900000000001</v>
      </c>
      <c r="AF244">
        <v>18.401277248472098</v>
      </c>
      <c r="AG244">
        <v>3.078201</v>
      </c>
      <c r="AH244">
        <v>254.55142445099099</v>
      </c>
      <c r="AI244">
        <v>89.3089790328807</v>
      </c>
      <c r="AJ244">
        <v>85.865335465341602</v>
      </c>
      <c r="AK244">
        <v>255.23422579231101</v>
      </c>
      <c r="AL244">
        <v>87.206681771118696</v>
      </c>
      <c r="AM244">
        <v>91.981973959962204</v>
      </c>
      <c r="AN244">
        <v>1.0000000044164701</v>
      </c>
    </row>
    <row r="245" spans="1:40" x14ac:dyDescent="0.25">
      <c r="A245" t="str">
        <f>"20190305135800631"</f>
        <v>20190305135800631</v>
      </c>
      <c r="B245" t="str">
        <f>"1551765480619447"</f>
        <v>1551765480619447</v>
      </c>
      <c r="C245" t="s">
        <v>40</v>
      </c>
      <c r="D245">
        <v>4.2095010000000004</v>
      </c>
      <c r="E245">
        <v>0.54039659999999901</v>
      </c>
      <c r="F245" t="s">
        <v>44</v>
      </c>
      <c r="G245">
        <v>-158.78319999999999</v>
      </c>
      <c r="H245">
        <v>5.663036</v>
      </c>
      <c r="I245">
        <v>351.6259</v>
      </c>
      <c r="J245">
        <v>-413.20370000000003</v>
      </c>
      <c r="K245">
        <v>1.0605</v>
      </c>
      <c r="L245">
        <v>367.89159999999998</v>
      </c>
      <c r="M245">
        <v>0.99983480000000002</v>
      </c>
      <c r="N245">
        <v>-1.50084E-2</v>
      </c>
      <c r="O245">
        <v>1.0261569999999999E-2</v>
      </c>
      <c r="P245">
        <v>0.99839160000000005</v>
      </c>
      <c r="Q245">
        <v>3.5488060000000002E-2</v>
      </c>
      <c r="R245">
        <v>4.4215129999999998E-2</v>
      </c>
      <c r="S245">
        <v>3.011444</v>
      </c>
      <c r="T245">
        <v>5.440652E-2</v>
      </c>
      <c r="U245">
        <v>-0.19223019999999999</v>
      </c>
      <c r="V245">
        <v>-3.4027519999999999E-2</v>
      </c>
      <c r="W245">
        <v>5.0433520000000003E-2</v>
      </c>
      <c r="X245">
        <v>0.99814760000000002</v>
      </c>
      <c r="Y245">
        <v>7.3934529999999998E-2</v>
      </c>
      <c r="Z245">
        <v>4.5074619999999998E-4</v>
      </c>
      <c r="AA245">
        <v>0.99726300000000001</v>
      </c>
      <c r="AB245">
        <v>39</v>
      </c>
      <c r="AC245">
        <v>254.4205</v>
      </c>
      <c r="AD245">
        <v>4.6025359999999997</v>
      </c>
      <c r="AE245">
        <v>-16.265699999999899</v>
      </c>
      <c r="AF245">
        <v>18.869740887057301</v>
      </c>
      <c r="AG245">
        <v>4.6025359999999997</v>
      </c>
      <c r="AH245">
        <v>254.15733458612101</v>
      </c>
      <c r="AI245">
        <v>88.965390895116101</v>
      </c>
      <c r="AJ245">
        <v>85.753903639733295</v>
      </c>
      <c r="AK245">
        <v>254.898413456611</v>
      </c>
      <c r="AL245">
        <v>87.109145835989395</v>
      </c>
      <c r="AM245">
        <v>91.952495341008301</v>
      </c>
      <c r="AN245">
        <v>1.0000000217213501</v>
      </c>
    </row>
    <row r="246" spans="1:40" x14ac:dyDescent="0.25">
      <c r="A246" t="str">
        <f>"20190305135800653"</f>
        <v>20190305135800653</v>
      </c>
      <c r="B246" t="str">
        <f>"1551765480648728"</f>
        <v>1551765480648728</v>
      </c>
      <c r="C246" t="s">
        <v>40</v>
      </c>
      <c r="D246">
        <v>4.1000750000000004</v>
      </c>
      <c r="E246">
        <v>0.53991840000000002</v>
      </c>
      <c r="F246" t="s">
        <v>44</v>
      </c>
      <c r="G246">
        <v>-158.78319999999999</v>
      </c>
      <c r="H246">
        <v>6.2477410000000004</v>
      </c>
      <c r="I246">
        <v>351.65989999999999</v>
      </c>
      <c r="J246">
        <v>-412.82889999999998</v>
      </c>
      <c r="K246">
        <v>1.0604499999999999</v>
      </c>
      <c r="L246">
        <v>367.89580000000001</v>
      </c>
      <c r="M246">
        <v>0.99983109999999997</v>
      </c>
      <c r="N246">
        <v>-1.500398E-2</v>
      </c>
      <c r="O246">
        <v>1.0618020000000001E-2</v>
      </c>
      <c r="P246">
        <v>0.99837450000000005</v>
      </c>
      <c r="Q246">
        <v>3.5992910000000003E-2</v>
      </c>
      <c r="R246">
        <v>4.4190350000000003E-2</v>
      </c>
      <c r="S246">
        <v>3.0111690000000002</v>
      </c>
      <c r="T246">
        <v>6.13941E-2</v>
      </c>
      <c r="U246">
        <v>-0.19210820000000001</v>
      </c>
      <c r="V246">
        <v>-3.3640650000000001E-2</v>
      </c>
      <c r="W246">
        <v>5.0938799999999999E-2</v>
      </c>
      <c r="X246">
        <v>0.99813499999999999</v>
      </c>
      <c r="Y246">
        <v>7.4252499999999999E-2</v>
      </c>
      <c r="Z246">
        <v>5.7383990000000001E-4</v>
      </c>
      <c r="AA246">
        <v>0.99723930000000005</v>
      </c>
      <c r="AB246">
        <v>39</v>
      </c>
      <c r="AC246">
        <v>254.04570000000001</v>
      </c>
      <c r="AD246">
        <v>5.1872910000000001</v>
      </c>
      <c r="AE246">
        <v>-16.235900000000001</v>
      </c>
      <c r="AF246">
        <v>18.924892252642898</v>
      </c>
      <c r="AG246">
        <v>5.1872910000000001</v>
      </c>
      <c r="AH246">
        <v>253.753597245522</v>
      </c>
      <c r="AI246">
        <v>88.832151710238506</v>
      </c>
      <c r="AJ246">
        <v>85.734788501109804</v>
      </c>
      <c r="AK246">
        <v>254.51119356471401</v>
      </c>
      <c r="AL246">
        <v>87.0801580034491</v>
      </c>
      <c r="AM246">
        <v>91.930338022189403</v>
      </c>
      <c r="AN246">
        <v>0.99999996645142997</v>
      </c>
    </row>
    <row r="247" spans="1:40" x14ac:dyDescent="0.25">
      <c r="A247" t="str">
        <f>"20190305135800675"</f>
        <v>20190305135800675</v>
      </c>
      <c r="B247" t="str">
        <f>"1551765480669225"</f>
        <v>1551765480669225</v>
      </c>
      <c r="C247" t="s">
        <v>40</v>
      </c>
      <c r="D247">
        <v>4.1712480000000003</v>
      </c>
      <c r="E247">
        <v>0.53953830000000003</v>
      </c>
      <c r="F247" t="s">
        <v>44</v>
      </c>
      <c r="G247">
        <v>-158.78319999999999</v>
      </c>
      <c r="H247">
        <v>4.8309030000000002</v>
      </c>
      <c r="I247">
        <v>351.92500000000001</v>
      </c>
      <c r="J247">
        <v>-412.45330000000001</v>
      </c>
      <c r="K247">
        <v>1.0603899999999999</v>
      </c>
      <c r="L247">
        <v>367.90010000000001</v>
      </c>
      <c r="M247">
        <v>0.99982819999999994</v>
      </c>
      <c r="N247">
        <v>-1.499965E-2</v>
      </c>
      <c r="O247">
        <v>1.0901289999999999E-2</v>
      </c>
      <c r="P247">
        <v>0.99836250000000004</v>
      </c>
      <c r="Q247">
        <v>3.5939890000000002E-2</v>
      </c>
      <c r="R247">
        <v>4.4505030000000001E-2</v>
      </c>
      <c r="S247">
        <v>3.0116580000000002</v>
      </c>
      <c r="T247">
        <v>4.4698950000000001E-2</v>
      </c>
      <c r="U247">
        <v>-0.1893311</v>
      </c>
      <c r="V247">
        <v>-3.3664060000000003E-2</v>
      </c>
      <c r="W247">
        <v>5.0886399999999998E-2</v>
      </c>
      <c r="X247">
        <v>0.99813689999999999</v>
      </c>
      <c r="Y247">
        <v>7.3614780000000005E-2</v>
      </c>
      <c r="Z247">
        <v>3.1802650000000002E-4</v>
      </c>
      <c r="AA247">
        <v>0.99728669999999997</v>
      </c>
      <c r="AB247">
        <v>39</v>
      </c>
      <c r="AC247">
        <v>253.67009999999999</v>
      </c>
      <c r="AD247">
        <v>3.7705129999999998</v>
      </c>
      <c r="AE247">
        <v>-15.9750999999999</v>
      </c>
      <c r="AF247">
        <v>18.7356696468871</v>
      </c>
      <c r="AG247">
        <v>3.7705129999999998</v>
      </c>
      <c r="AH247">
        <v>253.42508554454</v>
      </c>
      <c r="AI247">
        <v>89.149923534322397</v>
      </c>
      <c r="AJ247">
        <v>85.771825629493605</v>
      </c>
      <c r="AK247">
        <v>254.144675467848</v>
      </c>
      <c r="AL247">
        <v>87.083164249090004</v>
      </c>
      <c r="AM247">
        <v>91.931676622531597</v>
      </c>
      <c r="AN247">
        <v>0.99999998289112602</v>
      </c>
    </row>
    <row r="248" spans="1:40" x14ac:dyDescent="0.25">
      <c r="A248" t="str">
        <f>"20190305135800686"</f>
        <v>20190305135800686</v>
      </c>
      <c r="B248" t="str">
        <f>"1551765480678985"</f>
        <v>1551765480678985</v>
      </c>
      <c r="C248" t="s">
        <v>40</v>
      </c>
      <c r="D248">
        <v>4.1537860000000002</v>
      </c>
      <c r="E248">
        <v>0.53923679999999996</v>
      </c>
      <c r="F248" t="s">
        <v>44</v>
      </c>
      <c r="G248">
        <v>-158.78319999999999</v>
      </c>
      <c r="H248">
        <v>3.7442030000000002</v>
      </c>
      <c r="I248">
        <v>352.24549999999999</v>
      </c>
      <c r="J248">
        <v>-412.23950000000002</v>
      </c>
      <c r="K248">
        <v>1.060349</v>
      </c>
      <c r="L248">
        <v>367.90260000000001</v>
      </c>
      <c r="M248">
        <v>0.99982669999999996</v>
      </c>
      <c r="N248">
        <v>-1.499725E-2</v>
      </c>
      <c r="O248">
        <v>1.1029600000000001E-2</v>
      </c>
      <c r="P248">
        <v>0.99833240000000001</v>
      </c>
      <c r="Q248">
        <v>3.6073960000000002E-2</v>
      </c>
      <c r="R248">
        <v>4.5068520000000001E-2</v>
      </c>
      <c r="S248">
        <v>3.0120849999999999</v>
      </c>
      <c r="T248">
        <v>3.18687E-2</v>
      </c>
      <c r="U248">
        <v>-0.18588260000000001</v>
      </c>
      <c r="V248">
        <v>-3.4095519999999997E-2</v>
      </c>
      <c r="W248">
        <v>5.1020700000000002E-2</v>
      </c>
      <c r="X248">
        <v>0.99811539999999999</v>
      </c>
      <c r="Y248">
        <v>7.2599339999999998E-2</v>
      </c>
      <c r="Z248">
        <v>1.205816E-4</v>
      </c>
      <c r="AA248">
        <v>0.99736119999999995</v>
      </c>
      <c r="AB248">
        <v>39</v>
      </c>
      <c r="AC248">
        <v>253.4563</v>
      </c>
      <c r="AD248">
        <v>2.6838540000000002</v>
      </c>
      <c r="AE248">
        <v>-15.6571</v>
      </c>
      <c r="AF248">
        <v>18.449922561709201</v>
      </c>
      <c r="AG248">
        <v>2.6838540000000002</v>
      </c>
      <c r="AH248">
        <v>253.23988117276099</v>
      </c>
      <c r="AI248">
        <v>89.394403032878103</v>
      </c>
      <c r="AJ248">
        <v>85.833048557650997</v>
      </c>
      <c r="AK248">
        <v>253.92526485409101</v>
      </c>
      <c r="AL248">
        <v>87.075459420662895</v>
      </c>
      <c r="AM248">
        <v>91.956457210209905</v>
      </c>
      <c r="AN248">
        <v>0.99999998401486001</v>
      </c>
    </row>
    <row r="249" spans="1:40" x14ac:dyDescent="0.25">
      <c r="A249" t="str">
        <f>"20190305135800699"</f>
        <v>20190305135800699</v>
      </c>
      <c r="B249" t="str">
        <f>"1551765480688744"</f>
        <v>1551765480688744</v>
      </c>
      <c r="C249" t="s">
        <v>40</v>
      </c>
      <c r="D249">
        <v>4.1465740000000002</v>
      </c>
      <c r="E249">
        <v>0.53883990000000004</v>
      </c>
      <c r="F249" t="s">
        <v>45</v>
      </c>
      <c r="G249">
        <v>-249.68350000000001</v>
      </c>
      <c r="H249">
        <v>2.5322610000000001</v>
      </c>
      <c r="I249">
        <v>358.08730000000003</v>
      </c>
      <c r="J249">
        <v>-412.01760000000002</v>
      </c>
      <c r="K249">
        <v>1.0603149999999999</v>
      </c>
      <c r="L249">
        <v>367.9051</v>
      </c>
      <c r="M249">
        <v>0.99982550000000003</v>
      </c>
      <c r="N249">
        <v>-1.4994769999999999E-2</v>
      </c>
      <c r="O249">
        <v>1.114885E-2</v>
      </c>
      <c r="P249">
        <v>0.99829239999999997</v>
      </c>
      <c r="Q249">
        <v>3.6197739999999999E-2</v>
      </c>
      <c r="R249">
        <v>4.58509E-2</v>
      </c>
      <c r="S249">
        <v>3.0122990000000001</v>
      </c>
      <c r="T249">
        <v>2.7277349999999999E-2</v>
      </c>
      <c r="U249">
        <v>-0.18188480000000001</v>
      </c>
      <c r="V249">
        <v>-3.4754939999999998E-2</v>
      </c>
      <c r="W249">
        <v>5.1144040000000002E-2</v>
      </c>
      <c r="X249">
        <v>0.99808629999999998</v>
      </c>
      <c r="Y249">
        <v>7.1395749999999994E-2</v>
      </c>
      <c r="Z249" s="1">
        <v>5.5044599999999998E-5</v>
      </c>
      <c r="AA249">
        <v>0.99744809999999995</v>
      </c>
      <c r="AB249">
        <v>39</v>
      </c>
      <c r="AC249">
        <v>162.33410000000001</v>
      </c>
      <c r="AD249">
        <v>1.471946</v>
      </c>
      <c r="AE249">
        <v>-9.8177999999999699</v>
      </c>
      <c r="AF249">
        <v>11.626279158825</v>
      </c>
      <c r="AG249">
        <v>1.471946</v>
      </c>
      <c r="AH249">
        <v>162.20125195236599</v>
      </c>
      <c r="AI249">
        <v>89.481396246890597</v>
      </c>
      <c r="AJ249">
        <v>85.900158549076295</v>
      </c>
      <c r="AK249">
        <v>162.62405457686901</v>
      </c>
      <c r="AL249">
        <v>87.0683831930683</v>
      </c>
      <c r="AM249">
        <v>91.994323651685804</v>
      </c>
      <c r="AN249">
        <v>0.999999940464805</v>
      </c>
    </row>
    <row r="250" spans="1:40" x14ac:dyDescent="0.25">
      <c r="A250" t="str">
        <f>"20190305135800712"</f>
        <v>20190305135800712</v>
      </c>
      <c r="B250" t="str">
        <f>"1551765480709240"</f>
        <v>1551765480709240</v>
      </c>
      <c r="C250" t="s">
        <v>40</v>
      </c>
      <c r="D250">
        <v>4.159389</v>
      </c>
      <c r="E250">
        <v>0.53827170000000002</v>
      </c>
      <c r="F250" t="s">
        <v>44</v>
      </c>
      <c r="G250">
        <v>-158.78319999999999</v>
      </c>
      <c r="H250">
        <v>2.9984670000000002</v>
      </c>
      <c r="I250">
        <v>353.05399999999997</v>
      </c>
      <c r="J250">
        <v>-411.8091</v>
      </c>
      <c r="K250">
        <v>1.0602860000000001</v>
      </c>
      <c r="L250">
        <v>367.90750000000003</v>
      </c>
      <c r="M250">
        <v>0.99982439999999995</v>
      </c>
      <c r="N250">
        <v>-1.4992429999999999E-2</v>
      </c>
      <c r="O250">
        <v>1.123799E-2</v>
      </c>
      <c r="P250">
        <v>0.99823459999999997</v>
      </c>
      <c r="Q250">
        <v>3.6578769999999997E-2</v>
      </c>
      <c r="R250">
        <v>4.6794490000000001E-2</v>
      </c>
      <c r="S250">
        <v>3.0124209999999998</v>
      </c>
      <c r="T250">
        <v>2.3056859999999998E-2</v>
      </c>
      <c r="U250">
        <v>-0.176666299999999</v>
      </c>
      <c r="V250">
        <v>-3.5606609999999997E-2</v>
      </c>
      <c r="W250">
        <v>5.1523579999999999E-2</v>
      </c>
      <c r="X250">
        <v>0.99803679999999995</v>
      </c>
      <c r="Y250">
        <v>6.9760730000000007E-2</v>
      </c>
      <c r="Z250" s="1">
        <v>-2.3966419999999999E-6</v>
      </c>
      <c r="AA250">
        <v>0.9975638</v>
      </c>
      <c r="AB250">
        <v>39</v>
      </c>
      <c r="AC250">
        <v>253.02590000000001</v>
      </c>
      <c r="AD250">
        <v>1.9381809999999999</v>
      </c>
      <c r="AE250">
        <v>-14.853499999999899</v>
      </c>
      <c r="AF250">
        <v>17.6953494015685</v>
      </c>
      <c r="AG250">
        <v>1.9381809999999999</v>
      </c>
      <c r="AH250">
        <v>252.82819207986</v>
      </c>
      <c r="AI250">
        <v>89.561850934046007</v>
      </c>
      <c r="AJ250">
        <v>85.996418819443093</v>
      </c>
      <c r="AK250">
        <v>253.454091792583</v>
      </c>
      <c r="AL250">
        <v>87.046608565544602</v>
      </c>
      <c r="AM250">
        <v>92.043254888267597</v>
      </c>
      <c r="AN250">
        <v>0.99999998206297402</v>
      </c>
    </row>
    <row r="251" spans="1:40" x14ac:dyDescent="0.25">
      <c r="A251" t="str">
        <f>"20190305135800730"</f>
        <v>20190305135800730</v>
      </c>
      <c r="B251" t="str">
        <f>"1551765480719000"</f>
        <v>1551765480719000</v>
      </c>
      <c r="C251" t="s">
        <v>40</v>
      </c>
      <c r="D251">
        <v>4.1490830000000001</v>
      </c>
      <c r="E251">
        <v>0.53799929999999996</v>
      </c>
      <c r="F251" t="s">
        <v>44</v>
      </c>
      <c r="G251">
        <v>-169.2955</v>
      </c>
      <c r="H251">
        <v>2.3601649999999998</v>
      </c>
      <c r="I251">
        <v>354.24149999999997</v>
      </c>
      <c r="J251">
        <v>-411.49709999999999</v>
      </c>
      <c r="K251">
        <v>1.0602560000000001</v>
      </c>
      <c r="L251">
        <v>367.91109999999998</v>
      </c>
      <c r="M251">
        <v>0.99982329999999997</v>
      </c>
      <c r="N251">
        <v>-1.4988909999999999E-2</v>
      </c>
      <c r="O251">
        <v>1.135137E-2</v>
      </c>
      <c r="P251">
        <v>0.99813439999999998</v>
      </c>
      <c r="Q251">
        <v>3.6965190000000002E-2</v>
      </c>
      <c r="R251">
        <v>4.8596140000000003E-2</v>
      </c>
      <c r="S251">
        <v>3.0126650000000001</v>
      </c>
      <c r="T251">
        <v>1.614904E-2</v>
      </c>
      <c r="U251">
        <v>-0.16976930000000001</v>
      </c>
      <c r="V251">
        <v>-3.7291459999999998E-2</v>
      </c>
      <c r="W251">
        <v>5.1907870000000002E-2</v>
      </c>
      <c r="X251">
        <v>0.99795540000000005</v>
      </c>
      <c r="Y251">
        <v>6.7593050000000002E-2</v>
      </c>
      <c r="Z251" s="1">
        <v>-9.5172139999999999E-5</v>
      </c>
      <c r="AA251">
        <v>0.99771299999999996</v>
      </c>
      <c r="AB251">
        <v>39</v>
      </c>
      <c r="AC251">
        <v>242.20160000000001</v>
      </c>
      <c r="AD251">
        <v>1.299909</v>
      </c>
      <c r="AE251">
        <v>-13.669600000000001</v>
      </c>
      <c r="AF251">
        <v>16.417876325800599</v>
      </c>
      <c r="AG251">
        <v>1.299909</v>
      </c>
      <c r="AH251">
        <v>242.02385618448201</v>
      </c>
      <c r="AI251">
        <v>89.692973192334406</v>
      </c>
      <c r="AJ251">
        <v>86.119241679083899</v>
      </c>
      <c r="AK251">
        <v>242.583559601356</v>
      </c>
      <c r="AL251">
        <v>87.024561009975997</v>
      </c>
      <c r="AM251">
        <v>92.1400250918729</v>
      </c>
      <c r="AN251">
        <v>1.0000000301730101</v>
      </c>
    </row>
    <row r="252" spans="1:40" x14ac:dyDescent="0.25">
      <c r="A252" t="str">
        <f>"20190305135800743"</f>
        <v>20190305135800743</v>
      </c>
      <c r="B252" t="str">
        <f>"1551765480739497"</f>
        <v>1551765480739497</v>
      </c>
      <c r="C252" t="s">
        <v>40</v>
      </c>
      <c r="D252">
        <v>4.1622909999999997</v>
      </c>
      <c r="E252">
        <v>0.53761329999999996</v>
      </c>
      <c r="F252" t="s">
        <v>44</v>
      </c>
      <c r="G252">
        <v>-169.2955</v>
      </c>
      <c r="H252">
        <v>2.1905350000000001</v>
      </c>
      <c r="I252">
        <v>354.8553</v>
      </c>
      <c r="J252">
        <v>-411.27870000000001</v>
      </c>
      <c r="K252">
        <v>1.060236</v>
      </c>
      <c r="L252">
        <v>367.91370000000001</v>
      </c>
      <c r="M252">
        <v>0.99982260000000001</v>
      </c>
      <c r="N252">
        <v>-1.498643E-2</v>
      </c>
      <c r="O252">
        <v>1.1418050000000001E-2</v>
      </c>
      <c r="P252">
        <v>0.99811559999999999</v>
      </c>
      <c r="Q252">
        <v>3.6668010000000001E-2</v>
      </c>
      <c r="R252">
        <v>4.9205819999999997E-2</v>
      </c>
      <c r="S252">
        <v>3.0129999999999999</v>
      </c>
      <c r="T252">
        <v>1.4061809999999999E-2</v>
      </c>
      <c r="U252">
        <v>-0.16241459999999999</v>
      </c>
      <c r="V252">
        <v>-3.783214E-2</v>
      </c>
      <c r="W252">
        <v>5.1609769999999999E-2</v>
      </c>
      <c r="X252">
        <v>0.99795049999999996</v>
      </c>
      <c r="Y252">
        <v>6.5225080000000005E-2</v>
      </c>
      <c r="Z252">
        <v>-1.127889E-4</v>
      </c>
      <c r="AA252">
        <v>0.99787060000000005</v>
      </c>
      <c r="AB252">
        <v>39</v>
      </c>
      <c r="AC252">
        <v>241.98320000000001</v>
      </c>
      <c r="AD252">
        <v>1.13029899999999</v>
      </c>
      <c r="AE252">
        <v>-13.058400000000001</v>
      </c>
      <c r="AF252">
        <v>15.8204907172234</v>
      </c>
      <c r="AG252">
        <v>1.13029899999999</v>
      </c>
      <c r="AH252">
        <v>241.81304327513999</v>
      </c>
      <c r="AI252">
        <v>89.732757443016794</v>
      </c>
      <c r="AJ252">
        <v>86.256788552117001</v>
      </c>
      <c r="AK252">
        <v>242.332650297784</v>
      </c>
      <c r="AL252">
        <v>87.041663775070006</v>
      </c>
      <c r="AM252">
        <v>92.171033977173394</v>
      </c>
      <c r="AN252">
        <v>1.0000000198133401</v>
      </c>
    </row>
    <row r="253" spans="1:40" x14ac:dyDescent="0.25">
      <c r="A253" t="str">
        <f>"20190305135800755"</f>
        <v>20190305135800755</v>
      </c>
      <c r="B253" t="str">
        <f>"1551765480749256"</f>
        <v>1551765480749256</v>
      </c>
      <c r="C253" t="s">
        <v>40</v>
      </c>
      <c r="D253">
        <v>4.1542690000000002</v>
      </c>
      <c r="E253">
        <v>0.53751549999999904</v>
      </c>
      <c r="F253" t="s">
        <v>44</v>
      </c>
      <c r="G253">
        <v>-169.2955</v>
      </c>
      <c r="H253">
        <v>1.5475129999999999</v>
      </c>
      <c r="I253">
        <v>355.22370000000001</v>
      </c>
      <c r="J253">
        <v>-411.0677</v>
      </c>
      <c r="K253">
        <v>1.0602149999999999</v>
      </c>
      <c r="L253">
        <v>367.9162</v>
      </c>
      <c r="M253">
        <v>0.99982210000000005</v>
      </c>
      <c r="N253">
        <v>-1.4984020000000001E-2</v>
      </c>
      <c r="O253">
        <v>1.147306E-2</v>
      </c>
      <c r="P253">
        <v>0.99813359999999995</v>
      </c>
      <c r="Q253">
        <v>3.6118940000000002E-2</v>
      </c>
      <c r="R253">
        <v>4.9245799999999999E-2</v>
      </c>
      <c r="S253">
        <v>3.013245</v>
      </c>
      <c r="T253">
        <v>6.0688259999999898E-3</v>
      </c>
      <c r="U253">
        <v>-0.15801999999999999</v>
      </c>
      <c r="V253">
        <v>-3.7813699999999902E-2</v>
      </c>
      <c r="W253">
        <v>5.1060220000000003E-2</v>
      </c>
      <c r="X253">
        <v>0.99797950000000002</v>
      </c>
      <c r="Y253">
        <v>6.3824190000000003E-2</v>
      </c>
      <c r="Z253">
        <v>-2.1940969999999999E-4</v>
      </c>
      <c r="AA253">
        <v>0.99796119999999999</v>
      </c>
      <c r="AB253">
        <v>39</v>
      </c>
      <c r="AC253">
        <v>241.7722</v>
      </c>
      <c r="AD253">
        <v>0.48729799999999901</v>
      </c>
      <c r="AE253">
        <v>-12.6924999999999</v>
      </c>
      <c r="AF253">
        <v>15.4657796393452</v>
      </c>
      <c r="AG253">
        <v>0.48729799999999901</v>
      </c>
      <c r="AH253">
        <v>241.609666597678</v>
      </c>
      <c r="AI253">
        <v>89.884677397670998</v>
      </c>
      <c r="AJ253">
        <v>86.337412352443195</v>
      </c>
      <c r="AK253">
        <v>242.104644302076</v>
      </c>
      <c r="AL253">
        <v>87.073192335940803</v>
      </c>
      <c r="AM253">
        <v>92.169913795330203</v>
      </c>
      <c r="AN253">
        <v>1.0000000521971899</v>
      </c>
    </row>
    <row r="254" spans="1:40" x14ac:dyDescent="0.25">
      <c r="A254" t="str">
        <f>"20190305135800776"</f>
        <v>20190305135800776</v>
      </c>
      <c r="B254" t="str">
        <f>"1551765480768776"</f>
        <v>1551765480768776</v>
      </c>
      <c r="C254" t="s">
        <v>40</v>
      </c>
      <c r="D254">
        <v>4.142188</v>
      </c>
      <c r="E254">
        <v>0.53752719999999998</v>
      </c>
      <c r="F254" t="s">
        <v>44</v>
      </c>
      <c r="G254">
        <v>-169.2955</v>
      </c>
      <c r="H254">
        <v>1.16669</v>
      </c>
      <c r="I254">
        <v>355.30829999999997</v>
      </c>
      <c r="J254">
        <v>-410.69150000000002</v>
      </c>
      <c r="K254">
        <v>1.0601860000000001</v>
      </c>
      <c r="L254">
        <v>367.92059999999998</v>
      </c>
      <c r="M254">
        <v>0.99982110000000002</v>
      </c>
      <c r="N254">
        <v>-1.497967E-2</v>
      </c>
      <c r="O254">
        <v>1.1557929999999999E-2</v>
      </c>
      <c r="P254">
        <v>0.99822529999999998</v>
      </c>
      <c r="Q254">
        <v>3.4533109999999999E-2</v>
      </c>
      <c r="R254">
        <v>4.8515389999999999E-2</v>
      </c>
      <c r="S254">
        <v>3.0132750000000001</v>
      </c>
      <c r="T254">
        <v>1.3281110000000001E-3</v>
      </c>
      <c r="U254">
        <v>-0.157135</v>
      </c>
      <c r="V254">
        <v>-3.6993860000000003E-2</v>
      </c>
      <c r="W254">
        <v>4.9474839999999999E-2</v>
      </c>
      <c r="X254">
        <v>0.99809000000000003</v>
      </c>
      <c r="Y254">
        <v>6.3615710000000006E-2</v>
      </c>
      <c r="Z254">
        <v>-2.8470399999999999E-4</v>
      </c>
      <c r="AA254">
        <v>0.99797449999999999</v>
      </c>
      <c r="AB254">
        <v>39</v>
      </c>
      <c r="AC254">
        <v>241.39599999999999</v>
      </c>
      <c r="AD254">
        <v>0.106503999999999</v>
      </c>
      <c r="AE254">
        <v>-12.612299999999999</v>
      </c>
      <c r="AF254">
        <v>15.4018052426627</v>
      </c>
      <c r="AG254">
        <v>0.106503999999999</v>
      </c>
      <c r="AH254">
        <v>241.23403706019499</v>
      </c>
      <c r="AI254">
        <v>89.9747555112111</v>
      </c>
      <c r="AJ254">
        <v>86.346857528157003</v>
      </c>
      <c r="AK254">
        <v>241.725231583702</v>
      </c>
      <c r="AL254">
        <v>87.164142690435</v>
      </c>
      <c r="AM254">
        <v>92.122676533599005</v>
      </c>
      <c r="AN254">
        <v>0.99999997678536201</v>
      </c>
    </row>
    <row r="255" spans="1:40" x14ac:dyDescent="0.25">
      <c r="A255" t="str">
        <f>"20190305135800798"</f>
        <v>20190305135800798</v>
      </c>
      <c r="B255" t="str">
        <f>"1551765480789278"</f>
        <v>1551765480789278</v>
      </c>
      <c r="C255" t="s">
        <v>40</v>
      </c>
      <c r="D255">
        <v>4.3944239999999999</v>
      </c>
      <c r="E255">
        <v>0.56323159999999906</v>
      </c>
      <c r="F255" t="s">
        <v>44</v>
      </c>
      <c r="G255">
        <v>-169.2955</v>
      </c>
      <c r="H255">
        <v>0.56712439999999997</v>
      </c>
      <c r="I255">
        <v>355.13940000000002</v>
      </c>
      <c r="J255">
        <v>-410.32619999999997</v>
      </c>
      <c r="K255">
        <v>1.0601609999999999</v>
      </c>
      <c r="L255">
        <v>367.92489999999998</v>
      </c>
      <c r="M255">
        <v>0.99982020000000005</v>
      </c>
      <c r="N255">
        <v>-1.4975469999999999E-2</v>
      </c>
      <c r="O255">
        <v>1.1632E-2</v>
      </c>
      <c r="P255">
        <v>0.99835200000000002</v>
      </c>
      <c r="Q255">
        <v>3.374249E-2</v>
      </c>
      <c r="R255">
        <v>4.6419000000000002E-2</v>
      </c>
      <c r="S255">
        <v>3.013306</v>
      </c>
      <c r="T255">
        <v>-6.153703E-3</v>
      </c>
      <c r="U255">
        <v>-0.15954589999999999</v>
      </c>
      <c r="V255">
        <v>-3.481919E-2</v>
      </c>
      <c r="W255">
        <v>4.8684239999999997E-2</v>
      </c>
      <c r="X255">
        <v>0.99820719999999996</v>
      </c>
      <c r="Y255">
        <v>6.4484429999999995E-2</v>
      </c>
      <c r="Z255">
        <v>-3.9867599999999999E-4</v>
      </c>
      <c r="AA255">
        <v>0.99791859999999999</v>
      </c>
      <c r="AB255">
        <v>38</v>
      </c>
      <c r="AC255">
        <v>241.0307</v>
      </c>
      <c r="AD255">
        <v>-0.49303659999999999</v>
      </c>
      <c r="AE255">
        <v>-12.7854999999999</v>
      </c>
      <c r="AF255">
        <v>15.5885533096166</v>
      </c>
      <c r="AG255">
        <v>-0.49303659999999999</v>
      </c>
      <c r="AH255">
        <v>240.864647035047</v>
      </c>
      <c r="AI255">
        <v>90.117036275040903</v>
      </c>
      <c r="AJ255">
        <v>86.297030589570497</v>
      </c>
      <c r="AK255">
        <v>241.36906237273601</v>
      </c>
      <c r="AL255">
        <v>87.209495659508605</v>
      </c>
      <c r="AM255">
        <v>91.997765691920506</v>
      </c>
      <c r="AN255">
        <v>1.00000007267423</v>
      </c>
    </row>
    <row r="256" spans="1:40" x14ac:dyDescent="0.25">
      <c r="A256" t="str">
        <f>"20190305135800810"</f>
        <v>20190305135800810</v>
      </c>
      <c r="B256" t="str">
        <f>"1551765480799033"</f>
        <v>1551765480799033</v>
      </c>
      <c r="C256" t="s">
        <v>40</v>
      </c>
      <c r="D256">
        <v>4.1173919999999997</v>
      </c>
      <c r="E256">
        <v>0.56323159999999906</v>
      </c>
      <c r="F256" t="s">
        <v>46</v>
      </c>
      <c r="G256">
        <v>-168.4023</v>
      </c>
      <c r="H256">
        <v>6.5377780000000003</v>
      </c>
      <c r="I256">
        <v>338.52480000000003</v>
      </c>
      <c r="J256">
        <v>-410.11320000000001</v>
      </c>
      <c r="K256">
        <v>1.0601529999999999</v>
      </c>
      <c r="L256">
        <v>367.92739999999998</v>
      </c>
      <c r="M256">
        <v>0.99981989999999998</v>
      </c>
      <c r="N256">
        <v>-1.4972940000000001E-2</v>
      </c>
      <c r="O256">
        <v>1.167411E-2</v>
      </c>
      <c r="P256">
        <v>0.99843479999999996</v>
      </c>
      <c r="Q256">
        <v>3.3414140000000002E-2</v>
      </c>
      <c r="R256">
        <v>4.485161E-2</v>
      </c>
      <c r="S256">
        <v>3.019714</v>
      </c>
      <c r="T256">
        <v>6.8372130000000003E-2</v>
      </c>
      <c r="U256">
        <v>-0.36697390000000002</v>
      </c>
      <c r="V256">
        <v>-3.3208000000000001E-2</v>
      </c>
      <c r="W256">
        <v>4.8355130000000003E-2</v>
      </c>
      <c r="X256">
        <v>0.998278</v>
      </c>
      <c r="Y256">
        <v>0.13220109999999999</v>
      </c>
      <c r="Z256">
        <v>9.3499000000000002E-4</v>
      </c>
      <c r="AA256">
        <v>0.99122239999999995</v>
      </c>
      <c r="AB256">
        <v>38</v>
      </c>
      <c r="AC256">
        <v>241.71090000000001</v>
      </c>
      <c r="AD256">
        <v>5.4776249999999997</v>
      </c>
      <c r="AE256">
        <v>-29.4025999999999</v>
      </c>
      <c r="AF256">
        <v>32.20637271359</v>
      </c>
      <c r="AG256">
        <v>5.4776249999999997</v>
      </c>
      <c r="AH256">
        <v>241.22905793744201</v>
      </c>
      <c r="AI256">
        <v>88.7106361872154</v>
      </c>
      <c r="AJ256">
        <v>82.3954391407093</v>
      </c>
      <c r="AK256">
        <v>243.431126219292</v>
      </c>
      <c r="AL256">
        <v>87.228374243431105</v>
      </c>
      <c r="AM256">
        <v>91.905257744220805</v>
      </c>
      <c r="AN256">
        <v>0.99999997757265802</v>
      </c>
    </row>
    <row r="257" spans="1:40" x14ac:dyDescent="0.25">
      <c r="A257" t="str">
        <f>"20190305135800824"</f>
        <v>20190305135800824</v>
      </c>
      <c r="B257" t="str">
        <f>"1551765480819528"</f>
        <v>1551765480819528</v>
      </c>
      <c r="C257" t="s">
        <v>40</v>
      </c>
      <c r="D257">
        <v>4.367699</v>
      </c>
      <c r="E257">
        <v>0.62456109999999998</v>
      </c>
      <c r="F257" t="s">
        <v>46</v>
      </c>
      <c r="G257">
        <v>-168.40219999999999</v>
      </c>
      <c r="H257">
        <v>6.4269759999999998</v>
      </c>
      <c r="I257">
        <v>338.17860000000002</v>
      </c>
      <c r="J257">
        <v>-409.88670000000002</v>
      </c>
      <c r="K257">
        <v>1.060147</v>
      </c>
      <c r="L257">
        <v>367.93009999999998</v>
      </c>
      <c r="M257">
        <v>0.99981929999999997</v>
      </c>
      <c r="N257">
        <v>-1.4970300000000001E-2</v>
      </c>
      <c r="O257">
        <v>1.171938E-2</v>
      </c>
      <c r="P257">
        <v>0.99850450000000002</v>
      </c>
      <c r="Q257">
        <v>3.3474419999999998E-2</v>
      </c>
      <c r="R257">
        <v>4.3227540000000002E-2</v>
      </c>
      <c r="S257">
        <v>3.0191349999999999</v>
      </c>
      <c r="T257">
        <v>6.7035319999999995E-2</v>
      </c>
      <c r="U257">
        <v>-0.37158200000000002</v>
      </c>
      <c r="V257">
        <v>-3.1537049999999997E-2</v>
      </c>
      <c r="W257">
        <v>4.8415149999999997E-2</v>
      </c>
      <c r="X257">
        <v>0.99832929999999998</v>
      </c>
      <c r="Y257">
        <v>0.1337602</v>
      </c>
      <c r="Z257">
        <v>9.0810909999999997E-4</v>
      </c>
      <c r="AA257">
        <v>0.99101329999999999</v>
      </c>
      <c r="AB257">
        <v>38</v>
      </c>
      <c r="AC257">
        <v>241.4845</v>
      </c>
      <c r="AD257">
        <v>5.3668290000000001</v>
      </c>
      <c r="AE257">
        <v>-29.751499999999901</v>
      </c>
      <c r="AF257">
        <v>32.563978522782598</v>
      </c>
      <c r="AG257">
        <v>5.3668290000000001</v>
      </c>
      <c r="AH257">
        <v>241.001948336114</v>
      </c>
      <c r="AI257">
        <v>88.735785962741005</v>
      </c>
      <c r="AJ257">
        <v>82.304847708349897</v>
      </c>
      <c r="AK257">
        <v>243.25121716561</v>
      </c>
      <c r="AL257">
        <v>87.2249313853129</v>
      </c>
      <c r="AM257">
        <v>91.809362065347202</v>
      </c>
      <c r="AN257">
        <v>1.0000000017553501</v>
      </c>
    </row>
    <row r="258" spans="1:40" x14ac:dyDescent="0.25">
      <c r="A258" t="str">
        <f>"20190305135800842"</f>
        <v>20190305135800842</v>
      </c>
      <c r="B258" t="str">
        <f>"1551765480839049"</f>
        <v>1551765480839049</v>
      </c>
      <c r="C258" t="s">
        <v>40</v>
      </c>
      <c r="D258">
        <v>4.2131689999999997</v>
      </c>
      <c r="E258">
        <v>0.62812009999999996</v>
      </c>
      <c r="F258" t="s">
        <v>47</v>
      </c>
      <c r="G258">
        <v>-265.98450000000003</v>
      </c>
      <c r="H258">
        <v>11.494680000000001</v>
      </c>
      <c r="I258">
        <v>327.2276</v>
      </c>
      <c r="J258">
        <v>-409.56689999999998</v>
      </c>
      <c r="K258">
        <v>1.0601430000000001</v>
      </c>
      <c r="L258">
        <v>367.93389999999999</v>
      </c>
      <c r="M258">
        <v>0.9998186</v>
      </c>
      <c r="N258">
        <v>-1.496668E-2</v>
      </c>
      <c r="O258">
        <v>1.178542E-2</v>
      </c>
      <c r="P258">
        <v>0.99867329999999999</v>
      </c>
      <c r="Q258">
        <v>3.3362080000000002E-2</v>
      </c>
      <c r="R258">
        <v>3.922933E-2</v>
      </c>
      <c r="S258">
        <v>3.0343019999999998</v>
      </c>
      <c r="T258">
        <v>0.22002140000000001</v>
      </c>
      <c r="U258">
        <v>-0.85824579999999995</v>
      </c>
      <c r="V258">
        <v>-2.746966E-2</v>
      </c>
      <c r="W258">
        <v>4.8303230000000003E-2</v>
      </c>
      <c r="X258">
        <v>0.99845490000000003</v>
      </c>
      <c r="Y258">
        <v>0.28291300000000003</v>
      </c>
      <c r="Z258">
        <v>8.897538E-3</v>
      </c>
      <c r="AA258">
        <v>0.95910430000000002</v>
      </c>
      <c r="AB258">
        <v>38</v>
      </c>
      <c r="AC258">
        <v>143.58239999999901</v>
      </c>
      <c r="AD258">
        <v>10.434536999999899</v>
      </c>
      <c r="AE258">
        <v>-40.706299999999999</v>
      </c>
      <c r="AF258">
        <v>42.189599709282</v>
      </c>
      <c r="AG258">
        <v>10.434536999999899</v>
      </c>
      <c r="AH258">
        <v>142.39653579791801</v>
      </c>
      <c r="AI258">
        <v>85.981054550865395</v>
      </c>
      <c r="AJ258">
        <v>73.496366000610607</v>
      </c>
      <c r="AK258">
        <v>148.88121202247601</v>
      </c>
      <c r="AL258">
        <v>87.231351396115898</v>
      </c>
      <c r="AM258">
        <v>91.575933633907596</v>
      </c>
      <c r="AN258">
        <v>0.99999998579147897</v>
      </c>
    </row>
    <row r="259" spans="1:40" x14ac:dyDescent="0.25">
      <c r="A259" t="str">
        <f>"20190305135800864"</f>
        <v>20190305135800864</v>
      </c>
      <c r="B259" t="str">
        <f>"1551765480858568"</f>
        <v>1551765480858568</v>
      </c>
      <c r="C259" t="s">
        <v>40</v>
      </c>
      <c r="D259">
        <v>4.175522</v>
      </c>
      <c r="E259">
        <v>0.62777689999999997</v>
      </c>
      <c r="F259" t="s">
        <v>48</v>
      </c>
      <c r="G259">
        <v>-327.03739999999999</v>
      </c>
      <c r="H259">
        <v>9.1340459999999997</v>
      </c>
      <c r="I259">
        <v>343.54559999999998</v>
      </c>
      <c r="J259">
        <v>-409.19880000000001</v>
      </c>
      <c r="K259">
        <v>1.0601400000000001</v>
      </c>
      <c r="L259">
        <v>367.93830000000003</v>
      </c>
      <c r="M259">
        <v>0.99981770000000003</v>
      </c>
      <c r="N259">
        <v>-1.496252E-2</v>
      </c>
      <c r="O259">
        <v>1.1863500000000001E-2</v>
      </c>
      <c r="P259">
        <v>0.99881529999999996</v>
      </c>
      <c r="Q259">
        <v>3.3870579999999997E-2</v>
      </c>
      <c r="R259">
        <v>3.4937429999999998E-2</v>
      </c>
      <c r="S259">
        <v>3.029236</v>
      </c>
      <c r="T259">
        <v>0.2963519</v>
      </c>
      <c r="U259">
        <v>-0.89517209999999903</v>
      </c>
      <c r="V259">
        <v>-2.3097280000000001E-2</v>
      </c>
      <c r="W259">
        <v>4.8810930000000002E-2</v>
      </c>
      <c r="X259">
        <v>0.99854089999999995</v>
      </c>
      <c r="Y259">
        <v>0.29360459999999999</v>
      </c>
      <c r="Z259">
        <v>1.3090640000000001E-2</v>
      </c>
      <c r="AA259">
        <v>0.9558373</v>
      </c>
      <c r="AB259">
        <v>38</v>
      </c>
      <c r="AC259">
        <v>82.1614</v>
      </c>
      <c r="AD259">
        <v>8.0739059999999991</v>
      </c>
      <c r="AE259">
        <v>-24.392700000000001</v>
      </c>
      <c r="AF259">
        <v>25.142684023886599</v>
      </c>
      <c r="AG259">
        <v>8.0739059999999991</v>
      </c>
      <c r="AH259">
        <v>81.146067166411697</v>
      </c>
      <c r="AI259">
        <v>84.570869460163493</v>
      </c>
      <c r="AJ259">
        <v>72.784678728035601</v>
      </c>
      <c r="AK259">
        <v>85.334792052231805</v>
      </c>
      <c r="AL259">
        <v>87.202227902478299</v>
      </c>
      <c r="AM259">
        <v>91.325074131804996</v>
      </c>
      <c r="AN259">
        <v>0.99999996010183501</v>
      </c>
    </row>
    <row r="260" spans="1:40" x14ac:dyDescent="0.25">
      <c r="A260" t="str">
        <f>"20190305135800876"</f>
        <v>20190305135800876</v>
      </c>
      <c r="B260" t="str">
        <f>"1551765480869305"</f>
        <v>1551765480869305</v>
      </c>
      <c r="C260" t="s">
        <v>40</v>
      </c>
      <c r="D260">
        <v>4.2150530000000002</v>
      </c>
      <c r="E260">
        <v>0.62748549999999903</v>
      </c>
      <c r="F260" t="s">
        <v>48</v>
      </c>
      <c r="G260">
        <v>-327.5025</v>
      </c>
      <c r="H260">
        <v>9.7168749999999999</v>
      </c>
      <c r="I260">
        <v>343.51409999999998</v>
      </c>
      <c r="J260">
        <v>-408.9862</v>
      </c>
      <c r="K260">
        <v>1.0601400000000001</v>
      </c>
      <c r="L260">
        <v>367.9409</v>
      </c>
      <c r="M260">
        <v>0.99981719999999996</v>
      </c>
      <c r="N260">
        <v>-1.496012E-2</v>
      </c>
      <c r="O260">
        <v>1.1909319999999999E-2</v>
      </c>
      <c r="P260">
        <v>0.99886439999999999</v>
      </c>
      <c r="Q260">
        <v>3.4533559999999998E-2</v>
      </c>
      <c r="R260">
        <v>3.2823449999999997E-2</v>
      </c>
      <c r="S260">
        <v>3.0242610000000001</v>
      </c>
      <c r="T260">
        <v>0.32045790000000002</v>
      </c>
      <c r="U260">
        <v>-0.90414430000000001</v>
      </c>
      <c r="V260">
        <v>-2.093629E-2</v>
      </c>
      <c r="W260">
        <v>4.9472460000000003E-2</v>
      </c>
      <c r="X260">
        <v>0.998556</v>
      </c>
      <c r="Y260">
        <v>0.29645300000000002</v>
      </c>
      <c r="Z260">
        <v>1.44662E-2</v>
      </c>
      <c r="AA260">
        <v>0.95493790000000001</v>
      </c>
      <c r="AB260">
        <v>38</v>
      </c>
      <c r="AC260">
        <v>81.483699999999999</v>
      </c>
      <c r="AD260">
        <v>8.6567349999999994</v>
      </c>
      <c r="AE260">
        <v>-24.4268</v>
      </c>
      <c r="AF260">
        <v>25.135289126524199</v>
      </c>
      <c r="AG260">
        <v>8.6567349999999994</v>
      </c>
      <c r="AH260">
        <v>80.354822647372401</v>
      </c>
      <c r="AI260">
        <v>84.129560408435907</v>
      </c>
      <c r="AJ260">
        <v>72.630121977405494</v>
      </c>
      <c r="AK260">
        <v>84.6381671766636</v>
      </c>
      <c r="AL260">
        <v>87.164279199026893</v>
      </c>
      <c r="AM260">
        <v>91.201119744488594</v>
      </c>
      <c r="AN260">
        <v>0.99999996883670705</v>
      </c>
    </row>
    <row r="261" spans="1:40" x14ac:dyDescent="0.25">
      <c r="A261" t="str">
        <f>"20190305135800888"</f>
        <v>20190305135800888</v>
      </c>
      <c r="B261" t="str">
        <f>"1551765480879065"</f>
        <v>1551765480879065</v>
      </c>
      <c r="C261" t="s">
        <v>40</v>
      </c>
      <c r="D261">
        <v>4.1144220000000002</v>
      </c>
      <c r="E261">
        <v>0.62718369999999901</v>
      </c>
      <c r="F261" t="s">
        <v>48</v>
      </c>
      <c r="G261">
        <v>-329.59930000000003</v>
      </c>
      <c r="H261">
        <v>9.8262300000000007</v>
      </c>
      <c r="I261">
        <v>344.08940000000001</v>
      </c>
      <c r="J261">
        <v>-408.7747</v>
      </c>
      <c r="K261">
        <v>1.060141</v>
      </c>
      <c r="L261">
        <v>367.9434</v>
      </c>
      <c r="M261">
        <v>0.9998167</v>
      </c>
      <c r="N261">
        <v>-1.4957730000000001E-2</v>
      </c>
      <c r="O261">
        <v>1.1955500000000001E-2</v>
      </c>
      <c r="P261">
        <v>0.99890400000000001</v>
      </c>
      <c r="Q261">
        <v>3.5328159999999997E-2</v>
      </c>
      <c r="R261">
        <v>3.070852E-2</v>
      </c>
      <c r="S261">
        <v>3.0217290000000001</v>
      </c>
      <c r="T261">
        <v>0.33366669999999998</v>
      </c>
      <c r="U261">
        <v>-0.90786739999999999</v>
      </c>
      <c r="V261">
        <v>-1.8774740000000002E-2</v>
      </c>
      <c r="W261">
        <v>5.0265879999999999E-2</v>
      </c>
      <c r="X261">
        <v>0.99855939999999999</v>
      </c>
      <c r="Y261">
        <v>0.29766379999999998</v>
      </c>
      <c r="Z261">
        <v>1.5216850000000001E-2</v>
      </c>
      <c r="AA261">
        <v>0.95454950000000005</v>
      </c>
      <c r="AB261">
        <v>38</v>
      </c>
      <c r="AC261">
        <v>79.175399999999897</v>
      </c>
      <c r="AD261">
        <v>8.7660889999999991</v>
      </c>
      <c r="AE261">
        <v>-23.8539999999999</v>
      </c>
      <c r="AF261">
        <v>24.523382627332101</v>
      </c>
      <c r="AG261">
        <v>8.7660889999999991</v>
      </c>
      <c r="AH261">
        <v>78.007851227777493</v>
      </c>
      <c r="AI261">
        <v>83.881151464111696</v>
      </c>
      <c r="AJ261">
        <v>72.548380207006204</v>
      </c>
      <c r="AK261">
        <v>82.240291007617003</v>
      </c>
      <c r="AL261">
        <v>87.118763071568097</v>
      </c>
      <c r="AM261">
        <v>91.077138357857294</v>
      </c>
      <c r="AN261">
        <v>1.0000000124413</v>
      </c>
    </row>
    <row r="262" spans="1:40" x14ac:dyDescent="0.25">
      <c r="A262" t="str">
        <f>"20190305135800901"</f>
        <v>20190305135800901</v>
      </c>
      <c r="B262" t="str">
        <f>"1551765480898584"</f>
        <v>1551765480898584</v>
      </c>
      <c r="C262" t="s">
        <v>40</v>
      </c>
      <c r="D262">
        <v>4.1485019999999997</v>
      </c>
      <c r="E262">
        <v>0.62704359999999904</v>
      </c>
      <c r="F262" t="s">
        <v>49</v>
      </c>
      <c r="G262">
        <v>-331.48660000000001</v>
      </c>
      <c r="H262">
        <v>9.8712789999999995</v>
      </c>
      <c r="I262">
        <v>344.60559999999998</v>
      </c>
      <c r="J262">
        <v>-408.56180000000001</v>
      </c>
      <c r="K262">
        <v>1.060144</v>
      </c>
      <c r="L262">
        <v>367.94600000000003</v>
      </c>
      <c r="M262">
        <v>0.99981620000000004</v>
      </c>
      <c r="N262">
        <v>-1.4955299999999999E-2</v>
      </c>
      <c r="O262">
        <v>1.200217E-2</v>
      </c>
      <c r="P262">
        <v>0.99893100000000001</v>
      </c>
      <c r="Q262">
        <v>3.6176319999999998E-2</v>
      </c>
      <c r="R262">
        <v>2.8779800000000001E-2</v>
      </c>
      <c r="S262">
        <v>3.0191349999999999</v>
      </c>
      <c r="T262">
        <v>0.34419260000000002</v>
      </c>
      <c r="U262">
        <v>-0.91165160000000001</v>
      </c>
      <c r="V262">
        <v>-1.679891E-2</v>
      </c>
      <c r="W262">
        <v>5.111214E-2</v>
      </c>
      <c r="X262">
        <v>0.99855159999999998</v>
      </c>
      <c r="Y262">
        <v>0.29891859999999998</v>
      </c>
      <c r="Z262">
        <v>1.5837E-2</v>
      </c>
      <c r="AA262">
        <v>0.95414719999999997</v>
      </c>
      <c r="AB262">
        <v>38</v>
      </c>
      <c r="AC262">
        <v>77.075199999999995</v>
      </c>
      <c r="AD262">
        <v>8.8111350000000002</v>
      </c>
      <c r="AE262">
        <v>-23.340399999999899</v>
      </c>
      <c r="AF262">
        <v>23.976865016107801</v>
      </c>
      <c r="AG262">
        <v>8.8111350000000002</v>
      </c>
      <c r="AH262">
        <v>75.881109408885905</v>
      </c>
      <c r="AI262">
        <v>83.681847294898304</v>
      </c>
      <c r="AJ262">
        <v>72.464538620361495</v>
      </c>
      <c r="AK262">
        <v>80.065404021413599</v>
      </c>
      <c r="AL262">
        <v>87.0702134265034</v>
      </c>
      <c r="AM262">
        <v>90.963811840181094</v>
      </c>
      <c r="AN262">
        <v>0.99999997604756297</v>
      </c>
    </row>
    <row r="263" spans="1:40" x14ac:dyDescent="0.25">
      <c r="A263" t="str">
        <f>"20190305135800920"</f>
        <v>20190305135800920</v>
      </c>
      <c r="B263" t="str">
        <f>"1551765480909324"</f>
        <v>1551765480909324</v>
      </c>
      <c r="C263" t="s">
        <v>40</v>
      </c>
      <c r="D263">
        <v>4.1322269999999897</v>
      </c>
      <c r="E263">
        <v>0.62711680000000003</v>
      </c>
      <c r="F263" t="s">
        <v>49</v>
      </c>
      <c r="G263">
        <v>-331.3612</v>
      </c>
      <c r="H263">
        <v>10.302020000000001</v>
      </c>
      <c r="I263">
        <v>344.50439999999998</v>
      </c>
      <c r="J263">
        <v>-408.23880000000003</v>
      </c>
      <c r="K263">
        <v>1.06016</v>
      </c>
      <c r="L263">
        <v>367.94990000000001</v>
      </c>
      <c r="M263">
        <v>0.99981540000000002</v>
      </c>
      <c r="N263">
        <v>-1.4951600000000001E-2</v>
      </c>
      <c r="O263">
        <v>1.2072859999999999E-2</v>
      </c>
      <c r="P263">
        <v>0.99893989999999999</v>
      </c>
      <c r="Q263">
        <v>3.8191830000000003E-2</v>
      </c>
      <c r="R263">
        <v>2.57053E-2</v>
      </c>
      <c r="S263">
        <v>3.0165410000000001</v>
      </c>
      <c r="T263">
        <v>0.36111769999999999</v>
      </c>
      <c r="U263">
        <v>-0.91595459999999995</v>
      </c>
      <c r="V263">
        <v>-1.36534E-2</v>
      </c>
      <c r="W263">
        <v>5.312356E-2</v>
      </c>
      <c r="X263">
        <v>0.99849460000000001</v>
      </c>
      <c r="Y263">
        <v>0.30027490000000001</v>
      </c>
      <c r="Z263">
        <v>1.6802959999999999E-2</v>
      </c>
      <c r="AA263">
        <v>0.95370469999999896</v>
      </c>
      <c r="AB263">
        <v>38</v>
      </c>
      <c r="AC263">
        <v>76.877600000000001</v>
      </c>
      <c r="AD263">
        <v>9.2418600000000009</v>
      </c>
      <c r="AE263">
        <v>-23.445499999999999</v>
      </c>
      <c r="AF263">
        <v>24.0539862446991</v>
      </c>
      <c r="AG263">
        <v>9.2418600000000009</v>
      </c>
      <c r="AH263">
        <v>75.589469051313003</v>
      </c>
      <c r="AI263">
        <v>83.354592720581905</v>
      </c>
      <c r="AJ263">
        <v>72.347954371466798</v>
      </c>
      <c r="AK263">
        <v>79.860967073904007</v>
      </c>
      <c r="AL263">
        <v>86.954810752326594</v>
      </c>
      <c r="AM263">
        <v>90.783412794610101</v>
      </c>
      <c r="AN263">
        <v>0.99999999709389598</v>
      </c>
    </row>
    <row r="264" spans="1:40" x14ac:dyDescent="0.25">
      <c r="A264" t="str">
        <f>"20190305135800934"</f>
        <v>20190305135800934</v>
      </c>
      <c r="B264" t="str">
        <f>"1551765480928841"</f>
        <v>1551765480928841</v>
      </c>
      <c r="C264" t="s">
        <v>40</v>
      </c>
      <c r="D264">
        <v>4.1831899999999997</v>
      </c>
      <c r="E264">
        <v>0.62692619999999999</v>
      </c>
      <c r="F264" t="s">
        <v>49</v>
      </c>
      <c r="G264">
        <v>-331.3175</v>
      </c>
      <c r="H264">
        <v>10.61857</v>
      </c>
      <c r="I264">
        <v>344.31709999999998</v>
      </c>
      <c r="J264">
        <v>-408.00229999999999</v>
      </c>
      <c r="K264">
        <v>1.0601640000000001</v>
      </c>
      <c r="L264">
        <v>367.95280000000002</v>
      </c>
      <c r="M264">
        <v>0.99981469999999995</v>
      </c>
      <c r="N264">
        <v>-1.4948879999999999E-2</v>
      </c>
      <c r="O264">
        <v>1.2124269999999999E-2</v>
      </c>
      <c r="P264">
        <v>0.99892780000000003</v>
      </c>
      <c r="Q264">
        <v>3.9312279999999998E-2</v>
      </c>
      <c r="R264">
        <v>2.44517E-2</v>
      </c>
      <c r="S264">
        <v>3.0126949999999999</v>
      </c>
      <c r="T264">
        <v>0.37436399999999997</v>
      </c>
      <c r="U264">
        <v>-0.92559809999999998</v>
      </c>
      <c r="V264">
        <v>-1.234855E-2</v>
      </c>
      <c r="W264">
        <v>5.4241560000000001E-2</v>
      </c>
      <c r="X264">
        <v>0.99845150000000005</v>
      </c>
      <c r="Y264">
        <v>0.303288</v>
      </c>
      <c r="Z264">
        <v>1.7672119999999999E-2</v>
      </c>
      <c r="AA264">
        <v>0.95273509999999995</v>
      </c>
      <c r="AB264">
        <v>38</v>
      </c>
      <c r="AC264">
        <v>76.684799999999996</v>
      </c>
      <c r="AD264">
        <v>9.5584059999999997</v>
      </c>
      <c r="AE264">
        <v>-23.6357</v>
      </c>
      <c r="AF264">
        <v>24.220163963471599</v>
      </c>
      <c r="AG264">
        <v>9.5584059999999997</v>
      </c>
      <c r="AH264">
        <v>75.323827048797696</v>
      </c>
      <c r="AI264">
        <v>83.111713002304896</v>
      </c>
      <c r="AJ264">
        <v>72.174952040098503</v>
      </c>
      <c r="AK264">
        <v>79.697292231012895</v>
      </c>
      <c r="AL264">
        <v>86.890661625329699</v>
      </c>
      <c r="AM264">
        <v>90.7085809649559</v>
      </c>
      <c r="AN264">
        <v>1.00000001568529</v>
      </c>
    </row>
    <row r="265" spans="1:40" x14ac:dyDescent="0.25">
      <c r="A265" t="str">
        <f>"20190305135800955"</f>
        <v>20190305135800955</v>
      </c>
      <c r="B265" t="str">
        <f>"1551765480949337"</f>
        <v>1551765480949337</v>
      </c>
      <c r="C265" t="s">
        <v>40</v>
      </c>
      <c r="D265">
        <v>4.17455</v>
      </c>
      <c r="E265">
        <v>0.62629539999999995</v>
      </c>
      <c r="F265" t="s">
        <v>49</v>
      </c>
      <c r="G265">
        <v>-331.16370000000001</v>
      </c>
      <c r="H265">
        <v>11.04256</v>
      </c>
      <c r="I265">
        <v>344.28829999999999</v>
      </c>
      <c r="J265">
        <v>-407.64769999999999</v>
      </c>
      <c r="K265">
        <v>1.0601719999999999</v>
      </c>
      <c r="L265">
        <v>367.9572</v>
      </c>
      <c r="M265">
        <v>0.99981390000000003</v>
      </c>
      <c r="N265">
        <v>-1.4944799999999901E-2</v>
      </c>
      <c r="O265">
        <v>1.2201299999999899E-2</v>
      </c>
      <c r="P265">
        <v>0.99890120000000004</v>
      </c>
      <c r="Q265">
        <v>4.0790319999999998E-2</v>
      </c>
      <c r="R265">
        <v>2.307582E-2</v>
      </c>
      <c r="S265">
        <v>3.0104679999999999</v>
      </c>
      <c r="T265">
        <v>0.39110149999999999</v>
      </c>
      <c r="U265">
        <v>-0.92715449999999999</v>
      </c>
      <c r="V265">
        <v>-1.0896029999999999E-2</v>
      </c>
      <c r="W265">
        <v>5.5714649999999998E-2</v>
      </c>
      <c r="X265">
        <v>0.99838729999999998</v>
      </c>
      <c r="Y265">
        <v>0.30381150000000001</v>
      </c>
      <c r="Z265">
        <v>1.860411E-2</v>
      </c>
      <c r="AA265">
        <v>0.95255049999999997</v>
      </c>
      <c r="AB265">
        <v>38</v>
      </c>
      <c r="AC265">
        <v>76.483999999999895</v>
      </c>
      <c r="AD265">
        <v>9.9823880000000003</v>
      </c>
      <c r="AE265">
        <v>-23.668900000000001</v>
      </c>
      <c r="AF265">
        <v>24.223869767451699</v>
      </c>
      <c r="AG265">
        <v>9.9823880000000003</v>
      </c>
      <c r="AH265">
        <v>75.023195588200196</v>
      </c>
      <c r="AI265">
        <v>82.783578932551293</v>
      </c>
      <c r="AJ265">
        <v>72.105506490618396</v>
      </c>
      <c r="AK265">
        <v>79.466494907969505</v>
      </c>
      <c r="AL265">
        <v>86.806131957202496</v>
      </c>
      <c r="AM265">
        <v>90.625280137399201</v>
      </c>
      <c r="AN265">
        <v>1.0000000232478301</v>
      </c>
    </row>
    <row r="266" spans="1:40" x14ac:dyDescent="0.25">
      <c r="A266" t="str">
        <f>"20190305135800978"</f>
        <v>20190305135800978</v>
      </c>
      <c r="B266" t="str">
        <f>"1551765480968857"</f>
        <v>1551765480968857</v>
      </c>
      <c r="C266" t="s">
        <v>40</v>
      </c>
      <c r="D266">
        <v>4.2149179999999999</v>
      </c>
      <c r="E266">
        <v>0.62533380000000005</v>
      </c>
      <c r="F266" t="s">
        <v>49</v>
      </c>
      <c r="G266">
        <v>-331.0865</v>
      </c>
      <c r="H266">
        <v>11.130750000000001</v>
      </c>
      <c r="I266">
        <v>344.38780000000003</v>
      </c>
      <c r="J266">
        <v>-407.25290000000001</v>
      </c>
      <c r="K266">
        <v>1.060176</v>
      </c>
      <c r="L266">
        <v>367.96210000000002</v>
      </c>
      <c r="M266">
        <v>0.99981299999999995</v>
      </c>
      <c r="N266">
        <v>-1.494034E-2</v>
      </c>
      <c r="O266">
        <v>1.2286389999999999E-2</v>
      </c>
      <c r="P266">
        <v>0.99887630000000005</v>
      </c>
      <c r="Q266">
        <v>4.1870839999999999E-2</v>
      </c>
      <c r="R266">
        <v>2.2208740000000001E-2</v>
      </c>
      <c r="S266">
        <v>3.0085449999999998</v>
      </c>
      <c r="T266">
        <v>0.39573259999999899</v>
      </c>
      <c r="U266">
        <v>-0.92617799999999995</v>
      </c>
      <c r="V266">
        <v>-9.9442390000000006E-3</v>
      </c>
      <c r="W266">
        <v>5.6790599999999997E-2</v>
      </c>
      <c r="X266">
        <v>0.99833660000000002</v>
      </c>
      <c r="Y266">
        <v>0.30372349999999998</v>
      </c>
      <c r="Z266">
        <v>1.8869279999999999E-2</v>
      </c>
      <c r="AA266">
        <v>0.95257340000000001</v>
      </c>
      <c r="AB266">
        <v>38</v>
      </c>
      <c r="AC266">
        <v>76.166399999999996</v>
      </c>
      <c r="AD266">
        <v>10.070574000000001</v>
      </c>
      <c r="AE266">
        <v>-23.574299999999901</v>
      </c>
      <c r="AF266">
        <v>24.123582972493899</v>
      </c>
      <c r="AG266">
        <v>10.070574000000001</v>
      </c>
      <c r="AH266">
        <v>74.6795855683648</v>
      </c>
      <c r="AI266">
        <v>82.687678653917104</v>
      </c>
      <c r="AJ266">
        <v>72.098100547761106</v>
      </c>
      <c r="AK266">
        <v>79.122716186838502</v>
      </c>
      <c r="AL266">
        <v>86.744386760649803</v>
      </c>
      <c r="AM266">
        <v>90.570693374128695</v>
      </c>
      <c r="AN266">
        <v>1.0000000135186</v>
      </c>
    </row>
    <row r="267" spans="1:40" x14ac:dyDescent="0.25">
      <c r="A267" t="str">
        <f>"20190305135801000"</f>
        <v>20190305135801000</v>
      </c>
      <c r="B267" t="str">
        <f>"1551765480989352"</f>
        <v>1551765480989352</v>
      </c>
      <c r="C267" t="s">
        <v>40</v>
      </c>
      <c r="D267">
        <v>4.1949290000000001</v>
      </c>
      <c r="E267">
        <v>0.62473679999999998</v>
      </c>
      <c r="F267" t="s">
        <v>49</v>
      </c>
      <c r="G267">
        <v>-331.05</v>
      </c>
      <c r="H267">
        <v>10.9809</v>
      </c>
      <c r="I267">
        <v>344.60969999999998</v>
      </c>
      <c r="J267">
        <v>-406.88679999999999</v>
      </c>
      <c r="K267">
        <v>1.0601830000000001</v>
      </c>
      <c r="L267">
        <v>367.96660000000003</v>
      </c>
      <c r="M267">
        <v>0.99981209999999998</v>
      </c>
      <c r="N267">
        <v>-1.49362E-2</v>
      </c>
      <c r="O267">
        <v>1.2365599999999999E-2</v>
      </c>
      <c r="P267">
        <v>0.99880199999999997</v>
      </c>
      <c r="Q267">
        <v>4.3923690000000001E-2</v>
      </c>
      <c r="R267">
        <v>2.1581050000000001E-2</v>
      </c>
      <c r="S267">
        <v>3.0074459999999998</v>
      </c>
      <c r="T267">
        <v>0.39153460000000001</v>
      </c>
      <c r="U267">
        <v>-0.92163090000000003</v>
      </c>
      <c r="V267">
        <v>-9.2385910000000009E-3</v>
      </c>
      <c r="W267">
        <v>5.8838519999999998E-2</v>
      </c>
      <c r="X267">
        <v>0.99822469999999996</v>
      </c>
      <c r="Y267">
        <v>0.3026336</v>
      </c>
      <c r="Z267">
        <v>1.861144E-2</v>
      </c>
      <c r="AA267">
        <v>0.95292529999999998</v>
      </c>
      <c r="AB267">
        <v>38</v>
      </c>
      <c r="AC267">
        <v>75.836799999999897</v>
      </c>
      <c r="AD267">
        <v>9.9207169999999998</v>
      </c>
      <c r="AE267">
        <v>-23.3569</v>
      </c>
      <c r="AF267">
        <v>23.919121664349898</v>
      </c>
      <c r="AG267">
        <v>9.9207169999999998</v>
      </c>
      <c r="AH267">
        <v>74.379567689553795</v>
      </c>
      <c r="AI267">
        <v>82.763563503190994</v>
      </c>
      <c r="AJ267">
        <v>72.173149732437807</v>
      </c>
      <c r="AK267">
        <v>78.758270020823701</v>
      </c>
      <c r="AL267">
        <v>86.626852717307997</v>
      </c>
      <c r="AM267">
        <v>90.5302585282964</v>
      </c>
      <c r="AN267">
        <v>0.99999993734477</v>
      </c>
    </row>
    <row r="268" spans="1:40" x14ac:dyDescent="0.25">
      <c r="A268" t="str">
        <f>"20190305135801020"</f>
        <v>20190305135801020</v>
      </c>
      <c r="B268" t="str">
        <f>"1551765481008872"</f>
        <v>1551765481008872</v>
      </c>
      <c r="C268" t="s">
        <v>40</v>
      </c>
      <c r="D268">
        <v>4.2145650000000003</v>
      </c>
      <c r="E268">
        <v>0.62412909999999999</v>
      </c>
      <c r="F268" t="s">
        <v>49</v>
      </c>
      <c r="G268">
        <v>-331.00420000000003</v>
      </c>
      <c r="H268">
        <v>10.9255</v>
      </c>
      <c r="I268">
        <v>344.7672</v>
      </c>
      <c r="J268">
        <v>-406.53910000000002</v>
      </c>
      <c r="K268">
        <v>1.06019</v>
      </c>
      <c r="L268">
        <v>367.971</v>
      </c>
      <c r="M268">
        <v>0.99981109999999895</v>
      </c>
      <c r="N268">
        <v>-1.4932259999999999E-2</v>
      </c>
      <c r="O268">
        <v>1.244117E-2</v>
      </c>
      <c r="P268">
        <v>0.99870610000000004</v>
      </c>
      <c r="Q268">
        <v>4.6159789999999999E-2</v>
      </c>
      <c r="R268">
        <v>2.1348229999999999E-2</v>
      </c>
      <c r="S268">
        <v>3.006256</v>
      </c>
      <c r="T268">
        <v>0.39083600000000002</v>
      </c>
      <c r="U268">
        <v>-0.91909790000000002</v>
      </c>
      <c r="V268">
        <v>-8.9318069999999999E-3</v>
      </c>
      <c r="W268">
        <v>6.1068959999999999E-2</v>
      </c>
      <c r="X268">
        <v>0.99809360000000003</v>
      </c>
      <c r="Y268">
        <v>0.30208580000000002</v>
      </c>
      <c r="Z268">
        <v>1.8565979999999999E-2</v>
      </c>
      <c r="AA268">
        <v>0.9530999</v>
      </c>
      <c r="AB268">
        <v>38</v>
      </c>
      <c r="AC268">
        <v>75.534899999999993</v>
      </c>
      <c r="AD268">
        <v>9.8653099999999991</v>
      </c>
      <c r="AE268">
        <v>-23.203800000000001</v>
      </c>
      <c r="AF268">
        <v>23.771327067176401</v>
      </c>
      <c r="AG268">
        <v>9.8653099999999991</v>
      </c>
      <c r="AH268">
        <v>74.085565355147807</v>
      </c>
      <c r="AI268">
        <v>82.773800462301907</v>
      </c>
      <c r="AJ268">
        <v>72.2104791060667</v>
      </c>
      <c r="AK268">
        <v>78.428765933952207</v>
      </c>
      <c r="AL268">
        <v>86.498827857975797</v>
      </c>
      <c r="AM268">
        <v>90.512718631158293</v>
      </c>
      <c r="AN268">
        <v>1.0000000147063599</v>
      </c>
    </row>
    <row r="269" spans="1:40" x14ac:dyDescent="0.25">
      <c r="A269" t="str">
        <f>"20190305135801032"</f>
        <v>20190305135801032</v>
      </c>
      <c r="B269" t="str">
        <f>"1551765481029369"</f>
        <v>1551765481029369</v>
      </c>
      <c r="C269" t="s">
        <v>40</v>
      </c>
      <c r="D269">
        <v>4.1773300000000004</v>
      </c>
      <c r="E269">
        <v>0.62366750000000004</v>
      </c>
      <c r="F269" t="s">
        <v>48</v>
      </c>
      <c r="G269">
        <v>-328.23829999999998</v>
      </c>
      <c r="H269">
        <v>11.254429999999999</v>
      </c>
      <c r="I269">
        <v>344.12939999999998</v>
      </c>
      <c r="J269">
        <v>-406.32819999999998</v>
      </c>
      <c r="K269">
        <v>1.0601959999999999</v>
      </c>
      <c r="L269">
        <v>367.97370000000001</v>
      </c>
      <c r="M269">
        <v>0.99981070000000005</v>
      </c>
      <c r="N269">
        <v>-1.492977E-2</v>
      </c>
      <c r="O269">
        <v>1.2486590000000001E-2</v>
      </c>
      <c r="P269">
        <v>0.99866929999999998</v>
      </c>
      <c r="Q269">
        <v>4.6984150000000002E-2</v>
      </c>
      <c r="R269">
        <v>2.12702E-2</v>
      </c>
      <c r="S269">
        <v>3.0053709999999998</v>
      </c>
      <c r="T269">
        <v>0.39127919999999999</v>
      </c>
      <c r="U269">
        <v>-0.91510009999999997</v>
      </c>
      <c r="V269">
        <v>-8.8085730000000001E-3</v>
      </c>
      <c r="W269">
        <v>6.1889960000000001E-2</v>
      </c>
      <c r="X269">
        <v>0.99804409999999999</v>
      </c>
      <c r="Y269">
        <v>0.3010466</v>
      </c>
      <c r="Z269">
        <v>1.8548180000000001E-2</v>
      </c>
      <c r="AA269">
        <v>0.95342899999999997</v>
      </c>
      <c r="AB269">
        <v>38</v>
      </c>
      <c r="AC269">
        <v>78.0899</v>
      </c>
      <c r="AD269">
        <v>10.194234</v>
      </c>
      <c r="AE269">
        <v>-23.8443</v>
      </c>
      <c r="AF269">
        <v>24.436693037986299</v>
      </c>
      <c r="AG269">
        <v>10.194234</v>
      </c>
      <c r="AH269">
        <v>76.592083555453399</v>
      </c>
      <c r="AI269">
        <v>82.773435901239395</v>
      </c>
      <c r="AJ269">
        <v>72.304724591723101</v>
      </c>
      <c r="AK269">
        <v>81.039630038920393</v>
      </c>
      <c r="AL269">
        <v>86.451698789454298</v>
      </c>
      <c r="AM269">
        <v>90.505669992540007</v>
      </c>
      <c r="AN269">
        <v>0.999999991825954</v>
      </c>
    </row>
    <row r="270" spans="1:40" x14ac:dyDescent="0.25">
      <c r="A270" t="str">
        <f>"20190305135801047"</f>
        <v>20190305135801047</v>
      </c>
      <c r="B270" t="str">
        <f>"1551765481039129"</f>
        <v>1551765481039129</v>
      </c>
      <c r="C270" t="s">
        <v>40</v>
      </c>
      <c r="D270">
        <v>4.5028009999999998</v>
      </c>
      <c r="E270">
        <v>0.62355859999999996</v>
      </c>
      <c r="F270" t="s">
        <v>48</v>
      </c>
      <c r="G270">
        <v>-328.0992</v>
      </c>
      <c r="H270">
        <v>11.17953</v>
      </c>
      <c r="I270">
        <v>344.2346</v>
      </c>
      <c r="J270">
        <v>-406.0924</v>
      </c>
      <c r="K270">
        <v>1.0601989999999999</v>
      </c>
      <c r="L270">
        <v>367.97669999999999</v>
      </c>
      <c r="M270">
        <v>0.99980999999999998</v>
      </c>
      <c r="N270">
        <v>-1.4927050000000001E-2</v>
      </c>
      <c r="O270">
        <v>1.25375E-2</v>
      </c>
      <c r="P270">
        <v>0.99863009999999997</v>
      </c>
      <c r="Q270">
        <v>4.763937E-2</v>
      </c>
      <c r="R270">
        <v>2.165021E-2</v>
      </c>
      <c r="S270">
        <v>3.0051269999999999</v>
      </c>
      <c r="T270">
        <v>0.38872950000000001</v>
      </c>
      <c r="U270">
        <v>-0.91192629999999997</v>
      </c>
      <c r="V270">
        <v>-9.1384770000000008E-3</v>
      </c>
      <c r="W270">
        <v>6.2541949999999999E-2</v>
      </c>
      <c r="X270">
        <v>0.99800049999999996</v>
      </c>
      <c r="Y270">
        <v>0.3002281</v>
      </c>
      <c r="Z270">
        <v>1.8381850000000002E-2</v>
      </c>
      <c r="AA270">
        <v>0.95369029999999999</v>
      </c>
      <c r="AB270">
        <v>38</v>
      </c>
      <c r="AC270">
        <v>77.993200000000002</v>
      </c>
      <c r="AD270">
        <v>10.119331000000001</v>
      </c>
      <c r="AE270">
        <v>-23.742099999999901</v>
      </c>
      <c r="AF270">
        <v>24.343141029905301</v>
      </c>
      <c r="AG270">
        <v>10.119331000000001</v>
      </c>
      <c r="AH270">
        <v>76.510612581403294</v>
      </c>
      <c r="AI270">
        <v>82.816603763424396</v>
      </c>
      <c r="AJ270">
        <v>72.350654259892593</v>
      </c>
      <c r="AK270">
        <v>80.925046880869999</v>
      </c>
      <c r="AL270">
        <v>86.414270041624107</v>
      </c>
      <c r="AM270">
        <v>90.524630528813901</v>
      </c>
      <c r="AN270">
        <v>1.0000000026359599</v>
      </c>
    </row>
    <row r="271" spans="1:40" x14ac:dyDescent="0.25">
      <c r="A271" t="str">
        <f>"20190305135801067"</f>
        <v>20190305135801067</v>
      </c>
      <c r="B271" t="str">
        <f>"1551765481058648"</f>
        <v>1551765481058648</v>
      </c>
      <c r="C271" t="s">
        <v>40</v>
      </c>
      <c r="D271">
        <v>4.2160159999999998</v>
      </c>
      <c r="E271">
        <v>0.62338669999999996</v>
      </c>
      <c r="F271" t="s">
        <v>48</v>
      </c>
      <c r="G271">
        <v>-328.0575</v>
      </c>
      <c r="H271">
        <v>11.23555</v>
      </c>
      <c r="I271">
        <v>344.34660000000002</v>
      </c>
      <c r="J271">
        <v>-405.74520000000001</v>
      </c>
      <c r="K271">
        <v>1.060208</v>
      </c>
      <c r="L271">
        <v>367.98110000000003</v>
      </c>
      <c r="M271">
        <v>0.99980919999999895</v>
      </c>
      <c r="N271">
        <v>-1.49231E-2</v>
      </c>
      <c r="O271">
        <v>1.2612730000000001E-2</v>
      </c>
      <c r="P271">
        <v>0.99860640000000001</v>
      </c>
      <c r="Q271">
        <v>4.7532820000000003E-2</v>
      </c>
      <c r="R271">
        <v>2.2936310000000001E-2</v>
      </c>
      <c r="S271">
        <v>3.0051570000000001</v>
      </c>
      <c r="T271">
        <v>0.39185710000000001</v>
      </c>
      <c r="U271">
        <v>-0.91000369999999997</v>
      </c>
      <c r="V271">
        <v>-1.034967E-2</v>
      </c>
      <c r="W271">
        <v>6.2431550000000002E-2</v>
      </c>
      <c r="X271">
        <v>0.99799559999999998</v>
      </c>
      <c r="Y271">
        <v>0.29970429999999998</v>
      </c>
      <c r="Z271">
        <v>1.8529159999999999E-2</v>
      </c>
      <c r="AA271">
        <v>0.95385220000000004</v>
      </c>
      <c r="AB271">
        <v>38</v>
      </c>
      <c r="AC271">
        <v>77.687700000000007</v>
      </c>
      <c r="AD271">
        <v>10.175342000000001</v>
      </c>
      <c r="AE271">
        <v>-23.634499999999999</v>
      </c>
      <c r="AF271">
        <v>24.2320936050771</v>
      </c>
      <c r="AG271">
        <v>10.175342000000001</v>
      </c>
      <c r="AH271">
        <v>76.187110780704003</v>
      </c>
      <c r="AI271">
        <v>82.746698229459895</v>
      </c>
      <c r="AJ271">
        <v>72.356199568275798</v>
      </c>
      <c r="AK271">
        <v>80.592852005704898</v>
      </c>
      <c r="AL271">
        <v>86.420607928518194</v>
      </c>
      <c r="AM271">
        <v>90.594162092162094</v>
      </c>
      <c r="AN271">
        <v>1.00000001586193</v>
      </c>
    </row>
    <row r="272" spans="1:40" x14ac:dyDescent="0.25">
      <c r="A272" t="str">
        <f>"20190305135801088"</f>
        <v>20190305135801088</v>
      </c>
      <c r="B272" t="str">
        <f>"1551765481079144"</f>
        <v>1551765481079144</v>
      </c>
      <c r="C272" t="s">
        <v>40</v>
      </c>
      <c r="D272">
        <v>4.2409699999999999</v>
      </c>
      <c r="E272">
        <v>0.62302400000000002</v>
      </c>
      <c r="F272" t="s">
        <v>48</v>
      </c>
      <c r="G272">
        <v>-326.44510000000002</v>
      </c>
      <c r="H272">
        <v>11.4108</v>
      </c>
      <c r="I272">
        <v>344.11869999999999</v>
      </c>
      <c r="J272">
        <v>-405.37619999999998</v>
      </c>
      <c r="K272">
        <v>1.0602100000000001</v>
      </c>
      <c r="L272">
        <v>367.98579999999998</v>
      </c>
      <c r="M272">
        <v>0.99980829999999998</v>
      </c>
      <c r="N272">
        <v>-1.491892E-2</v>
      </c>
      <c r="O272">
        <v>1.2692790000000001E-2</v>
      </c>
      <c r="P272">
        <v>0.99857260000000003</v>
      </c>
      <c r="Q272">
        <v>4.744607E-2</v>
      </c>
      <c r="R272">
        <v>2.4536519999999999E-2</v>
      </c>
      <c r="S272">
        <v>3.0062869999999999</v>
      </c>
      <c r="T272">
        <v>0.39239370000000001</v>
      </c>
      <c r="U272">
        <v>-0.90463260000000001</v>
      </c>
      <c r="V272">
        <v>-1.186969E-2</v>
      </c>
      <c r="W272">
        <v>6.2339690000000003E-2</v>
      </c>
      <c r="X272">
        <v>0.99798439999999999</v>
      </c>
      <c r="Y272">
        <v>0.29812260000000002</v>
      </c>
      <c r="Z272">
        <v>1.8479039999999999E-2</v>
      </c>
      <c r="AA272">
        <v>0.95434870000000005</v>
      </c>
      <c r="AB272">
        <v>38</v>
      </c>
      <c r="AC272">
        <v>78.931099999999901</v>
      </c>
      <c r="AD272">
        <v>10.350589999999899</v>
      </c>
      <c r="AE272">
        <v>-23.867099999999901</v>
      </c>
      <c r="AF272">
        <v>24.481422976883799</v>
      </c>
      <c r="AG272">
        <v>10.350589999999899</v>
      </c>
      <c r="AH272">
        <v>77.402242371492704</v>
      </c>
      <c r="AI272">
        <v>82.734033282171197</v>
      </c>
      <c r="AJ272">
        <v>72.448446860022699</v>
      </c>
      <c r="AK272">
        <v>81.838755540736898</v>
      </c>
      <c r="AL272">
        <v>86.425881314602904</v>
      </c>
      <c r="AM272">
        <v>90.681424555174104</v>
      </c>
      <c r="AN272">
        <v>0.99999999456667599</v>
      </c>
    </row>
    <row r="273" spans="1:40" x14ac:dyDescent="0.25">
      <c r="A273" t="str">
        <f>"20190305135801102"</f>
        <v>20190305135801102</v>
      </c>
      <c r="B273" t="str">
        <f>"1551765481098665"</f>
        <v>1551765481098665</v>
      </c>
      <c r="C273" t="s">
        <v>40</v>
      </c>
      <c r="D273">
        <v>4.2283269999999904</v>
      </c>
      <c r="E273">
        <v>0.62289799999999995</v>
      </c>
      <c r="F273" t="s">
        <v>48</v>
      </c>
      <c r="G273">
        <v>-326.0917</v>
      </c>
      <c r="H273">
        <v>11.309139999999999</v>
      </c>
      <c r="I273">
        <v>344.34210000000002</v>
      </c>
      <c r="J273">
        <v>-405.15550000000002</v>
      </c>
      <c r="K273">
        <v>1.060211</v>
      </c>
      <c r="L273">
        <v>367.98869999999999</v>
      </c>
      <c r="M273">
        <v>0.99980769999999997</v>
      </c>
      <c r="N273">
        <v>-1.491643E-2</v>
      </c>
      <c r="O273">
        <v>1.2740420000000001E-2</v>
      </c>
      <c r="P273">
        <v>0.99855260000000001</v>
      </c>
      <c r="Q273">
        <v>4.7515149999999999E-2</v>
      </c>
      <c r="R273">
        <v>2.520617E-2</v>
      </c>
      <c r="S273">
        <v>3.0078130000000001</v>
      </c>
      <c r="T273">
        <v>0.38881339999999998</v>
      </c>
      <c r="U273">
        <v>-0.89697269999999896</v>
      </c>
      <c r="V273">
        <v>-1.24916E-2</v>
      </c>
      <c r="W273">
        <v>6.2406320000000001E-2</v>
      </c>
      <c r="X273">
        <v>0.99797270000000005</v>
      </c>
      <c r="Y273">
        <v>0.29585939999999999</v>
      </c>
      <c r="Z273">
        <v>1.8172919999999999E-2</v>
      </c>
      <c r="AA273">
        <v>0.95505859999999998</v>
      </c>
      <c r="AB273">
        <v>38</v>
      </c>
      <c r="AC273">
        <v>79.063800000000001</v>
      </c>
      <c r="AD273">
        <v>10.248929</v>
      </c>
      <c r="AE273">
        <v>-23.6465999999999</v>
      </c>
      <c r="AF273">
        <v>24.2776424361147</v>
      </c>
      <c r="AG273">
        <v>10.248929</v>
      </c>
      <c r="AH273">
        <v>77.559805888803396</v>
      </c>
      <c r="AI273">
        <v>82.8124553104619</v>
      </c>
      <c r="AJ273">
        <v>72.618922394157394</v>
      </c>
      <c r="AK273">
        <v>81.914394079500795</v>
      </c>
      <c r="AL273">
        <v>86.422056445471199</v>
      </c>
      <c r="AM273">
        <v>90.717132427259102</v>
      </c>
      <c r="AN273">
        <v>1.00000004939589</v>
      </c>
    </row>
    <row r="274" spans="1:40" x14ac:dyDescent="0.25">
      <c r="A274" t="str">
        <f>"20190305135801114"</f>
        <v>20190305135801114</v>
      </c>
      <c r="B274" t="str">
        <f>"1551765481109402"</f>
        <v>1551765481109402</v>
      </c>
      <c r="C274" t="s">
        <v>40</v>
      </c>
      <c r="D274">
        <v>4.1835199999999997</v>
      </c>
      <c r="E274">
        <v>0.62283489999999997</v>
      </c>
      <c r="F274" t="s">
        <v>48</v>
      </c>
      <c r="G274">
        <v>-325.50599999999997</v>
      </c>
      <c r="H274">
        <v>11.21669</v>
      </c>
      <c r="I274">
        <v>344.31040000000002</v>
      </c>
      <c r="J274">
        <v>-404.9425</v>
      </c>
      <c r="K274">
        <v>1.060214</v>
      </c>
      <c r="L274">
        <v>367.99149999999997</v>
      </c>
      <c r="M274">
        <v>0.99980709999999995</v>
      </c>
      <c r="N274">
        <v>-1.491404E-2</v>
      </c>
      <c r="O274">
        <v>1.278615E-2</v>
      </c>
      <c r="P274">
        <v>0.99851970000000001</v>
      </c>
      <c r="Q274">
        <v>4.7847029999999999E-2</v>
      </c>
      <c r="R274">
        <v>2.586931E-2</v>
      </c>
      <c r="S274">
        <v>3.0086360000000001</v>
      </c>
      <c r="T274">
        <v>0.38364510000000002</v>
      </c>
      <c r="U274">
        <v>-0.89440919999999902</v>
      </c>
      <c r="V274">
        <v>-1.310948E-2</v>
      </c>
      <c r="W274">
        <v>6.2734689999999996E-2</v>
      </c>
      <c r="X274">
        <v>0.9979441</v>
      </c>
      <c r="Y274">
        <v>0.2951472</v>
      </c>
      <c r="Z274">
        <v>1.7871330000000001E-2</v>
      </c>
      <c r="AA274">
        <v>0.95528469999999999</v>
      </c>
      <c r="AB274">
        <v>38</v>
      </c>
      <c r="AC274">
        <v>79.436499999999995</v>
      </c>
      <c r="AD274">
        <v>10.156476</v>
      </c>
      <c r="AE274">
        <v>-23.681099999999901</v>
      </c>
      <c r="AF274">
        <v>24.329700420388299</v>
      </c>
      <c r="AG274">
        <v>10.156476</v>
      </c>
      <c r="AH274">
        <v>77.9568110097687</v>
      </c>
      <c r="AI274">
        <v>82.910679562650401</v>
      </c>
      <c r="AJ274">
        <v>72.667272489777503</v>
      </c>
      <c r="AK274">
        <v>82.2943054536413</v>
      </c>
      <c r="AL274">
        <v>86.403204983017503</v>
      </c>
      <c r="AM274">
        <v>90.752621989504803</v>
      </c>
      <c r="AN274">
        <v>0.99999996326003704</v>
      </c>
    </row>
    <row r="275" spans="1:40" x14ac:dyDescent="0.25">
      <c r="A275" t="str">
        <f>"20190305135801132"</f>
        <v>20190305135801132</v>
      </c>
      <c r="B275" t="str">
        <f>"1551765481128920"</f>
        <v>1551765481128920</v>
      </c>
      <c r="C275" t="s">
        <v>40</v>
      </c>
      <c r="D275">
        <v>4.2742599999999999</v>
      </c>
      <c r="E275">
        <v>0.62279869999999904</v>
      </c>
      <c r="F275" t="s">
        <v>48</v>
      </c>
      <c r="G275">
        <v>-325.47800000000001</v>
      </c>
      <c r="H275">
        <v>11.14964</v>
      </c>
      <c r="I275">
        <v>344.43689999999998</v>
      </c>
      <c r="J275">
        <v>-404.6515</v>
      </c>
      <c r="K275">
        <v>1.0602119999999999</v>
      </c>
      <c r="L275">
        <v>367.99520000000001</v>
      </c>
      <c r="M275">
        <v>0.99980639999999998</v>
      </c>
      <c r="N275">
        <v>-1.49108E-2</v>
      </c>
      <c r="O275">
        <v>1.2848979999999999E-2</v>
      </c>
      <c r="P275">
        <v>0.99850640000000002</v>
      </c>
      <c r="Q275">
        <v>4.7546680000000001E-2</v>
      </c>
      <c r="R275">
        <v>2.6920369999999999E-2</v>
      </c>
      <c r="S275">
        <v>3.009277</v>
      </c>
      <c r="T275">
        <v>0.382081</v>
      </c>
      <c r="U275">
        <v>-0.89199830000000002</v>
      </c>
      <c r="V275">
        <v>-1.4098100000000001E-2</v>
      </c>
      <c r="W275">
        <v>6.2431540000000001E-2</v>
      </c>
      <c r="X275">
        <v>0.99794970000000005</v>
      </c>
      <c r="Y275">
        <v>0.2944697</v>
      </c>
      <c r="Z275">
        <v>1.7761539999999999E-2</v>
      </c>
      <c r="AA275">
        <v>0.95549569999999995</v>
      </c>
      <c r="AB275">
        <v>38</v>
      </c>
      <c r="AC275">
        <v>79.173499999999905</v>
      </c>
      <c r="AD275">
        <v>10.089428</v>
      </c>
      <c r="AE275">
        <v>-23.558299999999999</v>
      </c>
      <c r="AF275">
        <v>24.212547624087101</v>
      </c>
      <c r="AG275">
        <v>10.089428</v>
      </c>
      <c r="AH275">
        <v>77.7049745131918</v>
      </c>
      <c r="AI275">
        <v>82.933426273348502</v>
      </c>
      <c r="AJ275">
        <v>72.693182560910799</v>
      </c>
      <c r="AK275">
        <v>82.012847066247204</v>
      </c>
      <c r="AL275">
        <v>86.420608548501505</v>
      </c>
      <c r="AM275">
        <v>90.809367345393596</v>
      </c>
      <c r="AN275">
        <v>1.00000002867023</v>
      </c>
    </row>
    <row r="276" spans="1:40" x14ac:dyDescent="0.25">
      <c r="A276" t="str">
        <f>"20190305135801144"</f>
        <v>20190305135801144</v>
      </c>
      <c r="B276" t="str">
        <f>"1551765481138681"</f>
        <v>1551765481138681</v>
      </c>
      <c r="C276" t="s">
        <v>40</v>
      </c>
      <c r="D276">
        <v>4.2599349999999996</v>
      </c>
      <c r="E276">
        <v>0.62282079999999995</v>
      </c>
      <c r="F276" t="s">
        <v>48</v>
      </c>
      <c r="G276">
        <v>-325.41789999999997</v>
      </c>
      <c r="H276">
        <v>11.10881</v>
      </c>
      <c r="I276">
        <v>344.61430000000001</v>
      </c>
      <c r="J276">
        <v>-404.45010000000002</v>
      </c>
      <c r="K276">
        <v>1.0602129999999901</v>
      </c>
      <c r="L276">
        <v>367.99790000000002</v>
      </c>
      <c r="M276">
        <v>0.99980590000000003</v>
      </c>
      <c r="N276">
        <v>-1.490855E-2</v>
      </c>
      <c r="O276">
        <v>1.289233E-2</v>
      </c>
      <c r="P276">
        <v>0.99852879999999999</v>
      </c>
      <c r="Q276">
        <v>4.6959229999999998E-2</v>
      </c>
      <c r="R276">
        <v>2.7118429999999999E-2</v>
      </c>
      <c r="S276">
        <v>3.0101930000000001</v>
      </c>
      <c r="T276">
        <v>0.38175989999999999</v>
      </c>
      <c r="U276">
        <v>-0.88827509999999998</v>
      </c>
      <c r="V276">
        <v>-1.4252330000000001E-2</v>
      </c>
      <c r="W276">
        <v>6.1842359999999999E-2</v>
      </c>
      <c r="X276">
        <v>0.99798419999999999</v>
      </c>
      <c r="Y276">
        <v>0.29335559999999899</v>
      </c>
      <c r="Z276">
        <v>1.7688969999999998E-2</v>
      </c>
      <c r="AA276">
        <v>0.95583980000000002</v>
      </c>
      <c r="AB276">
        <v>38</v>
      </c>
      <c r="AC276">
        <v>79.032200000000003</v>
      </c>
      <c r="AD276">
        <v>10.048596999999999</v>
      </c>
      <c r="AE276">
        <v>-23.383600000000001</v>
      </c>
      <c r="AF276">
        <v>24.043281735382099</v>
      </c>
      <c r="AG276">
        <v>10.048596999999999</v>
      </c>
      <c r="AH276">
        <v>77.571055394721697</v>
      </c>
      <c r="AI276">
        <v>82.946455169837293</v>
      </c>
      <c r="AJ276">
        <v>72.779087761378193</v>
      </c>
      <c r="AK276">
        <v>81.831059710395806</v>
      </c>
      <c r="AL276">
        <v>86.454431455842297</v>
      </c>
      <c r="AM276">
        <v>90.818192160609897</v>
      </c>
      <c r="AN276">
        <v>1.0000000349252101</v>
      </c>
    </row>
    <row r="277" spans="1:40" x14ac:dyDescent="0.25">
      <c r="A277" t="str">
        <f>"20190305135801156"</f>
        <v>20190305135801156</v>
      </c>
      <c r="B277" t="str">
        <f>"1551765481149417"</f>
        <v>1551765481149417</v>
      </c>
      <c r="C277" t="s">
        <v>40</v>
      </c>
      <c r="D277">
        <v>4.2373349999999999</v>
      </c>
      <c r="E277">
        <v>0.62280590000000002</v>
      </c>
      <c r="F277" t="s">
        <v>48</v>
      </c>
      <c r="G277">
        <v>-325.41840000000002</v>
      </c>
      <c r="H277">
        <v>11.035310000000001</v>
      </c>
      <c r="I277">
        <v>344.68020000000001</v>
      </c>
      <c r="J277">
        <v>-404.24130000000002</v>
      </c>
      <c r="K277">
        <v>1.0602149999999999</v>
      </c>
      <c r="L277">
        <v>368.00060000000002</v>
      </c>
      <c r="M277">
        <v>0.99980519999999995</v>
      </c>
      <c r="N277">
        <v>-1.49062E-2</v>
      </c>
      <c r="O277">
        <v>1.2937580000000001E-2</v>
      </c>
      <c r="P277">
        <v>0.99855910000000003</v>
      </c>
      <c r="Q277">
        <v>4.6287960000000003E-2</v>
      </c>
      <c r="R277">
        <v>2.7149929999999999E-2</v>
      </c>
      <c r="S277">
        <v>3.0106809999999999</v>
      </c>
      <c r="T277">
        <v>0.37999729999999998</v>
      </c>
      <c r="U277">
        <v>-0.88827509999999998</v>
      </c>
      <c r="V277">
        <v>-1.4237690000000001E-2</v>
      </c>
      <c r="W277">
        <v>6.1169389999999997E-2</v>
      </c>
      <c r="X277">
        <v>0.99802579999999996</v>
      </c>
      <c r="Y277">
        <v>0.29337639999999998</v>
      </c>
      <c r="Z277">
        <v>1.7603239999999999E-2</v>
      </c>
      <c r="AA277">
        <v>0.95583490000000004</v>
      </c>
      <c r="AB277">
        <v>38</v>
      </c>
      <c r="AC277">
        <v>78.822900000000004</v>
      </c>
      <c r="AD277">
        <v>9.9750949999999996</v>
      </c>
      <c r="AE277">
        <v>-23.320399999999999</v>
      </c>
      <c r="AF277">
        <v>23.985131672267201</v>
      </c>
      <c r="AG277">
        <v>9.9750949999999996</v>
      </c>
      <c r="AH277">
        <v>77.375126074440502</v>
      </c>
      <c r="AI277">
        <v>82.980045869519302</v>
      </c>
      <c r="AJ277">
        <v>72.777345725510003</v>
      </c>
      <c r="AK277">
        <v>81.619233006875106</v>
      </c>
      <c r="AL277">
        <v>86.493062644164098</v>
      </c>
      <c r="AM277">
        <v>90.817317762845505</v>
      </c>
      <c r="AN277">
        <v>0.99999995177757295</v>
      </c>
    </row>
    <row r="278" spans="1:40" x14ac:dyDescent="0.25">
      <c r="A278" t="str">
        <f>"20190305135801167"</f>
        <v>20190305135801167</v>
      </c>
      <c r="B278" t="str">
        <f>"1551765481159177"</f>
        <v>1551765481159177</v>
      </c>
      <c r="C278" t="s">
        <v>40</v>
      </c>
      <c r="D278">
        <v>4.4823300000000001</v>
      </c>
      <c r="E278">
        <v>0.62283459999999902</v>
      </c>
      <c r="F278" t="s">
        <v>48</v>
      </c>
      <c r="G278">
        <v>-325.44159999999999</v>
      </c>
      <c r="H278">
        <v>10.898389999999999</v>
      </c>
      <c r="I278">
        <v>344.75130000000001</v>
      </c>
      <c r="J278">
        <v>-404.0462</v>
      </c>
      <c r="K278">
        <v>1.0602100000000001</v>
      </c>
      <c r="L278">
        <v>368.00319999999999</v>
      </c>
      <c r="M278">
        <v>0.99980469999999999</v>
      </c>
      <c r="N278">
        <v>-1.4903980000000001E-2</v>
      </c>
      <c r="O278">
        <v>1.2979610000000001E-2</v>
      </c>
      <c r="P278">
        <v>0.99858729999999996</v>
      </c>
      <c r="Q278">
        <v>4.5623629999999998E-2</v>
      </c>
      <c r="R278">
        <v>2.7242769999999999E-2</v>
      </c>
      <c r="S278">
        <v>3.0110779999999999</v>
      </c>
      <c r="T278">
        <v>0.37593399999999999</v>
      </c>
      <c r="U278">
        <v>-0.8883972</v>
      </c>
      <c r="V278">
        <v>-1.4288240000000001E-2</v>
      </c>
      <c r="W278">
        <v>6.0503050000000003E-2</v>
      </c>
      <c r="X278">
        <v>0.9980658</v>
      </c>
      <c r="Y278">
        <v>0.29346240000000001</v>
      </c>
      <c r="Z278">
        <v>1.7402850000000001E-2</v>
      </c>
      <c r="AA278">
        <v>0.9558122</v>
      </c>
      <c r="AB278">
        <v>38</v>
      </c>
      <c r="AC278">
        <v>78.604600000000005</v>
      </c>
      <c r="AD278">
        <v>9.8381799999999995</v>
      </c>
      <c r="AE278">
        <v>-23.2518999999999</v>
      </c>
      <c r="AF278">
        <v>23.9256698539726</v>
      </c>
      <c r="AG278">
        <v>9.8381799999999995</v>
      </c>
      <c r="AH278">
        <v>77.184328127562793</v>
      </c>
      <c r="AI278">
        <v>83.058499125749293</v>
      </c>
      <c r="AJ278">
        <v>72.777560622149593</v>
      </c>
      <c r="AK278">
        <v>81.404225763635793</v>
      </c>
      <c r="AL278">
        <v>86.5313123287157</v>
      </c>
      <c r="AM278">
        <v>90.820186333246198</v>
      </c>
      <c r="AN278">
        <v>1.00000005699561</v>
      </c>
    </row>
    <row r="279" spans="1:40" x14ac:dyDescent="0.25">
      <c r="A279" t="str">
        <f>"20190305135801179"</f>
        <v>20190305135801179</v>
      </c>
      <c r="B279" t="str">
        <f>"1551765481168937"</f>
        <v>1551765481168937</v>
      </c>
      <c r="C279" t="s">
        <v>40</v>
      </c>
      <c r="D279">
        <v>4.2219949999999997</v>
      </c>
      <c r="E279">
        <v>0.62283060000000001</v>
      </c>
      <c r="F279" t="s">
        <v>47</v>
      </c>
      <c r="G279">
        <v>-265.98219999999998</v>
      </c>
      <c r="H279">
        <v>18.206240000000001</v>
      </c>
      <c r="I279">
        <v>327.286</v>
      </c>
      <c r="J279">
        <v>-403.85160000000002</v>
      </c>
      <c r="K279">
        <v>1.0602049999999901</v>
      </c>
      <c r="L279">
        <v>368.00580000000002</v>
      </c>
      <c r="M279">
        <v>0.99980409999999997</v>
      </c>
      <c r="N279">
        <v>-1.490178E-2</v>
      </c>
      <c r="O279">
        <v>1.302182E-2</v>
      </c>
      <c r="P279">
        <v>0.9986313</v>
      </c>
      <c r="Q279">
        <v>4.497491E-2</v>
      </c>
      <c r="R279">
        <v>2.669589E-2</v>
      </c>
      <c r="S279">
        <v>3.0113530000000002</v>
      </c>
      <c r="T279">
        <v>0.37397720000000001</v>
      </c>
      <c r="U279">
        <v>-0.88809199999999999</v>
      </c>
      <c r="V279">
        <v>-1.3698170000000001E-2</v>
      </c>
      <c r="W279">
        <v>5.9852879999999997E-2</v>
      </c>
      <c r="X279">
        <v>0.99811320000000003</v>
      </c>
      <c r="Y279">
        <v>0.29341149999999999</v>
      </c>
      <c r="Z279">
        <v>1.7304369999999999E-2</v>
      </c>
      <c r="AA279">
        <v>0.95582959999999995</v>
      </c>
      <c r="AB279">
        <v>38</v>
      </c>
      <c r="AC279">
        <v>137.86940000000001</v>
      </c>
      <c r="AD279">
        <v>17.146035000000001</v>
      </c>
      <c r="AE279">
        <v>-40.719799999999999</v>
      </c>
      <c r="AF279">
        <v>41.9155839507726</v>
      </c>
      <c r="AG279">
        <v>17.146035000000001</v>
      </c>
      <c r="AH279">
        <v>135.40124414796</v>
      </c>
      <c r="AI279">
        <v>83.102577181942806</v>
      </c>
      <c r="AJ279">
        <v>72.799267332342893</v>
      </c>
      <c r="AK279">
        <v>142.77394584086801</v>
      </c>
      <c r="AL279">
        <v>86.5686317076417</v>
      </c>
      <c r="AM279">
        <v>90.786281614452804</v>
      </c>
      <c r="AN279">
        <v>0.99999998355994102</v>
      </c>
    </row>
    <row r="280" spans="1:40" x14ac:dyDescent="0.25">
      <c r="A280" t="str">
        <f>"20190305135801191"</f>
        <v>20190305135801191</v>
      </c>
      <c r="B280" t="str">
        <f>"1551765481189433"</f>
        <v>1551765481189433</v>
      </c>
      <c r="C280" t="s">
        <v>40</v>
      </c>
      <c r="D280">
        <v>4.2272970000000001</v>
      </c>
      <c r="E280">
        <v>0.622913099999999</v>
      </c>
      <c r="F280" t="s">
        <v>47</v>
      </c>
      <c r="G280">
        <v>-265.98230000000001</v>
      </c>
      <c r="H280">
        <v>18.01463</v>
      </c>
      <c r="I280">
        <v>327.25540000000001</v>
      </c>
      <c r="J280">
        <v>-403.64330000000001</v>
      </c>
      <c r="K280">
        <v>1.060198</v>
      </c>
      <c r="L280">
        <v>368.00850000000003</v>
      </c>
      <c r="M280">
        <v>0.99980380000000002</v>
      </c>
      <c r="N280">
        <v>-1.489944E-2</v>
      </c>
      <c r="O280">
        <v>1.3066889999999999E-2</v>
      </c>
      <c r="P280">
        <v>0.99867649999999997</v>
      </c>
      <c r="Q280">
        <v>4.4292409999999997E-2</v>
      </c>
      <c r="R280">
        <v>2.6148370000000001E-2</v>
      </c>
      <c r="S280">
        <v>3.0112610000000002</v>
      </c>
      <c r="T280">
        <v>0.3703089</v>
      </c>
      <c r="U280">
        <v>-0.89004519999999998</v>
      </c>
      <c r="V280">
        <v>-1.3105199999999999E-2</v>
      </c>
      <c r="W280">
        <v>5.9168390000000001E-2</v>
      </c>
      <c r="X280">
        <v>0.99816199999999999</v>
      </c>
      <c r="Y280">
        <v>0.2940683</v>
      </c>
      <c r="Z280">
        <v>1.7155440000000001E-2</v>
      </c>
      <c r="AA280">
        <v>0.95563039999999999</v>
      </c>
      <c r="AB280">
        <v>38</v>
      </c>
      <c r="AC280">
        <v>137.661</v>
      </c>
      <c r="AD280">
        <v>16.954432000000001</v>
      </c>
      <c r="AE280">
        <v>-40.753100000000003</v>
      </c>
      <c r="AF280">
        <v>41.963385495723401</v>
      </c>
      <c r="AG280">
        <v>16.954432000000001</v>
      </c>
      <c r="AH280">
        <v>135.23069826367799</v>
      </c>
      <c r="AI280">
        <v>83.171825770029201</v>
      </c>
      <c r="AJ280">
        <v>72.760381068510597</v>
      </c>
      <c r="AK280">
        <v>142.60336685922601</v>
      </c>
      <c r="AL280">
        <v>86.6079198231524</v>
      </c>
      <c r="AM280">
        <v>90.752212074950293</v>
      </c>
      <c r="AN280">
        <v>1.00000001144311</v>
      </c>
    </row>
    <row r="281" spans="1:40" x14ac:dyDescent="0.25">
      <c r="A281" t="str">
        <f>"20190305135801209"</f>
        <v>20190305135801209</v>
      </c>
      <c r="B281" t="str">
        <f>"1551765481199196"</f>
        <v>1551765481199196</v>
      </c>
      <c r="C281" t="s">
        <v>40</v>
      </c>
      <c r="D281">
        <v>4.2446390000000003</v>
      </c>
      <c r="E281">
        <v>0.62299389999999999</v>
      </c>
      <c r="F281" t="s">
        <v>47</v>
      </c>
      <c r="G281">
        <v>-265.98230000000001</v>
      </c>
      <c r="H281">
        <v>17.98404</v>
      </c>
      <c r="I281">
        <v>327.19690000000003</v>
      </c>
      <c r="J281">
        <v>-403.34519999999998</v>
      </c>
      <c r="K281">
        <v>1.060192</v>
      </c>
      <c r="L281">
        <v>368.01240000000001</v>
      </c>
      <c r="M281">
        <v>0.99980279999999999</v>
      </c>
      <c r="N281">
        <v>-1.4896080000000001E-2</v>
      </c>
      <c r="O281">
        <v>1.3131220000000001E-2</v>
      </c>
      <c r="P281">
        <v>0.99874940000000001</v>
      </c>
      <c r="Q281">
        <v>4.3532460000000002E-2</v>
      </c>
      <c r="R281">
        <v>2.4588329999999999E-2</v>
      </c>
      <c r="S281">
        <v>3.0109560000000002</v>
      </c>
      <c r="T281">
        <v>0.37016260000000001</v>
      </c>
      <c r="U281">
        <v>-0.89263919999999997</v>
      </c>
      <c r="V281">
        <v>-1.147982E-2</v>
      </c>
      <c r="W281">
        <v>5.8406779999999998E-2</v>
      </c>
      <c r="X281">
        <v>0.99822690000000003</v>
      </c>
      <c r="Y281">
        <v>0.29490909999999998</v>
      </c>
      <c r="Z281">
        <v>1.720033E-2</v>
      </c>
      <c r="AA281">
        <v>0.95537050000000001</v>
      </c>
      <c r="AB281">
        <v>38</v>
      </c>
      <c r="AC281">
        <v>137.362899999999</v>
      </c>
      <c r="AD281">
        <v>16.923848</v>
      </c>
      <c r="AE281">
        <v>-40.815499999999901</v>
      </c>
      <c r="AF281">
        <v>42.029688990462503</v>
      </c>
      <c r="AG281">
        <v>16.923848</v>
      </c>
      <c r="AH281">
        <v>134.93298019847799</v>
      </c>
      <c r="AI281">
        <v>83.171385743343805</v>
      </c>
      <c r="AJ281">
        <v>72.6989372254681</v>
      </c>
      <c r="AK281">
        <v>142.33699636076699</v>
      </c>
      <c r="AL281">
        <v>86.651632561986901</v>
      </c>
      <c r="AM281">
        <v>90.658884509327507</v>
      </c>
      <c r="AN281">
        <v>1.0000000410504</v>
      </c>
    </row>
    <row r="282" spans="1:40" x14ac:dyDescent="0.25">
      <c r="A282" t="str">
        <f>"20190305135801221"</f>
        <v>20190305135801221</v>
      </c>
      <c r="B282" t="str">
        <f>"1551765481218714"</f>
        <v>1551765481218714</v>
      </c>
      <c r="C282" t="s">
        <v>40</v>
      </c>
      <c r="D282">
        <v>4.2050939999999999</v>
      </c>
      <c r="E282">
        <v>0.62310480000000001</v>
      </c>
      <c r="F282" t="s">
        <v>47</v>
      </c>
      <c r="G282">
        <v>-265.98230000000001</v>
      </c>
      <c r="H282">
        <v>17.88991</v>
      </c>
      <c r="I282">
        <v>327.0489</v>
      </c>
      <c r="J282">
        <v>-403.14659999999998</v>
      </c>
      <c r="K282">
        <v>1.0601969999999901</v>
      </c>
      <c r="L282">
        <v>368.01510000000002</v>
      </c>
      <c r="M282">
        <v>0.99980239999999998</v>
      </c>
      <c r="N282">
        <v>-1.489384E-2</v>
      </c>
      <c r="O282">
        <v>1.3173789999999999E-2</v>
      </c>
      <c r="P282">
        <v>0.99876560000000003</v>
      </c>
      <c r="Q282">
        <v>4.349343E-2</v>
      </c>
      <c r="R282">
        <v>2.3996079999999999E-2</v>
      </c>
      <c r="S282">
        <v>3.0097659999999999</v>
      </c>
      <c r="T282">
        <v>0.368757</v>
      </c>
      <c r="U282">
        <v>-0.89755249999999998</v>
      </c>
      <c r="V282">
        <v>-1.084487E-2</v>
      </c>
      <c r="W282">
        <v>5.8365840000000002E-2</v>
      </c>
      <c r="X282">
        <v>0.99823640000000002</v>
      </c>
      <c r="Y282">
        <v>0.29649019999999998</v>
      </c>
      <c r="Z282">
        <v>1.7218520000000001E-2</v>
      </c>
      <c r="AA282">
        <v>0.95488070000000003</v>
      </c>
      <c r="AB282">
        <v>38</v>
      </c>
      <c r="AC282">
        <v>137.164299999999</v>
      </c>
      <c r="AD282">
        <v>16.829713000000002</v>
      </c>
      <c r="AE282">
        <v>-40.966200000000001</v>
      </c>
      <c r="AF282">
        <v>42.186723545077498</v>
      </c>
      <c r="AG282">
        <v>16.829713000000002</v>
      </c>
      <c r="AH282">
        <v>134.750170475391</v>
      </c>
      <c r="AI282">
        <v>83.2029288259656</v>
      </c>
      <c r="AJ282">
        <v>72.616038319153603</v>
      </c>
      <c r="AK282">
        <v>142.199041228407</v>
      </c>
      <c r="AL282">
        <v>86.653982277405305</v>
      </c>
      <c r="AM282">
        <v>90.622438568769198</v>
      </c>
      <c r="AN282">
        <v>1.0000000463845899</v>
      </c>
    </row>
    <row r="283" spans="1:40" x14ac:dyDescent="0.25">
      <c r="A283" t="str">
        <f>"20190305135801235"</f>
        <v>20190305135801235</v>
      </c>
      <c r="B283" t="str">
        <f>"1551765481229449"</f>
        <v>1551765481229449</v>
      </c>
      <c r="C283" t="s">
        <v>40</v>
      </c>
      <c r="D283">
        <v>4.2400979999999997</v>
      </c>
      <c r="E283">
        <v>0.62315279999999995</v>
      </c>
      <c r="F283" t="s">
        <v>47</v>
      </c>
      <c r="G283">
        <v>-265.98239999999998</v>
      </c>
      <c r="H283">
        <v>17.823029999999999</v>
      </c>
      <c r="I283">
        <v>326.96589999999998</v>
      </c>
      <c r="J283">
        <v>-402.91800000000001</v>
      </c>
      <c r="K283">
        <v>1.0601989999999999</v>
      </c>
      <c r="L283">
        <v>368.0181</v>
      </c>
      <c r="M283">
        <v>0.99980179999999996</v>
      </c>
      <c r="N283">
        <v>-1.489125E-2</v>
      </c>
      <c r="O283">
        <v>1.3223220000000001E-2</v>
      </c>
      <c r="P283">
        <v>0.99877839999999996</v>
      </c>
      <c r="Q283">
        <v>4.354272E-2</v>
      </c>
      <c r="R283">
        <v>2.3367880000000001E-2</v>
      </c>
      <c r="S283">
        <v>3.0093380000000001</v>
      </c>
      <c r="T283">
        <v>0.36777110000000002</v>
      </c>
      <c r="U283">
        <v>-0.90060419999999997</v>
      </c>
      <c r="V283">
        <v>-1.0167499999999999E-2</v>
      </c>
      <c r="W283">
        <v>5.8412489999999997E-2</v>
      </c>
      <c r="X283">
        <v>0.99824080000000004</v>
      </c>
      <c r="Y283">
        <v>0.29746790000000001</v>
      </c>
      <c r="Z283">
        <v>1.7224679999999999E-2</v>
      </c>
      <c r="AA283">
        <v>0.95457639999999999</v>
      </c>
      <c r="AB283">
        <v>37</v>
      </c>
      <c r="AC283">
        <v>136.93559999999999</v>
      </c>
      <c r="AD283">
        <v>16.762830999999998</v>
      </c>
      <c r="AE283">
        <v>-41.052199999999999</v>
      </c>
      <c r="AF283">
        <v>42.278237777676097</v>
      </c>
      <c r="AG283">
        <v>16.762830999999998</v>
      </c>
      <c r="AH283">
        <v>134.53099590549201</v>
      </c>
      <c r="AI283">
        <v>83.2210452636713</v>
      </c>
      <c r="AJ283">
        <v>72.553948187831395</v>
      </c>
      <c r="AK283">
        <v>142.01067126115501</v>
      </c>
      <c r="AL283">
        <v>86.651304859892505</v>
      </c>
      <c r="AM283">
        <v>90.583561295204504</v>
      </c>
      <c r="AN283">
        <v>1.00000004591444</v>
      </c>
    </row>
    <row r="284" spans="1:40" x14ac:dyDescent="0.25">
      <c r="A284" t="str">
        <f>"20190305135801250"</f>
        <v>20190305135801250</v>
      </c>
      <c r="B284" t="str">
        <f>"1551765481239208"</f>
        <v>1551765481239208</v>
      </c>
      <c r="C284" t="s">
        <v>40</v>
      </c>
      <c r="D284">
        <v>4.2372629999999996</v>
      </c>
      <c r="E284">
        <v>0.62324709999999905</v>
      </c>
      <c r="F284" t="s">
        <v>47</v>
      </c>
      <c r="G284">
        <v>-265.98239999999998</v>
      </c>
      <c r="H284">
        <v>17.806260000000002</v>
      </c>
      <c r="I284">
        <v>326.94099999999997</v>
      </c>
      <c r="J284">
        <v>-402.66980000000001</v>
      </c>
      <c r="K284">
        <v>1.0602009999999999</v>
      </c>
      <c r="L284">
        <v>368.0215</v>
      </c>
      <c r="M284">
        <v>0.9998011</v>
      </c>
      <c r="N284">
        <v>-1.4888449999999999E-2</v>
      </c>
      <c r="O284">
        <v>1.3276639999999999E-2</v>
      </c>
      <c r="P284">
        <v>0.99878809999999996</v>
      </c>
      <c r="Q284">
        <v>4.3713290000000002E-2</v>
      </c>
      <c r="R284">
        <v>2.262283E-2</v>
      </c>
      <c r="S284">
        <v>3.0087890000000002</v>
      </c>
      <c r="T284">
        <v>0.36794939999999998</v>
      </c>
      <c r="U284">
        <v>-0.90255739999999995</v>
      </c>
      <c r="V284">
        <v>-9.3686800000000008E-3</v>
      </c>
      <c r="W284">
        <v>5.8580519999999997E-2</v>
      </c>
      <c r="X284">
        <v>0.99823870000000003</v>
      </c>
      <c r="Y284">
        <v>0.29812860000000002</v>
      </c>
      <c r="Z284">
        <v>1.7277230000000001E-2</v>
      </c>
      <c r="AA284">
        <v>0.95436929999999998</v>
      </c>
      <c r="AB284">
        <v>37</v>
      </c>
      <c r="AC284">
        <v>136.6874</v>
      </c>
      <c r="AD284">
        <v>16.746058999999999</v>
      </c>
      <c r="AE284">
        <v>-41.080500000000001</v>
      </c>
      <c r="AF284">
        <v>42.3093923843428</v>
      </c>
      <c r="AG284">
        <v>16.746058999999999</v>
      </c>
      <c r="AH284">
        <v>134.28134450136801</v>
      </c>
      <c r="AI284">
        <v>83.216862194679905</v>
      </c>
      <c r="AJ284">
        <v>72.511392637503405</v>
      </c>
      <c r="AK284">
        <v>141.781503226122</v>
      </c>
      <c r="AL284">
        <v>86.641660700739706</v>
      </c>
      <c r="AM284">
        <v>90.537717145229294</v>
      </c>
      <c r="AN284">
        <v>0.999999975833051</v>
      </c>
    </row>
    <row r="285" spans="1:40" x14ac:dyDescent="0.25">
      <c r="A285" t="str">
        <f>"20190305135801268"</f>
        <v>20190305135801268</v>
      </c>
      <c r="B285" t="str">
        <f>"1551765481258728"</f>
        <v>1551765481258728</v>
      </c>
      <c r="C285" t="s">
        <v>40</v>
      </c>
      <c r="D285">
        <v>4.2633519999999896</v>
      </c>
      <c r="E285">
        <v>0.62338329999999997</v>
      </c>
      <c r="F285" t="s">
        <v>47</v>
      </c>
      <c r="G285">
        <v>-265.98239999999998</v>
      </c>
      <c r="H285">
        <v>17.795189999999899</v>
      </c>
      <c r="I285">
        <v>326.87110000000001</v>
      </c>
      <c r="J285">
        <v>-402.36829999999998</v>
      </c>
      <c r="K285">
        <v>1.0601989999999999</v>
      </c>
      <c r="L285">
        <v>368.02550000000002</v>
      </c>
      <c r="M285">
        <v>0.99980040000000003</v>
      </c>
      <c r="N285">
        <v>-1.4884970000000001E-2</v>
      </c>
      <c r="O285">
        <v>1.334163E-2</v>
      </c>
      <c r="P285">
        <v>0.99882139999999997</v>
      </c>
      <c r="Q285">
        <v>4.3601019999999997E-2</v>
      </c>
      <c r="R285">
        <v>2.1331070000000001E-2</v>
      </c>
      <c r="S285">
        <v>3.0080260000000001</v>
      </c>
      <c r="T285">
        <v>0.36828040000000001</v>
      </c>
      <c r="U285">
        <v>-0.90557860000000001</v>
      </c>
      <c r="V285">
        <v>-8.0121329999999994E-3</v>
      </c>
      <c r="W285">
        <v>5.8465320000000001E-2</v>
      </c>
      <c r="X285">
        <v>0.99825730000000001</v>
      </c>
      <c r="Y285">
        <v>0.2991258</v>
      </c>
      <c r="Z285">
        <v>1.735722E-2</v>
      </c>
      <c r="AA285">
        <v>0.95405580000000001</v>
      </c>
      <c r="AB285">
        <v>37</v>
      </c>
      <c r="AC285">
        <v>136.38589999999999</v>
      </c>
      <c r="AD285">
        <v>16.734990999999901</v>
      </c>
      <c r="AE285">
        <v>-41.154400000000003</v>
      </c>
      <c r="AF285">
        <v>42.385643210468601</v>
      </c>
      <c r="AG285">
        <v>16.734990999999901</v>
      </c>
      <c r="AH285">
        <v>133.97581942926999</v>
      </c>
      <c r="AI285">
        <v>83.208477297021403</v>
      </c>
      <c r="AJ285">
        <v>72.444302623504399</v>
      </c>
      <c r="AK285">
        <v>141.51368437674</v>
      </c>
      <c r="AL285">
        <v>86.648272629814301</v>
      </c>
      <c r="AM285">
        <v>90.459852934522402</v>
      </c>
      <c r="AN285">
        <v>1.0000000124606001</v>
      </c>
    </row>
    <row r="286" spans="1:40" x14ac:dyDescent="0.25">
      <c r="A286" t="str">
        <f>"20190305135801289"</f>
        <v>20190305135801289</v>
      </c>
      <c r="B286" t="str">
        <f>"1551765481279225"</f>
        <v>1551765481279225</v>
      </c>
      <c r="C286" t="s">
        <v>40</v>
      </c>
      <c r="D286">
        <v>4.209727</v>
      </c>
      <c r="E286">
        <v>0.6235271</v>
      </c>
      <c r="F286" t="s">
        <v>47</v>
      </c>
      <c r="G286">
        <v>-265.98239999999998</v>
      </c>
      <c r="H286">
        <v>17.688600000000001</v>
      </c>
      <c r="I286">
        <v>326.72340000000003</v>
      </c>
      <c r="J286">
        <v>-402.00990000000002</v>
      </c>
      <c r="K286">
        <v>1.0602009999999999</v>
      </c>
      <c r="L286">
        <v>368.03039999999999</v>
      </c>
      <c r="M286">
        <v>0.9997994</v>
      </c>
      <c r="N286">
        <v>-1.4880859999999999E-2</v>
      </c>
      <c r="O286">
        <v>1.3419189999999999E-2</v>
      </c>
      <c r="P286">
        <v>0.99886419999999998</v>
      </c>
      <c r="Q286">
        <v>4.3283589999999997E-2</v>
      </c>
      <c r="R286">
        <v>1.9923099999999999E-2</v>
      </c>
      <c r="S286">
        <v>3.0069889999999999</v>
      </c>
      <c r="T286">
        <v>0.36661729999999998</v>
      </c>
      <c r="U286">
        <v>-0.91061400000000003</v>
      </c>
      <c r="V286">
        <v>-6.5252050000000001E-3</v>
      </c>
      <c r="W286">
        <v>5.814449E-2</v>
      </c>
      <c r="X286">
        <v>0.99828680000000003</v>
      </c>
      <c r="Y286">
        <v>0.30076209999999998</v>
      </c>
      <c r="Z286">
        <v>1.7366980000000001E-2</v>
      </c>
      <c r="AA286">
        <v>0.95354110000000003</v>
      </c>
      <c r="AB286">
        <v>37</v>
      </c>
      <c r="AC286">
        <v>136.0275</v>
      </c>
      <c r="AD286">
        <v>16.628398999999899</v>
      </c>
      <c r="AE286">
        <v>-41.306999999999903</v>
      </c>
      <c r="AF286">
        <v>42.546748814670003</v>
      </c>
      <c r="AG286">
        <v>16.628398999999899</v>
      </c>
      <c r="AH286">
        <v>133.63256126824001</v>
      </c>
      <c r="AI286">
        <v>83.238060028616701</v>
      </c>
      <c r="AJ286">
        <v>72.339248410995594</v>
      </c>
      <c r="AK286">
        <v>141.22461159129401</v>
      </c>
      <c r="AL286">
        <v>86.666685942637699</v>
      </c>
      <c r="AM286">
        <v>90.374502981170494</v>
      </c>
      <c r="AN286">
        <v>0.99999994753594401</v>
      </c>
    </row>
    <row r="287" spans="1:40" x14ac:dyDescent="0.25">
      <c r="A287" t="str">
        <f>"20190305135801301"</f>
        <v>20190305135801301</v>
      </c>
      <c r="B287" t="str">
        <f>"1551765481298745"</f>
        <v>1551765481298745</v>
      </c>
      <c r="C287" t="s">
        <v>40</v>
      </c>
      <c r="D287">
        <v>4.255242</v>
      </c>
      <c r="E287">
        <v>0.62374589999999996</v>
      </c>
      <c r="F287" t="s">
        <v>47</v>
      </c>
      <c r="G287">
        <v>-265.98239999999998</v>
      </c>
      <c r="H287">
        <v>17.59244</v>
      </c>
      <c r="I287">
        <v>326.57240000000002</v>
      </c>
      <c r="J287">
        <v>-401.8125</v>
      </c>
      <c r="K287">
        <v>1.0602020000000001</v>
      </c>
      <c r="L287">
        <v>368.03309999999999</v>
      </c>
      <c r="M287">
        <v>0.99979870000000004</v>
      </c>
      <c r="N287">
        <v>-1.487863E-2</v>
      </c>
      <c r="O287">
        <v>1.3461880000000001E-2</v>
      </c>
      <c r="P287">
        <v>0.99887930000000003</v>
      </c>
      <c r="Q287">
        <v>4.3224609999999997E-2</v>
      </c>
      <c r="R287">
        <v>1.928384E-2</v>
      </c>
      <c r="S287">
        <v>3.0058289999999999</v>
      </c>
      <c r="T287">
        <v>0.3653169</v>
      </c>
      <c r="U287">
        <v>-0.91610720000000001</v>
      </c>
      <c r="V287">
        <v>-5.8435619999999897E-3</v>
      </c>
      <c r="W287">
        <v>5.8083549999999998E-2</v>
      </c>
      <c r="X287">
        <v>0.99829469999999998</v>
      </c>
      <c r="Y287">
        <v>0.30250300000000002</v>
      </c>
      <c r="Z287">
        <v>1.739574E-2</v>
      </c>
      <c r="AA287">
        <v>0.95298959999999999</v>
      </c>
      <c r="AB287">
        <v>37</v>
      </c>
      <c r="AC287">
        <v>135.83009999999999</v>
      </c>
      <c r="AD287">
        <v>16.532238</v>
      </c>
      <c r="AE287">
        <v>-41.460699999999903</v>
      </c>
      <c r="AF287">
        <v>42.706935728614198</v>
      </c>
      <c r="AG287">
        <v>16.532238</v>
      </c>
      <c r="AH287">
        <v>133.45114280795801</v>
      </c>
      <c r="AI287">
        <v>83.270904100598699</v>
      </c>
      <c r="AJ287">
        <v>72.254327460612998</v>
      </c>
      <c r="AK287">
        <v>141.09005907351099</v>
      </c>
      <c r="AL287">
        <v>86.670183890248097</v>
      </c>
      <c r="AM287">
        <v>90.335379538738394</v>
      </c>
      <c r="AN287">
        <v>1.0000000770227599</v>
      </c>
    </row>
    <row r="288" spans="1:40" x14ac:dyDescent="0.25">
      <c r="A288" t="str">
        <f>"20190305135801313"</f>
        <v>20190305135801313</v>
      </c>
      <c r="B288" t="str">
        <f>"1551765481309481"</f>
        <v>1551765481309481</v>
      </c>
      <c r="C288" t="s">
        <v>40</v>
      </c>
      <c r="D288">
        <v>4.2550460000000001</v>
      </c>
      <c r="E288">
        <v>0.62384030000000001</v>
      </c>
      <c r="F288" t="s">
        <v>47</v>
      </c>
      <c r="G288">
        <v>-265.98239999999998</v>
      </c>
      <c r="H288">
        <v>17.72007</v>
      </c>
      <c r="I288">
        <v>326.49349999999998</v>
      </c>
      <c r="J288">
        <v>-401.60300000000001</v>
      </c>
      <c r="K288">
        <v>1.0602039999999999</v>
      </c>
      <c r="L288">
        <v>368.036</v>
      </c>
      <c r="M288">
        <v>0.99979810000000002</v>
      </c>
      <c r="N288">
        <v>-1.4876250000000001E-2</v>
      </c>
      <c r="O288">
        <v>1.3507129999999999E-2</v>
      </c>
      <c r="P288">
        <v>0.99887680000000001</v>
      </c>
      <c r="Q288">
        <v>4.3557569999999997E-2</v>
      </c>
      <c r="R288">
        <v>1.865149E-2</v>
      </c>
      <c r="S288">
        <v>3.0051570000000001</v>
      </c>
      <c r="T288">
        <v>0.36858960000000002</v>
      </c>
      <c r="U288">
        <v>-0.91903690000000005</v>
      </c>
      <c r="V288">
        <v>-5.16608E-3</v>
      </c>
      <c r="W288">
        <v>5.8413920000000001E-2</v>
      </c>
      <c r="X288">
        <v>0.99827909999999997</v>
      </c>
      <c r="Y288">
        <v>0.30341319999999999</v>
      </c>
      <c r="Z288">
        <v>1.7624109999999998E-2</v>
      </c>
      <c r="AA288">
        <v>0.95269610000000005</v>
      </c>
      <c r="AB288">
        <v>37</v>
      </c>
      <c r="AC288">
        <v>135.6206</v>
      </c>
      <c r="AD288">
        <v>16.659866000000001</v>
      </c>
      <c r="AE288">
        <v>-41.542499999999997</v>
      </c>
      <c r="AF288">
        <v>42.780570979768399</v>
      </c>
      <c r="AG288">
        <v>16.659866000000001</v>
      </c>
      <c r="AH288">
        <v>133.20933233523701</v>
      </c>
      <c r="AI288">
        <v>83.209461514968297</v>
      </c>
      <c r="AJ288">
        <v>72.195425032226197</v>
      </c>
      <c r="AK288">
        <v>140.89873885060999</v>
      </c>
      <c r="AL288">
        <v>86.651222693086297</v>
      </c>
      <c r="AM288">
        <v>90.296502188994495</v>
      </c>
      <c r="AN288">
        <v>1.0000000179645701</v>
      </c>
    </row>
    <row r="289" spans="1:40" x14ac:dyDescent="0.25">
      <c r="A289" t="str">
        <f>"20190305135801333"</f>
        <v>20190305135801333</v>
      </c>
      <c r="B289" t="str">
        <f>"1551765481329001"</f>
        <v>1551765481329001</v>
      </c>
      <c r="C289" t="s">
        <v>40</v>
      </c>
      <c r="D289">
        <v>4.2183479999999998</v>
      </c>
      <c r="E289">
        <v>0.62394899999999998</v>
      </c>
      <c r="F289" t="s">
        <v>47</v>
      </c>
      <c r="G289">
        <v>-265.98239999999998</v>
      </c>
      <c r="H289">
        <v>17.83325</v>
      </c>
      <c r="I289">
        <v>326.42829999999998</v>
      </c>
      <c r="J289">
        <v>-401.28359999999998</v>
      </c>
      <c r="K289">
        <v>1.060206</v>
      </c>
      <c r="L289">
        <v>368.0403</v>
      </c>
      <c r="M289">
        <v>0.99979720000000005</v>
      </c>
      <c r="N289">
        <v>-1.4872649999999999E-2</v>
      </c>
      <c r="O289">
        <v>1.3576120000000001E-2</v>
      </c>
      <c r="P289">
        <v>0.9988785</v>
      </c>
      <c r="Q289">
        <v>4.4114569999999999E-2</v>
      </c>
      <c r="R289">
        <v>1.7199019999999999E-2</v>
      </c>
      <c r="S289">
        <v>3.0043639999999998</v>
      </c>
      <c r="T289">
        <v>0.37156840000000002</v>
      </c>
      <c r="U289">
        <v>-0.92172240000000005</v>
      </c>
      <c r="V289">
        <v>-3.645082E-3</v>
      </c>
      <c r="W289">
        <v>5.896705E-2</v>
      </c>
      <c r="X289">
        <v>0.99825330000000001</v>
      </c>
      <c r="Y289">
        <v>0.30428830000000001</v>
      </c>
      <c r="Z289">
        <v>1.7840419999999999E-2</v>
      </c>
      <c r="AA289">
        <v>0.95241290000000001</v>
      </c>
      <c r="AB289">
        <v>37</v>
      </c>
      <c r="AC289">
        <v>135.30119999999999</v>
      </c>
      <c r="AD289">
        <v>16.773043999999999</v>
      </c>
      <c r="AE289">
        <v>-41.612000000000002</v>
      </c>
      <c r="AF289">
        <v>42.843703190989302</v>
      </c>
      <c r="AG289">
        <v>16.773043999999999</v>
      </c>
      <c r="AH289">
        <v>132.85839174820899</v>
      </c>
      <c r="AI289">
        <v>83.148499029210399</v>
      </c>
      <c r="AJ289">
        <v>72.126710579728893</v>
      </c>
      <c r="AK289">
        <v>140.599680533293</v>
      </c>
      <c r="AL289">
        <v>86.619475979354903</v>
      </c>
      <c r="AM289">
        <v>90.209212317541102</v>
      </c>
      <c r="AN289">
        <v>1.0000000252846799</v>
      </c>
    </row>
    <row r="290" spans="1:40" x14ac:dyDescent="0.25">
      <c r="A290" t="str">
        <f>"20190305135801345"</f>
        <v>20190305135801345</v>
      </c>
      <c r="B290" t="str">
        <f>"1551765481338762"</f>
        <v>1551765481338762</v>
      </c>
      <c r="C290" t="s">
        <v>40</v>
      </c>
      <c r="D290">
        <v>4.2005489999999996</v>
      </c>
      <c r="E290">
        <v>0.62400889999999998</v>
      </c>
      <c r="F290" t="s">
        <v>48</v>
      </c>
      <c r="G290">
        <v>-325.63690000000003</v>
      </c>
      <c r="H290">
        <v>10.46339</v>
      </c>
      <c r="I290">
        <v>344.69349999999997</v>
      </c>
      <c r="J290">
        <v>-401.08109999999999</v>
      </c>
      <c r="K290">
        <v>1.0602910000000001</v>
      </c>
      <c r="L290">
        <v>368.04320000000001</v>
      </c>
      <c r="M290">
        <v>0.99979189999999996</v>
      </c>
      <c r="N290">
        <v>-1.51944E-2</v>
      </c>
      <c r="O290">
        <v>1.361568E-2</v>
      </c>
      <c r="P290">
        <v>0.99888580000000005</v>
      </c>
      <c r="Q290">
        <v>4.4210300000000001E-2</v>
      </c>
      <c r="R290">
        <v>1.6512329999999999E-2</v>
      </c>
      <c r="S290">
        <v>3.0028079999999999</v>
      </c>
      <c r="T290">
        <v>0.3732607</v>
      </c>
      <c r="U290">
        <v>-0.92675779999999996</v>
      </c>
      <c r="V290">
        <v>-2.918627E-3</v>
      </c>
      <c r="W290">
        <v>5.9384510000000001E-2</v>
      </c>
      <c r="X290">
        <v>0.99823090000000003</v>
      </c>
      <c r="Y290">
        <v>0.30589820000000001</v>
      </c>
      <c r="Z290">
        <v>1.7979390000000001E-2</v>
      </c>
      <c r="AA290">
        <v>0.95189440000000003</v>
      </c>
      <c r="AB290">
        <v>37</v>
      </c>
      <c r="AC290">
        <v>75.444199999999896</v>
      </c>
      <c r="AD290">
        <v>9.4030989999999992</v>
      </c>
      <c r="AE290">
        <v>-23.349699999999999</v>
      </c>
      <c r="AF290">
        <v>24.034161491730899</v>
      </c>
      <c r="AG290">
        <v>9.4030989999999992</v>
      </c>
      <c r="AH290">
        <v>74.069216576989902</v>
      </c>
      <c r="AI290">
        <v>83.114739455952702</v>
      </c>
      <c r="AJ290">
        <v>72.022662547995694</v>
      </c>
      <c r="AK290">
        <v>78.436649812083601</v>
      </c>
      <c r="AL290">
        <v>86.595515153936304</v>
      </c>
      <c r="AM290">
        <v>90.167520893775105</v>
      </c>
      <c r="AN290">
        <v>0.99999998406315704</v>
      </c>
    </row>
    <row r="291" spans="1:40" x14ac:dyDescent="0.25">
      <c r="A291" t="str">
        <f>"20190305135801359"</f>
        <v>20190305135801359</v>
      </c>
      <c r="B291" t="str">
        <f>"1551765481349497"</f>
        <v>1551765481349497</v>
      </c>
      <c r="C291" t="s">
        <v>40</v>
      </c>
      <c r="D291">
        <v>4.2332900000000002</v>
      </c>
      <c r="E291">
        <v>0.6240232</v>
      </c>
      <c r="F291" t="s">
        <v>48</v>
      </c>
      <c r="G291">
        <v>-325.63350000000003</v>
      </c>
      <c r="H291">
        <v>10.483029999999999</v>
      </c>
      <c r="I291">
        <v>344.68329999999997</v>
      </c>
      <c r="J291">
        <v>-400.86779999999999</v>
      </c>
      <c r="K291">
        <v>1.0604499999999999</v>
      </c>
      <c r="L291">
        <v>368.04610000000002</v>
      </c>
      <c r="M291">
        <v>0.99978239999999996</v>
      </c>
      <c r="N291">
        <v>-1.5771210000000001E-2</v>
      </c>
      <c r="O291">
        <v>1.365483E-2</v>
      </c>
      <c r="P291">
        <v>0.99892939999999997</v>
      </c>
      <c r="Q291">
        <v>4.3516079999999999E-2</v>
      </c>
      <c r="R291">
        <v>1.5695130000000002E-2</v>
      </c>
      <c r="S291">
        <v>3.0021059999999999</v>
      </c>
      <c r="T291">
        <v>0.37493710000000002</v>
      </c>
      <c r="U291">
        <v>-0.92950440000000001</v>
      </c>
      <c r="V291">
        <v>-2.0609000000000001E-3</v>
      </c>
      <c r="W291">
        <v>5.9266449999999998E-2</v>
      </c>
      <c r="X291">
        <v>0.99824009999999996</v>
      </c>
      <c r="Y291">
        <v>0.30677789999999999</v>
      </c>
      <c r="Z291">
        <v>1.8039590000000001E-2</v>
      </c>
      <c r="AA291">
        <v>0.95161010000000001</v>
      </c>
      <c r="AB291">
        <v>37</v>
      </c>
      <c r="AC291">
        <v>75.234299999999905</v>
      </c>
      <c r="AD291">
        <v>9.42258</v>
      </c>
      <c r="AE291">
        <v>-23.3628</v>
      </c>
      <c r="AF291">
        <v>24.044079516063899</v>
      </c>
      <c r="AG291">
        <v>9.42258</v>
      </c>
      <c r="AH291">
        <v>73.851686995352793</v>
      </c>
      <c r="AI291">
        <v>83.082682309949604</v>
      </c>
      <c r="AJ291">
        <v>71.966174443913999</v>
      </c>
      <c r="AK291">
        <v>78.236656662275493</v>
      </c>
      <c r="AL291">
        <v>86.602291579450394</v>
      </c>
      <c r="AM291">
        <v>90.118288880834996</v>
      </c>
      <c r="AN291">
        <v>1.00000002832621</v>
      </c>
    </row>
    <row r="292" spans="1:40" x14ac:dyDescent="0.25">
      <c r="A292" t="str">
        <f>"20190305135801372"</f>
        <v>20190305135801372</v>
      </c>
      <c r="B292" t="str">
        <f>"1551765481369017"</f>
        <v>1551765481369017</v>
      </c>
      <c r="C292" t="s">
        <v>40</v>
      </c>
      <c r="D292">
        <v>4.1905060000000001</v>
      </c>
      <c r="E292">
        <v>0.62790109999999999</v>
      </c>
      <c r="F292" t="s">
        <v>41</v>
      </c>
      <c r="G292">
        <v>-400.00940000000003</v>
      </c>
      <c r="H292">
        <v>1.167637</v>
      </c>
      <c r="I292">
        <v>367.77910000000003</v>
      </c>
      <c r="J292">
        <v>-400.63499999999999</v>
      </c>
      <c r="K292">
        <v>1.06087</v>
      </c>
      <c r="L292">
        <v>368.04930000000002</v>
      </c>
      <c r="M292">
        <v>0.99976880000000001</v>
      </c>
      <c r="N292">
        <v>-1.6580460000000002E-2</v>
      </c>
      <c r="O292">
        <v>1.3695260000000001E-2</v>
      </c>
      <c r="P292">
        <v>0.99899890000000002</v>
      </c>
      <c r="Q292">
        <v>4.2274050000000001E-2</v>
      </c>
      <c r="R292">
        <v>1.464039E-2</v>
      </c>
      <c r="S292">
        <v>3.0015260000000001</v>
      </c>
      <c r="T292">
        <v>0.3746138</v>
      </c>
      <c r="U292">
        <v>-0.93170169999999997</v>
      </c>
      <c r="V292">
        <v>-9.6469999999999998E-4</v>
      </c>
      <c r="W292">
        <v>5.8833759999999999E-2</v>
      </c>
      <c r="X292">
        <v>0.99826740000000003</v>
      </c>
      <c r="Y292">
        <v>0.30751620000000002</v>
      </c>
      <c r="Z292">
        <v>1.7951080000000001E-2</v>
      </c>
      <c r="AA292">
        <v>0.95137349999999998</v>
      </c>
      <c r="AB292">
        <v>37</v>
      </c>
      <c r="AC292">
        <v>0.62559999999996296</v>
      </c>
      <c r="AD292">
        <v>0.106767</v>
      </c>
      <c r="AE292">
        <v>-0.27019999999998801</v>
      </c>
      <c r="AF292">
        <v>0.27206521551151802</v>
      </c>
      <c r="AG292">
        <v>0.106767</v>
      </c>
      <c r="AH292">
        <v>0.60694177998828402</v>
      </c>
      <c r="AI292">
        <v>80.880646275512603</v>
      </c>
      <c r="AJ292">
        <v>65.855411850751395</v>
      </c>
      <c r="AK292">
        <v>0.67364456360582003</v>
      </c>
      <c r="AL292">
        <v>86.627126372986496</v>
      </c>
      <c r="AM292">
        <v>90.055369153886105</v>
      </c>
      <c r="AN292">
        <v>1.0000000719322899</v>
      </c>
    </row>
    <row r="293" spans="1:40" x14ac:dyDescent="0.25">
      <c r="A293" t="str">
        <f>"20190305135801389"</f>
        <v>20190305135801389</v>
      </c>
      <c r="B293" t="str">
        <f>"1551765481378780"</f>
        <v>1551765481378780</v>
      </c>
      <c r="C293" t="s">
        <v>40</v>
      </c>
      <c r="D293">
        <v>4.176558</v>
      </c>
      <c r="E293">
        <v>0.62762390000000001</v>
      </c>
      <c r="F293" t="s">
        <v>47</v>
      </c>
      <c r="G293">
        <v>-265.97969999999998</v>
      </c>
      <c r="H293">
        <v>25.751650000000001</v>
      </c>
      <c r="I293">
        <v>324.97379999999998</v>
      </c>
      <c r="J293">
        <v>-400.36649999999997</v>
      </c>
      <c r="K293">
        <v>1.0614209999999999</v>
      </c>
      <c r="L293">
        <v>368.05309999999997</v>
      </c>
      <c r="M293">
        <v>0.99976129999999996</v>
      </c>
      <c r="N293">
        <v>-1.698943E-2</v>
      </c>
      <c r="O293">
        <v>1.3744660000000001E-2</v>
      </c>
      <c r="P293">
        <v>0.99907310000000005</v>
      </c>
      <c r="Q293">
        <v>4.111049E-2</v>
      </c>
      <c r="R293">
        <v>1.276249E-2</v>
      </c>
      <c r="S293">
        <v>2.993805</v>
      </c>
      <c r="T293">
        <v>0.54895309999999997</v>
      </c>
      <c r="U293">
        <v>-0.95770259999999996</v>
      </c>
      <c r="V293">
        <v>9.6427350000000004E-4</v>
      </c>
      <c r="W293">
        <v>5.8079749999999999E-2</v>
      </c>
      <c r="X293">
        <v>0.99831150000000002</v>
      </c>
      <c r="Y293">
        <v>0.31323240000000002</v>
      </c>
      <c r="Z293">
        <v>2.772604E-2</v>
      </c>
      <c r="AA293">
        <v>0.94927169999999905</v>
      </c>
      <c r="AB293">
        <v>37</v>
      </c>
      <c r="AC293">
        <v>134.38679999999999</v>
      </c>
      <c r="AD293">
        <v>24.690228999999999</v>
      </c>
      <c r="AE293">
        <v>-43.079299999999897</v>
      </c>
      <c r="AF293">
        <v>43.588378971839703</v>
      </c>
      <c r="AG293">
        <v>24.690228999999999</v>
      </c>
      <c r="AH293">
        <v>129.80853385600599</v>
      </c>
      <c r="AI293">
        <v>79.778769337793605</v>
      </c>
      <c r="AJ293">
        <v>71.438475058804201</v>
      </c>
      <c r="AK293">
        <v>139.13953302822</v>
      </c>
      <c r="AL293">
        <v>86.670401789317907</v>
      </c>
      <c r="AM293">
        <v>89.944657769980097</v>
      </c>
      <c r="AN293">
        <v>1.00000001910784</v>
      </c>
    </row>
    <row r="294" spans="1:40" x14ac:dyDescent="0.25">
      <c r="A294" t="str">
        <f>"20190305135801402"</f>
        <v>20190305135801402</v>
      </c>
      <c r="B294" t="str">
        <f>"1551765481399273"</f>
        <v>1551765481399273</v>
      </c>
      <c r="C294" t="s">
        <v>40</v>
      </c>
      <c r="D294">
        <v>4.4680920000000004</v>
      </c>
      <c r="E294">
        <v>0.62700999999999996</v>
      </c>
      <c r="F294" t="s">
        <v>47</v>
      </c>
      <c r="G294">
        <v>-265.97969999999998</v>
      </c>
      <c r="H294">
        <v>25.869669999999999</v>
      </c>
      <c r="I294">
        <v>324.90989999999999</v>
      </c>
      <c r="J294">
        <v>-400.16489999999999</v>
      </c>
      <c r="K294">
        <v>1.061841</v>
      </c>
      <c r="L294">
        <v>368.05590000000001</v>
      </c>
      <c r="M294">
        <v>0.99976370000000003</v>
      </c>
      <c r="N294">
        <v>-1.681614E-2</v>
      </c>
      <c r="O294">
        <v>1.378353E-2</v>
      </c>
      <c r="P294">
        <v>0.99910069999999995</v>
      </c>
      <c r="Q294">
        <v>4.0795449999999997E-2</v>
      </c>
      <c r="R294">
        <v>1.155539E-2</v>
      </c>
      <c r="S294">
        <v>2.9923709999999999</v>
      </c>
      <c r="T294">
        <v>0.55240199999999995</v>
      </c>
      <c r="U294">
        <v>-0.96066280000000004</v>
      </c>
      <c r="V294">
        <v>2.2103100000000001E-3</v>
      </c>
      <c r="W294">
        <v>5.7592280000000003E-2</v>
      </c>
      <c r="X294">
        <v>0.99833769999999999</v>
      </c>
      <c r="Y294">
        <v>0.31417279999999997</v>
      </c>
      <c r="Z294">
        <v>2.803081E-2</v>
      </c>
      <c r="AA294">
        <v>0.94895189999999996</v>
      </c>
      <c r="AB294">
        <v>36</v>
      </c>
      <c r="AC294">
        <v>134.18520000000001</v>
      </c>
      <c r="AD294">
        <v>24.807829000000002</v>
      </c>
      <c r="AE294">
        <v>-43.146000000000001</v>
      </c>
      <c r="AF294">
        <v>43.639873228076397</v>
      </c>
      <c r="AG294">
        <v>24.807829000000002</v>
      </c>
      <c r="AH294">
        <v>129.56414760806001</v>
      </c>
      <c r="AI294">
        <v>79.715298047331203</v>
      </c>
      <c r="AJ294">
        <v>71.385414883746193</v>
      </c>
      <c r="AK294">
        <v>138.94867851282001</v>
      </c>
      <c r="AL294">
        <v>86.698378396851297</v>
      </c>
      <c r="AM294">
        <v>89.873147906270106</v>
      </c>
      <c r="AN294">
        <v>0.99999995971359101</v>
      </c>
    </row>
    <row r="295" spans="1:40" x14ac:dyDescent="0.25">
      <c r="A295" t="str">
        <f>"20190305135801413"</f>
        <v>20190305135801413</v>
      </c>
      <c r="B295" t="str">
        <f>"1551765481409034"</f>
        <v>1551765481409034</v>
      </c>
      <c r="C295" t="s">
        <v>40</v>
      </c>
      <c r="D295">
        <v>4.2030070000000004</v>
      </c>
      <c r="E295">
        <v>0.62798009999999904</v>
      </c>
      <c r="F295" t="s">
        <v>47</v>
      </c>
      <c r="G295">
        <v>-265.9796</v>
      </c>
      <c r="H295">
        <v>26.01097</v>
      </c>
      <c r="I295">
        <v>325.02820000000003</v>
      </c>
      <c r="J295">
        <v>-399.97019999999998</v>
      </c>
      <c r="K295">
        <v>1.062214</v>
      </c>
      <c r="L295">
        <v>368.05860000000001</v>
      </c>
      <c r="M295">
        <v>0.99977729999999998</v>
      </c>
      <c r="N295">
        <v>-1.5946430000000001E-2</v>
      </c>
      <c r="O295">
        <v>1.3822849999999999E-2</v>
      </c>
      <c r="P295">
        <v>0.99908949999999996</v>
      </c>
      <c r="Q295">
        <v>4.1316720000000001E-2</v>
      </c>
      <c r="R295">
        <v>1.064155E-2</v>
      </c>
      <c r="S295">
        <v>2.9911500000000002</v>
      </c>
      <c r="T295">
        <v>0.55614589999999997</v>
      </c>
      <c r="U295">
        <v>-0.95913700000000002</v>
      </c>
      <c r="V295">
        <v>3.1627339999999999E-3</v>
      </c>
      <c r="W295">
        <v>5.7244759999999999E-2</v>
      </c>
      <c r="X295">
        <v>0.9983552</v>
      </c>
      <c r="Y295">
        <v>0.31379600000000002</v>
      </c>
      <c r="Z295">
        <v>2.8354540000000001E-2</v>
      </c>
      <c r="AA295">
        <v>0.94906690000000005</v>
      </c>
      <c r="AB295">
        <v>36</v>
      </c>
      <c r="AC295">
        <v>133.99059999999901</v>
      </c>
      <c r="AD295">
        <v>24.948755999999999</v>
      </c>
      <c r="AE295">
        <v>-43.030399999999901</v>
      </c>
      <c r="AF295">
        <v>43.511173279823701</v>
      </c>
      <c r="AG295">
        <v>24.948755999999999</v>
      </c>
      <c r="AH295">
        <v>129.31865198698</v>
      </c>
      <c r="AI295">
        <v>79.637832007741494</v>
      </c>
      <c r="AJ295">
        <v>71.403725755162199</v>
      </c>
      <c r="AK295">
        <v>138.70463718947599</v>
      </c>
      <c r="AL295">
        <v>86.718322979951395</v>
      </c>
      <c r="AM295">
        <v>89.818490749863699</v>
      </c>
      <c r="AN295">
        <v>1.0000000354004199</v>
      </c>
    </row>
    <row r="296" spans="1:40" x14ac:dyDescent="0.25">
      <c r="A296" t="str">
        <f>"20190305135801426"</f>
        <v>20190305135801426</v>
      </c>
      <c r="B296" t="str">
        <f>"1551765481418793"</f>
        <v>1551765481418793</v>
      </c>
      <c r="C296" t="s">
        <v>40</v>
      </c>
      <c r="D296">
        <v>4.1626779999999997</v>
      </c>
      <c r="E296">
        <v>0.62841999999999998</v>
      </c>
      <c r="F296" t="s">
        <v>47</v>
      </c>
      <c r="G296">
        <v>-265.97949999999997</v>
      </c>
      <c r="H296">
        <v>26.492819999999998</v>
      </c>
      <c r="I296">
        <v>324.64109999999999</v>
      </c>
      <c r="J296">
        <v>-399.75029999999998</v>
      </c>
      <c r="K296">
        <v>1.0627169999999999</v>
      </c>
      <c r="L296">
        <v>368.06169999999997</v>
      </c>
      <c r="M296">
        <v>0.99979560000000001</v>
      </c>
      <c r="N296">
        <v>-1.471597E-2</v>
      </c>
      <c r="O296">
        <v>1.386567E-2</v>
      </c>
      <c r="P296">
        <v>0.99906030000000001</v>
      </c>
      <c r="Q296">
        <v>4.2226840000000002E-2</v>
      </c>
      <c r="R296">
        <v>9.7732600000000006E-3</v>
      </c>
      <c r="S296">
        <v>2.989563</v>
      </c>
      <c r="T296">
        <v>0.56740109999999999</v>
      </c>
      <c r="U296">
        <v>-0.96871949999999996</v>
      </c>
      <c r="V296">
        <v>4.072773E-3</v>
      </c>
      <c r="W296">
        <v>5.6925799999999999E-2</v>
      </c>
      <c r="X296">
        <v>0.99837010000000004</v>
      </c>
      <c r="Y296">
        <v>0.3164669</v>
      </c>
      <c r="Z296">
        <v>2.9381089999999999E-2</v>
      </c>
      <c r="AA296">
        <v>0.9481484</v>
      </c>
      <c r="AB296">
        <v>36</v>
      </c>
      <c r="AC296">
        <v>133.77080000000001</v>
      </c>
      <c r="AD296">
        <v>25.430102999999999</v>
      </c>
      <c r="AE296">
        <v>-43.420599999999901</v>
      </c>
      <c r="AF296">
        <v>43.838193601090303</v>
      </c>
      <c r="AG296">
        <v>25.430102999999999</v>
      </c>
      <c r="AH296">
        <v>128.940221324801</v>
      </c>
      <c r="AI296">
        <v>79.423139591501695</v>
      </c>
      <c r="AJ296">
        <v>71.222556941493096</v>
      </c>
      <c r="AK296">
        <v>138.542621716517</v>
      </c>
      <c r="AL296">
        <v>86.736627760182401</v>
      </c>
      <c r="AM296">
        <v>89.766267630243405</v>
      </c>
      <c r="AN296">
        <v>0.99999999537977902</v>
      </c>
    </row>
    <row r="297" spans="1:40" x14ac:dyDescent="0.25">
      <c r="A297" t="str">
        <f>"20190305135801440"</f>
        <v>20190305135801440</v>
      </c>
      <c r="B297" t="str">
        <f>"1551765481428553"</f>
        <v>1551765481428553</v>
      </c>
      <c r="C297" t="s">
        <v>40</v>
      </c>
      <c r="D297">
        <v>4.1768049999999999</v>
      </c>
      <c r="E297">
        <v>0.62884039999999997</v>
      </c>
      <c r="F297" t="s">
        <v>47</v>
      </c>
      <c r="G297">
        <v>-265.97930000000002</v>
      </c>
      <c r="H297">
        <v>26.90408</v>
      </c>
      <c r="I297">
        <v>324.42959999999999</v>
      </c>
      <c r="J297">
        <v>-399.54039999999998</v>
      </c>
      <c r="K297">
        <v>1.063267</v>
      </c>
      <c r="L297">
        <v>368.06470000000002</v>
      </c>
      <c r="M297">
        <v>0.99981330000000002</v>
      </c>
      <c r="N297">
        <v>-1.342584E-2</v>
      </c>
      <c r="O297">
        <v>1.390562E-2</v>
      </c>
      <c r="P297">
        <v>0.99903370000000002</v>
      </c>
      <c r="Q297">
        <v>4.3156079999999999E-2</v>
      </c>
      <c r="R297">
        <v>8.3154370000000002E-3</v>
      </c>
      <c r="S297">
        <v>2.987946</v>
      </c>
      <c r="T297">
        <v>0.5772003</v>
      </c>
      <c r="U297">
        <v>-0.97457890000000003</v>
      </c>
      <c r="V297">
        <v>5.5696749999999996E-3</v>
      </c>
      <c r="W297">
        <v>5.6566379999999999E-2</v>
      </c>
      <c r="X297">
        <v>0.99838329999999997</v>
      </c>
      <c r="Y297">
        <v>0.31809559999999998</v>
      </c>
      <c r="Z297">
        <v>3.0265259999999999E-2</v>
      </c>
      <c r="AA297">
        <v>0.94757539999999996</v>
      </c>
      <c r="AB297">
        <v>37</v>
      </c>
      <c r="AC297">
        <v>133.56109999999899</v>
      </c>
      <c r="AD297">
        <v>25.840813000000001</v>
      </c>
      <c r="AE297">
        <v>-43.635100000000001</v>
      </c>
      <c r="AF297">
        <v>44.000095444508901</v>
      </c>
      <c r="AG297">
        <v>25.840813000000001</v>
      </c>
      <c r="AH297">
        <v>128.59202705618901</v>
      </c>
      <c r="AI297">
        <v>79.234855502322702</v>
      </c>
      <c r="AJ297">
        <v>71.110687279840505</v>
      </c>
      <c r="AK297">
        <v>138.346179701669</v>
      </c>
      <c r="AL297">
        <v>86.757254245434396</v>
      </c>
      <c r="AM297">
        <v>89.680367690144095</v>
      </c>
      <c r="AN297">
        <v>0.99999999517239901</v>
      </c>
    </row>
    <row r="298" spans="1:40" x14ac:dyDescent="0.25">
      <c r="A298" t="str">
        <f>"20190305135801458"</f>
        <v>20190305135801458</v>
      </c>
      <c r="B298" t="str">
        <f>"1551765481449049"</f>
        <v>1551765481449049</v>
      </c>
      <c r="C298" t="s">
        <v>40</v>
      </c>
      <c r="D298">
        <v>4.130782</v>
      </c>
      <c r="E298">
        <v>0.6293318</v>
      </c>
      <c r="F298" t="s">
        <v>47</v>
      </c>
      <c r="G298">
        <v>-265.97930000000002</v>
      </c>
      <c r="H298">
        <v>27.134799999999998</v>
      </c>
      <c r="I298">
        <v>324.14350000000002</v>
      </c>
      <c r="J298">
        <v>-399.23649999999998</v>
      </c>
      <c r="K298">
        <v>1.064306</v>
      </c>
      <c r="L298">
        <v>368.06889999999999</v>
      </c>
      <c r="M298">
        <v>0.99983469999999997</v>
      </c>
      <c r="N298">
        <v>-1.1653749999999999E-2</v>
      </c>
      <c r="O298">
        <v>1.3964870000000001E-2</v>
      </c>
      <c r="P298">
        <v>0.99902820000000003</v>
      </c>
      <c r="Q298">
        <v>4.3748189999999999E-2</v>
      </c>
      <c r="R298">
        <v>5.4158440000000004E-3</v>
      </c>
      <c r="S298">
        <v>2.9859010000000001</v>
      </c>
      <c r="T298">
        <v>0.58285710000000002</v>
      </c>
      <c r="U298">
        <v>-0.98190310000000003</v>
      </c>
      <c r="V298">
        <v>8.5281230000000003E-3</v>
      </c>
      <c r="W298">
        <v>5.5389010000000002E-2</v>
      </c>
      <c r="X298">
        <v>0.99842839999999999</v>
      </c>
      <c r="Y298">
        <v>0.32024930000000001</v>
      </c>
      <c r="Z298">
        <v>3.105339E-2</v>
      </c>
      <c r="AA298">
        <v>0.9468242</v>
      </c>
      <c r="AB298">
        <v>37</v>
      </c>
      <c r="AC298">
        <v>133.25719999999899</v>
      </c>
      <c r="AD298">
        <v>26.070494</v>
      </c>
      <c r="AE298">
        <v>-43.925399999999897</v>
      </c>
      <c r="AF298">
        <v>44.254326778372103</v>
      </c>
      <c r="AG298">
        <v>26.070494</v>
      </c>
      <c r="AH298">
        <v>128.20461773157601</v>
      </c>
      <c r="AI298">
        <v>79.119261188950105</v>
      </c>
      <c r="AJ298">
        <v>70.956087592461202</v>
      </c>
      <c r="AK298">
        <v>138.11060822293999</v>
      </c>
      <c r="AL298">
        <v>86.824818443052607</v>
      </c>
      <c r="AM298">
        <v>89.510617313630604</v>
      </c>
      <c r="AN298">
        <v>0.999999970618621</v>
      </c>
    </row>
    <row r="299" spans="1:40" x14ac:dyDescent="0.25">
      <c r="A299" t="str">
        <f>"20190305135801479"</f>
        <v>20190305135801479</v>
      </c>
      <c r="B299" t="str">
        <f>"1551765481468568"</f>
        <v>1551765481468568</v>
      </c>
      <c r="C299" t="s">
        <v>40</v>
      </c>
      <c r="D299">
        <v>4.1330660000000004</v>
      </c>
      <c r="E299">
        <v>0.62913649999999999</v>
      </c>
      <c r="F299" t="s">
        <v>47</v>
      </c>
      <c r="G299">
        <v>-265.97919999999999</v>
      </c>
      <c r="H299">
        <v>27.363700000000001</v>
      </c>
      <c r="I299">
        <v>323.64350000000002</v>
      </c>
      <c r="J299">
        <v>-398.88819999999998</v>
      </c>
      <c r="K299">
        <v>1.0657239999999999</v>
      </c>
      <c r="L299">
        <v>368.07389999999998</v>
      </c>
      <c r="M299">
        <v>0.99985329999999994</v>
      </c>
      <c r="N299">
        <v>-9.8278470000000007E-3</v>
      </c>
      <c r="O299">
        <v>1.403573E-2</v>
      </c>
      <c r="P299">
        <v>0.99901499999999999</v>
      </c>
      <c r="Q299">
        <v>4.4310570000000001E-2</v>
      </c>
      <c r="R299">
        <v>2.4370170000000001E-3</v>
      </c>
      <c r="S299">
        <v>2.9825439999999999</v>
      </c>
      <c r="T299">
        <v>0.58862910000000002</v>
      </c>
      <c r="U299">
        <v>-0.99432370000000003</v>
      </c>
      <c r="V299">
        <v>1.157817E-2</v>
      </c>
      <c r="W299">
        <v>5.412728E-2</v>
      </c>
      <c r="X299">
        <v>0.99846690000000005</v>
      </c>
      <c r="Y299">
        <v>0.32395649999999998</v>
      </c>
      <c r="Z299">
        <v>3.2011449999999997E-2</v>
      </c>
      <c r="AA299">
        <v>0.94553019999999999</v>
      </c>
      <c r="AB299">
        <v>37</v>
      </c>
      <c r="AC299">
        <v>132.90899999999999</v>
      </c>
      <c r="AD299">
        <v>26.297975999999998</v>
      </c>
      <c r="AE299">
        <v>-44.430399999999899</v>
      </c>
      <c r="AF299">
        <v>44.716880467569901</v>
      </c>
      <c r="AG299">
        <v>26.297975999999998</v>
      </c>
      <c r="AH299">
        <v>127.772739812392</v>
      </c>
      <c r="AI299">
        <v>79.006362068662597</v>
      </c>
      <c r="AJ299">
        <v>70.711383329185907</v>
      </c>
      <c r="AK299">
        <v>137.902342183201</v>
      </c>
      <c r="AL299">
        <v>86.897218919900197</v>
      </c>
      <c r="AM299">
        <v>89.335630911898903</v>
      </c>
      <c r="AN299">
        <v>0.99999998342817797</v>
      </c>
    </row>
    <row r="300" spans="1:40" x14ac:dyDescent="0.25">
      <c r="A300" t="str">
        <f>"20190305135801491"</f>
        <v>20190305135801491</v>
      </c>
      <c r="B300" t="str">
        <f>"1551765481489065"</f>
        <v>1551765481489065</v>
      </c>
      <c r="C300" t="s">
        <v>40</v>
      </c>
      <c r="D300">
        <v>4.1606489999999896</v>
      </c>
      <c r="E300">
        <v>0.62923869999999904</v>
      </c>
      <c r="F300" t="s">
        <v>47</v>
      </c>
      <c r="G300">
        <v>-265.97919999999999</v>
      </c>
      <c r="H300">
        <v>27.444710000000001</v>
      </c>
      <c r="I300">
        <v>323.38189999999997</v>
      </c>
      <c r="J300">
        <v>-398.67750000000001</v>
      </c>
      <c r="K300">
        <v>1.06664</v>
      </c>
      <c r="L300">
        <v>368.07690000000002</v>
      </c>
      <c r="M300">
        <v>0.99986229999999998</v>
      </c>
      <c r="N300">
        <v>-8.786571E-3</v>
      </c>
      <c r="O300">
        <v>1.407896E-2</v>
      </c>
      <c r="P300">
        <v>0.99898989999999999</v>
      </c>
      <c r="Q300">
        <v>4.492409E-2</v>
      </c>
      <c r="R300">
        <v>1.069867E-3</v>
      </c>
      <c r="S300">
        <v>2.9791560000000001</v>
      </c>
      <c r="T300">
        <v>0.59128510000000001</v>
      </c>
      <c r="U300">
        <v>-1.00177</v>
      </c>
      <c r="V300">
        <v>1.2988710000000001E-2</v>
      </c>
      <c r="W300">
        <v>5.3700650000000003E-2</v>
      </c>
      <c r="X300">
        <v>0.99847260000000004</v>
      </c>
      <c r="Y300">
        <v>0.32631500000000002</v>
      </c>
      <c r="Z300">
        <v>3.2566289999999998E-2</v>
      </c>
      <c r="AA300">
        <v>0.94469990000000004</v>
      </c>
      <c r="AB300">
        <v>37</v>
      </c>
      <c r="AC300">
        <v>132.69829999999999</v>
      </c>
      <c r="AD300">
        <v>26.378070000000001</v>
      </c>
      <c r="AE300">
        <v>-44.695</v>
      </c>
      <c r="AF300">
        <v>44.9632232856165</v>
      </c>
      <c r="AG300">
        <v>26.378070000000001</v>
      </c>
      <c r="AH300">
        <v>127.530027383757</v>
      </c>
      <c r="AI300">
        <v>78.9619785148071</v>
      </c>
      <c r="AJ300">
        <v>70.578893879783607</v>
      </c>
      <c r="AK300">
        <v>137.77300863978701</v>
      </c>
      <c r="AL300">
        <v>86.9216986726247</v>
      </c>
      <c r="AM300">
        <v>89.254705346886894</v>
      </c>
      <c r="AN300">
        <v>0.99999999967432296</v>
      </c>
    </row>
    <row r="301" spans="1:40" x14ac:dyDescent="0.25">
      <c r="A301" t="str">
        <f>"20190305135801505"</f>
        <v>20190305135801505</v>
      </c>
      <c r="B301" t="str">
        <f>"1551765481498826"</f>
        <v>1551765481498826</v>
      </c>
      <c r="C301" t="s">
        <v>40</v>
      </c>
      <c r="D301">
        <v>4.1307359999999997</v>
      </c>
      <c r="E301">
        <v>0.62934330000000005</v>
      </c>
      <c r="F301" t="s">
        <v>47</v>
      </c>
      <c r="G301">
        <v>-265.97910000000002</v>
      </c>
      <c r="H301">
        <v>27.626560000000001</v>
      </c>
      <c r="I301">
        <v>323.22019999999998</v>
      </c>
      <c r="J301">
        <v>-398.47489999999999</v>
      </c>
      <c r="K301">
        <v>1.0675939999999999</v>
      </c>
      <c r="L301">
        <v>368.07979999999998</v>
      </c>
      <c r="M301">
        <v>0.99986799999999998</v>
      </c>
      <c r="N301">
        <v>-8.0391059999999903E-3</v>
      </c>
      <c r="O301">
        <v>1.4119899999999901E-2</v>
      </c>
      <c r="P301">
        <v>0.99897559999999996</v>
      </c>
      <c r="Q301">
        <v>4.5252670000000002E-2</v>
      </c>
      <c r="R301">
        <v>1.6544739999999999E-4</v>
      </c>
      <c r="S301">
        <v>2.977325</v>
      </c>
      <c r="T301">
        <v>0.59591949999999905</v>
      </c>
      <c r="U301">
        <v>-1.0064390000000001</v>
      </c>
      <c r="V301">
        <v>1.393456E-2</v>
      </c>
      <c r="W301">
        <v>5.3282599999999999E-2</v>
      </c>
      <c r="X301">
        <v>0.99848219999999999</v>
      </c>
      <c r="Y301">
        <v>0.3277178</v>
      </c>
      <c r="Z301">
        <v>3.3092160000000002E-2</v>
      </c>
      <c r="AA301">
        <v>0.94419589999999998</v>
      </c>
      <c r="AB301">
        <v>37</v>
      </c>
      <c r="AC301">
        <v>132.49579999999901</v>
      </c>
      <c r="AD301">
        <v>26.558966000000002</v>
      </c>
      <c r="AE301">
        <v>-44.8596</v>
      </c>
      <c r="AF301">
        <v>45.1002226605261</v>
      </c>
      <c r="AG301">
        <v>26.558966000000002</v>
      </c>
      <c r="AH301">
        <v>127.261575243273</v>
      </c>
      <c r="AI301">
        <v>78.871512465107401</v>
      </c>
      <c r="AJ301">
        <v>70.486185201661499</v>
      </c>
      <c r="AK301">
        <v>137.60420521342101</v>
      </c>
      <c r="AL301">
        <v>86.945685380608595</v>
      </c>
      <c r="AM301">
        <v>89.200446787008005</v>
      </c>
      <c r="AN301">
        <v>0.99999995557099497</v>
      </c>
    </row>
    <row r="302" spans="1:40" x14ac:dyDescent="0.25">
      <c r="A302" t="str">
        <f>"20190305135801523"</f>
        <v>20190305135801523</v>
      </c>
      <c r="B302" t="str">
        <f>"1551765481519321"</f>
        <v>1551765481519321</v>
      </c>
      <c r="C302" t="s">
        <v>40</v>
      </c>
      <c r="D302">
        <v>4.0943399999999999</v>
      </c>
      <c r="E302">
        <v>0.62967740000000005</v>
      </c>
      <c r="F302" t="s">
        <v>47</v>
      </c>
      <c r="G302">
        <v>-265.97910000000002</v>
      </c>
      <c r="H302">
        <v>27.596080000000001</v>
      </c>
      <c r="I302">
        <v>323.11380000000003</v>
      </c>
      <c r="J302">
        <v>-398.17680000000001</v>
      </c>
      <c r="K302">
        <v>1.069221</v>
      </c>
      <c r="L302">
        <v>368.084</v>
      </c>
      <c r="M302">
        <v>0.99987170000000003</v>
      </c>
      <c r="N302">
        <v>-7.4763649999999996E-3</v>
      </c>
      <c r="O302">
        <v>1.41791E-2</v>
      </c>
      <c r="P302">
        <v>0.99898869999999895</v>
      </c>
      <c r="Q302">
        <v>4.4935360000000001E-2</v>
      </c>
      <c r="R302">
        <v>-1.6098550000000001E-3</v>
      </c>
      <c r="S302">
        <v>2.9762569999999999</v>
      </c>
      <c r="T302">
        <v>0.59591039999999995</v>
      </c>
      <c r="U302">
        <v>-1.0100709999999999</v>
      </c>
      <c r="V302">
        <v>1.5770010000000001E-2</v>
      </c>
      <c r="W302">
        <v>5.2403579999999998E-2</v>
      </c>
      <c r="X302">
        <v>0.99850150000000004</v>
      </c>
      <c r="Y302">
        <v>0.32887110000000003</v>
      </c>
      <c r="Z302">
        <v>3.3302980000000003E-2</v>
      </c>
      <c r="AA302">
        <v>0.94378740000000005</v>
      </c>
      <c r="AB302">
        <v>37</v>
      </c>
      <c r="AC302">
        <v>132.1977</v>
      </c>
      <c r="AD302">
        <v>26.526859000000002</v>
      </c>
      <c r="AE302">
        <v>-44.970199999999899</v>
      </c>
      <c r="AF302">
        <v>45.208660815026199</v>
      </c>
      <c r="AG302">
        <v>26.526859000000002</v>
      </c>
      <c r="AH302">
        <v>126.964781247267</v>
      </c>
      <c r="AI302">
        <v>78.865059441272805</v>
      </c>
      <c r="AJ302">
        <v>70.400586386151105</v>
      </c>
      <c r="AK302">
        <v>137.359211333861</v>
      </c>
      <c r="AL302">
        <v>86.996120231123896</v>
      </c>
      <c r="AM302">
        <v>89.095164204095099</v>
      </c>
      <c r="AN302">
        <v>1.0000000369572299</v>
      </c>
    </row>
    <row r="303" spans="1:40" x14ac:dyDescent="0.25">
      <c r="A303" t="str">
        <f>"20190305135801535"</f>
        <v>20190305135801535</v>
      </c>
      <c r="B303" t="str">
        <f>"1551765481529082"</f>
        <v>1551765481529082</v>
      </c>
      <c r="C303" t="s">
        <v>40</v>
      </c>
      <c r="D303">
        <v>4.1024149999999997</v>
      </c>
      <c r="E303">
        <v>0.62980389999999997</v>
      </c>
      <c r="F303" t="s">
        <v>48</v>
      </c>
      <c r="G303">
        <v>-327.2097</v>
      </c>
      <c r="H303">
        <v>15.42151</v>
      </c>
      <c r="I303">
        <v>343.8023</v>
      </c>
      <c r="J303">
        <v>-397.96280000000002</v>
      </c>
      <c r="K303">
        <v>1.070627</v>
      </c>
      <c r="L303">
        <v>368.08710000000002</v>
      </c>
      <c r="M303">
        <v>0.99987110000000001</v>
      </c>
      <c r="N303">
        <v>-7.4692669999999999E-3</v>
      </c>
      <c r="O303">
        <v>1.422027E-2</v>
      </c>
      <c r="P303">
        <v>0.99900540000000004</v>
      </c>
      <c r="Q303">
        <v>4.4515680000000002E-2</v>
      </c>
      <c r="R303">
        <v>-2.6116009999999999E-3</v>
      </c>
      <c r="S303">
        <v>2.9743040000000001</v>
      </c>
      <c r="T303">
        <v>0.60151889999999997</v>
      </c>
      <c r="U303">
        <v>-1.0176700000000001</v>
      </c>
      <c r="V303">
        <v>1.6813720000000001E-2</v>
      </c>
      <c r="W303">
        <v>5.1976439999999999E-2</v>
      </c>
      <c r="X303">
        <v>0.99850680000000003</v>
      </c>
      <c r="Y303">
        <v>0.33110390000000001</v>
      </c>
      <c r="Z303">
        <v>3.3846719999999997E-2</v>
      </c>
      <c r="AA303">
        <v>0.94298709999999997</v>
      </c>
      <c r="AB303">
        <v>36</v>
      </c>
      <c r="AC303">
        <v>70.753100000000003</v>
      </c>
      <c r="AD303">
        <v>14.3508829999999</v>
      </c>
      <c r="AE303">
        <v>-24.284800000000001</v>
      </c>
      <c r="AF303">
        <v>24.390813319460602</v>
      </c>
      <c r="AG303">
        <v>14.3508829999999</v>
      </c>
      <c r="AH303">
        <v>67.9015302309314</v>
      </c>
      <c r="AI303">
        <v>78.750394343822094</v>
      </c>
      <c r="AJ303">
        <v>70.241275521286099</v>
      </c>
      <c r="AK303">
        <v>73.562744816697503</v>
      </c>
      <c r="AL303">
        <v>87.020626958863005</v>
      </c>
      <c r="AM303">
        <v>89.035295345873806</v>
      </c>
      <c r="AN303">
        <v>1.0000000405707701</v>
      </c>
    </row>
    <row r="304" spans="1:40" x14ac:dyDescent="0.25">
      <c r="A304" t="str">
        <f>"20190305135801548"</f>
        <v>20190305135801548</v>
      </c>
      <c r="B304" t="str">
        <f>"1551765481538841"</f>
        <v>1551765481538841</v>
      </c>
      <c r="C304" t="s">
        <v>40</v>
      </c>
      <c r="D304">
        <v>4.0940089999999998</v>
      </c>
      <c r="E304">
        <v>0.62990769999999996</v>
      </c>
      <c r="F304" t="s">
        <v>48</v>
      </c>
      <c r="G304">
        <v>-327.20999999999998</v>
      </c>
      <c r="H304">
        <v>15.42117</v>
      </c>
      <c r="I304">
        <v>343.7885</v>
      </c>
      <c r="J304">
        <v>-397.7654</v>
      </c>
      <c r="K304">
        <v>1.072082</v>
      </c>
      <c r="L304">
        <v>368.0899</v>
      </c>
      <c r="M304">
        <v>0.99987009999999998</v>
      </c>
      <c r="N304">
        <v>-7.5198840000000001E-3</v>
      </c>
      <c r="O304">
        <v>1.425451E-2</v>
      </c>
      <c r="P304">
        <v>0.99902369999999996</v>
      </c>
      <c r="Q304">
        <v>4.4056110000000002E-2</v>
      </c>
      <c r="R304">
        <v>-3.305377E-3</v>
      </c>
      <c r="S304">
        <v>2.9734799999999999</v>
      </c>
      <c r="T304">
        <v>0.60310039999999998</v>
      </c>
      <c r="U304">
        <v>-1.0211790000000001</v>
      </c>
      <c r="V304">
        <v>1.7542269999999999E-2</v>
      </c>
      <c r="W304">
        <v>5.1567380000000003E-2</v>
      </c>
      <c r="X304">
        <v>0.99851540000000005</v>
      </c>
      <c r="Y304">
        <v>0.3321617</v>
      </c>
      <c r="Z304">
        <v>3.4037629999999999E-2</v>
      </c>
      <c r="AA304">
        <v>0.94260809999999995</v>
      </c>
      <c r="AB304">
        <v>36</v>
      </c>
      <c r="AC304">
        <v>70.555400000000006</v>
      </c>
      <c r="AD304">
        <v>14.349088</v>
      </c>
      <c r="AE304">
        <v>-24.301400000000001</v>
      </c>
      <c r="AF304">
        <v>24.402427477261298</v>
      </c>
      <c r="AG304">
        <v>14.349088</v>
      </c>
      <c r="AH304">
        <v>67.698699780702697</v>
      </c>
      <c r="AI304">
        <v>78.723296626495497</v>
      </c>
      <c r="AJ304">
        <v>70.177979004146593</v>
      </c>
      <c r="AK304">
        <v>73.379075663382693</v>
      </c>
      <c r="AL304">
        <v>87.044095619284604</v>
      </c>
      <c r="AM304">
        <v>88.993511120212602</v>
      </c>
      <c r="AN304">
        <v>0.99999996497698795</v>
      </c>
    </row>
    <row r="305" spans="1:40" x14ac:dyDescent="0.25">
      <c r="A305" t="str">
        <f>"20190305135801561"</f>
        <v>20190305135801561</v>
      </c>
      <c r="B305" t="str">
        <f>"1551765481548601"</f>
        <v>1551765481548601</v>
      </c>
      <c r="C305" t="s">
        <v>40</v>
      </c>
      <c r="D305">
        <v>4.0591900000000001</v>
      </c>
      <c r="E305">
        <v>0.62995540000000005</v>
      </c>
      <c r="F305" t="s">
        <v>48</v>
      </c>
      <c r="G305">
        <v>-327.20979999999997</v>
      </c>
      <c r="H305">
        <v>15.4384</v>
      </c>
      <c r="I305">
        <v>343.78210000000001</v>
      </c>
      <c r="J305">
        <v>-397.5693</v>
      </c>
      <c r="K305">
        <v>1.0735680000000001</v>
      </c>
      <c r="L305">
        <v>368.09269999999998</v>
      </c>
      <c r="M305">
        <v>0.99986949999999997</v>
      </c>
      <c r="N305">
        <v>-7.5439449999999998E-3</v>
      </c>
      <c r="O305">
        <v>1.428719E-2</v>
      </c>
      <c r="P305">
        <v>0.9990213</v>
      </c>
      <c r="Q305">
        <v>4.406844E-2</v>
      </c>
      <c r="R305">
        <v>-3.8474970000000001E-3</v>
      </c>
      <c r="S305">
        <v>2.972839</v>
      </c>
      <c r="T305">
        <v>0.60532129999999995</v>
      </c>
      <c r="U305">
        <v>-1.0242</v>
      </c>
      <c r="V305">
        <v>1.8116920000000002E-2</v>
      </c>
      <c r="W305">
        <v>5.160406E-2</v>
      </c>
      <c r="X305">
        <v>0.99850329999999998</v>
      </c>
      <c r="Y305">
        <v>0.33305030000000002</v>
      </c>
      <c r="Z305">
        <v>3.4252690000000002E-2</v>
      </c>
      <c r="AA305">
        <v>0.94228670000000003</v>
      </c>
      <c r="AB305">
        <v>36</v>
      </c>
      <c r="AC305">
        <v>70.359499999999997</v>
      </c>
      <c r="AD305">
        <v>14.364832</v>
      </c>
      <c r="AE305">
        <v>-24.310599999999901</v>
      </c>
      <c r="AF305">
        <v>24.404627656198201</v>
      </c>
      <c r="AG305">
        <v>14.364832</v>
      </c>
      <c r="AH305">
        <v>67.491776126591105</v>
      </c>
      <c r="AI305">
        <v>78.681531128920597</v>
      </c>
      <c r="AJ305">
        <v>70.120308814382298</v>
      </c>
      <c r="AK305">
        <v>73.192035728949307</v>
      </c>
      <c r="AL305">
        <v>87.041991373873103</v>
      </c>
      <c r="AM305">
        <v>88.960535064886699</v>
      </c>
      <c r="AN305">
        <v>1.0000000209548201</v>
      </c>
    </row>
    <row r="306" spans="1:40" x14ac:dyDescent="0.25">
      <c r="A306" t="str">
        <f>"20190305135801578"</f>
        <v>20190305135801578</v>
      </c>
      <c r="B306" t="str">
        <f>"1551765481569097"</f>
        <v>1551765481569097</v>
      </c>
      <c r="C306" t="s">
        <v>40</v>
      </c>
      <c r="D306">
        <v>4.2252169999999998</v>
      </c>
      <c r="E306">
        <v>0.63034429999999997</v>
      </c>
      <c r="F306" t="s">
        <v>48</v>
      </c>
      <c r="G306">
        <v>-327.20850000000002</v>
      </c>
      <c r="H306">
        <v>15.478339999999999</v>
      </c>
      <c r="I306">
        <v>343.8073</v>
      </c>
      <c r="J306">
        <v>-397.27069999999998</v>
      </c>
      <c r="K306">
        <v>1.0759369999999999</v>
      </c>
      <c r="L306">
        <v>368.09699999999998</v>
      </c>
      <c r="M306">
        <v>0.99987009999999998</v>
      </c>
      <c r="N306">
        <v>-7.3752509999999898E-3</v>
      </c>
      <c r="O306">
        <v>1.4335399999999899E-2</v>
      </c>
      <c r="P306">
        <v>0.99897769999999997</v>
      </c>
      <c r="Q306">
        <v>4.4946409999999999E-2</v>
      </c>
      <c r="R306">
        <v>-4.8581630000000004E-3</v>
      </c>
      <c r="S306">
        <v>2.972137</v>
      </c>
      <c r="T306">
        <v>0.60847739999999995</v>
      </c>
      <c r="U306">
        <v>-1.0258480000000001</v>
      </c>
      <c r="V306">
        <v>1.917491E-2</v>
      </c>
      <c r="W306">
        <v>5.2313110000000003E-2</v>
      </c>
      <c r="X306">
        <v>0.99844659999999996</v>
      </c>
      <c r="Y306">
        <v>0.333549599999999</v>
      </c>
      <c r="Z306">
        <v>3.4522530000000003E-2</v>
      </c>
      <c r="AA306">
        <v>0.94210020000000005</v>
      </c>
      <c r="AB306">
        <v>36</v>
      </c>
      <c r="AC306">
        <v>70.062199999999905</v>
      </c>
      <c r="AD306">
        <v>14.402403</v>
      </c>
      <c r="AE306">
        <v>-24.2896999999999</v>
      </c>
      <c r="AF306">
        <v>24.372200783308202</v>
      </c>
      <c r="AG306">
        <v>14.402403</v>
      </c>
      <c r="AH306">
        <v>67.172807620381704</v>
      </c>
      <c r="AI306">
        <v>78.604606759219493</v>
      </c>
      <c r="AJ306">
        <v>70.057791671696904</v>
      </c>
      <c r="AK306">
        <v>72.894577759948007</v>
      </c>
      <c r="AL306">
        <v>87.0013107164243</v>
      </c>
      <c r="AM306">
        <v>88.899784547650697</v>
      </c>
      <c r="AN306">
        <v>0.99999997585146905</v>
      </c>
    </row>
    <row r="307" spans="1:40" x14ac:dyDescent="0.25">
      <c r="A307" t="str">
        <f>"20190305135801601"</f>
        <v>20190305135801601</v>
      </c>
      <c r="B307" t="str">
        <f>"1551765481599353"</f>
        <v>1551765481599353</v>
      </c>
      <c r="C307" t="s">
        <v>40</v>
      </c>
      <c r="D307">
        <v>4.1147919999999996</v>
      </c>
      <c r="E307">
        <v>0.63084110000000004</v>
      </c>
      <c r="F307" t="s">
        <v>47</v>
      </c>
      <c r="G307">
        <v>-265.97879999999998</v>
      </c>
      <c r="H307">
        <v>28.470310000000001</v>
      </c>
      <c r="I307">
        <v>322.50420000000003</v>
      </c>
      <c r="J307">
        <v>-396.90960000000001</v>
      </c>
      <c r="K307">
        <v>1.078938</v>
      </c>
      <c r="L307">
        <v>368.10219999999998</v>
      </c>
      <c r="M307">
        <v>0.99987110000000001</v>
      </c>
      <c r="N307">
        <v>-7.1409069999999897E-3</v>
      </c>
      <c r="O307">
        <v>1.438449E-2</v>
      </c>
      <c r="P307">
        <v>0.9988939</v>
      </c>
      <c r="Q307">
        <v>4.6682349999999997E-2</v>
      </c>
      <c r="R307">
        <v>-5.6568529999999999E-3</v>
      </c>
      <c r="S307">
        <v>2.9701840000000002</v>
      </c>
      <c r="T307">
        <v>0.61973659999999997</v>
      </c>
      <c r="U307">
        <v>-1.031433</v>
      </c>
      <c r="V307">
        <v>2.0020940000000001E-2</v>
      </c>
      <c r="W307">
        <v>5.3814460000000001E-2</v>
      </c>
      <c r="X307">
        <v>0.99835019999999997</v>
      </c>
      <c r="Y307">
        <v>0.33509309999999998</v>
      </c>
      <c r="Z307">
        <v>3.5377789999999999E-2</v>
      </c>
      <c r="AA307">
        <v>0.94152060000000004</v>
      </c>
      <c r="AB307">
        <v>36</v>
      </c>
      <c r="AC307">
        <v>130.9308</v>
      </c>
      <c r="AD307">
        <v>27.391372</v>
      </c>
      <c r="AE307">
        <v>-45.5979999999999</v>
      </c>
      <c r="AF307">
        <v>45.693177838438899</v>
      </c>
      <c r="AG307">
        <v>27.391372</v>
      </c>
      <c r="AH307">
        <v>125.367893560437</v>
      </c>
      <c r="AI307">
        <v>78.399570807197804</v>
      </c>
      <c r="AJ307">
        <v>69.974581350511201</v>
      </c>
      <c r="AK307">
        <v>136.217702582295</v>
      </c>
      <c r="AL307">
        <v>86.915168330335206</v>
      </c>
      <c r="AM307">
        <v>88.851142990865</v>
      </c>
      <c r="AN307">
        <v>0.99999997799180695</v>
      </c>
    </row>
    <row r="308" spans="1:40" x14ac:dyDescent="0.25">
      <c r="A308" t="str">
        <f>"20190305135801614"</f>
        <v>20190305135801614</v>
      </c>
      <c r="B308" t="str">
        <f>"1551765481609114"</f>
        <v>1551765481609114</v>
      </c>
      <c r="C308" t="s">
        <v>40</v>
      </c>
      <c r="D308">
        <v>4.1191420000000001</v>
      </c>
      <c r="E308">
        <v>0.63085729999999995</v>
      </c>
      <c r="F308" t="s">
        <v>47</v>
      </c>
      <c r="G308">
        <v>-266.07170000000002</v>
      </c>
      <c r="H308">
        <v>28.9208</v>
      </c>
      <c r="I308">
        <v>322.36930000000001</v>
      </c>
      <c r="J308">
        <v>-396.6909</v>
      </c>
      <c r="K308">
        <v>1.0807990000000001</v>
      </c>
      <c r="L308">
        <v>368.1053</v>
      </c>
      <c r="M308">
        <v>0.99987119999999996</v>
      </c>
      <c r="N308">
        <v>-7.0730180000000004E-3</v>
      </c>
      <c r="O308">
        <v>1.441132E-2</v>
      </c>
      <c r="P308">
        <v>0.99884249999999997</v>
      </c>
      <c r="Q308">
        <v>4.7713510000000001E-2</v>
      </c>
      <c r="R308">
        <v>-6.1060369999999999E-3</v>
      </c>
      <c r="S308">
        <v>2.9679570000000002</v>
      </c>
      <c r="T308">
        <v>0.63157140000000001</v>
      </c>
      <c r="U308">
        <v>-1.037415</v>
      </c>
      <c r="V308">
        <v>2.0496029999999998E-2</v>
      </c>
      <c r="W308">
        <v>5.4777199999999901E-2</v>
      </c>
      <c r="X308">
        <v>0.99828819999999996</v>
      </c>
      <c r="Y308">
        <v>0.33673750000000002</v>
      </c>
      <c r="Z308">
        <v>3.6253309999999997E-2</v>
      </c>
      <c r="AA308">
        <v>0.94090039999999997</v>
      </c>
      <c r="AB308">
        <v>36</v>
      </c>
      <c r="AC308">
        <v>130.61919999999901</v>
      </c>
      <c r="AD308">
        <v>27.840001000000001</v>
      </c>
      <c r="AE308">
        <v>-45.735999999999898</v>
      </c>
      <c r="AF308">
        <v>45.761859353017499</v>
      </c>
      <c r="AG308">
        <v>27.840001000000001</v>
      </c>
      <c r="AH308">
        <v>124.892510520817</v>
      </c>
      <c r="AI308">
        <v>78.178426865036599</v>
      </c>
      <c r="AJ308">
        <v>69.876662941946705</v>
      </c>
      <c r="AK308">
        <v>135.894637904951</v>
      </c>
      <c r="AL308">
        <v>86.859925904690797</v>
      </c>
      <c r="AM308">
        <v>88.823815555598202</v>
      </c>
      <c r="AN308">
        <v>0.99999997957242004</v>
      </c>
    </row>
    <row r="309" spans="1:40" x14ac:dyDescent="0.25">
      <c r="A309" t="str">
        <f>"20190305135801626"</f>
        <v>20190305135801626</v>
      </c>
      <c r="B309" t="str">
        <f>"1551765481618875"</f>
        <v>1551765481618875</v>
      </c>
      <c r="C309" t="s">
        <v>40</v>
      </c>
      <c r="D309">
        <v>4.0920990000000002</v>
      </c>
      <c r="E309">
        <v>0.63086799999999998</v>
      </c>
      <c r="F309" t="s">
        <v>47</v>
      </c>
      <c r="G309">
        <v>-266.15600000000001</v>
      </c>
      <c r="H309">
        <v>28.938030000000001</v>
      </c>
      <c r="I309">
        <v>322.36930000000001</v>
      </c>
      <c r="J309">
        <v>-396.49779999999998</v>
      </c>
      <c r="K309">
        <v>1.082438</v>
      </c>
      <c r="L309">
        <v>368.10809999999998</v>
      </c>
      <c r="M309">
        <v>0.99987079999999995</v>
      </c>
      <c r="N309">
        <v>-7.0927339999999998E-3</v>
      </c>
      <c r="O309">
        <v>1.443354E-2</v>
      </c>
      <c r="P309">
        <v>0.99880340000000001</v>
      </c>
      <c r="Q309">
        <v>4.8460639999999999E-2</v>
      </c>
      <c r="R309">
        <v>-6.6258979999999999E-3</v>
      </c>
      <c r="S309">
        <v>2.966888</v>
      </c>
      <c r="T309">
        <v>0.63315880000000002</v>
      </c>
      <c r="U309">
        <v>-1.03952</v>
      </c>
      <c r="V309">
        <v>2.1037460000000001E-2</v>
      </c>
      <c r="W309">
        <v>5.5544219999999998E-2</v>
      </c>
      <c r="X309">
        <v>0.99823459999999997</v>
      </c>
      <c r="Y309">
        <v>0.33740870000000001</v>
      </c>
      <c r="Z309">
        <v>3.6421410000000001E-2</v>
      </c>
      <c r="AA309">
        <v>0.94065339999999997</v>
      </c>
      <c r="AB309">
        <v>36</v>
      </c>
      <c r="AC309">
        <v>130.34179999999901</v>
      </c>
      <c r="AD309">
        <v>27.855592000000001</v>
      </c>
      <c r="AE309">
        <v>-45.738799999999898</v>
      </c>
      <c r="AF309">
        <v>45.754748887510303</v>
      </c>
      <c r="AG309">
        <v>27.855592000000001</v>
      </c>
      <c r="AH309">
        <v>124.601101097259</v>
      </c>
      <c r="AI309">
        <v>78.148090884608095</v>
      </c>
      <c r="AJ309">
        <v>69.836268714571801</v>
      </c>
      <c r="AK309">
        <v>135.62767212511901</v>
      </c>
      <c r="AL309">
        <v>86.815912029625693</v>
      </c>
      <c r="AM309">
        <v>88.792689346350997</v>
      </c>
      <c r="AN309">
        <v>1.0000000258679</v>
      </c>
    </row>
    <row r="310" spans="1:40" x14ac:dyDescent="0.25">
      <c r="A310" t="str">
        <f>"20190305135801646"</f>
        <v>20190305135801646</v>
      </c>
      <c r="B310" t="str">
        <f>"1551765481639369"</f>
        <v>1551765481639369</v>
      </c>
      <c r="C310" t="s">
        <v>40</v>
      </c>
      <c r="D310">
        <v>4.1407579999999999</v>
      </c>
      <c r="E310">
        <v>0.63094749999999999</v>
      </c>
      <c r="F310" t="s">
        <v>47</v>
      </c>
      <c r="G310">
        <v>-266.18040000000002</v>
      </c>
      <c r="H310">
        <v>29.004560000000001</v>
      </c>
      <c r="I310">
        <v>322.36930000000001</v>
      </c>
      <c r="J310">
        <v>-396.17899999999997</v>
      </c>
      <c r="K310">
        <v>1.0851309999999901</v>
      </c>
      <c r="L310">
        <v>368.11279999999999</v>
      </c>
      <c r="M310">
        <v>0.99986920000000001</v>
      </c>
      <c r="N310">
        <v>-7.2417690000000003E-3</v>
      </c>
      <c r="O310">
        <v>1.4466120000000001E-2</v>
      </c>
      <c r="P310">
        <v>0.99874540000000001</v>
      </c>
      <c r="Q310">
        <v>4.9563589999999998E-2</v>
      </c>
      <c r="R310">
        <v>-7.1809519999999896E-3</v>
      </c>
      <c r="S310">
        <v>2.9658509999999998</v>
      </c>
      <c r="T310">
        <v>0.6354706</v>
      </c>
      <c r="U310">
        <v>-1.0409550000000001</v>
      </c>
      <c r="V310">
        <v>2.1624210000000001E-2</v>
      </c>
      <c r="W310">
        <v>5.6794890000000001E-2</v>
      </c>
      <c r="X310">
        <v>0.99815169999999998</v>
      </c>
      <c r="Y310">
        <v>0.33788829999999997</v>
      </c>
      <c r="Z310">
        <v>3.6595389999999998E-2</v>
      </c>
      <c r="AA310">
        <v>0.94047449999999999</v>
      </c>
      <c r="AB310">
        <v>36</v>
      </c>
      <c r="AC310">
        <v>129.99860000000001</v>
      </c>
      <c r="AD310">
        <v>27.919429000000001</v>
      </c>
      <c r="AE310">
        <v>-45.743499999999898</v>
      </c>
      <c r="AF310">
        <v>45.7419471111916</v>
      </c>
      <c r="AG310">
        <v>27.919429000000001</v>
      </c>
      <c r="AH310">
        <v>124.22468383075901</v>
      </c>
      <c r="AI310">
        <v>78.090518830093899</v>
      </c>
      <c r="AJ310">
        <v>69.785310774517598</v>
      </c>
      <c r="AK310">
        <v>135.29076950797901</v>
      </c>
      <c r="AL310">
        <v>86.744140654295407</v>
      </c>
      <c r="AM310">
        <v>88.758923929813307</v>
      </c>
      <c r="AN310">
        <v>1.0000000411005601</v>
      </c>
    </row>
    <row r="311" spans="1:40" x14ac:dyDescent="0.25">
      <c r="A311" t="str">
        <f>"20190305135801671"</f>
        <v>20190305135801671</v>
      </c>
      <c r="B311" t="str">
        <f>"1551765481658554"</f>
        <v>1551765481658554</v>
      </c>
      <c r="C311" t="s">
        <v>40</v>
      </c>
      <c r="D311">
        <v>4.0941429999999999</v>
      </c>
      <c r="E311">
        <v>0.63097429999999999</v>
      </c>
      <c r="F311" t="s">
        <v>47</v>
      </c>
      <c r="G311">
        <v>-266.17169999999999</v>
      </c>
      <c r="H311">
        <v>29.184619999999999</v>
      </c>
      <c r="I311">
        <v>322.36930000000001</v>
      </c>
      <c r="J311">
        <v>-395.78269999999998</v>
      </c>
      <c r="K311">
        <v>1.0883560000000001</v>
      </c>
      <c r="L311">
        <v>368.11849999999998</v>
      </c>
      <c r="M311">
        <v>0.99986589999999997</v>
      </c>
      <c r="N311">
        <v>-7.6091489999999999E-3</v>
      </c>
      <c r="O311">
        <v>1.449664E-2</v>
      </c>
      <c r="P311">
        <v>0.9987608</v>
      </c>
      <c r="Q311">
        <v>4.9160099999999998E-2</v>
      </c>
      <c r="R311">
        <v>-7.7581159999999998E-3</v>
      </c>
      <c r="S311">
        <v>2.9644780000000002</v>
      </c>
      <c r="T311">
        <v>0.64073610000000003</v>
      </c>
      <c r="U311">
        <v>-1.0430600000000001</v>
      </c>
      <c r="V311">
        <v>2.2233180000000002E-2</v>
      </c>
      <c r="W311">
        <v>5.675823E-2</v>
      </c>
      <c r="X311">
        <v>0.99814040000000004</v>
      </c>
      <c r="Y311">
        <v>0.33852660000000001</v>
      </c>
      <c r="Z311">
        <v>3.6924499999999999E-2</v>
      </c>
      <c r="AA311">
        <v>0.94023199999999996</v>
      </c>
      <c r="AB311">
        <v>36</v>
      </c>
      <c r="AC311">
        <v>129.61099999999999</v>
      </c>
      <c r="AD311">
        <v>28.096264000000001</v>
      </c>
      <c r="AE311">
        <v>-45.749199999999902</v>
      </c>
      <c r="AF311">
        <v>45.713248079092097</v>
      </c>
      <c r="AG311">
        <v>28.096264000000001</v>
      </c>
      <c r="AH311">
        <v>123.762738862775</v>
      </c>
      <c r="AI311">
        <v>77.978164882123707</v>
      </c>
      <c r="AJ311">
        <v>69.727687833914501</v>
      </c>
      <c r="AK311">
        <v>134.89372346967701</v>
      </c>
      <c r="AL311">
        <v>86.746244489823198</v>
      </c>
      <c r="AM311">
        <v>88.723970333163393</v>
      </c>
      <c r="AN311">
        <v>1.0000000345389</v>
      </c>
    </row>
    <row r="312" spans="1:40" x14ac:dyDescent="0.25">
      <c r="A312" t="str">
        <f>"20190305135801690"</f>
        <v>20190305135801690</v>
      </c>
      <c r="B312" t="str">
        <f>"1551765481679050"</f>
        <v>1551765481679050</v>
      </c>
      <c r="C312" t="s">
        <v>40</v>
      </c>
      <c r="D312">
        <v>4.0700209999999997</v>
      </c>
      <c r="E312">
        <v>0.63122559999999905</v>
      </c>
      <c r="F312" t="s">
        <v>47</v>
      </c>
      <c r="G312">
        <v>-266.05990000000003</v>
      </c>
      <c r="H312">
        <v>29.1465</v>
      </c>
      <c r="I312">
        <v>322.36930000000001</v>
      </c>
      <c r="J312">
        <v>-395.4624</v>
      </c>
      <c r="K312">
        <v>1.0907990000000001</v>
      </c>
      <c r="L312">
        <v>368.1232</v>
      </c>
      <c r="M312">
        <v>0.99986280000000005</v>
      </c>
      <c r="N312">
        <v>-7.9969469999999904E-3</v>
      </c>
      <c r="O312">
        <v>1.451412E-2</v>
      </c>
      <c r="P312">
        <v>0.99882389999999999</v>
      </c>
      <c r="Q312">
        <v>4.7775650000000003E-2</v>
      </c>
      <c r="R312">
        <v>-8.2701340000000002E-3</v>
      </c>
      <c r="S312">
        <v>2.9641109999999999</v>
      </c>
      <c r="T312">
        <v>0.64111700000000005</v>
      </c>
      <c r="U312">
        <v>-1.0453490000000001</v>
      </c>
      <c r="V312">
        <v>2.276442E-2</v>
      </c>
      <c r="W312">
        <v>5.5760839999999999E-2</v>
      </c>
      <c r="X312">
        <v>0.99818459999999998</v>
      </c>
      <c r="Y312">
        <v>0.33921620000000002</v>
      </c>
      <c r="Z312">
        <v>3.6956019999999999E-2</v>
      </c>
      <c r="AA312">
        <v>0.93998219999999999</v>
      </c>
      <c r="AB312">
        <v>36</v>
      </c>
      <c r="AC312">
        <v>129.40249999999901</v>
      </c>
      <c r="AD312">
        <v>28.055700999999999</v>
      </c>
      <c r="AE312">
        <v>-45.753899999999902</v>
      </c>
      <c r="AF312">
        <v>45.717114030307798</v>
      </c>
      <c r="AG312">
        <v>28.055700999999999</v>
      </c>
      <c r="AH312">
        <v>123.56200225578201</v>
      </c>
      <c r="AI312">
        <v>77.978478015369305</v>
      </c>
      <c r="AJ312">
        <v>69.695863514538203</v>
      </c>
      <c r="AK312">
        <v>134.70243232889101</v>
      </c>
      <c r="AL312">
        <v>86.803481247529504</v>
      </c>
      <c r="AM312">
        <v>88.693549134932496</v>
      </c>
      <c r="AN312">
        <v>0.99999999288630004</v>
      </c>
    </row>
    <row r="313" spans="1:40" x14ac:dyDescent="0.25">
      <c r="A313" t="str">
        <f>"20190305135801703"</f>
        <v>20190305135801703</v>
      </c>
      <c r="B313" t="str">
        <f>"1551765481699546"</f>
        <v>1551765481699546</v>
      </c>
      <c r="C313" t="s">
        <v>40</v>
      </c>
      <c r="D313">
        <v>4.0907749999999998</v>
      </c>
      <c r="E313">
        <v>0.63122939999999905</v>
      </c>
      <c r="F313" t="s">
        <v>47</v>
      </c>
      <c r="G313">
        <v>-266.10000000000002</v>
      </c>
      <c r="H313">
        <v>29.048729999999999</v>
      </c>
      <c r="I313">
        <v>322.36930000000001</v>
      </c>
      <c r="J313">
        <v>-395.25319999999999</v>
      </c>
      <c r="K313">
        <v>1.092306</v>
      </c>
      <c r="L313">
        <v>368.12619999999998</v>
      </c>
      <c r="M313">
        <v>0.99986039999999998</v>
      </c>
      <c r="N313">
        <v>-8.2742700000000002E-3</v>
      </c>
      <c r="O313">
        <v>1.452284E-2</v>
      </c>
      <c r="P313">
        <v>0.99888429999999995</v>
      </c>
      <c r="Q313">
        <v>4.6471180000000001E-2</v>
      </c>
      <c r="R313">
        <v>-8.4210420000000001E-3</v>
      </c>
      <c r="S313">
        <v>2.9642029999999999</v>
      </c>
      <c r="T313">
        <v>0.64062629999999998</v>
      </c>
      <c r="U313">
        <v>-1.0484009999999999</v>
      </c>
      <c r="V313">
        <v>2.2925600000000001E-2</v>
      </c>
      <c r="W313">
        <v>5.4733879999999999E-2</v>
      </c>
      <c r="X313">
        <v>0.99823770000000001</v>
      </c>
      <c r="Y313">
        <v>0.34008149999999998</v>
      </c>
      <c r="Z313">
        <v>3.6962839999999997E-2</v>
      </c>
      <c r="AA313">
        <v>0.93966930000000004</v>
      </c>
      <c r="AB313">
        <v>36</v>
      </c>
      <c r="AC313">
        <v>129.153199999999</v>
      </c>
      <c r="AD313">
        <v>27.956423999999998</v>
      </c>
      <c r="AE313">
        <v>-45.756899999999902</v>
      </c>
      <c r="AF313">
        <v>45.724330060609802</v>
      </c>
      <c r="AG313">
        <v>27.956423999999998</v>
      </c>
      <c r="AH313">
        <v>123.340439305613</v>
      </c>
      <c r="AI313">
        <v>78.001632754593899</v>
      </c>
      <c r="AJ313">
        <v>69.659428033997202</v>
      </c>
      <c r="AK313">
        <v>134.48100226597401</v>
      </c>
      <c r="AL313">
        <v>86.862411572958607</v>
      </c>
      <c r="AM313">
        <v>88.684372211379397</v>
      </c>
      <c r="AN313">
        <v>0.99999994322825003</v>
      </c>
    </row>
    <row r="314" spans="1:40" x14ac:dyDescent="0.25">
      <c r="A314" t="str">
        <f>"20190305135801716"</f>
        <v>20190305135801716</v>
      </c>
      <c r="B314" t="str">
        <f>"1551765481709307"</f>
        <v>1551765481709307</v>
      </c>
      <c r="C314" t="s">
        <v>40</v>
      </c>
      <c r="D314">
        <v>4.1018309999999998</v>
      </c>
      <c r="E314">
        <v>0.63133039999999996</v>
      </c>
      <c r="F314" t="s">
        <v>47</v>
      </c>
      <c r="G314">
        <v>-265.9787</v>
      </c>
      <c r="H314">
        <v>28.887650000000001</v>
      </c>
      <c r="I314">
        <v>322.40839999999997</v>
      </c>
      <c r="J314">
        <v>-395.04559999999998</v>
      </c>
      <c r="K314">
        <v>1.093729</v>
      </c>
      <c r="L314">
        <v>368.12920000000003</v>
      </c>
      <c r="M314">
        <v>0.99985780000000002</v>
      </c>
      <c r="N314">
        <v>-8.5622330000000007E-3</v>
      </c>
      <c r="O314">
        <v>1.4529739999999999E-2</v>
      </c>
      <c r="P314">
        <v>0.99894740000000004</v>
      </c>
      <c r="Q314">
        <v>4.5096360000000002E-2</v>
      </c>
      <c r="R314">
        <v>-8.4159909999999994E-3</v>
      </c>
      <c r="S314">
        <v>2.964874</v>
      </c>
      <c r="T314">
        <v>0.6374784</v>
      </c>
      <c r="U314">
        <v>-1.0485230000000001</v>
      </c>
      <c r="V314">
        <v>2.2928759999999999E-2</v>
      </c>
      <c r="W314">
        <v>5.364638E-2</v>
      </c>
      <c r="X314">
        <v>0.99829670000000004</v>
      </c>
      <c r="Y314">
        <v>0.3401363</v>
      </c>
      <c r="Z314">
        <v>3.6730470000000001E-2</v>
      </c>
      <c r="AA314">
        <v>0.93965849999999995</v>
      </c>
      <c r="AB314">
        <v>36</v>
      </c>
      <c r="AC314">
        <v>129.06689999999901</v>
      </c>
      <c r="AD314">
        <v>27.793921000000001</v>
      </c>
      <c r="AE314">
        <v>-45.720799999999997</v>
      </c>
      <c r="AF314">
        <v>45.708039282664402</v>
      </c>
      <c r="AG314">
        <v>27.793921000000001</v>
      </c>
      <c r="AH314">
        <v>123.308260823322</v>
      </c>
      <c r="AI314">
        <v>78.066214000249303</v>
      </c>
      <c r="AJ314">
        <v>69.661209858138406</v>
      </c>
      <c r="AK314">
        <v>134.41225422889201</v>
      </c>
      <c r="AL314">
        <v>86.924812547793195</v>
      </c>
      <c r="AM314">
        <v>88.684268670562503</v>
      </c>
      <c r="AN314">
        <v>0.99999998167656501</v>
      </c>
    </row>
    <row r="315" spans="1:40" x14ac:dyDescent="0.25">
      <c r="A315" t="str">
        <f>"20190305135801727"</f>
        <v>20190305135801727</v>
      </c>
      <c r="B315" t="str">
        <f>"1551765481719067"</f>
        <v>1551765481719067</v>
      </c>
      <c r="C315" t="s">
        <v>40</v>
      </c>
      <c r="D315">
        <v>4.1173440000000001</v>
      </c>
      <c r="E315">
        <v>0.63143970000000005</v>
      </c>
      <c r="F315" t="s">
        <v>47</v>
      </c>
      <c r="G315">
        <v>-265.97879999999998</v>
      </c>
      <c r="H315">
        <v>28.69819</v>
      </c>
      <c r="I315">
        <v>322.46570000000003</v>
      </c>
      <c r="J315">
        <v>-394.8603</v>
      </c>
      <c r="K315">
        <v>1.0949059999999999</v>
      </c>
      <c r="L315">
        <v>368.13189999999997</v>
      </c>
      <c r="M315">
        <v>0.99985559999999996</v>
      </c>
      <c r="N315">
        <v>-8.8247009999999904E-3</v>
      </c>
      <c r="O315">
        <v>1.4531580000000001E-2</v>
      </c>
      <c r="P315">
        <v>0.99901859999999998</v>
      </c>
      <c r="Q315">
        <v>4.3500410000000003E-2</v>
      </c>
      <c r="R315">
        <v>-8.3738900000000002E-3</v>
      </c>
      <c r="S315">
        <v>2.9656980000000002</v>
      </c>
      <c r="T315">
        <v>0.63429550000000001</v>
      </c>
      <c r="U315">
        <v>-1.0492549999999901</v>
      </c>
      <c r="V315">
        <v>2.2890130000000002E-2</v>
      </c>
      <c r="W315">
        <v>5.2313110000000003E-2</v>
      </c>
      <c r="X315">
        <v>0.99836840000000004</v>
      </c>
      <c r="Y315">
        <v>0.3403409</v>
      </c>
      <c r="Z315">
        <v>3.6510679999999997E-2</v>
      </c>
      <c r="AA315">
        <v>0.93959300000000001</v>
      </c>
      <c r="AB315">
        <v>36</v>
      </c>
      <c r="AC315">
        <v>128.88149999999999</v>
      </c>
      <c r="AD315">
        <v>27.603283999999999</v>
      </c>
      <c r="AE315">
        <v>-45.666199999999897</v>
      </c>
      <c r="AF315">
        <v>45.672921403062197</v>
      </c>
      <c r="AG315">
        <v>27.603283999999999</v>
      </c>
      <c r="AH315">
        <v>123.18395203627</v>
      </c>
      <c r="AI315">
        <v>78.134454437882894</v>
      </c>
      <c r="AJ315">
        <v>69.656727644285297</v>
      </c>
      <c r="AK315">
        <v>134.24694810813699</v>
      </c>
      <c r="AL315">
        <v>87.001310911434601</v>
      </c>
      <c r="AM315">
        <v>88.6865789158594</v>
      </c>
      <c r="AN315">
        <v>1.00000004082392</v>
      </c>
    </row>
    <row r="316" spans="1:40" x14ac:dyDescent="0.25">
      <c r="A316" t="str">
        <f>"20190305135801746"</f>
        <v>20190305135801746</v>
      </c>
      <c r="B316" t="str">
        <f>"1551765481739565"</f>
        <v>1551765481739565</v>
      </c>
      <c r="C316" t="s">
        <v>40</v>
      </c>
      <c r="D316">
        <v>4.0354029999999996</v>
      </c>
      <c r="E316">
        <v>0.63157929999999995</v>
      </c>
      <c r="F316" t="s">
        <v>47</v>
      </c>
      <c r="G316">
        <v>-265.97879999999998</v>
      </c>
      <c r="H316">
        <v>28.483609999999999</v>
      </c>
      <c r="I316">
        <v>322.51940000000002</v>
      </c>
      <c r="J316">
        <v>-394.54520000000002</v>
      </c>
      <c r="K316">
        <v>1.0967720000000001</v>
      </c>
      <c r="L316">
        <v>368.13639999999998</v>
      </c>
      <c r="M316">
        <v>0.9998515</v>
      </c>
      <c r="N316">
        <v>-9.2715639999999995E-3</v>
      </c>
      <c r="O316">
        <v>1.4524540000000001E-2</v>
      </c>
      <c r="P316">
        <v>0.9991951</v>
      </c>
      <c r="Q316">
        <v>3.9377719999999998E-2</v>
      </c>
      <c r="R316">
        <v>-7.6570429999999997E-3</v>
      </c>
      <c r="S316">
        <v>2.9666440000000001</v>
      </c>
      <c r="T316">
        <v>0.63044419999999901</v>
      </c>
      <c r="U316">
        <v>-1.0499270000000001</v>
      </c>
      <c r="V316">
        <v>2.217034E-2</v>
      </c>
      <c r="W316">
        <v>4.8638050000000002E-2</v>
      </c>
      <c r="X316">
        <v>0.99857039999999997</v>
      </c>
      <c r="Y316">
        <v>0.34052890000000002</v>
      </c>
      <c r="Z316">
        <v>3.6216669999999999E-2</v>
      </c>
      <c r="AA316">
        <v>0.93953629999999999</v>
      </c>
      <c r="AB316">
        <v>36</v>
      </c>
      <c r="AC316">
        <v>128.56639999999999</v>
      </c>
      <c r="AD316">
        <v>27.386838000000001</v>
      </c>
      <c r="AE316">
        <v>-45.616999999999898</v>
      </c>
      <c r="AF316">
        <v>45.640220491291203</v>
      </c>
      <c r="AG316">
        <v>27.386838000000001</v>
      </c>
      <c r="AH316">
        <v>122.93562848822</v>
      </c>
      <c r="AI316">
        <v>78.203575206715499</v>
      </c>
      <c r="AJ316">
        <v>69.632405402836497</v>
      </c>
      <c r="AK316">
        <v>133.96356733800999</v>
      </c>
      <c r="AL316">
        <v>87.212145126063604</v>
      </c>
      <c r="AM316">
        <v>88.728123469789395</v>
      </c>
      <c r="AN316">
        <v>1.0000000138198299</v>
      </c>
    </row>
    <row r="317" spans="1:40" x14ac:dyDescent="0.25">
      <c r="A317" t="str">
        <f>"20190305135801759"</f>
        <v>20190305135801759</v>
      </c>
      <c r="B317" t="str">
        <f>"1551765481749355"</f>
        <v>1551765481749355</v>
      </c>
      <c r="C317" t="s">
        <v>40</v>
      </c>
      <c r="D317">
        <v>4.0536009999999996</v>
      </c>
      <c r="E317">
        <v>0.6317064</v>
      </c>
      <c r="F317" t="s">
        <v>47</v>
      </c>
      <c r="G317">
        <v>-265.97899999999998</v>
      </c>
      <c r="H317">
        <v>27.87772</v>
      </c>
      <c r="I317">
        <v>322.73630000000003</v>
      </c>
      <c r="J317">
        <v>-394.34230000000002</v>
      </c>
      <c r="K317">
        <v>1.0978920000000001</v>
      </c>
      <c r="L317">
        <v>368.13940000000002</v>
      </c>
      <c r="M317">
        <v>0.99984910000000005</v>
      </c>
      <c r="N317">
        <v>-9.5570700000000008E-3</v>
      </c>
      <c r="O317">
        <v>1.451159E-2</v>
      </c>
      <c r="P317">
        <v>0.99927259999999996</v>
      </c>
      <c r="Q317">
        <v>3.745656E-2</v>
      </c>
      <c r="R317">
        <v>-7.1883700000000003E-3</v>
      </c>
      <c r="S317">
        <v>2.9700319999999998</v>
      </c>
      <c r="T317">
        <v>0.618672</v>
      </c>
      <c r="U317">
        <v>-1.0487979999999999</v>
      </c>
      <c r="V317">
        <v>2.1690439999999998E-2</v>
      </c>
      <c r="W317">
        <v>4.7002460000000003E-2</v>
      </c>
      <c r="X317">
        <v>0.99865930000000003</v>
      </c>
      <c r="Y317">
        <v>0.34014450000000002</v>
      </c>
      <c r="Z317">
        <v>3.5404129999999999E-2</v>
      </c>
      <c r="AA317">
        <v>0.9397065</v>
      </c>
      <c r="AB317">
        <v>36</v>
      </c>
      <c r="AC317">
        <v>128.36329999999899</v>
      </c>
      <c r="AD317">
        <v>26.779827999999998</v>
      </c>
      <c r="AE317">
        <v>-45.403100000000002</v>
      </c>
      <c r="AF317">
        <v>45.500968262330801</v>
      </c>
      <c r="AG317">
        <v>26.779827999999998</v>
      </c>
      <c r="AH317">
        <v>122.935171829377</v>
      </c>
      <c r="AI317">
        <v>78.453758360634595</v>
      </c>
      <c r="AJ317">
        <v>69.689395953715604</v>
      </c>
      <c r="AK317">
        <v>133.792951134346</v>
      </c>
      <c r="AL317">
        <v>87.305964975941194</v>
      </c>
      <c r="AM317">
        <v>88.755756540957407</v>
      </c>
      <c r="AN317">
        <v>1.0000000519549599</v>
      </c>
    </row>
    <row r="318" spans="1:40" x14ac:dyDescent="0.25">
      <c r="A318" t="str">
        <f>"20190305135801772"</f>
        <v>20190305135801772</v>
      </c>
      <c r="B318" t="str">
        <f>"1551765481768875"</f>
        <v>1551765481768875</v>
      </c>
      <c r="C318" t="s">
        <v>40</v>
      </c>
      <c r="D318">
        <v>4.1331930000000003</v>
      </c>
      <c r="E318">
        <v>0.63222599999999995</v>
      </c>
      <c r="F318" t="s">
        <v>47</v>
      </c>
      <c r="G318">
        <v>-265.97910000000002</v>
      </c>
      <c r="H318">
        <v>27.638729999999999</v>
      </c>
      <c r="I318">
        <v>322.86669999999998</v>
      </c>
      <c r="J318">
        <v>-394.12860000000001</v>
      </c>
      <c r="K318">
        <v>1.0989530000000001</v>
      </c>
      <c r="L318">
        <v>368.14249999999998</v>
      </c>
      <c r="M318">
        <v>0.99984669999999998</v>
      </c>
      <c r="N318">
        <v>-9.8493039999999997E-3</v>
      </c>
      <c r="O318">
        <v>1.448354E-2</v>
      </c>
      <c r="P318">
        <v>0.9993727</v>
      </c>
      <c r="Q318">
        <v>3.4774529999999998E-2</v>
      </c>
      <c r="R318">
        <v>-6.7197419999999999E-3</v>
      </c>
      <c r="S318">
        <v>2.971619</v>
      </c>
      <c r="T318">
        <v>0.61442269999999999</v>
      </c>
      <c r="U318">
        <v>-1.048065</v>
      </c>
      <c r="V318">
        <v>2.1196650000000001E-2</v>
      </c>
      <c r="W318">
        <v>4.4612680000000002E-2</v>
      </c>
      <c r="X318">
        <v>0.99877950000000004</v>
      </c>
      <c r="Y318">
        <v>0.33986509999999998</v>
      </c>
      <c r="Z318">
        <v>3.5059060000000003E-2</v>
      </c>
      <c r="AA318">
        <v>0.93982049999999995</v>
      </c>
      <c r="AB318">
        <v>36</v>
      </c>
      <c r="AC318">
        <v>128.14949999999999</v>
      </c>
      <c r="AD318">
        <v>26.539777000000001</v>
      </c>
      <c r="AE318">
        <v>-45.275799999999997</v>
      </c>
      <c r="AF318">
        <v>45.396204423809799</v>
      </c>
      <c r="AG318">
        <v>26.539777000000001</v>
      </c>
      <c r="AH318">
        <v>122.797887630761</v>
      </c>
      <c r="AI318">
        <v>78.540461845575905</v>
      </c>
      <c r="AJ318">
        <v>69.711539368829406</v>
      </c>
      <c r="AK318">
        <v>133.58329366307399</v>
      </c>
      <c r="AL318">
        <v>87.443033160452302</v>
      </c>
      <c r="AM318">
        <v>88.784219838629596</v>
      </c>
      <c r="AN318">
        <v>1.00000003940412</v>
      </c>
    </row>
    <row r="319" spans="1:40" x14ac:dyDescent="0.25">
      <c r="A319" t="str">
        <f>"20190305135801790"</f>
        <v>20190305135801790</v>
      </c>
      <c r="B319" t="str">
        <f>"1551765481779611"</f>
        <v>1551765481779611</v>
      </c>
      <c r="C319" t="s">
        <v>40</v>
      </c>
      <c r="D319">
        <v>3.7980990000000001</v>
      </c>
      <c r="E319">
        <v>0.63222599999999995</v>
      </c>
      <c r="F319" t="s">
        <v>47</v>
      </c>
      <c r="G319">
        <v>-265.97919999999999</v>
      </c>
      <c r="H319">
        <v>27.437639999999998</v>
      </c>
      <c r="I319">
        <v>322.87450000000001</v>
      </c>
      <c r="J319">
        <v>-393.83519999999999</v>
      </c>
      <c r="K319">
        <v>1.1002799999999999</v>
      </c>
      <c r="L319">
        <v>368.14670000000001</v>
      </c>
      <c r="M319">
        <v>0.99984360000000005</v>
      </c>
      <c r="N319">
        <v>-1.0237410000000001E-2</v>
      </c>
      <c r="O319">
        <v>1.442946E-2</v>
      </c>
      <c r="P319">
        <v>0.99949410000000005</v>
      </c>
      <c r="Q319">
        <v>3.1096260000000001E-2</v>
      </c>
      <c r="R319">
        <v>-6.6861569999999999E-3</v>
      </c>
      <c r="S319">
        <v>2.973541</v>
      </c>
      <c r="T319">
        <v>0.61115540000000002</v>
      </c>
      <c r="U319">
        <v>-1.0503849999999999</v>
      </c>
      <c r="V319">
        <v>2.111265E-2</v>
      </c>
      <c r="W319">
        <v>4.1322690000000002E-2</v>
      </c>
      <c r="X319">
        <v>0.9989228</v>
      </c>
      <c r="Y319">
        <v>0.34035860000000001</v>
      </c>
      <c r="Z319">
        <v>3.4813410000000003E-2</v>
      </c>
      <c r="AA319">
        <v>0.93965109999999996</v>
      </c>
      <c r="AB319">
        <v>36</v>
      </c>
      <c r="AC319">
        <v>127.85599999999999</v>
      </c>
      <c r="AD319">
        <v>26.337359999999901</v>
      </c>
      <c r="AE319">
        <v>-45.272199999999998</v>
      </c>
      <c r="AF319">
        <v>45.400625699649602</v>
      </c>
      <c r="AG319">
        <v>26.337359999999901</v>
      </c>
      <c r="AH319">
        <v>122.56792393961</v>
      </c>
      <c r="AI319">
        <v>78.607428374333395</v>
      </c>
      <c r="AJ319">
        <v>69.674767419984207</v>
      </c>
      <c r="AK319">
        <v>133.33330163374501</v>
      </c>
      <c r="AL319">
        <v>87.631710018897493</v>
      </c>
      <c r="AM319">
        <v>88.789210071079594</v>
      </c>
      <c r="AN319">
        <v>1.0000000345293401</v>
      </c>
    </row>
    <row r="320" spans="1:40" x14ac:dyDescent="0.25">
      <c r="A320" t="str">
        <f>"20190305135801882"</f>
        <v>20190305135801882</v>
      </c>
      <c r="B320" t="str">
        <f>"1551765481878695"</f>
        <v>1551765481878695</v>
      </c>
      <c r="C320" t="s">
        <v>40</v>
      </c>
      <c r="D320">
        <v>4.0022229999999999</v>
      </c>
      <c r="E320">
        <v>0.63222599999999995</v>
      </c>
      <c r="F320" t="s">
        <v>47</v>
      </c>
      <c r="G320">
        <v>-265.97930000000002</v>
      </c>
      <c r="H320">
        <v>26.91732</v>
      </c>
      <c r="I320">
        <v>323.03980000000001</v>
      </c>
      <c r="J320">
        <v>-392.3673</v>
      </c>
      <c r="K320">
        <v>1.1050420000000001</v>
      </c>
      <c r="L320">
        <v>368.16699999999997</v>
      </c>
      <c r="M320">
        <v>0.99983449999999996</v>
      </c>
      <c r="N320">
        <v>-1.1866E-2</v>
      </c>
      <c r="O320">
        <v>1.3797149999999999E-2</v>
      </c>
      <c r="P320">
        <v>0.99957499999999999</v>
      </c>
      <c r="Q320">
        <v>2.860992E-2</v>
      </c>
      <c r="R320">
        <v>-5.6121640000000002E-3</v>
      </c>
      <c r="S320">
        <v>2.9757690000000001</v>
      </c>
      <c r="T320">
        <v>0.60087669999999904</v>
      </c>
      <c r="U320">
        <v>-1.0498350000000001</v>
      </c>
      <c r="V320">
        <v>1.9420819999999998E-2</v>
      </c>
      <c r="W320">
        <v>4.0458910000000001E-2</v>
      </c>
      <c r="X320">
        <v>0.9989924</v>
      </c>
      <c r="Y320">
        <v>0.33968589999999999</v>
      </c>
      <c r="Z320">
        <v>3.3731780000000003E-2</v>
      </c>
      <c r="AA320">
        <v>0.93993380000000004</v>
      </c>
      <c r="AB320">
        <v>36</v>
      </c>
      <c r="AC320">
        <v>126.387999999999</v>
      </c>
      <c r="AD320">
        <v>25.812277999999999</v>
      </c>
      <c r="AE320">
        <v>-45.127199999999903</v>
      </c>
      <c r="AF320">
        <v>45.194887851199802</v>
      </c>
      <c r="AG320">
        <v>25.812277999999999</v>
      </c>
      <c r="AH320">
        <v>121.267158427471</v>
      </c>
      <c r="AI320">
        <v>78.720196595956395</v>
      </c>
      <c r="AJ320">
        <v>69.560148824380306</v>
      </c>
      <c r="AK320">
        <v>131.964295536729</v>
      </c>
      <c r="AL320">
        <v>87.681242206878693</v>
      </c>
      <c r="AM320">
        <v>88.886286948215897</v>
      </c>
      <c r="AN320">
        <v>0.99999995345280901</v>
      </c>
    </row>
    <row r="321" spans="1:40" x14ac:dyDescent="0.25">
      <c r="A321" t="str">
        <f>"20190305135801904"</f>
        <v>20190305135801904</v>
      </c>
      <c r="B321" t="str">
        <f>"1551765481899190"</f>
        <v>1551765481899190</v>
      </c>
      <c r="C321" t="s">
        <v>40</v>
      </c>
      <c r="D321">
        <v>4.0841560000000001</v>
      </c>
      <c r="E321">
        <v>0.5096792</v>
      </c>
      <c r="F321" t="s">
        <v>47</v>
      </c>
      <c r="G321">
        <v>-265.9796</v>
      </c>
      <c r="H321">
        <v>26.32208</v>
      </c>
      <c r="I321">
        <v>323.77269999999999</v>
      </c>
      <c r="J321">
        <v>-392.01990000000001</v>
      </c>
      <c r="K321">
        <v>1.1057859999999999</v>
      </c>
      <c r="L321">
        <v>368.17149999999998</v>
      </c>
      <c r="M321">
        <v>0.99983409999999995</v>
      </c>
      <c r="N321">
        <v>-1.2170479999999999E-2</v>
      </c>
      <c r="O321">
        <v>1.3557499999999899E-2</v>
      </c>
      <c r="P321">
        <v>0.99956769999999995</v>
      </c>
      <c r="Q321">
        <v>2.9132439999999999E-2</v>
      </c>
      <c r="R321">
        <v>-3.9719380000000004E-3</v>
      </c>
      <c r="S321">
        <v>2.9783940000000002</v>
      </c>
      <c r="T321">
        <v>0.59425289999999997</v>
      </c>
      <c r="U321">
        <v>-1.046173</v>
      </c>
      <c r="V321">
        <v>1.75446E-2</v>
      </c>
      <c r="W321">
        <v>4.1285049999999997E-2</v>
      </c>
      <c r="X321">
        <v>0.99899329999999997</v>
      </c>
      <c r="Y321">
        <v>0.33834930000000002</v>
      </c>
      <c r="Z321">
        <v>3.3106259999999998E-2</v>
      </c>
      <c r="AA321">
        <v>0.940438</v>
      </c>
      <c r="AB321">
        <v>36</v>
      </c>
      <c r="AC321">
        <v>126.0403</v>
      </c>
      <c r="AD321">
        <v>25.216294000000001</v>
      </c>
      <c r="AE321">
        <v>-44.398800000000001</v>
      </c>
      <c r="AF321">
        <v>44.518437079128702</v>
      </c>
      <c r="AG321">
        <v>25.216294000000001</v>
      </c>
      <c r="AH321">
        <v>121.114136096452</v>
      </c>
      <c r="AI321">
        <v>78.942652786420297</v>
      </c>
      <c r="AJ321">
        <v>69.817872272716997</v>
      </c>
      <c r="AK321">
        <v>131.477704138202</v>
      </c>
      <c r="AL321">
        <v>87.633868252242294</v>
      </c>
      <c r="AM321">
        <v>88.993858914488399</v>
      </c>
      <c r="AN321">
        <v>0.99999994089377398</v>
      </c>
    </row>
    <row r="322" spans="1:40" x14ac:dyDescent="0.25">
      <c r="A322" t="str">
        <f>"20190305135801926"</f>
        <v>20190305135801926</v>
      </c>
      <c r="B322" t="str">
        <f>"1551765481918711"</f>
        <v>1551765481918711</v>
      </c>
      <c r="C322" t="s">
        <v>40</v>
      </c>
      <c r="D322">
        <v>4.0709939999999998</v>
      </c>
      <c r="E322">
        <v>0.50716870000000003</v>
      </c>
      <c r="F322" t="s">
        <v>44</v>
      </c>
      <c r="G322">
        <v>-158.19499999999999</v>
      </c>
      <c r="H322">
        <v>1.2066749999999999</v>
      </c>
      <c r="I322">
        <v>360.88080000000002</v>
      </c>
      <c r="J322">
        <v>-391.6481</v>
      </c>
      <c r="K322">
        <v>1.1064670000000001</v>
      </c>
      <c r="L322">
        <v>368.17630000000003</v>
      </c>
      <c r="M322">
        <v>0.99983420000000001</v>
      </c>
      <c r="N322">
        <v>-1.246477E-2</v>
      </c>
      <c r="O322">
        <v>1.3275210000000001E-2</v>
      </c>
      <c r="P322">
        <v>0.99954779999999999</v>
      </c>
      <c r="Q322">
        <v>2.9943589999999999E-2</v>
      </c>
      <c r="R322">
        <v>-2.812887E-3</v>
      </c>
      <c r="S322">
        <v>3.0008539999999999</v>
      </c>
      <c r="T322">
        <v>1.2959239999999999E-3</v>
      </c>
      <c r="U322">
        <v>-9.356689E-2</v>
      </c>
      <c r="V322">
        <v>1.6106499999999999E-2</v>
      </c>
      <c r="W322">
        <v>4.2389870000000003E-2</v>
      </c>
      <c r="X322">
        <v>0.99897130000000001</v>
      </c>
      <c r="Y322">
        <v>4.443101E-2</v>
      </c>
      <c r="Z322" s="1">
        <v>-9.623205E-5</v>
      </c>
      <c r="AA322">
        <v>0.99901249999999997</v>
      </c>
      <c r="AB322">
        <v>36</v>
      </c>
      <c r="AC322">
        <v>233.45310000000001</v>
      </c>
      <c r="AD322">
        <v>0.10020799999999901</v>
      </c>
      <c r="AE322">
        <v>-7.2954999999999997</v>
      </c>
      <c r="AF322">
        <v>10.3942347790169</v>
      </c>
      <c r="AG322">
        <v>0.10020799999999901</v>
      </c>
      <c r="AH322">
        <v>233.335625269562</v>
      </c>
      <c r="AI322">
        <v>89.975418211644296</v>
      </c>
      <c r="AJ322">
        <v>87.449372234598002</v>
      </c>
      <c r="AK322">
        <v>233.56704428968999</v>
      </c>
      <c r="AL322">
        <v>87.570511366375996</v>
      </c>
      <c r="AM322">
        <v>89.0762952645468</v>
      </c>
      <c r="AN322">
        <v>0.99999998932227796</v>
      </c>
    </row>
    <row r="323" spans="1:40" x14ac:dyDescent="0.25">
      <c r="A323" t="str">
        <f>"20190305135801950"</f>
        <v>20190305135801950</v>
      </c>
      <c r="B323" t="str">
        <f>"1551765481939206"</f>
        <v>1551765481939206</v>
      </c>
      <c r="C323" t="s">
        <v>40</v>
      </c>
      <c r="D323">
        <v>4.1011030000000002</v>
      </c>
      <c r="E323">
        <v>0.50709680000000001</v>
      </c>
      <c r="F323" t="s">
        <v>42</v>
      </c>
      <c r="G323">
        <v>-339.49259999999998</v>
      </c>
      <c r="H323" s="1">
        <v>-8.8151129999999996E-7</v>
      </c>
      <c r="I323">
        <v>366.9</v>
      </c>
      <c r="J323">
        <v>-391.26600000000002</v>
      </c>
      <c r="K323">
        <v>1.107046</v>
      </c>
      <c r="L323">
        <v>368.18110000000001</v>
      </c>
      <c r="M323">
        <v>0.99983500000000003</v>
      </c>
      <c r="N323">
        <v>-1.273616E-2</v>
      </c>
      <c r="O323">
        <v>1.29646E-2</v>
      </c>
      <c r="P323">
        <v>0.9995425</v>
      </c>
      <c r="Q323">
        <v>3.02061E-2</v>
      </c>
      <c r="R323">
        <v>-1.6740069999999999E-3</v>
      </c>
      <c r="S323">
        <v>3.003082</v>
      </c>
      <c r="T323">
        <v>-6.3709740000000001E-2</v>
      </c>
      <c r="U323">
        <v>-7.3486330000000002E-2</v>
      </c>
      <c r="V323">
        <v>1.465966E-2</v>
      </c>
      <c r="W323">
        <v>4.2923919999999997E-2</v>
      </c>
      <c r="X323">
        <v>0.99897080000000005</v>
      </c>
      <c r="Y323">
        <v>3.7408759999999999E-2</v>
      </c>
      <c r="Z323">
        <v>-7.4489899999999895E-4</v>
      </c>
      <c r="AA323">
        <v>0.99929979999999996</v>
      </c>
      <c r="AB323">
        <v>36</v>
      </c>
      <c r="AC323">
        <v>51.773399999999903</v>
      </c>
      <c r="AD323">
        <v>-1.1070468815112999</v>
      </c>
      <c r="AE323">
        <v>-1.2811000000000301</v>
      </c>
      <c r="AF323">
        <v>1.9513764258539801</v>
      </c>
      <c r="AG323">
        <v>-1.1070468815112999</v>
      </c>
      <c r="AH323">
        <v>51.728801147751803</v>
      </c>
      <c r="AI323">
        <v>91.225127383028394</v>
      </c>
      <c r="AJ323">
        <v>87.839643650175901</v>
      </c>
      <c r="AK323">
        <v>51.777430323809</v>
      </c>
      <c r="AL323">
        <v>87.539884738112704</v>
      </c>
      <c r="AM323">
        <v>89.159258346886503</v>
      </c>
      <c r="AN323">
        <v>1.0000000138960601</v>
      </c>
    </row>
    <row r="324" spans="1:40" x14ac:dyDescent="0.25">
      <c r="A324" t="str">
        <f>"20190305135801972"</f>
        <v>20190305135801972</v>
      </c>
      <c r="B324" t="str">
        <f>"1551765481968995"</f>
        <v>1551765481968995</v>
      </c>
      <c r="C324" t="s">
        <v>40</v>
      </c>
      <c r="D324">
        <v>4.1210000000000004</v>
      </c>
      <c r="E324">
        <v>0.50560099999999997</v>
      </c>
      <c r="F324" t="s">
        <v>42</v>
      </c>
      <c r="G324">
        <v>-354.50170000000003</v>
      </c>
      <c r="H324" s="1">
        <v>-2.7487789999999999E-6</v>
      </c>
      <c r="I324">
        <v>367.31790000000001</v>
      </c>
      <c r="J324">
        <v>-390.9</v>
      </c>
      <c r="K324">
        <v>1.1075120000000001</v>
      </c>
      <c r="L324">
        <v>368.18549999999999</v>
      </c>
      <c r="M324">
        <v>0.9998359</v>
      </c>
      <c r="N324">
        <v>-1.29688999999999E-2</v>
      </c>
      <c r="O324">
        <v>1.265371E-2</v>
      </c>
      <c r="P324">
        <v>0.99956460000000003</v>
      </c>
      <c r="Q324">
        <v>2.94986E-2</v>
      </c>
      <c r="R324">
        <v>-9.0968609999999997E-4</v>
      </c>
      <c r="S324">
        <v>3.0039980000000002</v>
      </c>
      <c r="T324">
        <v>-9.0456369999999994E-2</v>
      </c>
      <c r="U324">
        <v>-7.0526119999999998E-2</v>
      </c>
      <c r="V324">
        <v>1.35864E-2</v>
      </c>
      <c r="W324">
        <v>4.244941E-2</v>
      </c>
      <c r="X324">
        <v>0.99900619999999996</v>
      </c>
      <c r="Y324">
        <v>3.609511E-2</v>
      </c>
      <c r="Z324">
        <v>-9.9425589999999997E-4</v>
      </c>
      <c r="AA324">
        <v>0.99934789999999996</v>
      </c>
      <c r="AB324">
        <v>36</v>
      </c>
      <c r="AC324">
        <v>36.3982999999999</v>
      </c>
      <c r="AD324">
        <v>-1.107514748779</v>
      </c>
      <c r="AE324">
        <v>-0.86759999999998105</v>
      </c>
      <c r="AF324">
        <v>1.3269149499966499</v>
      </c>
      <c r="AG324">
        <v>-1.107514748779</v>
      </c>
      <c r="AH324">
        <v>36.350770174504298</v>
      </c>
      <c r="AI324">
        <v>91.743954845856507</v>
      </c>
      <c r="AJ324">
        <v>87.909455971238998</v>
      </c>
      <c r="AK324">
        <v>36.391836783582598</v>
      </c>
      <c r="AL324">
        <v>87.567096843377399</v>
      </c>
      <c r="AM324">
        <v>89.220830270053895</v>
      </c>
      <c r="AN324">
        <v>0.99999996515637302</v>
      </c>
    </row>
    <row r="325" spans="1:40" x14ac:dyDescent="0.25">
      <c r="A325" t="str">
        <f>"20190305135801994"</f>
        <v>20190305135801994</v>
      </c>
      <c r="B325" t="str">
        <f>"1551765481978755"</f>
        <v>1551765481978755</v>
      </c>
      <c r="C325" t="s">
        <v>40</v>
      </c>
      <c r="D325">
        <v>4.1566669999999997</v>
      </c>
      <c r="E325">
        <v>0.50517730000000005</v>
      </c>
      <c r="F325" t="s">
        <v>42</v>
      </c>
      <c r="G325">
        <v>-361.92570000000001</v>
      </c>
      <c r="H325" s="1">
        <v>-3.7983199999999998E-6</v>
      </c>
      <c r="I325">
        <v>367.63099999999997</v>
      </c>
      <c r="J325">
        <v>-390.57279999999997</v>
      </c>
      <c r="K325">
        <v>1.1078589999999999</v>
      </c>
      <c r="L325">
        <v>368.18939999999998</v>
      </c>
      <c r="M325">
        <v>0.99983690000000003</v>
      </c>
      <c r="N325">
        <v>-1.3155389999999999E-2</v>
      </c>
      <c r="O325">
        <v>1.23696E-2</v>
      </c>
      <c r="P325">
        <v>0.99959849999999995</v>
      </c>
      <c r="Q325">
        <v>2.8333179999999999E-2</v>
      </c>
      <c r="R325">
        <v>-4.1954950000000003E-4</v>
      </c>
      <c r="S325">
        <v>3.0046080000000002</v>
      </c>
      <c r="T325">
        <v>-0.11484800000000001</v>
      </c>
      <c r="U325">
        <v>-5.7495119999999997E-2</v>
      </c>
      <c r="V325">
        <v>1.281326E-2</v>
      </c>
      <c r="W325">
        <v>4.1471330000000001E-2</v>
      </c>
      <c r="X325">
        <v>0.99905750000000004</v>
      </c>
      <c r="Y325">
        <v>3.1464319999999997E-2</v>
      </c>
      <c r="Z325">
        <v>-1.1180889999999901E-3</v>
      </c>
      <c r="AA325">
        <v>0.99950430000000001</v>
      </c>
      <c r="AB325">
        <v>36</v>
      </c>
      <c r="AC325">
        <v>28.647099999999899</v>
      </c>
      <c r="AD325">
        <v>-1.10786279832</v>
      </c>
      <c r="AE325">
        <v>-0.558400000000006</v>
      </c>
      <c r="AF325">
        <v>0.91137859959538403</v>
      </c>
      <c r="AG325">
        <v>-1.10786279832</v>
      </c>
      <c r="AH325">
        <v>28.595249813070801</v>
      </c>
      <c r="AI325">
        <v>92.217569895398995</v>
      </c>
      <c r="AJ325">
        <v>88.174505301646803</v>
      </c>
      <c r="AK325">
        <v>28.631211689406801</v>
      </c>
      <c r="AL325">
        <v>87.623186113283495</v>
      </c>
      <c r="AM325">
        <v>89.2652019821914</v>
      </c>
      <c r="AN325">
        <v>0.99999996957502202</v>
      </c>
    </row>
    <row r="326" spans="1:40" x14ac:dyDescent="0.25">
      <c r="A326" t="str">
        <f>"20190305135802009"</f>
        <v>20190305135802009</v>
      </c>
      <c r="B326" t="str">
        <f>"1551765481999251"</f>
        <v>1551765481999251</v>
      </c>
      <c r="C326" t="s">
        <v>40</v>
      </c>
      <c r="D326">
        <v>4.1376860000000004</v>
      </c>
      <c r="E326">
        <v>0.50474719999999995</v>
      </c>
      <c r="F326" t="s">
        <v>42</v>
      </c>
      <c r="G326">
        <v>-363.4221</v>
      </c>
      <c r="H326" s="1">
        <v>-3.1420510000000001E-6</v>
      </c>
      <c r="I326">
        <v>367.71170000000001</v>
      </c>
      <c r="J326">
        <v>-390.31240000000003</v>
      </c>
      <c r="K326">
        <v>1.108096</v>
      </c>
      <c r="L326">
        <v>368.19240000000002</v>
      </c>
      <c r="M326">
        <v>0.999838</v>
      </c>
      <c r="N326">
        <v>-1.3289799999999999E-2</v>
      </c>
      <c r="O326">
        <v>1.2140679999999999E-2</v>
      </c>
      <c r="P326">
        <v>0.99960890000000002</v>
      </c>
      <c r="Q326">
        <v>2.796908E-2</v>
      </c>
      <c r="R326">
        <v>-3.1606469999999998E-4</v>
      </c>
      <c r="S326">
        <v>3.0046390000000001</v>
      </c>
      <c r="T326">
        <v>-0.12260160000000001</v>
      </c>
      <c r="U326">
        <v>-5.2856449999999999E-2</v>
      </c>
      <c r="V326">
        <v>1.2481610000000001E-2</v>
      </c>
      <c r="W326">
        <v>4.1241689999999998E-2</v>
      </c>
      <c r="X326">
        <v>0.99907120000000005</v>
      </c>
      <c r="Y326">
        <v>2.9690129999999999E-2</v>
      </c>
      <c r="Z326">
        <v>-1.1367160000000001E-3</v>
      </c>
      <c r="AA326">
        <v>0.99955850000000002</v>
      </c>
      <c r="AB326">
        <v>36</v>
      </c>
      <c r="AC326">
        <v>26.8903</v>
      </c>
      <c r="AD326">
        <v>-1.108099142051</v>
      </c>
      <c r="AE326">
        <v>-0.48070000000001201</v>
      </c>
      <c r="AF326">
        <v>0.80579203357831797</v>
      </c>
      <c r="AG326">
        <v>-1.108099142051</v>
      </c>
      <c r="AH326">
        <v>26.836923770914701</v>
      </c>
      <c r="AI326">
        <v>92.3633412778441</v>
      </c>
      <c r="AJ326">
        <v>88.280182315857004</v>
      </c>
      <c r="AK326">
        <v>26.871874925205301</v>
      </c>
      <c r="AL326">
        <v>87.636354772407202</v>
      </c>
      <c r="AM326">
        <v>89.284228820345007</v>
      </c>
      <c r="AN326">
        <v>0.99999996512584299</v>
      </c>
    </row>
    <row r="327" spans="1:40" x14ac:dyDescent="0.25">
      <c r="A327" t="str">
        <f>"20190305135802027"</f>
        <v>20190305135802027</v>
      </c>
      <c r="B327" t="str">
        <f>"1551765482018770"</f>
        <v>1551765482018770</v>
      </c>
      <c r="C327" t="s">
        <v>40</v>
      </c>
      <c r="D327">
        <v>4.1585510000000001</v>
      </c>
      <c r="E327">
        <v>0.50458689999999995</v>
      </c>
      <c r="F327" t="s">
        <v>42</v>
      </c>
      <c r="G327">
        <v>-364.51010000000002</v>
      </c>
      <c r="H327" s="1">
        <v>-2.6655830000000001E-6</v>
      </c>
      <c r="I327">
        <v>367.76650000000001</v>
      </c>
      <c r="J327">
        <v>-390.03640000000001</v>
      </c>
      <c r="K327">
        <v>1.1083190000000001</v>
      </c>
      <c r="L327">
        <v>368.19560000000001</v>
      </c>
      <c r="M327">
        <v>0.99983929999999999</v>
      </c>
      <c r="N327">
        <v>-1.342079E-2</v>
      </c>
      <c r="O327">
        <v>1.1897370000000001E-2</v>
      </c>
      <c r="P327">
        <v>0.99963369999999996</v>
      </c>
      <c r="Q327">
        <v>2.707217E-2</v>
      </c>
      <c r="R327">
        <v>-1.136056E-4</v>
      </c>
      <c r="S327">
        <v>3.0047609999999998</v>
      </c>
      <c r="T327">
        <v>-0.1290414</v>
      </c>
      <c r="U327">
        <v>-4.9591059999999999E-2</v>
      </c>
      <c r="V327">
        <v>1.203626E-2</v>
      </c>
      <c r="W327">
        <v>4.0476060000000001E-2</v>
      </c>
      <c r="X327">
        <v>0.999108</v>
      </c>
      <c r="Y327">
        <v>2.8358080000000001E-2</v>
      </c>
      <c r="Z327">
        <v>-1.1500939999999999E-3</v>
      </c>
      <c r="AA327">
        <v>0.99959719999999996</v>
      </c>
      <c r="AB327">
        <v>36</v>
      </c>
      <c r="AC327">
        <v>25.5262999999999</v>
      </c>
      <c r="AD327">
        <v>-1.1083216655829999</v>
      </c>
      <c r="AE327">
        <v>-0.42910000000000498</v>
      </c>
      <c r="AF327">
        <v>0.73141430241967398</v>
      </c>
      <c r="AG327">
        <v>-1.1083216655829999</v>
      </c>
      <c r="AH327">
        <v>25.4713824830819</v>
      </c>
      <c r="AI327">
        <v>92.490481518897496</v>
      </c>
      <c r="AJ327">
        <v>88.355195676083497</v>
      </c>
      <c r="AK327">
        <v>25.505973210125401</v>
      </c>
      <c r="AL327">
        <v>87.680258861906594</v>
      </c>
      <c r="AM327">
        <v>89.309790793292194</v>
      </c>
      <c r="AN327">
        <v>0.99999998932595502</v>
      </c>
    </row>
    <row r="328" spans="1:40" x14ac:dyDescent="0.25">
      <c r="A328" t="str">
        <f>"20190305135802042"</f>
        <v>20190305135802042</v>
      </c>
      <c r="B328" t="str">
        <f>"1551765482029507"</f>
        <v>1551765482029507</v>
      </c>
      <c r="C328" t="s">
        <v>40</v>
      </c>
      <c r="D328">
        <v>4.1725510000000003</v>
      </c>
      <c r="E328">
        <v>0.50458619999999998</v>
      </c>
      <c r="F328" t="s">
        <v>42</v>
      </c>
      <c r="G328">
        <v>-365.05259999999998</v>
      </c>
      <c r="H328" s="1">
        <v>-2.4273060000000002E-6</v>
      </c>
      <c r="I328">
        <v>367.79790000000003</v>
      </c>
      <c r="J328">
        <v>-389.80500000000001</v>
      </c>
      <c r="K328">
        <v>1.1084830000000001</v>
      </c>
      <c r="L328">
        <v>368.19819999999999</v>
      </c>
      <c r="M328">
        <v>0.99984010000000001</v>
      </c>
      <c r="N328">
        <v>-1.352251E-2</v>
      </c>
      <c r="O328">
        <v>1.169363E-2</v>
      </c>
      <c r="P328">
        <v>0.9996543</v>
      </c>
      <c r="Q328">
        <v>2.6284849999999998E-2</v>
      </c>
      <c r="R328">
        <v>-6.5466479999999995E-4</v>
      </c>
      <c r="S328">
        <v>3.0047299999999999</v>
      </c>
      <c r="T328">
        <v>-0.1332942</v>
      </c>
      <c r="U328">
        <v>-4.7821040000000002E-2</v>
      </c>
      <c r="V328">
        <v>1.237369E-2</v>
      </c>
      <c r="W328">
        <v>3.9790440000000003E-2</v>
      </c>
      <c r="X328">
        <v>0.9991314</v>
      </c>
      <c r="Y328">
        <v>2.7564430000000001E-2</v>
      </c>
      <c r="Z328">
        <v>-1.157962E-3</v>
      </c>
      <c r="AA328">
        <v>0.99961940000000005</v>
      </c>
      <c r="AB328">
        <v>36</v>
      </c>
      <c r="AC328">
        <v>24.752400000000002</v>
      </c>
      <c r="AD328">
        <v>-1.1084854273060001</v>
      </c>
      <c r="AE328">
        <v>-0.40029999999995802</v>
      </c>
      <c r="AF328">
        <v>0.68836436300614301</v>
      </c>
      <c r="AG328">
        <v>-1.1084854273060001</v>
      </c>
      <c r="AH328">
        <v>24.6965097045417</v>
      </c>
      <c r="AI328">
        <v>92.568959403548206</v>
      </c>
      <c r="AJ328">
        <v>88.403411484273306</v>
      </c>
      <c r="AK328">
        <v>24.730955845363699</v>
      </c>
      <c r="AL328">
        <v>87.719573627895898</v>
      </c>
      <c r="AM328">
        <v>89.290459721455704</v>
      </c>
      <c r="AN328">
        <v>0.99999997089278403</v>
      </c>
    </row>
    <row r="329" spans="1:40" x14ac:dyDescent="0.25">
      <c r="A329" t="str">
        <f>"20190305135802061"</f>
        <v>20190305135802061</v>
      </c>
      <c r="B329" t="str">
        <f>"1551765482049030"</f>
        <v>1551765482049030</v>
      </c>
      <c r="C329" t="s">
        <v>40</v>
      </c>
      <c r="D329">
        <v>4.1605030000000003</v>
      </c>
      <c r="E329">
        <v>0.50469540000000002</v>
      </c>
      <c r="F329" t="s">
        <v>42</v>
      </c>
      <c r="G329">
        <v>-365.36200000000002</v>
      </c>
      <c r="H329" s="1">
        <v>-2.2946719999999999E-6</v>
      </c>
      <c r="I329">
        <v>367.79739999999998</v>
      </c>
      <c r="J329">
        <v>-389.4871</v>
      </c>
      <c r="K329">
        <v>1.1086750000000001</v>
      </c>
      <c r="L329">
        <v>368.20159999999998</v>
      </c>
      <c r="M329">
        <v>0.99984189999999995</v>
      </c>
      <c r="N329">
        <v>-1.3649120000000001E-2</v>
      </c>
      <c r="O329">
        <v>1.1413629999999999E-2</v>
      </c>
      <c r="P329">
        <v>0.99968279999999998</v>
      </c>
      <c r="Q329">
        <v>2.5182909999999999E-2</v>
      </c>
      <c r="R329">
        <v>-6.5577639999999998E-4</v>
      </c>
      <c r="S329">
        <v>3.004578</v>
      </c>
      <c r="T329">
        <v>-0.13625619999999999</v>
      </c>
      <c r="U329">
        <v>-4.925537E-2</v>
      </c>
      <c r="V329">
        <v>1.209503E-2</v>
      </c>
      <c r="W329">
        <v>3.8815580000000002E-2</v>
      </c>
      <c r="X329">
        <v>0.99917319999999998</v>
      </c>
      <c r="Y329">
        <v>2.7760480000000001E-2</v>
      </c>
      <c r="Z329">
        <v>-1.1802780000000001E-3</v>
      </c>
      <c r="AA329">
        <v>0.99961390000000006</v>
      </c>
      <c r="AB329">
        <v>36</v>
      </c>
      <c r="AC329">
        <v>24.1251</v>
      </c>
      <c r="AD329">
        <v>-1.108677294672</v>
      </c>
      <c r="AE329">
        <v>-0.404200000000003</v>
      </c>
      <c r="AF329">
        <v>0.67812250918671302</v>
      </c>
      <c r="AG329">
        <v>-1.108677294672</v>
      </c>
      <c r="AH329">
        <v>24.068099434327301</v>
      </c>
      <c r="AI329">
        <v>92.636374028271007</v>
      </c>
      <c r="AJ329">
        <v>88.386109314284695</v>
      </c>
      <c r="AK329">
        <v>24.1031621548263</v>
      </c>
      <c r="AL329">
        <v>87.775472275978203</v>
      </c>
      <c r="AM329">
        <v>89.306466259841002</v>
      </c>
      <c r="AN329">
        <v>1.00000001129983</v>
      </c>
    </row>
    <row r="330" spans="1:40" x14ac:dyDescent="0.25">
      <c r="A330" t="str">
        <f>"20190305135802083"</f>
        <v>20190305135802083</v>
      </c>
      <c r="B330" t="str">
        <f>"1551765482069522"</f>
        <v>1551765482069522</v>
      </c>
      <c r="C330" t="s">
        <v>40</v>
      </c>
      <c r="D330">
        <v>4.1745020000000004</v>
      </c>
      <c r="E330">
        <v>0.50476759999999998</v>
      </c>
      <c r="F330" t="s">
        <v>42</v>
      </c>
      <c r="G330">
        <v>-365.91149999999999</v>
      </c>
      <c r="H330" s="1">
        <v>-2.0571659999999999E-6</v>
      </c>
      <c r="I330">
        <v>367.8073</v>
      </c>
      <c r="J330">
        <v>-389.149</v>
      </c>
      <c r="K330">
        <v>1.1088469999999999</v>
      </c>
      <c r="L330">
        <v>368.20510000000002</v>
      </c>
      <c r="M330">
        <v>0.99984340000000005</v>
      </c>
      <c r="N330">
        <v>-1.376951E-2</v>
      </c>
      <c r="O330">
        <v>1.1117119999999999E-2</v>
      </c>
      <c r="P330">
        <v>0.99970749999999997</v>
      </c>
      <c r="Q330">
        <v>2.4162050000000001E-2</v>
      </c>
      <c r="R330">
        <v>-1.038104E-3</v>
      </c>
      <c r="S330">
        <v>3.0045169999999999</v>
      </c>
      <c r="T330">
        <v>-0.1412911</v>
      </c>
      <c r="U330">
        <v>-5.0231930000000001E-2</v>
      </c>
      <c r="V330">
        <v>1.218108E-2</v>
      </c>
      <c r="W330">
        <v>3.7915499999999998E-2</v>
      </c>
      <c r="X330">
        <v>0.9992067</v>
      </c>
      <c r="Y330">
        <v>2.778622E-2</v>
      </c>
      <c r="Z330">
        <v>-1.213857E-3</v>
      </c>
      <c r="AA330">
        <v>0.99961319999999998</v>
      </c>
      <c r="AB330">
        <v>36</v>
      </c>
      <c r="AC330">
        <v>23.237500000000001</v>
      </c>
      <c r="AD330">
        <v>-1.1088490571659999</v>
      </c>
      <c r="AE330">
        <v>-0.39780000000001697</v>
      </c>
      <c r="AF330">
        <v>0.654643782517082</v>
      </c>
      <c r="AG330">
        <v>-1.1088490571659999</v>
      </c>
      <c r="AH330">
        <v>23.178877698466401</v>
      </c>
      <c r="AI330">
        <v>92.737781640085601</v>
      </c>
      <c r="AJ330">
        <v>88.382218589456301</v>
      </c>
      <c r="AK330">
        <v>23.214617724055501</v>
      </c>
      <c r="AL330">
        <v>87.827081026234296</v>
      </c>
      <c r="AM330">
        <v>89.301556021275402</v>
      </c>
      <c r="AN330">
        <v>0.99999999658755301</v>
      </c>
    </row>
    <row r="331" spans="1:40" x14ac:dyDescent="0.25">
      <c r="A331" t="str">
        <f>"20190305135802099"</f>
        <v>20190305135802099</v>
      </c>
      <c r="B331" t="str">
        <f>"1551765482089042"</f>
        <v>1551765482089042</v>
      </c>
      <c r="C331" t="s">
        <v>40</v>
      </c>
      <c r="D331">
        <v>4.1950580000000004</v>
      </c>
      <c r="E331">
        <v>0.50500179999999995</v>
      </c>
      <c r="F331" t="s">
        <v>42</v>
      </c>
      <c r="G331">
        <v>-366.32069999999999</v>
      </c>
      <c r="H331" s="1">
        <v>-1.881465E-6</v>
      </c>
      <c r="I331">
        <v>367.80810000000002</v>
      </c>
      <c r="J331">
        <v>-388.89010000000002</v>
      </c>
      <c r="K331">
        <v>1.1089639999999901</v>
      </c>
      <c r="L331">
        <v>368.20780000000002</v>
      </c>
      <c r="M331">
        <v>0.99984479999999998</v>
      </c>
      <c r="N331">
        <v>-1.3853580000000001E-2</v>
      </c>
      <c r="O331">
        <v>1.0889680000000001E-2</v>
      </c>
      <c r="P331">
        <v>0.99971480000000001</v>
      </c>
      <c r="Q331">
        <v>2.3850369999999999E-2</v>
      </c>
      <c r="R331">
        <v>-1.3077539999999999E-3</v>
      </c>
      <c r="S331">
        <v>3.0043329999999999</v>
      </c>
      <c r="T331">
        <v>-0.14593010000000001</v>
      </c>
      <c r="U331">
        <v>-5.2246090000000002E-2</v>
      </c>
      <c r="V331">
        <v>1.222318E-2</v>
      </c>
      <c r="W331">
        <v>3.7687739999999997E-2</v>
      </c>
      <c r="X331">
        <v>0.99921479999999996</v>
      </c>
      <c r="Y331">
        <v>2.8226339999999999E-2</v>
      </c>
      <c r="Z331">
        <v>-1.258564E-3</v>
      </c>
      <c r="AA331">
        <v>0.99960079999999996</v>
      </c>
      <c r="AB331">
        <v>36</v>
      </c>
      <c r="AC331">
        <v>22.569400000000002</v>
      </c>
      <c r="AD331">
        <v>-1.1089658814650001</v>
      </c>
      <c r="AE331">
        <v>-0.399699999999995</v>
      </c>
      <c r="AF331">
        <v>0.64391926611514005</v>
      </c>
      <c r="AG331">
        <v>-1.1089658814650001</v>
      </c>
      <c r="AH331">
        <v>22.509380486261101</v>
      </c>
      <c r="AI331">
        <v>92.819349562443804</v>
      </c>
      <c r="AJ331">
        <v>88.3614032689716</v>
      </c>
      <c r="AK331">
        <v>22.545878719242701</v>
      </c>
      <c r="AL331">
        <v>87.840140041666601</v>
      </c>
      <c r="AM331">
        <v>89.299147994672694</v>
      </c>
      <c r="AN331">
        <v>0.99999999420732899</v>
      </c>
    </row>
    <row r="332" spans="1:40" x14ac:dyDescent="0.25">
      <c r="A332" t="str">
        <f>"20190305135802116"</f>
        <v>20190305135802116</v>
      </c>
      <c r="B332" t="str">
        <f>"1551765482109540"</f>
        <v>1551765482109540</v>
      </c>
      <c r="C332" t="s">
        <v>40</v>
      </c>
      <c r="D332">
        <v>4.2281779999999998</v>
      </c>
      <c r="E332">
        <v>0.5052719</v>
      </c>
      <c r="F332" t="s">
        <v>42</v>
      </c>
      <c r="G332">
        <v>-366.8818</v>
      </c>
      <c r="H332" s="1">
        <v>-1.6412479999999999E-6</v>
      </c>
      <c r="I332">
        <v>367.80529999999999</v>
      </c>
      <c r="J332">
        <v>-388.60320000000002</v>
      </c>
      <c r="K332">
        <v>1.1090690000000001</v>
      </c>
      <c r="L332">
        <v>368.21069999999997</v>
      </c>
      <c r="M332">
        <v>0.99984629999999997</v>
      </c>
      <c r="N332">
        <v>-1.393749E-2</v>
      </c>
      <c r="O332">
        <v>1.063852E-2</v>
      </c>
      <c r="P332">
        <v>0.99971659999999996</v>
      </c>
      <c r="Q332">
        <v>2.3755200000000001E-2</v>
      </c>
      <c r="R332">
        <v>-1.6448960000000001E-3</v>
      </c>
      <c r="S332">
        <v>3.0043639999999998</v>
      </c>
      <c r="T332">
        <v>-0.15138470000000001</v>
      </c>
      <c r="U332">
        <v>-5.4931639999999997E-2</v>
      </c>
      <c r="V332">
        <v>1.230942E-2</v>
      </c>
      <c r="W332">
        <v>3.7676300000000003E-2</v>
      </c>
      <c r="X332">
        <v>0.99921420000000005</v>
      </c>
      <c r="Y332">
        <v>2.8863819999999998E-2</v>
      </c>
      <c r="Z332">
        <v>-1.315489E-3</v>
      </c>
      <c r="AA332">
        <v>0.99958250000000004</v>
      </c>
      <c r="AB332">
        <v>36</v>
      </c>
      <c r="AC332">
        <v>21.721399999999999</v>
      </c>
      <c r="AD332">
        <v>-1.109070641248</v>
      </c>
      <c r="AE332">
        <v>-0.40539999999998599</v>
      </c>
      <c r="AF332">
        <v>0.63482861468246299</v>
      </c>
      <c r="AG332">
        <v>-1.109070641248</v>
      </c>
      <c r="AH332">
        <v>21.6594106078932</v>
      </c>
      <c r="AI332">
        <v>92.930015615606294</v>
      </c>
      <c r="AJ332">
        <v>88.321164369631205</v>
      </c>
      <c r="AK332">
        <v>21.697076138010299</v>
      </c>
      <c r="AL332">
        <v>87.840796030075097</v>
      </c>
      <c r="AM332">
        <v>89.294203245116293</v>
      </c>
      <c r="AN332">
        <v>1.0000000214420299</v>
      </c>
    </row>
    <row r="333" spans="1:40" x14ac:dyDescent="0.25">
      <c r="A333" t="str">
        <f>"20190305135802128"</f>
        <v>20190305135802128</v>
      </c>
      <c r="B333" t="str">
        <f>"1551765482119299"</f>
        <v>1551765482119299</v>
      </c>
      <c r="C333" t="s">
        <v>40</v>
      </c>
      <c r="D333">
        <v>4.226858</v>
      </c>
      <c r="E333">
        <v>0.50528709999999999</v>
      </c>
      <c r="F333" t="s">
        <v>42</v>
      </c>
      <c r="G333">
        <v>-366.63749999999999</v>
      </c>
      <c r="H333" s="1">
        <v>-1.7496210000000001E-6</v>
      </c>
      <c r="I333">
        <v>367.7851</v>
      </c>
      <c r="J333">
        <v>-388.42070000000001</v>
      </c>
      <c r="K333">
        <v>1.1091279999999999</v>
      </c>
      <c r="L333">
        <v>368.21249999999998</v>
      </c>
      <c r="M333">
        <v>0.99984759999999995</v>
      </c>
      <c r="N333">
        <v>-1.397877E-2</v>
      </c>
      <c r="O333">
        <v>1.047822E-2</v>
      </c>
      <c r="P333">
        <v>0.99971670000000001</v>
      </c>
      <c r="Q333">
        <v>2.3760590000000002E-2</v>
      </c>
      <c r="R333">
        <v>-1.5153600000000001E-3</v>
      </c>
      <c r="S333">
        <v>3.0043639999999998</v>
      </c>
      <c r="T333">
        <v>-0.1516931</v>
      </c>
      <c r="U333">
        <v>-5.8197020000000002E-2</v>
      </c>
      <c r="V333">
        <v>1.201987E-2</v>
      </c>
      <c r="W333">
        <v>3.7723479999999997E-2</v>
      </c>
      <c r="X333">
        <v>0.99921590000000005</v>
      </c>
      <c r="Y333">
        <v>2.9787979999999999E-2</v>
      </c>
      <c r="Z333">
        <v>-1.342139E-3</v>
      </c>
      <c r="AA333">
        <v>0.99955530000000004</v>
      </c>
      <c r="AB333">
        <v>36</v>
      </c>
      <c r="AC333">
        <v>21.783200000000001</v>
      </c>
      <c r="AD333">
        <v>-1.109129749621</v>
      </c>
      <c r="AE333">
        <v>-0.42739999999997702</v>
      </c>
      <c r="AF333">
        <v>0.65395321819186902</v>
      </c>
      <c r="AG333">
        <v>-1.109129749621</v>
      </c>
      <c r="AH333">
        <v>21.721234119129601</v>
      </c>
      <c r="AI333">
        <v>92.921777042682905</v>
      </c>
      <c r="AJ333">
        <v>88.275537905861398</v>
      </c>
      <c r="AK333">
        <v>21.759362014340301</v>
      </c>
      <c r="AL333">
        <v>87.838090795017195</v>
      </c>
      <c r="AM333">
        <v>89.310804996671095</v>
      </c>
      <c r="AN333">
        <v>0.99999997651546801</v>
      </c>
    </row>
    <row r="334" spans="1:40" x14ac:dyDescent="0.25">
      <c r="A334" t="str">
        <f>"20190305135802149"</f>
        <v>20190305135802149</v>
      </c>
      <c r="B334" t="str">
        <f>"1551765482138822"</f>
        <v>1551765482138822</v>
      </c>
      <c r="C334" t="s">
        <v>40</v>
      </c>
      <c r="D334">
        <v>4.2247019999999997</v>
      </c>
      <c r="E334">
        <v>0.5053029</v>
      </c>
      <c r="F334" t="s">
        <v>42</v>
      </c>
      <c r="G334">
        <v>-366.44979999999998</v>
      </c>
      <c r="H334" s="1">
        <v>-1.829362E-6</v>
      </c>
      <c r="I334">
        <v>367.78969999999998</v>
      </c>
      <c r="J334">
        <v>-388.08789999999999</v>
      </c>
      <c r="K334">
        <v>1.1092169999999999</v>
      </c>
      <c r="L334">
        <v>368.21570000000003</v>
      </c>
      <c r="M334">
        <v>0.99984989999999996</v>
      </c>
      <c r="N334">
        <v>-1.401927E-2</v>
      </c>
      <c r="O334">
        <v>1.0185420000000001E-2</v>
      </c>
      <c r="P334">
        <v>0.99971719999999997</v>
      </c>
      <c r="Q334">
        <v>2.3704929999999999E-2</v>
      </c>
      <c r="R334">
        <v>-1.9930849999999999E-3</v>
      </c>
      <c r="S334">
        <v>3.0043639999999998</v>
      </c>
      <c r="T334">
        <v>-0.1516651</v>
      </c>
      <c r="U334">
        <v>-5.7800289999999997E-2</v>
      </c>
      <c r="V334">
        <v>1.220482E-2</v>
      </c>
      <c r="W334">
        <v>3.7707749999999998E-2</v>
      </c>
      <c r="X334">
        <v>0.9992143</v>
      </c>
      <c r="Y334">
        <v>2.9364210000000002E-2</v>
      </c>
      <c r="Z334">
        <v>-1.317754E-3</v>
      </c>
      <c r="AA334">
        <v>0.99956789999999995</v>
      </c>
      <c r="AB334">
        <v>36</v>
      </c>
      <c r="AC334">
        <v>21.638100000000001</v>
      </c>
      <c r="AD334">
        <v>-1.109218829362</v>
      </c>
      <c r="AE334">
        <v>-0.42600000000004401</v>
      </c>
      <c r="AF334">
        <v>0.64469918461490505</v>
      </c>
      <c r="AG334">
        <v>-1.109218829362</v>
      </c>
      <c r="AH334">
        <v>21.575962080539899</v>
      </c>
      <c r="AI334">
        <v>92.941670812341201</v>
      </c>
      <c r="AJ334">
        <v>88.2884862945061</v>
      </c>
      <c r="AK334">
        <v>21.614072803406401</v>
      </c>
      <c r="AL334">
        <v>87.838992803482796</v>
      </c>
      <c r="AM334">
        <v>89.300200264406499</v>
      </c>
      <c r="AN334">
        <v>1.00000002468289</v>
      </c>
    </row>
    <row r="335" spans="1:40" x14ac:dyDescent="0.25">
      <c r="A335" t="str">
        <f>"20190305135802163"</f>
        <v>20190305135802163</v>
      </c>
      <c r="B335" t="str">
        <f>"1551765482159315"</f>
        <v>1551765482159315</v>
      </c>
      <c r="C335" t="s">
        <v>40</v>
      </c>
      <c r="D335">
        <v>4.2315160000000001</v>
      </c>
      <c r="E335">
        <v>0.50536270000000005</v>
      </c>
      <c r="F335" t="s">
        <v>42</v>
      </c>
      <c r="G335">
        <v>-366.29430000000002</v>
      </c>
      <c r="H335" s="1">
        <v>-1.897101E-6</v>
      </c>
      <c r="I335">
        <v>367.78370000000001</v>
      </c>
      <c r="J335">
        <v>-387.88580000000002</v>
      </c>
      <c r="K335">
        <v>1.1092599999999999</v>
      </c>
      <c r="L335">
        <v>368.2176</v>
      </c>
      <c r="M335">
        <v>0.99985170000000001</v>
      </c>
      <c r="N335">
        <v>-1.401605E-2</v>
      </c>
      <c r="O335">
        <v>1.0007149999999999E-2</v>
      </c>
      <c r="P335">
        <v>0.99970959999999998</v>
      </c>
      <c r="Q335">
        <v>2.400892E-2</v>
      </c>
      <c r="R335">
        <v>-2.1463849999999998E-3</v>
      </c>
      <c r="S335">
        <v>3.0043950000000001</v>
      </c>
      <c r="T335">
        <v>-0.152913299999999</v>
      </c>
      <c r="U335">
        <v>-5.9539790000000002E-2</v>
      </c>
      <c r="V335">
        <v>1.218021E-2</v>
      </c>
      <c r="W335">
        <v>3.8008409999999999E-2</v>
      </c>
      <c r="X335">
        <v>0.99920319999999996</v>
      </c>
      <c r="Y335">
        <v>2.9762919999999998E-2</v>
      </c>
      <c r="Z335">
        <v>-1.3344029999999901E-3</v>
      </c>
      <c r="AA335">
        <v>0.99955609999999995</v>
      </c>
      <c r="AB335">
        <v>35</v>
      </c>
      <c r="AC335">
        <v>21.5915</v>
      </c>
      <c r="AD335">
        <v>-1.109261897101</v>
      </c>
      <c r="AE335">
        <v>-0.43389999999999401</v>
      </c>
      <c r="AF335">
        <v>0.64825856079182298</v>
      </c>
      <c r="AG335">
        <v>-1.109261897101</v>
      </c>
      <c r="AH335">
        <v>21.5292750293635</v>
      </c>
      <c r="AI335">
        <v>92.948132662521004</v>
      </c>
      <c r="AJ335">
        <v>88.275313005548597</v>
      </c>
      <c r="AK335">
        <v>21.567577156648198</v>
      </c>
      <c r="AL335">
        <v>87.821753877331105</v>
      </c>
      <c r="AM335">
        <v>89.301603454680304</v>
      </c>
      <c r="AN335">
        <v>1.0000000158183</v>
      </c>
    </row>
    <row r="336" spans="1:40" x14ac:dyDescent="0.25">
      <c r="A336" t="str">
        <f>"20190305135802176"</f>
        <v>20190305135802176</v>
      </c>
      <c r="B336" t="str">
        <f>"1551765482169075"</f>
        <v>1551765482169075</v>
      </c>
      <c r="C336" t="s">
        <v>40</v>
      </c>
      <c r="D336">
        <v>4.2715899999999998</v>
      </c>
      <c r="E336">
        <v>0.50519609999999904</v>
      </c>
      <c r="F336" t="s">
        <v>42</v>
      </c>
      <c r="G336">
        <v>-366.03460000000001</v>
      </c>
      <c r="H336" s="1">
        <v>-2.0093879999999999E-6</v>
      </c>
      <c r="I336">
        <v>367.77890000000002</v>
      </c>
      <c r="J336">
        <v>-387.65629999999999</v>
      </c>
      <c r="K336">
        <v>1.1092930000000001</v>
      </c>
      <c r="L336">
        <v>368.21969999999999</v>
      </c>
      <c r="M336">
        <v>0.99985420000000003</v>
      </c>
      <c r="N336">
        <v>-1.39852E-2</v>
      </c>
      <c r="O336">
        <v>9.8051639999999999E-3</v>
      </c>
      <c r="P336">
        <v>0.99970309999999996</v>
      </c>
      <c r="Q336">
        <v>2.4257219999999999E-2</v>
      </c>
      <c r="R336">
        <v>-2.3340309999999999E-3</v>
      </c>
      <c r="S336">
        <v>3.0043639999999998</v>
      </c>
      <c r="T336">
        <v>-0.15251410000000001</v>
      </c>
      <c r="U336">
        <v>-6.0302729999999999E-2</v>
      </c>
      <c r="V336">
        <v>1.2166339999999999E-2</v>
      </c>
      <c r="W336">
        <v>3.8225700000000001E-2</v>
      </c>
      <c r="X336">
        <v>0.99919500000000006</v>
      </c>
      <c r="Y336">
        <v>2.981526E-2</v>
      </c>
      <c r="Z336">
        <v>-1.325232E-3</v>
      </c>
      <c r="AA336">
        <v>0.99955459999999996</v>
      </c>
      <c r="AB336">
        <v>35</v>
      </c>
      <c r="AC336">
        <v>21.621699999999901</v>
      </c>
      <c r="AD336">
        <v>-1.1092950093880001</v>
      </c>
      <c r="AE336">
        <v>-0.440799999999967</v>
      </c>
      <c r="AF336">
        <v>0.65109076851383296</v>
      </c>
      <c r="AG336">
        <v>-1.1092950093880001</v>
      </c>
      <c r="AH336">
        <v>21.559612808511002</v>
      </c>
      <c r="AI336">
        <v>92.944071323238404</v>
      </c>
      <c r="AJ336">
        <v>88.270218540625606</v>
      </c>
      <c r="AK336">
        <v>21.597948028912601</v>
      </c>
      <c r="AL336">
        <v>87.809294848537803</v>
      </c>
      <c r="AM336">
        <v>89.302392938455398</v>
      </c>
      <c r="AN336">
        <v>0.99999993599724002</v>
      </c>
    </row>
    <row r="337" spans="1:40" x14ac:dyDescent="0.25">
      <c r="A337" t="str">
        <f>"20190305135802193"</f>
        <v>20190305135802193</v>
      </c>
      <c r="B337" t="str">
        <f>"1551765482189571"</f>
        <v>1551765482189571</v>
      </c>
      <c r="C337" t="s">
        <v>40</v>
      </c>
      <c r="D337">
        <v>4.1623999999999999</v>
      </c>
      <c r="E337">
        <v>0.50656120000000004</v>
      </c>
      <c r="F337" t="s">
        <v>42</v>
      </c>
      <c r="G337">
        <v>-365.6859</v>
      </c>
      <c r="H337" s="1">
        <v>-2.1581199999999998E-6</v>
      </c>
      <c r="I337">
        <v>367.78379999999999</v>
      </c>
      <c r="J337">
        <v>-387.4</v>
      </c>
      <c r="K337">
        <v>1.109313</v>
      </c>
      <c r="L337">
        <v>368.22199999999998</v>
      </c>
      <c r="M337">
        <v>0.9998572</v>
      </c>
      <c r="N337">
        <v>-1.391681E-2</v>
      </c>
      <c r="O337">
        <v>9.5843409999999997E-3</v>
      </c>
      <c r="P337">
        <v>0.99969580000000002</v>
      </c>
      <c r="Q337">
        <v>2.451571E-2</v>
      </c>
      <c r="R337">
        <v>-2.766732E-3</v>
      </c>
      <c r="S337">
        <v>3.0044249999999999</v>
      </c>
      <c r="T337">
        <v>-0.1516942</v>
      </c>
      <c r="U337">
        <v>-5.960083E-2</v>
      </c>
      <c r="V337">
        <v>1.2378709999999999E-2</v>
      </c>
      <c r="W337">
        <v>3.8415339999999999E-2</v>
      </c>
      <c r="X337">
        <v>0.9991852</v>
      </c>
      <c r="Y337">
        <v>2.9362139999999998E-2</v>
      </c>
      <c r="Z337">
        <v>-1.295469E-3</v>
      </c>
      <c r="AA337">
        <v>0.99956800000000001</v>
      </c>
      <c r="AB337">
        <v>35</v>
      </c>
      <c r="AC337">
        <v>21.714099999999899</v>
      </c>
      <c r="AD337">
        <v>-1.10931515812</v>
      </c>
      <c r="AE337">
        <v>-0.43819999999999398</v>
      </c>
      <c r="AF337">
        <v>0.64463361556906396</v>
      </c>
      <c r="AG337">
        <v>-1.10931515812</v>
      </c>
      <c r="AH337">
        <v>21.652414256195499</v>
      </c>
      <c r="AI337">
        <v>92.931565845250603</v>
      </c>
      <c r="AJ337">
        <v>88.294699229190002</v>
      </c>
      <c r="AK337">
        <v>21.690393628061599</v>
      </c>
      <c r="AL337">
        <v>87.798421468760694</v>
      </c>
      <c r="AM337">
        <v>89.290210106741796</v>
      </c>
      <c r="AN337">
        <v>1.0000000173538</v>
      </c>
    </row>
    <row r="338" spans="1:40" x14ac:dyDescent="0.25">
      <c r="A338" t="str">
        <f>"20190305135802206"</f>
        <v>20190305135802206</v>
      </c>
      <c r="B338" t="str">
        <f>"1551765482199331"</f>
        <v>1551765482199331</v>
      </c>
      <c r="C338" t="s">
        <v>40</v>
      </c>
      <c r="D338">
        <v>4.1701069999999998</v>
      </c>
      <c r="E338">
        <v>0.50656120000000004</v>
      </c>
      <c r="F338" t="s">
        <v>42</v>
      </c>
      <c r="G338">
        <v>-367.11720000000003</v>
      </c>
      <c r="H338" s="1">
        <v>-1.553154E-6</v>
      </c>
      <c r="I338">
        <v>367.7328</v>
      </c>
      <c r="J338">
        <v>-387.19130000000001</v>
      </c>
      <c r="K338">
        <v>1.1093299999999999</v>
      </c>
      <c r="L338">
        <v>368.22379999999998</v>
      </c>
      <c r="M338">
        <v>0.99985990000000002</v>
      </c>
      <c r="N338">
        <v>-1.3844759999999999E-2</v>
      </c>
      <c r="O338">
        <v>9.4088580000000008E-3</v>
      </c>
      <c r="P338">
        <v>0.9996969</v>
      </c>
      <c r="Q338">
        <v>2.4448569999999999E-2</v>
      </c>
      <c r="R338">
        <v>-2.9503020000000001E-3</v>
      </c>
      <c r="S338">
        <v>3.0047299999999999</v>
      </c>
      <c r="T338">
        <v>-0.1643348</v>
      </c>
      <c r="U338">
        <v>-7.2448730000000003E-2</v>
      </c>
      <c r="V338">
        <v>1.2386640000000001E-2</v>
      </c>
      <c r="W338">
        <v>3.8276209999999998E-2</v>
      </c>
      <c r="X338">
        <v>0.99919040000000003</v>
      </c>
      <c r="Y338">
        <v>3.3440049999999999E-2</v>
      </c>
      <c r="Z338">
        <v>-1.5293469999999999E-3</v>
      </c>
      <c r="AA338">
        <v>0.99943950000000004</v>
      </c>
      <c r="AB338">
        <v>35</v>
      </c>
      <c r="AC338">
        <v>20.074099999999898</v>
      </c>
      <c r="AD338">
        <v>-1.109331553154</v>
      </c>
      <c r="AE338">
        <v>-0.490999999999985</v>
      </c>
      <c r="AF338">
        <v>0.67780203849725695</v>
      </c>
      <c r="AG338">
        <v>-1.109331553154</v>
      </c>
      <c r="AH338">
        <v>20.0075272141884</v>
      </c>
      <c r="AI338">
        <v>93.171739941024299</v>
      </c>
      <c r="AJ338">
        <v>88.059712765589197</v>
      </c>
      <c r="AK338">
        <v>20.049717637031701</v>
      </c>
      <c r="AL338">
        <v>87.806398807439805</v>
      </c>
      <c r="AM338">
        <v>89.289759146411498</v>
      </c>
      <c r="AN338">
        <v>0.99999997627730597</v>
      </c>
    </row>
    <row r="339" spans="1:40" x14ac:dyDescent="0.25">
      <c r="A339" t="str">
        <f>"20190305135802218"</f>
        <v>20190305135802218</v>
      </c>
      <c r="B339" t="str">
        <f>"1551765482209091"</f>
        <v>1551765482209091</v>
      </c>
      <c r="C339" t="s">
        <v>40</v>
      </c>
      <c r="D339">
        <v>4.092937</v>
      </c>
      <c r="E339">
        <v>0.54501929999999998</v>
      </c>
      <c r="F339" t="s">
        <v>42</v>
      </c>
      <c r="G339">
        <v>-366.9341</v>
      </c>
      <c r="H339" s="1">
        <v>-1.6318349999999999E-6</v>
      </c>
      <c r="I339">
        <v>367.73200000000003</v>
      </c>
      <c r="J339">
        <v>-386.98230000000001</v>
      </c>
      <c r="K339">
        <v>1.1093459999999999</v>
      </c>
      <c r="L339">
        <v>368.22559999999999</v>
      </c>
      <c r="M339">
        <v>0.99986280000000005</v>
      </c>
      <c r="N339">
        <v>-1.37626E-2</v>
      </c>
      <c r="O339">
        <v>9.2357010000000007E-3</v>
      </c>
      <c r="P339">
        <v>0.99969229999999998</v>
      </c>
      <c r="Q339">
        <v>2.4611299999999999E-2</v>
      </c>
      <c r="R339">
        <v>-3.1340980000000001E-3</v>
      </c>
      <c r="S339">
        <v>3.0047000000000001</v>
      </c>
      <c r="T339">
        <v>-0.1645432</v>
      </c>
      <c r="U339">
        <v>-7.2937009999999997E-2</v>
      </c>
      <c r="V339">
        <v>1.239733E-2</v>
      </c>
      <c r="W339">
        <v>3.8356729999999999E-2</v>
      </c>
      <c r="X339">
        <v>0.99918720000000005</v>
      </c>
      <c r="Y339">
        <v>3.3429559999999997E-2</v>
      </c>
      <c r="Z339">
        <v>-1.523113E-3</v>
      </c>
      <c r="AA339">
        <v>0.99943990000000005</v>
      </c>
      <c r="AB339">
        <v>35</v>
      </c>
      <c r="AC339">
        <v>20.048200000000001</v>
      </c>
      <c r="AD339">
        <v>-1.109347631835</v>
      </c>
      <c r="AE339">
        <v>-0.49360000000001403</v>
      </c>
      <c r="AF339">
        <v>0.67668497672273697</v>
      </c>
      <c r="AG339">
        <v>-1.109347631835</v>
      </c>
      <c r="AH339">
        <v>19.981641793744402</v>
      </c>
      <c r="AI339">
        <v>93.175887623465101</v>
      </c>
      <c r="AJ339">
        <v>88.0604005368739</v>
      </c>
      <c r="AK339">
        <v>20.0238498670833</v>
      </c>
      <c r="AL339">
        <v>87.801782005465796</v>
      </c>
      <c r="AM339">
        <v>89.289143976173804</v>
      </c>
      <c r="AN339">
        <v>0.99999999658563099</v>
      </c>
    </row>
    <row r="340" spans="1:40" x14ac:dyDescent="0.25">
      <c r="A340" t="str">
        <f>"20190305135802230"</f>
        <v>20190305135802230</v>
      </c>
      <c r="B340" t="str">
        <f>"1551765482218850"</f>
        <v>1551765482218850</v>
      </c>
      <c r="C340" t="s">
        <v>40</v>
      </c>
      <c r="D340">
        <v>4.1861839999999999</v>
      </c>
      <c r="E340">
        <v>0.54174750000000005</v>
      </c>
      <c r="F340" t="s">
        <v>41</v>
      </c>
      <c r="G340">
        <v>-386.02159999999998</v>
      </c>
      <c r="H340">
        <v>0.89032160000000005</v>
      </c>
      <c r="I340">
        <v>368.096</v>
      </c>
      <c r="J340">
        <v>-386.79719999999998</v>
      </c>
      <c r="K340">
        <v>1.1093599999999999</v>
      </c>
      <c r="L340">
        <v>368.22710000000001</v>
      </c>
      <c r="M340">
        <v>0.99986520000000001</v>
      </c>
      <c r="N340">
        <v>-1.368198E-2</v>
      </c>
      <c r="O340">
        <v>9.0848400000000003E-3</v>
      </c>
      <c r="P340">
        <v>0.99968570000000001</v>
      </c>
      <c r="Q340">
        <v>2.4879060000000001E-2</v>
      </c>
      <c r="R340">
        <v>-3.1291679999999999E-3</v>
      </c>
      <c r="S340">
        <v>3.0165410000000001</v>
      </c>
      <c r="T340">
        <v>-0.68780549999999996</v>
      </c>
      <c r="U340">
        <v>-0.40603640000000002</v>
      </c>
      <c r="V340">
        <v>1.224107E-2</v>
      </c>
      <c r="W340">
        <v>3.854399E-2</v>
      </c>
      <c r="X340">
        <v>0.99918189999999996</v>
      </c>
      <c r="Y340">
        <v>0.138486</v>
      </c>
      <c r="Z340">
        <v>-1.8399349999999998E-2</v>
      </c>
      <c r="AA340">
        <v>0.99019349999999995</v>
      </c>
      <c r="AB340">
        <v>35</v>
      </c>
      <c r="AC340">
        <v>0.77559999999999696</v>
      </c>
      <c r="AD340">
        <v>-0.21903839999999999</v>
      </c>
      <c r="AE340">
        <v>-0.13110000000000299</v>
      </c>
      <c r="AF340">
        <v>0.12820066226910301</v>
      </c>
      <c r="AG340">
        <v>-0.21903839999999999</v>
      </c>
      <c r="AH340">
        <v>0.71865197260635605</v>
      </c>
      <c r="AI340">
        <v>106.702067446757</v>
      </c>
      <c r="AJ340">
        <v>79.885376489812401</v>
      </c>
      <c r="AK340">
        <v>0.76215083035564701</v>
      </c>
      <c r="AL340">
        <v>87.7910448125225</v>
      </c>
      <c r="AM340">
        <v>89.298099213035002</v>
      </c>
      <c r="AN340">
        <v>0.99999997612373703</v>
      </c>
    </row>
    <row r="341" spans="1:40" x14ac:dyDescent="0.25">
      <c r="A341" t="str">
        <f>"20190305135802250"</f>
        <v>20190305135802250</v>
      </c>
      <c r="B341" t="str">
        <f>"1551765482239346"</f>
        <v>1551765482239346</v>
      </c>
      <c r="C341" t="s">
        <v>40</v>
      </c>
      <c r="D341">
        <v>4.2074579999999999</v>
      </c>
      <c r="E341">
        <v>0.53914030000000002</v>
      </c>
      <c r="F341" t="s">
        <v>41</v>
      </c>
      <c r="G341">
        <v>-386.00810000000001</v>
      </c>
      <c r="H341">
        <v>0.92503429999999998</v>
      </c>
      <c r="I341">
        <v>368.12709999999998</v>
      </c>
      <c r="J341">
        <v>-386.49930000000001</v>
      </c>
      <c r="K341">
        <v>1.1093789999999999</v>
      </c>
      <c r="L341">
        <v>368.2296</v>
      </c>
      <c r="M341">
        <v>0.99986909999999896</v>
      </c>
      <c r="N341">
        <v>-1.355204E-2</v>
      </c>
      <c r="O341">
        <v>8.8431840000000005E-3</v>
      </c>
      <c r="P341">
        <v>0.99968089999999998</v>
      </c>
      <c r="Q341">
        <v>2.51205E-2</v>
      </c>
      <c r="R341">
        <v>-2.7165940000000001E-3</v>
      </c>
      <c r="S341">
        <v>3.017334</v>
      </c>
      <c r="T341">
        <v>-0.70486199999999999</v>
      </c>
      <c r="U341">
        <v>-0.38116460000000002</v>
      </c>
      <c r="V341">
        <v>1.158577E-2</v>
      </c>
      <c r="W341">
        <v>3.8656910000000003E-2</v>
      </c>
      <c r="X341">
        <v>0.9991854</v>
      </c>
      <c r="Y341">
        <v>0.13022919999999999</v>
      </c>
      <c r="Z341">
        <v>-1.7763109999999999E-2</v>
      </c>
      <c r="AA341">
        <v>0.99132480000000001</v>
      </c>
      <c r="AB341">
        <v>35</v>
      </c>
      <c r="AC341">
        <v>0.49119999999999198</v>
      </c>
      <c r="AD341">
        <v>-0.1843447</v>
      </c>
      <c r="AE341">
        <v>-0.10250000000002001</v>
      </c>
      <c r="AF341">
        <v>9.4134880536227997E-2</v>
      </c>
      <c r="AG341">
        <v>-0.1843447</v>
      </c>
      <c r="AH341">
        <v>0.43197155346417498</v>
      </c>
      <c r="AI341">
        <v>112.63448520858201</v>
      </c>
      <c r="AJ341">
        <v>77.706350022814902</v>
      </c>
      <c r="AK341">
        <v>0.47900288846092898</v>
      </c>
      <c r="AL341">
        <v>87.784570256237302</v>
      </c>
      <c r="AM341">
        <v>89.335672863096804</v>
      </c>
      <c r="AN341">
        <v>1.0000000251651999</v>
      </c>
    </row>
    <row r="342" spans="1:40" x14ac:dyDescent="0.25">
      <c r="A342" t="str">
        <f>"20190305135802263"</f>
        <v>20190305135802263</v>
      </c>
      <c r="B342" t="str">
        <f>"1551765482258866"</f>
        <v>1551765482258866</v>
      </c>
      <c r="C342" t="s">
        <v>40</v>
      </c>
      <c r="D342">
        <v>4.0996300000000003</v>
      </c>
      <c r="E342">
        <v>0.54046139999999998</v>
      </c>
      <c r="F342" t="s">
        <v>41</v>
      </c>
      <c r="G342">
        <v>-385.69439999999997</v>
      </c>
      <c r="H342">
        <v>0.91842389999999996</v>
      </c>
      <c r="I342">
        <v>368.13330000000002</v>
      </c>
      <c r="J342">
        <v>-386.30020000000002</v>
      </c>
      <c r="K342">
        <v>1.1093959999999901</v>
      </c>
      <c r="L342">
        <v>368.2312</v>
      </c>
      <c r="M342">
        <v>0.99987170000000003</v>
      </c>
      <c r="N342">
        <v>-1.3466280000000001E-2</v>
      </c>
      <c r="O342">
        <v>8.6831449999999998E-3</v>
      </c>
      <c r="P342">
        <v>0.99968469999999998</v>
      </c>
      <c r="Q342">
        <v>2.49816E-2</v>
      </c>
      <c r="R342">
        <v>-2.5700879999999999E-3</v>
      </c>
      <c r="S342">
        <v>3.0179749999999999</v>
      </c>
      <c r="T342">
        <v>-0.71596590000000004</v>
      </c>
      <c r="U342">
        <v>-0.36004639999999999</v>
      </c>
      <c r="V342">
        <v>1.127829E-2</v>
      </c>
      <c r="W342">
        <v>3.8432969999999997E-2</v>
      </c>
      <c r="X342">
        <v>0.99919749999999996</v>
      </c>
      <c r="Y342">
        <v>0.123292899999999</v>
      </c>
      <c r="Z342">
        <v>-1.7130590000000001E-2</v>
      </c>
      <c r="AA342">
        <v>0.99222239999999995</v>
      </c>
      <c r="AB342">
        <v>35</v>
      </c>
      <c r="AC342">
        <v>0.60580000000004397</v>
      </c>
      <c r="AD342">
        <v>-0.19097209999999901</v>
      </c>
      <c r="AE342">
        <v>-9.7899999999981405E-2</v>
      </c>
      <c r="AF342">
        <v>9.4048725351973006E-2</v>
      </c>
      <c r="AG342">
        <v>-0.19097209999999901</v>
      </c>
      <c r="AH342">
        <v>0.55151462688390995</v>
      </c>
      <c r="AI342">
        <v>108.84687308433099</v>
      </c>
      <c r="AJ342">
        <v>80.3225508671852</v>
      </c>
      <c r="AK342">
        <v>0.59117162430688397</v>
      </c>
      <c r="AL342">
        <v>87.797410490034906</v>
      </c>
      <c r="AM342">
        <v>89.353310054900106</v>
      </c>
      <c r="AN342">
        <v>0.999999968507297</v>
      </c>
    </row>
    <row r="343" spans="1:40" x14ac:dyDescent="0.25">
      <c r="A343" t="str">
        <f>"20190305135802278"</f>
        <v>20190305135802278</v>
      </c>
      <c r="B343" t="str">
        <f>"1551765482269603"</f>
        <v>1551765482269603</v>
      </c>
      <c r="C343" t="s">
        <v>40</v>
      </c>
      <c r="D343">
        <v>4.0758609999999997</v>
      </c>
      <c r="E343">
        <v>0.54096699999999998</v>
      </c>
      <c r="F343" t="s">
        <v>41</v>
      </c>
      <c r="G343">
        <v>-385.38639999999998</v>
      </c>
      <c r="H343">
        <v>0.8956653</v>
      </c>
      <c r="I343">
        <v>368.11919999999998</v>
      </c>
      <c r="J343">
        <v>-386.04020000000003</v>
      </c>
      <c r="K343">
        <v>1.1094120000000001</v>
      </c>
      <c r="L343">
        <v>368.23329999999999</v>
      </c>
      <c r="M343">
        <v>0.99987490000000001</v>
      </c>
      <c r="N343">
        <v>-1.33577E-2</v>
      </c>
      <c r="O343">
        <v>8.4773330000000001E-3</v>
      </c>
      <c r="P343">
        <v>0.99968190000000001</v>
      </c>
      <c r="Q343">
        <v>2.5110759999999999E-2</v>
      </c>
      <c r="R343">
        <v>-2.3811230000000002E-3</v>
      </c>
      <c r="S343">
        <v>3.017639</v>
      </c>
      <c r="T343">
        <v>-0.70575480000000002</v>
      </c>
      <c r="U343">
        <v>-0.37017820000000001</v>
      </c>
      <c r="V343">
        <v>1.0882670000000001E-2</v>
      </c>
      <c r="W343">
        <v>3.8453939999999999E-2</v>
      </c>
      <c r="X343">
        <v>0.99920109999999995</v>
      </c>
      <c r="Y343">
        <v>0.126407399999999</v>
      </c>
      <c r="Z343">
        <v>-1.7229970000000001E-2</v>
      </c>
      <c r="AA343">
        <v>0.99182870000000001</v>
      </c>
      <c r="AB343">
        <v>35</v>
      </c>
      <c r="AC343">
        <v>0.65380000000004601</v>
      </c>
      <c r="AD343">
        <v>-0.21374670000000001</v>
      </c>
      <c r="AE343">
        <v>-0.114100000000007</v>
      </c>
      <c r="AF343">
        <v>0.108395643074068</v>
      </c>
      <c r="AG343">
        <v>-0.21374670000000001</v>
      </c>
      <c r="AH343">
        <v>0.59146049812814805</v>
      </c>
      <c r="AI343">
        <v>109.568656691226</v>
      </c>
      <c r="AJ343">
        <v>79.614776898987202</v>
      </c>
      <c r="AK343">
        <v>0.63817144095010103</v>
      </c>
      <c r="AL343">
        <v>87.796208151926507</v>
      </c>
      <c r="AM343">
        <v>89.375995074703397</v>
      </c>
      <c r="AN343">
        <v>0.99999998812453095</v>
      </c>
    </row>
    <row r="344" spans="1:40" x14ac:dyDescent="0.25">
      <c r="A344" t="str">
        <f>"20190305135802294"</f>
        <v>20190305135802294</v>
      </c>
      <c r="B344" t="str">
        <f>"1551765482289124"</f>
        <v>1551765482289124</v>
      </c>
      <c r="C344" t="s">
        <v>40</v>
      </c>
      <c r="D344">
        <v>4.5960359999999998</v>
      </c>
      <c r="E344">
        <v>0.54036629999999997</v>
      </c>
      <c r="F344" t="s">
        <v>41</v>
      </c>
      <c r="G344">
        <v>-385.07369999999997</v>
      </c>
      <c r="H344">
        <v>0.88436680000000001</v>
      </c>
      <c r="I344">
        <v>368.113</v>
      </c>
      <c r="J344">
        <v>-385.78449999999998</v>
      </c>
      <c r="K344">
        <v>1.1094219999999999</v>
      </c>
      <c r="L344">
        <v>368.2353</v>
      </c>
      <c r="M344">
        <v>0.99987789999999999</v>
      </c>
      <c r="N344">
        <v>-1.3256840000000001E-2</v>
      </c>
      <c r="O344">
        <v>8.2826089999999998E-3</v>
      </c>
      <c r="P344">
        <v>0.99969140000000001</v>
      </c>
      <c r="Q344">
        <v>2.4801520000000001E-2</v>
      </c>
      <c r="R344">
        <v>-1.523532E-3</v>
      </c>
      <c r="S344">
        <v>3.0177309999999999</v>
      </c>
      <c r="T344">
        <v>-0.70277330000000005</v>
      </c>
      <c r="U344">
        <v>-0.37393189999999998</v>
      </c>
      <c r="V344">
        <v>9.8294490000000005E-3</v>
      </c>
      <c r="W344">
        <v>3.8044639999999998E-2</v>
      </c>
      <c r="X344">
        <v>0.99922770000000005</v>
      </c>
      <c r="Y344">
        <v>0.12743450000000001</v>
      </c>
      <c r="Z344">
        <v>-1.7237229999999999E-2</v>
      </c>
      <c r="AA344">
        <v>0.99169719999999995</v>
      </c>
      <c r="AB344">
        <v>35</v>
      </c>
      <c r="AC344">
        <v>0.71080000000000598</v>
      </c>
      <c r="AD344">
        <v>-0.22505519999999901</v>
      </c>
      <c r="AE344">
        <v>-0.122299999999938</v>
      </c>
      <c r="AF344">
        <v>0.116810121415165</v>
      </c>
      <c r="AG344">
        <v>-0.22505519999999901</v>
      </c>
      <c r="AH344">
        <v>0.64678672881147503</v>
      </c>
      <c r="AI344">
        <v>108.90220026494499</v>
      </c>
      <c r="AJ344">
        <v>79.7626935805051</v>
      </c>
      <c r="AK344">
        <v>0.69471398436962095</v>
      </c>
      <c r="AL344">
        <v>87.819676524274598</v>
      </c>
      <c r="AM344">
        <v>89.436396951699606</v>
      </c>
      <c r="AN344">
        <v>1.00000000457383</v>
      </c>
    </row>
    <row r="345" spans="1:40" x14ac:dyDescent="0.25">
      <c r="A345" t="str">
        <f>"20190305135802317"</f>
        <v>20190305135802317</v>
      </c>
      <c r="B345" t="str">
        <f>"1551765482309619"</f>
        <v>1551765482309619</v>
      </c>
      <c r="C345" t="s">
        <v>40</v>
      </c>
      <c r="D345">
        <v>4.1065659999999999</v>
      </c>
      <c r="E345">
        <v>0.54019499999999998</v>
      </c>
      <c r="F345" t="s">
        <v>41</v>
      </c>
      <c r="G345">
        <v>-385.05180000000001</v>
      </c>
      <c r="H345">
        <v>0.93707359999999995</v>
      </c>
      <c r="I345">
        <v>368.14550000000003</v>
      </c>
      <c r="J345">
        <v>-385.43150000000003</v>
      </c>
      <c r="K345">
        <v>1.1094409999999999</v>
      </c>
      <c r="L345">
        <v>368.23790000000002</v>
      </c>
      <c r="M345">
        <v>0.99988169999999998</v>
      </c>
      <c r="N345">
        <v>-1.3125960000000001E-2</v>
      </c>
      <c r="O345">
        <v>8.0245330000000004E-3</v>
      </c>
      <c r="P345">
        <v>0.99968869999999999</v>
      </c>
      <c r="Q345">
        <v>2.493563E-2</v>
      </c>
      <c r="R345">
        <v>-8.8738059999999999E-4</v>
      </c>
      <c r="S345">
        <v>3.018005</v>
      </c>
      <c r="T345">
        <v>-0.7100052</v>
      </c>
      <c r="U345">
        <v>-0.36730960000000001</v>
      </c>
      <c r="V345">
        <v>8.9348150000000005E-3</v>
      </c>
      <c r="W345">
        <v>3.8048930000000002E-2</v>
      </c>
      <c r="X345">
        <v>0.99923589999999995</v>
      </c>
      <c r="Y345">
        <v>0.12502469999999999</v>
      </c>
      <c r="Z345">
        <v>-1.704468E-2</v>
      </c>
      <c r="AA345">
        <v>0.99200719999999998</v>
      </c>
      <c r="AB345">
        <v>35</v>
      </c>
      <c r="AC345">
        <v>0.37970000000001303</v>
      </c>
      <c r="AD345">
        <v>-0.172367399999999</v>
      </c>
      <c r="AE345">
        <v>-9.2399999999997803E-2</v>
      </c>
      <c r="AF345">
        <v>7.9899354042696893E-2</v>
      </c>
      <c r="AG345">
        <v>-0.172367399999999</v>
      </c>
      <c r="AH345">
        <v>0.31722785993670999</v>
      </c>
      <c r="AI345">
        <v>117.784729309038</v>
      </c>
      <c r="AJ345">
        <v>75.863100878598701</v>
      </c>
      <c r="AK345">
        <v>0.36976741673547298</v>
      </c>
      <c r="AL345">
        <v>87.819430467321595</v>
      </c>
      <c r="AM345">
        <v>89.487695000246205</v>
      </c>
      <c r="AN345">
        <v>0.99999996792101897</v>
      </c>
    </row>
    <row r="346" spans="1:40" x14ac:dyDescent="0.25">
      <c r="A346" t="str">
        <f>"20190305135802330"</f>
        <v>20190305135802330</v>
      </c>
      <c r="B346" t="str">
        <f>"1551765482319379"</f>
        <v>1551765482319379</v>
      </c>
      <c r="C346" t="s">
        <v>40</v>
      </c>
      <c r="D346">
        <v>4.2791860000000002</v>
      </c>
      <c r="E346">
        <v>0.53893919999999995</v>
      </c>
      <c r="F346" t="s">
        <v>41</v>
      </c>
      <c r="G346">
        <v>-384.73070000000001</v>
      </c>
      <c r="H346">
        <v>0.94563600000000003</v>
      </c>
      <c r="I346">
        <v>368.15309999999999</v>
      </c>
      <c r="J346">
        <v>-385.2312</v>
      </c>
      <c r="K346">
        <v>1.1094469999999901</v>
      </c>
      <c r="L346">
        <v>368.23939999999999</v>
      </c>
      <c r="M346">
        <v>0.99988370000000004</v>
      </c>
      <c r="N346">
        <v>-1.305776E-2</v>
      </c>
      <c r="O346">
        <v>7.8841919999999999E-3</v>
      </c>
      <c r="P346">
        <v>0.99968650000000003</v>
      </c>
      <c r="Q346">
        <v>2.5033819999999998E-2</v>
      </c>
      <c r="R346">
        <v>-4.3138999999999997E-4</v>
      </c>
      <c r="S346">
        <v>3.0182190000000002</v>
      </c>
      <c r="T346">
        <v>-0.70551680000000005</v>
      </c>
      <c r="U346">
        <v>-0.36340329999999998</v>
      </c>
      <c r="V346">
        <v>8.3384389999999996E-3</v>
      </c>
      <c r="W346">
        <v>3.8079410000000001E-2</v>
      </c>
      <c r="X346">
        <v>0.99923989999999996</v>
      </c>
      <c r="Y346">
        <v>0.12369869999999999</v>
      </c>
      <c r="Z346">
        <v>-1.6748659999999999E-2</v>
      </c>
      <c r="AA346">
        <v>0.99217849999999996</v>
      </c>
      <c r="AB346">
        <v>35</v>
      </c>
      <c r="AC346">
        <v>0.50049999999998795</v>
      </c>
      <c r="AD346">
        <v>-0.16381099999999901</v>
      </c>
      <c r="AE346">
        <v>-8.6299999999994201E-2</v>
      </c>
      <c r="AF346">
        <v>8.1740333639945095E-2</v>
      </c>
      <c r="AG346">
        <v>-0.16381099999999901</v>
      </c>
      <c r="AH346">
        <v>0.45270913828256898</v>
      </c>
      <c r="AI346">
        <v>109.600210031393</v>
      </c>
      <c r="AJ346">
        <v>79.7650521582989</v>
      </c>
      <c r="AK346">
        <v>0.48832477896284998</v>
      </c>
      <c r="AL346">
        <v>87.817682839511704</v>
      </c>
      <c r="AM346">
        <v>89.521890315544098</v>
      </c>
      <c r="AN346">
        <v>0.99999997439145705</v>
      </c>
    </row>
    <row r="347" spans="1:40" x14ac:dyDescent="0.25">
      <c r="A347" t="str">
        <f>"20190305135802342"</f>
        <v>20190305135802342</v>
      </c>
      <c r="B347" t="str">
        <f>"1551765482338899"</f>
        <v>1551765482338899</v>
      </c>
      <c r="C347" t="s">
        <v>40</v>
      </c>
      <c r="D347">
        <v>4.0800589999999897</v>
      </c>
      <c r="E347">
        <v>0.54003999999999996</v>
      </c>
      <c r="F347" t="s">
        <v>41</v>
      </c>
      <c r="G347">
        <v>-384.42520000000002</v>
      </c>
      <c r="H347">
        <v>0.92045809999999995</v>
      </c>
      <c r="I347">
        <v>368.14510000000001</v>
      </c>
      <c r="J347">
        <v>-385.02670000000001</v>
      </c>
      <c r="K347">
        <v>1.1094539999999999</v>
      </c>
      <c r="L347">
        <v>368.24090000000001</v>
      </c>
      <c r="M347">
        <v>0.99988569999999999</v>
      </c>
      <c r="N347">
        <v>-1.299089E-2</v>
      </c>
      <c r="O347">
        <v>7.7421039999999997E-3</v>
      </c>
      <c r="P347">
        <v>0.99969149999999996</v>
      </c>
      <c r="Q347">
        <v>2.484252E-2</v>
      </c>
      <c r="R347">
        <v>-2.288294E-4</v>
      </c>
      <c r="S347">
        <v>3.0185240000000002</v>
      </c>
      <c r="T347">
        <v>-0.70783629999999997</v>
      </c>
      <c r="U347">
        <v>-0.35253909999999899</v>
      </c>
      <c r="V347">
        <v>7.9935709999999997E-3</v>
      </c>
      <c r="W347">
        <v>3.7821639999999997E-2</v>
      </c>
      <c r="X347">
        <v>0.99925260000000005</v>
      </c>
      <c r="Y347">
        <v>0.12010510000000001</v>
      </c>
      <c r="Z347">
        <v>-1.63287999999999E-2</v>
      </c>
      <c r="AA347">
        <v>0.99262689999999998</v>
      </c>
      <c r="AB347">
        <v>35</v>
      </c>
      <c r="AC347">
        <v>0.60149999999998705</v>
      </c>
      <c r="AD347">
        <v>-0.18899589999999999</v>
      </c>
      <c r="AE347">
        <v>-9.5799999999996999E-2</v>
      </c>
      <c r="AF347">
        <v>9.16317223209972E-2</v>
      </c>
      <c r="AG347">
        <v>-0.18899589999999999</v>
      </c>
      <c r="AH347">
        <v>0.54797860805323395</v>
      </c>
      <c r="AI347">
        <v>108.78693625248</v>
      </c>
      <c r="AJ347">
        <v>80.506961966359</v>
      </c>
      <c r="AK347">
        <v>0.58685294379110198</v>
      </c>
      <c r="AL347">
        <v>87.832462819000497</v>
      </c>
      <c r="AM347">
        <v>89.541669331266903</v>
      </c>
      <c r="AN347">
        <v>1.00000006611818</v>
      </c>
    </row>
    <row r="348" spans="1:40" x14ac:dyDescent="0.25">
      <c r="A348" t="str">
        <f>"20190305135802360"</f>
        <v>20190305135802360</v>
      </c>
      <c r="B348" t="str">
        <f>"1551765482349638"</f>
        <v>1551765482349638</v>
      </c>
      <c r="C348" t="s">
        <v>40</v>
      </c>
      <c r="D348">
        <v>4.0652939999999997</v>
      </c>
      <c r="E348">
        <v>0.54097550000000005</v>
      </c>
      <c r="F348" t="s">
        <v>41</v>
      </c>
      <c r="G348">
        <v>-384.11720000000003</v>
      </c>
      <c r="H348">
        <v>0.89822749999999996</v>
      </c>
      <c r="I348">
        <v>368.13220000000001</v>
      </c>
      <c r="J348">
        <v>-384.7423</v>
      </c>
      <c r="K348">
        <v>1.109456</v>
      </c>
      <c r="L348">
        <v>368.24290000000002</v>
      </c>
      <c r="M348">
        <v>0.99988840000000001</v>
      </c>
      <c r="N348">
        <v>-1.290533E-2</v>
      </c>
      <c r="O348">
        <v>7.5475689999999996E-3</v>
      </c>
      <c r="P348">
        <v>0.9996874</v>
      </c>
      <c r="Q348">
        <v>2.5002389999999999E-2</v>
      </c>
      <c r="R348">
        <v>5.108593E-4</v>
      </c>
      <c r="S348">
        <v>3.0182190000000002</v>
      </c>
      <c r="T348">
        <v>-0.70086549999999903</v>
      </c>
      <c r="U348">
        <v>-0.36013790000000001</v>
      </c>
      <c r="V348">
        <v>7.0591489999999998E-3</v>
      </c>
      <c r="W348">
        <v>3.7896920000000001E-2</v>
      </c>
      <c r="X348">
        <v>0.9992567</v>
      </c>
      <c r="Y348">
        <v>0.1223983</v>
      </c>
      <c r="Z348">
        <v>-1.6408409999999998E-2</v>
      </c>
      <c r="AA348">
        <v>0.99234540000000004</v>
      </c>
      <c r="AB348">
        <v>35</v>
      </c>
      <c r="AC348">
        <v>0.62509999999997401</v>
      </c>
      <c r="AD348">
        <v>-0.21122850000000001</v>
      </c>
      <c r="AE348">
        <v>-0.110700000000008</v>
      </c>
      <c r="AF348">
        <v>0.103911015921047</v>
      </c>
      <c r="AG348">
        <v>-0.21122850000000001</v>
      </c>
      <c r="AH348">
        <v>0.56202376855654701</v>
      </c>
      <c r="AI348">
        <v>110.282901632254</v>
      </c>
      <c r="AJ348">
        <v>79.525029590272098</v>
      </c>
      <c r="AK348">
        <v>0.60933217120425998</v>
      </c>
      <c r="AL348">
        <v>87.828146312102206</v>
      </c>
      <c r="AM348">
        <v>89.595246430099493</v>
      </c>
      <c r="AN348">
        <v>0.99999998031249004</v>
      </c>
    </row>
    <row r="349" spans="1:40" x14ac:dyDescent="0.25">
      <c r="A349" t="str">
        <f>"20190305135802375"</f>
        <v>20190305135802375</v>
      </c>
      <c r="B349" t="str">
        <f>"1551765482369155"</f>
        <v>1551765482369155</v>
      </c>
      <c r="C349" t="s">
        <v>40</v>
      </c>
      <c r="D349">
        <v>4.0465150000000003</v>
      </c>
      <c r="E349">
        <v>0.54376049999999998</v>
      </c>
      <c r="F349" t="s">
        <v>41</v>
      </c>
      <c r="G349">
        <v>-383.80220000000003</v>
      </c>
      <c r="H349">
        <v>0.89256259999999998</v>
      </c>
      <c r="I349">
        <v>368.12869999999998</v>
      </c>
      <c r="J349">
        <v>-384.51830000000001</v>
      </c>
      <c r="K349">
        <v>1.1094599999999999</v>
      </c>
      <c r="L349">
        <v>368.24439999999998</v>
      </c>
      <c r="M349">
        <v>0.99989019999999995</v>
      </c>
      <c r="N349">
        <v>-1.284622E-2</v>
      </c>
      <c r="O349">
        <v>7.3934990000000004E-3</v>
      </c>
      <c r="P349">
        <v>0.99969169999999996</v>
      </c>
      <c r="Q349">
        <v>2.4832770000000001E-2</v>
      </c>
      <c r="R349">
        <v>6.0589779999999896E-4</v>
      </c>
      <c r="S349">
        <v>3.0185550000000001</v>
      </c>
      <c r="T349">
        <v>-0.69647009999999998</v>
      </c>
      <c r="U349">
        <v>-0.36541750000000001</v>
      </c>
      <c r="V349">
        <v>6.8098000000000004E-3</v>
      </c>
      <c r="W349">
        <v>3.7668680000000003E-2</v>
      </c>
      <c r="X349">
        <v>0.99926709999999996</v>
      </c>
      <c r="Y349">
        <v>0.1239498</v>
      </c>
      <c r="Z349">
        <v>-1.6459069999999999E-2</v>
      </c>
      <c r="AA349">
        <v>0.99215200000000003</v>
      </c>
      <c r="AB349">
        <v>35</v>
      </c>
      <c r="AC349">
        <v>0.71609999999998297</v>
      </c>
      <c r="AD349">
        <v>-0.21689739999999999</v>
      </c>
      <c r="AE349">
        <v>-0.11570000000000299</v>
      </c>
      <c r="AF349">
        <v>0.111062074330224</v>
      </c>
      <c r="AG349">
        <v>-0.21689739999999999</v>
      </c>
      <c r="AH349">
        <v>0.65652706354393897</v>
      </c>
      <c r="AI349">
        <v>108.04264695197099</v>
      </c>
      <c r="AJ349">
        <v>80.398402115656793</v>
      </c>
      <c r="AK349">
        <v>0.700290690818406</v>
      </c>
      <c r="AL349">
        <v>87.841232930901</v>
      </c>
      <c r="AM349">
        <v>89.609547077616895</v>
      </c>
      <c r="AN349">
        <v>1.00000001998569</v>
      </c>
    </row>
    <row r="350" spans="1:40" x14ac:dyDescent="0.25">
      <c r="A350" t="str">
        <f>"20190305135802387"</f>
        <v>20190305135802387</v>
      </c>
      <c r="B350" t="str">
        <f>"1551765482378915"</f>
        <v>1551765482378915</v>
      </c>
      <c r="C350" t="s">
        <v>40</v>
      </c>
      <c r="D350">
        <v>4.0494450000000004</v>
      </c>
      <c r="E350">
        <v>0.54485640000000002</v>
      </c>
      <c r="F350" t="s">
        <v>41</v>
      </c>
      <c r="G350">
        <v>-383.78149999999999</v>
      </c>
      <c r="H350">
        <v>0.94061530000000004</v>
      </c>
      <c r="I350">
        <v>368.14949999999999</v>
      </c>
      <c r="J350">
        <v>-384.31549999999999</v>
      </c>
      <c r="K350">
        <v>1.1094660000000001</v>
      </c>
      <c r="L350">
        <v>368.24579999999997</v>
      </c>
      <c r="M350">
        <v>0.9998918</v>
      </c>
      <c r="N350">
        <v>-1.280033E-2</v>
      </c>
      <c r="O350">
        <v>7.2526780000000002E-3</v>
      </c>
      <c r="P350">
        <v>0.99969669999999999</v>
      </c>
      <c r="Q350">
        <v>2.4618259999999999E-2</v>
      </c>
      <c r="R350">
        <v>7.4376710000000003E-4</v>
      </c>
      <c r="S350">
        <v>3.0183409999999999</v>
      </c>
      <c r="T350">
        <v>-0.69175050000000005</v>
      </c>
      <c r="U350">
        <v>-0.38720700000000002</v>
      </c>
      <c r="V350">
        <v>6.531088E-3</v>
      </c>
      <c r="W350">
        <v>3.7408030000000002E-2</v>
      </c>
      <c r="X350">
        <v>0.99927869999999996</v>
      </c>
      <c r="Y350">
        <v>0.1307383</v>
      </c>
      <c r="Z350">
        <v>-1.7126289999999999E-2</v>
      </c>
      <c r="AA350">
        <v>0.99126899999999996</v>
      </c>
      <c r="AB350">
        <v>35</v>
      </c>
      <c r="AC350">
        <v>0.53399999999999104</v>
      </c>
      <c r="AD350">
        <v>-0.16885069999999999</v>
      </c>
      <c r="AE350">
        <v>-9.6299999999985106E-2</v>
      </c>
      <c r="AF350">
        <v>9.13272111107791E-2</v>
      </c>
      <c r="AG350">
        <v>-0.16885069999999999</v>
      </c>
      <c r="AH350">
        <v>0.48620654412299202</v>
      </c>
      <c r="AI350">
        <v>108.845432480703</v>
      </c>
      <c r="AJ350">
        <v>79.3617347849558</v>
      </c>
      <c r="AK350">
        <v>0.52273130949636604</v>
      </c>
      <c r="AL350">
        <v>87.856177497368606</v>
      </c>
      <c r="AM350">
        <v>89.625531445918398</v>
      </c>
      <c r="AN350">
        <v>0.99999996804631597</v>
      </c>
    </row>
    <row r="351" spans="1:40" x14ac:dyDescent="0.25">
      <c r="A351" t="str">
        <f>"20190305135802406"</f>
        <v>20190305135802406</v>
      </c>
      <c r="B351" t="str">
        <f>"1551765482399411"</f>
        <v>1551765482399411</v>
      </c>
      <c r="C351" t="s">
        <v>40</v>
      </c>
      <c r="D351">
        <v>4.1238219999999997</v>
      </c>
      <c r="E351">
        <v>0.5462863</v>
      </c>
      <c r="F351" t="s">
        <v>41</v>
      </c>
      <c r="G351">
        <v>-383.47469999999998</v>
      </c>
      <c r="H351">
        <v>0.9171802</v>
      </c>
      <c r="I351">
        <v>368.13549999999998</v>
      </c>
      <c r="J351">
        <v>-384.01940000000002</v>
      </c>
      <c r="K351">
        <v>1.109477</v>
      </c>
      <c r="L351">
        <v>368.24779999999998</v>
      </c>
      <c r="M351">
        <v>0.9998939</v>
      </c>
      <c r="N351">
        <v>-1.2752080000000001E-2</v>
      </c>
      <c r="O351">
        <v>7.0491240000000004E-3</v>
      </c>
      <c r="P351">
        <v>0.99970769999999998</v>
      </c>
      <c r="Q351">
        <v>2.416403E-2</v>
      </c>
      <c r="R351">
        <v>9.6772790000000002E-4</v>
      </c>
      <c r="S351">
        <v>3.0182190000000002</v>
      </c>
      <c r="T351">
        <v>-0.69030829999999999</v>
      </c>
      <c r="U351">
        <v>-0.39538570000000001</v>
      </c>
      <c r="V351">
        <v>6.1031159999999996E-3</v>
      </c>
      <c r="W351">
        <v>3.6906269999999998E-2</v>
      </c>
      <c r="X351">
        <v>0.99930010000000002</v>
      </c>
      <c r="Y351">
        <v>0.1331397</v>
      </c>
      <c r="Z351">
        <v>-1.7330519999999999E-2</v>
      </c>
      <c r="AA351">
        <v>0.99094579999999999</v>
      </c>
      <c r="AB351">
        <v>35</v>
      </c>
      <c r="AC351">
        <v>0.54470000000003405</v>
      </c>
      <c r="AD351">
        <v>-0.19229679999999999</v>
      </c>
      <c r="AE351">
        <v>-0.11230000000000399</v>
      </c>
      <c r="AF351">
        <v>0.103735552711893</v>
      </c>
      <c r="AG351">
        <v>-0.19229679999999999</v>
      </c>
      <c r="AH351">
        <v>0.48581536377916201</v>
      </c>
      <c r="AI351">
        <v>111.161242416568</v>
      </c>
      <c r="AJ351">
        <v>77.946715516133807</v>
      </c>
      <c r="AK351">
        <v>0.53268723644420202</v>
      </c>
      <c r="AL351">
        <v>87.884946174399403</v>
      </c>
      <c r="AM351">
        <v>89.650076647617794</v>
      </c>
      <c r="AN351">
        <v>1.0000000053251099</v>
      </c>
    </row>
    <row r="352" spans="1:40" x14ac:dyDescent="0.25">
      <c r="A352" t="str">
        <f>"20190305135802417"</f>
        <v>20190305135802417</v>
      </c>
      <c r="B352" t="str">
        <f>"1551765482409171"</f>
        <v>1551765482409171</v>
      </c>
      <c r="C352" t="s">
        <v>40</v>
      </c>
      <c r="D352">
        <v>4.0911900000000001</v>
      </c>
      <c r="E352">
        <v>0.54680059999999997</v>
      </c>
      <c r="F352" t="s">
        <v>41</v>
      </c>
      <c r="G352">
        <v>-383.15940000000001</v>
      </c>
      <c r="H352">
        <v>0.91252420000000001</v>
      </c>
      <c r="I352">
        <v>368.13189999999997</v>
      </c>
      <c r="J352">
        <v>-383.82240000000002</v>
      </c>
      <c r="K352">
        <v>1.1094889999999999</v>
      </c>
      <c r="L352">
        <v>368.24900000000002</v>
      </c>
      <c r="M352">
        <v>0.99989499999999998</v>
      </c>
      <c r="N352">
        <v>-1.273381E-2</v>
      </c>
      <c r="O352">
        <v>6.916541E-3</v>
      </c>
      <c r="P352">
        <v>0.99970579999999998</v>
      </c>
      <c r="Q352">
        <v>2.4236170000000001E-2</v>
      </c>
      <c r="R352">
        <v>1.0046689999999999E-3</v>
      </c>
      <c r="S352">
        <v>3.0179749999999999</v>
      </c>
      <c r="T352">
        <v>-0.69120539999999997</v>
      </c>
      <c r="U352">
        <v>-0.4060974</v>
      </c>
      <c r="V352">
        <v>5.9337560000000001E-3</v>
      </c>
      <c r="W352">
        <v>3.6960590000000001E-2</v>
      </c>
      <c r="X352">
        <v>0.9992991</v>
      </c>
      <c r="Y352">
        <v>0.13638220000000001</v>
      </c>
      <c r="Z352">
        <v>-1.7706030000000001E-2</v>
      </c>
      <c r="AA352">
        <v>0.99049810000000005</v>
      </c>
      <c r="AB352">
        <v>35</v>
      </c>
      <c r="AC352">
        <v>0.66300000000001003</v>
      </c>
      <c r="AD352">
        <v>-0.196964799999999</v>
      </c>
      <c r="AE352">
        <v>-0.11710000000005</v>
      </c>
      <c r="AF352">
        <v>0.112089775713892</v>
      </c>
      <c r="AG352">
        <v>-0.196964799999999</v>
      </c>
      <c r="AH352">
        <v>0.60996858159397405</v>
      </c>
      <c r="AI352">
        <v>107.61942655418</v>
      </c>
      <c r="AJ352">
        <v>79.587315612779904</v>
      </c>
      <c r="AK352">
        <v>0.65070801500396103</v>
      </c>
      <c r="AL352">
        <v>87.881831716595102</v>
      </c>
      <c r="AM352">
        <v>89.659786364478293</v>
      </c>
      <c r="AN352">
        <v>0.99999999296711195</v>
      </c>
    </row>
    <row r="353" spans="1:40" x14ac:dyDescent="0.25">
      <c r="A353" t="str">
        <f>"20190305135802439"</f>
        <v>20190305135802439</v>
      </c>
      <c r="B353" t="str">
        <f>"1551765482429667"</f>
        <v>1551765482429667</v>
      </c>
      <c r="C353" t="s">
        <v>40</v>
      </c>
      <c r="D353">
        <v>3.9901789999999999</v>
      </c>
      <c r="E353">
        <v>0.54788429999999999</v>
      </c>
      <c r="F353" t="s">
        <v>41</v>
      </c>
      <c r="G353">
        <v>-382.85239999999999</v>
      </c>
      <c r="H353">
        <v>0.88752559999999903</v>
      </c>
      <c r="I353">
        <v>368.1173</v>
      </c>
      <c r="J353">
        <v>-383.49110000000002</v>
      </c>
      <c r="K353">
        <v>1.1095170000000001</v>
      </c>
      <c r="L353">
        <v>368.25110000000001</v>
      </c>
      <c r="M353">
        <v>0.99989620000000001</v>
      </c>
      <c r="N353">
        <v>-1.275246E-2</v>
      </c>
      <c r="O353">
        <v>6.7108640000000004E-3</v>
      </c>
      <c r="P353">
        <v>0.99970970000000003</v>
      </c>
      <c r="Q353">
        <v>2.4070970000000001E-2</v>
      </c>
      <c r="R353">
        <v>1.231371E-3</v>
      </c>
      <c r="S353">
        <v>3.0180359999999999</v>
      </c>
      <c r="T353">
        <v>-0.69057009999999996</v>
      </c>
      <c r="U353">
        <v>-0.40997309999999998</v>
      </c>
      <c r="V353">
        <v>5.5006889999999996E-3</v>
      </c>
      <c r="W353">
        <v>3.6814300000000001E-2</v>
      </c>
      <c r="X353">
        <v>0.99930699999999995</v>
      </c>
      <c r="Y353">
        <v>0.13740949999999999</v>
      </c>
      <c r="Z353">
        <v>-1.7768869999999999E-2</v>
      </c>
      <c r="AA353">
        <v>0.99035499999999999</v>
      </c>
      <c r="AB353">
        <v>35</v>
      </c>
      <c r="AC353">
        <v>0.63870000000002802</v>
      </c>
      <c r="AD353">
        <v>-0.22199140000000001</v>
      </c>
      <c r="AE353">
        <v>-0.133800000000007</v>
      </c>
      <c r="AF353">
        <v>0.12376133230042501</v>
      </c>
      <c r="AG353">
        <v>-0.22199140000000001</v>
      </c>
      <c r="AH353">
        <v>0.57163535228822504</v>
      </c>
      <c r="AI353">
        <v>110.784296053647</v>
      </c>
      <c r="AJ353">
        <v>77.783780595351502</v>
      </c>
      <c r="AK353">
        <v>0.62559094065724696</v>
      </c>
      <c r="AL353">
        <v>87.890219271608302</v>
      </c>
      <c r="AM353">
        <v>89.684618359484205</v>
      </c>
      <c r="AN353">
        <v>1.0000000152564801</v>
      </c>
    </row>
    <row r="354" spans="1:40" x14ac:dyDescent="0.25">
      <c r="A354" t="str">
        <f>"20190305135802451"</f>
        <v>20190305135802451</v>
      </c>
      <c r="B354" t="str">
        <f>"1551765482439427"</f>
        <v>1551765482439427</v>
      </c>
      <c r="C354" t="s">
        <v>40</v>
      </c>
      <c r="D354">
        <v>4.0755559999999997</v>
      </c>
      <c r="E354">
        <v>0.54828049999999995</v>
      </c>
      <c r="F354" t="s">
        <v>41</v>
      </c>
      <c r="G354">
        <v>-382.5342</v>
      </c>
      <c r="H354">
        <v>0.89137949999999999</v>
      </c>
      <c r="I354">
        <v>368.11829999999998</v>
      </c>
      <c r="J354">
        <v>-383.30290000000002</v>
      </c>
      <c r="K354">
        <v>1.1095389999999901</v>
      </c>
      <c r="L354">
        <v>368.25220000000002</v>
      </c>
      <c r="M354">
        <v>0.99989649999999997</v>
      </c>
      <c r="N354">
        <v>-1.279594E-2</v>
      </c>
      <c r="O354">
        <v>6.5977960000000004E-3</v>
      </c>
      <c r="P354">
        <v>0.99971589999999999</v>
      </c>
      <c r="Q354">
        <v>2.3815429999999999E-2</v>
      </c>
      <c r="R354">
        <v>1.1061599999999999E-3</v>
      </c>
      <c r="S354">
        <v>3.017944</v>
      </c>
      <c r="T354">
        <v>-0.68795410000000001</v>
      </c>
      <c r="U354">
        <v>-0.41766360000000002</v>
      </c>
      <c r="V354">
        <v>5.5123780000000001E-3</v>
      </c>
      <c r="W354">
        <v>3.6602250000000003E-2</v>
      </c>
      <c r="X354">
        <v>0.9993147</v>
      </c>
      <c r="Y354">
        <v>0.13974710000000001</v>
      </c>
      <c r="Z354">
        <v>-1.7959889999999999E-2</v>
      </c>
      <c r="AA354">
        <v>0.99002429999999997</v>
      </c>
      <c r="AB354">
        <v>35</v>
      </c>
      <c r="AC354">
        <v>0.76870000000002303</v>
      </c>
      <c r="AD354">
        <v>-0.21815949999999901</v>
      </c>
      <c r="AE354">
        <v>-0.13390000000003899</v>
      </c>
      <c r="AF354">
        <v>0.12889333448509099</v>
      </c>
      <c r="AG354">
        <v>-0.21815949999999901</v>
      </c>
      <c r="AH354">
        <v>0.71213082994218901</v>
      </c>
      <c r="AI354">
        <v>106.775410683535</v>
      </c>
      <c r="AJ354">
        <v>79.740721058098899</v>
      </c>
      <c r="AK354">
        <v>0.75586862487411499</v>
      </c>
      <c r="AL354">
        <v>87.902376983212903</v>
      </c>
      <c r="AM354">
        <v>89.683950620240097</v>
      </c>
      <c r="AN354">
        <v>0.99999999032618303</v>
      </c>
    </row>
    <row r="355" spans="1:40" x14ac:dyDescent="0.25">
      <c r="A355" t="str">
        <f>"20190305135802464"</f>
        <v>20190305135802464</v>
      </c>
      <c r="B355" t="str">
        <f>"1551765482458947"</f>
        <v>1551765482458947</v>
      </c>
      <c r="C355" t="s">
        <v>40</v>
      </c>
      <c r="D355">
        <v>4.0684500000000003</v>
      </c>
      <c r="E355">
        <v>0.54932460000000005</v>
      </c>
      <c r="F355" t="s">
        <v>41</v>
      </c>
      <c r="G355">
        <v>-382.51819999999998</v>
      </c>
      <c r="H355">
        <v>0.93053830000000004</v>
      </c>
      <c r="I355">
        <v>368.14240000000001</v>
      </c>
      <c r="J355">
        <v>-383.09519999999998</v>
      </c>
      <c r="K355">
        <v>1.1095710000000001</v>
      </c>
      <c r="L355">
        <v>368.25349999999997</v>
      </c>
      <c r="M355">
        <v>0.99989649999999997</v>
      </c>
      <c r="N355">
        <v>-1.28594E-2</v>
      </c>
      <c r="O355">
        <v>6.4744969999999897E-3</v>
      </c>
      <c r="P355">
        <v>0.99971679999999996</v>
      </c>
      <c r="Q355">
        <v>2.3779049999999999E-2</v>
      </c>
      <c r="R355">
        <v>1.113887E-3</v>
      </c>
      <c r="S355">
        <v>3.0177610000000001</v>
      </c>
      <c r="T355">
        <v>-0.68841960000000002</v>
      </c>
      <c r="U355">
        <v>-0.42105100000000001</v>
      </c>
      <c r="V355">
        <v>5.3803610000000002E-3</v>
      </c>
      <c r="W355">
        <v>3.6629420000000003E-2</v>
      </c>
      <c r="X355">
        <v>0.99931440000000005</v>
      </c>
      <c r="Y355">
        <v>0.14069519999999999</v>
      </c>
      <c r="Z355">
        <v>-1.8061520000000001E-2</v>
      </c>
      <c r="AA355">
        <v>0.9898882</v>
      </c>
      <c r="AB355">
        <v>35</v>
      </c>
      <c r="AC355">
        <v>0.57699999999999796</v>
      </c>
      <c r="AD355">
        <v>-0.17903269999999899</v>
      </c>
      <c r="AE355">
        <v>-0.11109999999996401</v>
      </c>
      <c r="AF355">
        <v>0.105078953616304</v>
      </c>
      <c r="AG355">
        <v>-0.17903269999999899</v>
      </c>
      <c r="AH355">
        <v>0.52731611132653999</v>
      </c>
      <c r="AI355">
        <v>108.416223093299</v>
      </c>
      <c r="AJ355">
        <v>78.730220156349205</v>
      </c>
      <c r="AK355">
        <v>0.56670678081961501</v>
      </c>
      <c r="AL355">
        <v>87.900819161941797</v>
      </c>
      <c r="AM355">
        <v>89.691519506896597</v>
      </c>
      <c r="AN355">
        <v>0.999999966370692</v>
      </c>
    </row>
    <row r="356" spans="1:40" x14ac:dyDescent="0.25">
      <c r="A356" t="str">
        <f>"20190305135802478"</f>
        <v>20190305135802478</v>
      </c>
      <c r="B356" t="str">
        <f>"1551765482468707"</f>
        <v>1551765482468707</v>
      </c>
      <c r="C356" t="s">
        <v>40</v>
      </c>
      <c r="D356">
        <v>4.0314459999999999</v>
      </c>
      <c r="E356">
        <v>0.54981910000000001</v>
      </c>
      <c r="F356" t="s">
        <v>41</v>
      </c>
      <c r="G356">
        <v>-382.21120000000002</v>
      </c>
      <c r="H356">
        <v>0.90832869999999999</v>
      </c>
      <c r="I356">
        <v>368.12759999999997</v>
      </c>
      <c r="J356">
        <v>-382.87169999999998</v>
      </c>
      <c r="K356">
        <v>1.109613</v>
      </c>
      <c r="L356">
        <v>368.25479999999999</v>
      </c>
      <c r="M356">
        <v>0.99989629999999996</v>
      </c>
      <c r="N356">
        <v>-1.2946600000000001E-2</v>
      </c>
      <c r="O356">
        <v>6.3439259999999997E-3</v>
      </c>
      <c r="P356">
        <v>0.9997277</v>
      </c>
      <c r="Q356">
        <v>2.3334460000000001E-2</v>
      </c>
      <c r="R356">
        <v>8.4645550000000003E-4</v>
      </c>
      <c r="S356">
        <v>3.0176699999999999</v>
      </c>
      <c r="T356">
        <v>-0.68706250000000002</v>
      </c>
      <c r="U356">
        <v>-0.42922969999999999</v>
      </c>
      <c r="V356">
        <v>5.516211E-3</v>
      </c>
      <c r="W356">
        <v>3.6272499999999999E-2</v>
      </c>
      <c r="X356">
        <v>0.99932670000000001</v>
      </c>
      <c r="Y356">
        <v>0.1431529</v>
      </c>
      <c r="Z356">
        <v>-1.8295180000000001E-2</v>
      </c>
      <c r="AA356">
        <v>0.98953150000000001</v>
      </c>
      <c r="AB356">
        <v>35</v>
      </c>
      <c r="AC356">
        <v>0.66049999999995601</v>
      </c>
      <c r="AD356">
        <v>-0.2012843</v>
      </c>
      <c r="AE356">
        <v>-0.12720000000001599</v>
      </c>
      <c r="AF356">
        <v>0.12058934792768999</v>
      </c>
      <c r="AG356">
        <v>-0.2012843</v>
      </c>
      <c r="AH356">
        <v>0.60546147406901296</v>
      </c>
      <c r="AI356">
        <v>108.05823750230699</v>
      </c>
      <c r="AJ356">
        <v>78.735838925651393</v>
      </c>
      <c r="AK356">
        <v>0.64933870733380505</v>
      </c>
      <c r="AL356">
        <v>87.921282816760495</v>
      </c>
      <c r="AM356">
        <v>89.683734659313103</v>
      </c>
      <c r="AN356">
        <v>0.99999998808646795</v>
      </c>
    </row>
    <row r="357" spans="1:40" x14ac:dyDescent="0.25">
      <c r="A357" t="str">
        <f>"20190305135802496"</f>
        <v>20190305135802496</v>
      </c>
      <c r="B357" t="str">
        <f>"1551765482489203"</f>
        <v>1551765482489203</v>
      </c>
      <c r="C357" t="s">
        <v>40</v>
      </c>
      <c r="D357">
        <v>4.0207040000000003</v>
      </c>
      <c r="E357">
        <v>0.5505177</v>
      </c>
      <c r="F357" t="s">
        <v>41</v>
      </c>
      <c r="G357">
        <v>-381.90309999999999</v>
      </c>
      <c r="H357">
        <v>0.88875439999999895</v>
      </c>
      <c r="I357">
        <v>368.11540000000002</v>
      </c>
      <c r="J357">
        <v>-382.59750000000003</v>
      </c>
      <c r="K357">
        <v>1.1096619999999999</v>
      </c>
      <c r="L357">
        <v>368.25639999999999</v>
      </c>
      <c r="M357">
        <v>0.99989550000000005</v>
      </c>
      <c r="N357">
        <v>-1.307207E-2</v>
      </c>
      <c r="O357">
        <v>6.1947749999999996E-3</v>
      </c>
      <c r="P357">
        <v>0.99974200000000002</v>
      </c>
      <c r="Q357">
        <v>2.2701309999999999E-2</v>
      </c>
      <c r="R357">
        <v>8.722332E-4</v>
      </c>
      <c r="S357">
        <v>3.0172729999999999</v>
      </c>
      <c r="T357">
        <v>-0.68806929999999999</v>
      </c>
      <c r="U357">
        <v>-0.43392940000000002</v>
      </c>
      <c r="V357">
        <v>5.3396090000000004E-3</v>
      </c>
      <c r="W357">
        <v>3.5764999999999998E-2</v>
      </c>
      <c r="X357">
        <v>0.99934599999999996</v>
      </c>
      <c r="Y357">
        <v>0.14448849999999999</v>
      </c>
      <c r="Z357">
        <v>-1.845598E-2</v>
      </c>
      <c r="AA357">
        <v>0.9893343</v>
      </c>
      <c r="AB357">
        <v>35</v>
      </c>
      <c r="AC357">
        <v>0.69440000000002999</v>
      </c>
      <c r="AD357">
        <v>-0.22090760000000001</v>
      </c>
      <c r="AE357">
        <v>-0.14099999999996199</v>
      </c>
      <c r="AF357">
        <v>0.13242767650145301</v>
      </c>
      <c r="AG357">
        <v>-0.22090760000000001</v>
      </c>
      <c r="AH357">
        <v>0.632076858637034</v>
      </c>
      <c r="AI357">
        <v>108.88417009859</v>
      </c>
      <c r="AJ357">
        <v>78.167003770836303</v>
      </c>
      <c r="AK357">
        <v>0.68253821319087604</v>
      </c>
      <c r="AL357">
        <v>87.950379406491095</v>
      </c>
      <c r="AM357">
        <v>89.693865639502206</v>
      </c>
      <c r="AN357">
        <v>1.0000000371826301</v>
      </c>
    </row>
    <row r="358" spans="1:40" x14ac:dyDescent="0.25">
      <c r="A358" t="str">
        <f>"20190305135802509"</f>
        <v>20190305135802509</v>
      </c>
      <c r="B358" t="str">
        <f>"1551765482498963"</f>
        <v>1551765482498963</v>
      </c>
      <c r="C358" t="s">
        <v>40</v>
      </c>
      <c r="D358">
        <v>4.0247710000000003</v>
      </c>
      <c r="E358">
        <v>0.55084679999999997</v>
      </c>
      <c r="F358" t="s">
        <v>41</v>
      </c>
      <c r="G358">
        <v>-381.87939999999998</v>
      </c>
      <c r="H358">
        <v>0.94574049999999998</v>
      </c>
      <c r="I358">
        <v>368.15190000000001</v>
      </c>
      <c r="J358">
        <v>-382.38909999999998</v>
      </c>
      <c r="K358">
        <v>1.109696</v>
      </c>
      <c r="L358">
        <v>368.25760000000002</v>
      </c>
      <c r="M358">
        <v>0.99989479999999997</v>
      </c>
      <c r="N358">
        <v>-1.316842E-2</v>
      </c>
      <c r="O358">
        <v>6.0930259999999997E-3</v>
      </c>
      <c r="P358">
        <v>0.99975029999999998</v>
      </c>
      <c r="Q358">
        <v>2.2336430000000001E-2</v>
      </c>
      <c r="R358">
        <v>8.8130009999999896E-4</v>
      </c>
      <c r="S358">
        <v>3.0167540000000002</v>
      </c>
      <c r="T358">
        <v>-0.68863219999999903</v>
      </c>
      <c r="U358">
        <v>-0.4390869</v>
      </c>
      <c r="V358">
        <v>5.2273889999999998E-3</v>
      </c>
      <c r="W358">
        <v>3.5496710000000001E-2</v>
      </c>
      <c r="X358">
        <v>0.99935620000000003</v>
      </c>
      <c r="Y358">
        <v>0.1460217</v>
      </c>
      <c r="Z358">
        <v>-1.8638189999999999E-2</v>
      </c>
      <c r="AA358">
        <v>0.98910580000000003</v>
      </c>
      <c r="AB358">
        <v>35</v>
      </c>
      <c r="AC358">
        <v>0.50970000000000903</v>
      </c>
      <c r="AD358">
        <v>-0.163955499999999</v>
      </c>
      <c r="AE358">
        <v>-0.10570000000001301</v>
      </c>
      <c r="AF358">
        <v>9.8984139655504996E-2</v>
      </c>
      <c r="AG358">
        <v>-0.163955499999999</v>
      </c>
      <c r="AH358">
        <v>0.46310393776884401</v>
      </c>
      <c r="AI358">
        <v>109.096669123906</v>
      </c>
      <c r="AJ358">
        <v>77.935104717645203</v>
      </c>
      <c r="AK358">
        <v>0.50114321611750801</v>
      </c>
      <c r="AL358">
        <v>87.965761141270406</v>
      </c>
      <c r="AM358">
        <v>89.700302458693002</v>
      </c>
      <c r="AN358">
        <v>1.0000000782475</v>
      </c>
    </row>
    <row r="359" spans="1:40" x14ac:dyDescent="0.25">
      <c r="A359" t="str">
        <f>"20190305135802529"</f>
        <v>20190305135802529</v>
      </c>
      <c r="B359" t="str">
        <f>"1551765482519459"</f>
        <v>1551765482519459</v>
      </c>
      <c r="C359" t="s">
        <v>40</v>
      </c>
      <c r="D359">
        <v>3.9718529999999999</v>
      </c>
      <c r="E359">
        <v>0.55138710000000002</v>
      </c>
      <c r="F359" t="s">
        <v>41</v>
      </c>
      <c r="G359">
        <v>-381.57389999999998</v>
      </c>
      <c r="H359">
        <v>0.92350589999999999</v>
      </c>
      <c r="I359">
        <v>368.13819999999998</v>
      </c>
      <c r="J359">
        <v>-382.0745</v>
      </c>
      <c r="K359">
        <v>1.1097459999999999</v>
      </c>
      <c r="L359">
        <v>368.25940000000003</v>
      </c>
      <c r="M359">
        <v>0.9998937</v>
      </c>
      <c r="N359">
        <v>-1.331094E-2</v>
      </c>
      <c r="O359">
        <v>5.9596229999999998E-3</v>
      </c>
      <c r="P359">
        <v>0.99977199999999999</v>
      </c>
      <c r="Q359">
        <v>2.1335139999999999E-2</v>
      </c>
      <c r="R359">
        <v>8.6578220000000001E-4</v>
      </c>
      <c r="S359">
        <v>3.0165410000000001</v>
      </c>
      <c r="T359">
        <v>-0.68900760000000005</v>
      </c>
      <c r="U359">
        <v>-0.44146730000000001</v>
      </c>
      <c r="V359">
        <v>5.1075139999999996E-3</v>
      </c>
      <c r="W359">
        <v>3.4638929999999998E-2</v>
      </c>
      <c r="X359">
        <v>0.99938680000000002</v>
      </c>
      <c r="Y359">
        <v>0.14664379999999999</v>
      </c>
      <c r="Z359">
        <v>-1.870351E-2</v>
      </c>
      <c r="AA359">
        <v>0.98901249999999996</v>
      </c>
      <c r="AB359">
        <v>35</v>
      </c>
      <c r="AC359">
        <v>0.50060000000001903</v>
      </c>
      <c r="AD359">
        <v>-0.18624009999999899</v>
      </c>
      <c r="AE359">
        <v>-0.12120000000004399</v>
      </c>
      <c r="AF359">
        <v>0.109822704404738</v>
      </c>
      <c r="AG359">
        <v>-0.18624009999999899</v>
      </c>
      <c r="AH359">
        <v>0.44207017343003102</v>
      </c>
      <c r="AI359">
        <v>112.237830679634</v>
      </c>
      <c r="AJ359">
        <v>76.048546986980597</v>
      </c>
      <c r="AK359">
        <v>0.49211019039158099</v>
      </c>
      <c r="AL359">
        <v>88.014938323376796</v>
      </c>
      <c r="AM359">
        <v>89.707183996968496</v>
      </c>
      <c r="AN359">
        <v>0.99999995909252104</v>
      </c>
    </row>
    <row r="360" spans="1:40" x14ac:dyDescent="0.25">
      <c r="A360" t="str">
        <f>"20190305135802542"</f>
        <v>20190305135802542</v>
      </c>
      <c r="B360" t="str">
        <f>"1551765482538978"</f>
        <v>1551765482538978</v>
      </c>
      <c r="C360" t="s">
        <v>40</v>
      </c>
      <c r="D360">
        <v>3.9925440000000001</v>
      </c>
      <c r="E360">
        <v>0.55203709999999995</v>
      </c>
      <c r="F360" t="s">
        <v>41</v>
      </c>
      <c r="G360">
        <v>-381.25909999999999</v>
      </c>
      <c r="H360">
        <v>0.92312479999999997</v>
      </c>
      <c r="I360">
        <v>368.13850000000002</v>
      </c>
      <c r="J360">
        <v>-381.86349999999999</v>
      </c>
      <c r="K360">
        <v>1.1097729999999999</v>
      </c>
      <c r="L360">
        <v>368.26060000000001</v>
      </c>
      <c r="M360">
        <v>0.99989289999999997</v>
      </c>
      <c r="N360">
        <v>-1.340305E-2</v>
      </c>
      <c r="O360">
        <v>5.8861729999999998E-3</v>
      </c>
      <c r="P360">
        <v>0.99978210000000001</v>
      </c>
      <c r="Q360">
        <v>2.0857000000000001E-2</v>
      </c>
      <c r="R360">
        <v>1.0062949999999999E-3</v>
      </c>
      <c r="S360">
        <v>3.0158079999999998</v>
      </c>
      <c r="T360">
        <v>-0.6901851</v>
      </c>
      <c r="U360">
        <v>-0.44650269999999997</v>
      </c>
      <c r="V360">
        <v>4.8921839999999999E-3</v>
      </c>
      <c r="W360">
        <v>3.4253400000000003E-2</v>
      </c>
      <c r="X360">
        <v>0.99940119999999999</v>
      </c>
      <c r="Y360">
        <v>0.14816689999999999</v>
      </c>
      <c r="Z360">
        <v>-1.8907790000000001E-2</v>
      </c>
      <c r="AA360">
        <v>0.98878160000000004</v>
      </c>
      <c r="AB360">
        <v>35</v>
      </c>
      <c r="AC360">
        <v>0.60439999999999805</v>
      </c>
      <c r="AD360">
        <v>-0.18664819999999999</v>
      </c>
      <c r="AE360">
        <v>-0.122099999999989</v>
      </c>
      <c r="AF360">
        <v>0.115108668171522</v>
      </c>
      <c r="AG360">
        <v>-0.18664819999999999</v>
      </c>
      <c r="AH360">
        <v>0.55300060656485195</v>
      </c>
      <c r="AI360">
        <v>108.28543395411</v>
      </c>
      <c r="AJ360">
        <v>78.241620627696506</v>
      </c>
      <c r="AK360">
        <v>0.59489261796777704</v>
      </c>
      <c r="AL360">
        <v>88.037040750830698</v>
      </c>
      <c r="AM360">
        <v>89.719532799282305</v>
      </c>
      <c r="AN360">
        <v>0.99999999371864401</v>
      </c>
    </row>
    <row r="361" spans="1:40" x14ac:dyDescent="0.25">
      <c r="A361" t="str">
        <f>"20190305135802562"</f>
        <v>20190305135802562</v>
      </c>
      <c r="B361" t="str">
        <f>"1551765482549715"</f>
        <v>1551765482549715</v>
      </c>
      <c r="C361" t="s">
        <v>40</v>
      </c>
      <c r="D361">
        <v>3.955158</v>
      </c>
      <c r="E361">
        <v>0.5522975</v>
      </c>
      <c r="F361" t="s">
        <v>41</v>
      </c>
      <c r="G361">
        <v>-380.95299999999997</v>
      </c>
      <c r="H361">
        <v>0.90122599999999997</v>
      </c>
      <c r="I361">
        <v>368.12419999999997</v>
      </c>
      <c r="J361">
        <v>-381.56240000000003</v>
      </c>
      <c r="K361">
        <v>1.1098140000000001</v>
      </c>
      <c r="L361">
        <v>368.26220000000001</v>
      </c>
      <c r="M361">
        <v>0.99989159999999999</v>
      </c>
      <c r="N361">
        <v>-1.3528139999999999E-2</v>
      </c>
      <c r="O361">
        <v>5.8074880000000004E-3</v>
      </c>
      <c r="P361">
        <v>0.99980150000000001</v>
      </c>
      <c r="Q361">
        <v>1.9888019999999999E-2</v>
      </c>
      <c r="R361">
        <v>1.2147970000000001E-3</v>
      </c>
      <c r="S361">
        <v>3.015533</v>
      </c>
      <c r="T361">
        <v>-0.69069029999999998</v>
      </c>
      <c r="U361">
        <v>-0.45101930000000001</v>
      </c>
      <c r="V361">
        <v>4.6030159999999997E-3</v>
      </c>
      <c r="W361">
        <v>3.3409870000000001E-2</v>
      </c>
      <c r="X361">
        <v>0.99943110000000002</v>
      </c>
      <c r="Y361">
        <v>0.14950920000000001</v>
      </c>
      <c r="Z361">
        <v>-1.907271E-2</v>
      </c>
      <c r="AA361">
        <v>0.98857640000000002</v>
      </c>
      <c r="AB361">
        <v>35</v>
      </c>
      <c r="AC361">
        <v>0.60939999999999295</v>
      </c>
      <c r="AD361">
        <v>-0.208587999999999</v>
      </c>
      <c r="AE361">
        <v>-0.13800000000003301</v>
      </c>
      <c r="AF361">
        <v>0.127345266318134</v>
      </c>
      <c r="AG361">
        <v>-0.208587999999999</v>
      </c>
      <c r="AH361">
        <v>0.547565546229976</v>
      </c>
      <c r="AI361">
        <v>110.356620215031</v>
      </c>
      <c r="AJ361">
        <v>76.907666024000406</v>
      </c>
      <c r="AK361">
        <v>0.59962804972396699</v>
      </c>
      <c r="AL361">
        <v>88.085399090180999</v>
      </c>
      <c r="AM361">
        <v>89.736118352636595</v>
      </c>
      <c r="AN361">
        <v>0.99999996540846103</v>
      </c>
    </row>
    <row r="362" spans="1:40" x14ac:dyDescent="0.25">
      <c r="A362" t="str">
        <f>"20190305135802574"</f>
        <v>20190305135802574</v>
      </c>
      <c r="B362" t="str">
        <f>"1551765482569235"</f>
        <v>1551765482569235</v>
      </c>
      <c r="C362" t="s">
        <v>40</v>
      </c>
      <c r="D362">
        <v>3.9784660000000001</v>
      </c>
      <c r="E362">
        <v>0.55289350000000004</v>
      </c>
      <c r="F362" t="s">
        <v>41</v>
      </c>
      <c r="G362">
        <v>-380.64</v>
      </c>
      <c r="H362">
        <v>0.8980167</v>
      </c>
      <c r="I362">
        <v>368.12349999999998</v>
      </c>
      <c r="J362">
        <v>-381.37079999999997</v>
      </c>
      <c r="K362">
        <v>1.1098349999999999</v>
      </c>
      <c r="L362">
        <v>368.26330000000002</v>
      </c>
      <c r="M362">
        <v>0.99989090000000003</v>
      </c>
      <c r="N362">
        <v>-1.360341E-2</v>
      </c>
      <c r="O362">
        <v>5.7719249999999998E-3</v>
      </c>
      <c r="P362">
        <v>0.99980760000000002</v>
      </c>
      <c r="Q362">
        <v>1.9583710000000001E-2</v>
      </c>
      <c r="R362">
        <v>1.259902E-3</v>
      </c>
      <c r="S362">
        <v>3.014923</v>
      </c>
      <c r="T362">
        <v>-0.69230069999999999</v>
      </c>
      <c r="U362">
        <v>-0.45281979999999999</v>
      </c>
      <c r="V362">
        <v>4.5211050000000001E-3</v>
      </c>
      <c r="W362">
        <v>3.3181120000000001E-2</v>
      </c>
      <c r="X362">
        <v>0.99943910000000002</v>
      </c>
      <c r="Y362">
        <v>0.15004589999999901</v>
      </c>
      <c r="Z362">
        <v>-1.9178779999999999E-2</v>
      </c>
      <c r="AA362">
        <v>0.98849299999999996</v>
      </c>
      <c r="AB362">
        <v>35</v>
      </c>
      <c r="AC362">
        <v>0.73079999999998702</v>
      </c>
      <c r="AD362">
        <v>-0.21181829999999999</v>
      </c>
      <c r="AE362">
        <v>-0.13980000000003601</v>
      </c>
      <c r="AF362">
        <v>0.13321953786284399</v>
      </c>
      <c r="AG362">
        <v>-0.21181829999999999</v>
      </c>
      <c r="AH362">
        <v>0.67525542628743696</v>
      </c>
      <c r="AI362">
        <v>107.105962838492</v>
      </c>
      <c r="AJ362">
        <v>78.839575713905504</v>
      </c>
      <c r="AK362">
        <v>0.72012799432733399</v>
      </c>
      <c r="AL362">
        <v>88.098512781463896</v>
      </c>
      <c r="AM362">
        <v>89.740816155467201</v>
      </c>
      <c r="AN362">
        <v>0.999999970861842</v>
      </c>
    </row>
    <row r="363" spans="1:40" x14ac:dyDescent="0.25">
      <c r="A363" t="str">
        <f>"20190305135802585"</f>
        <v>20190305135802585</v>
      </c>
      <c r="B363" t="str">
        <f>"1551765482578996"</f>
        <v>1551765482578996</v>
      </c>
      <c r="C363" t="s">
        <v>40</v>
      </c>
      <c r="D363">
        <v>3.9468429999999999</v>
      </c>
      <c r="E363">
        <v>0.55320999999999998</v>
      </c>
      <c r="F363" t="s">
        <v>41</v>
      </c>
      <c r="G363">
        <v>-380.62329999999997</v>
      </c>
      <c r="H363">
        <v>0.93823120000000004</v>
      </c>
      <c r="I363">
        <v>368.1497</v>
      </c>
      <c r="J363">
        <v>-381.18619999999999</v>
      </c>
      <c r="K363">
        <v>1.1098619999999999</v>
      </c>
      <c r="L363">
        <v>368.26429999999999</v>
      </c>
      <c r="M363">
        <v>0.99988999999999995</v>
      </c>
      <c r="N363">
        <v>-1.3672500000000001E-2</v>
      </c>
      <c r="O363">
        <v>5.7462779999999996E-3</v>
      </c>
      <c r="P363">
        <v>0.99981129999999996</v>
      </c>
      <c r="Q363">
        <v>1.938488E-2</v>
      </c>
      <c r="R363">
        <v>1.3340310000000001E-3</v>
      </c>
      <c r="S363">
        <v>3.0147089999999999</v>
      </c>
      <c r="T363">
        <v>-0.69214209999999998</v>
      </c>
      <c r="U363">
        <v>-0.45730589999999999</v>
      </c>
      <c r="V363">
        <v>4.4201580000000004E-3</v>
      </c>
      <c r="W363">
        <v>3.305197E-2</v>
      </c>
      <c r="X363">
        <v>0.99944390000000005</v>
      </c>
      <c r="Y363">
        <v>0.15143319999999999</v>
      </c>
      <c r="Z363">
        <v>-1.933961E-2</v>
      </c>
      <c r="AA363">
        <v>0.98827830000000005</v>
      </c>
      <c r="AB363">
        <v>35</v>
      </c>
      <c r="AC363">
        <v>0.56290000000001295</v>
      </c>
      <c r="AD363">
        <v>-0.1716308</v>
      </c>
      <c r="AE363">
        <v>-0.114599999999995</v>
      </c>
      <c r="AF363">
        <v>0.108176420897764</v>
      </c>
      <c r="AG363">
        <v>-0.1716308</v>
      </c>
      <c r="AH363">
        <v>0.51615645563227397</v>
      </c>
      <c r="AI363">
        <v>108.02728952016</v>
      </c>
      <c r="AJ363">
        <v>78.163233328099395</v>
      </c>
      <c r="AK363">
        <v>0.55459602977100597</v>
      </c>
      <c r="AL363">
        <v>88.105916723401606</v>
      </c>
      <c r="AM363">
        <v>89.746604339666206</v>
      </c>
      <c r="AN363">
        <v>1.00000003988241</v>
      </c>
    </row>
    <row r="364" spans="1:40" x14ac:dyDescent="0.25">
      <c r="A364" t="str">
        <f>"20190305135802598"</f>
        <v>20190305135802598</v>
      </c>
      <c r="B364" t="str">
        <f>"1551765482588755"</f>
        <v>1551765482588755</v>
      </c>
      <c r="C364" t="s">
        <v>40</v>
      </c>
      <c r="D364">
        <v>3.9376989999999998</v>
      </c>
      <c r="E364">
        <v>0.55340459999999903</v>
      </c>
      <c r="F364" t="s">
        <v>41</v>
      </c>
      <c r="G364">
        <v>-380.32080000000002</v>
      </c>
      <c r="H364">
        <v>0.91115760000000001</v>
      </c>
      <c r="I364">
        <v>368.13209999999998</v>
      </c>
      <c r="J364">
        <v>-380.98399999999998</v>
      </c>
      <c r="K364">
        <v>1.109883</v>
      </c>
      <c r="L364">
        <v>368.26549999999997</v>
      </c>
      <c r="M364">
        <v>0.99988929999999998</v>
      </c>
      <c r="N364">
        <v>-1.3745729999999999E-2</v>
      </c>
      <c r="O364">
        <v>5.7232969999999996E-3</v>
      </c>
      <c r="P364">
        <v>0.99981089999999995</v>
      </c>
      <c r="Q364">
        <v>1.942373E-2</v>
      </c>
      <c r="R364">
        <v>1.147751E-3</v>
      </c>
      <c r="S364">
        <v>3.0145870000000001</v>
      </c>
      <c r="T364">
        <v>-0.69219589999999998</v>
      </c>
      <c r="U364">
        <v>-0.45977780000000001</v>
      </c>
      <c r="V364">
        <v>4.5823340000000004E-3</v>
      </c>
      <c r="W364">
        <v>3.3163970000000001E-2</v>
      </c>
      <c r="X364">
        <v>0.99943939999999998</v>
      </c>
      <c r="Y364">
        <v>0.15218699999999999</v>
      </c>
      <c r="Z364">
        <v>-1.9431299999999999E-2</v>
      </c>
      <c r="AA364">
        <v>0.9881607</v>
      </c>
      <c r="AB364">
        <v>35</v>
      </c>
      <c r="AC364">
        <v>0.663200000000017</v>
      </c>
      <c r="AD364">
        <v>-0.1987254</v>
      </c>
      <c r="AE364">
        <v>-0.133399999999994</v>
      </c>
      <c r="AF364">
        <v>0.12629505978163799</v>
      </c>
      <c r="AG364">
        <v>-0.1987254</v>
      </c>
      <c r="AH364">
        <v>0.60980189412210095</v>
      </c>
      <c r="AI364">
        <v>107.698561310565</v>
      </c>
      <c r="AJ364">
        <v>78.298994693149695</v>
      </c>
      <c r="AK364">
        <v>0.65368232101328105</v>
      </c>
      <c r="AL364">
        <v>88.099495963494903</v>
      </c>
      <c r="AM364">
        <v>89.737306175006196</v>
      </c>
      <c r="AN364">
        <v>0.99999998048170402</v>
      </c>
    </row>
    <row r="365" spans="1:40" x14ac:dyDescent="0.25">
      <c r="A365" t="str">
        <f>"20190305135802609"</f>
        <v>20190305135802609</v>
      </c>
      <c r="B365" t="str">
        <f>"1551765482599491"</f>
        <v>1551765482599491</v>
      </c>
      <c r="C365" t="s">
        <v>40</v>
      </c>
      <c r="D365">
        <v>3.932439</v>
      </c>
      <c r="E365">
        <v>0.55360089999999995</v>
      </c>
      <c r="F365" t="s">
        <v>41</v>
      </c>
      <c r="G365">
        <v>-380.0163</v>
      </c>
      <c r="H365">
        <v>0.88798429999999995</v>
      </c>
      <c r="I365">
        <v>368.11689999999999</v>
      </c>
      <c r="J365">
        <v>-380.80470000000003</v>
      </c>
      <c r="K365">
        <v>1.1098950000000001</v>
      </c>
      <c r="L365">
        <v>368.26650000000001</v>
      </c>
      <c r="M365">
        <v>0.99988849999999996</v>
      </c>
      <c r="N365">
        <v>-1.380489E-2</v>
      </c>
      <c r="O365">
        <v>5.7121539999999997E-3</v>
      </c>
      <c r="P365">
        <v>0.99981160000000002</v>
      </c>
      <c r="Q365">
        <v>1.9368989999999999E-2</v>
      </c>
      <c r="R365">
        <v>1.3734400000000001E-3</v>
      </c>
      <c r="S365">
        <v>3.0145569999999999</v>
      </c>
      <c r="T365">
        <v>-0.69134859999999998</v>
      </c>
      <c r="U365">
        <v>-0.4615784</v>
      </c>
      <c r="V365">
        <v>4.3447379999999999E-3</v>
      </c>
      <c r="W365">
        <v>3.3168259999999998E-2</v>
      </c>
      <c r="X365">
        <v>0.99944029999999995</v>
      </c>
      <c r="Y365">
        <v>0.15274869999999999</v>
      </c>
      <c r="Z365">
        <v>-1.947778E-2</v>
      </c>
      <c r="AA365">
        <v>0.98807310000000004</v>
      </c>
      <c r="AB365">
        <v>35</v>
      </c>
      <c r="AC365">
        <v>0.78840000000002397</v>
      </c>
      <c r="AD365">
        <v>-0.22191069999999999</v>
      </c>
      <c r="AE365">
        <v>-0.14960000000001999</v>
      </c>
      <c r="AF365">
        <v>0.14315419479944499</v>
      </c>
      <c r="AG365">
        <v>-0.22191069999999999</v>
      </c>
      <c r="AH365">
        <v>0.731586778055071</v>
      </c>
      <c r="AI365">
        <v>106.57734453343301</v>
      </c>
      <c r="AJ365">
        <v>78.928465998312703</v>
      </c>
      <c r="AK365">
        <v>0.77778962199824198</v>
      </c>
      <c r="AL365">
        <v>88.099249993663193</v>
      </c>
      <c r="AM365">
        <v>89.750927011457307</v>
      </c>
      <c r="AN365">
        <v>0.99999996174190198</v>
      </c>
    </row>
    <row r="366" spans="1:40" x14ac:dyDescent="0.25">
      <c r="A366" t="str">
        <f>"20190305135802621"</f>
        <v>20190305135802621</v>
      </c>
      <c r="B366" t="str">
        <f>"1551765482619011"</f>
        <v>1551765482619011</v>
      </c>
      <c r="C366" t="s">
        <v>40</v>
      </c>
      <c r="D366">
        <v>3.961811</v>
      </c>
      <c r="E366">
        <v>0.5541142</v>
      </c>
      <c r="F366" t="s">
        <v>41</v>
      </c>
      <c r="G366">
        <v>-380.00139999999999</v>
      </c>
      <c r="H366">
        <v>0.92583470000000001</v>
      </c>
      <c r="I366">
        <v>368.14299999999997</v>
      </c>
      <c r="J366">
        <v>-380.62049999999999</v>
      </c>
      <c r="K366">
        <v>1.10991</v>
      </c>
      <c r="L366">
        <v>368.26749999999998</v>
      </c>
      <c r="M366">
        <v>0.99988779999999999</v>
      </c>
      <c r="N366">
        <v>-1.3863830000000001E-2</v>
      </c>
      <c r="O366">
        <v>5.7024969999999999E-3</v>
      </c>
      <c r="P366">
        <v>0.99980740000000001</v>
      </c>
      <c r="Q366">
        <v>1.9593010000000001E-2</v>
      </c>
      <c r="R366">
        <v>1.3929840000000001E-3</v>
      </c>
      <c r="S366">
        <v>3.014618</v>
      </c>
      <c r="T366">
        <v>-0.69085620000000003</v>
      </c>
      <c r="U366">
        <v>-0.46212769999999997</v>
      </c>
      <c r="V366">
        <v>4.3147410000000004E-3</v>
      </c>
      <c r="W366">
        <v>3.3451809999999998E-2</v>
      </c>
      <c r="X366">
        <v>0.99943099999999996</v>
      </c>
      <c r="Y366">
        <v>0.15291299999999999</v>
      </c>
      <c r="Z366">
        <v>-1.948619E-2</v>
      </c>
      <c r="AA366">
        <v>0.98804749999999997</v>
      </c>
      <c r="AB366">
        <v>35</v>
      </c>
      <c r="AC366">
        <v>0.61910000000000298</v>
      </c>
      <c r="AD366">
        <v>-0.184075299999999</v>
      </c>
      <c r="AE366">
        <v>-0.12449999999995399</v>
      </c>
      <c r="AF366">
        <v>0.118002378675523</v>
      </c>
      <c r="AG366">
        <v>-0.184075299999999</v>
      </c>
      <c r="AH366">
        <v>0.56995253718000505</v>
      </c>
      <c r="AI366">
        <v>107.55002214581</v>
      </c>
      <c r="AJ366">
        <v>78.302806768097</v>
      </c>
      <c r="AK366">
        <v>0.61045407041078603</v>
      </c>
      <c r="AL366">
        <v>88.082994793311897</v>
      </c>
      <c r="AM366">
        <v>89.752644341510404</v>
      </c>
      <c r="AN366">
        <v>0.99999998217158603</v>
      </c>
    </row>
    <row r="367" spans="1:40" x14ac:dyDescent="0.25">
      <c r="A367" t="str">
        <f>"20190305135802639"</f>
        <v>20190305135802639</v>
      </c>
      <c r="B367" t="str">
        <f>"1551765482628775"</f>
        <v>1551765482628775</v>
      </c>
      <c r="C367" t="s">
        <v>40</v>
      </c>
      <c r="D367">
        <v>3.945573</v>
      </c>
      <c r="E367">
        <v>0.55435500000000004</v>
      </c>
      <c r="F367" t="s">
        <v>41</v>
      </c>
      <c r="G367">
        <v>-379.6986</v>
      </c>
      <c r="H367">
        <v>0.89915929999999999</v>
      </c>
      <c r="I367">
        <v>368.12470000000002</v>
      </c>
      <c r="J367">
        <v>-380.33670000000001</v>
      </c>
      <c r="K367">
        <v>1.1099300000000001</v>
      </c>
      <c r="L367">
        <v>368.26909999999998</v>
      </c>
      <c r="M367">
        <v>0.99988659999999996</v>
      </c>
      <c r="N367">
        <v>-1.39474E-2</v>
      </c>
      <c r="O367">
        <v>5.6952169999999998E-3</v>
      </c>
      <c r="P367">
        <v>0.9998068</v>
      </c>
      <c r="Q367">
        <v>1.962152E-2</v>
      </c>
      <c r="R367">
        <v>1.233884E-3</v>
      </c>
      <c r="S367">
        <v>3.0147710000000001</v>
      </c>
      <c r="T367">
        <v>-0.68918539999999995</v>
      </c>
      <c r="U367">
        <v>-0.46624759999999998</v>
      </c>
      <c r="V367">
        <v>4.4654880000000001E-3</v>
      </c>
      <c r="W367">
        <v>3.3563330000000002E-2</v>
      </c>
      <c r="X367">
        <v>0.99942660000000005</v>
      </c>
      <c r="Y367">
        <v>0.15420249999999999</v>
      </c>
      <c r="Z367">
        <v>-1.9598270000000001E-2</v>
      </c>
      <c r="AA367">
        <v>0.98784490000000003</v>
      </c>
      <c r="AB367">
        <v>35</v>
      </c>
      <c r="AC367">
        <v>0.63810000000000799</v>
      </c>
      <c r="AD367">
        <v>-0.21077069999999901</v>
      </c>
      <c r="AE367">
        <v>-0.144399999999961</v>
      </c>
      <c r="AF367">
        <v>0.134112645117481</v>
      </c>
      <c r="AG367">
        <v>-0.21077069999999901</v>
      </c>
      <c r="AH367">
        <v>0.57734484961451304</v>
      </c>
      <c r="AI367">
        <v>109.57543662737</v>
      </c>
      <c r="AJ367">
        <v>76.922568864488696</v>
      </c>
      <c r="AK367">
        <v>0.62907675599667601</v>
      </c>
      <c r="AL367">
        <v>88.076601579907404</v>
      </c>
      <c r="AM367">
        <v>89.744001297032398</v>
      </c>
      <c r="AN367">
        <v>0.99999998324566297</v>
      </c>
    </row>
    <row r="368" spans="1:40" x14ac:dyDescent="0.25">
      <c r="A368" t="str">
        <f>"20190305135802651"</f>
        <v>20190305135802651</v>
      </c>
      <c r="B368" t="str">
        <f>"1551765482639508"</f>
        <v>1551765482639508</v>
      </c>
      <c r="C368" t="s">
        <v>40</v>
      </c>
      <c r="D368">
        <v>3.9431750000000001</v>
      </c>
      <c r="E368">
        <v>0.55460919999999903</v>
      </c>
      <c r="F368" t="s">
        <v>41</v>
      </c>
      <c r="G368">
        <v>-379.38810000000001</v>
      </c>
      <c r="H368">
        <v>0.89328169999999996</v>
      </c>
      <c r="I368">
        <v>368.12130000000002</v>
      </c>
      <c r="J368">
        <v>-380.16300000000001</v>
      </c>
      <c r="K368">
        <v>1.1099380000000001</v>
      </c>
      <c r="L368">
        <v>368.27010000000001</v>
      </c>
      <c r="M368">
        <v>0.99988589999999999</v>
      </c>
      <c r="N368">
        <v>-1.399357E-2</v>
      </c>
      <c r="O368">
        <v>5.6943369999999998E-3</v>
      </c>
      <c r="P368">
        <v>0.99980190000000002</v>
      </c>
      <c r="Q368">
        <v>1.9860220000000001E-2</v>
      </c>
      <c r="R368">
        <v>1.279912E-3</v>
      </c>
      <c r="S368">
        <v>3.0146480000000002</v>
      </c>
      <c r="T368">
        <v>-0.68858520000000001</v>
      </c>
      <c r="U368">
        <v>-0.46884160000000002</v>
      </c>
      <c r="V368">
        <v>4.4181960000000001E-3</v>
      </c>
      <c r="W368">
        <v>3.3848320000000001E-2</v>
      </c>
      <c r="X368">
        <v>0.99941720000000001</v>
      </c>
      <c r="Y368">
        <v>0.1550224</v>
      </c>
      <c r="Z368">
        <v>-1.9683039999999999E-2</v>
      </c>
      <c r="AA368">
        <v>0.9877148</v>
      </c>
      <c r="AB368">
        <v>35</v>
      </c>
      <c r="AC368">
        <v>0.77490000000000203</v>
      </c>
      <c r="AD368">
        <v>-0.216656299999999</v>
      </c>
      <c r="AE368">
        <v>-0.14879999999999399</v>
      </c>
      <c r="AF368">
        <v>0.14246949384090099</v>
      </c>
      <c r="AG368">
        <v>-0.216656299999999</v>
      </c>
      <c r="AH368">
        <v>0.71977474199035396</v>
      </c>
      <c r="AI368">
        <v>106.45065744079</v>
      </c>
      <c r="AJ368">
        <v>78.803810318798696</v>
      </c>
      <c r="AK368">
        <v>0.76505763718314301</v>
      </c>
      <c r="AL368">
        <v>88.060263574389793</v>
      </c>
      <c r="AM368">
        <v>89.746710047818496</v>
      </c>
      <c r="AN368">
        <v>0.99999998443927796</v>
      </c>
    </row>
    <row r="369" spans="1:40" x14ac:dyDescent="0.25">
      <c r="A369" t="str">
        <f>"20190305135802662"</f>
        <v>20190305135802662</v>
      </c>
      <c r="B369" t="str">
        <f>"1551765482659027"</f>
        <v>1551765482659027</v>
      </c>
      <c r="C369" t="s">
        <v>40</v>
      </c>
      <c r="D369">
        <v>3.9288630000000002</v>
      </c>
      <c r="E369">
        <v>0.55501109999999998</v>
      </c>
      <c r="F369" t="s">
        <v>41</v>
      </c>
      <c r="G369">
        <v>-379.37349999999998</v>
      </c>
      <c r="H369">
        <v>0.92988409999999999</v>
      </c>
      <c r="I369">
        <v>368.14659999999998</v>
      </c>
      <c r="J369">
        <v>-379.97930000000002</v>
      </c>
      <c r="K369">
        <v>1.1099479999999999</v>
      </c>
      <c r="L369">
        <v>368.27109999999999</v>
      </c>
      <c r="M369">
        <v>0.99988529999999998</v>
      </c>
      <c r="N369">
        <v>-1.404039E-2</v>
      </c>
      <c r="O369">
        <v>5.6941029999999998E-3</v>
      </c>
      <c r="P369">
        <v>0.99980389999999997</v>
      </c>
      <c r="Q369">
        <v>1.977224E-2</v>
      </c>
      <c r="R369">
        <v>1.33559E-3</v>
      </c>
      <c r="S369">
        <v>3.0148320000000002</v>
      </c>
      <c r="T369">
        <v>-0.68762829999999997</v>
      </c>
      <c r="U369">
        <v>-0.47039789999999998</v>
      </c>
      <c r="V369">
        <v>4.3616610000000002E-3</v>
      </c>
      <c r="W369">
        <v>3.3807339999999998E-2</v>
      </c>
      <c r="X369">
        <v>0.9994189</v>
      </c>
      <c r="Y369">
        <v>0.15550939999999999</v>
      </c>
      <c r="Z369">
        <v>-1.9717350000000002E-2</v>
      </c>
      <c r="AA369">
        <v>0.9876376</v>
      </c>
      <c r="AB369">
        <v>35</v>
      </c>
      <c r="AC369">
        <v>0.60580000000004397</v>
      </c>
      <c r="AD369">
        <v>-0.180063899999999</v>
      </c>
      <c r="AE369">
        <v>-0.124500000000011</v>
      </c>
      <c r="AF369">
        <v>0.117949534628547</v>
      </c>
      <c r="AG369">
        <v>-0.180063899999999</v>
      </c>
      <c r="AH369">
        <v>0.55779810308870004</v>
      </c>
      <c r="AI369">
        <v>107.52759041280299</v>
      </c>
      <c r="AJ369">
        <v>78.060366952343301</v>
      </c>
      <c r="AK369">
        <v>0.59789114779502495</v>
      </c>
      <c r="AL369">
        <v>88.062613025176901</v>
      </c>
      <c r="AM369">
        <v>89.749951516421305</v>
      </c>
      <c r="AN369">
        <v>1.00000004900088</v>
      </c>
    </row>
    <row r="370" spans="1:40" x14ac:dyDescent="0.25">
      <c r="A370" t="str">
        <f>"20190305135802674"</f>
        <v>20190305135802674</v>
      </c>
      <c r="B370" t="str">
        <f>"1551765482668787"</f>
        <v>1551765482668787</v>
      </c>
      <c r="C370" t="s">
        <v>40</v>
      </c>
      <c r="D370">
        <v>3.9403790000000001</v>
      </c>
      <c r="E370">
        <v>0.55520700000000001</v>
      </c>
      <c r="F370" t="s">
        <v>41</v>
      </c>
      <c r="G370">
        <v>-379.07170000000002</v>
      </c>
      <c r="H370">
        <v>0.90318509999999996</v>
      </c>
      <c r="I370">
        <v>368.12830000000002</v>
      </c>
      <c r="J370">
        <v>-379.79090000000002</v>
      </c>
      <c r="K370">
        <v>1.109955</v>
      </c>
      <c r="L370">
        <v>368.2722</v>
      </c>
      <c r="M370">
        <v>0.99988469999999996</v>
      </c>
      <c r="N370">
        <v>-1.408507E-2</v>
      </c>
      <c r="O370">
        <v>5.6954190000000002E-3</v>
      </c>
      <c r="P370">
        <v>0.99980309999999994</v>
      </c>
      <c r="Q370">
        <v>1.9799259999999999E-2</v>
      </c>
      <c r="R370">
        <v>1.3301420000000001E-3</v>
      </c>
      <c r="S370">
        <v>3.0148320000000002</v>
      </c>
      <c r="T370">
        <v>-0.68689299999999998</v>
      </c>
      <c r="U370">
        <v>-0.47326659999999998</v>
      </c>
      <c r="V370">
        <v>4.3681379999999997E-3</v>
      </c>
      <c r="W370">
        <v>3.3879289999999999E-2</v>
      </c>
      <c r="X370">
        <v>0.99941639999999998</v>
      </c>
      <c r="Y370">
        <v>0.15641259999999901</v>
      </c>
      <c r="Z370">
        <v>-1.980765E-2</v>
      </c>
      <c r="AA370">
        <v>0.98749319999999896</v>
      </c>
      <c r="AB370">
        <v>35</v>
      </c>
      <c r="AC370">
        <v>0.71919999999999995</v>
      </c>
      <c r="AD370">
        <v>-0.20676989999999901</v>
      </c>
      <c r="AE370">
        <v>-0.14389999999997299</v>
      </c>
      <c r="AF370">
        <v>0.137098386221539</v>
      </c>
      <c r="AG370">
        <v>-0.20676989999999901</v>
      </c>
      <c r="AH370">
        <v>0.66547996921265196</v>
      </c>
      <c r="AI370">
        <v>106.92590350433299</v>
      </c>
      <c r="AJ370">
        <v>78.359113913823506</v>
      </c>
      <c r="AK370">
        <v>0.710220633658184</v>
      </c>
      <c r="AL370">
        <v>88.058488162700897</v>
      </c>
      <c r="AM370">
        <v>89.749579576558503</v>
      </c>
      <c r="AN370">
        <v>1.00000001375472</v>
      </c>
    </row>
    <row r="371" spans="1:40" x14ac:dyDescent="0.25">
      <c r="A371" t="str">
        <f>"20190305135802688"</f>
        <v>20190305135802688</v>
      </c>
      <c r="B371" t="str">
        <f>"1551765482679525"</f>
        <v>1551765482679525</v>
      </c>
      <c r="C371" t="s">
        <v>40</v>
      </c>
      <c r="D371">
        <v>3.936769</v>
      </c>
      <c r="E371">
        <v>0.55542769999999997</v>
      </c>
      <c r="F371" t="s">
        <v>41</v>
      </c>
      <c r="G371">
        <v>-379.05540000000002</v>
      </c>
      <c r="H371">
        <v>0.94251439999999997</v>
      </c>
      <c r="I371">
        <v>368.15600000000001</v>
      </c>
      <c r="J371">
        <v>-379.57850000000002</v>
      </c>
      <c r="K371">
        <v>1.1099600000000001</v>
      </c>
      <c r="L371">
        <v>368.27339999999998</v>
      </c>
      <c r="M371">
        <v>0.99988410000000005</v>
      </c>
      <c r="N371">
        <v>-1.4131100000000001E-2</v>
      </c>
      <c r="O371">
        <v>5.6978460000000003E-3</v>
      </c>
      <c r="P371">
        <v>0.99980020000000003</v>
      </c>
      <c r="Q371">
        <v>1.9937239999999998E-2</v>
      </c>
      <c r="R371">
        <v>1.4914870000000001E-3</v>
      </c>
      <c r="S371">
        <v>3.0148929999999998</v>
      </c>
      <c r="T371">
        <v>-0.68655540000000004</v>
      </c>
      <c r="U371">
        <v>-0.4751282</v>
      </c>
      <c r="V371">
        <v>4.2087080000000002E-3</v>
      </c>
      <c r="W371">
        <v>3.4063250000000003E-2</v>
      </c>
      <c r="X371">
        <v>0.99941080000000004</v>
      </c>
      <c r="Y371">
        <v>0.1569953</v>
      </c>
      <c r="Z371">
        <v>-1.9870700000000002E-2</v>
      </c>
      <c r="AA371">
        <v>0.98739949999999999</v>
      </c>
      <c r="AB371">
        <v>35</v>
      </c>
      <c r="AC371">
        <v>0.52309999999999901</v>
      </c>
      <c r="AD371">
        <v>-0.1674456</v>
      </c>
      <c r="AE371">
        <v>-0.117399999999975</v>
      </c>
      <c r="AF371">
        <v>0.109679485877879</v>
      </c>
      <c r="AG371">
        <v>-0.1674456</v>
      </c>
      <c r="AH371">
        <v>0.47598886817860497</v>
      </c>
      <c r="AI371">
        <v>108.921806352419</v>
      </c>
      <c r="AJ371">
        <v>77.024138830990907</v>
      </c>
      <c r="AK371">
        <v>0.51636520139504505</v>
      </c>
      <c r="AL371">
        <v>88.047941883394799</v>
      </c>
      <c r="AM371">
        <v>89.758718056535997</v>
      </c>
      <c r="AN371">
        <v>0.99999998269011503</v>
      </c>
    </row>
    <row r="372" spans="1:40" x14ac:dyDescent="0.25">
      <c r="A372" t="str">
        <f>"20190305135802708"</f>
        <v>20190305135802708</v>
      </c>
      <c r="B372" t="str">
        <f>"1551765482699043"</f>
        <v>1551765482699043</v>
      </c>
      <c r="C372" t="s">
        <v>40</v>
      </c>
      <c r="D372">
        <v>3.9878279999999999</v>
      </c>
      <c r="E372">
        <v>0.55582749999999903</v>
      </c>
      <c r="F372" t="s">
        <v>41</v>
      </c>
      <c r="G372">
        <v>-378.75220000000002</v>
      </c>
      <c r="H372">
        <v>0.92207090000000003</v>
      </c>
      <c r="I372">
        <v>368.14249999999998</v>
      </c>
      <c r="J372">
        <v>-379.27170000000001</v>
      </c>
      <c r="K372">
        <v>1.1099730000000001</v>
      </c>
      <c r="L372">
        <v>368.27510000000001</v>
      </c>
      <c r="M372">
        <v>0.99988310000000002</v>
      </c>
      <c r="N372">
        <v>-1.419159E-2</v>
      </c>
      <c r="O372">
        <v>5.7014930000000002E-3</v>
      </c>
      <c r="P372">
        <v>0.99980020000000003</v>
      </c>
      <c r="Q372">
        <v>1.9895880000000001E-2</v>
      </c>
      <c r="R372">
        <v>1.9915330000000002E-3</v>
      </c>
      <c r="S372">
        <v>3.0149840000000001</v>
      </c>
      <c r="T372">
        <v>-0.68565290000000001</v>
      </c>
      <c r="U372">
        <v>-0.4764099</v>
      </c>
      <c r="V372">
        <v>3.7120289999999999E-3</v>
      </c>
      <c r="W372">
        <v>3.4082309999999998E-2</v>
      </c>
      <c r="X372">
        <v>0.99941210000000003</v>
      </c>
      <c r="Y372">
        <v>0.1574033</v>
      </c>
      <c r="Z372">
        <v>-1.9899179999999999E-2</v>
      </c>
      <c r="AA372">
        <v>0.98733389999999999</v>
      </c>
      <c r="AB372">
        <v>35</v>
      </c>
      <c r="AC372">
        <v>0.51949999999999297</v>
      </c>
      <c r="AD372">
        <v>-0.18790209999999899</v>
      </c>
      <c r="AE372">
        <v>-0.132600000000024</v>
      </c>
      <c r="AF372">
        <v>0.120731418504136</v>
      </c>
      <c r="AG372">
        <v>-0.18790209999999899</v>
      </c>
      <c r="AH372">
        <v>0.46199200736471202</v>
      </c>
      <c r="AI372">
        <v>111.47996981611099</v>
      </c>
      <c r="AJ372">
        <v>75.354539340985099</v>
      </c>
      <c r="AK372">
        <v>0.5131470446834</v>
      </c>
      <c r="AL372">
        <v>88.046849155458403</v>
      </c>
      <c r="AM372">
        <v>89.787192273215794</v>
      </c>
      <c r="AN372">
        <v>0.99999996432032001</v>
      </c>
    </row>
    <row r="373" spans="1:40" x14ac:dyDescent="0.25">
      <c r="A373" t="str">
        <f>"20190305135802723"</f>
        <v>20190305135802723</v>
      </c>
      <c r="B373" t="str">
        <f>"1551765482719539"</f>
        <v>1551765482719539</v>
      </c>
      <c r="C373" t="s">
        <v>40</v>
      </c>
      <c r="D373">
        <v>3.9637120000000001</v>
      </c>
      <c r="E373">
        <v>0.55618880000000004</v>
      </c>
      <c r="F373" t="s">
        <v>41</v>
      </c>
      <c r="G373">
        <v>-378.44080000000002</v>
      </c>
      <c r="H373">
        <v>0.92116030000000004</v>
      </c>
      <c r="I373">
        <v>368.1431</v>
      </c>
      <c r="J373">
        <v>-379.03519999999997</v>
      </c>
      <c r="K373">
        <v>1.109974</v>
      </c>
      <c r="L373">
        <v>368.2765</v>
      </c>
      <c r="M373">
        <v>0.99988239999999995</v>
      </c>
      <c r="N373">
        <v>-1.42335E-2</v>
      </c>
      <c r="O373">
        <v>5.7042859999999898E-3</v>
      </c>
      <c r="P373">
        <v>0.99979479999999998</v>
      </c>
      <c r="Q373">
        <v>2.0141949999999999E-2</v>
      </c>
      <c r="R373">
        <v>2.20951E-3</v>
      </c>
      <c r="S373">
        <v>3.0151669999999999</v>
      </c>
      <c r="T373">
        <v>-0.68527530000000003</v>
      </c>
      <c r="U373">
        <v>-0.47882079999999999</v>
      </c>
      <c r="V373">
        <v>3.4965460000000001E-3</v>
      </c>
      <c r="W373">
        <v>3.4370629999999999E-2</v>
      </c>
      <c r="X373">
        <v>0.99940309999999999</v>
      </c>
      <c r="Y373">
        <v>0.15815199999999999</v>
      </c>
      <c r="Z373">
        <v>-1.9979529999999999E-2</v>
      </c>
      <c r="AA373">
        <v>0.9872126</v>
      </c>
      <c r="AB373">
        <v>35</v>
      </c>
      <c r="AC373">
        <v>0.59439999999994997</v>
      </c>
      <c r="AD373">
        <v>-0.1888137</v>
      </c>
      <c r="AE373">
        <v>-0.133399999999994</v>
      </c>
      <c r="AF373">
        <v>0.124799828522798</v>
      </c>
      <c r="AG373">
        <v>-0.1888137</v>
      </c>
      <c r="AH373">
        <v>0.54160014889320796</v>
      </c>
      <c r="AI373">
        <v>108.763627982784</v>
      </c>
      <c r="AJ373">
        <v>77.023948203828198</v>
      </c>
      <c r="AK373">
        <v>0.58698920926040399</v>
      </c>
      <c r="AL373">
        <v>88.030320142074501</v>
      </c>
      <c r="AM373">
        <v>89.799543836442396</v>
      </c>
      <c r="AN373">
        <v>1.0000000611650599</v>
      </c>
    </row>
    <row r="374" spans="1:40" x14ac:dyDescent="0.25">
      <c r="A374" t="str">
        <f>"20190305135802740"</f>
        <v>20190305135802740</v>
      </c>
      <c r="B374" t="str">
        <f>"1551765482729299"</f>
        <v>1551765482729299</v>
      </c>
      <c r="C374" t="s">
        <v>40</v>
      </c>
      <c r="D374">
        <v>4.1419769999999998</v>
      </c>
      <c r="E374">
        <v>0.55618880000000004</v>
      </c>
      <c r="F374" t="s">
        <v>41</v>
      </c>
      <c r="G374">
        <v>-378.13529999999997</v>
      </c>
      <c r="H374">
        <v>0.90605849999999999</v>
      </c>
      <c r="I374">
        <v>368.13240000000002</v>
      </c>
      <c r="J374">
        <v>-378.7774</v>
      </c>
      <c r="K374">
        <v>1.109979</v>
      </c>
      <c r="L374">
        <v>368.27789999999999</v>
      </c>
      <c r="M374">
        <v>0.99988189999999999</v>
      </c>
      <c r="N374">
        <v>-1.427492E-2</v>
      </c>
      <c r="O374">
        <v>5.7064209999999997E-3</v>
      </c>
      <c r="P374">
        <v>0.99978160000000005</v>
      </c>
      <c r="Q374">
        <v>2.0665050000000001E-2</v>
      </c>
      <c r="R374">
        <v>3.0900010000000002E-3</v>
      </c>
      <c r="S374">
        <v>3.0154420000000002</v>
      </c>
      <c r="T374">
        <v>-0.68342400000000003</v>
      </c>
      <c r="U374">
        <v>-0.48117070000000001</v>
      </c>
      <c r="V374">
        <v>2.6180779999999998E-3</v>
      </c>
      <c r="W374">
        <v>3.493487E-2</v>
      </c>
      <c r="X374">
        <v>0.9993862</v>
      </c>
      <c r="Y374">
        <v>0.15889389999999901</v>
      </c>
      <c r="Z374">
        <v>-2.0018370000000001E-2</v>
      </c>
      <c r="AA374">
        <v>0.98709270000000005</v>
      </c>
      <c r="AB374">
        <v>35</v>
      </c>
      <c r="AC374">
        <v>0.64210000000002698</v>
      </c>
      <c r="AD374">
        <v>-0.2039205</v>
      </c>
      <c r="AE374">
        <v>-0.14549999999996999</v>
      </c>
      <c r="AF374">
        <v>0.136105067286067</v>
      </c>
      <c r="AG374">
        <v>-0.2039205</v>
      </c>
      <c r="AH374">
        <v>0.58512601471495795</v>
      </c>
      <c r="AI374">
        <v>108.749516683059</v>
      </c>
      <c r="AJ374">
        <v>76.905389757909902</v>
      </c>
      <c r="AK374">
        <v>0.63441359755084403</v>
      </c>
      <c r="AL374">
        <v>87.997972099037</v>
      </c>
      <c r="AM374">
        <v>89.849903394014504</v>
      </c>
      <c r="AN374">
        <v>1.0000000381123799</v>
      </c>
    </row>
    <row r="375" spans="1:40" x14ac:dyDescent="0.25">
      <c r="A375" t="str">
        <f>"20190305135802750"</f>
        <v>20190305135802750</v>
      </c>
      <c r="B375" t="str">
        <f>"1551765482739059"</f>
        <v>1551765482739059</v>
      </c>
      <c r="C375" t="s">
        <v>40</v>
      </c>
      <c r="D375">
        <v>3.9625840000000001</v>
      </c>
      <c r="E375">
        <v>0.55636390000000002</v>
      </c>
      <c r="F375" t="s">
        <v>41</v>
      </c>
      <c r="G375">
        <v>-377.82850000000002</v>
      </c>
      <c r="H375">
        <v>0.89558150000000003</v>
      </c>
      <c r="I375">
        <v>368.1268</v>
      </c>
      <c r="J375">
        <v>-378.60219999999998</v>
      </c>
      <c r="K375">
        <v>1.109988</v>
      </c>
      <c r="L375">
        <v>368.27890000000002</v>
      </c>
      <c r="M375">
        <v>0.99988160000000004</v>
      </c>
      <c r="N375">
        <v>-1.429998E-2</v>
      </c>
      <c r="O375">
        <v>5.707101E-3</v>
      </c>
      <c r="P375">
        <v>0.99977780000000005</v>
      </c>
      <c r="Q375">
        <v>2.0811179999999999E-2</v>
      </c>
      <c r="R375">
        <v>3.4399230000000001E-3</v>
      </c>
      <c r="S375">
        <v>3.016235</v>
      </c>
      <c r="T375">
        <v>-0.68151689999999998</v>
      </c>
      <c r="U375">
        <v>-0.47918699999999997</v>
      </c>
      <c r="V375">
        <v>2.2685259999999999E-3</v>
      </c>
      <c r="W375">
        <v>3.5105949999999997E-2</v>
      </c>
      <c r="X375">
        <v>0.99938099999999996</v>
      </c>
      <c r="Y375">
        <v>0.15826189999999901</v>
      </c>
      <c r="Z375">
        <v>-1.9890120000000001E-2</v>
      </c>
      <c r="AA375">
        <v>0.98719679999999999</v>
      </c>
      <c r="AB375">
        <v>35</v>
      </c>
      <c r="AC375">
        <v>0.77369999999996197</v>
      </c>
      <c r="AD375">
        <v>-0.214406499999999</v>
      </c>
      <c r="AE375">
        <v>-0.152100000000018</v>
      </c>
      <c r="AF375">
        <v>0.14573809507969401</v>
      </c>
      <c r="AG375">
        <v>-0.214406499999999</v>
      </c>
      <c r="AH375">
        <v>0.71961310208513996</v>
      </c>
      <c r="AI375">
        <v>106.278778272598</v>
      </c>
      <c r="AJ375">
        <v>78.551146200094493</v>
      </c>
      <c r="AK375">
        <v>0.76488741412857997</v>
      </c>
      <c r="AL375">
        <v>87.988163801194702</v>
      </c>
      <c r="AM375">
        <v>89.869942752286406</v>
      </c>
      <c r="AN375">
        <v>0.99999997854830702</v>
      </c>
    </row>
    <row r="376" spans="1:40" x14ac:dyDescent="0.25">
      <c r="A376" t="str">
        <f>"20190305135802763"</f>
        <v>20190305135802763</v>
      </c>
      <c r="B376" t="str">
        <f>"1551765482759555"</f>
        <v>1551765482759555</v>
      </c>
      <c r="C376" t="s">
        <v>40</v>
      </c>
      <c r="D376">
        <v>4.006704</v>
      </c>
      <c r="E376">
        <v>0.55668629999999997</v>
      </c>
      <c r="F376" t="s">
        <v>41</v>
      </c>
      <c r="G376">
        <v>-377.81389999999999</v>
      </c>
      <c r="H376">
        <v>0.93203709999999995</v>
      </c>
      <c r="I376">
        <v>368.15339999999998</v>
      </c>
      <c r="J376">
        <v>-378.41950000000003</v>
      </c>
      <c r="K376">
        <v>1.109993</v>
      </c>
      <c r="L376">
        <v>368.28</v>
      </c>
      <c r="M376">
        <v>0.99988109999999997</v>
      </c>
      <c r="N376">
        <v>-1.432481E-2</v>
      </c>
      <c r="O376">
        <v>5.70778E-3</v>
      </c>
      <c r="P376">
        <v>0.99978020000000001</v>
      </c>
      <c r="Q376">
        <v>2.060509E-2</v>
      </c>
      <c r="R376">
        <v>3.8541360000000002E-3</v>
      </c>
      <c r="S376">
        <v>3.0165099999999998</v>
      </c>
      <c r="T376">
        <v>-0.68102240000000003</v>
      </c>
      <c r="U376">
        <v>-0.47924800000000001</v>
      </c>
      <c r="V376">
        <v>1.8550299999999999E-3</v>
      </c>
      <c r="W376">
        <v>3.4924379999999998E-2</v>
      </c>
      <c r="X376">
        <v>0.99938819999999995</v>
      </c>
      <c r="Y376">
        <v>0.158274</v>
      </c>
      <c r="Z376">
        <v>-1.987854E-2</v>
      </c>
      <c r="AA376">
        <v>0.98719509999999999</v>
      </c>
      <c r="AB376">
        <v>35</v>
      </c>
      <c r="AC376">
        <v>0.605600000000038</v>
      </c>
      <c r="AD376">
        <v>-0.1779559</v>
      </c>
      <c r="AE376">
        <v>-0.12659999999999599</v>
      </c>
      <c r="AF376">
        <v>0.120117304486999</v>
      </c>
      <c r="AG376">
        <v>-0.1779559</v>
      </c>
      <c r="AH376">
        <v>0.55864896247876406</v>
      </c>
      <c r="AI376">
        <v>107.298123992423</v>
      </c>
      <c r="AJ376">
        <v>77.865357398730893</v>
      </c>
      <c r="AK376">
        <v>0.59848569946209496</v>
      </c>
      <c r="AL376">
        <v>87.998573350093395</v>
      </c>
      <c r="AM376">
        <v>89.893649667059293</v>
      </c>
      <c r="AN376">
        <v>0.99999996387696199</v>
      </c>
    </row>
    <row r="377" spans="1:40" x14ac:dyDescent="0.25">
      <c r="A377" t="str">
        <f>"20190305135802776"</f>
        <v>20190305135802776</v>
      </c>
      <c r="B377" t="str">
        <f>"1551765482769315"</f>
        <v>1551765482769315</v>
      </c>
      <c r="C377" t="s">
        <v>40</v>
      </c>
      <c r="D377">
        <v>3.9948730000000001</v>
      </c>
      <c r="E377">
        <v>0.55685039999999997</v>
      </c>
      <c r="F377" t="s">
        <v>41</v>
      </c>
      <c r="G377">
        <v>-377.51389999999998</v>
      </c>
      <c r="H377">
        <v>0.90554480000000004</v>
      </c>
      <c r="I377">
        <v>368.13529999999997</v>
      </c>
      <c r="J377">
        <v>-378.22059999999999</v>
      </c>
      <c r="K377">
        <v>1.1099939999999999</v>
      </c>
      <c r="L377">
        <v>368.28109999999998</v>
      </c>
      <c r="M377">
        <v>0.99988080000000001</v>
      </c>
      <c r="N377">
        <v>-1.434962E-2</v>
      </c>
      <c r="O377">
        <v>5.7082779999999998E-3</v>
      </c>
      <c r="P377">
        <v>0.99977680000000002</v>
      </c>
      <c r="Q377">
        <v>2.0709390000000001E-2</v>
      </c>
      <c r="R377">
        <v>4.216699E-3</v>
      </c>
      <c r="S377">
        <v>3.0165709999999999</v>
      </c>
      <c r="T377">
        <v>-0.68116659999999996</v>
      </c>
      <c r="U377">
        <v>-0.48019410000000001</v>
      </c>
      <c r="V377">
        <v>1.4927510000000001E-3</v>
      </c>
      <c r="W377">
        <v>3.5054000000000002E-2</v>
      </c>
      <c r="X377">
        <v>0.9993843</v>
      </c>
      <c r="Y377">
        <v>0.15856400000000001</v>
      </c>
      <c r="Z377">
        <v>-1.9917879999999999E-2</v>
      </c>
      <c r="AA377">
        <v>0.98714769999999996</v>
      </c>
      <c r="AB377">
        <v>35</v>
      </c>
      <c r="AC377">
        <v>0.70670000000001199</v>
      </c>
      <c r="AD377">
        <v>-0.2044492</v>
      </c>
      <c r="AE377">
        <v>-0.14580000000000801</v>
      </c>
      <c r="AF377">
        <v>0.13869767457151999</v>
      </c>
      <c r="AG377">
        <v>-0.2044492</v>
      </c>
      <c r="AH377">
        <v>0.65340215813772295</v>
      </c>
      <c r="AI377">
        <v>107.01828656087299</v>
      </c>
      <c r="AJ377">
        <v>78.015710079512502</v>
      </c>
      <c r="AK377">
        <v>0.69854913969685795</v>
      </c>
      <c r="AL377">
        <v>87.991142183526094</v>
      </c>
      <c r="AM377">
        <v>89.914419039244507</v>
      </c>
      <c r="AN377">
        <v>0.99999999515401905</v>
      </c>
    </row>
    <row r="378" spans="1:40" x14ac:dyDescent="0.25">
      <c r="A378" t="str">
        <f>"20190305135802787"</f>
        <v>20190305135802787</v>
      </c>
      <c r="B378" t="str">
        <f>"1551765482779075"</f>
        <v>1551765482779075</v>
      </c>
      <c r="C378" t="s">
        <v>40</v>
      </c>
      <c r="D378">
        <v>3.9862579999999999</v>
      </c>
      <c r="E378">
        <v>0.55694909999999997</v>
      </c>
      <c r="F378" t="s">
        <v>41</v>
      </c>
      <c r="G378">
        <v>-377.49680000000001</v>
      </c>
      <c r="H378">
        <v>0.94669959999999997</v>
      </c>
      <c r="I378">
        <v>368.16539999999998</v>
      </c>
      <c r="J378">
        <v>-378.02460000000002</v>
      </c>
      <c r="K378">
        <v>1.1099939999999999</v>
      </c>
      <c r="L378">
        <v>368.28219999999999</v>
      </c>
      <c r="M378">
        <v>0.99988049999999995</v>
      </c>
      <c r="N378">
        <v>-1.4371470000000001E-2</v>
      </c>
      <c r="O378">
        <v>5.7086719999999997E-3</v>
      </c>
      <c r="P378">
        <v>0.99977760000000004</v>
      </c>
      <c r="Q378">
        <v>2.0602720000000001E-2</v>
      </c>
      <c r="R378">
        <v>4.5048470000000002E-3</v>
      </c>
      <c r="S378">
        <v>3.0167540000000002</v>
      </c>
      <c r="T378">
        <v>-0.68080289999999999</v>
      </c>
      <c r="U378">
        <v>-0.48016360000000002</v>
      </c>
      <c r="V378">
        <v>1.2049739999999999E-3</v>
      </c>
      <c r="W378">
        <v>3.4968699999999998E-2</v>
      </c>
      <c r="X378">
        <v>0.99938769999999999</v>
      </c>
      <c r="Y378">
        <v>0.1585502</v>
      </c>
      <c r="Z378">
        <v>-1.9907049999999999E-2</v>
      </c>
      <c r="AA378">
        <v>0.98715019999999998</v>
      </c>
      <c r="AB378">
        <v>35</v>
      </c>
      <c r="AC378">
        <v>0.52780000000001304</v>
      </c>
      <c r="AD378">
        <v>-0.16329440000000001</v>
      </c>
      <c r="AE378">
        <v>-0.11680000000001101</v>
      </c>
      <c r="AF378">
        <v>0.109792697383173</v>
      </c>
      <c r="AG378">
        <v>-0.16329440000000001</v>
      </c>
      <c r="AH378">
        <v>0.48304589884301002</v>
      </c>
      <c r="AI378">
        <v>108.244480210791</v>
      </c>
      <c r="AJ378">
        <v>77.194658107421802</v>
      </c>
      <c r="AK378">
        <v>0.52158684594138804</v>
      </c>
      <c r="AL378">
        <v>87.996032558388507</v>
      </c>
      <c r="AM378">
        <v>89.930917809807298</v>
      </c>
      <c r="AN378">
        <v>1.00000001842666</v>
      </c>
    </row>
    <row r="379" spans="1:40" x14ac:dyDescent="0.25">
      <c r="A379" t="str">
        <f>"20190305135802800"</f>
        <v>20190305135802800</v>
      </c>
      <c r="B379" t="str">
        <f>"1551765482788838"</f>
        <v>1551765482788838</v>
      </c>
      <c r="C379" t="s">
        <v>40</v>
      </c>
      <c r="D379">
        <v>4.01966</v>
      </c>
      <c r="E379">
        <v>0.55708950000000002</v>
      </c>
      <c r="F379" t="s">
        <v>41</v>
      </c>
      <c r="G379">
        <v>-377.19690000000003</v>
      </c>
      <c r="H379">
        <v>0.9231935</v>
      </c>
      <c r="I379">
        <v>368.15010000000001</v>
      </c>
      <c r="J379">
        <v>-377.83699999999999</v>
      </c>
      <c r="K379">
        <v>1.109993</v>
      </c>
      <c r="L379">
        <v>368.28320000000002</v>
      </c>
      <c r="M379">
        <v>0.99988010000000005</v>
      </c>
      <c r="N379">
        <v>-1.43912999999999E-2</v>
      </c>
      <c r="O379">
        <v>5.7090190000000001E-3</v>
      </c>
      <c r="P379">
        <v>0.9997741</v>
      </c>
      <c r="Q379">
        <v>2.067828E-2</v>
      </c>
      <c r="R379">
        <v>4.9403999999999898E-3</v>
      </c>
      <c r="S379">
        <v>3.0168460000000001</v>
      </c>
      <c r="T379">
        <v>-0.68089519999999903</v>
      </c>
      <c r="U379">
        <v>-0.47988890000000001</v>
      </c>
      <c r="V379">
        <v>7.6957589999999997E-4</v>
      </c>
      <c r="W379">
        <v>3.5064480000000002E-2</v>
      </c>
      <c r="X379">
        <v>0.99938479999999996</v>
      </c>
      <c r="Y379">
        <v>0.1584594</v>
      </c>
      <c r="Z379">
        <v>-1.9899940000000001E-2</v>
      </c>
      <c r="AA379">
        <v>0.98716490000000001</v>
      </c>
      <c r="AB379">
        <v>35</v>
      </c>
      <c r="AC379">
        <v>0.64009999999996103</v>
      </c>
      <c r="AD379">
        <v>-0.18679949999999901</v>
      </c>
      <c r="AE379">
        <v>-0.13310000000001301</v>
      </c>
      <c r="AF379">
        <v>0.126431414382462</v>
      </c>
      <c r="AG379">
        <v>-0.18679949999999901</v>
      </c>
      <c r="AH379">
        <v>0.59107743496792997</v>
      </c>
      <c r="AI379">
        <v>107.173316935918</v>
      </c>
      <c r="AJ379">
        <v>77.926378695440604</v>
      </c>
      <c r="AK379">
        <v>0.63265432099312102</v>
      </c>
      <c r="AL379">
        <v>87.9905414530581</v>
      </c>
      <c r="AM379">
        <v>89.955879414646304</v>
      </c>
      <c r="AN379">
        <v>1.00000004423788</v>
      </c>
    </row>
    <row r="380" spans="1:40" x14ac:dyDescent="0.25">
      <c r="A380" t="str">
        <f>"20190305135802812"</f>
        <v>20190305135802812</v>
      </c>
      <c r="B380" t="str">
        <f>"1551765482799572"</f>
        <v>1551765482799572</v>
      </c>
      <c r="C380" t="s">
        <v>40</v>
      </c>
      <c r="D380">
        <v>3.9803850000000001</v>
      </c>
      <c r="E380">
        <v>0.55718800000000002</v>
      </c>
      <c r="F380" t="s">
        <v>41</v>
      </c>
      <c r="G380">
        <v>-376.89690000000002</v>
      </c>
      <c r="H380">
        <v>0.89789509999999995</v>
      </c>
      <c r="I380">
        <v>368.13350000000003</v>
      </c>
      <c r="J380">
        <v>-377.65589999999997</v>
      </c>
      <c r="K380">
        <v>1.1099939999999999</v>
      </c>
      <c r="L380">
        <v>368.28429999999997</v>
      </c>
      <c r="M380">
        <v>0.99987990000000004</v>
      </c>
      <c r="N380">
        <v>-1.440844E-2</v>
      </c>
      <c r="O380">
        <v>5.709263E-3</v>
      </c>
      <c r="P380">
        <v>0.99977210000000005</v>
      </c>
      <c r="Q380">
        <v>2.0635770000000001E-2</v>
      </c>
      <c r="R380">
        <v>5.45978E-3</v>
      </c>
      <c r="S380">
        <v>3.0171510000000001</v>
      </c>
      <c r="T380">
        <v>-0.68074060000000003</v>
      </c>
      <c r="U380">
        <v>-0.47940060000000001</v>
      </c>
      <c r="V380">
        <v>2.5043709999999998E-4</v>
      </c>
      <c r="W380">
        <v>3.5039229999999998E-2</v>
      </c>
      <c r="X380">
        <v>0.99938590000000005</v>
      </c>
      <c r="Y380">
        <v>0.15829489999999999</v>
      </c>
      <c r="Z380">
        <v>-1.9876060000000001E-2</v>
      </c>
      <c r="AA380">
        <v>0.98719179999999995</v>
      </c>
      <c r="AB380">
        <v>35</v>
      </c>
      <c r="AC380">
        <v>0.75899999999995704</v>
      </c>
      <c r="AD380">
        <v>-0.21209890000000001</v>
      </c>
      <c r="AE380">
        <v>-0.15079999999994601</v>
      </c>
      <c r="AF380">
        <v>0.14429154794853799</v>
      </c>
      <c r="AG380">
        <v>-0.21209890000000001</v>
      </c>
      <c r="AH380">
        <v>0.70515261748935998</v>
      </c>
      <c r="AI380">
        <v>106.41910557547899</v>
      </c>
      <c r="AJ380">
        <v>78.435518578911001</v>
      </c>
      <c r="AK380">
        <v>0.75036405040666099</v>
      </c>
      <c r="AL380">
        <v>87.991988959543903</v>
      </c>
      <c r="AM380">
        <v>89.985642194308298</v>
      </c>
      <c r="AN380">
        <v>0.99999999373827198</v>
      </c>
    </row>
    <row r="381" spans="1:40" x14ac:dyDescent="0.25">
      <c r="A381" t="str">
        <f>"20190305135802829"</f>
        <v>20190305135802829</v>
      </c>
      <c r="B381" t="str">
        <f>"1551765482819096"</f>
        <v>1551765482819096</v>
      </c>
      <c r="C381" t="s">
        <v>40</v>
      </c>
      <c r="D381">
        <v>3.9977990000000001</v>
      </c>
      <c r="E381">
        <v>0.55753050000000004</v>
      </c>
      <c r="F381" t="s">
        <v>41</v>
      </c>
      <c r="G381">
        <v>-376.8818</v>
      </c>
      <c r="H381">
        <v>0.93536410000000003</v>
      </c>
      <c r="I381">
        <v>368.16120000000001</v>
      </c>
      <c r="J381">
        <v>-377.3809</v>
      </c>
      <c r="K381">
        <v>1.110001</v>
      </c>
      <c r="L381">
        <v>368.28590000000003</v>
      </c>
      <c r="M381">
        <v>0.99987950000000003</v>
      </c>
      <c r="N381">
        <v>-1.4432149999999999E-2</v>
      </c>
      <c r="O381">
        <v>5.7097619999999898E-3</v>
      </c>
      <c r="P381">
        <v>0.9997741</v>
      </c>
      <c r="Q381">
        <v>2.0452740000000001E-2</v>
      </c>
      <c r="R381">
        <v>5.8039340000000002E-3</v>
      </c>
      <c r="S381">
        <v>3.017334</v>
      </c>
      <c r="T381">
        <v>-0.68072589999999999</v>
      </c>
      <c r="U381">
        <v>-0.47836299999999998</v>
      </c>
      <c r="V381" s="1">
        <v>-9.3453159999999999E-5</v>
      </c>
      <c r="W381">
        <v>3.4880059999999997E-2</v>
      </c>
      <c r="X381">
        <v>0.99939149999999999</v>
      </c>
      <c r="Y381">
        <v>0.15796360000000001</v>
      </c>
      <c r="Z381">
        <v>-1.9837779999999999E-2</v>
      </c>
      <c r="AA381">
        <v>0.98724559999999995</v>
      </c>
      <c r="AB381">
        <v>35</v>
      </c>
      <c r="AC381">
        <v>0.49909999999999799</v>
      </c>
      <c r="AD381">
        <v>-0.17463690000000001</v>
      </c>
      <c r="AE381">
        <v>-0.124700000000018</v>
      </c>
      <c r="AF381">
        <v>0.11436833827175499</v>
      </c>
      <c r="AG381">
        <v>-0.17463690000000001</v>
      </c>
      <c r="AH381">
        <v>0.44688168128896599</v>
      </c>
      <c r="AI381">
        <v>110.73607943666499</v>
      </c>
      <c r="AJ381">
        <v>75.644679086566498</v>
      </c>
      <c r="AK381">
        <v>0.49323564420295701</v>
      </c>
      <c r="AL381">
        <v>88.001114317047794</v>
      </c>
      <c r="AM381">
        <v>90.0053577318143</v>
      </c>
      <c r="AN381">
        <v>0.99999999879567303</v>
      </c>
    </row>
    <row r="382" spans="1:40" x14ac:dyDescent="0.25">
      <c r="A382" t="str">
        <f>"20190305135802843"</f>
        <v>20190305135802843</v>
      </c>
      <c r="B382" t="str">
        <f>"1551765482828851"</f>
        <v>1551765482828851</v>
      </c>
      <c r="C382" t="s">
        <v>40</v>
      </c>
      <c r="D382">
        <v>4.0027599999999897</v>
      </c>
      <c r="E382">
        <v>0.55768219999999902</v>
      </c>
      <c r="F382" t="s">
        <v>41</v>
      </c>
      <c r="G382">
        <v>-376.57549999999998</v>
      </c>
      <c r="H382">
        <v>0.92806630000000001</v>
      </c>
      <c r="I382">
        <v>368.15780000000001</v>
      </c>
      <c r="J382">
        <v>-377.18259999999998</v>
      </c>
      <c r="K382">
        <v>1.1100030000000001</v>
      </c>
      <c r="L382">
        <v>368.28699999999998</v>
      </c>
      <c r="M382">
        <v>0.99987939999999997</v>
      </c>
      <c r="N382">
        <v>-1.444756E-2</v>
      </c>
      <c r="O382">
        <v>5.7104979999999996E-3</v>
      </c>
      <c r="P382">
        <v>0.99977179999999999</v>
      </c>
      <c r="Q382">
        <v>2.047935E-2</v>
      </c>
      <c r="R382">
        <v>6.1064040000000002E-3</v>
      </c>
      <c r="S382">
        <v>3.0174259999999999</v>
      </c>
      <c r="T382">
        <v>-0.68162349999999905</v>
      </c>
      <c r="U382">
        <v>-0.47949219999999998</v>
      </c>
      <c r="V382">
        <v>-3.9488220000000001E-4</v>
      </c>
      <c r="W382">
        <v>3.4922010000000003E-2</v>
      </c>
      <c r="X382">
        <v>0.99938990000000005</v>
      </c>
      <c r="Y382">
        <v>0.15830069999999999</v>
      </c>
      <c r="Z382">
        <v>-1.9902070000000001E-2</v>
      </c>
      <c r="AA382">
        <v>0.98719040000000002</v>
      </c>
      <c r="AB382">
        <v>35</v>
      </c>
      <c r="AC382">
        <v>0.60710000000000197</v>
      </c>
      <c r="AD382">
        <v>-0.18193670000000001</v>
      </c>
      <c r="AE382">
        <v>-0.12919999999996801</v>
      </c>
      <c r="AF382">
        <v>0.122168634677467</v>
      </c>
      <c r="AG382">
        <v>-0.18193670000000001</v>
      </c>
      <c r="AH382">
        <v>0.55837763468332002</v>
      </c>
      <c r="AI382">
        <v>107.656347435684</v>
      </c>
      <c r="AJ382">
        <v>77.658608844854996</v>
      </c>
      <c r="AK382">
        <v>0.59984308033050204</v>
      </c>
      <c r="AL382">
        <v>87.998709171105801</v>
      </c>
      <c r="AM382">
        <v>90.022638894276795</v>
      </c>
      <c r="AN382">
        <v>0.99999993746819904</v>
      </c>
    </row>
    <row r="383" spans="1:40" x14ac:dyDescent="0.25">
      <c r="A383" t="str">
        <f>"20190305135802856"</f>
        <v>20190305135802856</v>
      </c>
      <c r="B383" t="str">
        <f>"1551765482849348"</f>
        <v>1551765482849348</v>
      </c>
      <c r="C383" t="s">
        <v>40</v>
      </c>
      <c r="D383">
        <v>3.990364</v>
      </c>
      <c r="E383">
        <v>0.55799799999999999</v>
      </c>
      <c r="F383" t="s">
        <v>41</v>
      </c>
      <c r="G383">
        <v>-376.27530000000002</v>
      </c>
      <c r="H383">
        <v>0.90514399999999995</v>
      </c>
      <c r="I383">
        <v>368.14229999999998</v>
      </c>
      <c r="J383">
        <v>-376.96879999999999</v>
      </c>
      <c r="K383">
        <v>1.1100000000000001</v>
      </c>
      <c r="L383">
        <v>368.28820000000002</v>
      </c>
      <c r="M383">
        <v>0.99987910000000002</v>
      </c>
      <c r="N383">
        <v>-1.4462610000000001E-2</v>
      </c>
      <c r="O383">
        <v>5.7126149999999999E-3</v>
      </c>
      <c r="P383">
        <v>0.99976830000000005</v>
      </c>
      <c r="Q383">
        <v>2.0552290000000001E-2</v>
      </c>
      <c r="R383">
        <v>6.4077090000000001E-3</v>
      </c>
      <c r="S383">
        <v>3.0176090000000002</v>
      </c>
      <c r="T383">
        <v>-0.68148969999999998</v>
      </c>
      <c r="U383">
        <v>-0.47979739999999999</v>
      </c>
      <c r="V383">
        <v>-6.9462739999999999E-4</v>
      </c>
      <c r="W383">
        <v>3.5009680000000001E-2</v>
      </c>
      <c r="X383">
        <v>0.99938669999999996</v>
      </c>
      <c r="Y383">
        <v>0.15839039999999999</v>
      </c>
      <c r="Z383">
        <v>-1.9909400000000001E-2</v>
      </c>
      <c r="AA383">
        <v>0.98717580000000005</v>
      </c>
      <c r="AB383">
        <v>35</v>
      </c>
      <c r="AC383">
        <v>0.69349999999997103</v>
      </c>
      <c r="AD383">
        <v>-0.20485600000000001</v>
      </c>
      <c r="AE383">
        <v>-0.14590000000004</v>
      </c>
      <c r="AF383">
        <v>0.13830319379875899</v>
      </c>
      <c r="AG383">
        <v>-0.20485600000000001</v>
      </c>
      <c r="AH383">
        <v>0.63924054023791099</v>
      </c>
      <c r="AI383">
        <v>107.391638290335</v>
      </c>
      <c r="AJ383">
        <v>77.791908639794698</v>
      </c>
      <c r="AK383">
        <v>0.68536283998667002</v>
      </c>
      <c r="AL383">
        <v>87.993683037941807</v>
      </c>
      <c r="AM383">
        <v>90.039823635780905</v>
      </c>
      <c r="AN383">
        <v>0.99999996816890802</v>
      </c>
    </row>
    <row r="384" spans="1:40" x14ac:dyDescent="0.25">
      <c r="A384" t="str">
        <f>"20190305135802868"</f>
        <v>20190305135802868</v>
      </c>
      <c r="B384" t="str">
        <f>"1551765482859107"</f>
        <v>1551765482859107</v>
      </c>
      <c r="C384" t="s">
        <v>40</v>
      </c>
      <c r="D384">
        <v>3.9835630000000002</v>
      </c>
      <c r="E384">
        <v>0.55816269999999901</v>
      </c>
      <c r="F384" t="s">
        <v>41</v>
      </c>
      <c r="G384">
        <v>-376.2568</v>
      </c>
      <c r="H384">
        <v>0.94926980000000005</v>
      </c>
      <c r="I384">
        <v>368.17430000000002</v>
      </c>
      <c r="J384">
        <v>-376.78129999999999</v>
      </c>
      <c r="K384">
        <v>1.1100030000000001</v>
      </c>
      <c r="L384">
        <v>368.28930000000003</v>
      </c>
      <c r="M384">
        <v>0.99987910000000002</v>
      </c>
      <c r="N384">
        <v>-1.4474320000000001E-2</v>
      </c>
      <c r="O384">
        <v>5.7164370000000004E-3</v>
      </c>
      <c r="P384">
        <v>0.99976310000000002</v>
      </c>
      <c r="Q384">
        <v>2.0714690000000001E-2</v>
      </c>
      <c r="R384">
        <v>6.7193790000000002E-3</v>
      </c>
      <c r="S384">
        <v>3.017792</v>
      </c>
      <c r="T384">
        <v>-0.68144090000000002</v>
      </c>
      <c r="U384">
        <v>-0.48080440000000002</v>
      </c>
      <c r="V384">
        <v>-1.002469E-3</v>
      </c>
      <c r="W384">
        <v>3.5183619999999999E-2</v>
      </c>
      <c r="X384">
        <v>0.99938039999999995</v>
      </c>
      <c r="Y384">
        <v>0.15869910000000001</v>
      </c>
      <c r="Z384">
        <v>-1.9944699999999999E-2</v>
      </c>
      <c r="AA384">
        <v>0.98712549999999999</v>
      </c>
      <c r="AB384">
        <v>35</v>
      </c>
      <c r="AC384">
        <v>0.52449999999998898</v>
      </c>
      <c r="AD384">
        <v>-0.16073319999999999</v>
      </c>
      <c r="AE384">
        <v>-0.115000000000009</v>
      </c>
      <c r="AF384">
        <v>0.10829317863976801</v>
      </c>
      <c r="AG384">
        <v>-0.16073319999999999</v>
      </c>
      <c r="AH384">
        <v>0.48075618258916802</v>
      </c>
      <c r="AI384">
        <v>108.064345470901</v>
      </c>
      <c r="AJ384">
        <v>77.305660413320695</v>
      </c>
      <c r="AK384">
        <v>0.51835227521431204</v>
      </c>
      <c r="AL384">
        <v>87.983711006917503</v>
      </c>
      <c r="AM384">
        <v>90.057472833696195</v>
      </c>
      <c r="AN384">
        <v>1.00000003798227</v>
      </c>
    </row>
    <row r="385" spans="1:40" x14ac:dyDescent="0.25">
      <c r="A385" t="str">
        <f>"20190305135802886"</f>
        <v>20190305135802886</v>
      </c>
      <c r="B385" t="str">
        <f>"1551765482879603"</f>
        <v>1551765482879603</v>
      </c>
      <c r="C385" t="s">
        <v>40</v>
      </c>
      <c r="D385">
        <v>3.9973900000000002</v>
      </c>
      <c r="E385">
        <v>0.55843999999999905</v>
      </c>
      <c r="F385" t="s">
        <v>41</v>
      </c>
      <c r="G385">
        <v>-375.95890000000003</v>
      </c>
      <c r="H385">
        <v>0.92450109999999996</v>
      </c>
      <c r="I385">
        <v>368.1576</v>
      </c>
      <c r="J385">
        <v>-376.51170000000002</v>
      </c>
      <c r="K385">
        <v>1.110012</v>
      </c>
      <c r="L385">
        <v>368.29079999999999</v>
      </c>
      <c r="M385">
        <v>0.99987870000000001</v>
      </c>
      <c r="N385">
        <v>-1.448966E-2</v>
      </c>
      <c r="O385">
        <v>5.7258129999999997E-3</v>
      </c>
      <c r="P385">
        <v>0.9997568</v>
      </c>
      <c r="Q385">
        <v>2.0937709999999998E-2</v>
      </c>
      <c r="R385">
        <v>6.950739E-3</v>
      </c>
      <c r="S385">
        <v>3.0180660000000001</v>
      </c>
      <c r="T385">
        <v>-0.68091440000000003</v>
      </c>
      <c r="U385">
        <v>-0.48126219999999997</v>
      </c>
      <c r="V385">
        <v>-1.225004E-3</v>
      </c>
      <c r="W385">
        <v>3.5422370000000002E-2</v>
      </c>
      <c r="X385">
        <v>0.99937169999999997</v>
      </c>
      <c r="Y385">
        <v>0.1588434</v>
      </c>
      <c r="Z385">
        <v>-1.994874E-2</v>
      </c>
      <c r="AA385">
        <v>0.98710220000000004</v>
      </c>
      <c r="AB385">
        <v>35</v>
      </c>
      <c r="AC385">
        <v>0.55279999999998997</v>
      </c>
      <c r="AD385">
        <v>-0.18551089999999901</v>
      </c>
      <c r="AE385">
        <v>-0.13319999999998799</v>
      </c>
      <c r="AF385">
        <v>0.12324549308751399</v>
      </c>
      <c r="AG385">
        <v>-0.18551089999999901</v>
      </c>
      <c r="AH385">
        <v>0.498924170173913</v>
      </c>
      <c r="AI385">
        <v>109.848144700411</v>
      </c>
      <c r="AJ385">
        <v>76.124431971008605</v>
      </c>
      <c r="AK385">
        <v>0.54637814118879502</v>
      </c>
      <c r="AL385">
        <v>87.970023070931205</v>
      </c>
      <c r="AM385">
        <v>90.070231650479798</v>
      </c>
      <c r="AN385">
        <v>1.0000000198460499</v>
      </c>
    </row>
    <row r="386" spans="1:40" x14ac:dyDescent="0.25">
      <c r="A386" t="str">
        <f>"20190305135802902"</f>
        <v>20190305135802902</v>
      </c>
      <c r="B386" t="str">
        <f>"1551765482889364"</f>
        <v>1551765482889364</v>
      </c>
      <c r="C386" t="s">
        <v>40</v>
      </c>
      <c r="D386">
        <v>3.9994369999999999</v>
      </c>
      <c r="E386">
        <v>0.55855390000000005</v>
      </c>
      <c r="F386" t="s">
        <v>41</v>
      </c>
      <c r="G386">
        <v>-375.65339999999998</v>
      </c>
      <c r="H386">
        <v>0.91665149999999995</v>
      </c>
      <c r="I386">
        <v>368.15309999999999</v>
      </c>
      <c r="J386">
        <v>-376.27780000000001</v>
      </c>
      <c r="K386">
        <v>1.1100179999999999</v>
      </c>
      <c r="L386">
        <v>368.29219999999998</v>
      </c>
      <c r="M386">
        <v>0.99987839999999995</v>
      </c>
      <c r="N386">
        <v>-1.4501440000000001E-2</v>
      </c>
      <c r="O386">
        <v>5.7390459999999898E-3</v>
      </c>
      <c r="P386">
        <v>0.99975369999999997</v>
      </c>
      <c r="Q386">
        <v>2.1007000000000001E-2</v>
      </c>
      <c r="R386">
        <v>7.1461529999999997E-3</v>
      </c>
      <c r="S386">
        <v>3.0183110000000002</v>
      </c>
      <c r="T386">
        <v>-0.6800908</v>
      </c>
      <c r="U386">
        <v>-0.48297119999999999</v>
      </c>
      <c r="V386">
        <v>-1.4075139999999999E-3</v>
      </c>
      <c r="W386">
        <v>3.5503380000000001E-2</v>
      </c>
      <c r="X386">
        <v>0.99936849999999999</v>
      </c>
      <c r="Y386">
        <v>0.15938540000000001</v>
      </c>
      <c r="Z386">
        <v>-1.9991789999999999E-2</v>
      </c>
      <c r="AA386">
        <v>0.98701399999999995</v>
      </c>
      <c r="AB386">
        <v>35</v>
      </c>
      <c r="AC386">
        <v>0.62440000000003604</v>
      </c>
      <c r="AD386">
        <v>-0.1933665</v>
      </c>
      <c r="AE386">
        <v>-0.13909999999998399</v>
      </c>
      <c r="AF386">
        <v>0.13073624219546201</v>
      </c>
      <c r="AG386">
        <v>-0.1933665</v>
      </c>
      <c r="AH386">
        <v>0.57138424333067805</v>
      </c>
      <c r="AI386">
        <v>108.25733394252001</v>
      </c>
      <c r="AJ386">
        <v>77.112217009261101</v>
      </c>
      <c r="AK386">
        <v>0.61722161487768101</v>
      </c>
      <c r="AL386">
        <v>87.965378445712304</v>
      </c>
      <c r="AM386">
        <v>90.080695517702793</v>
      </c>
      <c r="AN386">
        <v>0.99999993493966499</v>
      </c>
    </row>
    <row r="387" spans="1:40" x14ac:dyDescent="0.25">
      <c r="A387" t="str">
        <f>"20190305135802921"</f>
        <v>20190305135802921</v>
      </c>
      <c r="B387" t="str">
        <f>"1551765482908883"</f>
        <v>1551765482908883</v>
      </c>
      <c r="C387" t="s">
        <v>40</v>
      </c>
      <c r="D387">
        <v>4.045229</v>
      </c>
      <c r="E387">
        <v>0.55883260000000001</v>
      </c>
      <c r="F387" t="s">
        <v>41</v>
      </c>
      <c r="G387">
        <v>-375.35129999999998</v>
      </c>
      <c r="H387">
        <v>0.9014006</v>
      </c>
      <c r="I387">
        <v>368.1438</v>
      </c>
      <c r="J387">
        <v>-375.97719999999998</v>
      </c>
      <c r="K387">
        <v>1.1100300000000001</v>
      </c>
      <c r="L387">
        <v>368.29390000000001</v>
      </c>
      <c r="M387">
        <v>0.99987800000000004</v>
      </c>
      <c r="N387">
        <v>-1.45144E-2</v>
      </c>
      <c r="O387">
        <v>5.7654999999999998E-3</v>
      </c>
      <c r="P387">
        <v>0.99974750000000001</v>
      </c>
      <c r="Q387">
        <v>2.1216550000000001E-2</v>
      </c>
      <c r="R387">
        <v>7.39469699999999E-3</v>
      </c>
      <c r="S387">
        <v>3.0184630000000001</v>
      </c>
      <c r="T387">
        <v>-0.67966319999999902</v>
      </c>
      <c r="U387">
        <v>-0.48333739999999997</v>
      </c>
      <c r="V387">
        <v>-1.6300430000000001E-3</v>
      </c>
      <c r="W387">
        <v>3.5725449999999999E-2</v>
      </c>
      <c r="X387">
        <v>0.99936029999999998</v>
      </c>
      <c r="Y387">
        <v>0.15952179999999999</v>
      </c>
      <c r="Z387">
        <v>-2.0001629999999999E-2</v>
      </c>
      <c r="AA387">
        <v>0.98699179999999997</v>
      </c>
      <c r="AB387">
        <v>34</v>
      </c>
      <c r="AC387">
        <v>0.62590000000000101</v>
      </c>
      <c r="AD387">
        <v>-0.20862939999999999</v>
      </c>
      <c r="AE387">
        <v>-0.150100000000009</v>
      </c>
      <c r="AF387">
        <v>0.13909279049789799</v>
      </c>
      <c r="AG387">
        <v>-0.20862939999999999</v>
      </c>
      <c r="AH387">
        <v>0.56559963314978601</v>
      </c>
      <c r="AI387">
        <v>109.707111963025</v>
      </c>
      <c r="AJ387">
        <v>76.183932154168502</v>
      </c>
      <c r="AK387">
        <v>0.61868891693000605</v>
      </c>
      <c r="AL387">
        <v>87.952646800813497</v>
      </c>
      <c r="AM387">
        <v>90.093454284206899</v>
      </c>
      <c r="AN387">
        <v>0.999999987016987</v>
      </c>
    </row>
    <row r="388" spans="1:40" x14ac:dyDescent="0.25">
      <c r="A388" t="str">
        <f>"20190305135802942"</f>
        <v>20190305135802942</v>
      </c>
      <c r="B388" t="str">
        <f>"1551765482929380"</f>
        <v>1551765482929380</v>
      </c>
      <c r="C388" t="s">
        <v>40</v>
      </c>
      <c r="D388">
        <v>4.0261019999999998</v>
      </c>
      <c r="E388">
        <v>0.55907439999999997</v>
      </c>
      <c r="F388" t="s">
        <v>41</v>
      </c>
      <c r="G388">
        <v>-375.04390000000001</v>
      </c>
      <c r="H388">
        <v>0.90026489999999904</v>
      </c>
      <c r="I388">
        <v>368.14370000000002</v>
      </c>
      <c r="J388">
        <v>-375.65390000000002</v>
      </c>
      <c r="K388">
        <v>1.1100429999999999</v>
      </c>
      <c r="L388">
        <v>368.29579999999999</v>
      </c>
      <c r="M388">
        <v>0.99987780000000004</v>
      </c>
      <c r="N388">
        <v>-1.452604E-2</v>
      </c>
      <c r="O388">
        <v>5.8071650000000004E-3</v>
      </c>
      <c r="P388">
        <v>0.99974419999999997</v>
      </c>
      <c r="Q388">
        <v>2.1285160000000001E-2</v>
      </c>
      <c r="R388">
        <v>7.6624409999999999E-3</v>
      </c>
      <c r="S388">
        <v>3.0187379999999999</v>
      </c>
      <c r="T388">
        <v>-0.67864849999999999</v>
      </c>
      <c r="U388">
        <v>-0.48461910000000002</v>
      </c>
      <c r="V388">
        <v>-1.8573439999999999E-3</v>
      </c>
      <c r="W388">
        <v>3.5805499999999997E-2</v>
      </c>
      <c r="X388">
        <v>0.99935700000000005</v>
      </c>
      <c r="Y388">
        <v>0.1599583</v>
      </c>
      <c r="Z388">
        <v>-2.0032689999999999E-2</v>
      </c>
      <c r="AA388">
        <v>0.98692049999999998</v>
      </c>
      <c r="AB388">
        <v>34</v>
      </c>
      <c r="AC388">
        <v>0.61000000000001298</v>
      </c>
      <c r="AD388">
        <v>-0.2097781</v>
      </c>
      <c r="AE388">
        <v>-0.15209999999996099</v>
      </c>
      <c r="AF388">
        <v>0.14004684804915599</v>
      </c>
      <c r="AG388">
        <v>-0.2097781</v>
      </c>
      <c r="AH388">
        <v>0.54808099750640904</v>
      </c>
      <c r="AI388">
        <v>110.346562200581</v>
      </c>
      <c r="AJ388">
        <v>75.666359960232199</v>
      </c>
      <c r="AK388">
        <v>0.603334692120164</v>
      </c>
      <c r="AL388">
        <v>87.948057258250898</v>
      </c>
      <c r="AM388">
        <v>90.106486320479704</v>
      </c>
      <c r="AN388">
        <v>0.99999994850299001</v>
      </c>
    </row>
    <row r="389" spans="1:40" x14ac:dyDescent="0.25">
      <c r="A389" t="str">
        <f>"20190305135802956"</f>
        <v>20190305135802956</v>
      </c>
      <c r="B389" t="str">
        <f>"1551765482948900"</f>
        <v>1551765482948900</v>
      </c>
      <c r="C389" t="s">
        <v>40</v>
      </c>
      <c r="D389">
        <v>4.0496489999999996</v>
      </c>
      <c r="E389">
        <v>0.55926149999999997</v>
      </c>
      <c r="F389" t="s">
        <v>41</v>
      </c>
      <c r="G389">
        <v>-374.7353</v>
      </c>
      <c r="H389">
        <v>0.9036341</v>
      </c>
      <c r="I389">
        <v>368.14789999999999</v>
      </c>
      <c r="J389">
        <v>-375.42700000000002</v>
      </c>
      <c r="K389">
        <v>1.1100570000000001</v>
      </c>
      <c r="L389">
        <v>368.29719999999998</v>
      </c>
      <c r="M389">
        <v>0.99987729999999997</v>
      </c>
      <c r="N389">
        <v>-1.453308E-2</v>
      </c>
      <c r="O389">
        <v>5.8462590000000004E-3</v>
      </c>
      <c r="P389">
        <v>0.99974229999999997</v>
      </c>
      <c r="Q389">
        <v>2.1392049999999999E-2</v>
      </c>
      <c r="R389">
        <v>7.6011969999999996E-3</v>
      </c>
      <c r="S389">
        <v>3.0189210000000002</v>
      </c>
      <c r="T389">
        <v>-0.6784019</v>
      </c>
      <c r="U389">
        <v>-0.48522949999999998</v>
      </c>
      <c r="V389">
        <v>-1.7577420000000001E-3</v>
      </c>
      <c r="W389">
        <v>3.5919399999999997E-2</v>
      </c>
      <c r="X389">
        <v>0.99935320000000005</v>
      </c>
      <c r="Y389">
        <v>0.16017899999999999</v>
      </c>
      <c r="Z389">
        <v>-2.0059159999999999E-2</v>
      </c>
      <c r="AA389">
        <v>0.98688410000000004</v>
      </c>
      <c r="AB389">
        <v>34</v>
      </c>
      <c r="AC389">
        <v>0.69169999999996801</v>
      </c>
      <c r="AD389">
        <v>-0.20642289999999999</v>
      </c>
      <c r="AE389">
        <v>-0.149299999999982</v>
      </c>
      <c r="AF389">
        <v>0.14131641336237899</v>
      </c>
      <c r="AG389">
        <v>-0.20642289999999999</v>
      </c>
      <c r="AH389">
        <v>0.63664033377604801</v>
      </c>
      <c r="AI389">
        <v>107.56432706664501</v>
      </c>
      <c r="AJ389">
        <v>77.484847717533299</v>
      </c>
      <c r="AK389">
        <v>0.68402606450375503</v>
      </c>
      <c r="AL389">
        <v>87.941527288642106</v>
      </c>
      <c r="AM389">
        <v>90.100776276313198</v>
      </c>
      <c r="AN389">
        <v>1.0000000556517601</v>
      </c>
    </row>
    <row r="390" spans="1:40" x14ac:dyDescent="0.25">
      <c r="A390" t="str">
        <f>"20190305135802976"</f>
        <v>20190305135802976</v>
      </c>
      <c r="B390" t="str">
        <f>"1551765482969396"</f>
        <v>1551765482969396</v>
      </c>
      <c r="C390" t="s">
        <v>40</v>
      </c>
      <c r="D390">
        <v>3.9739300000000002</v>
      </c>
      <c r="E390">
        <v>0.52805719999999901</v>
      </c>
      <c r="F390" t="s">
        <v>41</v>
      </c>
      <c r="G390">
        <v>-374.71570000000003</v>
      </c>
      <c r="H390">
        <v>0.95059800000000005</v>
      </c>
      <c r="I390">
        <v>368.1823</v>
      </c>
      <c r="J390">
        <v>-375.13819999999998</v>
      </c>
      <c r="K390">
        <v>1.1100749999999999</v>
      </c>
      <c r="L390">
        <v>368.2989</v>
      </c>
      <c r="M390">
        <v>0.99987689999999996</v>
      </c>
      <c r="N390">
        <v>-1.454066E-2</v>
      </c>
      <c r="O390">
        <v>5.910996E-3</v>
      </c>
      <c r="P390">
        <v>0.99972749999999999</v>
      </c>
      <c r="Q390">
        <v>2.1948079999999998E-2</v>
      </c>
      <c r="R390">
        <v>7.9523059999999993E-3</v>
      </c>
      <c r="S390">
        <v>3.0189509999999999</v>
      </c>
      <c r="T390">
        <v>-0.67680410000000002</v>
      </c>
      <c r="U390">
        <v>-0.48684690000000003</v>
      </c>
      <c r="V390">
        <v>-2.045523E-3</v>
      </c>
      <c r="W390">
        <v>3.6482649999999998E-2</v>
      </c>
      <c r="X390">
        <v>0.9993322</v>
      </c>
      <c r="Y390">
        <v>0.16075999999999999</v>
      </c>
      <c r="Z390">
        <v>-2.009673E-2</v>
      </c>
      <c r="AA390">
        <v>0.98678889999999997</v>
      </c>
      <c r="AB390">
        <v>34</v>
      </c>
      <c r="AC390">
        <v>0.42249999999995602</v>
      </c>
      <c r="AD390">
        <v>-0.15947699999999901</v>
      </c>
      <c r="AE390">
        <v>-0.11660000000000501</v>
      </c>
      <c r="AF390">
        <v>0.105171644391515</v>
      </c>
      <c r="AG390">
        <v>-0.15947699999999901</v>
      </c>
      <c r="AH390">
        <v>0.37248849461675898</v>
      </c>
      <c r="AI390">
        <v>112.393159483651</v>
      </c>
      <c r="AJ390">
        <v>74.233042207501001</v>
      </c>
      <c r="AK390">
        <v>0.41861876084914601</v>
      </c>
      <c r="AL390">
        <v>87.909234173138799</v>
      </c>
      <c r="AM390">
        <v>90.117277989358897</v>
      </c>
      <c r="AN390">
        <v>1.0000000069360999</v>
      </c>
    </row>
    <row r="391" spans="1:40" x14ac:dyDescent="0.25">
      <c r="A391" t="str">
        <f>"20190305135802989"</f>
        <v>20190305135802989</v>
      </c>
      <c r="B391" t="str">
        <f>"1551765482979156"</f>
        <v>1551765482979156</v>
      </c>
      <c r="C391" t="s">
        <v>40</v>
      </c>
      <c r="D391">
        <v>4.0725210000000001</v>
      </c>
      <c r="E391">
        <v>0.52344499999999905</v>
      </c>
      <c r="F391" t="s">
        <v>41</v>
      </c>
      <c r="G391">
        <v>-374.39690000000002</v>
      </c>
      <c r="H391">
        <v>0.97710549999999996</v>
      </c>
      <c r="I391">
        <v>368.24209999999999</v>
      </c>
      <c r="J391">
        <v>-374.92439999999999</v>
      </c>
      <c r="K391">
        <v>1.1100939999999999</v>
      </c>
      <c r="L391">
        <v>368.30020000000002</v>
      </c>
      <c r="M391">
        <v>0.99987649999999995</v>
      </c>
      <c r="N391">
        <v>-1.454219E-2</v>
      </c>
      <c r="O391">
        <v>5.9742090000000003E-3</v>
      </c>
      <c r="P391">
        <v>0.99972119999999998</v>
      </c>
      <c r="Q391">
        <v>2.2217239999999999E-2</v>
      </c>
      <c r="R391">
        <v>7.9906159999999903E-3</v>
      </c>
      <c r="S391">
        <v>3.014526</v>
      </c>
      <c r="T391">
        <v>-0.54082159999999901</v>
      </c>
      <c r="U391">
        <v>-0.2299194</v>
      </c>
      <c r="V391">
        <v>-2.0216769999999999E-3</v>
      </c>
      <c r="W391">
        <v>3.6753300000000003E-2</v>
      </c>
      <c r="X391">
        <v>0.9993223</v>
      </c>
      <c r="Y391">
        <v>8.0541249999999995E-2</v>
      </c>
      <c r="Z391">
        <v>-8.7246300000000006E-3</v>
      </c>
      <c r="AA391">
        <v>0.99671310000000002</v>
      </c>
      <c r="AB391">
        <v>34</v>
      </c>
      <c r="AC391">
        <v>0.52749999999997499</v>
      </c>
      <c r="AD391">
        <v>-0.13298850000000001</v>
      </c>
      <c r="AE391">
        <v>-5.8100000000024403E-2</v>
      </c>
      <c r="AF391">
        <v>5.7631540848977099E-2</v>
      </c>
      <c r="AG391">
        <v>-0.13298850000000001</v>
      </c>
      <c r="AH391">
        <v>0.495995856803223</v>
      </c>
      <c r="AI391">
        <v>104.913533680873</v>
      </c>
      <c r="AJ391">
        <v>83.372317540711293</v>
      </c>
      <c r="AK391">
        <v>0.51673903045816105</v>
      </c>
      <c r="AL391">
        <v>87.8937165977555</v>
      </c>
      <c r="AM391">
        <v>90.115911955146103</v>
      </c>
      <c r="AN391">
        <v>0.99999997575803501</v>
      </c>
    </row>
    <row r="392" spans="1:40" x14ac:dyDescent="0.25">
      <c r="A392" t="str">
        <f>"20190305135803009"</f>
        <v>20190305135803009</v>
      </c>
      <c r="B392" t="str">
        <f>"1551765482999652"</f>
        <v>1551765482999652</v>
      </c>
      <c r="C392" t="s">
        <v>40</v>
      </c>
      <c r="D392">
        <v>4.3907540000000003</v>
      </c>
      <c r="E392">
        <v>0.51799879999999998</v>
      </c>
      <c r="F392" t="s">
        <v>41</v>
      </c>
      <c r="G392">
        <v>-374.09</v>
      </c>
      <c r="H392">
        <v>0.97739779999999998</v>
      </c>
      <c r="I392">
        <v>368.2475</v>
      </c>
      <c r="J392">
        <v>-374.61739999999998</v>
      </c>
      <c r="K392">
        <v>1.110115</v>
      </c>
      <c r="L392">
        <v>368.30220000000003</v>
      </c>
      <c r="M392">
        <v>0.99987599999999999</v>
      </c>
      <c r="N392">
        <v>-1.452786E-2</v>
      </c>
      <c r="O392">
        <v>6.0869879999999998E-3</v>
      </c>
      <c r="P392">
        <v>0.99970669999999995</v>
      </c>
      <c r="Q392">
        <v>2.279817E-2</v>
      </c>
      <c r="R392">
        <v>8.1828609999999996E-3</v>
      </c>
      <c r="S392">
        <v>3.0129999999999999</v>
      </c>
      <c r="T392">
        <v>-0.47922379999999998</v>
      </c>
      <c r="U392">
        <v>-0.19015499999999999</v>
      </c>
      <c r="V392">
        <v>-2.103593E-3</v>
      </c>
      <c r="W392">
        <v>3.7319409999999997E-2</v>
      </c>
      <c r="X392">
        <v>0.9993012</v>
      </c>
      <c r="Y392">
        <v>6.8066269999999998E-2</v>
      </c>
      <c r="Z392">
        <v>-6.7456520000000004E-3</v>
      </c>
      <c r="AA392">
        <v>0.99765800000000004</v>
      </c>
      <c r="AB392">
        <v>34</v>
      </c>
      <c r="AC392">
        <v>0.52739999999999998</v>
      </c>
      <c r="AD392">
        <v>-0.13271719999999901</v>
      </c>
      <c r="AE392">
        <v>-5.4700000000025201E-2</v>
      </c>
      <c r="AF392">
        <v>5.4495415210477099E-2</v>
      </c>
      <c r="AG392">
        <v>-0.13271719999999901</v>
      </c>
      <c r="AH392">
        <v>0.49598342169110798</v>
      </c>
      <c r="AI392">
        <v>104.89485431951699</v>
      </c>
      <c r="AJ392">
        <v>83.729865073445495</v>
      </c>
      <c r="AK392">
        <v>0.51631691822680104</v>
      </c>
      <c r="AL392">
        <v>87.861258721259006</v>
      </c>
      <c r="AM392">
        <v>90.120611105724194</v>
      </c>
      <c r="AN392">
        <v>1.00000002589384</v>
      </c>
    </row>
    <row r="393" spans="1:40" x14ac:dyDescent="0.25">
      <c r="A393" t="str">
        <f>"20190305135803023"</f>
        <v>20190305135803023</v>
      </c>
      <c r="B393" t="str">
        <f>"1551765483019172"</f>
        <v>1551765483019172</v>
      </c>
      <c r="C393" t="s">
        <v>40</v>
      </c>
      <c r="D393">
        <v>4.0850280000000003</v>
      </c>
      <c r="E393">
        <v>0.51513799999999998</v>
      </c>
      <c r="F393" t="s">
        <v>41</v>
      </c>
      <c r="G393">
        <v>-373.76900000000001</v>
      </c>
      <c r="H393">
        <v>1.0069140000000001</v>
      </c>
      <c r="I393">
        <v>368.26240000000001</v>
      </c>
      <c r="J393">
        <v>-374.42250000000001</v>
      </c>
      <c r="K393">
        <v>1.1101289999999999</v>
      </c>
      <c r="L393">
        <v>368.30340000000001</v>
      </c>
      <c r="M393">
        <v>0.99987590000000004</v>
      </c>
      <c r="N393">
        <v>-1.4504909999999999E-2</v>
      </c>
      <c r="O393">
        <v>6.1726639999999996E-3</v>
      </c>
      <c r="P393">
        <v>0.99970139999999996</v>
      </c>
      <c r="Q393">
        <v>2.2960890000000001E-2</v>
      </c>
      <c r="R393">
        <v>8.3787959999999904E-3</v>
      </c>
      <c r="S393">
        <v>3.0104060000000001</v>
      </c>
      <c r="T393">
        <v>-0.36646529999999999</v>
      </c>
      <c r="U393">
        <v>-0.13989260000000001</v>
      </c>
      <c r="V393">
        <v>-2.2150830000000001E-3</v>
      </c>
      <c r="W393">
        <v>3.74595E-2</v>
      </c>
      <c r="X393">
        <v>0.99929570000000001</v>
      </c>
      <c r="Y393">
        <v>5.2119930000000002E-2</v>
      </c>
      <c r="Z393">
        <v>-4.1978550000000003E-3</v>
      </c>
      <c r="AA393">
        <v>0.99863199999999996</v>
      </c>
      <c r="AB393">
        <v>34</v>
      </c>
      <c r="AC393">
        <v>0.65350000000000796</v>
      </c>
      <c r="AD393">
        <v>-0.103215</v>
      </c>
      <c r="AE393">
        <v>-4.0999999999996803E-2</v>
      </c>
      <c r="AF393">
        <v>4.3941624755008603E-2</v>
      </c>
      <c r="AG393">
        <v>-0.103215</v>
      </c>
      <c r="AH393">
        <v>0.63739652588347395</v>
      </c>
      <c r="AI393">
        <v>99.176776791639</v>
      </c>
      <c r="AJ393">
        <v>86.056312876419895</v>
      </c>
      <c r="AK393">
        <v>0.64719281038916998</v>
      </c>
      <c r="AL393">
        <v>87.853226501761398</v>
      </c>
      <c r="AM393">
        <v>90.127004148327501</v>
      </c>
      <c r="AN393">
        <v>1.0000000083857099</v>
      </c>
    </row>
    <row r="394" spans="1:40" x14ac:dyDescent="0.25">
      <c r="A394" t="str">
        <f>"20190305135803034"</f>
        <v>20190305135803034</v>
      </c>
      <c r="B394" t="str">
        <f>"1551765483028932"</f>
        <v>1551765483028932</v>
      </c>
      <c r="C394" t="s">
        <v>40</v>
      </c>
      <c r="D394">
        <v>4.1028820000000001</v>
      </c>
      <c r="E394">
        <v>0.51461869999999998</v>
      </c>
      <c r="F394" t="s">
        <v>41</v>
      </c>
      <c r="G394">
        <v>-373.4572</v>
      </c>
      <c r="H394">
        <v>1.0183230000000001</v>
      </c>
      <c r="I394">
        <v>368.2672</v>
      </c>
      <c r="J394">
        <v>-374.21879999999999</v>
      </c>
      <c r="K394">
        <v>1.110139</v>
      </c>
      <c r="L394">
        <v>368.3048</v>
      </c>
      <c r="M394">
        <v>0.99987570000000003</v>
      </c>
      <c r="N394">
        <v>-1.4465810000000001E-2</v>
      </c>
      <c r="O394">
        <v>6.276434E-3</v>
      </c>
      <c r="P394">
        <v>0.99968299999999999</v>
      </c>
      <c r="Q394">
        <v>2.3638639999999999E-2</v>
      </c>
      <c r="R394">
        <v>8.6742079999999992E-3</v>
      </c>
      <c r="S394">
        <v>3.0084230000000001</v>
      </c>
      <c r="T394">
        <v>-0.28616570000000002</v>
      </c>
      <c r="U394">
        <v>-0.11294559999999999</v>
      </c>
      <c r="V394">
        <v>-2.4089620000000002E-3</v>
      </c>
      <c r="W394">
        <v>3.8097529999999998E-2</v>
      </c>
      <c r="X394">
        <v>0.99927109999999997</v>
      </c>
      <c r="Y394">
        <v>4.3541969999999999E-2</v>
      </c>
      <c r="Z394">
        <v>-2.8862760000000001E-3</v>
      </c>
      <c r="AA394">
        <v>0.99904749999999998</v>
      </c>
      <c r="AB394">
        <v>34</v>
      </c>
      <c r="AC394">
        <v>0.76159999999998695</v>
      </c>
      <c r="AD394">
        <v>-9.1816000000000106E-2</v>
      </c>
      <c r="AE394">
        <v>-3.7599999999997601E-2</v>
      </c>
      <c r="AF394">
        <v>4.1774224291394997E-2</v>
      </c>
      <c r="AG394">
        <v>-9.1816000000000106E-2</v>
      </c>
      <c r="AH394">
        <v>0.75046824935693301</v>
      </c>
      <c r="AI394">
        <v>96.964509584211399</v>
      </c>
      <c r="AJ394">
        <v>86.813963474765501</v>
      </c>
      <c r="AK394">
        <v>0.75721717952249901</v>
      </c>
      <c r="AL394">
        <v>87.816643894150303</v>
      </c>
      <c r="AM394">
        <v>90.138123766644497</v>
      </c>
      <c r="AN394">
        <v>0.99999997809261298</v>
      </c>
    </row>
    <row r="395" spans="1:40" x14ac:dyDescent="0.25">
      <c r="A395" t="str">
        <f>"20190305135803053"</f>
        <v>20190305135803053</v>
      </c>
      <c r="B395" t="str">
        <f>"1551765483049428"</f>
        <v>1551765483049428</v>
      </c>
      <c r="C395" t="s">
        <v>40</v>
      </c>
      <c r="D395">
        <v>4.1169750000000001</v>
      </c>
      <c r="E395">
        <v>0.51441099999999995</v>
      </c>
      <c r="F395" t="s">
        <v>41</v>
      </c>
      <c r="G395">
        <v>-373.44369999999998</v>
      </c>
      <c r="H395">
        <v>1.043309</v>
      </c>
      <c r="I395">
        <v>368.27730000000003</v>
      </c>
      <c r="J395">
        <v>-373.94639999999998</v>
      </c>
      <c r="K395">
        <v>1.110155</v>
      </c>
      <c r="L395">
        <v>368.3066</v>
      </c>
      <c r="M395">
        <v>0.99987570000000003</v>
      </c>
      <c r="N395">
        <v>-1.438941E-2</v>
      </c>
      <c r="O395">
        <v>6.4365610000000004E-3</v>
      </c>
      <c r="P395">
        <v>0.9996408</v>
      </c>
      <c r="Q395">
        <v>2.5170600000000001E-2</v>
      </c>
      <c r="R395">
        <v>9.2110909999999994E-3</v>
      </c>
      <c r="S395">
        <v>3.0080260000000001</v>
      </c>
      <c r="T395">
        <v>-0.25942280000000001</v>
      </c>
      <c r="U395">
        <v>-0.106781</v>
      </c>
      <c r="V395">
        <v>-2.7890419999999998E-3</v>
      </c>
      <c r="W395">
        <v>3.9552209999999997E-2</v>
      </c>
      <c r="X395">
        <v>0.99921360000000004</v>
      </c>
      <c r="Y395">
        <v>4.1711650000000003E-2</v>
      </c>
      <c r="Z395">
        <v>-2.5571209999999999E-3</v>
      </c>
      <c r="AA395">
        <v>0.99912639999999997</v>
      </c>
      <c r="AB395">
        <v>34</v>
      </c>
      <c r="AC395">
        <v>0.50270000000000403</v>
      </c>
      <c r="AD395">
        <v>-6.6845999999999905E-2</v>
      </c>
      <c r="AE395">
        <v>-2.9299999999977899E-2</v>
      </c>
      <c r="AF395">
        <v>3.1971970769422001E-2</v>
      </c>
      <c r="AG395">
        <v>-6.6845999999999905E-2</v>
      </c>
      <c r="AH395">
        <v>0.49379914480003001</v>
      </c>
      <c r="AI395">
        <v>97.693397838967698</v>
      </c>
      <c r="AJ395">
        <v>86.295446013887002</v>
      </c>
      <c r="AK395">
        <v>0.49932773810005998</v>
      </c>
      <c r="AL395">
        <v>87.733233992612995</v>
      </c>
      <c r="AM395">
        <v>90.159925686044403</v>
      </c>
      <c r="AN395">
        <v>0.99999998724806005</v>
      </c>
    </row>
    <row r="396" spans="1:40" x14ac:dyDescent="0.25">
      <c r="A396" t="str">
        <f>"20190305135803066"</f>
        <v>20190305135803066</v>
      </c>
      <c r="B396" t="str">
        <f>"1551765483059188"</f>
        <v>1551765483059188</v>
      </c>
      <c r="C396" t="s">
        <v>40</v>
      </c>
      <c r="D396">
        <v>4.0692560000000002</v>
      </c>
      <c r="E396">
        <v>0.51454469999999997</v>
      </c>
      <c r="F396" t="s">
        <v>41</v>
      </c>
      <c r="G396">
        <v>-373.13200000000001</v>
      </c>
      <c r="H396">
        <v>1.049509</v>
      </c>
      <c r="I396">
        <v>368.27850000000001</v>
      </c>
      <c r="J396">
        <v>-373.74009999999998</v>
      </c>
      <c r="K396">
        <v>1.1101650000000001</v>
      </c>
      <c r="L396">
        <v>368.30810000000002</v>
      </c>
      <c r="M396">
        <v>0.99987599999999999</v>
      </c>
      <c r="N396">
        <v>-1.431461E-2</v>
      </c>
      <c r="O396">
        <v>6.5723350000000003E-3</v>
      </c>
      <c r="P396">
        <v>0.99960479999999996</v>
      </c>
      <c r="Q396">
        <v>2.6345110000000001E-2</v>
      </c>
      <c r="R396">
        <v>9.8218550000000009E-3</v>
      </c>
      <c r="S396">
        <v>3.00766</v>
      </c>
      <c r="T396">
        <v>-0.2243327</v>
      </c>
      <c r="U396">
        <v>-0.1021118</v>
      </c>
      <c r="V396">
        <v>-3.266789E-3</v>
      </c>
      <c r="W396">
        <v>4.0650430000000001E-2</v>
      </c>
      <c r="X396">
        <v>0.9991681</v>
      </c>
      <c r="Y396">
        <v>4.0354069999999999E-2</v>
      </c>
      <c r="Z396">
        <v>-2.187282E-3</v>
      </c>
      <c r="AA396">
        <v>0.99918309999999999</v>
      </c>
      <c r="AB396">
        <v>34</v>
      </c>
      <c r="AC396">
        <v>0.60810000000003495</v>
      </c>
      <c r="AD396">
        <v>-6.0656000000000002E-2</v>
      </c>
      <c r="AE396">
        <v>-2.96000000000162E-2</v>
      </c>
      <c r="AF396">
        <v>3.3266209824531399E-2</v>
      </c>
      <c r="AG396">
        <v>-6.0656000000000002E-2</v>
      </c>
      <c r="AH396">
        <v>0.60191772947430799</v>
      </c>
      <c r="AI396">
        <v>95.745632079765699</v>
      </c>
      <c r="AJ396">
        <v>86.836650136440497</v>
      </c>
      <c r="AK396">
        <v>0.60588014005048496</v>
      </c>
      <c r="AL396">
        <v>87.670260017207099</v>
      </c>
      <c r="AM396">
        <v>90.187328393813701</v>
      </c>
      <c r="AN396">
        <v>1.00000001071358</v>
      </c>
    </row>
    <row r="397" spans="1:40" x14ac:dyDescent="0.25">
      <c r="A397" t="str">
        <f>"20190305135803078"</f>
        <v>20190305135803078</v>
      </c>
      <c r="B397" t="str">
        <f>"1551765483068947"</f>
        <v>1551765483068947</v>
      </c>
      <c r="C397" t="s">
        <v>40</v>
      </c>
      <c r="D397">
        <v>4.1009070000000003</v>
      </c>
      <c r="E397">
        <v>0.51455030000000002</v>
      </c>
      <c r="F397" t="s">
        <v>41</v>
      </c>
      <c r="G397">
        <v>-372.82850000000002</v>
      </c>
      <c r="H397">
        <v>1.047094</v>
      </c>
      <c r="I397">
        <v>368.2774</v>
      </c>
      <c r="J397">
        <v>-373.5573</v>
      </c>
      <c r="K397">
        <v>1.1101760000000001</v>
      </c>
      <c r="L397">
        <v>368.30939999999998</v>
      </c>
      <c r="M397">
        <v>0.99987619999999999</v>
      </c>
      <c r="N397">
        <v>-1.4240829999999999E-2</v>
      </c>
      <c r="O397">
        <v>6.6992450000000004E-3</v>
      </c>
      <c r="P397">
        <v>0.99957879999999999</v>
      </c>
      <c r="Q397">
        <v>2.713722E-2</v>
      </c>
      <c r="R397">
        <v>1.0293160000000001E-2</v>
      </c>
      <c r="S397">
        <v>3.0076900000000002</v>
      </c>
      <c r="T397">
        <v>-0.20821690000000001</v>
      </c>
      <c r="U397">
        <v>-0.10098269999999999</v>
      </c>
      <c r="V397">
        <v>-3.613532E-3</v>
      </c>
      <c r="W397">
        <v>4.1368429999999998E-2</v>
      </c>
      <c r="X397">
        <v>0.99913739999999995</v>
      </c>
      <c r="Y397">
        <v>4.0125470000000003E-2</v>
      </c>
      <c r="Z397">
        <v>-2.0408879999999998E-3</v>
      </c>
      <c r="AA397">
        <v>0.99919250000000004</v>
      </c>
      <c r="AB397">
        <v>34</v>
      </c>
      <c r="AC397">
        <v>0.72879999999997802</v>
      </c>
      <c r="AD397">
        <v>-6.3081999999999999E-2</v>
      </c>
      <c r="AE397">
        <v>-3.1999999999982202E-2</v>
      </c>
      <c r="AF397">
        <v>3.6608445975040899E-2</v>
      </c>
      <c r="AG397">
        <v>-6.3081999999999999E-2</v>
      </c>
      <c r="AH397">
        <v>0.72316178637197304</v>
      </c>
      <c r="AI397">
        <v>94.978995337644804</v>
      </c>
      <c r="AJ397">
        <v>87.102003312266703</v>
      </c>
      <c r="AK397">
        <v>0.72683043848576601</v>
      </c>
      <c r="AL397">
        <v>87.629086924394798</v>
      </c>
      <c r="AM397">
        <v>90.2072179762622</v>
      </c>
      <c r="AN397">
        <v>0.99999997434646903</v>
      </c>
    </row>
    <row r="398" spans="1:40" x14ac:dyDescent="0.25">
      <c r="A398" t="str">
        <f>"20190305135803090"</f>
        <v>20190305135803090</v>
      </c>
      <c r="B398" t="str">
        <f>"1551765483079684"</f>
        <v>1551765483079684</v>
      </c>
      <c r="C398" t="s">
        <v>40</v>
      </c>
      <c r="D398">
        <v>4.1058139999999996</v>
      </c>
      <c r="E398">
        <v>0.51455799999999996</v>
      </c>
      <c r="F398" t="s">
        <v>41</v>
      </c>
      <c r="G398">
        <v>-372.52719999999999</v>
      </c>
      <c r="H398">
        <v>1.0422309999999999</v>
      </c>
      <c r="I398">
        <v>368.27539999999999</v>
      </c>
      <c r="J398">
        <v>-373.37470000000002</v>
      </c>
      <c r="K398">
        <v>1.1101840000000001</v>
      </c>
      <c r="L398">
        <v>368.31079999999997</v>
      </c>
      <c r="M398">
        <v>0.99987630000000005</v>
      </c>
      <c r="N398">
        <v>-1.415654E-2</v>
      </c>
      <c r="O398">
        <v>6.8413989999999997E-3</v>
      </c>
      <c r="P398">
        <v>0.99954529999999997</v>
      </c>
      <c r="Q398">
        <v>2.821562E-2</v>
      </c>
      <c r="R398">
        <v>1.064407E-2</v>
      </c>
      <c r="S398">
        <v>3.00766</v>
      </c>
      <c r="T398">
        <v>-0.19852890000000001</v>
      </c>
      <c r="U398">
        <v>-9.8968509999999996E-2</v>
      </c>
      <c r="V398">
        <v>-3.8244289999999998E-3</v>
      </c>
      <c r="W398">
        <v>4.2361759999999998E-2</v>
      </c>
      <c r="X398">
        <v>0.99909499999999996</v>
      </c>
      <c r="Y398">
        <v>3.9611479999999998E-2</v>
      </c>
      <c r="Z398">
        <v>-1.9406390000000001E-3</v>
      </c>
      <c r="AA398">
        <v>0.99921329999999997</v>
      </c>
      <c r="AB398">
        <v>34</v>
      </c>
      <c r="AC398">
        <v>0.84750000000002501</v>
      </c>
      <c r="AD398">
        <v>-6.7953000000000097E-2</v>
      </c>
      <c r="AE398">
        <v>-3.5399999999981398E-2</v>
      </c>
      <c r="AF398">
        <v>4.0935128401978903E-2</v>
      </c>
      <c r="AG398">
        <v>-6.7953000000000097E-2</v>
      </c>
      <c r="AH398">
        <v>0.84183528896685</v>
      </c>
      <c r="AI398">
        <v>94.609490454035594</v>
      </c>
      <c r="AJ398">
        <v>87.216125088348093</v>
      </c>
      <c r="AK398">
        <v>0.84556486959676103</v>
      </c>
      <c r="AL398">
        <v>87.572123380979505</v>
      </c>
      <c r="AM398">
        <v>90.2193210560567</v>
      </c>
      <c r="AN398">
        <v>0.99999998199623596</v>
      </c>
    </row>
    <row r="399" spans="1:40" x14ac:dyDescent="0.25">
      <c r="A399" t="str">
        <f>"20190305135803104"</f>
        <v>20190305135803104</v>
      </c>
      <c r="B399" t="str">
        <f>"1551765483099203"</f>
        <v>1551765483099203</v>
      </c>
      <c r="C399" t="s">
        <v>40</v>
      </c>
      <c r="D399">
        <v>4.1012490000000001</v>
      </c>
      <c r="E399">
        <v>0.51468320000000001</v>
      </c>
      <c r="F399" t="s">
        <v>42</v>
      </c>
      <c r="G399">
        <v>-355.84410000000003</v>
      </c>
      <c r="H399" s="1">
        <v>-2.0978850000000001E-6</v>
      </c>
      <c r="I399">
        <v>367.7407</v>
      </c>
      <c r="J399">
        <v>-373.17419999999998</v>
      </c>
      <c r="K399">
        <v>1.1101909999999999</v>
      </c>
      <c r="L399">
        <v>368.31229999999999</v>
      </c>
      <c r="M399">
        <v>0.99987649999999995</v>
      </c>
      <c r="N399">
        <v>-1.406336E-2</v>
      </c>
      <c r="O399">
        <v>7.0051200000000001E-3</v>
      </c>
      <c r="P399">
        <v>0.99949770000000004</v>
      </c>
      <c r="Q399">
        <v>2.9525450000000002E-2</v>
      </c>
      <c r="R399">
        <v>1.1518169999999999E-2</v>
      </c>
      <c r="S399">
        <v>3.0078130000000001</v>
      </c>
      <c r="T399">
        <v>-0.19047919999999999</v>
      </c>
      <c r="U399">
        <v>-9.7808839999999994E-2</v>
      </c>
      <c r="V399">
        <v>-4.5378459999999999E-3</v>
      </c>
      <c r="W399">
        <v>4.3577520000000002E-2</v>
      </c>
      <c r="X399">
        <v>0.99903980000000003</v>
      </c>
      <c r="Y399">
        <v>3.9397519999999998E-2</v>
      </c>
      <c r="Z399">
        <v>-1.8680210000000001E-3</v>
      </c>
      <c r="AA399">
        <v>0.9992219</v>
      </c>
      <c r="AB399">
        <v>34</v>
      </c>
      <c r="AC399">
        <v>17.330099999999899</v>
      </c>
      <c r="AD399">
        <v>-1.1101930978850001</v>
      </c>
      <c r="AE399">
        <v>-0.57159999999998901</v>
      </c>
      <c r="AF399">
        <v>0.690168126620892</v>
      </c>
      <c r="AG399">
        <v>-1.1101930978850001</v>
      </c>
      <c r="AH399">
        <v>17.2549349067748</v>
      </c>
      <c r="AI399">
        <v>93.678438019187894</v>
      </c>
      <c r="AJ399">
        <v>87.709486993286703</v>
      </c>
      <c r="AK399">
        <v>17.304382086472501</v>
      </c>
      <c r="AL399">
        <v>87.5024012492634</v>
      </c>
      <c r="AM399">
        <v>90.260247525504198</v>
      </c>
      <c r="AN399">
        <v>1.00000005713985</v>
      </c>
    </row>
    <row r="400" spans="1:40" x14ac:dyDescent="0.25">
      <c r="A400" t="str">
        <f>"20190305135803121"</f>
        <v>20190305135803121</v>
      </c>
      <c r="B400" t="str">
        <f>"1551765483108963"</f>
        <v>1551765483108963</v>
      </c>
      <c r="C400" t="s">
        <v>40</v>
      </c>
      <c r="D400">
        <v>4.112978</v>
      </c>
      <c r="E400">
        <v>0.51462790000000003</v>
      </c>
      <c r="F400" t="s">
        <v>42</v>
      </c>
      <c r="G400">
        <v>-354.48110000000003</v>
      </c>
      <c r="H400" s="1">
        <v>-2.6868490000000001E-6</v>
      </c>
      <c r="I400">
        <v>367.71679999999998</v>
      </c>
      <c r="J400">
        <v>-372.90350000000001</v>
      </c>
      <c r="K400">
        <v>1.1102000000000001</v>
      </c>
      <c r="L400">
        <v>368.31439999999998</v>
      </c>
      <c r="M400">
        <v>0.99987669999999995</v>
      </c>
      <c r="N400">
        <v>-1.393659E-2</v>
      </c>
      <c r="O400">
        <v>7.244365E-3</v>
      </c>
      <c r="P400">
        <v>0.99943789999999999</v>
      </c>
      <c r="Q400">
        <v>3.1103309999999999E-2</v>
      </c>
      <c r="R400">
        <v>1.2520949999999999E-2</v>
      </c>
      <c r="S400">
        <v>3.0078740000000002</v>
      </c>
      <c r="T400">
        <v>-0.178638299999999</v>
      </c>
      <c r="U400">
        <v>-9.5825199999999999E-2</v>
      </c>
      <c r="V400">
        <v>-5.3049500000000001E-3</v>
      </c>
      <c r="W400">
        <v>4.502664E-2</v>
      </c>
      <c r="X400">
        <v>0.99897170000000002</v>
      </c>
      <c r="Y400">
        <v>3.899027E-2</v>
      </c>
      <c r="Z400">
        <v>-1.7574779999999901E-3</v>
      </c>
      <c r="AA400">
        <v>0.99923810000000002</v>
      </c>
      <c r="AB400">
        <v>34</v>
      </c>
      <c r="AC400">
        <v>18.4223999999999</v>
      </c>
      <c r="AD400">
        <v>-1.110202686849</v>
      </c>
      <c r="AE400">
        <v>-0.59759999999999902</v>
      </c>
      <c r="AF400">
        <v>0.72841324872063395</v>
      </c>
      <c r="AG400">
        <v>-1.110202686849</v>
      </c>
      <c r="AH400">
        <v>18.351011191683401</v>
      </c>
      <c r="AI400">
        <v>93.459352934068306</v>
      </c>
      <c r="AJ400">
        <v>87.726931423563798</v>
      </c>
      <c r="AK400">
        <v>18.398987679328702</v>
      </c>
      <c r="AL400">
        <v>87.419291037759706</v>
      </c>
      <c r="AM400">
        <v>90.304261260241603</v>
      </c>
      <c r="AN400">
        <v>0.999999999102541</v>
      </c>
    </row>
    <row r="401" spans="1:40" x14ac:dyDescent="0.25">
      <c r="A401" t="str">
        <f>"20190305135803143"</f>
        <v>20190305135803143</v>
      </c>
      <c r="B401" t="str">
        <f>"1551765483129459"</f>
        <v>1551765483129459</v>
      </c>
      <c r="C401" t="s">
        <v>40</v>
      </c>
      <c r="D401">
        <v>4.1354749999999996</v>
      </c>
      <c r="E401">
        <v>0.51459589999999999</v>
      </c>
      <c r="F401" t="s">
        <v>42</v>
      </c>
      <c r="G401">
        <v>-353.43619999999999</v>
      </c>
      <c r="H401" s="1">
        <v>-3.1355190000000002E-6</v>
      </c>
      <c r="I401">
        <v>367.71460000000002</v>
      </c>
      <c r="J401">
        <v>-372.58019999999999</v>
      </c>
      <c r="K401">
        <v>1.1102069999999999</v>
      </c>
      <c r="L401">
        <v>368.31709999999998</v>
      </c>
      <c r="M401">
        <v>0.99987649999999995</v>
      </c>
      <c r="N401">
        <v>-1.3787600000000001E-2</v>
      </c>
      <c r="O401">
        <v>7.5557150000000002E-3</v>
      </c>
      <c r="P401">
        <v>0.99937279999999995</v>
      </c>
      <c r="Q401">
        <v>3.2574329999999999E-2</v>
      </c>
      <c r="R401">
        <v>1.3891819999999999E-2</v>
      </c>
      <c r="S401">
        <v>3.0081479999999998</v>
      </c>
      <c r="T401">
        <v>-0.171550799999999</v>
      </c>
      <c r="U401">
        <v>-9.2681879999999994E-2</v>
      </c>
      <c r="V401">
        <v>-6.3682440000000003E-3</v>
      </c>
      <c r="W401">
        <v>4.6347520000000003E-2</v>
      </c>
      <c r="X401">
        <v>0.99890509999999999</v>
      </c>
      <c r="Y401">
        <v>3.8263409999999998E-2</v>
      </c>
      <c r="Z401">
        <v>-1.6803949999999999E-3</v>
      </c>
      <c r="AA401">
        <v>0.99926630000000005</v>
      </c>
      <c r="AB401">
        <v>34</v>
      </c>
      <c r="AC401">
        <v>19.143999999999998</v>
      </c>
      <c r="AD401">
        <v>-1.1102101355189999</v>
      </c>
      <c r="AE401">
        <v>-0.60249999999996295</v>
      </c>
      <c r="AF401">
        <v>0.74464128711617705</v>
      </c>
      <c r="AG401">
        <v>-1.1102101355189999</v>
      </c>
      <c r="AH401">
        <v>19.074812886882999</v>
      </c>
      <c r="AI401">
        <v>93.328495097685604</v>
      </c>
      <c r="AJ401">
        <v>87.764426319856199</v>
      </c>
      <c r="AK401">
        <v>19.121598883490002</v>
      </c>
      <c r="AL401">
        <v>87.343531137819696</v>
      </c>
      <c r="AM401">
        <v>90.365268493459993</v>
      </c>
      <c r="AN401">
        <v>1.0000000229738999</v>
      </c>
    </row>
    <row r="402" spans="1:40" x14ac:dyDescent="0.25">
      <c r="A402" t="str">
        <f>"20190305135803154"</f>
        <v>20190305135803154</v>
      </c>
      <c r="B402" t="str">
        <f>"1551765483148980"</f>
        <v>1551765483148980</v>
      </c>
      <c r="C402" t="s">
        <v>40</v>
      </c>
      <c r="D402">
        <v>4.1353770000000001</v>
      </c>
      <c r="E402">
        <v>0.51465169999999905</v>
      </c>
      <c r="F402" t="s">
        <v>42</v>
      </c>
      <c r="G402">
        <v>-351.88339999999999</v>
      </c>
      <c r="H402" s="1">
        <v>-3.8024799999999999E-6</v>
      </c>
      <c r="I402">
        <v>367.7099</v>
      </c>
      <c r="J402">
        <v>-372.39920000000001</v>
      </c>
      <c r="K402">
        <v>1.110206</v>
      </c>
      <c r="L402">
        <v>368.31869999999998</v>
      </c>
      <c r="M402">
        <v>0.99987610000000005</v>
      </c>
      <c r="N402">
        <v>-1.370657E-2</v>
      </c>
      <c r="O402">
        <v>7.7388980000000001E-3</v>
      </c>
      <c r="P402">
        <v>0.99934179999999995</v>
      </c>
      <c r="Q402">
        <v>3.3254350000000002E-2</v>
      </c>
      <c r="R402">
        <v>1.450093E-2</v>
      </c>
      <c r="S402">
        <v>3.008362</v>
      </c>
      <c r="T402">
        <v>-0.16137270000000001</v>
      </c>
      <c r="U402">
        <v>-8.8256840000000003E-2</v>
      </c>
      <c r="V402">
        <v>-6.7957850000000004E-3</v>
      </c>
      <c r="W402">
        <v>4.6945300000000002E-2</v>
      </c>
      <c r="X402">
        <v>0.99887440000000005</v>
      </c>
      <c r="Y402">
        <v>3.6987079999999999E-2</v>
      </c>
      <c r="Z402">
        <v>-1.553621E-3</v>
      </c>
      <c r="AA402">
        <v>0.99931449999999999</v>
      </c>
      <c r="AB402">
        <v>34</v>
      </c>
      <c r="AC402">
        <v>20.515799999999999</v>
      </c>
      <c r="AD402">
        <v>-1.11020980248</v>
      </c>
      <c r="AE402">
        <v>-0.60879999999997303</v>
      </c>
      <c r="AF402">
        <v>0.76532714062182206</v>
      </c>
      <c r="AG402">
        <v>-1.11020980248</v>
      </c>
      <c r="AH402">
        <v>20.450638294803099</v>
      </c>
      <c r="AI402">
        <v>93.105213198535395</v>
      </c>
      <c r="AJ402">
        <v>87.856812040219907</v>
      </c>
      <c r="AK402">
        <v>20.495045696522901</v>
      </c>
      <c r="AL402">
        <v>87.309243631125099</v>
      </c>
      <c r="AM402">
        <v>90.389802553333794</v>
      </c>
      <c r="AN402">
        <v>1.0000000554306001</v>
      </c>
    </row>
    <row r="403" spans="1:40" x14ac:dyDescent="0.25">
      <c r="A403" t="str">
        <f>"20190305135803166"</f>
        <v>20190305135803166</v>
      </c>
      <c r="B403" t="str">
        <f>"1551765483148980"</f>
        <v>1551765483148980</v>
      </c>
      <c r="C403" t="s">
        <v>40</v>
      </c>
      <c r="D403">
        <v>4.1353770000000001</v>
      </c>
      <c r="E403">
        <v>0.51465169999999905</v>
      </c>
      <c r="F403" t="s">
        <v>42</v>
      </c>
      <c r="G403">
        <v>-350.73630000000003</v>
      </c>
      <c r="H403" s="1">
        <v>-4.2970319999999997E-6</v>
      </c>
      <c r="I403">
        <v>367.69600000000003</v>
      </c>
      <c r="J403">
        <v>-372.21429999999998</v>
      </c>
      <c r="K403">
        <v>1.1102099999999999</v>
      </c>
      <c r="L403">
        <v>368.32029999999997</v>
      </c>
      <c r="M403">
        <v>0.99987579999999998</v>
      </c>
      <c r="N403">
        <v>-1.3627169999999999E-2</v>
      </c>
      <c r="O403">
        <v>7.9308219999999902E-3</v>
      </c>
      <c r="P403">
        <v>0.99931199999999998</v>
      </c>
      <c r="Q403">
        <v>3.3850419999999999E-2</v>
      </c>
      <c r="R403">
        <v>1.516139E-2</v>
      </c>
      <c r="S403">
        <v>3.0083310000000001</v>
      </c>
      <c r="T403">
        <v>-0.154174799999999</v>
      </c>
      <c r="U403">
        <v>-8.64563E-2</v>
      </c>
      <c r="V403">
        <v>-7.2657149999999998E-3</v>
      </c>
      <c r="W403">
        <v>4.7461620000000003E-2</v>
      </c>
      <c r="X403">
        <v>0.99884669999999998</v>
      </c>
      <c r="Y403">
        <v>3.6588099999999998E-2</v>
      </c>
      <c r="Z403">
        <v>-1.4844189999999901E-3</v>
      </c>
      <c r="AA403">
        <v>0.99932929999999998</v>
      </c>
      <c r="AB403">
        <v>34</v>
      </c>
      <c r="AC403">
        <v>21.477999999999899</v>
      </c>
      <c r="AD403">
        <v>-1.1102142970319999</v>
      </c>
      <c r="AE403">
        <v>-0.62430000000000496</v>
      </c>
      <c r="AF403">
        <v>0.79251858641610695</v>
      </c>
      <c r="AG403">
        <v>-1.1102142970319999</v>
      </c>
      <c r="AH403">
        <v>21.415201001515999</v>
      </c>
      <c r="AI403">
        <v>92.965664468780901</v>
      </c>
      <c r="AJ403">
        <v>87.880605563165801</v>
      </c>
      <c r="AK403">
        <v>21.4585995682495</v>
      </c>
      <c r="AL403">
        <v>87.279627683229705</v>
      </c>
      <c r="AM403">
        <v>90.416768121139597</v>
      </c>
      <c r="AN403">
        <v>1.0000000630441801</v>
      </c>
    </row>
    <row r="404" spans="1:40" x14ac:dyDescent="0.25">
      <c r="A404" t="str">
        <f>"20190305135803178"</f>
        <v>20190305135803178</v>
      </c>
      <c r="B404" t="str">
        <f>"1551765483169475"</f>
        <v>1551765483169475</v>
      </c>
      <c r="C404" t="s">
        <v>40</v>
      </c>
      <c r="D404">
        <v>4.1324649999999998</v>
      </c>
      <c r="E404">
        <v>0.51489439999999997</v>
      </c>
      <c r="F404" t="s">
        <v>42</v>
      </c>
      <c r="G404">
        <v>-350.29719999999998</v>
      </c>
      <c r="H404" s="1">
        <v>-4.4838709999999901E-6</v>
      </c>
      <c r="I404">
        <v>367.70479999999998</v>
      </c>
      <c r="J404">
        <v>-372.0301</v>
      </c>
      <c r="K404">
        <v>1.1102129999999999</v>
      </c>
      <c r="L404">
        <v>368.32190000000003</v>
      </c>
      <c r="M404">
        <v>0.99987519999999996</v>
      </c>
      <c r="N404">
        <v>-1.3549759999999999E-2</v>
      </c>
      <c r="O404">
        <v>8.1245710000000006E-3</v>
      </c>
      <c r="P404">
        <v>0.99927410000000005</v>
      </c>
      <c r="Q404">
        <v>3.4626219999999999E-2</v>
      </c>
      <c r="R404">
        <v>1.5890729999999999E-2</v>
      </c>
      <c r="S404">
        <v>3.0085139999999999</v>
      </c>
      <c r="T404">
        <v>-0.15239610000000001</v>
      </c>
      <c r="U404">
        <v>-8.4472660000000005E-2</v>
      </c>
      <c r="V404">
        <v>-7.8036579999999998E-3</v>
      </c>
      <c r="W404">
        <v>4.8158909999999999E-2</v>
      </c>
      <c r="X404">
        <v>0.99880919999999895</v>
      </c>
      <c r="Y404">
        <v>3.6123719999999998E-2</v>
      </c>
      <c r="Z404">
        <v>-1.460346E-3</v>
      </c>
      <c r="AA404">
        <v>0.99934630000000002</v>
      </c>
      <c r="AB404">
        <v>34</v>
      </c>
      <c r="AC404">
        <v>21.732900000000001</v>
      </c>
      <c r="AD404">
        <v>-1.1102174838709999</v>
      </c>
      <c r="AE404">
        <v>-0.61710000000005005</v>
      </c>
      <c r="AF404">
        <v>0.79160219401913401</v>
      </c>
      <c r="AG404">
        <v>-1.1102174838709999</v>
      </c>
      <c r="AH404">
        <v>21.670661357512198</v>
      </c>
      <c r="AI404">
        <v>92.930825431033398</v>
      </c>
      <c r="AJ404">
        <v>87.907986894875904</v>
      </c>
      <c r="AK404">
        <v>21.713516080244599</v>
      </c>
      <c r="AL404">
        <v>87.239629990996093</v>
      </c>
      <c r="AM404">
        <v>90.447640621261399</v>
      </c>
      <c r="AN404">
        <v>0.99999999784760396</v>
      </c>
    </row>
    <row r="405" spans="1:40" x14ac:dyDescent="0.25">
      <c r="A405" t="str">
        <f>"20190305135803189"</f>
        <v>20190305135803189</v>
      </c>
      <c r="B405" t="str">
        <f>"1551765483179237"</f>
        <v>1551765483179237</v>
      </c>
      <c r="C405" t="s">
        <v>40</v>
      </c>
      <c r="D405">
        <v>4.0920629999999996</v>
      </c>
      <c r="E405">
        <v>0.51493829999999996</v>
      </c>
      <c r="F405" t="s">
        <v>42</v>
      </c>
      <c r="G405">
        <v>-349.03829999999999</v>
      </c>
      <c r="H405" s="1">
        <v>-8.6945830000000003E-7</v>
      </c>
      <c r="I405">
        <v>367.6773</v>
      </c>
      <c r="J405">
        <v>-371.84399999999999</v>
      </c>
      <c r="K405">
        <v>1.1102179999999999</v>
      </c>
      <c r="L405">
        <v>368.3236</v>
      </c>
      <c r="M405">
        <v>0.99987470000000001</v>
      </c>
      <c r="N405">
        <v>-1.3474760000000001E-2</v>
      </c>
      <c r="O405">
        <v>8.3247939999999999E-3</v>
      </c>
      <c r="P405">
        <v>0.99924449999999998</v>
      </c>
      <c r="Q405">
        <v>3.5168039999999998E-2</v>
      </c>
      <c r="R405">
        <v>1.655297E-2</v>
      </c>
      <c r="S405">
        <v>3.0085139999999999</v>
      </c>
      <c r="T405">
        <v>-0.14527329999999999</v>
      </c>
      <c r="U405">
        <v>-8.4350590000000003E-2</v>
      </c>
      <c r="V405">
        <v>-8.267356E-3</v>
      </c>
      <c r="W405">
        <v>4.8625189999999999E-2</v>
      </c>
      <c r="X405">
        <v>0.99878290000000003</v>
      </c>
      <c r="Y405">
        <v>3.6288479999999998E-2</v>
      </c>
      <c r="Z405">
        <v>-1.4097560000000001E-3</v>
      </c>
      <c r="AA405">
        <v>0.99934040000000002</v>
      </c>
      <c r="AB405">
        <v>34</v>
      </c>
      <c r="AC405">
        <v>22.805700000000002</v>
      </c>
      <c r="AD405">
        <v>-1.1102188694583</v>
      </c>
      <c r="AE405">
        <v>-0.64629999999999599</v>
      </c>
      <c r="AF405">
        <v>0.83417224578266502</v>
      </c>
      <c r="AG405">
        <v>-1.1102188694583</v>
      </c>
      <c r="AH405">
        <v>22.7456670531916</v>
      </c>
      <c r="AI405">
        <v>92.792522131846496</v>
      </c>
      <c r="AJ405">
        <v>87.899681783474506</v>
      </c>
      <c r="AK405">
        <v>22.7880187591721</v>
      </c>
      <c r="AL405">
        <v>87.212882839328003</v>
      </c>
      <c r="AM405">
        <v>90.474250999566493</v>
      </c>
      <c r="AN405">
        <v>1.00000001980508</v>
      </c>
    </row>
    <row r="406" spans="1:40" x14ac:dyDescent="0.25">
      <c r="A406" t="str">
        <f>"20190305135803202"</f>
        <v>20190305135803202</v>
      </c>
      <c r="B406" t="str">
        <f>"1551765483188996"</f>
        <v>1551765483188996</v>
      </c>
      <c r="C406" t="s">
        <v>40</v>
      </c>
      <c r="D406">
        <v>4.1018179999999997</v>
      </c>
      <c r="E406">
        <v>0.51499150000000005</v>
      </c>
      <c r="F406" t="s">
        <v>42</v>
      </c>
      <c r="G406">
        <v>-348.34969999999998</v>
      </c>
      <c r="H406" s="1">
        <v>-1.133054E-6</v>
      </c>
      <c r="I406">
        <v>367.68040000000002</v>
      </c>
      <c r="J406">
        <v>-371.66019999999997</v>
      </c>
      <c r="K406">
        <v>1.110225</v>
      </c>
      <c r="L406">
        <v>368.32530000000003</v>
      </c>
      <c r="M406">
        <v>0.99987389999999998</v>
      </c>
      <c r="N406">
        <v>-1.3402300000000001E-2</v>
      </c>
      <c r="O406">
        <v>8.5234390000000007E-3</v>
      </c>
      <c r="P406">
        <v>0.99920969999999998</v>
      </c>
      <c r="Q406">
        <v>3.5789660000000001E-2</v>
      </c>
      <c r="R406">
        <v>1.730346E-2</v>
      </c>
      <c r="S406">
        <v>3.0086360000000001</v>
      </c>
      <c r="T406">
        <v>-0.1421731</v>
      </c>
      <c r="U406">
        <v>-8.236694E-2</v>
      </c>
      <c r="V406">
        <v>-8.8210040000000003E-3</v>
      </c>
      <c r="W406">
        <v>4.9173380000000003E-2</v>
      </c>
      <c r="X406">
        <v>0.99875130000000001</v>
      </c>
      <c r="Y406">
        <v>3.5830420000000002E-2</v>
      </c>
      <c r="Z406">
        <v>-1.374599E-3</v>
      </c>
      <c r="AA406">
        <v>0.99935689999999999</v>
      </c>
      <c r="AB406">
        <v>34</v>
      </c>
      <c r="AC406">
        <v>23.310499999999902</v>
      </c>
      <c r="AD406">
        <v>-1.110226133054</v>
      </c>
      <c r="AE406">
        <v>-0.64490000000000602</v>
      </c>
      <c r="AF406">
        <v>0.84167224297976495</v>
      </c>
      <c r="AG406">
        <v>-1.110226133054</v>
      </c>
      <c r="AH406">
        <v>23.251452565214201</v>
      </c>
      <c r="AI406">
        <v>92.731934856463099</v>
      </c>
      <c r="AJ406">
        <v>87.926872732733997</v>
      </c>
      <c r="AK406">
        <v>23.2931548018624</v>
      </c>
      <c r="AL406">
        <v>87.181436178043299</v>
      </c>
      <c r="AM406">
        <v>90.506025032969404</v>
      </c>
      <c r="AN406">
        <v>0.99999999533194095</v>
      </c>
    </row>
    <row r="407" spans="1:40" x14ac:dyDescent="0.25">
      <c r="A407" t="str">
        <f>"20190305135803220"</f>
        <v>20190305135803220</v>
      </c>
      <c r="B407" t="str">
        <f>"1551765483209491"</f>
        <v>1551765483209491</v>
      </c>
      <c r="C407" t="s">
        <v>40</v>
      </c>
      <c r="D407">
        <v>4.074872</v>
      </c>
      <c r="E407">
        <v>0.51497950000000003</v>
      </c>
      <c r="F407" t="s">
        <v>42</v>
      </c>
      <c r="G407">
        <v>-347.65050000000002</v>
      </c>
      <c r="H407" s="1">
        <v>-1.434041E-6</v>
      </c>
      <c r="I407">
        <v>367.68290000000002</v>
      </c>
      <c r="J407">
        <v>-371.39550000000003</v>
      </c>
      <c r="K407">
        <v>1.110231</v>
      </c>
      <c r="L407">
        <v>368.3279</v>
      </c>
      <c r="M407">
        <v>0.99987289999999995</v>
      </c>
      <c r="N407">
        <v>-1.330278E-2</v>
      </c>
      <c r="O407">
        <v>8.8122859999999904E-3</v>
      </c>
      <c r="P407">
        <v>0.99914060000000005</v>
      </c>
      <c r="Q407">
        <v>3.6978190000000001E-2</v>
      </c>
      <c r="R407">
        <v>1.8734750000000001E-2</v>
      </c>
      <c r="S407">
        <v>3.008759</v>
      </c>
      <c r="T407">
        <v>-0.1391279</v>
      </c>
      <c r="U407">
        <v>-8.0505370000000007E-2</v>
      </c>
      <c r="V407">
        <v>-9.9658190000000008E-3</v>
      </c>
      <c r="W407">
        <v>5.0260640000000002E-2</v>
      </c>
      <c r="X407">
        <v>0.99868639999999997</v>
      </c>
      <c r="Y407">
        <v>3.550271E-2</v>
      </c>
      <c r="Z407">
        <v>-1.346653E-3</v>
      </c>
      <c r="AA407">
        <v>0.9993687</v>
      </c>
      <c r="AB407">
        <v>34</v>
      </c>
      <c r="AC407">
        <v>23.745000000000001</v>
      </c>
      <c r="AD407">
        <v>-1.1102324340409999</v>
      </c>
      <c r="AE407">
        <v>-0.64499999999998103</v>
      </c>
      <c r="AF407">
        <v>0.85237908373871396</v>
      </c>
      <c r="AG407">
        <v>-1.1102324340409999</v>
      </c>
      <c r="AH407">
        <v>23.686648612089201</v>
      </c>
      <c r="AI407">
        <v>92.681850600719201</v>
      </c>
      <c r="AJ407">
        <v>87.939064316575198</v>
      </c>
      <c r="AK407">
        <v>23.727968489370902</v>
      </c>
      <c r="AL407">
        <v>87.119063609542195</v>
      </c>
      <c r="AM407">
        <v>90.571731442466202</v>
      </c>
      <c r="AN407">
        <v>0.99999998751325503</v>
      </c>
    </row>
    <row r="408" spans="1:40" x14ac:dyDescent="0.25">
      <c r="A408" t="str">
        <f>"20190305135803231"</f>
        <v>20190305135803231</v>
      </c>
      <c r="B408" t="str">
        <f>"1551765483219252"</f>
        <v>1551765483219252</v>
      </c>
      <c r="C408" t="s">
        <v>40</v>
      </c>
      <c r="D408">
        <v>4.0619589999999999</v>
      </c>
      <c r="E408">
        <v>0.51505230000000002</v>
      </c>
      <c r="F408" t="s">
        <v>42</v>
      </c>
      <c r="G408">
        <v>-346.28390000000002</v>
      </c>
      <c r="H408" s="1">
        <v>-2.0781390000000001E-6</v>
      </c>
      <c r="I408">
        <v>367.69369999999998</v>
      </c>
      <c r="J408">
        <v>-371.20870000000002</v>
      </c>
      <c r="K408">
        <v>1.1102339999999999</v>
      </c>
      <c r="L408">
        <v>368.3297</v>
      </c>
      <c r="M408">
        <v>0.99987179999999998</v>
      </c>
      <c r="N408">
        <v>-1.3237540000000001E-2</v>
      </c>
      <c r="O408">
        <v>9.0195420000000002E-3</v>
      </c>
      <c r="P408">
        <v>0.99911550000000005</v>
      </c>
      <c r="Q408">
        <v>3.7342970000000003E-2</v>
      </c>
      <c r="R408">
        <v>1.9341170000000001E-2</v>
      </c>
      <c r="S408">
        <v>3.008972</v>
      </c>
      <c r="T408">
        <v>-0.1330324</v>
      </c>
      <c r="U408">
        <v>-7.5988769999999997E-2</v>
      </c>
      <c r="V408">
        <v>-1.036663E-2</v>
      </c>
      <c r="W408">
        <v>5.0559239999999998E-2</v>
      </c>
      <c r="X408">
        <v>0.99866719999999998</v>
      </c>
      <c r="Y408">
        <v>3.4214710000000002E-2</v>
      </c>
      <c r="Z408">
        <v>-1.2616890000000001E-3</v>
      </c>
      <c r="AA408">
        <v>0.99941369999999896</v>
      </c>
      <c r="AB408">
        <v>34</v>
      </c>
      <c r="AC408">
        <v>24.924800000000001</v>
      </c>
      <c r="AD408">
        <v>-1.1102360781389999</v>
      </c>
      <c r="AE408">
        <v>-0.63600000000002399</v>
      </c>
      <c r="AF408">
        <v>0.85910063525322899</v>
      </c>
      <c r="AG408">
        <v>-1.1102360781389999</v>
      </c>
      <c r="AH408">
        <v>24.868738643954799</v>
      </c>
      <c r="AI408">
        <v>92.554684599201806</v>
      </c>
      <c r="AJ408">
        <v>88.0214809166458</v>
      </c>
      <c r="AK408">
        <v>24.908328723381299</v>
      </c>
      <c r="AL408">
        <v>87.101933172586797</v>
      </c>
      <c r="AM408">
        <v>90.594735477582205</v>
      </c>
      <c r="AN408">
        <v>0.99999994006138504</v>
      </c>
    </row>
    <row r="409" spans="1:40" x14ac:dyDescent="0.25">
      <c r="A409" t="str">
        <f>"20190305135803244"</f>
        <v>20190305135803244</v>
      </c>
      <c r="B409" t="str">
        <f>"1551765483229012"</f>
        <v>1551765483229012</v>
      </c>
      <c r="C409" t="s">
        <v>40</v>
      </c>
      <c r="D409">
        <v>4.0601510000000003</v>
      </c>
      <c r="E409">
        <v>0.5151135</v>
      </c>
      <c r="F409" t="s">
        <v>42</v>
      </c>
      <c r="G409">
        <v>-345.58850000000001</v>
      </c>
      <c r="H409" s="1">
        <v>-2.4070430000000001E-6</v>
      </c>
      <c r="I409">
        <v>367.69290000000001</v>
      </c>
      <c r="J409">
        <v>-371.02690000000001</v>
      </c>
      <c r="K409">
        <v>1.1102369999999999</v>
      </c>
      <c r="L409">
        <v>368.33159999999998</v>
      </c>
      <c r="M409">
        <v>0.99987079999999995</v>
      </c>
      <c r="N409">
        <v>-1.3177029999999999E-2</v>
      </c>
      <c r="O409">
        <v>9.2218649999999992E-3</v>
      </c>
      <c r="P409">
        <v>0.99908509999999995</v>
      </c>
      <c r="Q409">
        <v>3.7731210000000001E-2</v>
      </c>
      <c r="R409">
        <v>2.014401E-2</v>
      </c>
      <c r="S409">
        <v>3.008972</v>
      </c>
      <c r="T409">
        <v>-0.13039200000000001</v>
      </c>
      <c r="U409">
        <v>-7.4798580000000003E-2</v>
      </c>
      <c r="V409">
        <v>-1.0967889999999999E-2</v>
      </c>
      <c r="W409">
        <v>5.088641E-2</v>
      </c>
      <c r="X409">
        <v>0.99864419999999998</v>
      </c>
      <c r="Y409">
        <v>3.4023780000000003E-2</v>
      </c>
      <c r="Z409">
        <v>-1.2390089999999999E-3</v>
      </c>
      <c r="AA409">
        <v>0.99942030000000004</v>
      </c>
      <c r="AB409">
        <v>34</v>
      </c>
      <c r="AC409">
        <v>25.438400000000001</v>
      </c>
      <c r="AD409">
        <v>-1.1102394070429999</v>
      </c>
      <c r="AE409">
        <v>-0.63869999999997096</v>
      </c>
      <c r="AF409">
        <v>0.87162342269562898</v>
      </c>
      <c r="AG409">
        <v>-1.1102394070429999</v>
      </c>
      <c r="AH409">
        <v>25.383107834432501</v>
      </c>
      <c r="AI409">
        <v>92.503007665011197</v>
      </c>
      <c r="AJ409">
        <v>88.033309056033005</v>
      </c>
      <c r="AK409">
        <v>25.4223233058344</v>
      </c>
      <c r="AL409">
        <v>87.083163666258798</v>
      </c>
      <c r="AM409">
        <v>90.629241668114105</v>
      </c>
      <c r="AN409">
        <v>0.99999997976368904</v>
      </c>
    </row>
    <row r="410" spans="1:40" x14ac:dyDescent="0.25">
      <c r="A410" t="str">
        <f>"20190305135803256"</f>
        <v>20190305135803256</v>
      </c>
      <c r="B410" t="str">
        <f>"1551765483249508"</f>
        <v>1551765483249508</v>
      </c>
      <c r="C410" t="s">
        <v>40</v>
      </c>
      <c r="D410">
        <v>3.9771450000000002</v>
      </c>
      <c r="E410">
        <v>0.51521799999999995</v>
      </c>
      <c r="F410" t="s">
        <v>42</v>
      </c>
      <c r="G410">
        <v>-344.86489999999998</v>
      </c>
      <c r="H410" s="1">
        <v>-2.7481719999999999E-6</v>
      </c>
      <c r="I410">
        <v>367.6979</v>
      </c>
      <c r="J410">
        <v>-370.84399999999999</v>
      </c>
      <c r="K410">
        <v>1.1102399999999999</v>
      </c>
      <c r="L410">
        <v>368.33350000000002</v>
      </c>
      <c r="M410">
        <v>0.99986969999999997</v>
      </c>
      <c r="N410">
        <v>-1.311916E-2</v>
      </c>
      <c r="O410">
        <v>9.4264840000000006E-3</v>
      </c>
      <c r="P410">
        <v>0.99905630000000001</v>
      </c>
      <c r="Q410">
        <v>3.804867E-2</v>
      </c>
      <c r="R410">
        <v>2.0952519999999999E-2</v>
      </c>
      <c r="S410">
        <v>3.008972</v>
      </c>
      <c r="T410">
        <v>-0.127692</v>
      </c>
      <c r="U410">
        <v>-7.2875980000000007E-2</v>
      </c>
      <c r="V410">
        <v>-1.157297E-2</v>
      </c>
      <c r="W410">
        <v>5.1144990000000001E-2</v>
      </c>
      <c r="X410">
        <v>0.99862419999999996</v>
      </c>
      <c r="Y410">
        <v>3.3592289999999997E-2</v>
      </c>
      <c r="Z410">
        <v>-1.2090639999999999E-3</v>
      </c>
      <c r="AA410">
        <v>0.99943490000000001</v>
      </c>
      <c r="AB410">
        <v>34</v>
      </c>
      <c r="AC410">
        <v>25.979099999999999</v>
      </c>
      <c r="AD410">
        <v>-1.1102427481720001</v>
      </c>
      <c r="AE410">
        <v>-0.63560000000001005</v>
      </c>
      <c r="AF410">
        <v>0.87888015924442398</v>
      </c>
      <c r="AG410">
        <v>-1.1102427481720001</v>
      </c>
      <c r="AH410">
        <v>25.9246340231463</v>
      </c>
      <c r="AI410">
        <v>92.450831922595498</v>
      </c>
      <c r="AJ410">
        <v>88.058339199313394</v>
      </c>
      <c r="AK410">
        <v>25.9632763442571</v>
      </c>
      <c r="AL410">
        <v>87.068328918929893</v>
      </c>
      <c r="AM410">
        <v>90.663966139805197</v>
      </c>
      <c r="AN410">
        <v>1.0000000182311799</v>
      </c>
    </row>
    <row r="411" spans="1:40" x14ac:dyDescent="0.25">
      <c r="A411" t="str">
        <f>"20190305135803268"</f>
        <v>20190305135803268</v>
      </c>
      <c r="B411" t="str">
        <f>"1551765483258958"</f>
        <v>1551765483258958</v>
      </c>
      <c r="C411" t="s">
        <v>40</v>
      </c>
      <c r="D411">
        <v>3.9981770000000001</v>
      </c>
      <c r="E411">
        <v>0.5150342</v>
      </c>
      <c r="F411" t="s">
        <v>42</v>
      </c>
      <c r="G411">
        <v>-343.77940000000001</v>
      </c>
      <c r="H411" s="1">
        <v>-3.2623730000000002E-6</v>
      </c>
      <c r="I411">
        <v>367.69170000000003</v>
      </c>
      <c r="J411">
        <v>-370.65780000000001</v>
      </c>
      <c r="K411">
        <v>1.110241</v>
      </c>
      <c r="L411">
        <v>368.33539999999999</v>
      </c>
      <c r="M411">
        <v>0.99986819999999998</v>
      </c>
      <c r="N411">
        <v>-1.306508E-2</v>
      </c>
      <c r="O411">
        <v>9.6362500000000007E-3</v>
      </c>
      <c r="P411">
        <v>0.99901879999999998</v>
      </c>
      <c r="Q411">
        <v>3.8581860000000003E-2</v>
      </c>
      <c r="R411">
        <v>2.1745049999999998E-2</v>
      </c>
      <c r="S411">
        <v>3.0090330000000001</v>
      </c>
      <c r="T411">
        <v>-0.1234369</v>
      </c>
      <c r="U411">
        <v>-7.13501E-2</v>
      </c>
      <c r="V411">
        <v>-1.215695E-2</v>
      </c>
      <c r="W411">
        <v>5.1623099999999998E-2</v>
      </c>
      <c r="X411">
        <v>0.99859260000000005</v>
      </c>
      <c r="Y411">
        <v>3.3297889999999997E-2</v>
      </c>
      <c r="Z411">
        <v>-1.169509E-3</v>
      </c>
      <c r="AA411">
        <v>0.99944480000000002</v>
      </c>
      <c r="AB411">
        <v>34</v>
      </c>
      <c r="AC411">
        <v>26.878399999999999</v>
      </c>
      <c r="AD411">
        <v>-1.110244262373</v>
      </c>
      <c r="AE411">
        <v>-0.64369999999996697</v>
      </c>
      <c r="AF411">
        <v>0.90116251917988199</v>
      </c>
      <c r="AG411">
        <v>-1.110244262373</v>
      </c>
      <c r="AH411">
        <v>26.825205482980699</v>
      </c>
      <c r="AI411">
        <v>92.368676078285105</v>
      </c>
      <c r="AJ411">
        <v>88.075936499094695</v>
      </c>
      <c r="AK411">
        <v>26.8632906661162</v>
      </c>
      <c r="AL411">
        <v>87.040898820795405</v>
      </c>
      <c r="AM411">
        <v>90.697489164959904</v>
      </c>
      <c r="AN411">
        <v>0.99999995833083499</v>
      </c>
    </row>
    <row r="412" spans="1:40" x14ac:dyDescent="0.25">
      <c r="A412" t="str">
        <f>"20190305135803280"</f>
        <v>20190305135803280</v>
      </c>
      <c r="B412" t="str">
        <f>"1551765483269694"</f>
        <v>1551765483269694</v>
      </c>
      <c r="C412" t="s">
        <v>40</v>
      </c>
      <c r="D412">
        <v>3.9648469999999998</v>
      </c>
      <c r="E412">
        <v>0.5150342</v>
      </c>
      <c r="F412" t="s">
        <v>42</v>
      </c>
      <c r="G412">
        <v>-342.702</v>
      </c>
      <c r="H412" s="1">
        <v>-3.768951E-6</v>
      </c>
      <c r="I412">
        <v>367.7072</v>
      </c>
      <c r="J412">
        <v>-370.4701</v>
      </c>
      <c r="K412">
        <v>1.1102430000000001</v>
      </c>
      <c r="L412">
        <v>368.33749999999998</v>
      </c>
      <c r="M412">
        <v>0.99986679999999994</v>
      </c>
      <c r="N412">
        <v>-1.3012599999999999E-2</v>
      </c>
      <c r="O412">
        <v>9.8477870000000002E-3</v>
      </c>
      <c r="P412">
        <v>0.9989846</v>
      </c>
      <c r="Q412">
        <v>3.903011E-2</v>
      </c>
      <c r="R412">
        <v>2.2500829999999999E-2</v>
      </c>
      <c r="S412">
        <v>3.0090330000000001</v>
      </c>
      <c r="T412">
        <v>-0.11950180000000001</v>
      </c>
      <c r="U412">
        <v>-6.7626950000000005E-2</v>
      </c>
      <c r="V412">
        <v>-1.2702369999999999E-2</v>
      </c>
      <c r="W412">
        <v>5.2018349999999998E-2</v>
      </c>
      <c r="X412">
        <v>0.99856529999999999</v>
      </c>
      <c r="Y412">
        <v>3.2276729999999997E-2</v>
      </c>
      <c r="Z412">
        <v>-1.113541E-3</v>
      </c>
      <c r="AA412">
        <v>0.99947830000000004</v>
      </c>
      <c r="AB412">
        <v>34</v>
      </c>
      <c r="AC412">
        <v>27.7681</v>
      </c>
      <c r="AD412">
        <v>-1.1102467689510001</v>
      </c>
      <c r="AE412">
        <v>-0.63029999999997699</v>
      </c>
      <c r="AF412">
        <v>0.90230522512365696</v>
      </c>
      <c r="AG412">
        <v>-1.1102467689510001</v>
      </c>
      <c r="AH412">
        <v>27.7162605923772</v>
      </c>
      <c r="AI412">
        <v>92.292691453410498</v>
      </c>
      <c r="AJ412">
        <v>88.135389555632401</v>
      </c>
      <c r="AK412">
        <v>27.7531602494529</v>
      </c>
      <c r="AL412">
        <v>87.0182221955736</v>
      </c>
      <c r="AM412">
        <v>90.728798546199698</v>
      </c>
      <c r="AN412">
        <v>0.99999995865221303</v>
      </c>
    </row>
    <row r="413" spans="1:40" x14ac:dyDescent="0.25">
      <c r="A413" t="str">
        <f>"20190305135803292"</f>
        <v>20190305135803292</v>
      </c>
      <c r="B413" t="str">
        <f>"1551765483279453"</f>
        <v>1551765483279453</v>
      </c>
      <c r="C413" t="s">
        <v>40</v>
      </c>
      <c r="D413">
        <v>3.9778289999999998</v>
      </c>
      <c r="E413">
        <v>0.49974580000000002</v>
      </c>
      <c r="F413" t="s">
        <v>42</v>
      </c>
      <c r="G413">
        <v>-342.17849999999999</v>
      </c>
      <c r="H413" s="1">
        <v>-4.013653E-6</v>
      </c>
      <c r="I413">
        <v>367.72289999999998</v>
      </c>
      <c r="J413">
        <v>-370.29469999999998</v>
      </c>
      <c r="K413">
        <v>1.110242</v>
      </c>
      <c r="L413">
        <v>368.33940000000001</v>
      </c>
      <c r="M413">
        <v>0.99986549999999996</v>
      </c>
      <c r="N413">
        <v>-1.2967579999999999E-2</v>
      </c>
      <c r="O413">
        <v>1.0046029999999999E-2</v>
      </c>
      <c r="P413">
        <v>0.99895560000000005</v>
      </c>
      <c r="Q413">
        <v>3.934911E-2</v>
      </c>
      <c r="R413">
        <v>2.323093E-2</v>
      </c>
      <c r="S413">
        <v>3.009125</v>
      </c>
      <c r="T413">
        <v>-0.11808689999999999</v>
      </c>
      <c r="U413">
        <v>-6.536865E-2</v>
      </c>
      <c r="V413">
        <v>-1.323499E-2</v>
      </c>
      <c r="W413">
        <v>5.229168E-2</v>
      </c>
      <c r="X413">
        <v>0.99854419999999999</v>
      </c>
      <c r="Y413">
        <v>3.1725820000000002E-2</v>
      </c>
      <c r="Z413">
        <v>-1.0918530000000001E-3</v>
      </c>
      <c r="AA413">
        <v>0.99949600000000005</v>
      </c>
      <c r="AB413">
        <v>34</v>
      </c>
      <c r="AC413">
        <v>28.1161999999999</v>
      </c>
      <c r="AD413">
        <v>-1.1102460136529999</v>
      </c>
      <c r="AE413">
        <v>-0.61650000000003002</v>
      </c>
      <c r="AF413">
        <v>0.897549948278619</v>
      </c>
      <c r="AG413">
        <v>-1.1102460136529999</v>
      </c>
      <c r="AH413">
        <v>28.0648470113535</v>
      </c>
      <c r="AI413">
        <v>92.264284631613705</v>
      </c>
      <c r="AJ413">
        <v>88.168231530196195</v>
      </c>
      <c r="AK413">
        <v>28.101136629879701</v>
      </c>
      <c r="AL413">
        <v>87.002540476504606</v>
      </c>
      <c r="AM413">
        <v>90.759370159065497</v>
      </c>
      <c r="AN413">
        <v>1.0000000520555701</v>
      </c>
    </row>
    <row r="414" spans="1:40" x14ac:dyDescent="0.25">
      <c r="A414" t="str">
        <f>"20190305135803310"</f>
        <v>20190305135803310</v>
      </c>
      <c r="B414" t="str">
        <f>"1551765483298975"</f>
        <v>1551765483298975</v>
      </c>
      <c r="C414" t="s">
        <v>40</v>
      </c>
      <c r="D414">
        <v>3.970399</v>
      </c>
      <c r="E414">
        <v>0.49945089999999998</v>
      </c>
      <c r="F414" t="s">
        <v>50</v>
      </c>
      <c r="G414">
        <v>-206.86850000000001</v>
      </c>
      <c r="H414" s="1">
        <v>-5.4515210000000002E-6</v>
      </c>
      <c r="I414">
        <v>371.83940000000001</v>
      </c>
      <c r="J414">
        <v>-370.01080000000002</v>
      </c>
      <c r="K414">
        <v>1.110247</v>
      </c>
      <c r="L414">
        <v>368.3426</v>
      </c>
      <c r="M414">
        <v>0.99986319999999995</v>
      </c>
      <c r="N414">
        <v>-1.290006E-2</v>
      </c>
      <c r="O414">
        <v>1.0366490000000001E-2</v>
      </c>
      <c r="P414">
        <v>0.99890679999999998</v>
      </c>
      <c r="Q414">
        <v>4.0020100000000003E-2</v>
      </c>
      <c r="R414">
        <v>2.4163710000000001E-2</v>
      </c>
      <c r="S414">
        <v>3.0024410000000001</v>
      </c>
      <c r="T414">
        <v>-2.0397309999999998E-2</v>
      </c>
      <c r="U414">
        <v>6.4300540000000003E-2</v>
      </c>
      <c r="V414">
        <v>-1.384878E-2</v>
      </c>
      <c r="W414">
        <v>5.2894049999999998E-2</v>
      </c>
      <c r="X414">
        <v>0.99850410000000001</v>
      </c>
      <c r="Y414">
        <v>-1.10445E-2</v>
      </c>
      <c r="Z414">
        <v>1.7207370000000001E-4</v>
      </c>
      <c r="AA414">
        <v>0.99993900000000002</v>
      </c>
      <c r="AB414">
        <v>34</v>
      </c>
      <c r="AC414">
        <v>163.14230000000001</v>
      </c>
      <c r="AD414">
        <v>-1.1102524515209999</v>
      </c>
      <c r="AE414">
        <v>3.4967999999999999</v>
      </c>
      <c r="AF414">
        <v>-1.8051749985796099</v>
      </c>
      <c r="AG414">
        <v>-1.1102524515209999</v>
      </c>
      <c r="AH414">
        <v>163.16223169876201</v>
      </c>
      <c r="AI414">
        <v>90.389844539978895</v>
      </c>
      <c r="AJ414">
        <v>90.633876405468101</v>
      </c>
      <c r="AK414">
        <v>163.17599446671699</v>
      </c>
      <c r="AL414">
        <v>86.967979240390605</v>
      </c>
      <c r="AM414">
        <v>90.794614436286693</v>
      </c>
      <c r="AN414">
        <v>1.00000000347485</v>
      </c>
    </row>
    <row r="415" spans="1:40" x14ac:dyDescent="0.25">
      <c r="A415" t="str">
        <f>"20190305135803326"</f>
        <v>20190305135803326</v>
      </c>
      <c r="B415" t="str">
        <f>"1551765483319470"</f>
        <v>1551765483319470</v>
      </c>
      <c r="C415" t="s">
        <v>40</v>
      </c>
      <c r="D415">
        <v>3.9236650000000002</v>
      </c>
      <c r="E415">
        <v>0.50019789999999997</v>
      </c>
      <c r="F415" t="s">
        <v>44</v>
      </c>
      <c r="G415">
        <v>-158.19499999999999</v>
      </c>
      <c r="H415">
        <v>0.56642389999999998</v>
      </c>
      <c r="I415">
        <v>373.27370000000002</v>
      </c>
      <c r="J415">
        <v>-369.77690000000001</v>
      </c>
      <c r="K415">
        <v>1.110252</v>
      </c>
      <c r="L415">
        <v>368.34530000000001</v>
      </c>
      <c r="M415">
        <v>0.99986090000000005</v>
      </c>
      <c r="N415">
        <v>-1.2849559999999999E-2</v>
      </c>
      <c r="O415">
        <v>1.063009E-2</v>
      </c>
      <c r="P415">
        <v>0.99888900000000003</v>
      </c>
      <c r="Q415">
        <v>4.0049469999999997E-2</v>
      </c>
      <c r="R415">
        <v>2.4837100000000001E-2</v>
      </c>
      <c r="S415">
        <v>3.0018919999999998</v>
      </c>
      <c r="T415">
        <v>-7.7059269999999996E-3</v>
      </c>
      <c r="U415">
        <v>6.9885249999999996E-2</v>
      </c>
      <c r="V415">
        <v>-1.425969E-2</v>
      </c>
      <c r="W415">
        <v>5.2872620000000002E-2</v>
      </c>
      <c r="X415">
        <v>0.99849949999999998</v>
      </c>
      <c r="Y415">
        <v>-1.2645E-2</v>
      </c>
      <c r="Z415">
        <v>2.067878E-4</v>
      </c>
      <c r="AA415">
        <v>0.99992000000000003</v>
      </c>
      <c r="AB415">
        <v>34</v>
      </c>
      <c r="AC415">
        <v>211.58189999999999</v>
      </c>
      <c r="AD415">
        <v>-0.54382809999999904</v>
      </c>
      <c r="AE415">
        <v>4.9284000000000097</v>
      </c>
      <c r="AF415">
        <v>-2.6787833863936101</v>
      </c>
      <c r="AG415">
        <v>-0.54382809999999904</v>
      </c>
      <c r="AH415">
        <v>211.620939799426</v>
      </c>
      <c r="AI415">
        <v>90.147227822903204</v>
      </c>
      <c r="AJ415">
        <v>90.725234399826903</v>
      </c>
      <c r="AK415">
        <v>211.63859239521</v>
      </c>
      <c r="AL415">
        <v>86.969208956998102</v>
      </c>
      <c r="AM415">
        <v>90.818192214535401</v>
      </c>
      <c r="AN415">
        <v>1.0000000521024</v>
      </c>
    </row>
    <row r="416" spans="1:40" x14ac:dyDescent="0.25">
      <c r="A416" t="str">
        <f>"20190305135803343"</f>
        <v>20190305135803343</v>
      </c>
      <c r="B416" t="str">
        <f>"1551765483329229"</f>
        <v>1551765483329229</v>
      </c>
      <c r="C416" t="s">
        <v>40</v>
      </c>
      <c r="D416">
        <v>3.9550619999999999</v>
      </c>
      <c r="E416">
        <v>0.50035459999999998</v>
      </c>
      <c r="F416" t="s">
        <v>44</v>
      </c>
      <c r="G416">
        <v>-158.19499999999999</v>
      </c>
      <c r="H416">
        <v>0.89027789999999996</v>
      </c>
      <c r="I416">
        <v>373.01740000000001</v>
      </c>
      <c r="J416">
        <v>-369.51609999999999</v>
      </c>
      <c r="K416">
        <v>1.110252</v>
      </c>
      <c r="L416">
        <v>368.34829999999999</v>
      </c>
      <c r="M416">
        <v>0.99985860000000004</v>
      </c>
      <c r="N416">
        <v>-1.279814E-2</v>
      </c>
      <c r="O416">
        <v>1.0923499999999999E-2</v>
      </c>
      <c r="P416">
        <v>0.99883569999999999</v>
      </c>
      <c r="Q416">
        <v>4.0806759999999997E-2</v>
      </c>
      <c r="R416">
        <v>2.573226E-2</v>
      </c>
      <c r="S416">
        <v>3.00177</v>
      </c>
      <c r="T416">
        <v>-3.119588E-3</v>
      </c>
      <c r="U416">
        <v>6.6284179999999998E-2</v>
      </c>
      <c r="V416">
        <v>-1.486237E-2</v>
      </c>
      <c r="W416">
        <v>5.3577329999999999E-2</v>
      </c>
      <c r="X416">
        <v>0.99845309999999998</v>
      </c>
      <c r="Y416">
        <v>-1.1153949999999999E-2</v>
      </c>
      <c r="Z416">
        <v>2.056273E-4</v>
      </c>
      <c r="AA416">
        <v>0.99993779999999999</v>
      </c>
      <c r="AB416">
        <v>34</v>
      </c>
      <c r="AC416">
        <v>211.3211</v>
      </c>
      <c r="AD416">
        <v>-0.21997409999999901</v>
      </c>
      <c r="AE416">
        <v>4.66910000000001</v>
      </c>
      <c r="AF416">
        <v>-2.3602641062630298</v>
      </c>
      <c r="AG416">
        <v>-0.21997409999999901</v>
      </c>
      <c r="AH416">
        <v>211.35926801613499</v>
      </c>
      <c r="AI416">
        <v>90.059627369636999</v>
      </c>
      <c r="AJ416">
        <v>90.639799485328396</v>
      </c>
      <c r="AK416">
        <v>211.372560687456</v>
      </c>
      <c r="AL416">
        <v>86.928774596017405</v>
      </c>
      <c r="AM416">
        <v>90.852807396534701</v>
      </c>
      <c r="AN416">
        <v>1.0000000066157699</v>
      </c>
    </row>
    <row r="417" spans="1:40" x14ac:dyDescent="0.25">
      <c r="A417" t="str">
        <f>"20190305135803355"</f>
        <v>20190305135803355</v>
      </c>
      <c r="B417" t="str">
        <f>"1551765483349727"</f>
        <v>1551765483349727</v>
      </c>
      <c r="C417" t="s">
        <v>40</v>
      </c>
      <c r="D417">
        <v>3.9871400000000001</v>
      </c>
      <c r="E417">
        <v>0.50052569999999996</v>
      </c>
      <c r="F417" t="s">
        <v>44</v>
      </c>
      <c r="G417">
        <v>-158.19499999999999</v>
      </c>
      <c r="H417">
        <v>1.0865149999999999</v>
      </c>
      <c r="I417">
        <v>373.11790000000002</v>
      </c>
      <c r="J417">
        <v>-369.32780000000002</v>
      </c>
      <c r="K417">
        <v>1.1102510000000001</v>
      </c>
      <c r="L417">
        <v>368.35059999999999</v>
      </c>
      <c r="M417">
        <v>0.99985659999999998</v>
      </c>
      <c r="N417">
        <v>-1.276413E-2</v>
      </c>
      <c r="O417">
        <v>1.113548E-2</v>
      </c>
      <c r="P417">
        <v>0.99880559999999996</v>
      </c>
      <c r="Q417">
        <v>4.1088930000000003E-2</v>
      </c>
      <c r="R417">
        <v>2.6447910000000002E-2</v>
      </c>
      <c r="S417">
        <v>3.0017399999999999</v>
      </c>
      <c r="T417">
        <v>-3.3593179999999998E-4</v>
      </c>
      <c r="U417">
        <v>6.7749019999999993E-2</v>
      </c>
      <c r="V417">
        <v>-1.536683E-2</v>
      </c>
      <c r="W417">
        <v>5.382493E-2</v>
      </c>
      <c r="X417">
        <v>0.99843219999999999</v>
      </c>
      <c r="Y417">
        <v>-1.143011E-2</v>
      </c>
      <c r="Z417">
        <v>2.1448250000000001E-4</v>
      </c>
      <c r="AA417">
        <v>0.99993469999999995</v>
      </c>
      <c r="AB417">
        <v>34</v>
      </c>
      <c r="AC417">
        <v>211.1328</v>
      </c>
      <c r="AD417">
        <v>-2.3736000000000201E-2</v>
      </c>
      <c r="AE417">
        <v>4.7673000000000298</v>
      </c>
      <c r="AF417">
        <v>-2.4157478932752001</v>
      </c>
      <c r="AG417">
        <v>-2.3736000000000201E-2</v>
      </c>
      <c r="AH417">
        <v>211.17279517127801</v>
      </c>
      <c r="AI417">
        <v>90.006439672483594</v>
      </c>
      <c r="AJ417">
        <v>90.6554164384317</v>
      </c>
      <c r="AK417">
        <v>211.186613737074</v>
      </c>
      <c r="AL417">
        <v>86.914567826940399</v>
      </c>
      <c r="AM417">
        <v>90.881767427175305</v>
      </c>
      <c r="AN417">
        <v>1.0000000602752901</v>
      </c>
    </row>
    <row r="418" spans="1:40" x14ac:dyDescent="0.25">
      <c r="A418" t="str">
        <f>"20190305135803367"</f>
        <v>20190305135803367</v>
      </c>
      <c r="B418" t="str">
        <f>"1551765483359076"</f>
        <v>1551765483359076</v>
      </c>
      <c r="C418" t="s">
        <v>40</v>
      </c>
      <c r="D418">
        <v>3.9657960000000001</v>
      </c>
      <c r="E418">
        <v>0.50041119999999994</v>
      </c>
      <c r="F418" t="s">
        <v>44</v>
      </c>
      <c r="G418">
        <v>-158.19499999999999</v>
      </c>
      <c r="H418">
        <v>0.75672629999999996</v>
      </c>
      <c r="I418">
        <v>373.14550000000003</v>
      </c>
      <c r="J418">
        <v>-369.13630000000001</v>
      </c>
      <c r="K418">
        <v>1.110255</v>
      </c>
      <c r="L418">
        <v>368.35300000000001</v>
      </c>
      <c r="M418">
        <v>0.99985460000000004</v>
      </c>
      <c r="N418">
        <v>-1.273258E-2</v>
      </c>
      <c r="O418">
        <v>1.135073E-2</v>
      </c>
      <c r="P418">
        <v>0.99877320000000003</v>
      </c>
      <c r="Q418">
        <v>4.1511289999999999E-2</v>
      </c>
      <c r="R418">
        <v>2.7001859999999999E-2</v>
      </c>
      <c r="S418">
        <v>3.002014</v>
      </c>
      <c r="T418">
        <v>-5.0253870000000001E-3</v>
      </c>
      <c r="U418">
        <v>6.8176269999999997E-2</v>
      </c>
      <c r="V418">
        <v>-1.5706419999999999E-2</v>
      </c>
      <c r="W418">
        <v>5.4214890000000002E-2</v>
      </c>
      <c r="X418">
        <v>0.99840580000000001</v>
      </c>
      <c r="Y418">
        <v>-1.1354700000000001E-2</v>
      </c>
      <c r="Z418">
        <v>2.073237E-4</v>
      </c>
      <c r="AA418">
        <v>0.99993549999999998</v>
      </c>
      <c r="AB418">
        <v>34</v>
      </c>
      <c r="AC418">
        <v>210.94130000000001</v>
      </c>
      <c r="AD418">
        <v>-0.35352869999999897</v>
      </c>
      <c r="AE418">
        <v>4.7925000000000102</v>
      </c>
      <c r="AF418">
        <v>-2.3976528433170698</v>
      </c>
      <c r="AG418">
        <v>-0.35352869999999897</v>
      </c>
      <c r="AH418">
        <v>210.98151909290999</v>
      </c>
      <c r="AI418">
        <v>90.096000710045601</v>
      </c>
      <c r="AJ418">
        <v>90.651097194876499</v>
      </c>
      <c r="AK418">
        <v>210.99543862474999</v>
      </c>
      <c r="AL418">
        <v>86.892192042673898</v>
      </c>
      <c r="AM418">
        <v>90.901274162826098</v>
      </c>
      <c r="AN418">
        <v>1.0000000437002801</v>
      </c>
    </row>
    <row r="419" spans="1:40" x14ac:dyDescent="0.25">
      <c r="A419" t="str">
        <f>"20190305135803381"</f>
        <v>20190305135803381</v>
      </c>
      <c r="B419" t="str">
        <f>"1551765483368835"</f>
        <v>1551765483368835</v>
      </c>
      <c r="C419" t="s">
        <v>40</v>
      </c>
      <c r="D419">
        <v>3.9578500000000001</v>
      </c>
      <c r="E419">
        <v>0.50030659999999905</v>
      </c>
      <c r="F419" t="s">
        <v>44</v>
      </c>
      <c r="G419">
        <v>-158.19499999999999</v>
      </c>
      <c r="H419">
        <v>0.61744259999999995</v>
      </c>
      <c r="I419">
        <v>373.3236</v>
      </c>
      <c r="J419">
        <v>-368.9391</v>
      </c>
      <c r="K419">
        <v>1.110258</v>
      </c>
      <c r="L419">
        <v>368.35539999999997</v>
      </c>
      <c r="M419">
        <v>0.99985239999999997</v>
      </c>
      <c r="N419">
        <v>-1.2701749999999999E-2</v>
      </c>
      <c r="O419">
        <v>1.157235E-2</v>
      </c>
      <c r="P419">
        <v>0.99871920000000003</v>
      </c>
      <c r="Q419">
        <v>4.232462E-2</v>
      </c>
      <c r="R419">
        <v>2.7723419999999999E-2</v>
      </c>
      <c r="S419">
        <v>3.002075</v>
      </c>
      <c r="T419">
        <v>-7.0123669999999898E-3</v>
      </c>
      <c r="U419">
        <v>7.0739750000000004E-2</v>
      </c>
      <c r="V419">
        <v>-1.6208469999999999E-2</v>
      </c>
      <c r="W419">
        <v>5.4996700000000003E-2</v>
      </c>
      <c r="X419">
        <v>0.99835499999999999</v>
      </c>
      <c r="Y419">
        <v>-1.1985839999999999E-2</v>
      </c>
      <c r="Z419">
        <v>2.1008840000000001E-4</v>
      </c>
      <c r="AA419">
        <v>0.99992809999999999</v>
      </c>
      <c r="AB419">
        <v>34</v>
      </c>
      <c r="AC419">
        <v>210.7441</v>
      </c>
      <c r="AD419">
        <v>-0.49281540000000001</v>
      </c>
      <c r="AE419">
        <v>4.9682000000000199</v>
      </c>
      <c r="AF419">
        <v>-2.5288522963751698</v>
      </c>
      <c r="AG419">
        <v>-0.49281540000000001</v>
      </c>
      <c r="AH419">
        <v>210.78633227052001</v>
      </c>
      <c r="AI419">
        <v>90.133946821438201</v>
      </c>
      <c r="AJ419">
        <v>90.6873577190715</v>
      </c>
      <c r="AK419">
        <v>210.80207739254701</v>
      </c>
      <c r="AL419">
        <v>86.847330649423697</v>
      </c>
      <c r="AM419">
        <v>90.930125398692596</v>
      </c>
      <c r="AN419">
        <v>1.0000000287678099</v>
      </c>
    </row>
    <row r="420" spans="1:40" x14ac:dyDescent="0.25">
      <c r="A420" t="str">
        <f>"20190305135803394"</f>
        <v>20190305135803394</v>
      </c>
      <c r="B420" t="str">
        <f>"1551765483389332"</f>
        <v>1551765483389332</v>
      </c>
      <c r="C420" t="s">
        <v>40</v>
      </c>
      <c r="D420">
        <v>3.9912369999999999</v>
      </c>
      <c r="E420">
        <v>0.49997219999999998</v>
      </c>
      <c r="F420" t="s">
        <v>44</v>
      </c>
      <c r="G420">
        <v>-158.19499999999999</v>
      </c>
      <c r="H420">
        <v>0.53175450000000002</v>
      </c>
      <c r="I420">
        <v>373.50760000000002</v>
      </c>
      <c r="J420">
        <v>-368.72820000000002</v>
      </c>
      <c r="K420">
        <v>1.110263</v>
      </c>
      <c r="L420">
        <v>368.35809999999998</v>
      </c>
      <c r="M420">
        <v>0.99985000000000002</v>
      </c>
      <c r="N420">
        <v>-1.267191E-2</v>
      </c>
      <c r="O420">
        <v>1.1808859999999999E-2</v>
      </c>
      <c r="P420">
        <v>0.99865800000000005</v>
      </c>
      <c r="Q420">
        <v>4.3245550000000001E-2</v>
      </c>
      <c r="R420">
        <v>2.849674E-2</v>
      </c>
      <c r="S420">
        <v>3.002167</v>
      </c>
      <c r="T420">
        <v>-8.2398650000000007E-3</v>
      </c>
      <c r="U420">
        <v>7.3394780000000007E-2</v>
      </c>
      <c r="V420">
        <v>-1.6746529999999999E-2</v>
      </c>
      <c r="W420">
        <v>5.5886529999999997E-2</v>
      </c>
      <c r="X420">
        <v>0.99829670000000004</v>
      </c>
      <c r="Y420">
        <v>-1.2632300000000001E-2</v>
      </c>
      <c r="Z420">
        <v>2.1461580000000001E-4</v>
      </c>
      <c r="AA420">
        <v>0.99992020000000004</v>
      </c>
      <c r="AB420">
        <v>34</v>
      </c>
      <c r="AC420">
        <v>210.53319999999999</v>
      </c>
      <c r="AD420">
        <v>-0.57850849999999998</v>
      </c>
      <c r="AE420">
        <v>5.1495000000000397</v>
      </c>
      <c r="AF420">
        <v>-2.6627641322727902</v>
      </c>
      <c r="AG420">
        <v>-0.57850849999999998</v>
      </c>
      <c r="AH420">
        <v>210.57774337064399</v>
      </c>
      <c r="AI420">
        <v>90.157392523540807</v>
      </c>
      <c r="AJ420">
        <v>90.724468851188405</v>
      </c>
      <c r="AK420">
        <v>210.59537266516901</v>
      </c>
      <c r="AL420">
        <v>86.796268599453597</v>
      </c>
      <c r="AM420">
        <v>90.961052463422902</v>
      </c>
      <c r="AN420">
        <v>1.0000000258666799</v>
      </c>
    </row>
    <row r="421" spans="1:40" x14ac:dyDescent="0.25">
      <c r="A421" t="str">
        <f>"20190305135803409"</f>
        <v>20190305135803409</v>
      </c>
      <c r="B421" t="str">
        <f>"1551765483399092"</f>
        <v>1551765483399092</v>
      </c>
      <c r="C421" t="s">
        <v>40</v>
      </c>
      <c r="D421">
        <v>3.991778</v>
      </c>
      <c r="E421">
        <v>0.4998379</v>
      </c>
      <c r="F421" t="s">
        <v>44</v>
      </c>
      <c r="G421">
        <v>-158.19499999999999</v>
      </c>
      <c r="H421">
        <v>0.4582849</v>
      </c>
      <c r="I421">
        <v>373.84739999999999</v>
      </c>
      <c r="J421">
        <v>-368.50150000000002</v>
      </c>
      <c r="K421">
        <v>1.1102700000000001</v>
      </c>
      <c r="L421">
        <v>368.36110000000002</v>
      </c>
      <c r="M421">
        <v>0.99984740000000005</v>
      </c>
      <c r="N421">
        <v>-1.264274E-2</v>
      </c>
      <c r="O421">
        <v>1.2063900000000001E-2</v>
      </c>
      <c r="P421">
        <v>0.99855740000000004</v>
      </c>
      <c r="Q421">
        <v>4.5038450000000001E-2</v>
      </c>
      <c r="R421">
        <v>2.9240019999999999E-2</v>
      </c>
      <c r="S421">
        <v>3.0021969999999998</v>
      </c>
      <c r="T421">
        <v>-9.2959400000000008E-3</v>
      </c>
      <c r="U421">
        <v>7.8277589999999994E-2</v>
      </c>
      <c r="V421">
        <v>-1.723796E-2</v>
      </c>
      <c r="W421">
        <v>5.7648940000000003E-2</v>
      </c>
      <c r="X421">
        <v>0.99818810000000002</v>
      </c>
      <c r="Y421">
        <v>-1.400212E-2</v>
      </c>
      <c r="Z421">
        <v>2.2537149999999999E-4</v>
      </c>
      <c r="AA421">
        <v>0.99990199999999996</v>
      </c>
      <c r="AB421">
        <v>34</v>
      </c>
      <c r="AC421">
        <v>210.3065</v>
      </c>
      <c r="AD421">
        <v>-0.65198509999999998</v>
      </c>
      <c r="AE421">
        <v>5.4862999999999698</v>
      </c>
      <c r="AF421">
        <v>-2.9485532496520701</v>
      </c>
      <c r="AG421">
        <v>-0.65198509999999998</v>
      </c>
      <c r="AH421">
        <v>210.35536434039599</v>
      </c>
      <c r="AI421">
        <v>90.177567165065497</v>
      </c>
      <c r="AJ421">
        <v>90.803062923925793</v>
      </c>
      <c r="AK421">
        <v>210.37703857031801</v>
      </c>
      <c r="AL421">
        <v>86.695126798981505</v>
      </c>
      <c r="AM421">
        <v>90.9893568060495</v>
      </c>
      <c r="AN421">
        <v>1.0000000152648401</v>
      </c>
    </row>
    <row r="422" spans="1:40" x14ac:dyDescent="0.25">
      <c r="A422" t="str">
        <f>"20190305135803420"</f>
        <v>20190305135803420</v>
      </c>
      <c r="B422" t="str">
        <f>"1551765483408851"</f>
        <v>1551765483408851</v>
      </c>
      <c r="C422" t="s">
        <v>40</v>
      </c>
      <c r="D422">
        <v>3.9599530000000001</v>
      </c>
      <c r="E422">
        <v>0.49982359999999998</v>
      </c>
      <c r="F422" t="s">
        <v>44</v>
      </c>
      <c r="G422">
        <v>-158.19499999999999</v>
      </c>
      <c r="H422">
        <v>0.71311000000000002</v>
      </c>
      <c r="I422">
        <v>374.04750000000001</v>
      </c>
      <c r="J422">
        <v>-368.32990000000001</v>
      </c>
      <c r="K422">
        <v>1.110269</v>
      </c>
      <c r="L422">
        <v>368.36329999999998</v>
      </c>
      <c r="M422">
        <v>0.99984530000000005</v>
      </c>
      <c r="N422">
        <v>-1.262192E-2</v>
      </c>
      <c r="O422">
        <v>1.225684E-2</v>
      </c>
      <c r="P422">
        <v>0.998506</v>
      </c>
      <c r="Q422">
        <v>4.5899099999999998E-2</v>
      </c>
      <c r="R422">
        <v>2.965044E-2</v>
      </c>
      <c r="S422">
        <v>3.0022280000000001</v>
      </c>
      <c r="T422">
        <v>-5.6684020000000003E-3</v>
      </c>
      <c r="U422">
        <v>8.1176760000000001E-2</v>
      </c>
      <c r="V422">
        <v>-1.7456530000000001E-2</v>
      </c>
      <c r="W422">
        <v>5.8488180000000001E-2</v>
      </c>
      <c r="X422">
        <v>0.99813540000000001</v>
      </c>
      <c r="Y422">
        <v>-1.47741E-2</v>
      </c>
      <c r="Z422">
        <v>2.3876170000000001E-4</v>
      </c>
      <c r="AA422">
        <v>0.99989079999999997</v>
      </c>
      <c r="AB422">
        <v>34</v>
      </c>
      <c r="AC422">
        <v>210.13489999999999</v>
      </c>
      <c r="AD422">
        <v>-0.39715899999999899</v>
      </c>
      <c r="AE422">
        <v>5.6842000000000299</v>
      </c>
      <c r="AF422">
        <v>-3.1079670333593499</v>
      </c>
      <c r="AG422">
        <v>-0.39715899999999899</v>
      </c>
      <c r="AH422">
        <v>210.18803819369899</v>
      </c>
      <c r="AI422">
        <v>90.108250785105795</v>
      </c>
      <c r="AJ422">
        <v>90.847148195995501</v>
      </c>
      <c r="AK422">
        <v>210.21139025768201</v>
      </c>
      <c r="AL422">
        <v>86.646960350446093</v>
      </c>
      <c r="AM422">
        <v>91.001951776348406</v>
      </c>
      <c r="AN422">
        <v>0.99999993718625402</v>
      </c>
    </row>
    <row r="423" spans="1:40" x14ac:dyDescent="0.25">
      <c r="A423" t="str">
        <f>"20190305135803433"</f>
        <v>20190305135803433</v>
      </c>
      <c r="B423" t="str">
        <f>"1551765483429348"</f>
        <v>1551765483429348</v>
      </c>
      <c r="C423" t="s">
        <v>40</v>
      </c>
      <c r="D423">
        <v>3.9991840000000001</v>
      </c>
      <c r="E423">
        <v>0.4997434</v>
      </c>
      <c r="F423" t="s">
        <v>44</v>
      </c>
      <c r="G423">
        <v>-158.19499999999999</v>
      </c>
      <c r="H423">
        <v>0.7600441</v>
      </c>
      <c r="I423">
        <v>374.13049999999998</v>
      </c>
      <c r="J423">
        <v>-368.14409999999998</v>
      </c>
      <c r="K423">
        <v>1.110274</v>
      </c>
      <c r="L423">
        <v>368.36579999999998</v>
      </c>
      <c r="M423">
        <v>0.99984289999999998</v>
      </c>
      <c r="N423">
        <v>-1.2601569999999999E-2</v>
      </c>
      <c r="O423">
        <v>1.246557E-2</v>
      </c>
      <c r="P423">
        <v>0.99845649999999997</v>
      </c>
      <c r="Q423">
        <v>4.6669219999999997E-2</v>
      </c>
      <c r="R423">
        <v>3.0109090000000002E-2</v>
      </c>
      <c r="S423">
        <v>3.0022579999999999</v>
      </c>
      <c r="T423">
        <v>-5.0024989999999997E-3</v>
      </c>
      <c r="U423">
        <v>8.2397460000000006E-2</v>
      </c>
      <c r="V423">
        <v>-1.770847E-2</v>
      </c>
      <c r="W423">
        <v>5.9236469999999999E-2</v>
      </c>
      <c r="X423">
        <v>0.9980869</v>
      </c>
      <c r="Y423">
        <v>-1.4971399999999999E-2</v>
      </c>
      <c r="Z423">
        <v>2.431317E-4</v>
      </c>
      <c r="AA423">
        <v>0.99988790000000005</v>
      </c>
      <c r="AB423">
        <v>34</v>
      </c>
      <c r="AC423">
        <v>209.94909999999999</v>
      </c>
      <c r="AD423">
        <v>-0.35022989999999998</v>
      </c>
      <c r="AE423">
        <v>5.7647000000000004</v>
      </c>
      <c r="AF423">
        <v>-3.1469002633286598</v>
      </c>
      <c r="AG423">
        <v>-0.35022989999999998</v>
      </c>
      <c r="AH423">
        <v>210.00406675750401</v>
      </c>
      <c r="AI423">
        <v>90.0955430256451</v>
      </c>
      <c r="AJ423">
        <v>90.858510087708794</v>
      </c>
      <c r="AK423">
        <v>210.02793551558801</v>
      </c>
      <c r="AL423">
        <v>86.604012249476</v>
      </c>
      <c r="AM423">
        <v>91.016458734715897</v>
      </c>
      <c r="AN423">
        <v>1.0000000046197</v>
      </c>
    </row>
    <row r="424" spans="1:40" x14ac:dyDescent="0.25">
      <c r="A424" t="str">
        <f>"20190305135803444"</f>
        <v>20190305135803444</v>
      </c>
      <c r="B424" t="str">
        <f>"1551765483439108"</f>
        <v>1551765483439108</v>
      </c>
      <c r="C424" t="s">
        <v>40</v>
      </c>
      <c r="D424">
        <v>4.0077160000000003</v>
      </c>
      <c r="E424">
        <v>0.4997124</v>
      </c>
      <c r="F424" t="s">
        <v>44</v>
      </c>
      <c r="G424">
        <v>-158.19499999999999</v>
      </c>
      <c r="H424">
        <v>0.63159889999999996</v>
      </c>
      <c r="I424">
        <v>374.26639999999998</v>
      </c>
      <c r="J424">
        <v>-367.97</v>
      </c>
      <c r="K424">
        <v>1.1102749999999999</v>
      </c>
      <c r="L424">
        <v>368.3682</v>
      </c>
      <c r="M424">
        <v>0.99984079999999997</v>
      </c>
      <c r="N424">
        <v>-1.258373E-2</v>
      </c>
      <c r="O424">
        <v>1.2661179999999999E-2</v>
      </c>
      <c r="P424">
        <v>0.99840010000000001</v>
      </c>
      <c r="Q424">
        <v>4.7797270000000003E-2</v>
      </c>
      <c r="R424">
        <v>3.0213819999999999E-2</v>
      </c>
      <c r="S424">
        <v>3.00238</v>
      </c>
      <c r="T424">
        <v>-6.8440439999999996E-3</v>
      </c>
      <c r="U424">
        <v>8.4381100000000001E-2</v>
      </c>
      <c r="V424">
        <v>-1.7619249999999999E-2</v>
      </c>
      <c r="W424">
        <v>6.0346459999999998E-2</v>
      </c>
      <c r="X424">
        <v>0.99802199999999996</v>
      </c>
      <c r="Y424">
        <v>-1.543462E-2</v>
      </c>
      <c r="Z424">
        <v>2.4518149999999998E-4</v>
      </c>
      <c r="AA424">
        <v>0.99988089999999996</v>
      </c>
      <c r="AB424">
        <v>34</v>
      </c>
      <c r="AC424">
        <v>209.77500000000001</v>
      </c>
      <c r="AD424">
        <v>-0.47867609999999899</v>
      </c>
      <c r="AE424">
        <v>5.8981999999999699</v>
      </c>
      <c r="AF424">
        <v>-3.24150130952277</v>
      </c>
      <c r="AG424">
        <v>-0.47867609999999899</v>
      </c>
      <c r="AH424">
        <v>209.831774999544</v>
      </c>
      <c r="AI424">
        <v>90.130689457191295</v>
      </c>
      <c r="AJ424">
        <v>90.8850402779007</v>
      </c>
      <c r="AK424">
        <v>209.85735693801001</v>
      </c>
      <c r="AL424">
        <v>86.540300579982002</v>
      </c>
      <c r="AM424">
        <v>91.0114043628639</v>
      </c>
      <c r="AN424">
        <v>1.00000002284454</v>
      </c>
    </row>
    <row r="425" spans="1:40" x14ac:dyDescent="0.25">
      <c r="A425" t="str">
        <f>"20190305135803455"</f>
        <v>20190305135803455</v>
      </c>
      <c r="B425" t="str">
        <f>"1551765483448868"</f>
        <v>1551765483448868</v>
      </c>
      <c r="C425" t="s">
        <v>40</v>
      </c>
      <c r="D425">
        <v>3.9978039999999999</v>
      </c>
      <c r="E425">
        <v>0.4997489</v>
      </c>
      <c r="F425" t="s">
        <v>44</v>
      </c>
      <c r="G425">
        <v>-158.19499999999999</v>
      </c>
      <c r="H425">
        <v>0.73104190000000002</v>
      </c>
      <c r="I425">
        <v>374.30630000000002</v>
      </c>
      <c r="J425">
        <v>-367.78230000000002</v>
      </c>
      <c r="K425">
        <v>1.110277</v>
      </c>
      <c r="L425">
        <v>368.37079999999997</v>
      </c>
      <c r="M425">
        <v>0.99983820000000001</v>
      </c>
      <c r="N425">
        <v>-1.2565710000000001E-2</v>
      </c>
      <c r="O425">
        <v>1.287198E-2</v>
      </c>
      <c r="P425">
        <v>0.99834279999999997</v>
      </c>
      <c r="Q425">
        <v>4.8710660000000003E-2</v>
      </c>
      <c r="R425">
        <v>3.0645490000000001E-2</v>
      </c>
      <c r="S425">
        <v>3.002472</v>
      </c>
      <c r="T425">
        <v>-5.4266449999999999E-3</v>
      </c>
      <c r="U425">
        <v>8.4991460000000005E-2</v>
      </c>
      <c r="V425">
        <v>-1.7841949999999999E-2</v>
      </c>
      <c r="W425">
        <v>6.1241259999999999E-2</v>
      </c>
      <c r="X425">
        <v>0.9979635</v>
      </c>
      <c r="Y425">
        <v>-1.5426179999999999E-2</v>
      </c>
      <c r="Z425">
        <v>2.4935469999999999E-4</v>
      </c>
      <c r="AA425">
        <v>0.99988100000000002</v>
      </c>
      <c r="AB425">
        <v>34</v>
      </c>
      <c r="AC425">
        <v>209.5873</v>
      </c>
      <c r="AD425">
        <v>-0.37923509999999999</v>
      </c>
      <c r="AE425">
        <v>5.9355000000000402</v>
      </c>
      <c r="AF425">
        <v>-3.2369810604976599</v>
      </c>
      <c r="AG425">
        <v>-0.37923509999999999</v>
      </c>
      <c r="AH425">
        <v>209.645655328326</v>
      </c>
      <c r="AI425">
        <v>90.103631803629796</v>
      </c>
      <c r="AJ425">
        <v>90.884590794668</v>
      </c>
      <c r="AK425">
        <v>209.67098669985401</v>
      </c>
      <c r="AL425">
        <v>86.488937186228199</v>
      </c>
      <c r="AM425">
        <v>91.024245412109707</v>
      </c>
      <c r="AN425">
        <v>0.99999998721921901</v>
      </c>
    </row>
    <row r="426" spans="1:40" x14ac:dyDescent="0.25">
      <c r="A426" t="str">
        <f>"20190305135803468"</f>
        <v>20190305135803468</v>
      </c>
      <c r="B426" t="str">
        <f>"1551765483459228"</f>
        <v>1551765483459228</v>
      </c>
      <c r="C426" t="s">
        <v>40</v>
      </c>
      <c r="D426">
        <v>3.9986069999999998</v>
      </c>
      <c r="E426">
        <v>0.49973410000000001</v>
      </c>
      <c r="F426" t="s">
        <v>44</v>
      </c>
      <c r="G426">
        <v>-158.19499999999999</v>
      </c>
      <c r="H426">
        <v>0.77381089999999997</v>
      </c>
      <c r="I426">
        <v>374.3503</v>
      </c>
      <c r="J426">
        <v>-367.6</v>
      </c>
      <c r="K426">
        <v>1.1102749999999999</v>
      </c>
      <c r="L426">
        <v>368.37329999999997</v>
      </c>
      <c r="M426">
        <v>0.99983580000000005</v>
      </c>
      <c r="N426">
        <v>-1.2549909999999999E-2</v>
      </c>
      <c r="O426">
        <v>1.307723E-2</v>
      </c>
      <c r="P426">
        <v>0.99831429999999999</v>
      </c>
      <c r="Q426">
        <v>4.9015259999999998E-2</v>
      </c>
      <c r="R426">
        <v>3.1085809999999998E-2</v>
      </c>
      <c r="S426">
        <v>3.0025940000000002</v>
      </c>
      <c r="T426">
        <v>-4.8190359999999996E-3</v>
      </c>
      <c r="U426">
        <v>8.5662840000000004E-2</v>
      </c>
      <c r="V426">
        <v>-1.8077650000000001E-2</v>
      </c>
      <c r="W426">
        <v>6.1529199999999902E-2</v>
      </c>
      <c r="X426">
        <v>0.99794159999999998</v>
      </c>
      <c r="Y426">
        <v>-1.544324E-2</v>
      </c>
      <c r="Z426">
        <v>2.5244040000000002E-4</v>
      </c>
      <c r="AA426">
        <v>0.99988069999999896</v>
      </c>
      <c r="AB426">
        <v>34</v>
      </c>
      <c r="AC426">
        <v>209.405</v>
      </c>
      <c r="AD426">
        <v>-0.33646409999999899</v>
      </c>
      <c r="AE426">
        <v>5.9770000000000296</v>
      </c>
      <c r="AF426">
        <v>-3.2378276376925901</v>
      </c>
      <c r="AG426">
        <v>-0.33646409999999899</v>
      </c>
      <c r="AH426">
        <v>209.46471925096</v>
      </c>
      <c r="AI426">
        <v>90.092023390250105</v>
      </c>
      <c r="AJ426">
        <v>90.885586297107295</v>
      </c>
      <c r="AK426">
        <v>209.49001252275801</v>
      </c>
      <c r="AL426">
        <v>86.472408456122693</v>
      </c>
      <c r="AM426">
        <v>91.037795973404201</v>
      </c>
      <c r="AN426">
        <v>1.00000004044636</v>
      </c>
    </row>
    <row r="427" spans="1:40" x14ac:dyDescent="0.25">
      <c r="A427" t="str">
        <f>"20190305135803480"</f>
        <v>20190305135803480</v>
      </c>
      <c r="B427" t="str">
        <f>"1551765483468991"</f>
        <v>1551765483468991</v>
      </c>
      <c r="C427" t="s">
        <v>40</v>
      </c>
      <c r="D427">
        <v>4.0026080000000004</v>
      </c>
      <c r="E427">
        <v>0.499699</v>
      </c>
      <c r="F427" t="s">
        <v>44</v>
      </c>
      <c r="G427">
        <v>-158.19499999999999</v>
      </c>
      <c r="H427">
        <v>0.68713900000000006</v>
      </c>
      <c r="I427">
        <v>374.44330000000002</v>
      </c>
      <c r="J427">
        <v>-367.41460000000001</v>
      </c>
      <c r="K427">
        <v>1.1102749999999999</v>
      </c>
      <c r="L427">
        <v>368.3759</v>
      </c>
      <c r="M427">
        <v>0.99983330000000004</v>
      </c>
      <c r="N427">
        <v>-1.253451E-2</v>
      </c>
      <c r="O427">
        <v>1.328551E-2</v>
      </c>
      <c r="P427">
        <v>0.99830039999999998</v>
      </c>
      <c r="Q427">
        <v>4.8906409999999997E-2</v>
      </c>
      <c r="R427">
        <v>3.1693010000000001E-2</v>
      </c>
      <c r="S427">
        <v>3.0026549999999999</v>
      </c>
      <c r="T427">
        <v>-6.0660840000000002E-3</v>
      </c>
      <c r="U427">
        <v>8.7036130000000003E-2</v>
      </c>
      <c r="V427">
        <v>-1.847656E-2</v>
      </c>
      <c r="W427">
        <v>6.1404979999999998E-2</v>
      </c>
      <c r="X427">
        <v>0.99794190000000005</v>
      </c>
      <c r="Y427">
        <v>-1.5691190000000001E-2</v>
      </c>
      <c r="Z427">
        <v>2.5389169999999998E-4</v>
      </c>
      <c r="AA427">
        <v>0.99987689999999996</v>
      </c>
      <c r="AB427">
        <v>34</v>
      </c>
      <c r="AC427">
        <v>209.21960000000001</v>
      </c>
      <c r="AD427">
        <v>-0.42313599999999901</v>
      </c>
      <c r="AE427">
        <v>6.0674000000000197</v>
      </c>
      <c r="AF427">
        <v>-3.2870438689602799</v>
      </c>
      <c r="AG427">
        <v>-0.42313599999999901</v>
      </c>
      <c r="AH427">
        <v>209.280891682852</v>
      </c>
      <c r="AI427">
        <v>90.115829419151396</v>
      </c>
      <c r="AJ427">
        <v>90.899834929262198</v>
      </c>
      <c r="AK427">
        <v>209.30713156756099</v>
      </c>
      <c r="AL427">
        <v>86.479539061944806</v>
      </c>
      <c r="AM427">
        <v>91.060690977430696</v>
      </c>
      <c r="AN427">
        <v>0.99999999530692196</v>
      </c>
    </row>
    <row r="428" spans="1:40" x14ac:dyDescent="0.25">
      <c r="A428" t="str">
        <f>"20190305135803493"</f>
        <v>20190305135803493</v>
      </c>
      <c r="B428" t="str">
        <f>"1551765483489487"</f>
        <v>1551765483489487</v>
      </c>
      <c r="C428" t="s">
        <v>40</v>
      </c>
      <c r="D428">
        <v>4.001582</v>
      </c>
      <c r="E428">
        <v>0.49971199999999999</v>
      </c>
      <c r="F428" t="s">
        <v>44</v>
      </c>
      <c r="G428">
        <v>-158.19499999999999</v>
      </c>
      <c r="H428">
        <v>0.56821109999999997</v>
      </c>
      <c r="I428">
        <v>374.58510000000001</v>
      </c>
      <c r="J428">
        <v>-367.22309999999999</v>
      </c>
      <c r="K428">
        <v>1.110271</v>
      </c>
      <c r="L428">
        <v>368.37880000000001</v>
      </c>
      <c r="M428">
        <v>0.99983060000000001</v>
      </c>
      <c r="N428">
        <v>-1.2520130000000001E-2</v>
      </c>
      <c r="O428">
        <v>1.3499270000000001E-2</v>
      </c>
      <c r="P428">
        <v>0.99827399999999999</v>
      </c>
      <c r="Q428">
        <v>4.9011609999999997E-2</v>
      </c>
      <c r="R428">
        <v>3.2362210000000002E-2</v>
      </c>
      <c r="S428">
        <v>3.0026549999999999</v>
      </c>
      <c r="T428">
        <v>-7.7782869999999896E-3</v>
      </c>
      <c r="U428">
        <v>8.9111330000000002E-2</v>
      </c>
      <c r="V428">
        <v>-1.89328E-2</v>
      </c>
      <c r="W428">
        <v>6.1494930000000003E-2</v>
      </c>
      <c r="X428">
        <v>0.99792780000000003</v>
      </c>
      <c r="Y428">
        <v>-1.616772E-2</v>
      </c>
      <c r="Z428">
        <v>2.5621079999999999E-4</v>
      </c>
      <c r="AA428">
        <v>0.99986929999999996</v>
      </c>
      <c r="AB428">
        <v>34</v>
      </c>
      <c r="AC428">
        <v>209.02809999999999</v>
      </c>
      <c r="AD428">
        <v>-0.54205990000000004</v>
      </c>
      <c r="AE428">
        <v>6.2062999999999899</v>
      </c>
      <c r="AF428">
        <v>-3.38376401896255</v>
      </c>
      <c r="AG428">
        <v>-0.54205990000000004</v>
      </c>
      <c r="AH428">
        <v>209.09143272361999</v>
      </c>
      <c r="AI428">
        <v>90.148516887655305</v>
      </c>
      <c r="AJ428">
        <v>90.927146905408605</v>
      </c>
      <c r="AK428">
        <v>209.119513499547</v>
      </c>
      <c r="AL428">
        <v>86.474375514355501</v>
      </c>
      <c r="AM428">
        <v>91.086891668331006</v>
      </c>
      <c r="AN428">
        <v>0.99999998567219195</v>
      </c>
    </row>
    <row r="429" spans="1:40" x14ac:dyDescent="0.25">
      <c r="A429" t="str">
        <f>"20190305135803511"</f>
        <v>20190305135803511</v>
      </c>
      <c r="B429" t="str">
        <f>"1551765483499245"</f>
        <v>1551765483499245</v>
      </c>
      <c r="C429" t="s">
        <v>40</v>
      </c>
      <c r="D429">
        <v>3.9765320000000002</v>
      </c>
      <c r="E429">
        <v>0.49971199999999999</v>
      </c>
      <c r="F429" t="s">
        <v>44</v>
      </c>
      <c r="G429">
        <v>-158.19499999999999</v>
      </c>
      <c r="H429">
        <v>0.44100620000000001</v>
      </c>
      <c r="I429">
        <v>374.69889999999998</v>
      </c>
      <c r="J429">
        <v>-366.94229999999999</v>
      </c>
      <c r="K429">
        <v>1.1102650000000001</v>
      </c>
      <c r="L429">
        <v>368.38290000000001</v>
      </c>
      <c r="M429">
        <v>0.99982649999999995</v>
      </c>
      <c r="N429">
        <v>-1.250097E-2</v>
      </c>
      <c r="O429">
        <v>1.380988E-2</v>
      </c>
      <c r="P429">
        <v>0.99828280000000003</v>
      </c>
      <c r="Q429">
        <v>4.802008E-2</v>
      </c>
      <c r="R429">
        <v>3.355557E-2</v>
      </c>
      <c r="S429">
        <v>3.0027159999999999</v>
      </c>
      <c r="T429">
        <v>-9.612799E-3</v>
      </c>
      <c r="U429">
        <v>9.0789789999999995E-2</v>
      </c>
      <c r="V429">
        <v>-1.981482E-2</v>
      </c>
      <c r="W429">
        <v>6.0484490000000002E-2</v>
      </c>
      <c r="X429">
        <v>0.99797239999999998</v>
      </c>
      <c r="Y429">
        <v>-1.6414740000000001E-2</v>
      </c>
      <c r="Z429">
        <v>2.5731920000000001E-4</v>
      </c>
      <c r="AA429">
        <v>0.99986520000000001</v>
      </c>
      <c r="AB429">
        <v>34</v>
      </c>
      <c r="AC429">
        <v>208.7473</v>
      </c>
      <c r="AD429">
        <v>-0.66925880000000004</v>
      </c>
      <c r="AE429">
        <v>6.3159999999999696</v>
      </c>
      <c r="AF429">
        <v>-3.4323619407683901</v>
      </c>
      <c r="AG429">
        <v>-0.66925880000000004</v>
      </c>
      <c r="AH429">
        <v>208.81247616920299</v>
      </c>
      <c r="AI429">
        <v>90.183611605907998</v>
      </c>
      <c r="AJ429">
        <v>90.941716450285</v>
      </c>
      <c r="AK429">
        <v>208.84175640840499</v>
      </c>
      <c r="AL429">
        <v>86.532377338433093</v>
      </c>
      <c r="AM429">
        <v>91.137462724227902</v>
      </c>
      <c r="AN429">
        <v>0.99999995589197499</v>
      </c>
    </row>
    <row r="430" spans="1:40" x14ac:dyDescent="0.25">
      <c r="A430" t="str">
        <f>"20190305135803526"</f>
        <v>20190305135803526</v>
      </c>
      <c r="B430" t="str">
        <f>"1551765483518765"</f>
        <v>1551765483518765</v>
      </c>
      <c r="C430" t="s">
        <v>40</v>
      </c>
      <c r="D430">
        <v>4.0411900000000003</v>
      </c>
      <c r="E430">
        <v>0.49978240000000002</v>
      </c>
      <c r="F430" t="s">
        <v>44</v>
      </c>
      <c r="G430">
        <v>-158.19499999999999</v>
      </c>
      <c r="H430">
        <v>0.23584840000000001</v>
      </c>
      <c r="I430">
        <v>374.91759999999999</v>
      </c>
      <c r="J430">
        <v>-366.72770000000003</v>
      </c>
      <c r="K430">
        <v>1.110258</v>
      </c>
      <c r="L430">
        <v>368.3861</v>
      </c>
      <c r="M430">
        <v>0.99982349999999998</v>
      </c>
      <c r="N430">
        <v>-1.248779E-2</v>
      </c>
      <c r="O430">
        <v>1.404008E-2</v>
      </c>
      <c r="P430">
        <v>0.99827330000000003</v>
      </c>
      <c r="Q430">
        <v>4.7755480000000003E-2</v>
      </c>
      <c r="R430">
        <v>3.4211819999999997E-2</v>
      </c>
      <c r="S430">
        <v>3.0025940000000002</v>
      </c>
      <c r="T430">
        <v>-1.2576220000000001E-2</v>
      </c>
      <c r="U430">
        <v>9.3994140000000004E-2</v>
      </c>
      <c r="V430">
        <v>-2.0240109999999999E-2</v>
      </c>
      <c r="W430">
        <v>6.0206530000000001E-2</v>
      </c>
      <c r="X430">
        <v>0.99798070000000005</v>
      </c>
      <c r="Y430">
        <v>-1.7251490000000001E-2</v>
      </c>
      <c r="Z430">
        <v>2.6039040000000002E-4</v>
      </c>
      <c r="AA430">
        <v>0.99985119999999905</v>
      </c>
      <c r="AB430">
        <v>34</v>
      </c>
      <c r="AC430">
        <v>208.53270000000001</v>
      </c>
      <c r="AD430">
        <v>-0.87440960000000001</v>
      </c>
      <c r="AE430">
        <v>6.5314999999999896</v>
      </c>
      <c r="AF430">
        <v>-3.6027488673276502</v>
      </c>
      <c r="AG430">
        <v>-0.87440960000000001</v>
      </c>
      <c r="AH430">
        <v>208.600188202532</v>
      </c>
      <c r="AI430">
        <v>90.240135046305696</v>
      </c>
      <c r="AJ430">
        <v>90.989461158351403</v>
      </c>
      <c r="AK430">
        <v>208.633129942685</v>
      </c>
      <c r="AL430">
        <v>86.548332444765805</v>
      </c>
      <c r="AM430">
        <v>91.161860063657599</v>
      </c>
      <c r="AN430">
        <v>0.99999998293997105</v>
      </c>
    </row>
    <row r="431" spans="1:40" x14ac:dyDescent="0.25">
      <c r="A431" t="str">
        <f>"20190305135803540"</f>
        <v>20190305135803540</v>
      </c>
      <c r="B431" t="str">
        <f>"1551765483529501"</f>
        <v>1551765483529501</v>
      </c>
      <c r="C431" t="s">
        <v>40</v>
      </c>
      <c r="D431">
        <v>4.0360940000000003</v>
      </c>
      <c r="E431">
        <v>0.49981809999999899</v>
      </c>
      <c r="F431" t="s">
        <v>50</v>
      </c>
      <c r="G431">
        <v>-175.87190000000001</v>
      </c>
      <c r="H431">
        <v>7.9988879999999998E-2</v>
      </c>
      <c r="I431">
        <v>374.45940000000002</v>
      </c>
      <c r="J431">
        <v>-366.50319999999999</v>
      </c>
      <c r="K431">
        <v>1.110247</v>
      </c>
      <c r="L431">
        <v>368.3895</v>
      </c>
      <c r="M431">
        <v>0.9998205</v>
      </c>
      <c r="N431">
        <v>-1.2475089999999999E-2</v>
      </c>
      <c r="O431">
        <v>1.4272190000000001E-2</v>
      </c>
      <c r="P431">
        <v>0.99825750000000002</v>
      </c>
      <c r="Q431">
        <v>4.7641849999999999E-2</v>
      </c>
      <c r="R431">
        <v>3.481998E-2</v>
      </c>
      <c r="S431">
        <v>3.0027159999999999</v>
      </c>
      <c r="T431">
        <v>-1.6209129999999999E-2</v>
      </c>
      <c r="U431">
        <v>9.5550540000000003E-2</v>
      </c>
      <c r="V431">
        <v>-2.0615250000000002E-2</v>
      </c>
      <c r="W431">
        <v>6.0080389999999997E-2</v>
      </c>
      <c r="X431">
        <v>0.99798070000000005</v>
      </c>
      <c r="Y431">
        <v>-1.7535459999999999E-2</v>
      </c>
      <c r="Z431">
        <v>2.577379E-4</v>
      </c>
      <c r="AA431">
        <v>0.99984620000000002</v>
      </c>
      <c r="AB431">
        <v>34</v>
      </c>
      <c r="AC431">
        <v>190.63130000000001</v>
      </c>
      <c r="AD431">
        <v>-1.0302581200000001</v>
      </c>
      <c r="AE431">
        <v>6.0699000000000103</v>
      </c>
      <c r="AF431">
        <v>-3.3482465852214398</v>
      </c>
      <c r="AG431">
        <v>-1.0302581200000001</v>
      </c>
      <c r="AH431">
        <v>190.69295398578899</v>
      </c>
      <c r="AI431">
        <v>90.309501581819902</v>
      </c>
      <c r="AJ431">
        <v>91.005913869922196</v>
      </c>
      <c r="AK431">
        <v>190.72512914352799</v>
      </c>
      <c r="AL431">
        <v>86.555573106154199</v>
      </c>
      <c r="AM431">
        <v>91.183388472678502</v>
      </c>
      <c r="AN431">
        <v>1.0000000596837999</v>
      </c>
    </row>
    <row r="432" spans="1:40" x14ac:dyDescent="0.25">
      <c r="A432" t="str">
        <f>"20190305135803555"</f>
        <v>20190305135803555</v>
      </c>
      <c r="B432" t="str">
        <f>"1551765483549024"</f>
        <v>1551765483549024</v>
      </c>
      <c r="C432" t="s">
        <v>40</v>
      </c>
      <c r="D432">
        <v>4.0493050000000004</v>
      </c>
      <c r="E432">
        <v>0.4997935</v>
      </c>
      <c r="F432" t="s">
        <v>50</v>
      </c>
      <c r="G432">
        <v>-180.14330000000001</v>
      </c>
      <c r="H432" s="1">
        <v>-6.1534789999999997E-6</v>
      </c>
      <c r="I432">
        <v>374.38029999999998</v>
      </c>
      <c r="J432">
        <v>-366.26159999999999</v>
      </c>
      <c r="K432">
        <v>1.1102339999999999</v>
      </c>
      <c r="L432">
        <v>368.39319999999998</v>
      </c>
      <c r="M432">
        <v>0.99981719999999996</v>
      </c>
      <c r="N432">
        <v>-1.246297E-2</v>
      </c>
      <c r="O432">
        <v>1.4503E-2</v>
      </c>
      <c r="P432">
        <v>0.99823680000000004</v>
      </c>
      <c r="Q432">
        <v>4.7567350000000001E-2</v>
      </c>
      <c r="R432">
        <v>3.5506570000000001E-2</v>
      </c>
      <c r="S432">
        <v>3.0027159999999999</v>
      </c>
      <c r="T432">
        <v>-1.7888899999999999E-2</v>
      </c>
      <c r="U432">
        <v>9.6527100000000005E-2</v>
      </c>
      <c r="V432">
        <v>-2.1069339999999999E-2</v>
      </c>
      <c r="W432">
        <v>5.9994239999999997E-2</v>
      </c>
      <c r="X432">
        <v>0.99797639999999999</v>
      </c>
      <c r="Y432">
        <v>-1.762932E-2</v>
      </c>
      <c r="Z432">
        <v>2.5674809999999998E-4</v>
      </c>
      <c r="AA432">
        <v>0.99984459999999997</v>
      </c>
      <c r="AB432">
        <v>34</v>
      </c>
      <c r="AC432">
        <v>186.1183</v>
      </c>
      <c r="AD432">
        <v>-1.1102401534789901</v>
      </c>
      <c r="AE432">
        <v>5.9870999999999901</v>
      </c>
      <c r="AF432">
        <v>-3.2868701425820501</v>
      </c>
      <c r="AG432">
        <v>-1.1102401534789901</v>
      </c>
      <c r="AH432">
        <v>186.178941642209</v>
      </c>
      <c r="AI432">
        <v>90.341614416418906</v>
      </c>
      <c r="AJ432">
        <v>91.011415273993407</v>
      </c>
      <c r="AK432">
        <v>186.21126297715099</v>
      </c>
      <c r="AL432">
        <v>86.560518059898001</v>
      </c>
      <c r="AM432">
        <v>91.209452399894104</v>
      </c>
      <c r="AN432">
        <v>1.00000006043908</v>
      </c>
    </row>
    <row r="433" spans="1:40" x14ac:dyDescent="0.25">
      <c r="A433" t="str">
        <f>"20190305135803567"</f>
        <v>20190305135803567</v>
      </c>
      <c r="B433" t="str">
        <f>"1551765483559377"</f>
        <v>1551765483559377</v>
      </c>
      <c r="C433" t="s">
        <v>40</v>
      </c>
      <c r="D433">
        <v>4.064743</v>
      </c>
      <c r="E433">
        <v>0.49982599999999999</v>
      </c>
      <c r="F433" t="s">
        <v>50</v>
      </c>
      <c r="G433">
        <v>-196.89070000000001</v>
      </c>
      <c r="H433" s="1">
        <v>-1.0613910000000001E-5</v>
      </c>
      <c r="I433">
        <v>373.97039999999998</v>
      </c>
      <c r="J433">
        <v>-366.08420000000001</v>
      </c>
      <c r="K433">
        <v>1.1102160000000001</v>
      </c>
      <c r="L433">
        <v>368.39589999999998</v>
      </c>
      <c r="M433">
        <v>0.99981520000000002</v>
      </c>
      <c r="N433">
        <v>-1.245486E-2</v>
      </c>
      <c r="O433">
        <v>1.465379E-2</v>
      </c>
      <c r="P433">
        <v>0.99820540000000002</v>
      </c>
      <c r="Q433">
        <v>4.8032909999999998E-2</v>
      </c>
      <c r="R433">
        <v>3.5763639999999999E-2</v>
      </c>
      <c r="S433">
        <v>3.0027159999999999</v>
      </c>
      <c r="T433">
        <v>-1.9683119999999998E-2</v>
      </c>
      <c r="U433">
        <v>9.8876950000000005E-2</v>
      </c>
      <c r="V433">
        <v>-2.1173919999999999E-2</v>
      </c>
      <c r="W433">
        <v>6.045213E-2</v>
      </c>
      <c r="X433">
        <v>0.99794649999999996</v>
      </c>
      <c r="Y433">
        <v>-1.8259939999999999E-2</v>
      </c>
      <c r="Z433">
        <v>2.600468E-4</v>
      </c>
      <c r="AA433">
        <v>0.99983319999999998</v>
      </c>
      <c r="AB433">
        <v>34</v>
      </c>
      <c r="AC433">
        <v>169.1935</v>
      </c>
      <c r="AD433">
        <v>-1.1102266139100001</v>
      </c>
      <c r="AE433">
        <v>5.5744999999999996</v>
      </c>
      <c r="AF433">
        <v>-3.0942502901467699</v>
      </c>
      <c r="AG433">
        <v>-1.1102266139100001</v>
      </c>
      <c r="AH433">
        <v>169.249744639135</v>
      </c>
      <c r="AI433">
        <v>90.375774625472403</v>
      </c>
      <c r="AJ433">
        <v>91.047373718018903</v>
      </c>
      <c r="AK433">
        <v>169.281667785986</v>
      </c>
      <c r="AL433">
        <v>86.534235002408707</v>
      </c>
      <c r="AM433">
        <v>91.215490260163094</v>
      </c>
      <c r="AN433">
        <v>1.0000000058859699</v>
      </c>
    </row>
    <row r="434" spans="1:40" x14ac:dyDescent="0.25">
      <c r="A434" t="str">
        <f>"20190305135803578"</f>
        <v>20190305135803578</v>
      </c>
      <c r="B434" t="str">
        <f>"1551765483569137"</f>
        <v>1551765483569137</v>
      </c>
      <c r="C434" t="s">
        <v>40</v>
      </c>
      <c r="D434">
        <v>4.0618349999999896</v>
      </c>
      <c r="E434">
        <v>0.49986269999999999</v>
      </c>
      <c r="F434" t="s">
        <v>50</v>
      </c>
      <c r="G434">
        <v>-189.0523</v>
      </c>
      <c r="H434" s="1">
        <v>-9.3476970000000004E-6</v>
      </c>
      <c r="I434">
        <v>374.24880000000002</v>
      </c>
      <c r="J434">
        <v>-365.91430000000003</v>
      </c>
      <c r="K434">
        <v>1.110198</v>
      </c>
      <c r="L434">
        <v>368.39850000000001</v>
      </c>
      <c r="M434">
        <v>0.99981310000000001</v>
      </c>
      <c r="N434">
        <v>-1.244756E-2</v>
      </c>
      <c r="O434">
        <v>1.479275E-2</v>
      </c>
      <c r="P434">
        <v>0.99818070000000003</v>
      </c>
      <c r="Q434">
        <v>4.8346340000000002E-2</v>
      </c>
      <c r="R434">
        <v>3.602992E-2</v>
      </c>
      <c r="S434">
        <v>3.0027159999999999</v>
      </c>
      <c r="T434">
        <v>-1.8831009999999999E-2</v>
      </c>
      <c r="U434">
        <v>9.9273680000000003E-2</v>
      </c>
      <c r="V434">
        <v>-2.129963E-2</v>
      </c>
      <c r="W434">
        <v>6.0758640000000003E-2</v>
      </c>
      <c r="X434">
        <v>0.99792519999999996</v>
      </c>
      <c r="Y434">
        <v>-1.8253019999999998E-2</v>
      </c>
      <c r="Z434">
        <v>2.622336E-4</v>
      </c>
      <c r="AA434">
        <v>0.99983330000000004</v>
      </c>
      <c r="AB434">
        <v>34</v>
      </c>
      <c r="AC434">
        <v>176.86199999999999</v>
      </c>
      <c r="AD434">
        <v>-1.110207347697</v>
      </c>
      <c r="AE434">
        <v>5.8502999999999998</v>
      </c>
      <c r="AF434">
        <v>-3.23305445640732</v>
      </c>
      <c r="AG434">
        <v>-1.110207347697</v>
      </c>
      <c r="AH434">
        <v>176.92222991415801</v>
      </c>
      <c r="AI434">
        <v>90.359472875679202</v>
      </c>
      <c r="AJ434">
        <v>91.046899307831893</v>
      </c>
      <c r="AK434">
        <v>176.95525038628</v>
      </c>
      <c r="AL434">
        <v>86.516640896135598</v>
      </c>
      <c r="AM434">
        <v>91.222730556492493</v>
      </c>
      <c r="AN434">
        <v>0.99999999568391296</v>
      </c>
    </row>
    <row r="435" spans="1:40" x14ac:dyDescent="0.25">
      <c r="A435" t="str">
        <f>"20190305135803589"</f>
        <v>20190305135803589</v>
      </c>
      <c r="B435" t="str">
        <f>"1551765483578897"</f>
        <v>1551765483578897</v>
      </c>
      <c r="C435" t="s">
        <v>40</v>
      </c>
      <c r="D435">
        <v>4.0847150000000001</v>
      </c>
      <c r="E435">
        <v>0.49993589999999999</v>
      </c>
      <c r="F435" t="s">
        <v>50</v>
      </c>
      <c r="G435">
        <v>-188.14570000000001</v>
      </c>
      <c r="H435" s="1">
        <v>-9.0090430000000006E-6</v>
      </c>
      <c r="I435">
        <v>374.31180000000001</v>
      </c>
      <c r="J435">
        <v>-365.74160000000001</v>
      </c>
      <c r="K435">
        <v>1.1101730000000001</v>
      </c>
      <c r="L435">
        <v>368.40120000000002</v>
      </c>
      <c r="M435">
        <v>0.99981149999999996</v>
      </c>
      <c r="N435">
        <v>-1.244542E-2</v>
      </c>
      <c r="O435">
        <v>1.490285E-2</v>
      </c>
      <c r="P435">
        <v>0.99815909999999997</v>
      </c>
      <c r="Q435">
        <v>4.8548840000000003E-2</v>
      </c>
      <c r="R435">
        <v>3.6355190000000003E-2</v>
      </c>
      <c r="S435">
        <v>3.002777</v>
      </c>
      <c r="T435">
        <v>-1.875305E-2</v>
      </c>
      <c r="U435">
        <v>9.9884029999999999E-2</v>
      </c>
      <c r="V435">
        <v>-2.1511590000000001E-2</v>
      </c>
      <c r="W435">
        <v>6.0959970000000002E-2</v>
      </c>
      <c r="X435">
        <v>0.99790840000000003</v>
      </c>
      <c r="Y435">
        <v>-1.8345259999999999E-2</v>
      </c>
      <c r="Z435">
        <v>2.638753E-4</v>
      </c>
      <c r="AA435">
        <v>0.99983169999999999</v>
      </c>
      <c r="AB435">
        <v>34</v>
      </c>
      <c r="AC435">
        <v>177.5959</v>
      </c>
      <c r="AD435">
        <v>-1.1101820090429999</v>
      </c>
      <c r="AE435">
        <v>5.9105999999999801</v>
      </c>
      <c r="AF435">
        <v>-3.2629261124800899</v>
      </c>
      <c r="AG435">
        <v>-1.1101820090429999</v>
      </c>
      <c r="AH435">
        <v>177.65733122640501</v>
      </c>
      <c r="AI435">
        <v>90.357976729383395</v>
      </c>
      <c r="AJ435">
        <v>91.052199067181505</v>
      </c>
      <c r="AK435">
        <v>177.690760956774</v>
      </c>
      <c r="AL435">
        <v>86.505084201853293</v>
      </c>
      <c r="AM435">
        <v>91.234915405987707</v>
      </c>
      <c r="AN435">
        <v>1.0000000206186399</v>
      </c>
    </row>
    <row r="436" spans="1:40" x14ac:dyDescent="0.25">
      <c r="A436" t="str">
        <f>"20190305135803600"</f>
        <v>20190305135803600</v>
      </c>
      <c r="B436" t="str">
        <f>"1551765483589634"</f>
        <v>1551765483589634</v>
      </c>
      <c r="C436" t="s">
        <v>40</v>
      </c>
      <c r="D436">
        <v>4.0741459999999998</v>
      </c>
      <c r="E436">
        <v>0.49997239999999998</v>
      </c>
      <c r="F436" t="s">
        <v>50</v>
      </c>
      <c r="G436">
        <v>-189.3613</v>
      </c>
      <c r="H436" s="1">
        <v>-9.4567459999999996E-6</v>
      </c>
      <c r="I436">
        <v>374.27179999999998</v>
      </c>
      <c r="J436">
        <v>-365.57870000000003</v>
      </c>
      <c r="K436">
        <v>1.1101510000000001</v>
      </c>
      <c r="L436">
        <v>368.40370000000001</v>
      </c>
      <c r="M436">
        <v>0.99981019999999998</v>
      </c>
      <c r="N436">
        <v>-1.2445029999999999E-2</v>
      </c>
      <c r="O436">
        <v>1.499989E-2</v>
      </c>
      <c r="P436">
        <v>0.99815010000000004</v>
      </c>
      <c r="Q436">
        <v>4.8718850000000001E-2</v>
      </c>
      <c r="R436">
        <v>3.637572E-2</v>
      </c>
      <c r="S436">
        <v>3.0028380000000001</v>
      </c>
      <c r="T436">
        <v>-1.8900630000000002E-2</v>
      </c>
      <c r="U436">
        <v>9.9945069999999997E-2</v>
      </c>
      <c r="V436">
        <v>-2.14319E-2</v>
      </c>
      <c r="W436">
        <v>6.1130839999999999E-2</v>
      </c>
      <c r="X436">
        <v>0.99789969999999995</v>
      </c>
      <c r="Y436">
        <v>-1.8267829999999999E-2</v>
      </c>
      <c r="Z436">
        <v>2.6345649999999997E-4</v>
      </c>
      <c r="AA436">
        <v>0.99983310000000003</v>
      </c>
      <c r="AB436">
        <v>34</v>
      </c>
      <c r="AC436">
        <v>176.2174</v>
      </c>
      <c r="AD436">
        <v>-1.1101604567459999</v>
      </c>
      <c r="AE436">
        <v>5.8680999999999699</v>
      </c>
      <c r="AF436">
        <v>-3.22386597873495</v>
      </c>
      <c r="AG436">
        <v>-1.1101604567459999</v>
      </c>
      <c r="AH436">
        <v>176.27861067814601</v>
      </c>
      <c r="AI436">
        <v>90.3607699955638</v>
      </c>
      <c r="AJ436">
        <v>91.047735309918906</v>
      </c>
      <c r="AK436">
        <v>176.31158314389299</v>
      </c>
      <c r="AL436">
        <v>86.495275912668603</v>
      </c>
      <c r="AM436">
        <v>91.230352775801506</v>
      </c>
      <c r="AN436">
        <v>1.0000000585983999</v>
      </c>
    </row>
    <row r="437" spans="1:40" x14ac:dyDescent="0.25">
      <c r="A437" t="str">
        <f>"20190305135803611"</f>
        <v>20190305135803611</v>
      </c>
      <c r="B437" t="str">
        <f>"1551765483599392"</f>
        <v>1551765483599392</v>
      </c>
      <c r="C437" t="s">
        <v>40</v>
      </c>
      <c r="D437">
        <v>4.084308</v>
      </c>
      <c r="E437">
        <v>0.49997970000000003</v>
      </c>
      <c r="F437" t="s">
        <v>50</v>
      </c>
      <c r="G437">
        <v>-189.95840000000001</v>
      </c>
      <c r="H437" s="1">
        <v>-9.6794239999999998E-6</v>
      </c>
      <c r="I437">
        <v>374.23289999999997</v>
      </c>
      <c r="J437">
        <v>-365.4083</v>
      </c>
      <c r="K437">
        <v>1.110117</v>
      </c>
      <c r="L437">
        <v>368.40640000000002</v>
      </c>
      <c r="M437">
        <v>0.99980880000000005</v>
      </c>
      <c r="N437">
        <v>-1.244994E-2</v>
      </c>
      <c r="O437">
        <v>1.507909E-2</v>
      </c>
      <c r="P437">
        <v>0.99813680000000005</v>
      </c>
      <c r="Q437">
        <v>4.8918250000000003E-2</v>
      </c>
      <c r="R437">
        <v>3.6466270000000002E-2</v>
      </c>
      <c r="S437">
        <v>3.0028380000000001</v>
      </c>
      <c r="T437">
        <v>-1.898205E-2</v>
      </c>
      <c r="U437">
        <v>9.9670410000000001E-2</v>
      </c>
      <c r="V437">
        <v>-2.1439719999999999E-2</v>
      </c>
      <c r="W437">
        <v>6.1335969999999997E-2</v>
      </c>
      <c r="X437">
        <v>0.99788690000000002</v>
      </c>
      <c r="Y437">
        <v>-1.8097289999999999E-2</v>
      </c>
      <c r="Z437">
        <v>2.6230079999999998E-4</v>
      </c>
      <c r="AA437">
        <v>0.99983619999999995</v>
      </c>
      <c r="AB437">
        <v>34</v>
      </c>
      <c r="AC437">
        <v>175.44990000000001</v>
      </c>
      <c r="AD437">
        <v>-1.1101266794239999</v>
      </c>
      <c r="AE437">
        <v>5.8264999999999496</v>
      </c>
      <c r="AF437">
        <v>-3.1798804101040701</v>
      </c>
      <c r="AG437">
        <v>-1.1101266794239999</v>
      </c>
      <c r="AH437">
        <v>175.51079527536899</v>
      </c>
      <c r="AI437">
        <v>90.362338331682807</v>
      </c>
      <c r="AJ437">
        <v>91.037963477082101</v>
      </c>
      <c r="AK437">
        <v>175.54310945992501</v>
      </c>
      <c r="AL437">
        <v>86.483500576636999</v>
      </c>
      <c r="AM437">
        <v>91.230817347503205</v>
      </c>
      <c r="AN437">
        <v>1.00000001400056</v>
      </c>
    </row>
    <row r="438" spans="1:40" x14ac:dyDescent="0.25">
      <c r="A438" t="str">
        <f>"20190305135803622"</f>
        <v>20190305135803622</v>
      </c>
      <c r="B438" t="str">
        <f>"1551765483618913"</f>
        <v>1551765483618913</v>
      </c>
      <c r="C438" t="s">
        <v>40</v>
      </c>
      <c r="D438">
        <v>4.0916759999999996</v>
      </c>
      <c r="E438">
        <v>0.50009159999999997</v>
      </c>
      <c r="F438" t="s">
        <v>50</v>
      </c>
      <c r="G438">
        <v>-190.86590000000001</v>
      </c>
      <c r="H438" s="1">
        <v>-1.2551580000000001E-5</v>
      </c>
      <c r="I438">
        <v>374.21210000000002</v>
      </c>
      <c r="J438">
        <v>-365.24810000000002</v>
      </c>
      <c r="K438">
        <v>1.1100909999999999</v>
      </c>
      <c r="L438">
        <v>368.40890000000002</v>
      </c>
      <c r="M438">
        <v>0.99980780000000002</v>
      </c>
      <c r="N438">
        <v>-1.245683E-2</v>
      </c>
      <c r="O438">
        <v>1.5142910000000001E-2</v>
      </c>
      <c r="P438">
        <v>0.9981392</v>
      </c>
      <c r="Q438">
        <v>4.8834250000000003E-2</v>
      </c>
      <c r="R438">
        <v>3.6518019999999998E-2</v>
      </c>
      <c r="S438">
        <v>3.0028990000000002</v>
      </c>
      <c r="T438">
        <v>-1.9099120000000001E-2</v>
      </c>
      <c r="U438">
        <v>9.9884029999999999E-2</v>
      </c>
      <c r="V438">
        <v>-2.1423169999999998E-2</v>
      </c>
      <c r="W438">
        <v>6.1260769999999999E-2</v>
      </c>
      <c r="X438">
        <v>0.9978918</v>
      </c>
      <c r="Y438">
        <v>-1.810382E-2</v>
      </c>
      <c r="Z438">
        <v>2.6268379999999999E-4</v>
      </c>
      <c r="AA438">
        <v>0.99983610000000001</v>
      </c>
      <c r="AB438">
        <v>34</v>
      </c>
      <c r="AC438">
        <v>174.38220000000001</v>
      </c>
      <c r="AD438">
        <v>-1.11010355158</v>
      </c>
      <c r="AE438">
        <v>5.8032000000000004</v>
      </c>
      <c r="AF438">
        <v>-3.1615478117213001</v>
      </c>
      <c r="AG438">
        <v>-1.11010355158</v>
      </c>
      <c r="AH438">
        <v>174.44302483152001</v>
      </c>
      <c r="AI438">
        <v>90.364548521539803</v>
      </c>
      <c r="AJ438">
        <v>91.038296126740406</v>
      </c>
      <c r="AK438">
        <v>174.47520347267499</v>
      </c>
      <c r="AL438">
        <v>86.487817074337997</v>
      </c>
      <c r="AM438">
        <v>91.229861495250802</v>
      </c>
      <c r="AN438">
        <v>0.99999993933053899</v>
      </c>
    </row>
    <row r="439" spans="1:40" x14ac:dyDescent="0.25">
      <c r="A439" t="str">
        <f>"20190305135803634"</f>
        <v>20190305135803634</v>
      </c>
      <c r="B439" t="str">
        <f>"1551765483629649"</f>
        <v>1551765483629649</v>
      </c>
      <c r="C439" t="s">
        <v>40</v>
      </c>
      <c r="D439">
        <v>4.1233589999999998</v>
      </c>
      <c r="E439">
        <v>0.50012829999999997</v>
      </c>
      <c r="F439" t="s">
        <v>50</v>
      </c>
      <c r="G439">
        <v>-207.73439999999999</v>
      </c>
      <c r="H439" s="1">
        <v>-5.4656139999999998E-6</v>
      </c>
      <c r="I439">
        <v>373.60489999999999</v>
      </c>
      <c r="J439">
        <v>-365.05579999999998</v>
      </c>
      <c r="K439">
        <v>1.1100620000000001</v>
      </c>
      <c r="L439">
        <v>368.4119</v>
      </c>
      <c r="M439">
        <v>0.9998068</v>
      </c>
      <c r="N439">
        <v>-1.246916E-2</v>
      </c>
      <c r="O439">
        <v>1.520144E-2</v>
      </c>
      <c r="P439">
        <v>0.99815929999999997</v>
      </c>
      <c r="Q439">
        <v>4.8488879999999998E-2</v>
      </c>
      <c r="R439">
        <v>3.6429549999999998E-2</v>
      </c>
      <c r="S439">
        <v>3.0029910000000002</v>
      </c>
      <c r="T439">
        <v>-2.1163939999999999E-2</v>
      </c>
      <c r="U439">
        <v>9.9060060000000005E-2</v>
      </c>
      <c r="V439">
        <v>-2.1271809999999999E-2</v>
      </c>
      <c r="W439">
        <v>6.0929520000000001E-2</v>
      </c>
      <c r="X439">
        <v>0.99791540000000001</v>
      </c>
      <c r="Y439">
        <v>-1.7770040000000001E-2</v>
      </c>
      <c r="Z439">
        <v>2.5585769999999998E-4</v>
      </c>
      <c r="AA439">
        <v>0.99984200000000001</v>
      </c>
      <c r="AB439">
        <v>34</v>
      </c>
      <c r="AC439">
        <v>157.32139999999899</v>
      </c>
      <c r="AD439">
        <v>-1.1100674656139999</v>
      </c>
      <c r="AE439">
        <v>5.1929999999999801</v>
      </c>
      <c r="AF439">
        <v>-2.8005630608289098</v>
      </c>
      <c r="AG439">
        <v>-1.1100674656139999</v>
      </c>
      <c r="AH439">
        <v>157.37433932438401</v>
      </c>
      <c r="AI439">
        <v>90.404075138945203</v>
      </c>
      <c r="AJ439">
        <v>91.019502348734704</v>
      </c>
      <c r="AK439">
        <v>157.40317049228099</v>
      </c>
      <c r="AL439">
        <v>86.506832108511006</v>
      </c>
      <c r="AM439">
        <v>91.221145988727002</v>
      </c>
      <c r="AN439">
        <v>1.0000000209326301</v>
      </c>
    </row>
    <row r="440" spans="1:40" x14ac:dyDescent="0.25">
      <c r="A440" t="str">
        <f>"20190305135803647"</f>
        <v>20190305135803647</v>
      </c>
      <c r="B440" t="str">
        <f>"1551765483639409"</f>
        <v>1551765483639409</v>
      </c>
      <c r="C440" t="s">
        <v>40</v>
      </c>
      <c r="D440">
        <v>4.0995839999999903</v>
      </c>
      <c r="E440">
        <v>0.50017109999999998</v>
      </c>
      <c r="F440" t="s">
        <v>42</v>
      </c>
      <c r="G440">
        <v>-220.93899999999999</v>
      </c>
      <c r="H440" s="1">
        <v>-4.5813859999999999E-6</v>
      </c>
      <c r="I440">
        <v>373.13929999999999</v>
      </c>
      <c r="J440">
        <v>-364.88589999999999</v>
      </c>
      <c r="K440">
        <v>1.1100380000000001</v>
      </c>
      <c r="L440">
        <v>368.41449999999998</v>
      </c>
      <c r="M440">
        <v>0.99980599999999997</v>
      </c>
      <c r="N440">
        <v>-1.24837E-2</v>
      </c>
      <c r="O440">
        <v>1.523746E-2</v>
      </c>
      <c r="P440">
        <v>0.99817449999999996</v>
      </c>
      <c r="Q440">
        <v>4.8419080000000003E-2</v>
      </c>
      <c r="R440">
        <v>3.6104440000000002E-2</v>
      </c>
      <c r="S440">
        <v>3.003082</v>
      </c>
      <c r="T440">
        <v>-2.3131369999999998E-2</v>
      </c>
      <c r="U440">
        <v>9.8510739999999999E-2</v>
      </c>
      <c r="V440">
        <v>-2.090643E-2</v>
      </c>
      <c r="W440">
        <v>6.0875730000000003E-2</v>
      </c>
      <c r="X440">
        <v>0.99792639999999999</v>
      </c>
      <c r="Y440">
        <v>-1.7550130000000001E-2</v>
      </c>
      <c r="Z440">
        <v>2.5002649999999999E-4</v>
      </c>
      <c r="AA440">
        <v>0.99984600000000001</v>
      </c>
      <c r="AB440">
        <v>34</v>
      </c>
      <c r="AC440">
        <v>143.946899999999</v>
      </c>
      <c r="AD440">
        <v>-1.11004258138599</v>
      </c>
      <c r="AE440">
        <v>4.7248000000000099</v>
      </c>
      <c r="AF440">
        <v>-2.5305450627289399</v>
      </c>
      <c r="AG440">
        <v>-1.11004258138599</v>
      </c>
      <c r="AH440">
        <v>143.99363154959499</v>
      </c>
      <c r="AI440">
        <v>90.441614506892407</v>
      </c>
      <c r="AJ440">
        <v>91.006812778453707</v>
      </c>
      <c r="AK440">
        <v>144.02014365944601</v>
      </c>
      <c r="AL440">
        <v>86.509919764780605</v>
      </c>
      <c r="AM440">
        <v>91.200163664859403</v>
      </c>
      <c r="AN440">
        <v>1.0000000165676599</v>
      </c>
    </row>
    <row r="441" spans="1:40" x14ac:dyDescent="0.25">
      <c r="A441" t="str">
        <f>"20190305135803658"</f>
        <v>20190305135803658</v>
      </c>
      <c r="B441" t="str">
        <f>"1551765483649169"</f>
        <v>1551765483649169</v>
      </c>
      <c r="C441" t="s">
        <v>40</v>
      </c>
      <c r="D441">
        <v>4.0508199999999999</v>
      </c>
      <c r="E441">
        <v>0.50017109999999998</v>
      </c>
      <c r="F441" t="s">
        <v>42</v>
      </c>
      <c r="G441">
        <v>-226.28049999999999</v>
      </c>
      <c r="H441" s="1">
        <v>-2.4529299999999998E-6</v>
      </c>
      <c r="I441">
        <v>372.90480000000002</v>
      </c>
      <c r="J441">
        <v>-364.6909</v>
      </c>
      <c r="K441">
        <v>1.1100179999999999</v>
      </c>
      <c r="L441">
        <v>368.41750000000002</v>
      </c>
      <c r="M441">
        <v>0.99980530000000001</v>
      </c>
      <c r="N441">
        <v>-1.250222E-2</v>
      </c>
      <c r="O441">
        <v>1.5270199999999999E-2</v>
      </c>
      <c r="P441">
        <v>0.99819919999999995</v>
      </c>
      <c r="Q441">
        <v>4.7989469999999999E-2</v>
      </c>
      <c r="R441">
        <v>3.5995640000000002E-2</v>
      </c>
      <c r="S441">
        <v>3.0031129999999999</v>
      </c>
      <c r="T441">
        <v>-2.4050829999999999E-2</v>
      </c>
      <c r="U441">
        <v>9.7290039999999994E-2</v>
      </c>
      <c r="V441">
        <v>-2.076039E-2</v>
      </c>
      <c r="W441">
        <v>6.0466399999999997E-2</v>
      </c>
      <c r="X441">
        <v>0.99795429999999996</v>
      </c>
      <c r="Y441">
        <v>-1.7111009999999999E-2</v>
      </c>
      <c r="Z441">
        <v>2.4413770000000001E-4</v>
      </c>
      <c r="AA441">
        <v>0.99985360000000001</v>
      </c>
      <c r="AB441">
        <v>34</v>
      </c>
      <c r="AC441">
        <v>138.41040000000001</v>
      </c>
      <c r="AD441">
        <v>-1.11002045293</v>
      </c>
      <c r="AE441">
        <v>4.4873000000000003</v>
      </c>
      <c r="AF441">
        <v>-2.37290469811543</v>
      </c>
      <c r="AG441">
        <v>-1.11002045293</v>
      </c>
      <c r="AH441">
        <v>138.45389109521199</v>
      </c>
      <c r="AI441">
        <v>90.4592777140697</v>
      </c>
      <c r="AJ441">
        <v>90.981872838730496</v>
      </c>
      <c r="AK441">
        <v>138.47867265942801</v>
      </c>
      <c r="AL441">
        <v>86.533415810676303</v>
      </c>
      <c r="AM441">
        <v>91.191749145939596</v>
      </c>
      <c r="AN441">
        <v>0.99999998210520002</v>
      </c>
    </row>
    <row r="442" spans="1:40" x14ac:dyDescent="0.25">
      <c r="A442" t="str">
        <f>"20190305135803670"</f>
        <v>20190305135803670</v>
      </c>
      <c r="B442" t="str">
        <f>"1551765483658929"</f>
        <v>1551765483658929</v>
      </c>
      <c r="C442" t="s">
        <v>40</v>
      </c>
      <c r="D442">
        <v>4.128571</v>
      </c>
      <c r="E442">
        <v>0.50019760000000002</v>
      </c>
      <c r="F442" t="s">
        <v>42</v>
      </c>
      <c r="G442">
        <v>-233.09989999999999</v>
      </c>
      <c r="H442" s="1">
        <v>-3.755582E-6</v>
      </c>
      <c r="I442">
        <v>372.67250000000001</v>
      </c>
      <c r="J442">
        <v>-364.5111</v>
      </c>
      <c r="K442">
        <v>1.110001</v>
      </c>
      <c r="L442">
        <v>368.4203</v>
      </c>
      <c r="M442">
        <v>0.99980500000000005</v>
      </c>
      <c r="N442">
        <v>-1.2521590000000001E-2</v>
      </c>
      <c r="O442">
        <v>1.527716E-2</v>
      </c>
      <c r="P442">
        <v>0.99823729999999999</v>
      </c>
      <c r="Q442">
        <v>4.7504350000000001E-2</v>
      </c>
      <c r="R442">
        <v>3.558273E-2</v>
      </c>
      <c r="S442">
        <v>3.0031430000000001</v>
      </c>
      <c r="T442">
        <v>-2.5332690000000001E-2</v>
      </c>
      <c r="U442">
        <v>9.7106929999999994E-2</v>
      </c>
      <c r="V442">
        <v>-2.033743E-2</v>
      </c>
      <c r="W442">
        <v>6.000233E-2</v>
      </c>
      <c r="X442">
        <v>0.99799099999999996</v>
      </c>
      <c r="Y442">
        <v>-1.7042689999999999E-2</v>
      </c>
      <c r="Z442">
        <v>2.41048E-4</v>
      </c>
      <c r="AA442">
        <v>0.99985469999999999</v>
      </c>
      <c r="AB442">
        <v>34</v>
      </c>
      <c r="AC442">
        <v>131.41120000000001</v>
      </c>
      <c r="AD442">
        <v>-1.1100047555820001</v>
      </c>
      <c r="AE442">
        <v>4.25220000000001</v>
      </c>
      <c r="AF442">
        <v>-2.2437966441217401</v>
      </c>
      <c r="AG442">
        <v>-1.1100047555820001</v>
      </c>
      <c r="AH442">
        <v>131.45145913686801</v>
      </c>
      <c r="AI442">
        <v>90.483736080962402</v>
      </c>
      <c r="AJ442">
        <v>90.977909221290403</v>
      </c>
      <c r="AK442">
        <v>131.47529366063199</v>
      </c>
      <c r="AL442">
        <v>86.560053366212401</v>
      </c>
      <c r="AM442">
        <v>91.167433017520594</v>
      </c>
      <c r="AN442">
        <v>0.99999996337271602</v>
      </c>
    </row>
    <row r="443" spans="1:40" x14ac:dyDescent="0.25">
      <c r="A443" t="str">
        <f>"20190305135803682"</f>
        <v>20190305135803682</v>
      </c>
      <c r="B443" t="str">
        <f>"1551765483679425"</f>
        <v>1551765483679425</v>
      </c>
      <c r="C443" t="s">
        <v>40</v>
      </c>
      <c r="D443">
        <v>4.171837</v>
      </c>
      <c r="E443">
        <v>0.50027509999999997</v>
      </c>
      <c r="F443" t="s">
        <v>42</v>
      </c>
      <c r="G443">
        <v>-242.6891</v>
      </c>
      <c r="H443" s="1">
        <v>-4.1524269999999999E-6</v>
      </c>
      <c r="I443">
        <v>372.30739999999997</v>
      </c>
      <c r="J443">
        <v>-364.33670000000001</v>
      </c>
      <c r="K443">
        <v>1.1099840000000001</v>
      </c>
      <c r="L443">
        <v>368.423</v>
      </c>
      <c r="M443">
        <v>0.99980469999999999</v>
      </c>
      <c r="N443">
        <v>-1.254043E-2</v>
      </c>
      <c r="O443">
        <v>1.5276390000000001E-2</v>
      </c>
      <c r="P443">
        <v>0.99826219999999999</v>
      </c>
      <c r="Q443">
        <v>4.7167220000000003E-2</v>
      </c>
      <c r="R443">
        <v>3.5328720000000001E-2</v>
      </c>
      <c r="S443">
        <v>3.003174</v>
      </c>
      <c r="T443">
        <v>-2.7364019999999999E-2</v>
      </c>
      <c r="U443">
        <v>9.5825199999999999E-2</v>
      </c>
      <c r="V443">
        <v>-2.008037E-2</v>
      </c>
      <c r="W443">
        <v>5.9685330000000002E-2</v>
      </c>
      <c r="X443">
        <v>0.99801519999999999</v>
      </c>
      <c r="Y443">
        <v>-1.661665E-2</v>
      </c>
      <c r="Z443">
        <v>2.3231489999999999E-4</v>
      </c>
      <c r="AA443">
        <v>0.99986189999999997</v>
      </c>
      <c r="AB443">
        <v>34</v>
      </c>
      <c r="AC443">
        <v>121.6476</v>
      </c>
      <c r="AD443">
        <v>-1.1099881524269899</v>
      </c>
      <c r="AE443">
        <v>3.8843999999999701</v>
      </c>
      <c r="AF443">
        <v>-2.0252959462228</v>
      </c>
      <c r="AG443">
        <v>-1.1099881524269899</v>
      </c>
      <c r="AH443">
        <v>121.682626062425</v>
      </c>
      <c r="AI443">
        <v>90.522564872765201</v>
      </c>
      <c r="AJ443">
        <v>90.9535477667294</v>
      </c>
      <c r="AK443">
        <v>121.70454134015</v>
      </c>
      <c r="AL443">
        <v>86.578248692687197</v>
      </c>
      <c r="AM443">
        <v>91.152653021692501</v>
      </c>
      <c r="AN443">
        <v>0.99999994965379102</v>
      </c>
    </row>
    <row r="444" spans="1:40" x14ac:dyDescent="0.25">
      <c r="A444" t="str">
        <f>"20190305135803694"</f>
        <v>20190305135803694</v>
      </c>
      <c r="B444" t="str">
        <f>"1551765483689185"</f>
        <v>1551765483689185</v>
      </c>
      <c r="C444" t="s">
        <v>40</v>
      </c>
      <c r="D444">
        <v>4.1684260000000002</v>
      </c>
      <c r="E444">
        <v>0.50034319999999999</v>
      </c>
      <c r="F444" t="s">
        <v>42</v>
      </c>
      <c r="G444">
        <v>-249.71729999999999</v>
      </c>
      <c r="H444" s="1">
        <v>-7.4983179999999995E-7</v>
      </c>
      <c r="I444">
        <v>372.00560000000002</v>
      </c>
      <c r="J444">
        <v>-364.15989999999999</v>
      </c>
      <c r="K444">
        <v>1.109969</v>
      </c>
      <c r="L444">
        <v>368.42570000000001</v>
      </c>
      <c r="M444">
        <v>0.99980469999999999</v>
      </c>
      <c r="N444">
        <v>-1.255963E-2</v>
      </c>
      <c r="O444">
        <v>1.526098E-2</v>
      </c>
      <c r="P444">
        <v>0.99829509999999999</v>
      </c>
      <c r="Q444">
        <v>4.676189E-2</v>
      </c>
      <c r="R444">
        <v>3.4926909999999999E-2</v>
      </c>
      <c r="S444">
        <v>3.0032350000000001</v>
      </c>
      <c r="T444">
        <v>-2.9083609999999999E-2</v>
      </c>
      <c r="U444">
        <v>9.3872070000000002E-2</v>
      </c>
      <c r="V444">
        <v>-1.969106E-2</v>
      </c>
      <c r="W444">
        <v>5.9300249999999999E-2</v>
      </c>
      <c r="X444">
        <v>0.99804599999999999</v>
      </c>
      <c r="Y444">
        <v>-1.598169E-2</v>
      </c>
      <c r="Z444">
        <v>2.2167469999999999E-4</v>
      </c>
      <c r="AA444">
        <v>0.99987230000000005</v>
      </c>
      <c r="AB444">
        <v>34</v>
      </c>
      <c r="AC444">
        <v>114.4426</v>
      </c>
      <c r="AD444">
        <v>-1.1099697498318</v>
      </c>
      <c r="AE444">
        <v>3.5798999999999999</v>
      </c>
      <c r="AF444">
        <v>-1.83266687942592</v>
      </c>
      <c r="AG444">
        <v>-1.1099697498318</v>
      </c>
      <c r="AH444">
        <v>114.473149657433</v>
      </c>
      <c r="AI444">
        <v>90.555470356871098</v>
      </c>
      <c r="AJ444">
        <v>90.917202925389404</v>
      </c>
      <c r="AK444">
        <v>114.493199331792</v>
      </c>
      <c r="AL444">
        <v>86.600351602323002</v>
      </c>
      <c r="AM444">
        <v>91.130276838563901</v>
      </c>
      <c r="AN444">
        <v>1.00000003780499</v>
      </c>
    </row>
    <row r="445" spans="1:40" x14ac:dyDescent="0.25">
      <c r="A445" t="str">
        <f>"20190305135803705"</f>
        <v>20190305135803705</v>
      </c>
      <c r="B445" t="str">
        <f>"1551765483698945"</f>
        <v>1551765483698945</v>
      </c>
      <c r="C445" t="s">
        <v>40</v>
      </c>
      <c r="D445">
        <v>4.1350020000000001</v>
      </c>
      <c r="E445">
        <v>0.50034319999999999</v>
      </c>
      <c r="F445" t="s">
        <v>42</v>
      </c>
      <c r="G445">
        <v>-254.94649999999999</v>
      </c>
      <c r="H445" s="1">
        <v>-2.727862E-6</v>
      </c>
      <c r="I445">
        <v>371.78710000000001</v>
      </c>
      <c r="J445">
        <v>-363.99119999999999</v>
      </c>
      <c r="K445">
        <v>1.1099540000000001</v>
      </c>
      <c r="L445">
        <v>368.42829999999998</v>
      </c>
      <c r="M445">
        <v>0.9998049</v>
      </c>
      <c r="N445">
        <v>-1.257744E-2</v>
      </c>
      <c r="O445">
        <v>1.5235159999999999E-2</v>
      </c>
      <c r="P445">
        <v>0.9983071</v>
      </c>
      <c r="Q445">
        <v>4.670303E-2</v>
      </c>
      <c r="R445">
        <v>3.4670090000000001E-2</v>
      </c>
      <c r="S445">
        <v>3.0033259999999999</v>
      </c>
      <c r="T445">
        <v>-3.052378E-2</v>
      </c>
      <c r="U445">
        <v>9.2437740000000004E-2</v>
      </c>
      <c r="V445">
        <v>-1.945792E-2</v>
      </c>
      <c r="W445">
        <v>5.9260269999999997E-2</v>
      </c>
      <c r="X445">
        <v>0.99805290000000002</v>
      </c>
      <c r="Y445">
        <v>-1.552941E-2</v>
      </c>
      <c r="Z445">
        <v>2.1340120000000001E-4</v>
      </c>
      <c r="AA445">
        <v>0.99987939999999997</v>
      </c>
      <c r="AB445">
        <v>34</v>
      </c>
      <c r="AC445">
        <v>109.04470000000001</v>
      </c>
      <c r="AD445">
        <v>-1.1099567278619999</v>
      </c>
      <c r="AE445">
        <v>3.35880000000002</v>
      </c>
      <c r="AF445">
        <v>-1.69678971774364</v>
      </c>
      <c r="AG445">
        <v>-1.1099567278619999</v>
      </c>
      <c r="AH445">
        <v>109.071927712117</v>
      </c>
      <c r="AI445">
        <v>90.5829726214332</v>
      </c>
      <c r="AJ445">
        <v>90.891256349239399</v>
      </c>
      <c r="AK445">
        <v>109.090771901758</v>
      </c>
      <c r="AL445">
        <v>86.602646162909394</v>
      </c>
      <c r="AM445">
        <v>91.116890174779201</v>
      </c>
      <c r="AN445">
        <v>0.99999999072480406</v>
      </c>
    </row>
    <row r="446" spans="1:40" x14ac:dyDescent="0.25">
      <c r="A446" t="str">
        <f>"20190305135803723"</f>
        <v>20190305135803723</v>
      </c>
      <c r="B446" t="str">
        <f>"1551765483719440"</f>
        <v>1551765483719440</v>
      </c>
      <c r="C446" t="s">
        <v>40</v>
      </c>
      <c r="D446">
        <v>4.1480730000000001</v>
      </c>
      <c r="E446">
        <v>0.503556</v>
      </c>
      <c r="F446" t="s">
        <v>42</v>
      </c>
      <c r="G446">
        <v>-255.43799999999999</v>
      </c>
      <c r="H446" s="1">
        <v>-2.5043319999999999E-6</v>
      </c>
      <c r="I446">
        <v>371.73950000000002</v>
      </c>
      <c r="J446">
        <v>-363.71769999999998</v>
      </c>
      <c r="K446">
        <v>1.109926</v>
      </c>
      <c r="L446">
        <v>368.43239999999997</v>
      </c>
      <c r="M446">
        <v>0.99980550000000001</v>
      </c>
      <c r="N446">
        <v>-1.2605399999999999E-2</v>
      </c>
      <c r="O446">
        <v>1.517668E-2</v>
      </c>
      <c r="P446">
        <v>0.99833209999999994</v>
      </c>
      <c r="Q446">
        <v>4.6468919999999997E-2</v>
      </c>
      <c r="R446">
        <v>3.4262349999999997E-2</v>
      </c>
      <c r="S446">
        <v>3.003387</v>
      </c>
      <c r="T446">
        <v>-3.070962E-2</v>
      </c>
      <c r="U446">
        <v>9.1613769999999997E-2</v>
      </c>
      <c r="V446">
        <v>-1.910359E-2</v>
      </c>
      <c r="W446">
        <v>5.9055589999999998E-2</v>
      </c>
      <c r="X446">
        <v>0.99807190000000001</v>
      </c>
      <c r="Y446">
        <v>-1.5313220000000001E-2</v>
      </c>
      <c r="Z446">
        <v>2.1097600000000001E-4</v>
      </c>
      <c r="AA446">
        <v>0.99988270000000001</v>
      </c>
      <c r="AB446">
        <v>34</v>
      </c>
      <c r="AC446">
        <v>108.27970000000001</v>
      </c>
      <c r="AD446">
        <v>-1.109928504332</v>
      </c>
      <c r="AE446">
        <v>3.3071000000000401</v>
      </c>
      <c r="AF446">
        <v>-1.6630877543095699</v>
      </c>
      <c r="AG446">
        <v>-1.109928504332</v>
      </c>
      <c r="AH446">
        <v>108.306052402307</v>
      </c>
      <c r="AI446">
        <v>90.587081663346297</v>
      </c>
      <c r="AJ446">
        <v>90.8797331167045</v>
      </c>
      <c r="AK446">
        <v>108.32450687233499</v>
      </c>
      <c r="AL446">
        <v>86.614394115923005</v>
      </c>
      <c r="AM446">
        <v>91.096535673821194</v>
      </c>
      <c r="AN446">
        <v>1.00000001371537</v>
      </c>
    </row>
    <row r="447" spans="1:40" x14ac:dyDescent="0.25">
      <c r="A447" t="str">
        <f>"20190305135803736"</f>
        <v>20190305135803736</v>
      </c>
      <c r="B447" t="str">
        <f>"1551765483729200"</f>
        <v>1551765483729200</v>
      </c>
      <c r="C447" t="s">
        <v>40</v>
      </c>
      <c r="D447">
        <v>4.1253869999999999</v>
      </c>
      <c r="E447">
        <v>0.50296129999999994</v>
      </c>
      <c r="F447" t="s">
        <v>43</v>
      </c>
      <c r="G447">
        <v>-301.10480000000001</v>
      </c>
      <c r="H447">
        <v>-0.05</v>
      </c>
      <c r="I447">
        <v>369.75869999999998</v>
      </c>
      <c r="J447">
        <v>-363.5222</v>
      </c>
      <c r="K447">
        <v>1.1099049999999999</v>
      </c>
      <c r="L447">
        <v>368.43540000000002</v>
      </c>
      <c r="M447">
        <v>0.99980599999999997</v>
      </c>
      <c r="N447">
        <v>-1.262462E-2</v>
      </c>
      <c r="O447">
        <v>1.51255E-2</v>
      </c>
      <c r="P447">
        <v>0.99834900000000004</v>
      </c>
      <c r="Q447">
        <v>4.6222649999999997E-2</v>
      </c>
      <c r="R447">
        <v>3.410117E-2</v>
      </c>
      <c r="S447">
        <v>3.0054319999999999</v>
      </c>
      <c r="T447">
        <v>-5.5676700000000003E-2</v>
      </c>
      <c r="U447">
        <v>6.3659670000000002E-2</v>
      </c>
      <c r="V447">
        <v>-1.8990099999999999E-2</v>
      </c>
      <c r="W447">
        <v>5.8829480000000003E-2</v>
      </c>
      <c r="X447">
        <v>0.99808739999999996</v>
      </c>
      <c r="Y447">
        <v>-6.0495690000000003E-3</v>
      </c>
      <c r="Z447" s="1">
        <v>5.0392890000000001E-6</v>
      </c>
      <c r="AA447">
        <v>0.99998169999999997</v>
      </c>
      <c r="AB447">
        <v>34</v>
      </c>
      <c r="AC447">
        <v>62.417400000000001</v>
      </c>
      <c r="AD447">
        <v>-1.159905</v>
      </c>
      <c r="AE447">
        <v>1.32329999999996</v>
      </c>
      <c r="AF447">
        <v>-0.37884829189196301</v>
      </c>
      <c r="AG447">
        <v>-1.159905</v>
      </c>
      <c r="AH447">
        <v>62.408733787297599</v>
      </c>
      <c r="AI447">
        <v>91.064735376041895</v>
      </c>
      <c r="AJ447">
        <v>90.347806152460706</v>
      </c>
      <c r="AK447">
        <v>62.420661311548699</v>
      </c>
      <c r="AL447">
        <v>86.627371764044497</v>
      </c>
      <c r="AM447">
        <v>91.090006062301796</v>
      </c>
      <c r="AN447">
        <v>0.99999999482692004</v>
      </c>
    </row>
    <row r="448" spans="1:40" x14ac:dyDescent="0.25">
      <c r="A448" t="str">
        <f>"20190305135803748"</f>
        <v>20190305135803748</v>
      </c>
      <c r="B448" t="str">
        <f>"1551765483738962"</f>
        <v>1551765483738962</v>
      </c>
      <c r="C448" t="s">
        <v>40</v>
      </c>
      <c r="D448">
        <v>4.1561789999999998</v>
      </c>
      <c r="E448">
        <v>0.50296129999999994</v>
      </c>
      <c r="F448" t="s">
        <v>43</v>
      </c>
      <c r="G448">
        <v>-296.89690000000002</v>
      </c>
      <c r="H448">
        <v>-0.05</v>
      </c>
      <c r="I448">
        <v>369.95569999999998</v>
      </c>
      <c r="J448">
        <v>-363.3202</v>
      </c>
      <c r="K448">
        <v>1.10988</v>
      </c>
      <c r="L448">
        <v>368.4384</v>
      </c>
      <c r="M448">
        <v>0.99980659999999999</v>
      </c>
      <c r="N448">
        <v>-1.2643369999999999E-2</v>
      </c>
      <c r="O448">
        <v>1.506617E-2</v>
      </c>
      <c r="P448">
        <v>0.99836329999999995</v>
      </c>
      <c r="Q448">
        <v>4.6146840000000001E-2</v>
      </c>
      <c r="R448">
        <v>3.378809E-2</v>
      </c>
      <c r="S448">
        <v>3.0050349999999999</v>
      </c>
      <c r="T448">
        <v>-5.2315830000000001E-2</v>
      </c>
      <c r="U448">
        <v>6.8572999999999995E-2</v>
      </c>
      <c r="V448">
        <v>-1.873317E-2</v>
      </c>
      <c r="W448">
        <v>5.8773789999999999E-2</v>
      </c>
      <c r="X448">
        <v>0.99809550000000002</v>
      </c>
      <c r="Y448">
        <v>-7.7455340000000001E-3</v>
      </c>
      <c r="Z448" s="1">
        <v>4.4647729999999998E-5</v>
      </c>
      <c r="AA448">
        <v>0.99997000000000003</v>
      </c>
      <c r="AB448">
        <v>34</v>
      </c>
      <c r="AC448">
        <v>66.423299999999898</v>
      </c>
      <c r="AD448">
        <v>-1.15988</v>
      </c>
      <c r="AE448">
        <v>1.5172999999999699</v>
      </c>
      <c r="AF448">
        <v>-0.51614577090229696</v>
      </c>
      <c r="AG448">
        <v>-1.15988</v>
      </c>
      <c r="AH448">
        <v>66.418379700180793</v>
      </c>
      <c r="AI448">
        <v>91.000437961877594</v>
      </c>
      <c r="AJ448">
        <v>90.445243908884507</v>
      </c>
      <c r="AK448">
        <v>66.430511740228297</v>
      </c>
      <c r="AL448">
        <v>86.630567974422306</v>
      </c>
      <c r="AM448">
        <v>91.075253389660602</v>
      </c>
      <c r="AN448">
        <v>0.99999995858473001</v>
      </c>
    </row>
    <row r="449" spans="1:40" x14ac:dyDescent="0.25">
      <c r="A449" t="str">
        <f>"20190305135803760"</f>
        <v>20190305135803760</v>
      </c>
      <c r="B449" t="str">
        <f>"1551765483748721"</f>
        <v>1551765483748721</v>
      </c>
      <c r="C449" t="s">
        <v>40</v>
      </c>
      <c r="D449">
        <v>4.1927849999999998</v>
      </c>
      <c r="E449">
        <v>0.51861229999999903</v>
      </c>
      <c r="F449" t="s">
        <v>43</v>
      </c>
      <c r="G449">
        <v>-296.99950000000001</v>
      </c>
      <c r="H449">
        <v>-0.05</v>
      </c>
      <c r="I449">
        <v>369.92750000000001</v>
      </c>
      <c r="J449">
        <v>-363.14210000000003</v>
      </c>
      <c r="K449">
        <v>1.1098570000000001</v>
      </c>
      <c r="L449">
        <v>368.44099999999997</v>
      </c>
      <c r="M449">
        <v>0.99980709999999995</v>
      </c>
      <c r="N449">
        <v>-1.2659409999999999E-2</v>
      </c>
      <c r="O449">
        <v>1.5011790000000001E-2</v>
      </c>
      <c r="P449">
        <v>0.99838879999999997</v>
      </c>
      <c r="Q449">
        <v>4.5578349999999997E-2</v>
      </c>
      <c r="R449">
        <v>3.3798149999999999E-2</v>
      </c>
      <c r="S449">
        <v>3.0050659999999998</v>
      </c>
      <c r="T449">
        <v>-5.2555440000000002E-2</v>
      </c>
      <c r="U449">
        <v>6.7474370000000006E-2</v>
      </c>
      <c r="V449">
        <v>-1.879517E-2</v>
      </c>
      <c r="W449">
        <v>5.8222080000000002E-2</v>
      </c>
      <c r="X449">
        <v>0.99812670000000003</v>
      </c>
      <c r="Y449">
        <v>-7.4343600000000001E-3</v>
      </c>
      <c r="Z449" s="1">
        <v>3.963235E-5</v>
      </c>
      <c r="AA449">
        <v>0.99997230000000004</v>
      </c>
      <c r="AB449">
        <v>34</v>
      </c>
      <c r="AC449">
        <v>66.142600000000002</v>
      </c>
      <c r="AD449">
        <v>-1.1598569999999999</v>
      </c>
      <c r="AE449">
        <v>1.4865000000000299</v>
      </c>
      <c r="AF449">
        <v>-0.49318242460546502</v>
      </c>
      <c r="AG449">
        <v>-1.1598569999999999</v>
      </c>
      <c r="AH449">
        <v>66.137135494849602</v>
      </c>
      <c r="AI449">
        <v>91.004673878180995</v>
      </c>
      <c r="AJ449">
        <v>90.427244807394402</v>
      </c>
      <c r="AK449">
        <v>66.149143521503603</v>
      </c>
      <c r="AL449">
        <v>86.662232957913602</v>
      </c>
      <c r="AM449">
        <v>91.078777534727394</v>
      </c>
      <c r="AN449">
        <v>0.999999989133872</v>
      </c>
    </row>
    <row r="450" spans="1:40" x14ac:dyDescent="0.25">
      <c r="A450" t="str">
        <f>"20190305135803772"</f>
        <v>20190305135803772</v>
      </c>
      <c r="B450" t="str">
        <f>"1551765483759456"</f>
        <v>1551765483759456</v>
      </c>
      <c r="C450" t="s">
        <v>40</v>
      </c>
      <c r="D450">
        <v>4.1842649999999999</v>
      </c>
      <c r="E450">
        <v>0.52390769999999998</v>
      </c>
      <c r="F450" t="s">
        <v>44</v>
      </c>
      <c r="G450">
        <v>-158.19499999999999</v>
      </c>
      <c r="H450">
        <v>0.89564750000000004</v>
      </c>
      <c r="I450">
        <v>364.7217</v>
      </c>
      <c r="J450">
        <v>-362.96420000000001</v>
      </c>
      <c r="K450">
        <v>1.1098380000000001</v>
      </c>
      <c r="L450">
        <v>368.4436</v>
      </c>
      <c r="M450">
        <v>0.99980780000000002</v>
      </c>
      <c r="N450">
        <v>-1.2674380000000001E-2</v>
      </c>
      <c r="O450">
        <v>1.495287E-2</v>
      </c>
      <c r="P450">
        <v>0.99842439999999999</v>
      </c>
      <c r="Q450">
        <v>4.5114889999999998E-2</v>
      </c>
      <c r="R450">
        <v>3.3371379999999999E-2</v>
      </c>
      <c r="S450">
        <v>3.0068049999999999</v>
      </c>
      <c r="T450">
        <v>-3.1414030000000001E-3</v>
      </c>
      <c r="U450">
        <v>-5.4565429999999998E-2</v>
      </c>
      <c r="V450">
        <v>-1.8424409999999999E-2</v>
      </c>
      <c r="W450">
        <v>5.7774609999999997E-2</v>
      </c>
      <c r="X450">
        <v>0.99815960000000004</v>
      </c>
      <c r="Y450">
        <v>3.3092660000000003E-2</v>
      </c>
      <c r="Z450" s="1">
        <v>-5.3137699999999998E-5</v>
      </c>
      <c r="AA450">
        <v>0.99945229999999996</v>
      </c>
      <c r="AB450">
        <v>34</v>
      </c>
      <c r="AC450">
        <v>204.76920000000001</v>
      </c>
      <c r="AD450">
        <v>-0.21419049999999901</v>
      </c>
      <c r="AE450">
        <v>-3.7219000000000002</v>
      </c>
      <c r="AF450">
        <v>6.7836097977466201</v>
      </c>
      <c r="AG450">
        <v>-0.21419049999999901</v>
      </c>
      <c r="AH450">
        <v>204.69042159166</v>
      </c>
      <c r="AI450">
        <v>90.0599220680065</v>
      </c>
      <c r="AJ450">
        <v>88.101865210943302</v>
      </c>
      <c r="AK450">
        <v>204.80290996670499</v>
      </c>
      <c r="AL450">
        <v>86.687914286507393</v>
      </c>
      <c r="AM450">
        <v>91.057467230430404</v>
      </c>
      <c r="AN450">
        <v>0.999999975758329</v>
      </c>
    </row>
    <row r="451" spans="1:40" x14ac:dyDescent="0.25">
      <c r="A451" t="str">
        <f>"20190305135803789"</f>
        <v>20190305135803789</v>
      </c>
      <c r="B451" t="str">
        <f>"1551765483778981"</f>
        <v>1551765483778981</v>
      </c>
      <c r="C451" t="s">
        <v>40</v>
      </c>
      <c r="D451">
        <v>4.200278</v>
      </c>
      <c r="E451">
        <v>0.53047230000000001</v>
      </c>
      <c r="F451" t="s">
        <v>44</v>
      </c>
      <c r="G451">
        <v>-158.19499999999999</v>
      </c>
      <c r="H451">
        <v>0.58413839999999995</v>
      </c>
      <c r="I451">
        <v>361.7799</v>
      </c>
      <c r="J451">
        <v>-362.7</v>
      </c>
      <c r="K451">
        <v>1.109815</v>
      </c>
      <c r="L451">
        <v>368.44749999999999</v>
      </c>
      <c r="M451">
        <v>0.99980899999999995</v>
      </c>
      <c r="N451">
        <v>-1.26952E-2</v>
      </c>
      <c r="O451">
        <v>1.4861630000000001E-2</v>
      </c>
      <c r="P451">
        <v>0.99848760000000003</v>
      </c>
      <c r="Q451">
        <v>4.4151299999999997E-2</v>
      </c>
      <c r="R451">
        <v>3.2763390000000003E-2</v>
      </c>
      <c r="S451">
        <v>3.008362</v>
      </c>
      <c r="T451">
        <v>-7.7220199999999996E-3</v>
      </c>
      <c r="U451">
        <v>-9.7900390000000004E-2</v>
      </c>
      <c r="V451">
        <v>-1.7904679999999999E-2</v>
      </c>
      <c r="W451">
        <v>5.6833450000000001E-2</v>
      </c>
      <c r="X451">
        <v>0.99822310000000003</v>
      </c>
      <c r="Y451">
        <v>4.7375229999999997E-2</v>
      </c>
      <c r="Z451">
        <v>-2.111146E-4</v>
      </c>
      <c r="AA451">
        <v>0.99887720000000002</v>
      </c>
      <c r="AB451">
        <v>34</v>
      </c>
      <c r="AC451">
        <v>204.505</v>
      </c>
      <c r="AD451">
        <v>-0.52567659999999905</v>
      </c>
      <c r="AE451">
        <v>-6.6675999999999904</v>
      </c>
      <c r="AF451">
        <v>9.7063219251819604</v>
      </c>
      <c r="AG451">
        <v>-0.52567659999999905</v>
      </c>
      <c r="AH451">
        <v>204.3819624212</v>
      </c>
      <c r="AI451">
        <v>90.147200252218198</v>
      </c>
      <c r="AJ451">
        <v>87.281003964061796</v>
      </c>
      <c r="AK451">
        <v>204.612989774217</v>
      </c>
      <c r="AL451">
        <v>86.741927581560503</v>
      </c>
      <c r="AM451">
        <v>91.027578509553805</v>
      </c>
      <c r="AN451">
        <v>0.99999998798920697</v>
      </c>
    </row>
    <row r="452" spans="1:40" x14ac:dyDescent="0.25">
      <c r="A452" t="str">
        <f>"20190305135803802"</f>
        <v>20190305135803802</v>
      </c>
      <c r="B452" t="str">
        <f>"1551765483799474"</f>
        <v>1551765483799474</v>
      </c>
      <c r="C452" t="s">
        <v>40</v>
      </c>
      <c r="D452">
        <v>4.2170509999999997</v>
      </c>
      <c r="E452">
        <v>0.53219620000000001</v>
      </c>
      <c r="F452" t="s">
        <v>44</v>
      </c>
      <c r="G452">
        <v>-158.19499999999999</v>
      </c>
      <c r="H452">
        <v>0.55376910000000001</v>
      </c>
      <c r="I452">
        <v>358.09460000000001</v>
      </c>
      <c r="J452">
        <v>-362.50810000000001</v>
      </c>
      <c r="K452">
        <v>1.1098030000000001</v>
      </c>
      <c r="L452">
        <v>368.45030000000003</v>
      </c>
      <c r="M452">
        <v>0.99980979999999997</v>
      </c>
      <c r="N452">
        <v>-1.270845E-2</v>
      </c>
      <c r="O452">
        <v>1.4792430000000001E-2</v>
      </c>
      <c r="P452">
        <v>0.99852059999999998</v>
      </c>
      <c r="Q452">
        <v>4.3632320000000002E-2</v>
      </c>
      <c r="R452">
        <v>3.2450840000000002E-2</v>
      </c>
      <c r="S452">
        <v>3.0099179999999999</v>
      </c>
      <c r="T452">
        <v>-8.1826450000000005E-3</v>
      </c>
      <c r="U452">
        <v>-0.15237429999999999</v>
      </c>
      <c r="V452">
        <v>-1.7659569999999999E-2</v>
      </c>
      <c r="W452">
        <v>5.632786E-2</v>
      </c>
      <c r="X452">
        <v>0.99825609999999998</v>
      </c>
      <c r="Y452">
        <v>6.5326389999999998E-2</v>
      </c>
      <c r="Z452">
        <v>-3.5645110000000001E-4</v>
      </c>
      <c r="AA452">
        <v>0.99786390000000003</v>
      </c>
      <c r="AB452">
        <v>34</v>
      </c>
      <c r="AC452">
        <v>204.31309999999999</v>
      </c>
      <c r="AD452">
        <v>-0.55603389999999997</v>
      </c>
      <c r="AE452">
        <v>-10.355700000000001</v>
      </c>
      <c r="AF452">
        <v>13.3769993177762</v>
      </c>
      <c r="AG452">
        <v>-0.55603389999999997</v>
      </c>
      <c r="AH452">
        <v>204.136035287276</v>
      </c>
      <c r="AI452">
        <v>90.155730145449397</v>
      </c>
      <c r="AJ452">
        <v>86.250777866063899</v>
      </c>
      <c r="AK452">
        <v>204.574617651491</v>
      </c>
      <c r="AL452">
        <v>86.770942160683305</v>
      </c>
      <c r="AM452">
        <v>91.013480707941994</v>
      </c>
      <c r="AN452">
        <v>0.99999996470598596</v>
      </c>
    </row>
    <row r="453" spans="1:40" x14ac:dyDescent="0.25">
      <c r="A453" t="str">
        <f>"20190305135803814"</f>
        <v>20190305135803814</v>
      </c>
      <c r="B453" t="str">
        <f>"1551765483799474"</f>
        <v>1551765483799474</v>
      </c>
      <c r="C453" t="s">
        <v>40</v>
      </c>
      <c r="D453">
        <v>4.2170509999999997</v>
      </c>
      <c r="E453">
        <v>0.53219620000000001</v>
      </c>
      <c r="F453" t="s">
        <v>42</v>
      </c>
      <c r="G453">
        <v>-224.94460000000001</v>
      </c>
      <c r="H453" s="1">
        <v>-4.0548889999999998E-6</v>
      </c>
      <c r="I453">
        <v>360.7901</v>
      </c>
      <c r="J453">
        <v>-362.33210000000003</v>
      </c>
      <c r="K453">
        <v>1.109793</v>
      </c>
      <c r="L453">
        <v>368.45280000000002</v>
      </c>
      <c r="M453">
        <v>0.9998108</v>
      </c>
      <c r="N453">
        <v>-1.271802E-2</v>
      </c>
      <c r="O453">
        <v>1.472618E-2</v>
      </c>
      <c r="P453">
        <v>0.99854589999999999</v>
      </c>
      <c r="Q453">
        <v>4.3128199999999998E-2</v>
      </c>
      <c r="R453">
        <v>3.2345190000000003E-2</v>
      </c>
      <c r="S453">
        <v>3.0109560000000002</v>
      </c>
      <c r="T453">
        <v>-2.4291159999999999E-2</v>
      </c>
      <c r="U453">
        <v>-0.1676636</v>
      </c>
      <c r="V453">
        <v>-1.761913E-2</v>
      </c>
      <c r="W453">
        <v>5.5834160000000001E-2</v>
      </c>
      <c r="X453">
        <v>0.99828459999999997</v>
      </c>
      <c r="Y453">
        <v>7.0290889999999995E-2</v>
      </c>
      <c r="Z453">
        <v>-6.6226000000000002E-4</v>
      </c>
      <c r="AA453">
        <v>0.99752629999999998</v>
      </c>
      <c r="AB453">
        <v>34</v>
      </c>
      <c r="AC453">
        <v>137.38749999999999</v>
      </c>
      <c r="AD453">
        <v>-1.1097970548889999</v>
      </c>
      <c r="AE453">
        <v>-7.6627000000000196</v>
      </c>
      <c r="AF453">
        <v>9.6845954261200795</v>
      </c>
      <c r="AG453">
        <v>-1.1097970548889999</v>
      </c>
      <c r="AH453">
        <v>137.250820326509</v>
      </c>
      <c r="AI453">
        <v>90.4621291490255</v>
      </c>
      <c r="AJ453">
        <v>85.963825375479303</v>
      </c>
      <c r="AK453">
        <v>137.59655053223699</v>
      </c>
      <c r="AL453">
        <v>86.799273836607</v>
      </c>
      <c r="AM453">
        <v>91.0111314817741</v>
      </c>
      <c r="AN453">
        <v>1.00000001488101</v>
      </c>
    </row>
    <row r="454" spans="1:40" x14ac:dyDescent="0.25">
      <c r="A454" t="str">
        <f>"20190305135803825"</f>
        <v>20190305135803825</v>
      </c>
      <c r="B454" t="str">
        <f>"1551765483818993"</f>
        <v>1551765483818993</v>
      </c>
      <c r="C454" t="s">
        <v>40</v>
      </c>
      <c r="D454">
        <v>4.2159269999999998</v>
      </c>
      <c r="E454">
        <v>0.53285130000000003</v>
      </c>
      <c r="F454" t="s">
        <v>42</v>
      </c>
      <c r="G454">
        <v>-232.75409999999999</v>
      </c>
      <c r="H454" s="1">
        <v>-4.6858939999999997E-6</v>
      </c>
      <c r="I454">
        <v>361.22019999999998</v>
      </c>
      <c r="J454">
        <v>-362.166</v>
      </c>
      <c r="K454">
        <v>1.1097840000000001</v>
      </c>
      <c r="L454">
        <v>368.45510000000002</v>
      </c>
      <c r="M454">
        <v>0.99981149999999996</v>
      </c>
      <c r="N454">
        <v>-1.272383E-2</v>
      </c>
      <c r="O454">
        <v>1.4663010000000001E-2</v>
      </c>
      <c r="P454">
        <v>0.99857430000000003</v>
      </c>
      <c r="Q454">
        <v>4.2630439999999999E-2</v>
      </c>
      <c r="R454">
        <v>3.2120990000000002E-2</v>
      </c>
      <c r="S454">
        <v>3.0109859999999999</v>
      </c>
      <c r="T454">
        <v>-2.5788189999999999E-2</v>
      </c>
      <c r="U454">
        <v>-0.1680603</v>
      </c>
      <c r="V454">
        <v>-1.7457279999999999E-2</v>
      </c>
      <c r="W454">
        <v>5.5342820000000001E-2</v>
      </c>
      <c r="X454">
        <v>0.99831479999999995</v>
      </c>
      <c r="Y454">
        <v>7.035785E-2</v>
      </c>
      <c r="Z454">
        <v>-6.8812829999999998E-4</v>
      </c>
      <c r="AA454">
        <v>0.99752160000000001</v>
      </c>
      <c r="AB454">
        <v>34</v>
      </c>
      <c r="AC454">
        <v>129.4119</v>
      </c>
      <c r="AD454">
        <v>-1.109788685894</v>
      </c>
      <c r="AE454">
        <v>-7.2349000000000396</v>
      </c>
      <c r="AF454">
        <v>9.1311743071128895</v>
      </c>
      <c r="AG454">
        <v>-1.109788685894</v>
      </c>
      <c r="AH454">
        <v>129.282412974051</v>
      </c>
      <c r="AI454">
        <v>90.4906053781596</v>
      </c>
      <c r="AJ454">
        <v>85.9599270599752</v>
      </c>
      <c r="AK454">
        <v>129.609229144946</v>
      </c>
      <c r="AL454">
        <v>86.8274691326083</v>
      </c>
      <c r="AM454">
        <v>91.001814790684406</v>
      </c>
      <c r="AN454">
        <v>1.0000000121247901</v>
      </c>
    </row>
    <row r="455" spans="1:40" x14ac:dyDescent="0.25">
      <c r="A455" t="str">
        <f>"20190305135803835"</f>
        <v>20190305135803835</v>
      </c>
      <c r="B455" t="str">
        <f>"1551765483828753"</f>
        <v>1551765483828753</v>
      </c>
      <c r="C455" t="s">
        <v>40</v>
      </c>
      <c r="D455">
        <v>4.1801110000000001</v>
      </c>
      <c r="E455">
        <v>0.53305919999999996</v>
      </c>
      <c r="F455" t="s">
        <v>42</v>
      </c>
      <c r="G455">
        <v>-268.28500000000003</v>
      </c>
      <c r="H455" s="1">
        <v>-2.3228329999999999E-6</v>
      </c>
      <c r="I455">
        <v>363.0274</v>
      </c>
      <c r="J455">
        <v>-361.98880000000003</v>
      </c>
      <c r="K455">
        <v>1.109774</v>
      </c>
      <c r="L455">
        <v>368.45760000000001</v>
      </c>
      <c r="M455">
        <v>0.99981249999999999</v>
      </c>
      <c r="N455">
        <v>-1.27277E-2</v>
      </c>
      <c r="O455">
        <v>1.459479E-2</v>
      </c>
      <c r="P455">
        <v>0.99858769999999997</v>
      </c>
      <c r="Q455">
        <v>4.2438280000000002E-2</v>
      </c>
      <c r="R455">
        <v>3.1964859999999998E-2</v>
      </c>
      <c r="S455">
        <v>3.0113829999999999</v>
      </c>
      <c r="T455">
        <v>-3.5598159999999997E-2</v>
      </c>
      <c r="U455">
        <v>-0.174102799999999</v>
      </c>
      <c r="V455">
        <v>-1.7368439999999999E-2</v>
      </c>
      <c r="W455">
        <v>5.5154769999999999E-2</v>
      </c>
      <c r="X455">
        <v>0.99832670000000001</v>
      </c>
      <c r="Y455">
        <v>7.2273539999999997E-2</v>
      </c>
      <c r="Z455">
        <v>-8.7397709999999999E-4</v>
      </c>
      <c r="AA455">
        <v>0.99738450000000001</v>
      </c>
      <c r="AB455">
        <v>34</v>
      </c>
      <c r="AC455">
        <v>93.703800000000001</v>
      </c>
      <c r="AD455">
        <v>-1.109776322833</v>
      </c>
      <c r="AE455">
        <v>-5.4302000000000099</v>
      </c>
      <c r="AF455">
        <v>6.7963694617849999</v>
      </c>
      <c r="AG455">
        <v>-1.109776322833</v>
      </c>
      <c r="AH455">
        <v>93.601473696068098</v>
      </c>
      <c r="AI455">
        <v>90.677506288872394</v>
      </c>
      <c r="AJ455">
        <v>85.847062067528896</v>
      </c>
      <c r="AK455">
        <v>93.854451782659396</v>
      </c>
      <c r="AL455">
        <v>86.838259906980298</v>
      </c>
      <c r="AM455">
        <v>90.996705713532407</v>
      </c>
      <c r="AN455">
        <v>0.99999995564733701</v>
      </c>
    </row>
    <row r="456" spans="1:40" x14ac:dyDescent="0.25">
      <c r="A456" t="str">
        <f>"20190305135803848"</f>
        <v>20190305135803848</v>
      </c>
      <c r="B456" t="str">
        <f>"1551765483839489"</f>
        <v>1551765483839489</v>
      </c>
      <c r="C456" t="s">
        <v>40</v>
      </c>
      <c r="D456">
        <v>4.1659569999999997</v>
      </c>
      <c r="E456">
        <v>0.53303299999999998</v>
      </c>
      <c r="F456" t="s">
        <v>43</v>
      </c>
      <c r="G456">
        <v>-286.37060000000002</v>
      </c>
      <c r="H456">
        <v>-0.05</v>
      </c>
      <c r="I456">
        <v>364.01220000000001</v>
      </c>
      <c r="J456">
        <v>-361.8184</v>
      </c>
      <c r="K456">
        <v>1.1097619999999999</v>
      </c>
      <c r="L456">
        <v>368.46010000000001</v>
      </c>
      <c r="M456">
        <v>0.99981359999999997</v>
      </c>
      <c r="N456">
        <v>-1.2728400000000001E-2</v>
      </c>
      <c r="O456">
        <v>1.452616E-2</v>
      </c>
      <c r="P456">
        <v>0.99862260000000003</v>
      </c>
      <c r="Q456">
        <v>4.177989E-2</v>
      </c>
      <c r="R456">
        <v>3.1744969999999997E-2</v>
      </c>
      <c r="S456">
        <v>3.0119020000000001</v>
      </c>
      <c r="T456">
        <v>-4.6194199999999998E-2</v>
      </c>
      <c r="U456">
        <v>-0.177063</v>
      </c>
      <c r="V456">
        <v>-1.7216249999999999E-2</v>
      </c>
      <c r="W456">
        <v>5.4497709999999998E-2</v>
      </c>
      <c r="X456">
        <v>0.99836550000000002</v>
      </c>
      <c r="Y456">
        <v>7.3166789999999995E-2</v>
      </c>
      <c r="Z456">
        <v>-1.064567E-3</v>
      </c>
      <c r="AA456">
        <v>0.99731919999999996</v>
      </c>
      <c r="AB456">
        <v>34</v>
      </c>
      <c r="AC456">
        <v>75.447799999999901</v>
      </c>
      <c r="AD456">
        <v>-1.159762</v>
      </c>
      <c r="AE456">
        <v>-4.4478999999999997</v>
      </c>
      <c r="AF456">
        <v>5.5421810658117998</v>
      </c>
      <c r="AG456">
        <v>-1.159762</v>
      </c>
      <c r="AH456">
        <v>75.357477547701905</v>
      </c>
      <c r="AI456">
        <v>90.879345796464804</v>
      </c>
      <c r="AJ456">
        <v>85.793743031592996</v>
      </c>
      <c r="AK456">
        <v>75.569903011816095</v>
      </c>
      <c r="AL456">
        <v>86.875963633728702</v>
      </c>
      <c r="AM456">
        <v>90.987935484758907</v>
      </c>
      <c r="AN456">
        <v>1.00000003562477</v>
      </c>
    </row>
    <row r="457" spans="1:40" x14ac:dyDescent="0.25">
      <c r="A457" t="str">
        <f>"20190305135803859"</f>
        <v>20190305135803859</v>
      </c>
      <c r="B457" t="str">
        <f>"1551765483849249"</f>
        <v>1551765483849249</v>
      </c>
      <c r="C457" t="s">
        <v>40</v>
      </c>
      <c r="D457">
        <v>4.1551780000000003</v>
      </c>
      <c r="E457">
        <v>0.5332481</v>
      </c>
      <c r="F457" t="s">
        <v>43</v>
      </c>
      <c r="G457">
        <v>-299.69110000000001</v>
      </c>
      <c r="H457">
        <v>-0.05</v>
      </c>
      <c r="I457">
        <v>364.79109999999997</v>
      </c>
      <c r="J457">
        <v>-361.63060000000002</v>
      </c>
      <c r="K457">
        <v>1.1097549999999901</v>
      </c>
      <c r="L457">
        <v>368.46269999999998</v>
      </c>
      <c r="M457">
        <v>0.99981469999999995</v>
      </c>
      <c r="N457">
        <v>-1.2728299999999901E-2</v>
      </c>
      <c r="O457">
        <v>1.444967E-2</v>
      </c>
      <c r="P457">
        <v>0.99862980000000001</v>
      </c>
      <c r="Q457">
        <v>4.1855169999999997E-2</v>
      </c>
      <c r="R457">
        <v>3.1413249999999997E-2</v>
      </c>
      <c r="S457">
        <v>3.0121769999999999</v>
      </c>
      <c r="T457">
        <v>-5.6229830000000001E-2</v>
      </c>
      <c r="U457">
        <v>-0.17788699999999999</v>
      </c>
      <c r="V457">
        <v>-1.696102E-2</v>
      </c>
      <c r="W457">
        <v>5.4572469999999998E-2</v>
      </c>
      <c r="X457">
        <v>0.99836579999999997</v>
      </c>
      <c r="Y457">
        <v>7.3351089999999994E-2</v>
      </c>
      <c r="Z457">
        <v>-1.237052E-3</v>
      </c>
      <c r="AA457">
        <v>0.99730540000000001</v>
      </c>
      <c r="AB457">
        <v>34</v>
      </c>
      <c r="AC457">
        <v>61.939500000000002</v>
      </c>
      <c r="AD457">
        <v>-1.1597550000000001</v>
      </c>
      <c r="AE457">
        <v>-3.67160000000001</v>
      </c>
      <c r="AF457">
        <v>4.5646996276639697</v>
      </c>
      <c r="AG457">
        <v>-1.1597550000000001</v>
      </c>
      <c r="AH457">
        <v>61.858363782478797</v>
      </c>
      <c r="AI457">
        <v>91.071175461213201</v>
      </c>
      <c r="AJ457">
        <v>85.7796354684139</v>
      </c>
      <c r="AK457">
        <v>62.037397464725302</v>
      </c>
      <c r="AL457">
        <v>86.871673864570994</v>
      </c>
      <c r="AM457">
        <v>90.973291939371705</v>
      </c>
      <c r="AN457">
        <v>1.00000005064548</v>
      </c>
    </row>
    <row r="458" spans="1:40" x14ac:dyDescent="0.25">
      <c r="A458" t="str">
        <f>"20190305135803870"</f>
        <v>20190305135803870</v>
      </c>
      <c r="B458" t="str">
        <f>"1551765483859008"</f>
        <v>1551765483859008</v>
      </c>
      <c r="C458" t="s">
        <v>40</v>
      </c>
      <c r="D458">
        <v>4.1901099999999998</v>
      </c>
      <c r="E458">
        <v>0.53332449999999998</v>
      </c>
      <c r="F458" t="s">
        <v>43</v>
      </c>
      <c r="G458">
        <v>-289.82260000000002</v>
      </c>
      <c r="H458">
        <v>-0.05</v>
      </c>
      <c r="I458">
        <v>364.1626</v>
      </c>
      <c r="J458">
        <v>-361.4554</v>
      </c>
      <c r="K458">
        <v>1.1097509999999999</v>
      </c>
      <c r="L458">
        <v>368.46510000000001</v>
      </c>
      <c r="M458">
        <v>0.99981580000000003</v>
      </c>
      <c r="N458">
        <v>-1.2726940000000001E-2</v>
      </c>
      <c r="O458">
        <v>1.437601E-2</v>
      </c>
      <c r="P458">
        <v>0.99863089999999999</v>
      </c>
      <c r="Q458">
        <v>4.1684069999999997E-2</v>
      </c>
      <c r="R458">
        <v>3.1601789999999998E-2</v>
      </c>
      <c r="S458">
        <v>3.011841</v>
      </c>
      <c r="T458">
        <v>-4.864359E-2</v>
      </c>
      <c r="U458">
        <v>-0.18035889999999999</v>
      </c>
      <c r="V458">
        <v>-1.722301E-2</v>
      </c>
      <c r="W458">
        <v>5.4400110000000002E-2</v>
      </c>
      <c r="X458">
        <v>0.9983706</v>
      </c>
      <c r="Y458">
        <v>7.4104149999999994E-2</v>
      </c>
      <c r="Z458">
        <v>-1.1190919999999999E-3</v>
      </c>
      <c r="AA458">
        <v>0.99724990000000002</v>
      </c>
      <c r="AB458">
        <v>34</v>
      </c>
      <c r="AC458">
        <v>71.632799999999904</v>
      </c>
      <c r="AD458">
        <v>-1.159751</v>
      </c>
      <c r="AE458">
        <v>-4.3025000000000002</v>
      </c>
      <c r="AF458">
        <v>5.3305401869578404</v>
      </c>
      <c r="AG458">
        <v>-1.159751</v>
      </c>
      <c r="AH458">
        <v>71.544852310683595</v>
      </c>
      <c r="AI458">
        <v>90.926123875143205</v>
      </c>
      <c r="AJ458">
        <v>85.738978033948499</v>
      </c>
      <c r="AK458">
        <v>71.752530082390194</v>
      </c>
      <c r="AL458">
        <v>86.881563678152702</v>
      </c>
      <c r="AM458">
        <v>90.988318275287696</v>
      </c>
      <c r="AN458">
        <v>0.99999992949291305</v>
      </c>
    </row>
    <row r="459" spans="1:40" x14ac:dyDescent="0.25">
      <c r="A459" t="str">
        <f>"20190305135803882"</f>
        <v>20190305135803882</v>
      </c>
      <c r="B459" t="str">
        <f>"1551765483869744"</f>
        <v>1551765483869744</v>
      </c>
      <c r="C459" t="s">
        <v>40</v>
      </c>
      <c r="D459">
        <v>4.1684140000000003</v>
      </c>
      <c r="E459">
        <v>0.53341050000000001</v>
      </c>
      <c r="F459" t="s">
        <v>43</v>
      </c>
      <c r="G459">
        <v>-299.04719999999998</v>
      </c>
      <c r="H459">
        <v>-0.05</v>
      </c>
      <c r="I459">
        <v>364.72329999999999</v>
      </c>
      <c r="J459">
        <v>-361.2901</v>
      </c>
      <c r="K459">
        <v>1.1097570000000001</v>
      </c>
      <c r="L459">
        <v>368.4674</v>
      </c>
      <c r="M459">
        <v>0.9998167</v>
      </c>
      <c r="N459">
        <v>-1.2725459999999999E-2</v>
      </c>
      <c r="O459">
        <v>1.430623E-2</v>
      </c>
      <c r="P459">
        <v>0.99863069999999998</v>
      </c>
      <c r="Q459">
        <v>4.1796920000000001E-2</v>
      </c>
      <c r="R459">
        <v>3.1459910000000001E-2</v>
      </c>
      <c r="S459">
        <v>3.0121769999999999</v>
      </c>
      <c r="T459">
        <v>-5.5976270000000002E-2</v>
      </c>
      <c r="U459">
        <v>-0.18060300000000001</v>
      </c>
      <c r="V459">
        <v>-1.7151019999999999E-2</v>
      </c>
      <c r="W459">
        <v>5.4511999999999998E-2</v>
      </c>
      <c r="X459">
        <v>0.99836579999999997</v>
      </c>
      <c r="Y459">
        <v>7.4104039999999996E-2</v>
      </c>
      <c r="Z459">
        <v>-1.2436280000000001E-3</v>
      </c>
      <c r="AA459">
        <v>0.99724970000000002</v>
      </c>
      <c r="AB459">
        <v>34</v>
      </c>
      <c r="AC459">
        <v>62.242899999999999</v>
      </c>
      <c r="AD459">
        <v>-1.1597569999999999</v>
      </c>
      <c r="AE459">
        <v>-3.7441</v>
      </c>
      <c r="AF459">
        <v>4.6326475406107601</v>
      </c>
      <c r="AG459">
        <v>-1.1597569999999999</v>
      </c>
      <c r="AH459">
        <v>62.161457387999803</v>
      </c>
      <c r="AI459">
        <v>91.065897918699804</v>
      </c>
      <c r="AJ459">
        <v>85.737851376417694</v>
      </c>
      <c r="AK459">
        <v>62.344632841445801</v>
      </c>
      <c r="AL459">
        <v>86.8751435252275</v>
      </c>
      <c r="AM459">
        <v>90.984192775263196</v>
      </c>
      <c r="AN459">
        <v>0.99999999312034005</v>
      </c>
    </row>
    <row r="460" spans="1:40" x14ac:dyDescent="0.25">
      <c r="A460" t="str">
        <f>"20190305135803893"</f>
        <v>20190305135803893</v>
      </c>
      <c r="B460" t="str">
        <f>"1551765483889265"</f>
        <v>1551765483889265</v>
      </c>
      <c r="C460" t="s">
        <v>40</v>
      </c>
      <c r="D460">
        <v>4.1861309999999996</v>
      </c>
      <c r="E460">
        <v>0.53368190000000004</v>
      </c>
      <c r="F460" t="s">
        <v>43</v>
      </c>
      <c r="G460">
        <v>-293.04500000000002</v>
      </c>
      <c r="H460">
        <v>-0.05</v>
      </c>
      <c r="I460">
        <v>364.35809999999998</v>
      </c>
      <c r="J460">
        <v>-361.12400000000002</v>
      </c>
      <c r="K460">
        <v>1.1097549999999901</v>
      </c>
      <c r="L460">
        <v>368.46980000000002</v>
      </c>
      <c r="M460">
        <v>0.99981779999999998</v>
      </c>
      <c r="N460">
        <v>-1.272365E-2</v>
      </c>
      <c r="O460">
        <v>1.4235960000000001E-2</v>
      </c>
      <c r="P460">
        <v>0.9986273</v>
      </c>
      <c r="Q460">
        <v>4.190228E-2</v>
      </c>
      <c r="R460">
        <v>3.1431260000000003E-2</v>
      </c>
      <c r="S460">
        <v>3.0119929999999999</v>
      </c>
      <c r="T460">
        <v>-5.1185849999999998E-2</v>
      </c>
      <c r="U460">
        <v>-0.181366</v>
      </c>
      <c r="V460">
        <v>-1.7192349999999999E-2</v>
      </c>
      <c r="W460">
        <v>5.4614839999999998E-2</v>
      </c>
      <c r="X460">
        <v>0.99835949999999996</v>
      </c>
      <c r="Y460">
        <v>7.4292179999999999E-2</v>
      </c>
      <c r="Z460">
        <v>-1.164535E-3</v>
      </c>
      <c r="AA460">
        <v>0.99723580000000001</v>
      </c>
      <c r="AB460">
        <v>34</v>
      </c>
      <c r="AC460">
        <v>68.078999999999994</v>
      </c>
      <c r="AD460">
        <v>-1.1597550000000001</v>
      </c>
      <c r="AE460">
        <v>-4.1117000000000399</v>
      </c>
      <c r="AF460">
        <v>5.07906294070367</v>
      </c>
      <c r="AG460">
        <v>-1.1597550000000001</v>
      </c>
      <c r="AH460">
        <v>67.9939007596778</v>
      </c>
      <c r="AI460">
        <v>90.974470635517505</v>
      </c>
      <c r="AJ460">
        <v>85.728007891693096</v>
      </c>
      <c r="AK460">
        <v>68.193199459569001</v>
      </c>
      <c r="AL460">
        <v>86.869242534571399</v>
      </c>
      <c r="AM460">
        <v>90.986570208860698</v>
      </c>
      <c r="AN460">
        <v>1.0000000244434899</v>
      </c>
    </row>
    <row r="461" spans="1:40" x14ac:dyDescent="0.25">
      <c r="A461" t="str">
        <f>"20190305135803905"</f>
        <v>20190305135803905</v>
      </c>
      <c r="B461" t="str">
        <f>"1551765483899027"</f>
        <v>1551765483899027</v>
      </c>
      <c r="C461" t="s">
        <v>40</v>
      </c>
      <c r="D461">
        <v>4.1754189999999998</v>
      </c>
      <c r="E461">
        <v>0.53364540000000005</v>
      </c>
      <c r="F461" t="s">
        <v>43</v>
      </c>
      <c r="G461">
        <v>-295.17</v>
      </c>
      <c r="H461">
        <v>-0.05</v>
      </c>
      <c r="I461">
        <v>364.43709999999999</v>
      </c>
      <c r="J461">
        <v>-360.94200000000001</v>
      </c>
      <c r="K461">
        <v>1.10975</v>
      </c>
      <c r="L461">
        <v>368.47219999999999</v>
      </c>
      <c r="M461">
        <v>0.99981889999999995</v>
      </c>
      <c r="N461">
        <v>-1.2721410000000001E-2</v>
      </c>
      <c r="O461">
        <v>1.415894E-2</v>
      </c>
      <c r="P461">
        <v>0.99861900000000003</v>
      </c>
      <c r="Q461">
        <v>4.1970500000000001E-2</v>
      </c>
      <c r="R461">
        <v>3.1601909999999997E-2</v>
      </c>
      <c r="S461">
        <v>3.012146</v>
      </c>
      <c r="T461">
        <v>-5.2966480000000003E-2</v>
      </c>
      <c r="U461">
        <v>-0.18417359999999999</v>
      </c>
      <c r="V461">
        <v>-1.7440299999999999E-2</v>
      </c>
      <c r="W461">
        <v>5.4681029999999999E-2</v>
      </c>
      <c r="X461">
        <v>0.99835160000000001</v>
      </c>
      <c r="Y461">
        <v>7.5137120000000002E-2</v>
      </c>
      <c r="Z461">
        <v>-1.207205E-3</v>
      </c>
      <c r="AA461">
        <v>0.99717250000000002</v>
      </c>
      <c r="AB461">
        <v>34</v>
      </c>
      <c r="AC461">
        <v>65.771999999999906</v>
      </c>
      <c r="AD461">
        <v>-1.1597500000000001</v>
      </c>
      <c r="AE461">
        <v>-4.0350999999999999</v>
      </c>
      <c r="AF461">
        <v>4.9644947784351396</v>
      </c>
      <c r="AG461">
        <v>-1.1597500000000001</v>
      </c>
      <c r="AH461">
        <v>65.687921392252704</v>
      </c>
      <c r="AI461">
        <v>91.008602037118294</v>
      </c>
      <c r="AJ461">
        <v>85.677974434940097</v>
      </c>
      <c r="AK461">
        <v>65.885463080275798</v>
      </c>
      <c r="AL461">
        <v>86.865444525913901</v>
      </c>
      <c r="AM461">
        <v>91.000803679453597</v>
      </c>
      <c r="AN461">
        <v>1.0000000481642499</v>
      </c>
    </row>
    <row r="462" spans="1:40" x14ac:dyDescent="0.25">
      <c r="A462" t="str">
        <f>"20190305135803924"</f>
        <v>20190305135803924</v>
      </c>
      <c r="B462" t="str">
        <f>"1551765483919521"</f>
        <v>1551765483919521</v>
      </c>
      <c r="C462" t="s">
        <v>40</v>
      </c>
      <c r="D462">
        <v>4.163627</v>
      </c>
      <c r="E462">
        <v>0.53367379999999998</v>
      </c>
      <c r="F462" t="s">
        <v>43</v>
      </c>
      <c r="G462">
        <v>-300.87040000000002</v>
      </c>
      <c r="H462">
        <v>-0.05</v>
      </c>
      <c r="I462">
        <v>364.80869999999999</v>
      </c>
      <c r="J462">
        <v>-360.6533</v>
      </c>
      <c r="K462">
        <v>1.1097379999999999</v>
      </c>
      <c r="L462">
        <v>368.47620000000001</v>
      </c>
      <c r="M462">
        <v>0.99982059999999995</v>
      </c>
      <c r="N462">
        <v>-1.2717350000000001E-2</v>
      </c>
      <c r="O462">
        <v>1.403539E-2</v>
      </c>
      <c r="P462">
        <v>0.9985832</v>
      </c>
      <c r="Q462">
        <v>4.212345E-2</v>
      </c>
      <c r="R462">
        <v>3.251209E-2</v>
      </c>
      <c r="S462">
        <v>3.012451</v>
      </c>
      <c r="T462">
        <v>-5.8158759999999997E-2</v>
      </c>
      <c r="U462">
        <v>-0.18371580000000001</v>
      </c>
      <c r="V462">
        <v>-1.8473170000000001E-2</v>
      </c>
      <c r="W462">
        <v>5.4830530000000002E-2</v>
      </c>
      <c r="X462">
        <v>0.99832480000000001</v>
      </c>
      <c r="Y462">
        <v>7.4853520000000007E-2</v>
      </c>
      <c r="Z462">
        <v>-1.2907319999999999E-3</v>
      </c>
      <c r="AA462">
        <v>0.99719369999999996</v>
      </c>
      <c r="AB462">
        <v>34</v>
      </c>
      <c r="AC462">
        <v>59.782899999999898</v>
      </c>
      <c r="AD462">
        <v>-1.1597379999999999</v>
      </c>
      <c r="AE462">
        <v>-3.6675000000000102</v>
      </c>
      <c r="AF462">
        <v>4.5045940392922201</v>
      </c>
      <c r="AG462">
        <v>-1.1597379999999999</v>
      </c>
      <c r="AH462">
        <v>59.703147729135303</v>
      </c>
      <c r="AI462">
        <v>91.109681483934196</v>
      </c>
      <c r="AJ462">
        <v>85.685216721196994</v>
      </c>
      <c r="AK462">
        <v>59.884073078360501</v>
      </c>
      <c r="AL462">
        <v>86.856865866689205</v>
      </c>
      <c r="AM462">
        <v>91.060089758229296</v>
      </c>
      <c r="AN462">
        <v>1.0000000256624799</v>
      </c>
    </row>
    <row r="463" spans="1:40" x14ac:dyDescent="0.25">
      <c r="A463" t="str">
        <f>"20190305135803938"</f>
        <v>20190305135803938</v>
      </c>
      <c r="B463" t="str">
        <f>"1551765483929280"</f>
        <v>1551765483929280</v>
      </c>
      <c r="C463" t="s">
        <v>40</v>
      </c>
      <c r="D463">
        <v>4.169473</v>
      </c>
      <c r="E463">
        <v>0.53367159999999902</v>
      </c>
      <c r="F463" t="s">
        <v>43</v>
      </c>
      <c r="G463">
        <v>-293.8664</v>
      </c>
      <c r="H463">
        <v>-0.05</v>
      </c>
      <c r="I463">
        <v>364.4787</v>
      </c>
      <c r="J463">
        <v>-360.44189999999998</v>
      </c>
      <c r="K463">
        <v>1.1097319999999999</v>
      </c>
      <c r="L463">
        <v>368.47899999999998</v>
      </c>
      <c r="M463">
        <v>0.99982199999999999</v>
      </c>
      <c r="N463">
        <v>-1.2714029999999999E-2</v>
      </c>
      <c r="O463">
        <v>1.394306E-2</v>
      </c>
      <c r="P463">
        <v>0.99856630000000002</v>
      </c>
      <c r="Q463">
        <v>4.2121850000000002E-2</v>
      </c>
      <c r="R463">
        <v>3.303478E-2</v>
      </c>
      <c r="S463">
        <v>3.0123289999999998</v>
      </c>
      <c r="T463">
        <v>-5.2308319999999998E-2</v>
      </c>
      <c r="U463">
        <v>-0.18029790000000001</v>
      </c>
      <c r="V463">
        <v>-1.9087739999999999E-2</v>
      </c>
      <c r="W463">
        <v>5.4825760000000001E-2</v>
      </c>
      <c r="X463">
        <v>0.99831349999999996</v>
      </c>
      <c r="Y463">
        <v>7.3640529999999996E-2</v>
      </c>
      <c r="Z463">
        <v>-1.172186E-3</v>
      </c>
      <c r="AA463">
        <v>0.99728419999999895</v>
      </c>
      <c r="AB463">
        <v>34</v>
      </c>
      <c r="AC463">
        <v>66.575499999999906</v>
      </c>
      <c r="AD463">
        <v>-1.159732</v>
      </c>
      <c r="AE463">
        <v>-4.0003000000000304</v>
      </c>
      <c r="AF463">
        <v>4.9267626110742802</v>
      </c>
      <c r="AG463">
        <v>-1.159732</v>
      </c>
      <c r="AH463">
        <v>66.493141551539495</v>
      </c>
      <c r="AI463">
        <v>90.9964849847008</v>
      </c>
      <c r="AJ463">
        <v>85.7624528095009</v>
      </c>
      <c r="AK463">
        <v>66.685499484751404</v>
      </c>
      <c r="AL463">
        <v>86.857139577277593</v>
      </c>
      <c r="AM463">
        <v>91.095361028463998</v>
      </c>
      <c r="AN463">
        <v>1.00000002503006</v>
      </c>
    </row>
    <row r="464" spans="1:40" x14ac:dyDescent="0.25">
      <c r="A464" t="str">
        <f>"20190305135803952"</f>
        <v>20190305135803952</v>
      </c>
      <c r="B464" t="str">
        <f>"1551765483939041"</f>
        <v>1551765483939041</v>
      </c>
      <c r="C464" t="s">
        <v>40</v>
      </c>
      <c r="D464">
        <v>4.145975</v>
      </c>
      <c r="E464">
        <v>0.53377439999999998</v>
      </c>
      <c r="F464" t="s">
        <v>43</v>
      </c>
      <c r="G464">
        <v>-299.58760000000001</v>
      </c>
      <c r="H464">
        <v>-0.05</v>
      </c>
      <c r="I464">
        <v>364.8587</v>
      </c>
      <c r="J464">
        <v>-360.23099999999999</v>
      </c>
      <c r="K464">
        <v>1.109729</v>
      </c>
      <c r="L464">
        <v>368.4819</v>
      </c>
      <c r="M464">
        <v>0.99982340000000003</v>
      </c>
      <c r="N464">
        <v>-1.2710549999999999E-2</v>
      </c>
      <c r="O464">
        <v>1.384589E-2</v>
      </c>
      <c r="P464">
        <v>0.99853210000000003</v>
      </c>
      <c r="Q464">
        <v>4.2494509999999999E-2</v>
      </c>
      <c r="R464">
        <v>3.3578330000000003E-2</v>
      </c>
      <c r="S464">
        <v>3.0126650000000001</v>
      </c>
      <c r="T464">
        <v>-5.7413939999999997E-2</v>
      </c>
      <c r="U464">
        <v>-0.17922969999999999</v>
      </c>
      <c r="V464">
        <v>-1.9727600000000001E-2</v>
      </c>
      <c r="W464">
        <v>5.5195229999999998E-2</v>
      </c>
      <c r="X464">
        <v>0.99828070000000002</v>
      </c>
      <c r="Y464">
        <v>7.3181579999999996E-2</v>
      </c>
      <c r="Z464">
        <v>-1.2500510000000001E-3</v>
      </c>
      <c r="AA464">
        <v>0.99731789999999998</v>
      </c>
      <c r="AB464">
        <v>34</v>
      </c>
      <c r="AC464">
        <v>60.6433999999999</v>
      </c>
      <c r="AD464">
        <v>-1.159729</v>
      </c>
      <c r="AE464">
        <v>-3.62319999999999</v>
      </c>
      <c r="AF464">
        <v>4.4609566198366002</v>
      </c>
      <c r="AG464">
        <v>-1.159729</v>
      </c>
      <c r="AH464">
        <v>60.565344338207403</v>
      </c>
      <c r="AI464">
        <v>91.094025167637298</v>
      </c>
      <c r="AJ464">
        <v>85.787470856576704</v>
      </c>
      <c r="AK464">
        <v>60.740481065950902</v>
      </c>
      <c r="AL464">
        <v>86.835938398827494</v>
      </c>
      <c r="AM464">
        <v>91.132107550953805</v>
      </c>
      <c r="AN464">
        <v>1.0000000238044999</v>
      </c>
    </row>
    <row r="465" spans="1:40" x14ac:dyDescent="0.25">
      <c r="A465" t="str">
        <f>"20190305135803970"</f>
        <v>20190305135803970</v>
      </c>
      <c r="B465" t="str">
        <f>"1551765483959537"</f>
        <v>1551765483959537</v>
      </c>
      <c r="C465" t="s">
        <v>40</v>
      </c>
      <c r="D465">
        <v>4.1459510000000002</v>
      </c>
      <c r="E465">
        <v>0.53382240000000003</v>
      </c>
      <c r="F465" t="s">
        <v>43</v>
      </c>
      <c r="G465">
        <v>-294.5951</v>
      </c>
      <c r="H465">
        <v>-0.05</v>
      </c>
      <c r="I465">
        <v>364.5976</v>
      </c>
      <c r="J465">
        <v>-359.96129999999999</v>
      </c>
      <c r="K465">
        <v>1.1097220000000001</v>
      </c>
      <c r="L465">
        <v>368.4855</v>
      </c>
      <c r="M465">
        <v>0.99982519999999997</v>
      </c>
      <c r="N465">
        <v>-1.270368E-2</v>
      </c>
      <c r="O465">
        <v>1.371287E-2</v>
      </c>
      <c r="P465">
        <v>0.99849359999999998</v>
      </c>
      <c r="Q465">
        <v>4.2725270000000003E-2</v>
      </c>
      <c r="R465">
        <v>3.4426020000000002E-2</v>
      </c>
      <c r="S465">
        <v>3.0126339999999998</v>
      </c>
      <c r="T465">
        <v>-5.3230520000000003E-2</v>
      </c>
      <c r="U465">
        <v>-0.17828369999999999</v>
      </c>
      <c r="V465">
        <v>-2.0707449999999999E-2</v>
      </c>
      <c r="W465">
        <v>5.5419940000000001E-2</v>
      </c>
      <c r="X465">
        <v>0.99824840000000004</v>
      </c>
      <c r="Y465">
        <v>7.2740139999999995E-2</v>
      </c>
      <c r="Z465">
        <v>-1.172574E-3</v>
      </c>
      <c r="AA465">
        <v>0.99735019999999996</v>
      </c>
      <c r="AB465">
        <v>34</v>
      </c>
      <c r="AC465">
        <v>65.366199999999907</v>
      </c>
      <c r="AD465">
        <v>-1.1597219999999999</v>
      </c>
      <c r="AE465">
        <v>-3.8879000000000001</v>
      </c>
      <c r="AF465">
        <v>4.7824648853665499</v>
      </c>
      <c r="AG465">
        <v>-1.1597219999999999</v>
      </c>
      <c r="AH465">
        <v>65.286256235957794</v>
      </c>
      <c r="AI465">
        <v>91.014955989747406</v>
      </c>
      <c r="AJ465">
        <v>85.810351071856999</v>
      </c>
      <c r="AK465">
        <v>65.471460796320898</v>
      </c>
      <c r="AL465">
        <v>86.823043709523503</v>
      </c>
      <c r="AM465">
        <v>91.188360888105706</v>
      </c>
      <c r="AN465">
        <v>1.00000001816883</v>
      </c>
    </row>
    <row r="466" spans="1:40" x14ac:dyDescent="0.25">
      <c r="A466" t="str">
        <f>"20190305135803982"</f>
        <v>20190305135803982</v>
      </c>
      <c r="B466" t="str">
        <f>"1551765483979057"</f>
        <v>1551765483979057</v>
      </c>
      <c r="C466" t="s">
        <v>40</v>
      </c>
      <c r="D466">
        <v>4.1538680000000001</v>
      </c>
      <c r="E466">
        <v>0.53370479999999998</v>
      </c>
      <c r="F466" t="s">
        <v>43</v>
      </c>
      <c r="G466">
        <v>-286.10199999999998</v>
      </c>
      <c r="H466">
        <v>-0.05</v>
      </c>
      <c r="I466">
        <v>364.17880000000002</v>
      </c>
      <c r="J466">
        <v>-359.76850000000002</v>
      </c>
      <c r="K466">
        <v>1.109707</v>
      </c>
      <c r="L466">
        <v>368.488</v>
      </c>
      <c r="M466">
        <v>0.99982689999999996</v>
      </c>
      <c r="N466">
        <v>-1.2697160000000001E-2</v>
      </c>
      <c r="O466">
        <v>1.361015E-2</v>
      </c>
      <c r="P466">
        <v>0.99848709999999996</v>
      </c>
      <c r="Q466">
        <v>4.2657809999999997E-2</v>
      </c>
      <c r="R466">
        <v>3.4705899999999998E-2</v>
      </c>
      <c r="S466">
        <v>3.0125730000000002</v>
      </c>
      <c r="T466">
        <v>-4.7302719999999999E-2</v>
      </c>
      <c r="U466">
        <v>-0.17565919999999999</v>
      </c>
      <c r="V466">
        <v>-2.108929E-2</v>
      </c>
      <c r="W466">
        <v>5.5345680000000001E-2</v>
      </c>
      <c r="X466">
        <v>0.99824449999999998</v>
      </c>
      <c r="Y466">
        <v>7.1776549999999995E-2</v>
      </c>
      <c r="Z466">
        <v>-1.0600010000000001E-3</v>
      </c>
      <c r="AA466">
        <v>0.99742019999999998</v>
      </c>
      <c r="AB466">
        <v>34</v>
      </c>
      <c r="AC466">
        <v>73.6664999999999</v>
      </c>
      <c r="AD466">
        <v>-1.159707</v>
      </c>
      <c r="AE466">
        <v>-4.3092000000000299</v>
      </c>
      <c r="AF466">
        <v>5.3101820667178297</v>
      </c>
      <c r="AG466">
        <v>-1.159707</v>
      </c>
      <c r="AH466">
        <v>73.582848197521102</v>
      </c>
      <c r="AI466">
        <v>90.900597202705697</v>
      </c>
      <c r="AJ466">
        <v>85.872346622444297</v>
      </c>
      <c r="AK466">
        <v>73.783321304797397</v>
      </c>
      <c r="AL466">
        <v>86.827304951589696</v>
      </c>
      <c r="AM466">
        <v>91.210272222519293</v>
      </c>
      <c r="AN466">
        <v>0.99999999211380797</v>
      </c>
    </row>
    <row r="467" spans="1:40" x14ac:dyDescent="0.25">
      <c r="A467" t="str">
        <f>"20190305135803995"</f>
        <v>20190305135803995</v>
      </c>
      <c r="B467" t="str">
        <f>"1551765483989794"</f>
        <v>1551765483989794</v>
      </c>
      <c r="C467" t="s">
        <v>40</v>
      </c>
      <c r="D467">
        <v>4.1801159999999999</v>
      </c>
      <c r="E467">
        <v>0.53361289999999995</v>
      </c>
      <c r="F467" t="s">
        <v>43</v>
      </c>
      <c r="G467">
        <v>-296.22809999999998</v>
      </c>
      <c r="H467">
        <v>-0.05</v>
      </c>
      <c r="I467">
        <v>364.81889999999999</v>
      </c>
      <c r="J467">
        <v>-359.56699999999898</v>
      </c>
      <c r="K467">
        <v>1.109694</v>
      </c>
      <c r="L467">
        <v>368.49059999999997</v>
      </c>
      <c r="M467">
        <v>0.99982850000000001</v>
      </c>
      <c r="N467">
        <v>-1.2688899999999999E-2</v>
      </c>
      <c r="O467">
        <v>1.3495399999999999E-2</v>
      </c>
      <c r="P467">
        <v>0.99848020000000004</v>
      </c>
      <c r="Q467">
        <v>4.2542219999999999E-2</v>
      </c>
      <c r="R467">
        <v>3.5041429999999998E-2</v>
      </c>
      <c r="S467">
        <v>3.0129389999999998</v>
      </c>
      <c r="T467">
        <v>-5.4990650000000002E-2</v>
      </c>
      <c r="U467">
        <v>-0.17398069999999999</v>
      </c>
      <c r="V467">
        <v>-2.15383E-2</v>
      </c>
      <c r="W467">
        <v>5.5222840000000002E-2</v>
      </c>
      <c r="X467">
        <v>0.99824170000000001</v>
      </c>
      <c r="Y467">
        <v>7.109704E-2</v>
      </c>
      <c r="Z467">
        <v>-1.1747629999999999E-3</v>
      </c>
      <c r="AA467">
        <v>0.99746869999999999</v>
      </c>
      <c r="AB467">
        <v>34</v>
      </c>
      <c r="AC467">
        <v>63.338899999999903</v>
      </c>
      <c r="AD467">
        <v>-1.159694</v>
      </c>
      <c r="AE467">
        <v>-3.67169999999998</v>
      </c>
      <c r="AF467">
        <v>4.5247063710205504</v>
      </c>
      <c r="AG467">
        <v>-1.159694</v>
      </c>
      <c r="AH467">
        <v>63.262439357254003</v>
      </c>
      <c r="AI467">
        <v>91.047523389130802</v>
      </c>
      <c r="AJ467">
        <v>85.9090121465739</v>
      </c>
      <c r="AK467">
        <v>63.4346442517638</v>
      </c>
      <c r="AL467">
        <v>86.834353894549096</v>
      </c>
      <c r="AM467">
        <v>91.236035564698199</v>
      </c>
      <c r="AN467">
        <v>0.99999997602172197</v>
      </c>
    </row>
    <row r="468" spans="1:40" x14ac:dyDescent="0.25">
      <c r="A468" t="str">
        <f>"20190305135804009"</f>
        <v>20190305135804009</v>
      </c>
      <c r="B468" t="str">
        <f>"1551765483999553"</f>
        <v>1551765483999553</v>
      </c>
      <c r="C468" t="s">
        <v>40</v>
      </c>
      <c r="D468">
        <v>4.2075889999999996</v>
      </c>
      <c r="E468">
        <v>0.53352739999999998</v>
      </c>
      <c r="F468" t="s">
        <v>43</v>
      </c>
      <c r="G468">
        <v>-301.24259999999998</v>
      </c>
      <c r="H468">
        <v>-0.05</v>
      </c>
      <c r="I468">
        <v>365.14960000000002</v>
      </c>
      <c r="J468">
        <v>-359.358</v>
      </c>
      <c r="K468">
        <v>1.1096839999999999</v>
      </c>
      <c r="L468">
        <v>368.49329999999998</v>
      </c>
      <c r="M468">
        <v>0.99983029999999995</v>
      </c>
      <c r="N468">
        <v>-1.2679950000000001E-2</v>
      </c>
      <c r="O468">
        <v>1.336503E-2</v>
      </c>
      <c r="P468">
        <v>0.99850329999999998</v>
      </c>
      <c r="Q468">
        <v>4.192796E-2</v>
      </c>
      <c r="R468">
        <v>3.5122819999999999E-2</v>
      </c>
      <c r="S468">
        <v>3.0132140000000001</v>
      </c>
      <c r="T468">
        <v>-5.9913279999999999E-2</v>
      </c>
      <c r="U468">
        <v>-0.17260739999999999</v>
      </c>
      <c r="V468">
        <v>-2.1748969999999999E-2</v>
      </c>
      <c r="W468">
        <v>5.4600089999999997E-2</v>
      </c>
      <c r="X468">
        <v>0.99827140000000003</v>
      </c>
      <c r="Y468">
        <v>7.0505750000000006E-2</v>
      </c>
      <c r="Z468">
        <v>-1.2439700000000001E-3</v>
      </c>
      <c r="AA468">
        <v>0.99751060000000003</v>
      </c>
      <c r="AB468">
        <v>34</v>
      </c>
      <c r="AC468">
        <v>58.115400000000001</v>
      </c>
      <c r="AD468">
        <v>-1.1596839999999999</v>
      </c>
      <c r="AE468">
        <v>-3.3436999999999499</v>
      </c>
      <c r="AF468">
        <v>4.1185432290056001</v>
      </c>
      <c r="AG468">
        <v>-1.1596839999999999</v>
      </c>
      <c r="AH468">
        <v>58.0424802620918</v>
      </c>
      <c r="AI468">
        <v>91.141742749454295</v>
      </c>
      <c r="AJ468">
        <v>85.941243470828496</v>
      </c>
      <c r="AK468">
        <v>58.199972339206198</v>
      </c>
      <c r="AL468">
        <v>86.870088795342895</v>
      </c>
      <c r="AM468">
        <v>91.2480845241639</v>
      </c>
      <c r="AN468">
        <v>0.99999998779101396</v>
      </c>
    </row>
    <row r="469" spans="1:40" x14ac:dyDescent="0.25">
      <c r="A469" t="str">
        <f>"20190305135804023"</f>
        <v>20190305135804023</v>
      </c>
      <c r="B469" t="str">
        <f>"1551765484019073"</f>
        <v>1551765484019073</v>
      </c>
      <c r="C469" t="s">
        <v>40</v>
      </c>
      <c r="D469">
        <v>4.2422800000000001</v>
      </c>
      <c r="E469">
        <v>0.53351059999999995</v>
      </c>
      <c r="F469" t="s">
        <v>43</v>
      </c>
      <c r="G469">
        <v>-305.97559999999999</v>
      </c>
      <c r="H469">
        <v>-0.05</v>
      </c>
      <c r="I469">
        <v>365.44900000000001</v>
      </c>
      <c r="J469">
        <v>-359.14159999999998</v>
      </c>
      <c r="K469">
        <v>1.1096710000000001</v>
      </c>
      <c r="L469">
        <v>368.49599999999998</v>
      </c>
      <c r="M469">
        <v>0.99983250000000001</v>
      </c>
      <c r="N469">
        <v>-1.267075E-2</v>
      </c>
      <c r="O469">
        <v>1.322213E-2</v>
      </c>
      <c r="P469">
        <v>0.99852479999999999</v>
      </c>
      <c r="Q469">
        <v>4.1202040000000002E-2</v>
      </c>
      <c r="R469">
        <v>3.5368610000000002E-2</v>
      </c>
      <c r="S469">
        <v>3.0133359999999998</v>
      </c>
      <c r="T469">
        <v>-6.5461870000000005E-2</v>
      </c>
      <c r="U469">
        <v>-0.17184449999999901</v>
      </c>
      <c r="V469">
        <v>-2.2135889999999998E-2</v>
      </c>
      <c r="W469">
        <v>5.3866360000000002E-2</v>
      </c>
      <c r="X469">
        <v>0.99830280000000005</v>
      </c>
      <c r="Y469">
        <v>7.0105559999999997E-2</v>
      </c>
      <c r="Z469">
        <v>-1.3249939999999999E-3</v>
      </c>
      <c r="AA469">
        <v>0.9975387</v>
      </c>
      <c r="AB469">
        <v>34</v>
      </c>
      <c r="AC469">
        <v>53.165999999999997</v>
      </c>
      <c r="AD469">
        <v>-1.1596709999999999</v>
      </c>
      <c r="AE469">
        <v>-3.0469999999999602</v>
      </c>
      <c r="AF469">
        <v>3.74798030223615</v>
      </c>
      <c r="AG469">
        <v>-1.1596709999999999</v>
      </c>
      <c r="AH469">
        <v>53.0958816390091</v>
      </c>
      <c r="AI469">
        <v>91.248097687657705</v>
      </c>
      <c r="AJ469">
        <v>85.962251029016997</v>
      </c>
      <c r="AK469">
        <v>53.240631478203298</v>
      </c>
      <c r="AL469">
        <v>86.912190525081996</v>
      </c>
      <c r="AM469">
        <v>91.270241128818398</v>
      </c>
      <c r="AN469">
        <v>1.0000000314267901</v>
      </c>
    </row>
    <row r="470" spans="1:40" x14ac:dyDescent="0.25">
      <c r="A470" t="str">
        <f>"20190305135804035"</f>
        <v>20190305135804035</v>
      </c>
      <c r="B470" t="str">
        <f>"1551765484028833"</f>
        <v>1551765484028833</v>
      </c>
      <c r="C470" t="s">
        <v>40</v>
      </c>
      <c r="D470">
        <v>4.2155550000000002</v>
      </c>
      <c r="E470">
        <v>0.53354230000000002</v>
      </c>
      <c r="F470" t="s">
        <v>43</v>
      </c>
      <c r="G470">
        <v>-312.00779999999997</v>
      </c>
      <c r="H470">
        <v>-0.05</v>
      </c>
      <c r="I470">
        <v>365.82350000000002</v>
      </c>
      <c r="J470">
        <v>-358.96129999999999</v>
      </c>
      <c r="K470">
        <v>1.109656</v>
      </c>
      <c r="L470">
        <v>368.49829999999997</v>
      </c>
      <c r="M470">
        <v>0.99983409999999995</v>
      </c>
      <c r="N470">
        <v>-1.2663290000000001E-2</v>
      </c>
      <c r="O470">
        <v>1.3096099999999999E-2</v>
      </c>
      <c r="P470">
        <v>0.99854120000000002</v>
      </c>
      <c r="Q470">
        <v>4.0999529999999999E-2</v>
      </c>
      <c r="R470">
        <v>3.5139799999999999E-2</v>
      </c>
      <c r="S470">
        <v>3.01355</v>
      </c>
      <c r="T470">
        <v>-7.4144719999999997E-2</v>
      </c>
      <c r="U470">
        <v>-0.17086789999999999</v>
      </c>
      <c r="V470">
        <v>-2.2031889999999998E-2</v>
      </c>
      <c r="W470">
        <v>5.3657320000000001E-2</v>
      </c>
      <c r="X470">
        <v>0.99831630000000005</v>
      </c>
      <c r="Y470">
        <v>6.9647470000000003E-2</v>
      </c>
      <c r="Z470">
        <v>-1.4536740000000001E-3</v>
      </c>
      <c r="AA470">
        <v>0.99757059999999997</v>
      </c>
      <c r="AB470">
        <v>34</v>
      </c>
      <c r="AC470">
        <v>46.953499999999998</v>
      </c>
      <c r="AD470">
        <v>-1.159656</v>
      </c>
      <c r="AE470">
        <v>-2.6747999999999399</v>
      </c>
      <c r="AF470">
        <v>3.2875287186237498</v>
      </c>
      <c r="AG470">
        <v>-1.159656</v>
      </c>
      <c r="AH470">
        <v>46.885933062440202</v>
      </c>
      <c r="AI470">
        <v>91.413370953677301</v>
      </c>
      <c r="AJ470">
        <v>85.989122449598796</v>
      </c>
      <c r="AK470">
        <v>47.015352452680098</v>
      </c>
      <c r="AL470">
        <v>86.924184802695294</v>
      </c>
      <c r="AM470">
        <v>91.264258065896001</v>
      </c>
      <c r="AN470">
        <v>0.99999997350612102</v>
      </c>
    </row>
    <row r="471" spans="1:40" x14ac:dyDescent="0.25">
      <c r="A471" t="str">
        <f>"20190305135804047"</f>
        <v>20190305135804047</v>
      </c>
      <c r="B471" t="str">
        <f>"1551765484039569"</f>
        <v>1551765484039569</v>
      </c>
      <c r="C471" t="s">
        <v>40</v>
      </c>
      <c r="D471">
        <v>4.1923430000000002</v>
      </c>
      <c r="E471">
        <v>0.53356579999999998</v>
      </c>
      <c r="F471" t="s">
        <v>43</v>
      </c>
      <c r="G471">
        <v>-314.04419999999999</v>
      </c>
      <c r="H471">
        <v>-0.05</v>
      </c>
      <c r="I471">
        <v>365.93239999999997</v>
      </c>
      <c r="J471">
        <v>-358.78919999999999</v>
      </c>
      <c r="K471">
        <v>1.1096440000000001</v>
      </c>
      <c r="L471">
        <v>368.50040000000001</v>
      </c>
      <c r="M471">
        <v>0.99983599999999995</v>
      </c>
      <c r="N471">
        <v>-1.265661E-2</v>
      </c>
      <c r="O471">
        <v>1.296754E-2</v>
      </c>
      <c r="P471">
        <v>0.99855059999999995</v>
      </c>
      <c r="Q471">
        <v>4.0916090000000002E-2</v>
      </c>
      <c r="R471">
        <v>3.4973129999999998E-2</v>
      </c>
      <c r="S471">
        <v>3.0136409999999998</v>
      </c>
      <c r="T471">
        <v>-7.7805159999999998E-2</v>
      </c>
      <c r="U471">
        <v>-0.17214969999999999</v>
      </c>
      <c r="V471">
        <v>-2.1992009999999999E-2</v>
      </c>
      <c r="W471">
        <v>5.3567339999999998E-2</v>
      </c>
      <c r="X471">
        <v>0.99832200000000004</v>
      </c>
      <c r="Y471">
        <v>6.9937399999999997E-2</v>
      </c>
      <c r="Z471">
        <v>-1.5155119999999999E-3</v>
      </c>
      <c r="AA471">
        <v>0.99755020000000005</v>
      </c>
      <c r="AB471">
        <v>34</v>
      </c>
      <c r="AC471">
        <v>44.744999999999997</v>
      </c>
      <c r="AD471">
        <v>-1.1596439999999999</v>
      </c>
      <c r="AE471">
        <v>-2.56800000000004</v>
      </c>
      <c r="AF471">
        <v>3.1459568617857898</v>
      </c>
      <c r="AG471">
        <v>-1.1596439999999999</v>
      </c>
      <c r="AH471">
        <v>44.678023170974797</v>
      </c>
      <c r="AI471">
        <v>91.483140751053398</v>
      </c>
      <c r="AJ471">
        <v>85.972224817440605</v>
      </c>
      <c r="AK471">
        <v>44.803655802279302</v>
      </c>
      <c r="AL471">
        <v>86.929347667020707</v>
      </c>
      <c r="AM471">
        <v>91.261963165740099</v>
      </c>
      <c r="AN471">
        <v>0.99999996205125696</v>
      </c>
    </row>
    <row r="472" spans="1:40" x14ac:dyDescent="0.25">
      <c r="A472" t="str">
        <f>"20190305135804058"</f>
        <v>20190305135804058</v>
      </c>
      <c r="B472" t="str">
        <f>"1551765484049329"</f>
        <v>1551765484049329</v>
      </c>
      <c r="C472" t="s">
        <v>40</v>
      </c>
      <c r="D472">
        <v>4.1982080000000002</v>
      </c>
      <c r="E472">
        <v>0.53360680000000005</v>
      </c>
      <c r="F472" t="s">
        <v>43</v>
      </c>
      <c r="G472">
        <v>-315.50380000000001</v>
      </c>
      <c r="H472">
        <v>-0.05</v>
      </c>
      <c r="I472">
        <v>366.01949999999999</v>
      </c>
      <c r="J472">
        <v>-358.61239999999998</v>
      </c>
      <c r="K472">
        <v>1.109631</v>
      </c>
      <c r="L472">
        <v>368.5025</v>
      </c>
      <c r="M472">
        <v>0.9998378</v>
      </c>
      <c r="N472">
        <v>-1.264989E-2</v>
      </c>
      <c r="O472">
        <v>1.283253E-2</v>
      </c>
      <c r="P472">
        <v>0.99858709999999995</v>
      </c>
      <c r="Q472">
        <v>4.056299E-2</v>
      </c>
      <c r="R472">
        <v>3.433286E-2</v>
      </c>
      <c r="S472">
        <v>3.0137019999999999</v>
      </c>
      <c r="T472">
        <v>-8.0739019999999995E-2</v>
      </c>
      <c r="U472">
        <v>-0.17272950000000001</v>
      </c>
      <c r="V472">
        <v>-2.1484969999999999E-2</v>
      </c>
      <c r="W472">
        <v>5.3208320000000003E-2</v>
      </c>
      <c r="X472">
        <v>0.99835229999999997</v>
      </c>
      <c r="Y472">
        <v>6.9990460000000004E-2</v>
      </c>
      <c r="Z472">
        <v>-1.5610870000000001E-3</v>
      </c>
      <c r="AA472">
        <v>0.99754640000000006</v>
      </c>
      <c r="AB472">
        <v>34</v>
      </c>
      <c r="AC472">
        <v>43.108599999999903</v>
      </c>
      <c r="AD472">
        <v>-1.1596309999999901</v>
      </c>
      <c r="AE472">
        <v>-2.4830000000000001</v>
      </c>
      <c r="AF472">
        <v>3.0338439996210802</v>
      </c>
      <c r="AG472">
        <v>-1.1596309999999901</v>
      </c>
      <c r="AH472">
        <v>43.0421408882573</v>
      </c>
      <c r="AI472">
        <v>91.539458190940906</v>
      </c>
      <c r="AJ472">
        <v>85.968150273683193</v>
      </c>
      <c r="AK472">
        <v>43.164509098503501</v>
      </c>
      <c r="AL472">
        <v>86.949947560170301</v>
      </c>
      <c r="AM472">
        <v>91.232839469426693</v>
      </c>
      <c r="AN472">
        <v>1.0000000220842</v>
      </c>
    </row>
    <row r="473" spans="1:40" x14ac:dyDescent="0.25">
      <c r="A473" t="str">
        <f>"20190305135804068"</f>
        <v>20190305135804068</v>
      </c>
      <c r="B473" t="str">
        <f>"1551765484059089"</f>
        <v>1551765484059089</v>
      </c>
      <c r="C473" t="s">
        <v>40</v>
      </c>
      <c r="D473">
        <v>4.1611520000000004</v>
      </c>
      <c r="E473">
        <v>0.53364609999999901</v>
      </c>
      <c r="F473" t="s">
        <v>43</v>
      </c>
      <c r="G473">
        <v>-317.07580000000002</v>
      </c>
      <c r="H473">
        <v>-0.05</v>
      </c>
      <c r="I473">
        <v>366.08980000000003</v>
      </c>
      <c r="J473">
        <v>-358.44639999999998</v>
      </c>
      <c r="K473">
        <v>1.1096170000000001</v>
      </c>
      <c r="L473">
        <v>368.50450000000001</v>
      </c>
      <c r="M473">
        <v>0.9998397</v>
      </c>
      <c r="N473">
        <v>-1.2644000000000001E-2</v>
      </c>
      <c r="O473">
        <v>1.269356E-2</v>
      </c>
      <c r="P473">
        <v>0.99862090000000003</v>
      </c>
      <c r="Q473">
        <v>4.0407480000000003E-2</v>
      </c>
      <c r="R473">
        <v>3.3521990000000002E-2</v>
      </c>
      <c r="S473">
        <v>3.0136409999999998</v>
      </c>
      <c r="T473">
        <v>-8.4135650000000006E-2</v>
      </c>
      <c r="U473">
        <v>-0.17504879999999901</v>
      </c>
      <c r="V473">
        <v>-2.0811050000000001E-2</v>
      </c>
      <c r="W473">
        <v>5.3047370000000003E-2</v>
      </c>
      <c r="X473">
        <v>0.99837509999999996</v>
      </c>
      <c r="Y473">
        <v>7.0614919999999998E-2</v>
      </c>
      <c r="Z473">
        <v>-1.62535E-3</v>
      </c>
      <c r="AA473">
        <v>0.99750229999999995</v>
      </c>
      <c r="AB473">
        <v>34</v>
      </c>
      <c r="AC473">
        <v>41.370599999999897</v>
      </c>
      <c r="AD473">
        <v>-1.1596169999999999</v>
      </c>
      <c r="AE473">
        <v>-2.4146999999999799</v>
      </c>
      <c r="AF473">
        <v>2.9373874796955302</v>
      </c>
      <c r="AG473">
        <v>-1.1596169999999999</v>
      </c>
      <c r="AH473">
        <v>41.304271057029197</v>
      </c>
      <c r="AI473">
        <v>91.604106897369505</v>
      </c>
      <c r="AJ473">
        <v>85.932211475353796</v>
      </c>
      <c r="AK473">
        <v>41.424820631417397</v>
      </c>
      <c r="AL473">
        <v>86.959182235156305</v>
      </c>
      <c r="AM473">
        <v>91.194153055139196</v>
      </c>
      <c r="AN473">
        <v>0.99999998178301397</v>
      </c>
    </row>
    <row r="474" spans="1:40" x14ac:dyDescent="0.25">
      <c r="A474" t="str">
        <f>"20190305135804080"</f>
        <v>20190305135804080</v>
      </c>
      <c r="B474" t="str">
        <f>"1551765484068850"</f>
        <v>1551765484068850</v>
      </c>
      <c r="C474" t="s">
        <v>40</v>
      </c>
      <c r="D474">
        <v>4.237895</v>
      </c>
      <c r="E474">
        <v>0.53366150000000001</v>
      </c>
      <c r="F474" t="s">
        <v>43</v>
      </c>
      <c r="G474">
        <v>-317.79239999999999</v>
      </c>
      <c r="H474">
        <v>-0.05</v>
      </c>
      <c r="I474">
        <v>366.10160000000002</v>
      </c>
      <c r="J474">
        <v>-358.28269999999998</v>
      </c>
      <c r="K474">
        <v>1.109604</v>
      </c>
      <c r="L474">
        <v>368.50650000000002</v>
      </c>
      <c r="M474">
        <v>0.99984139999999999</v>
      </c>
      <c r="N474">
        <v>-1.263828E-2</v>
      </c>
      <c r="O474">
        <v>1.2554360000000001E-2</v>
      </c>
      <c r="P474">
        <v>0.9986332</v>
      </c>
      <c r="Q474">
        <v>4.0637180000000002E-2</v>
      </c>
      <c r="R474">
        <v>3.2872020000000002E-2</v>
      </c>
      <c r="S474">
        <v>3.0136409999999998</v>
      </c>
      <c r="T474">
        <v>-8.5961220000000005E-2</v>
      </c>
      <c r="U474">
        <v>-0.17813109999999999</v>
      </c>
      <c r="V474">
        <v>-2.029856E-2</v>
      </c>
      <c r="W474">
        <v>5.3271649999999997E-2</v>
      </c>
      <c r="X474">
        <v>0.99837370000000003</v>
      </c>
      <c r="Y474">
        <v>7.1490680000000001E-2</v>
      </c>
      <c r="Z474">
        <v>-1.6700479999999999E-3</v>
      </c>
      <c r="AA474">
        <v>0.99743990000000005</v>
      </c>
      <c r="AB474">
        <v>34</v>
      </c>
      <c r="AC474">
        <v>40.490299999999898</v>
      </c>
      <c r="AD474">
        <v>-1.1596040000000001</v>
      </c>
      <c r="AE474">
        <v>-2.4048999999999898</v>
      </c>
      <c r="AF474">
        <v>2.9107018521049102</v>
      </c>
      <c r="AG474">
        <v>-1.1596040000000001</v>
      </c>
      <c r="AH474">
        <v>40.423875166037497</v>
      </c>
      <c r="AI474">
        <v>91.638902053127893</v>
      </c>
      <c r="AJ474">
        <v>85.881552479605205</v>
      </c>
      <c r="AK474">
        <v>40.545117463734698</v>
      </c>
      <c r="AL474">
        <v>86.946313713601299</v>
      </c>
      <c r="AM474">
        <v>91.164755845650106</v>
      </c>
      <c r="AN474">
        <v>0.999999972541742</v>
      </c>
    </row>
    <row r="475" spans="1:40" x14ac:dyDescent="0.25">
      <c r="A475" t="str">
        <f>"20190305135804093"</f>
        <v>20190305135804093</v>
      </c>
      <c r="B475" t="str">
        <f>"1551765484089345"</f>
        <v>1551765484089345</v>
      </c>
      <c r="C475" t="s">
        <v>40</v>
      </c>
      <c r="D475">
        <v>4.1865540000000001</v>
      </c>
      <c r="E475">
        <v>0.53368019999999905</v>
      </c>
      <c r="F475" t="s">
        <v>42</v>
      </c>
      <c r="G475">
        <v>-320.05329999999998</v>
      </c>
      <c r="H475" s="1">
        <v>-4.8515939999999997E-6</v>
      </c>
      <c r="I475">
        <v>366.22149999999999</v>
      </c>
      <c r="J475">
        <v>-358.09230000000002</v>
      </c>
      <c r="K475">
        <v>1.1095889999999999</v>
      </c>
      <c r="L475">
        <v>368.50869999999998</v>
      </c>
      <c r="M475">
        <v>0.9998437</v>
      </c>
      <c r="N475">
        <v>-1.2632010000000001E-2</v>
      </c>
      <c r="O475">
        <v>1.2379940000000001E-2</v>
      </c>
      <c r="P475">
        <v>0.99865870000000001</v>
      </c>
      <c r="Q475">
        <v>4.0668509999999998E-2</v>
      </c>
      <c r="R475">
        <v>3.2048310000000003E-2</v>
      </c>
      <c r="S475">
        <v>3.01355</v>
      </c>
      <c r="T475">
        <v>-8.7468149999999995E-2</v>
      </c>
      <c r="U475">
        <v>-0.18011469999999999</v>
      </c>
      <c r="V475">
        <v>-1.9646799999999999E-2</v>
      </c>
      <c r="W475">
        <v>5.329735E-2</v>
      </c>
      <c r="X475">
        <v>0.99838539999999998</v>
      </c>
      <c r="Y475">
        <v>7.1971069999999998E-2</v>
      </c>
      <c r="Z475">
        <v>-1.7011960000000001E-3</v>
      </c>
      <c r="AA475">
        <v>0.99740530000000005</v>
      </c>
      <c r="AB475">
        <v>34</v>
      </c>
      <c r="AC475">
        <v>38.039000000000001</v>
      </c>
      <c r="AD475">
        <v>-1.109593851594</v>
      </c>
      <c r="AE475">
        <v>-2.2871999999999799</v>
      </c>
      <c r="AF475">
        <v>2.75564646129996</v>
      </c>
      <c r="AG475">
        <v>-1.109593851594</v>
      </c>
      <c r="AH475">
        <v>37.9755704150677</v>
      </c>
      <c r="AI475">
        <v>91.669241160210007</v>
      </c>
      <c r="AJ475">
        <v>85.849682690872001</v>
      </c>
      <c r="AK475">
        <v>38.091583509811301</v>
      </c>
      <c r="AL475">
        <v>86.944839218268896</v>
      </c>
      <c r="AM475">
        <v>91.127353674983894</v>
      </c>
      <c r="AN475">
        <v>1.0000000056002101</v>
      </c>
    </row>
    <row r="476" spans="1:40" x14ac:dyDescent="0.25">
      <c r="A476" t="str">
        <f>"20190305135804104"</f>
        <v>20190305135804104</v>
      </c>
      <c r="B476" t="str">
        <f>"1551765484099105"</f>
        <v>1551765484099105</v>
      </c>
      <c r="C476" t="s">
        <v>40</v>
      </c>
      <c r="D476">
        <v>4.182671</v>
      </c>
      <c r="E476">
        <v>0.53369739999999999</v>
      </c>
      <c r="F476" t="s">
        <v>42</v>
      </c>
      <c r="G476">
        <v>-321.2688</v>
      </c>
      <c r="H476" s="1">
        <v>-4.3210330000000001E-6</v>
      </c>
      <c r="I476">
        <v>366.2731</v>
      </c>
      <c r="J476">
        <v>-357.91230000000002</v>
      </c>
      <c r="K476">
        <v>1.109575</v>
      </c>
      <c r="L476">
        <v>368.51080000000002</v>
      </c>
      <c r="M476">
        <v>0.99984580000000001</v>
      </c>
      <c r="N476">
        <v>-1.262635E-2</v>
      </c>
      <c r="O476">
        <v>1.2204670000000001E-2</v>
      </c>
      <c r="P476">
        <v>0.99867620000000001</v>
      </c>
      <c r="Q476">
        <v>4.0638920000000002E-2</v>
      </c>
      <c r="R476">
        <v>3.1537389999999998E-2</v>
      </c>
      <c r="S476">
        <v>3.0135800000000001</v>
      </c>
      <c r="T476">
        <v>-9.0807319999999997E-2</v>
      </c>
      <c r="U476">
        <v>-0.1829529</v>
      </c>
      <c r="V476">
        <v>-1.9309300000000001E-2</v>
      </c>
      <c r="W476">
        <v>5.32626E-2</v>
      </c>
      <c r="X476">
        <v>0.9983938</v>
      </c>
      <c r="Y476">
        <v>7.2728020000000004E-2</v>
      </c>
      <c r="Z476">
        <v>-1.7676549999999999E-3</v>
      </c>
      <c r="AA476">
        <v>0.99735019999999996</v>
      </c>
      <c r="AB476">
        <v>34</v>
      </c>
      <c r="AC476">
        <v>36.643500000000003</v>
      </c>
      <c r="AD476">
        <v>-1.1095793210330001</v>
      </c>
      <c r="AE476">
        <v>-2.23770000000001</v>
      </c>
      <c r="AF476">
        <v>2.6823404828491402</v>
      </c>
      <c r="AG476">
        <v>-1.1095793210330001</v>
      </c>
      <c r="AH476">
        <v>36.580042105270998</v>
      </c>
      <c r="AI476">
        <v>91.732765862856795</v>
      </c>
      <c r="AJ476">
        <v>85.806122470584697</v>
      </c>
      <c r="AK476">
        <v>36.695035047796203</v>
      </c>
      <c r="AL476">
        <v>86.946832959925601</v>
      </c>
      <c r="AM476">
        <v>91.107983126578006</v>
      </c>
      <c r="AN476">
        <v>0.99999996675184399</v>
      </c>
    </row>
    <row r="477" spans="1:40" x14ac:dyDescent="0.25">
      <c r="A477" t="str">
        <f>"20190305135804115"</f>
        <v>20190305135804115</v>
      </c>
      <c r="B477" t="str">
        <f>"1551765484108866"</f>
        <v>1551765484108866</v>
      </c>
      <c r="C477" t="s">
        <v>40</v>
      </c>
      <c r="D477">
        <v>4.2368110000000003</v>
      </c>
      <c r="E477">
        <v>0.53375799999999995</v>
      </c>
      <c r="F477" t="s">
        <v>42</v>
      </c>
      <c r="G477">
        <v>-321.65570000000002</v>
      </c>
      <c r="H477" s="1">
        <v>-4.1522790000000001E-6</v>
      </c>
      <c r="I477">
        <v>366.28859999999997</v>
      </c>
      <c r="J477">
        <v>-357.74020000000002</v>
      </c>
      <c r="K477">
        <v>1.109553</v>
      </c>
      <c r="L477">
        <v>368.5127</v>
      </c>
      <c r="M477">
        <v>0.99984799999999996</v>
      </c>
      <c r="N477">
        <v>-1.262113E-2</v>
      </c>
      <c r="O477">
        <v>1.202868E-2</v>
      </c>
      <c r="P477">
        <v>0.99870720000000002</v>
      </c>
      <c r="Q477">
        <v>4.0434039999999997E-2</v>
      </c>
      <c r="R477">
        <v>3.0808829999999999E-2</v>
      </c>
      <c r="S477">
        <v>3.0135190000000001</v>
      </c>
      <c r="T477">
        <v>-9.2224239999999999E-2</v>
      </c>
      <c r="U477">
        <v>-0.18469240000000001</v>
      </c>
      <c r="V477">
        <v>-1.8754409999999999E-2</v>
      </c>
      <c r="W477">
        <v>5.3053089999999997E-2</v>
      </c>
      <c r="X477">
        <v>0.99841559999999996</v>
      </c>
      <c r="Y477">
        <v>7.3125679999999998E-2</v>
      </c>
      <c r="Z477">
        <v>-1.7957769999999999E-3</v>
      </c>
      <c r="AA477">
        <v>0.99732109999999996</v>
      </c>
      <c r="AB477">
        <v>34</v>
      </c>
      <c r="AC477">
        <v>36.084499999999899</v>
      </c>
      <c r="AD477">
        <v>-1.109557152279</v>
      </c>
      <c r="AE477">
        <v>-2.2241000000000199</v>
      </c>
      <c r="AF477">
        <v>2.65552127143367</v>
      </c>
      <c r="AG477">
        <v>-1.109557152279</v>
      </c>
      <c r="AH477">
        <v>36.021204979063597</v>
      </c>
      <c r="AI477">
        <v>91.759545738579206</v>
      </c>
      <c r="AJ477">
        <v>85.783721789640396</v>
      </c>
      <c r="AK477">
        <v>36.135994775859302</v>
      </c>
      <c r="AL477">
        <v>86.958854200969498</v>
      </c>
      <c r="AM477">
        <v>91.076127199878897</v>
      </c>
      <c r="AN477">
        <v>1.0000000342881701</v>
      </c>
    </row>
    <row r="478" spans="1:40" x14ac:dyDescent="0.25">
      <c r="A478" t="str">
        <f>"20190305135804129"</f>
        <v>20190305135804129</v>
      </c>
      <c r="B478" t="str">
        <f>"1551765484119601"</f>
        <v>1551765484119601</v>
      </c>
      <c r="C478" t="s">
        <v>40</v>
      </c>
      <c r="D478">
        <v>4.2269319999999997</v>
      </c>
      <c r="E478">
        <v>0.53374429999999995</v>
      </c>
      <c r="F478" t="s">
        <v>42</v>
      </c>
      <c r="G478">
        <v>-322.31349999999998</v>
      </c>
      <c r="H478" s="1">
        <v>-3.866715E-6</v>
      </c>
      <c r="I478">
        <v>366.30759999999998</v>
      </c>
      <c r="J478">
        <v>-357.5437</v>
      </c>
      <c r="K478">
        <v>1.109531</v>
      </c>
      <c r="L478">
        <v>368.51490000000001</v>
      </c>
      <c r="M478">
        <v>0.99985069999999998</v>
      </c>
      <c r="N478">
        <v>-1.261555E-2</v>
      </c>
      <c r="O478">
        <v>1.180497E-2</v>
      </c>
      <c r="P478">
        <v>0.99874589999999996</v>
      </c>
      <c r="Q478">
        <v>3.998902E-2</v>
      </c>
      <c r="R478">
        <v>3.0126449999999999E-2</v>
      </c>
      <c r="S478">
        <v>3.0134889999999999</v>
      </c>
      <c r="T478">
        <v>-9.4381569999999998E-2</v>
      </c>
      <c r="U478">
        <v>-0.18756100000000001</v>
      </c>
      <c r="V478">
        <v>-1.8292570000000001E-2</v>
      </c>
      <c r="W478">
        <v>5.2603579999999997E-2</v>
      </c>
      <c r="X478">
        <v>0.99844790000000005</v>
      </c>
      <c r="Y478">
        <v>7.384636E-2</v>
      </c>
      <c r="Z478">
        <v>-1.84201E-3</v>
      </c>
      <c r="AA478">
        <v>0.99726789999999998</v>
      </c>
      <c r="AB478">
        <v>34</v>
      </c>
      <c r="AC478">
        <v>35.230200000000004</v>
      </c>
      <c r="AD478">
        <v>-1.109534866715</v>
      </c>
      <c r="AE478">
        <v>-2.2073000000000298</v>
      </c>
      <c r="AF478">
        <v>2.6204817398498301</v>
      </c>
      <c r="AG478">
        <v>-1.109534866715</v>
      </c>
      <c r="AH478">
        <v>35.1669411460162</v>
      </c>
      <c r="AI478">
        <v>91.802118553224403</v>
      </c>
      <c r="AJ478">
        <v>85.738452946610295</v>
      </c>
      <c r="AK478">
        <v>35.281889713232701</v>
      </c>
      <c r="AL478">
        <v>86.984645082364494</v>
      </c>
      <c r="AM478">
        <v>91.049598896797207</v>
      </c>
      <c r="AN478">
        <v>0.99999998188021499</v>
      </c>
    </row>
    <row r="479" spans="1:40" x14ac:dyDescent="0.25">
      <c r="A479" t="str">
        <f>"20190305135804143"</f>
        <v>20190305135804143</v>
      </c>
      <c r="B479" t="str">
        <f>"1551765484139122"</f>
        <v>1551765484139122</v>
      </c>
      <c r="C479" t="s">
        <v>40</v>
      </c>
      <c r="D479">
        <v>4.2073850000000004</v>
      </c>
      <c r="E479">
        <v>0.53348660000000003</v>
      </c>
      <c r="F479" t="s">
        <v>42</v>
      </c>
      <c r="G479">
        <v>-322.97449999999998</v>
      </c>
      <c r="H479" s="1">
        <v>-3.5781819999999998E-6</v>
      </c>
      <c r="I479">
        <v>366.33580000000001</v>
      </c>
      <c r="J479">
        <v>-357.34230000000002</v>
      </c>
      <c r="K479">
        <v>1.1095029999999999</v>
      </c>
      <c r="L479">
        <v>368.517</v>
      </c>
      <c r="M479">
        <v>0.99985369999999996</v>
      </c>
      <c r="N479">
        <v>-1.2610130000000001E-2</v>
      </c>
      <c r="O479">
        <v>1.156012E-2</v>
      </c>
      <c r="P479">
        <v>0.99877300000000002</v>
      </c>
      <c r="Q479">
        <v>3.9732169999999997E-2</v>
      </c>
      <c r="R479">
        <v>2.9561649999999998E-2</v>
      </c>
      <c r="S479">
        <v>3.0133670000000001</v>
      </c>
      <c r="T479">
        <v>-9.6716880000000005E-2</v>
      </c>
      <c r="U479">
        <v>-0.18994140000000001</v>
      </c>
      <c r="V479">
        <v>-1.796907E-2</v>
      </c>
      <c r="W479">
        <v>5.2342149999999997E-2</v>
      </c>
      <c r="X479">
        <v>0.99846749999999995</v>
      </c>
      <c r="Y479">
        <v>7.4386659999999993E-2</v>
      </c>
      <c r="Z479">
        <v>-1.886925E-3</v>
      </c>
      <c r="AA479">
        <v>0.99722770000000005</v>
      </c>
      <c r="AB479">
        <v>34</v>
      </c>
      <c r="AC479">
        <v>34.367800000000003</v>
      </c>
      <c r="AD479">
        <v>-1.1095065781819999</v>
      </c>
      <c r="AE479">
        <v>-2.1811999999999898</v>
      </c>
      <c r="AF479">
        <v>2.5757080318197598</v>
      </c>
      <c r="AG479">
        <v>-1.1095065781819999</v>
      </c>
      <c r="AH479">
        <v>34.304676895241698</v>
      </c>
      <c r="AI479">
        <v>91.847259615947607</v>
      </c>
      <c r="AJ479">
        <v>85.706101181742298</v>
      </c>
      <c r="AK479">
        <v>34.4191245327237</v>
      </c>
      <c r="AL479">
        <v>86.999644541741901</v>
      </c>
      <c r="AM479">
        <v>91.031020783503905</v>
      </c>
      <c r="AN479">
        <v>0.99999996834976801</v>
      </c>
    </row>
    <row r="480" spans="1:40" x14ac:dyDescent="0.25">
      <c r="A480" t="str">
        <f>"20190305135804160"</f>
        <v>20190305135804160</v>
      </c>
      <c r="B480" t="str">
        <f>"1551765484148882"</f>
        <v>1551765484148882</v>
      </c>
      <c r="C480" t="s">
        <v>40</v>
      </c>
      <c r="D480">
        <v>4.2309320000000001</v>
      </c>
      <c r="E480">
        <v>0.53335379999999999</v>
      </c>
      <c r="F480" t="s">
        <v>42</v>
      </c>
      <c r="G480">
        <v>-323.75049999999999</v>
      </c>
      <c r="H480" s="1">
        <v>-3.2327629999999998E-6</v>
      </c>
      <c r="I480">
        <v>366.40620000000001</v>
      </c>
      <c r="J480">
        <v>-357.06900000000002</v>
      </c>
      <c r="K480">
        <v>1.109459</v>
      </c>
      <c r="L480">
        <v>368.51979999999998</v>
      </c>
      <c r="M480">
        <v>0.99985800000000002</v>
      </c>
      <c r="N480">
        <v>-1.26035E-2</v>
      </c>
      <c r="O480">
        <v>1.118772E-2</v>
      </c>
      <c r="P480">
        <v>0.99885080000000004</v>
      </c>
      <c r="Q480">
        <v>3.8264239999999998E-2</v>
      </c>
      <c r="R480">
        <v>2.8861919999999999E-2</v>
      </c>
      <c r="S480">
        <v>3.0132140000000001</v>
      </c>
      <c r="T480">
        <v>-9.9523310000000004E-2</v>
      </c>
      <c r="U480">
        <v>-0.1893311</v>
      </c>
      <c r="V480">
        <v>-1.7636659999999998E-2</v>
      </c>
      <c r="W480">
        <v>5.0870220000000001E-2</v>
      </c>
      <c r="X480">
        <v>0.99854949999999998</v>
      </c>
      <c r="Y480">
        <v>7.3814809999999995E-2</v>
      </c>
      <c r="Z480">
        <v>-1.9115390000000001E-3</v>
      </c>
      <c r="AA480">
        <v>0.99727010000000005</v>
      </c>
      <c r="AB480">
        <v>34</v>
      </c>
      <c r="AC480">
        <v>33.3185</v>
      </c>
      <c r="AD480">
        <v>-1.1094622327629999</v>
      </c>
      <c r="AE480">
        <v>-2.11359999999996</v>
      </c>
      <c r="AF480">
        <v>2.48351266463817</v>
      </c>
      <c r="AG480">
        <v>-1.1094622327629999</v>
      </c>
      <c r="AH480">
        <v>33.256039620667202</v>
      </c>
      <c r="AI480">
        <v>91.905446839648306</v>
      </c>
      <c r="AJ480">
        <v>85.729162079829507</v>
      </c>
      <c r="AK480">
        <v>33.367093263464497</v>
      </c>
      <c r="AL480">
        <v>87.084092452124693</v>
      </c>
      <c r="AM480">
        <v>91.011868840266004</v>
      </c>
      <c r="AN480">
        <v>0.99999996750452602</v>
      </c>
    </row>
    <row r="481" spans="1:40" x14ac:dyDescent="0.25">
      <c r="A481" t="str">
        <f>"20190305135804173"</f>
        <v>20190305135804173</v>
      </c>
      <c r="B481" t="str">
        <f>"1551765484169377"</f>
        <v>1551765484169377</v>
      </c>
      <c r="C481" t="s">
        <v>40</v>
      </c>
      <c r="D481">
        <v>4.2178110000000002</v>
      </c>
      <c r="E481">
        <v>0.53325900000000004</v>
      </c>
      <c r="F481" t="s">
        <v>42</v>
      </c>
      <c r="G481">
        <v>-325.11169999999998</v>
      </c>
      <c r="H481" s="1">
        <v>-2.6322700000000002E-6</v>
      </c>
      <c r="I481">
        <v>366.49959999999999</v>
      </c>
      <c r="J481">
        <v>-356.86970000000002</v>
      </c>
      <c r="K481">
        <v>1.109424</v>
      </c>
      <c r="L481">
        <v>368.52170000000001</v>
      </c>
      <c r="M481">
        <v>0.99986149999999996</v>
      </c>
      <c r="N481">
        <v>-1.25992E-2</v>
      </c>
      <c r="O481">
        <v>1.088313E-2</v>
      </c>
      <c r="P481">
        <v>0.99889150000000004</v>
      </c>
      <c r="Q481">
        <v>3.7475090000000003E-2</v>
      </c>
      <c r="R481">
        <v>2.8491240000000001E-2</v>
      </c>
      <c r="S481">
        <v>3.0129700000000001</v>
      </c>
      <c r="T481">
        <v>-0.10460079999999999</v>
      </c>
      <c r="U481">
        <v>-0.1904602</v>
      </c>
      <c r="V481">
        <v>-1.7567369999999999E-2</v>
      </c>
      <c r="W481">
        <v>5.0078240000000003E-2</v>
      </c>
      <c r="X481">
        <v>0.9985908</v>
      </c>
      <c r="Y481">
        <v>7.3882950000000003E-2</v>
      </c>
      <c r="Z481">
        <v>-1.987347E-3</v>
      </c>
      <c r="AA481">
        <v>0.99726490000000001</v>
      </c>
      <c r="AB481">
        <v>34</v>
      </c>
      <c r="AC481">
        <v>31.757999999999999</v>
      </c>
      <c r="AD481">
        <v>-1.1094266322699999</v>
      </c>
      <c r="AE481">
        <v>-2.02210000000002</v>
      </c>
      <c r="AF481">
        <v>2.3647598442511701</v>
      </c>
      <c r="AG481">
        <v>-1.1094266322699999</v>
      </c>
      <c r="AH481">
        <v>31.695586271832902</v>
      </c>
      <c r="AI481">
        <v>91.999128726106804</v>
      </c>
      <c r="AJ481">
        <v>85.733153695459393</v>
      </c>
      <c r="AK481">
        <v>31.803036108028699</v>
      </c>
      <c r="AL481">
        <v>87.129527613623793</v>
      </c>
      <c r="AM481">
        <v>91.007852607662699</v>
      </c>
      <c r="AN481">
        <v>1.0000000142274199</v>
      </c>
    </row>
    <row r="482" spans="1:40" x14ac:dyDescent="0.25">
      <c r="A482" t="str">
        <f>"20190305135804184"</f>
        <v>20190305135804184</v>
      </c>
      <c r="B482" t="str">
        <f>"1551765484179138"</f>
        <v>1551765484179138</v>
      </c>
      <c r="C482" t="s">
        <v>40</v>
      </c>
      <c r="D482">
        <v>4.1177390000000003</v>
      </c>
      <c r="E482">
        <v>0.53312969999999904</v>
      </c>
      <c r="F482" t="s">
        <v>42</v>
      </c>
      <c r="G482">
        <v>-323.98579999999998</v>
      </c>
      <c r="H482" s="1">
        <v>-3.1255789999999998E-6</v>
      </c>
      <c r="I482">
        <v>366.44130000000001</v>
      </c>
      <c r="J482">
        <v>-356.69729999999998</v>
      </c>
      <c r="K482">
        <v>1.1093930000000001</v>
      </c>
      <c r="L482">
        <v>368.52330000000001</v>
      </c>
      <c r="M482">
        <v>0.99986450000000004</v>
      </c>
      <c r="N482">
        <v>-1.2595739999999999E-2</v>
      </c>
      <c r="O482">
        <v>1.0601289999999999E-2</v>
      </c>
      <c r="P482">
        <v>0.99892820000000004</v>
      </c>
      <c r="Q482">
        <v>3.6781939999999999E-2</v>
      </c>
      <c r="R482">
        <v>2.8098950000000001E-2</v>
      </c>
      <c r="S482">
        <v>3.0125730000000002</v>
      </c>
      <c r="T482">
        <v>-0.1016372</v>
      </c>
      <c r="U482">
        <v>-0.19058230000000001</v>
      </c>
      <c r="V482">
        <v>-1.7452740000000001E-2</v>
      </c>
      <c r="W482">
        <v>4.9383400000000001E-2</v>
      </c>
      <c r="X482">
        <v>0.99862740000000005</v>
      </c>
      <c r="Y482">
        <v>7.3653769999999993E-2</v>
      </c>
      <c r="Z482">
        <v>-1.929245E-3</v>
      </c>
      <c r="AA482">
        <v>0.997282</v>
      </c>
      <c r="AB482">
        <v>34</v>
      </c>
      <c r="AC482">
        <v>32.711500000000001</v>
      </c>
      <c r="AD482">
        <v>-1.1093961255789999</v>
      </c>
      <c r="AE482">
        <v>-2.0819999999999901</v>
      </c>
      <c r="AF482">
        <v>2.4259155590988599</v>
      </c>
      <c r="AG482">
        <v>-1.1093961255789999</v>
      </c>
      <c r="AH482">
        <v>32.650185201425401</v>
      </c>
      <c r="AI482">
        <v>91.940716173601999</v>
      </c>
      <c r="AJ482">
        <v>85.750719587420804</v>
      </c>
      <c r="AK482">
        <v>32.758974644373502</v>
      </c>
      <c r="AL482">
        <v>87.169388297712899</v>
      </c>
      <c r="AM482">
        <v>91.001240856001004</v>
      </c>
      <c r="AN482">
        <v>1.0000000011799099</v>
      </c>
    </row>
    <row r="483" spans="1:40" x14ac:dyDescent="0.25">
      <c r="A483" t="str">
        <f>"20190305135804203"</f>
        <v>20190305135804203</v>
      </c>
      <c r="B483" t="str">
        <f>"1551765484199633"</f>
        <v>1551765484199633</v>
      </c>
      <c r="C483" t="s">
        <v>40</v>
      </c>
      <c r="D483">
        <v>4.1961620000000002</v>
      </c>
      <c r="E483">
        <v>0.53301299999999996</v>
      </c>
      <c r="F483" t="s">
        <v>42</v>
      </c>
      <c r="G483">
        <v>-324.29950000000002</v>
      </c>
      <c r="H483" s="1">
        <v>-2.9853570000000001E-6</v>
      </c>
      <c r="I483">
        <v>366.47329999999999</v>
      </c>
      <c r="J483">
        <v>-356.42610000000002</v>
      </c>
      <c r="K483">
        <v>1.1093390000000001</v>
      </c>
      <c r="L483">
        <v>368.5258</v>
      </c>
      <c r="M483">
        <v>0.99986949999999997</v>
      </c>
      <c r="N483">
        <v>-1.2590759999999999E-2</v>
      </c>
      <c r="O483">
        <v>1.012061E-2</v>
      </c>
      <c r="P483">
        <v>0.99897689999999995</v>
      </c>
      <c r="Q483">
        <v>3.5810040000000001E-2</v>
      </c>
      <c r="R483">
        <v>2.7622379999999998E-2</v>
      </c>
      <c r="S483">
        <v>3.0124209999999998</v>
      </c>
      <c r="T483">
        <v>-0.10315390000000001</v>
      </c>
      <c r="U483">
        <v>-0.1906128</v>
      </c>
      <c r="V483">
        <v>-1.7451680000000001E-2</v>
      </c>
      <c r="W483">
        <v>4.8408960000000001E-2</v>
      </c>
      <c r="X483">
        <v>0.99867510000000004</v>
      </c>
      <c r="Y483">
        <v>7.3186429999999997E-2</v>
      </c>
      <c r="Z483">
        <v>-1.931702E-3</v>
      </c>
      <c r="AA483">
        <v>0.99731639999999999</v>
      </c>
      <c r="AB483">
        <v>34</v>
      </c>
      <c r="AC483">
        <v>32.126600000000003</v>
      </c>
      <c r="AD483">
        <v>-1.1093419853569999</v>
      </c>
      <c r="AE483">
        <v>-2.0525000000000002</v>
      </c>
      <c r="AF483">
        <v>2.3747414369139102</v>
      </c>
      <c r="AG483">
        <v>-1.1093419853569999</v>
      </c>
      <c r="AH483">
        <v>32.066101803093503</v>
      </c>
      <c r="AI483">
        <v>91.975977472389602</v>
      </c>
      <c r="AJ483">
        <v>85.764538799745907</v>
      </c>
      <c r="AK483">
        <v>32.173046504473703</v>
      </c>
      <c r="AL483">
        <v>87.225286379771902</v>
      </c>
      <c r="AM483">
        <v>91.001132247653999</v>
      </c>
      <c r="AN483">
        <v>0.99999997195155599</v>
      </c>
    </row>
    <row r="484" spans="1:40" x14ac:dyDescent="0.25">
      <c r="A484" t="str">
        <f>"20190305135804214"</f>
        <v>20190305135804214</v>
      </c>
      <c r="B484" t="str">
        <f>"1551765484209394"</f>
        <v>1551765484209394</v>
      </c>
      <c r="C484" t="s">
        <v>40</v>
      </c>
      <c r="D484">
        <v>4.2321090000000003</v>
      </c>
      <c r="E484">
        <v>0.53299849999999904</v>
      </c>
      <c r="F484" t="s">
        <v>42</v>
      </c>
      <c r="G484">
        <v>-323.63619999999997</v>
      </c>
      <c r="H484" s="1">
        <v>-3.2747070000000002E-6</v>
      </c>
      <c r="I484">
        <v>366.44630000000001</v>
      </c>
      <c r="J484">
        <v>-356.25369999999998</v>
      </c>
      <c r="K484">
        <v>1.109307</v>
      </c>
      <c r="L484">
        <v>368.52719999999999</v>
      </c>
      <c r="M484">
        <v>0.99987289999999995</v>
      </c>
      <c r="N484">
        <v>-1.2587900000000001E-2</v>
      </c>
      <c r="O484">
        <v>9.7845610000000006E-3</v>
      </c>
      <c r="P484">
        <v>0.99899879999999996</v>
      </c>
      <c r="Q484">
        <v>3.5437450000000002E-2</v>
      </c>
      <c r="R484">
        <v>2.730991E-2</v>
      </c>
      <c r="S484">
        <v>3.0119929999999999</v>
      </c>
      <c r="T484">
        <v>-0.1019009</v>
      </c>
      <c r="U484">
        <v>-0.1910095</v>
      </c>
      <c r="V484">
        <v>-1.7471509999999999E-2</v>
      </c>
      <c r="W484">
        <v>4.8035080000000001E-2</v>
      </c>
      <c r="X484">
        <v>0.99869280000000005</v>
      </c>
      <c r="Y484">
        <v>7.299253E-2</v>
      </c>
      <c r="Z484">
        <v>-1.900817E-3</v>
      </c>
      <c r="AA484">
        <v>0.99733070000000001</v>
      </c>
      <c r="AB484">
        <v>34</v>
      </c>
      <c r="AC484">
        <v>32.6175</v>
      </c>
      <c r="AD484">
        <v>-1.1093102747070001</v>
      </c>
      <c r="AE484">
        <v>-2.0808999999999802</v>
      </c>
      <c r="AF484">
        <v>2.39721206345477</v>
      </c>
      <c r="AG484">
        <v>-1.1093102747070001</v>
      </c>
      <c r="AH484">
        <v>32.558070167337398</v>
      </c>
      <c r="AI484">
        <v>91.946148285960902</v>
      </c>
      <c r="AJ484">
        <v>85.7889783884915</v>
      </c>
      <c r="AK484">
        <v>32.6650444356656</v>
      </c>
      <c r="AL484">
        <v>87.246733059435101</v>
      </c>
      <c r="AM484">
        <v>91.0022518228065</v>
      </c>
      <c r="AN484">
        <v>0.99999996567206195</v>
      </c>
    </row>
    <row r="485" spans="1:40" x14ac:dyDescent="0.25">
      <c r="A485" t="str">
        <f>"20190305135804225"</f>
        <v>20190305135804225</v>
      </c>
      <c r="B485" t="str">
        <f>"1551765484219153"</f>
        <v>1551765484219153</v>
      </c>
      <c r="C485" t="s">
        <v>40</v>
      </c>
      <c r="D485">
        <v>4.2152089999999998</v>
      </c>
      <c r="E485">
        <v>0.53296980000000005</v>
      </c>
      <c r="F485" t="s">
        <v>42</v>
      </c>
      <c r="G485">
        <v>-323.06240000000003</v>
      </c>
      <c r="H485" s="1">
        <v>-3.5262190000000001E-6</v>
      </c>
      <c r="I485">
        <v>366.416</v>
      </c>
      <c r="J485">
        <v>-356.07569999999998</v>
      </c>
      <c r="K485">
        <v>1.1092690000000001</v>
      </c>
      <c r="L485">
        <v>368.52850000000001</v>
      </c>
      <c r="M485">
        <v>0.99987669999999995</v>
      </c>
      <c r="N485">
        <v>-1.25852E-2</v>
      </c>
      <c r="O485">
        <v>9.4118750000000001E-3</v>
      </c>
      <c r="P485">
        <v>0.99902970000000002</v>
      </c>
      <c r="Q485">
        <v>3.5008999999999998E-2</v>
      </c>
      <c r="R485">
        <v>2.6729070000000001E-2</v>
      </c>
      <c r="S485">
        <v>3.0118100000000001</v>
      </c>
      <c r="T485">
        <v>-0.1006597</v>
      </c>
      <c r="U485">
        <v>-0.1915588</v>
      </c>
      <c r="V485">
        <v>-1.7259469999999999E-2</v>
      </c>
      <c r="W485">
        <v>4.7605929999999998E-2</v>
      </c>
      <c r="X485">
        <v>0.99871710000000002</v>
      </c>
      <c r="Y485">
        <v>7.2807299999999894E-2</v>
      </c>
      <c r="Z485">
        <v>-1.8697760000000001E-3</v>
      </c>
      <c r="AA485">
        <v>0.99734429999999996</v>
      </c>
      <c r="AB485">
        <v>34</v>
      </c>
      <c r="AC485">
        <v>33.013299999999902</v>
      </c>
      <c r="AD485">
        <v>-1.109272526219</v>
      </c>
      <c r="AE485">
        <v>-2.11250000000001</v>
      </c>
      <c r="AF485">
        <v>2.4204264723712599</v>
      </c>
      <c r="AG485">
        <v>-1.109272526219</v>
      </c>
      <c r="AH485">
        <v>32.954898607746898</v>
      </c>
      <c r="AI485">
        <v>91.922691539355696</v>
      </c>
      <c r="AJ485">
        <v>85.799360173193904</v>
      </c>
      <c r="AK485">
        <v>33.062278991207798</v>
      </c>
      <c r="AL485">
        <v>87.271349882305799</v>
      </c>
      <c r="AM485">
        <v>90.990066515444397</v>
      </c>
      <c r="AN485">
        <v>1.0000000298541201</v>
      </c>
    </row>
    <row r="486" spans="1:40" x14ac:dyDescent="0.25">
      <c r="A486" t="str">
        <f>"20190305135804236"</f>
        <v>20190305135804236</v>
      </c>
      <c r="B486" t="str">
        <f>"1551765484228913"</f>
        <v>1551765484228913</v>
      </c>
      <c r="C486" t="s">
        <v>40</v>
      </c>
      <c r="D486">
        <v>4.2091659999999997</v>
      </c>
      <c r="E486">
        <v>0.53294719999999995</v>
      </c>
      <c r="F486" t="s">
        <v>42</v>
      </c>
      <c r="G486">
        <v>-322.5607</v>
      </c>
      <c r="H486" s="1">
        <v>-3.7475979999999999E-6</v>
      </c>
      <c r="I486">
        <v>366.38130000000001</v>
      </c>
      <c r="J486">
        <v>-355.90069999999997</v>
      </c>
      <c r="K486">
        <v>1.1092280000000001</v>
      </c>
      <c r="L486">
        <v>368.52980000000002</v>
      </c>
      <c r="M486">
        <v>0.99988010000000005</v>
      </c>
      <c r="N486">
        <v>-1.2582660000000001E-2</v>
      </c>
      <c r="O486">
        <v>9.0315570000000008E-3</v>
      </c>
      <c r="P486">
        <v>0.99905279999999996</v>
      </c>
      <c r="Q486">
        <v>3.4695820000000002E-2</v>
      </c>
      <c r="R486">
        <v>2.626475E-2</v>
      </c>
      <c r="S486">
        <v>3.0115660000000002</v>
      </c>
      <c r="T486">
        <v>-9.9675890000000003E-2</v>
      </c>
      <c r="U486">
        <v>-0.1929321</v>
      </c>
      <c r="V486">
        <v>-1.717115E-2</v>
      </c>
      <c r="W486">
        <v>4.7291100000000003E-2</v>
      </c>
      <c r="X486">
        <v>0.99873350000000005</v>
      </c>
      <c r="Y486">
        <v>7.2887030000000005E-2</v>
      </c>
      <c r="Z486">
        <v>-1.848901E-3</v>
      </c>
      <c r="AA486">
        <v>0.99733850000000002</v>
      </c>
      <c r="AB486">
        <v>34</v>
      </c>
      <c r="AC486">
        <v>33.339999999999897</v>
      </c>
      <c r="AD486">
        <v>-1.109231747598</v>
      </c>
      <c r="AE486">
        <v>-2.1485000000000101</v>
      </c>
      <c r="AF486">
        <v>2.4468510429731798</v>
      </c>
      <c r="AG486">
        <v>-1.109231747598</v>
      </c>
      <c r="AH486">
        <v>33.282545651349501</v>
      </c>
      <c r="AI486">
        <v>91.903697978932996</v>
      </c>
      <c r="AJ486">
        <v>85.795319266152902</v>
      </c>
      <c r="AK486">
        <v>33.390796937637496</v>
      </c>
      <c r="AL486">
        <v>87.289408436107493</v>
      </c>
      <c r="AM486">
        <v>90.984984985668305</v>
      </c>
      <c r="AN486">
        <v>0.99999995027689004</v>
      </c>
    </row>
    <row r="487" spans="1:40" x14ac:dyDescent="0.25">
      <c r="A487" t="str">
        <f>"20190305135804248"</f>
        <v>20190305135804248</v>
      </c>
      <c r="B487" t="str">
        <f>"1551765484239650"</f>
        <v>1551765484239650</v>
      </c>
      <c r="C487" t="s">
        <v>40</v>
      </c>
      <c r="D487">
        <v>4.2246509999999997</v>
      </c>
      <c r="E487">
        <v>0.53293419999999903</v>
      </c>
      <c r="F487" t="s">
        <v>42</v>
      </c>
      <c r="G487">
        <v>-321.98919999999998</v>
      </c>
      <c r="H487" s="1">
        <v>-3.9992510000000001E-6</v>
      </c>
      <c r="I487">
        <v>366.34480000000002</v>
      </c>
      <c r="J487">
        <v>-355.7285</v>
      </c>
      <c r="K487">
        <v>1.109194</v>
      </c>
      <c r="L487">
        <v>368.53100000000001</v>
      </c>
      <c r="M487">
        <v>0.99988379999999999</v>
      </c>
      <c r="N487">
        <v>-1.258049E-2</v>
      </c>
      <c r="O487">
        <v>8.6207590000000004E-3</v>
      </c>
      <c r="P487">
        <v>0.99908859999999999</v>
      </c>
      <c r="Q487">
        <v>3.4215950000000002E-2</v>
      </c>
      <c r="R487">
        <v>2.5524140000000001E-2</v>
      </c>
      <c r="S487">
        <v>3.0113530000000002</v>
      </c>
      <c r="T487">
        <v>-9.8499890000000007E-2</v>
      </c>
      <c r="U487">
        <v>-0.1940308</v>
      </c>
      <c r="V487">
        <v>-1.6837700000000001E-2</v>
      </c>
      <c r="W487">
        <v>4.6810980000000002E-2</v>
      </c>
      <c r="X487">
        <v>0.99876180000000003</v>
      </c>
      <c r="Y487">
        <v>7.2845439999999997E-2</v>
      </c>
      <c r="Z487">
        <v>-1.8220059999999999E-3</v>
      </c>
      <c r="AA487">
        <v>0.99734160000000005</v>
      </c>
      <c r="AB487">
        <v>34</v>
      </c>
      <c r="AC487">
        <v>33.7393</v>
      </c>
      <c r="AD487">
        <v>-1.1091979992509999</v>
      </c>
      <c r="AE487">
        <v>-2.1861999999999799</v>
      </c>
      <c r="AF487">
        <v>2.4743370275542702</v>
      </c>
      <c r="AG487">
        <v>-1.1091979992509999</v>
      </c>
      <c r="AH487">
        <v>33.682945501028797</v>
      </c>
      <c r="AI487">
        <v>91.881035238355494</v>
      </c>
      <c r="AJ487">
        <v>85.798619188043702</v>
      </c>
      <c r="AK487">
        <v>33.791914440480397</v>
      </c>
      <c r="AL487">
        <v>87.316947799120101</v>
      </c>
      <c r="AM487">
        <v>90.965833661815097</v>
      </c>
      <c r="AN487">
        <v>0.99999995456454405</v>
      </c>
    </row>
    <row r="488" spans="1:40" x14ac:dyDescent="0.25">
      <c r="A488" t="str">
        <f>"20190305135804260"</f>
        <v>20190305135804260</v>
      </c>
      <c r="B488" t="str">
        <f>"1551765484249410"</f>
        <v>1551765484249410</v>
      </c>
      <c r="C488" t="s">
        <v>40</v>
      </c>
      <c r="D488">
        <v>4.1863539999999997</v>
      </c>
      <c r="E488">
        <v>0.5329121</v>
      </c>
      <c r="F488" t="s">
        <v>42</v>
      </c>
      <c r="G488">
        <v>-321.66849999999999</v>
      </c>
      <c r="H488" s="1">
        <v>-4.1426279999999999E-6</v>
      </c>
      <c r="I488">
        <v>366.31200000000001</v>
      </c>
      <c r="J488">
        <v>-355.56130000000002</v>
      </c>
      <c r="K488">
        <v>1.1091549999999999</v>
      </c>
      <c r="L488">
        <v>368.53210000000001</v>
      </c>
      <c r="M488">
        <v>0.99988730000000003</v>
      </c>
      <c r="N488">
        <v>-1.257843E-2</v>
      </c>
      <c r="O488">
        <v>8.2134300000000007E-3</v>
      </c>
      <c r="P488">
        <v>0.99913099999999999</v>
      </c>
      <c r="Q488">
        <v>3.3591469999999998E-2</v>
      </c>
      <c r="R488">
        <v>2.467836E-2</v>
      </c>
      <c r="S488">
        <v>3.011139</v>
      </c>
      <c r="T488">
        <v>-9.806049E-2</v>
      </c>
      <c r="U488">
        <v>-0.19616700000000001</v>
      </c>
      <c r="V488">
        <v>-1.6395259999999998E-2</v>
      </c>
      <c r="W488">
        <v>4.6185089999999998E-2</v>
      </c>
      <c r="X488">
        <v>0.99879839999999998</v>
      </c>
      <c r="Y488">
        <v>7.3148580000000005E-2</v>
      </c>
      <c r="Z488">
        <v>-1.814176E-3</v>
      </c>
      <c r="AA488">
        <v>0.99731939999999997</v>
      </c>
      <c r="AB488">
        <v>34</v>
      </c>
      <c r="AC488">
        <v>33.892800000000001</v>
      </c>
      <c r="AD488">
        <v>-1.1091591426280001</v>
      </c>
      <c r="AE488">
        <v>-2.2201000000000501</v>
      </c>
      <c r="AF488">
        <v>2.4957617879375902</v>
      </c>
      <c r="AG488">
        <v>-1.1091591426280001</v>
      </c>
      <c r="AH488">
        <v>33.837336937994998</v>
      </c>
      <c r="AI488">
        <v>91.872352293916506</v>
      </c>
      <c r="AJ488">
        <v>85.781637573136507</v>
      </c>
      <c r="AK488">
        <v>33.947377394449802</v>
      </c>
      <c r="AL488">
        <v>87.352847753842596</v>
      </c>
      <c r="AM488">
        <v>90.940424857723201</v>
      </c>
      <c r="AN488">
        <v>1.0000000554656601</v>
      </c>
    </row>
    <row r="489" spans="1:40" x14ac:dyDescent="0.25">
      <c r="A489" t="str">
        <f>"20190305135804270"</f>
        <v>20190305135804270</v>
      </c>
      <c r="B489" t="str">
        <f>"1551765484259168"</f>
        <v>1551765484259168</v>
      </c>
      <c r="C489" t="s">
        <v>40</v>
      </c>
      <c r="D489">
        <v>4.1997540000000004</v>
      </c>
      <c r="E489">
        <v>0.5328619</v>
      </c>
      <c r="F489" t="s">
        <v>42</v>
      </c>
      <c r="G489">
        <v>-321.49790000000002</v>
      </c>
      <c r="H489" s="1">
        <v>-4.220374E-6</v>
      </c>
      <c r="I489">
        <v>366.28640000000001</v>
      </c>
      <c r="J489">
        <v>-355.38690000000003</v>
      </c>
      <c r="K489">
        <v>1.1091120000000001</v>
      </c>
      <c r="L489">
        <v>368.53300000000002</v>
      </c>
      <c r="M489">
        <v>0.99989090000000003</v>
      </c>
      <c r="N489">
        <v>-1.2576550000000001E-2</v>
      </c>
      <c r="O489">
        <v>7.7549300000000002E-3</v>
      </c>
      <c r="P489">
        <v>0.99915909999999997</v>
      </c>
      <c r="Q489">
        <v>3.33491E-2</v>
      </c>
      <c r="R489">
        <v>2.385193E-2</v>
      </c>
      <c r="S489">
        <v>3.0108030000000001</v>
      </c>
      <c r="T489">
        <v>-9.8036410000000004E-2</v>
      </c>
      <c r="U489">
        <v>-0.1984863</v>
      </c>
      <c r="V489">
        <v>-1.6022999999999999E-2</v>
      </c>
      <c r="W489">
        <v>4.5942169999999997E-2</v>
      </c>
      <c r="X489">
        <v>0.99881560000000003</v>
      </c>
      <c r="Y489">
        <v>7.3463340000000002E-2</v>
      </c>
      <c r="Z489">
        <v>-1.811853E-3</v>
      </c>
      <c r="AA489">
        <v>0.99729630000000002</v>
      </c>
      <c r="AB489">
        <v>34</v>
      </c>
      <c r="AC489">
        <v>33.889000000000003</v>
      </c>
      <c r="AD489">
        <v>-1.1091162203739999</v>
      </c>
      <c r="AE489">
        <v>-2.2465999999999999</v>
      </c>
      <c r="AF489">
        <v>2.5066868227527599</v>
      </c>
      <c r="AG489">
        <v>-1.1091162203739999</v>
      </c>
      <c r="AH489">
        <v>33.834475112414097</v>
      </c>
      <c r="AI489">
        <v>91.872392862962798</v>
      </c>
      <c r="AJ489">
        <v>85.762882005841107</v>
      </c>
      <c r="AK489">
        <v>33.945328452531299</v>
      </c>
      <c r="AL489">
        <v>87.366780716967895</v>
      </c>
      <c r="AM489">
        <v>90.919060069924697</v>
      </c>
      <c r="AN489">
        <v>1.00000001115833</v>
      </c>
    </row>
    <row r="490" spans="1:40" x14ac:dyDescent="0.25">
      <c r="A490" t="str">
        <f>"20190305135804282"</f>
        <v>20190305135804282</v>
      </c>
      <c r="B490" t="str">
        <f>"1551765484279665"</f>
        <v>1551765484279665</v>
      </c>
      <c r="C490" t="s">
        <v>40</v>
      </c>
      <c r="D490">
        <v>4.2163899999999996</v>
      </c>
      <c r="E490">
        <v>0.53283769999999997</v>
      </c>
      <c r="F490" t="s">
        <v>42</v>
      </c>
      <c r="G490">
        <v>-320.98489999999998</v>
      </c>
      <c r="H490" s="1">
        <v>-4.4481160000000003E-6</v>
      </c>
      <c r="I490">
        <v>366.2432</v>
      </c>
      <c r="J490">
        <v>-355.22050000000002</v>
      </c>
      <c r="K490">
        <v>1.1090709999999999</v>
      </c>
      <c r="L490">
        <v>368.53399999999999</v>
      </c>
      <c r="M490">
        <v>0.99989430000000001</v>
      </c>
      <c r="N490">
        <v>-1.257483E-2</v>
      </c>
      <c r="O490">
        <v>7.305588E-3</v>
      </c>
      <c r="P490">
        <v>0.99919899999999995</v>
      </c>
      <c r="Q490">
        <v>3.2813740000000001E-2</v>
      </c>
      <c r="R490">
        <v>2.2905120000000001E-2</v>
      </c>
      <c r="S490">
        <v>3.0105590000000002</v>
      </c>
      <c r="T490">
        <v>-9.7059729999999997E-2</v>
      </c>
      <c r="U490">
        <v>-0.20037840000000001</v>
      </c>
      <c r="V490">
        <v>-1.5522340000000001E-2</v>
      </c>
      <c r="W490">
        <v>4.540582E-2</v>
      </c>
      <c r="X490">
        <v>0.99884799999999996</v>
      </c>
      <c r="Y490">
        <v>7.3645440000000006E-2</v>
      </c>
      <c r="Z490">
        <v>-1.792746E-3</v>
      </c>
      <c r="AA490">
        <v>0.99728289999999997</v>
      </c>
      <c r="AB490">
        <v>34</v>
      </c>
      <c r="AC490">
        <v>34.235599999999998</v>
      </c>
      <c r="AD490">
        <v>-1.1090754481159999</v>
      </c>
      <c r="AE490">
        <v>-2.2907999999999902</v>
      </c>
      <c r="AF490">
        <v>2.5382179221750798</v>
      </c>
      <c r="AG490">
        <v>-1.1090754481159999</v>
      </c>
      <c r="AH490">
        <v>34.182236250981902</v>
      </c>
      <c r="AI490">
        <v>91.853265850181003</v>
      </c>
      <c r="AJ490">
        <v>85.753268994801402</v>
      </c>
      <c r="AK490">
        <v>34.294283396624699</v>
      </c>
      <c r="AL490">
        <v>87.397543329407299</v>
      </c>
      <c r="AM490">
        <v>90.890318634014804</v>
      </c>
      <c r="AN490">
        <v>0.999999979316473</v>
      </c>
    </row>
    <row r="491" spans="1:40" x14ac:dyDescent="0.25">
      <c r="A491" t="str">
        <f>"20190305135804293"</f>
        <v>20190305135804293</v>
      </c>
      <c r="B491" t="str">
        <f>"1551765484289425"</f>
        <v>1551765484289425</v>
      </c>
      <c r="C491" t="s">
        <v>40</v>
      </c>
      <c r="D491">
        <v>4.2205219999999999</v>
      </c>
      <c r="E491">
        <v>0.53284370000000003</v>
      </c>
      <c r="F491" t="s">
        <v>42</v>
      </c>
      <c r="G491">
        <v>-320.1585</v>
      </c>
      <c r="H491" s="1">
        <v>-4.8154109999999998E-6</v>
      </c>
      <c r="I491">
        <v>366.17110000000002</v>
      </c>
      <c r="J491">
        <v>-355.04680000000002</v>
      </c>
      <c r="K491">
        <v>1.1090340000000001</v>
      </c>
      <c r="L491">
        <v>368.53469999999999</v>
      </c>
      <c r="M491">
        <v>0.99989779999999995</v>
      </c>
      <c r="N491">
        <v>-1.257321E-2</v>
      </c>
      <c r="O491">
        <v>6.8154749999999997E-3</v>
      </c>
      <c r="P491">
        <v>0.99925319999999995</v>
      </c>
      <c r="Q491">
        <v>3.18803E-2</v>
      </c>
      <c r="R491">
        <v>2.183833E-2</v>
      </c>
      <c r="S491">
        <v>3.0101619999999998</v>
      </c>
      <c r="T491">
        <v>-9.5216990000000001E-2</v>
      </c>
      <c r="U491">
        <v>-0.20285030000000001</v>
      </c>
      <c r="V491">
        <v>-1.494238E-2</v>
      </c>
      <c r="W491">
        <v>4.4471200000000002E-2</v>
      </c>
      <c r="X491">
        <v>0.99889890000000003</v>
      </c>
      <c r="Y491">
        <v>7.3982259999999994E-2</v>
      </c>
      <c r="Z491">
        <v>-1.7640030000000001E-3</v>
      </c>
      <c r="AA491">
        <v>0.99725799999999998</v>
      </c>
      <c r="AB491">
        <v>34</v>
      </c>
      <c r="AC491">
        <v>34.888300000000001</v>
      </c>
      <c r="AD491">
        <v>-1.109038815411</v>
      </c>
      <c r="AE491">
        <v>-2.36359999999996</v>
      </c>
      <c r="AF491">
        <v>2.5987302067947802</v>
      </c>
      <c r="AG491">
        <v>-1.109038815411</v>
      </c>
      <c r="AH491">
        <v>34.836338148426798</v>
      </c>
      <c r="AI491">
        <v>91.818385599135794</v>
      </c>
      <c r="AJ491">
        <v>85.733736616492493</v>
      </c>
      <c r="AK491">
        <v>34.950734203637701</v>
      </c>
      <c r="AL491">
        <v>87.451147287627805</v>
      </c>
      <c r="AM491">
        <v>90.857015119459007</v>
      </c>
      <c r="AN491">
        <v>0.999999987385357</v>
      </c>
    </row>
    <row r="492" spans="1:40" x14ac:dyDescent="0.25">
      <c r="A492" t="str">
        <f>"20190305135804305"</f>
        <v>20190305135804305</v>
      </c>
      <c r="B492" t="str">
        <f>"1551765484299186"</f>
        <v>1551765484299186</v>
      </c>
      <c r="C492" t="s">
        <v>40</v>
      </c>
      <c r="D492">
        <v>4.2346360000000001</v>
      </c>
      <c r="E492">
        <v>0.53284310000000001</v>
      </c>
      <c r="F492" t="s">
        <v>42</v>
      </c>
      <c r="G492">
        <v>-320.3415</v>
      </c>
      <c r="H492" s="1">
        <v>-4.7393959999999998E-6</v>
      </c>
      <c r="I492">
        <v>366.15730000000002</v>
      </c>
      <c r="J492">
        <v>-354.88040000000001</v>
      </c>
      <c r="K492">
        <v>1.1090009999999999</v>
      </c>
      <c r="L492">
        <v>368.53539999999998</v>
      </c>
      <c r="M492">
        <v>0.99990100000000004</v>
      </c>
      <c r="N492">
        <v>-1.257175E-2</v>
      </c>
      <c r="O492">
        <v>6.330904E-3</v>
      </c>
      <c r="P492">
        <v>0.99929000000000001</v>
      </c>
      <c r="Q492">
        <v>3.1565379999999997E-2</v>
      </c>
      <c r="R492">
        <v>2.057264E-2</v>
      </c>
      <c r="S492">
        <v>3.0097960000000001</v>
      </c>
      <c r="T492">
        <v>-9.6180440000000006E-2</v>
      </c>
      <c r="U492">
        <v>-0.20617679999999999</v>
      </c>
      <c r="V492">
        <v>-1.4158560000000001E-2</v>
      </c>
      <c r="W492">
        <v>4.4155369999999999E-2</v>
      </c>
      <c r="X492">
        <v>0.99892429999999999</v>
      </c>
      <c r="Y492">
        <v>7.4602909999999995E-2</v>
      </c>
      <c r="Z492">
        <v>-1.782524E-3</v>
      </c>
      <c r="AA492">
        <v>0.99721179999999998</v>
      </c>
      <c r="AB492">
        <v>34</v>
      </c>
      <c r="AC492">
        <v>34.538899999999998</v>
      </c>
      <c r="AD492">
        <v>-1.109005739396</v>
      </c>
      <c r="AE492">
        <v>-2.3780999999999599</v>
      </c>
      <c r="AF492">
        <v>2.5940702433988498</v>
      </c>
      <c r="AG492">
        <v>-1.109005739396</v>
      </c>
      <c r="AH492">
        <v>34.487762551389501</v>
      </c>
      <c r="AI492">
        <v>91.836612554958293</v>
      </c>
      <c r="AJ492">
        <v>85.698476281909507</v>
      </c>
      <c r="AK492">
        <v>34.602960277391396</v>
      </c>
      <c r="AL492">
        <v>87.469260736119907</v>
      </c>
      <c r="AM492">
        <v>90.812044931044795</v>
      </c>
      <c r="AN492">
        <v>0.99999995932579899</v>
      </c>
    </row>
    <row r="493" spans="1:40" x14ac:dyDescent="0.25">
      <c r="A493" t="str">
        <f>"20190305135804315"</f>
        <v>20190305135804315</v>
      </c>
      <c r="B493" t="str">
        <f>"1551765484308946"</f>
        <v>1551765484308946</v>
      </c>
      <c r="C493" t="s">
        <v>40</v>
      </c>
      <c r="D493">
        <v>4.1906679999999996</v>
      </c>
      <c r="E493">
        <v>0.53280569999999905</v>
      </c>
      <c r="F493" t="s">
        <v>42</v>
      </c>
      <c r="G493">
        <v>-319.97030000000001</v>
      </c>
      <c r="H493" s="1">
        <v>-4.9083850000000001E-6</v>
      </c>
      <c r="I493">
        <v>366.10230000000001</v>
      </c>
      <c r="J493">
        <v>-354.70600000000002</v>
      </c>
      <c r="K493">
        <v>1.108962</v>
      </c>
      <c r="L493">
        <v>368.53609999999998</v>
      </c>
      <c r="M493">
        <v>0.99990409999999996</v>
      </c>
      <c r="N493">
        <v>-1.257027E-2</v>
      </c>
      <c r="O493">
        <v>5.8113459999999898E-3</v>
      </c>
      <c r="P493">
        <v>0.99932670000000001</v>
      </c>
      <c r="Q493">
        <v>3.1168339999999999E-2</v>
      </c>
      <c r="R493">
        <v>1.9363060000000001E-2</v>
      </c>
      <c r="S493">
        <v>3.0094910000000001</v>
      </c>
      <c r="T493">
        <v>-9.5603590000000002E-2</v>
      </c>
      <c r="U493">
        <v>-0.2097473</v>
      </c>
      <c r="V493">
        <v>-1.346574E-2</v>
      </c>
      <c r="W493">
        <v>4.3756639999999999E-2</v>
      </c>
      <c r="X493">
        <v>0.99895149999999999</v>
      </c>
      <c r="Y493">
        <v>7.5269310000000006E-2</v>
      </c>
      <c r="Z493">
        <v>-1.77904E-3</v>
      </c>
      <c r="AA493">
        <v>0.99716159999999998</v>
      </c>
      <c r="AB493">
        <v>34</v>
      </c>
      <c r="AC493">
        <v>34.735699999999902</v>
      </c>
      <c r="AD493">
        <v>-1.108966908385</v>
      </c>
      <c r="AE493">
        <v>-2.4337999999999602</v>
      </c>
      <c r="AF493">
        <v>2.6329654521013701</v>
      </c>
      <c r="AG493">
        <v>-1.108966908385</v>
      </c>
      <c r="AH493">
        <v>34.685787459803599</v>
      </c>
      <c r="AI493">
        <v>91.825975490864906</v>
      </c>
      <c r="AJ493">
        <v>85.659056350154898</v>
      </c>
      <c r="AK493">
        <v>34.803249365289403</v>
      </c>
      <c r="AL493">
        <v>87.492128574400795</v>
      </c>
      <c r="AM493">
        <v>90.772293093620107</v>
      </c>
      <c r="AN493">
        <v>1.0000000345250399</v>
      </c>
    </row>
    <row r="494" spans="1:40" x14ac:dyDescent="0.25">
      <c r="A494" t="str">
        <f>"20190305135804326"</f>
        <v>20190305135804326</v>
      </c>
      <c r="B494" t="str">
        <f>"1551765484319681"</f>
        <v>1551765484319681</v>
      </c>
      <c r="C494" t="s">
        <v>40</v>
      </c>
      <c r="D494">
        <v>4.1863919999999997</v>
      </c>
      <c r="E494">
        <v>0.53277220000000003</v>
      </c>
      <c r="F494" t="s">
        <v>43</v>
      </c>
      <c r="G494">
        <v>-317.96269999999998</v>
      </c>
      <c r="H494">
        <v>-0.05</v>
      </c>
      <c r="I494">
        <v>365.93279999999999</v>
      </c>
      <c r="J494">
        <v>-354.55149999999998</v>
      </c>
      <c r="K494">
        <v>1.108935</v>
      </c>
      <c r="L494">
        <v>368.53649999999999</v>
      </c>
      <c r="M494">
        <v>0.99990679999999998</v>
      </c>
      <c r="N494">
        <v>-1.256905E-2</v>
      </c>
      <c r="O494">
        <v>5.3351839999999998E-3</v>
      </c>
      <c r="P494">
        <v>0.99935790000000002</v>
      </c>
      <c r="Q494">
        <v>3.0851969999999999E-2</v>
      </c>
      <c r="R494">
        <v>1.822E-2</v>
      </c>
      <c r="S494">
        <v>3.0090940000000002</v>
      </c>
      <c r="T494">
        <v>-9.4913129999999998E-2</v>
      </c>
      <c r="U494">
        <v>-0.21319579999999999</v>
      </c>
      <c r="V494">
        <v>-1.2796190000000001E-2</v>
      </c>
      <c r="W494">
        <v>4.3438419999999998E-2</v>
      </c>
      <c r="X494">
        <v>0.99897409999999998</v>
      </c>
      <c r="Y494">
        <v>7.594099E-2</v>
      </c>
      <c r="Z494">
        <v>-1.774982E-3</v>
      </c>
      <c r="AA494">
        <v>0.99711070000000002</v>
      </c>
      <c r="AB494">
        <v>34</v>
      </c>
      <c r="AC494">
        <v>36.5887999999999</v>
      </c>
      <c r="AD494">
        <v>-1.158935</v>
      </c>
      <c r="AE494">
        <v>-2.6036999999999999</v>
      </c>
      <c r="AF494">
        <v>2.79609520401366</v>
      </c>
      <c r="AG494">
        <v>-1.158935</v>
      </c>
      <c r="AH494">
        <v>36.537913828802097</v>
      </c>
      <c r="AI494">
        <v>91.811445533486904</v>
      </c>
      <c r="AJ494">
        <v>85.623920424625695</v>
      </c>
      <c r="AK494">
        <v>36.663066234087701</v>
      </c>
      <c r="AL494">
        <v>87.510378367935004</v>
      </c>
      <c r="AM494">
        <v>90.733880473641605</v>
      </c>
      <c r="AN494">
        <v>0.99999994564070904</v>
      </c>
    </row>
    <row r="495" spans="1:40" x14ac:dyDescent="0.25">
      <c r="A495" t="str">
        <f>"20190305135804348"</f>
        <v>20190305135804348</v>
      </c>
      <c r="B495" t="str">
        <f>"1551765484339200"</f>
        <v>1551765484339200</v>
      </c>
      <c r="C495" t="s">
        <v>40</v>
      </c>
      <c r="D495">
        <v>4.1882769999999896</v>
      </c>
      <c r="E495">
        <v>0.5327887</v>
      </c>
      <c r="F495" t="s">
        <v>43</v>
      </c>
      <c r="G495">
        <v>-317.46289999999999</v>
      </c>
      <c r="H495">
        <v>-0.05</v>
      </c>
      <c r="I495">
        <v>365.87310000000002</v>
      </c>
      <c r="J495">
        <v>-354.20780000000002</v>
      </c>
      <c r="K495">
        <v>1.1088910000000001</v>
      </c>
      <c r="L495">
        <v>368.53719999999998</v>
      </c>
      <c r="M495">
        <v>0.99991200000000002</v>
      </c>
      <c r="N495">
        <v>-1.256649E-2</v>
      </c>
      <c r="O495">
        <v>4.2522419999999998E-3</v>
      </c>
      <c r="P495">
        <v>0.99941519999999995</v>
      </c>
      <c r="Q495">
        <v>3.0412129999999999E-2</v>
      </c>
      <c r="R495">
        <v>1.5647319999999999E-2</v>
      </c>
      <c r="S495">
        <v>3.008759</v>
      </c>
      <c r="T495">
        <v>-9.4017030000000001E-2</v>
      </c>
      <c r="U495">
        <v>-0.21606449999999999</v>
      </c>
      <c r="V495">
        <v>-1.1302090000000001E-2</v>
      </c>
      <c r="W495">
        <v>4.2994900000000003E-2</v>
      </c>
      <c r="X495">
        <v>0.99901130000000005</v>
      </c>
      <c r="Y495">
        <v>7.5815949999999993E-2</v>
      </c>
      <c r="Z495">
        <v>-1.739209E-3</v>
      </c>
      <c r="AA495">
        <v>0.99712029999999996</v>
      </c>
      <c r="AB495">
        <v>34</v>
      </c>
      <c r="AC495">
        <v>36.744900000000001</v>
      </c>
      <c r="AD495">
        <v>-1.1588909999999999</v>
      </c>
      <c r="AE495">
        <v>-2.6640999999999599</v>
      </c>
      <c r="AF495">
        <v>2.8175485023796001</v>
      </c>
      <c r="AG495">
        <v>-1.1588909999999999</v>
      </c>
      <c r="AH495">
        <v>36.696926983981399</v>
      </c>
      <c r="AI495">
        <v>91.803498290570005</v>
      </c>
      <c r="AJ495">
        <v>85.609508711224294</v>
      </c>
      <c r="AK495">
        <v>36.823172839678101</v>
      </c>
      <c r="AL495">
        <v>87.535813938923695</v>
      </c>
      <c r="AM495">
        <v>90.648175282500901</v>
      </c>
      <c r="AN495">
        <v>0.99999993809603205</v>
      </c>
    </row>
    <row r="496" spans="1:40" x14ac:dyDescent="0.25">
      <c r="A496" t="str">
        <f>"20190305135804363"</f>
        <v>20190305135804363</v>
      </c>
      <c r="B496" t="str">
        <f>"1551765484359697"</f>
        <v>1551765484359697</v>
      </c>
      <c r="C496" t="s">
        <v>40</v>
      </c>
      <c r="D496">
        <v>4.3897120000000003</v>
      </c>
      <c r="E496">
        <v>0.53293829999999998</v>
      </c>
      <c r="F496" t="s">
        <v>43</v>
      </c>
      <c r="G496">
        <v>-316.33409999999998</v>
      </c>
      <c r="H496">
        <v>-0.05</v>
      </c>
      <c r="I496">
        <v>365.71730000000002</v>
      </c>
      <c r="J496">
        <v>-353.99790000000002</v>
      </c>
      <c r="K496">
        <v>1.108868</v>
      </c>
      <c r="L496">
        <v>368.53750000000002</v>
      </c>
      <c r="M496">
        <v>0.99991470000000005</v>
      </c>
      <c r="N496">
        <v>-1.256502E-2</v>
      </c>
      <c r="O496">
        <v>3.5761389999999999E-3</v>
      </c>
      <c r="P496">
        <v>0.99943800000000005</v>
      </c>
      <c r="Q496">
        <v>3.021302E-2</v>
      </c>
      <c r="R496">
        <v>1.4516930000000001E-2</v>
      </c>
      <c r="S496">
        <v>3.008057</v>
      </c>
      <c r="T496">
        <v>-9.2043040000000007E-2</v>
      </c>
      <c r="U496">
        <v>-0.22396849999999999</v>
      </c>
      <c r="V496">
        <v>-1.084534E-2</v>
      </c>
      <c r="W496">
        <v>4.279434E-2</v>
      </c>
      <c r="X496">
        <v>0.99902500000000005</v>
      </c>
      <c r="Y496">
        <v>7.7765059999999997E-2</v>
      </c>
      <c r="Z496">
        <v>-1.74164E-3</v>
      </c>
      <c r="AA496">
        <v>0.99697020000000003</v>
      </c>
      <c r="AB496">
        <v>34</v>
      </c>
      <c r="AC496">
        <v>37.663800000000002</v>
      </c>
      <c r="AD496">
        <v>-1.158868</v>
      </c>
      <c r="AE496">
        <v>-2.8201999999999998</v>
      </c>
      <c r="AF496">
        <v>2.95210435464256</v>
      </c>
      <c r="AG496">
        <v>-1.158868</v>
      </c>
      <c r="AH496">
        <v>37.618057851277698</v>
      </c>
      <c r="AI496">
        <v>91.759100119329005</v>
      </c>
      <c r="AJ496">
        <v>85.512868340163195</v>
      </c>
      <c r="AK496">
        <v>37.7515055549338</v>
      </c>
      <c r="AL496">
        <v>87.547315830486397</v>
      </c>
      <c r="AM496">
        <v>90.621974225395505</v>
      </c>
      <c r="AN496">
        <v>0.99999996378037503</v>
      </c>
    </row>
    <row r="497" spans="1:40" x14ac:dyDescent="0.25">
      <c r="A497" t="str">
        <f>"20190305135804376"</f>
        <v>20190305135804376</v>
      </c>
      <c r="B497" t="str">
        <f>"1551765484369457"</f>
        <v>1551765484369457</v>
      </c>
      <c r="C497" t="s">
        <v>40</v>
      </c>
      <c r="D497">
        <v>4.2195199999999904</v>
      </c>
      <c r="E497">
        <v>0.53293829999999998</v>
      </c>
      <c r="F497" t="s">
        <v>43</v>
      </c>
      <c r="G497">
        <v>-315.03870000000001</v>
      </c>
      <c r="H497">
        <v>-0.05</v>
      </c>
      <c r="I497">
        <v>365.57159999999999</v>
      </c>
      <c r="J497">
        <v>-353.79020000000003</v>
      </c>
      <c r="K497">
        <v>1.108849</v>
      </c>
      <c r="L497">
        <v>368.5376</v>
      </c>
      <c r="M497">
        <v>0.9999169</v>
      </c>
      <c r="N497">
        <v>-1.2563660000000001E-2</v>
      </c>
      <c r="O497">
        <v>2.898921E-3</v>
      </c>
      <c r="P497">
        <v>0.99945519999999999</v>
      </c>
      <c r="Q497">
        <v>3.035245E-2</v>
      </c>
      <c r="R497">
        <v>1.298145E-2</v>
      </c>
      <c r="S497">
        <v>3.0077210000000001</v>
      </c>
      <c r="T497">
        <v>-8.9466809999999994E-2</v>
      </c>
      <c r="U497">
        <v>-0.22897339999999999</v>
      </c>
      <c r="V497">
        <v>-9.9849529999999995E-3</v>
      </c>
      <c r="W497">
        <v>4.2930099999999999E-2</v>
      </c>
      <c r="X497">
        <v>0.99902820000000003</v>
      </c>
      <c r="Y497">
        <v>7.8749600000000003E-2</v>
      </c>
      <c r="Z497">
        <v>-1.714588E-3</v>
      </c>
      <c r="AA497">
        <v>0.99689289999999997</v>
      </c>
      <c r="AB497">
        <v>34</v>
      </c>
      <c r="AC497">
        <v>38.7515</v>
      </c>
      <c r="AD497">
        <v>-1.158849</v>
      </c>
      <c r="AE497">
        <v>-2.9660000000000002</v>
      </c>
      <c r="AF497">
        <v>3.0755994882141602</v>
      </c>
      <c r="AG497">
        <v>-1.158849</v>
      </c>
      <c r="AH497">
        <v>38.708323545441601</v>
      </c>
      <c r="AI497">
        <v>91.709423401631298</v>
      </c>
      <c r="AJ497">
        <v>85.457064105358498</v>
      </c>
      <c r="AK497">
        <v>38.847606810655599</v>
      </c>
      <c r="AL497">
        <v>87.539530335045995</v>
      </c>
      <c r="AM497">
        <v>90.572633102010101</v>
      </c>
      <c r="AN497">
        <v>1.00000001858383</v>
      </c>
    </row>
    <row r="498" spans="1:40" x14ac:dyDescent="0.25">
      <c r="A498" t="str">
        <f>"20190305135804391"</f>
        <v>20190305135804391</v>
      </c>
      <c r="B498" t="str">
        <f>"1551765484388978"</f>
        <v>1551765484388978</v>
      </c>
      <c r="C498" t="s">
        <v>40</v>
      </c>
      <c r="D498">
        <v>4.3683370000000004</v>
      </c>
      <c r="E498">
        <v>0.59775889999999998</v>
      </c>
      <c r="F498" t="s">
        <v>43</v>
      </c>
      <c r="G498">
        <v>-314.56180000000001</v>
      </c>
      <c r="H498">
        <v>-0.05</v>
      </c>
      <c r="I498">
        <v>365.48989999999998</v>
      </c>
      <c r="J498">
        <v>-353.55759999999998</v>
      </c>
      <c r="K498">
        <v>1.1088359999999999</v>
      </c>
      <c r="L498">
        <v>368.53750000000002</v>
      </c>
      <c r="M498">
        <v>0.99991890000000005</v>
      </c>
      <c r="N498">
        <v>-1.2562220000000001E-2</v>
      </c>
      <c r="O498">
        <v>2.1331200000000001E-3</v>
      </c>
      <c r="P498">
        <v>0.99946190000000001</v>
      </c>
      <c r="Q498">
        <v>3.1185460000000002E-2</v>
      </c>
      <c r="R498">
        <v>1.018135E-2</v>
      </c>
      <c r="S498">
        <v>3.007355</v>
      </c>
      <c r="T498">
        <v>-8.8840479999999999E-2</v>
      </c>
      <c r="U498">
        <v>-0.23364260000000001</v>
      </c>
      <c r="V498">
        <v>-7.9467210000000003E-3</v>
      </c>
      <c r="W498">
        <v>4.3757600000000001E-2</v>
      </c>
      <c r="X498">
        <v>0.99901059999999997</v>
      </c>
      <c r="Y498">
        <v>7.9534149999999998E-2</v>
      </c>
      <c r="Z498">
        <v>-1.7093830000000001E-3</v>
      </c>
      <c r="AA498">
        <v>0.99683069999999896</v>
      </c>
      <c r="AB498">
        <v>34</v>
      </c>
      <c r="AC498">
        <v>38.995799999999903</v>
      </c>
      <c r="AD498">
        <v>-1.158836</v>
      </c>
      <c r="AE498">
        <v>-3.0476000000000401</v>
      </c>
      <c r="AF498">
        <v>3.1280367538061502</v>
      </c>
      <c r="AG498">
        <v>-1.158836</v>
      </c>
      <c r="AH498">
        <v>38.955017644965899</v>
      </c>
      <c r="AI498">
        <v>91.698471723103495</v>
      </c>
      <c r="AJ498">
        <v>85.409074491887694</v>
      </c>
      <c r="AK498">
        <v>39.097581952438702</v>
      </c>
      <c r="AL498">
        <v>87.4920735024062</v>
      </c>
      <c r="AM498">
        <v>90.455754895124301</v>
      </c>
      <c r="AN498">
        <v>1.00000002842238</v>
      </c>
    </row>
    <row r="499" spans="1:40" x14ac:dyDescent="0.25">
      <c r="A499" t="str">
        <f>"20190305135804403"</f>
        <v>20190305135804403</v>
      </c>
      <c r="B499" t="str">
        <f>"1551765484399714"</f>
        <v>1551765484399714</v>
      </c>
      <c r="C499" t="s">
        <v>40</v>
      </c>
      <c r="D499">
        <v>4.165114</v>
      </c>
      <c r="E499">
        <v>0.59775889999999998</v>
      </c>
      <c r="F499" t="s">
        <v>51</v>
      </c>
      <c r="G499">
        <v>-273.47629999999998</v>
      </c>
      <c r="H499">
        <v>2.7614079999999999</v>
      </c>
      <c r="I499">
        <v>348.51170000000002</v>
      </c>
      <c r="J499">
        <v>-353.38260000000002</v>
      </c>
      <c r="K499">
        <v>1.1088249999999999</v>
      </c>
      <c r="L499">
        <v>368.53739999999999</v>
      </c>
      <c r="M499">
        <v>0.99992000000000003</v>
      </c>
      <c r="N499">
        <v>-1.256118E-2</v>
      </c>
      <c r="O499">
        <v>1.5552229999999999E-3</v>
      </c>
      <c r="P499">
        <v>0.99945059999999997</v>
      </c>
      <c r="Q499">
        <v>3.2121169999999998E-2</v>
      </c>
      <c r="R499">
        <v>8.1860500000000003E-3</v>
      </c>
      <c r="S499">
        <v>3.007355</v>
      </c>
      <c r="T499">
        <v>6.2063100000000003E-2</v>
      </c>
      <c r="U499">
        <v>-0.75204469999999901</v>
      </c>
      <c r="V499">
        <v>-6.5254459999999999E-3</v>
      </c>
      <c r="W499">
        <v>4.4688899999999997E-2</v>
      </c>
      <c r="X499">
        <v>0.99897959999999997</v>
      </c>
      <c r="Y499">
        <v>0.2440879</v>
      </c>
      <c r="Z499">
        <v>9.7465750000000004E-4</v>
      </c>
      <c r="AA499">
        <v>0.96975259999999996</v>
      </c>
      <c r="AB499">
        <v>34</v>
      </c>
      <c r="AC499">
        <v>79.906300000000002</v>
      </c>
      <c r="AD499">
        <v>1.6525829999999999</v>
      </c>
      <c r="AE499">
        <v>-20.025699999999901</v>
      </c>
      <c r="AF499">
        <v>20.141851637373801</v>
      </c>
      <c r="AG499">
        <v>1.6525829999999999</v>
      </c>
      <c r="AH499">
        <v>79.842923839119095</v>
      </c>
      <c r="AI499">
        <v>88.850274985611605</v>
      </c>
      <c r="AJ499">
        <v>75.841494139311806</v>
      </c>
      <c r="AK499">
        <v>82.360899127761101</v>
      </c>
      <c r="AL499">
        <v>87.438661513529993</v>
      </c>
      <c r="AM499">
        <v>90.374257089673307</v>
      </c>
      <c r="AN499">
        <v>0.99999996022243298</v>
      </c>
    </row>
    <row r="500" spans="1:40" x14ac:dyDescent="0.25">
      <c r="A500" t="str">
        <f>"20190305135804414"</f>
        <v>20190305135804414</v>
      </c>
      <c r="B500" t="str">
        <f>"1551765484409474"</f>
        <v>1551765484409474</v>
      </c>
      <c r="C500" t="s">
        <v>40</v>
      </c>
      <c r="D500">
        <v>4.3107959999999999</v>
      </c>
      <c r="E500">
        <v>0.67426759999999997</v>
      </c>
      <c r="F500" t="s">
        <v>52</v>
      </c>
      <c r="G500">
        <v>-269.16079999999999</v>
      </c>
      <c r="H500">
        <v>2.9463940000000002</v>
      </c>
      <c r="I500">
        <v>347.29719999999998</v>
      </c>
      <c r="J500">
        <v>-353.21289999999999</v>
      </c>
      <c r="K500">
        <v>1.108819</v>
      </c>
      <c r="L500">
        <v>368.53710000000001</v>
      </c>
      <c r="M500">
        <v>0.9999207</v>
      </c>
      <c r="N500">
        <v>-1.256021E-2</v>
      </c>
      <c r="O500">
        <v>9.9345019999999996E-4</v>
      </c>
      <c r="P500">
        <v>0.99944940000000004</v>
      </c>
      <c r="Q500">
        <v>3.2649959999999999E-2</v>
      </c>
      <c r="R500">
        <v>5.9269070000000004E-3</v>
      </c>
      <c r="S500">
        <v>3.0057369999999999</v>
      </c>
      <c r="T500">
        <v>6.5582509999999997E-2</v>
      </c>
      <c r="U500">
        <v>-0.75802609999999904</v>
      </c>
      <c r="V500">
        <v>-4.8257029999999998E-3</v>
      </c>
      <c r="W500">
        <v>4.5212410000000001E-2</v>
      </c>
      <c r="X500">
        <v>0.99896569999999996</v>
      </c>
      <c r="Y500">
        <v>0.2454771</v>
      </c>
      <c r="Z500">
        <v>1.104577E-3</v>
      </c>
      <c r="AA500">
        <v>0.96940179999999998</v>
      </c>
      <c r="AB500">
        <v>34</v>
      </c>
      <c r="AC500">
        <v>84.052099999999996</v>
      </c>
      <c r="AD500">
        <v>1.837575</v>
      </c>
      <c r="AE500">
        <v>-21.239899999999999</v>
      </c>
      <c r="AF500">
        <v>21.3138219603712</v>
      </c>
      <c r="AG500">
        <v>1.837575</v>
      </c>
      <c r="AH500">
        <v>83.993220229528802</v>
      </c>
      <c r="AI500">
        <v>88.785192346665895</v>
      </c>
      <c r="AJ500">
        <v>75.761367676602305</v>
      </c>
      <c r="AK500">
        <v>86.674775644158103</v>
      </c>
      <c r="AL500">
        <v>87.408636247564104</v>
      </c>
      <c r="AM500">
        <v>90.276776534372502</v>
      </c>
      <c r="AN500">
        <v>0.99999995960196997</v>
      </c>
    </row>
    <row r="501" spans="1:40" x14ac:dyDescent="0.25">
      <c r="A501" t="str">
        <f>"20190305135804427"</f>
        <v>20190305135804427</v>
      </c>
      <c r="B501" t="str">
        <f>"1551765484419234"</f>
        <v>1551765484419234</v>
      </c>
      <c r="C501" t="s">
        <v>40</v>
      </c>
      <c r="D501">
        <v>4.4069820000000002</v>
      </c>
      <c r="E501">
        <v>0.68611279999999997</v>
      </c>
      <c r="F501" t="s">
        <v>47</v>
      </c>
      <c r="G501">
        <v>-265.98340000000002</v>
      </c>
      <c r="H501">
        <v>14.56887</v>
      </c>
      <c r="I501">
        <v>329.10930000000002</v>
      </c>
      <c r="J501">
        <v>-353.0308</v>
      </c>
      <c r="K501">
        <v>1.108814</v>
      </c>
      <c r="L501">
        <v>368.5367</v>
      </c>
      <c r="M501">
        <v>0.99992110000000001</v>
      </c>
      <c r="N501">
        <v>-1.2559239999999999E-2</v>
      </c>
      <c r="O501">
        <v>3.8985410000000001E-4</v>
      </c>
      <c r="P501">
        <v>0.99943360000000003</v>
      </c>
      <c r="Q501">
        <v>3.3522419999999997E-2</v>
      </c>
      <c r="R501">
        <v>2.98775E-3</v>
      </c>
      <c r="S501">
        <v>2.9945680000000001</v>
      </c>
      <c r="T501">
        <v>0.46208120000000003</v>
      </c>
      <c r="U501">
        <v>-1.3535459999999999</v>
      </c>
      <c r="V501">
        <v>-2.4867449999999998E-3</v>
      </c>
      <c r="W501">
        <v>4.6078399999999999E-2</v>
      </c>
      <c r="X501">
        <v>0.99893469999999995</v>
      </c>
      <c r="Y501">
        <v>0.40858889999999998</v>
      </c>
      <c r="Z501">
        <v>2.7271360000000001E-2</v>
      </c>
      <c r="AA501">
        <v>0.91231099999999998</v>
      </c>
      <c r="AB501">
        <v>34</v>
      </c>
      <c r="AC501">
        <v>87.047399999999897</v>
      </c>
      <c r="AD501">
        <v>13.460056</v>
      </c>
      <c r="AE501">
        <v>-39.427399999999899</v>
      </c>
      <c r="AF501">
        <v>38.693658382232798</v>
      </c>
      <c r="AG501">
        <v>13.460056</v>
      </c>
      <c r="AH501">
        <v>85.338908541897894</v>
      </c>
      <c r="AI501">
        <v>81.825462753938595</v>
      </c>
      <c r="AJ501">
        <v>65.609905058080599</v>
      </c>
      <c r="AK501">
        <v>94.663095331002594</v>
      </c>
      <c r="AL501">
        <v>87.358966926252904</v>
      </c>
      <c r="AM501">
        <v>90.142631644396303</v>
      </c>
      <c r="AN501">
        <v>0.99999996885567199</v>
      </c>
    </row>
    <row r="502" spans="1:40" x14ac:dyDescent="0.25">
      <c r="A502" t="str">
        <f>"20190305135804448"</f>
        <v>20190305135804448</v>
      </c>
      <c r="B502" t="str">
        <f>"1551765484439730"</f>
        <v>1551765484439730</v>
      </c>
      <c r="C502" t="s">
        <v>40</v>
      </c>
      <c r="D502">
        <v>4.3753710000000003</v>
      </c>
      <c r="E502">
        <v>0.69573589999999996</v>
      </c>
      <c r="F502" t="s">
        <v>41</v>
      </c>
      <c r="G502">
        <v>-352.39940000000001</v>
      </c>
      <c r="H502">
        <v>1.2251749999999999</v>
      </c>
      <c r="I502">
        <v>368.22980000000001</v>
      </c>
      <c r="J502">
        <v>-352.6952</v>
      </c>
      <c r="K502">
        <v>1.1088100000000001</v>
      </c>
      <c r="L502">
        <v>368.53559999999999</v>
      </c>
      <c r="M502">
        <v>0.9999209</v>
      </c>
      <c r="N502">
        <v>-1.255758E-2</v>
      </c>
      <c r="O502">
        <v>-7.2220619999999896E-4</v>
      </c>
      <c r="P502">
        <v>0.99939040000000001</v>
      </c>
      <c r="Q502">
        <v>3.4723070000000002E-2</v>
      </c>
      <c r="R502">
        <v>-3.6394650000000001E-3</v>
      </c>
      <c r="S502">
        <v>2.9875790000000002</v>
      </c>
      <c r="T502">
        <v>0.55053680000000005</v>
      </c>
      <c r="U502">
        <v>-1.4514469999999999</v>
      </c>
      <c r="V502">
        <v>3.0329129999999999E-3</v>
      </c>
      <c r="W502">
        <v>4.7262999999999999E-2</v>
      </c>
      <c r="X502">
        <v>0.99887789999999999</v>
      </c>
      <c r="Y502">
        <v>0.43094159999999998</v>
      </c>
      <c r="Z502">
        <v>3.4336770000000003E-2</v>
      </c>
      <c r="AA502">
        <v>0.90172629999999998</v>
      </c>
      <c r="AB502">
        <v>34</v>
      </c>
      <c r="AC502">
        <v>0.29579999999998502</v>
      </c>
      <c r="AD502">
        <v>0.116364999999999</v>
      </c>
      <c r="AE502">
        <v>-0.30579999999997598</v>
      </c>
      <c r="AF502">
        <v>0.28431748965043002</v>
      </c>
      <c r="AG502">
        <v>0.116364999999999</v>
      </c>
      <c r="AH502">
        <v>0.27541776283098501</v>
      </c>
      <c r="AI502">
        <v>73.618359871488195</v>
      </c>
      <c r="AJ502">
        <v>44.089080382631799</v>
      </c>
      <c r="AK502">
        <v>0.41259204091807999</v>
      </c>
      <c r="AL502">
        <v>87.291020450898102</v>
      </c>
      <c r="AM502">
        <v>89.826032210228405</v>
      </c>
      <c r="AN502">
        <v>1.0000000244193299</v>
      </c>
    </row>
    <row r="503" spans="1:40" x14ac:dyDescent="0.25">
      <c r="A503" t="str">
        <f>"20190305135804460"</f>
        <v>20190305135804460</v>
      </c>
      <c r="B503" t="str">
        <f>"1551765484449490"</f>
        <v>1551765484449490</v>
      </c>
      <c r="C503" t="s">
        <v>40</v>
      </c>
      <c r="D503">
        <v>3.8948689999999999</v>
      </c>
      <c r="E503">
        <v>0.70471839999999997</v>
      </c>
      <c r="F503" t="s">
        <v>41</v>
      </c>
      <c r="G503">
        <v>-352.09660000000002</v>
      </c>
      <c r="H503">
        <v>1.239959</v>
      </c>
      <c r="I503">
        <v>368.22500000000002</v>
      </c>
      <c r="J503">
        <v>-352.51940000000002</v>
      </c>
      <c r="K503">
        <v>1.108808</v>
      </c>
      <c r="L503">
        <v>368.53500000000003</v>
      </c>
      <c r="M503">
        <v>0.99992029999999998</v>
      </c>
      <c r="N503">
        <v>-1.255676E-2</v>
      </c>
      <c r="O503">
        <v>-1.3040020000000001E-3</v>
      </c>
      <c r="P503">
        <v>0.99934480000000003</v>
      </c>
      <c r="Q503">
        <v>3.5280119999999998E-2</v>
      </c>
      <c r="R503">
        <v>-8.102227E-3</v>
      </c>
      <c r="S503">
        <v>2.973633</v>
      </c>
      <c r="T503">
        <v>0.6511536</v>
      </c>
      <c r="U503">
        <v>-1.5408329999999999</v>
      </c>
      <c r="V503">
        <v>6.9158989999999997E-3</v>
      </c>
      <c r="W503">
        <v>4.7808829999999997E-2</v>
      </c>
      <c r="X503">
        <v>0.99883259999999996</v>
      </c>
      <c r="Y503">
        <v>0.45107959999999903</v>
      </c>
      <c r="Z503">
        <v>4.2692720000000003E-2</v>
      </c>
      <c r="AA503">
        <v>0.89146199999999998</v>
      </c>
      <c r="AB503">
        <v>34</v>
      </c>
      <c r="AC503">
        <v>0.42279999999999501</v>
      </c>
      <c r="AD503">
        <v>0.13115099999999999</v>
      </c>
      <c r="AE503">
        <v>-0.310000000000002</v>
      </c>
      <c r="AF503">
        <v>0.29122373226496101</v>
      </c>
      <c r="AG503">
        <v>0.13115099999999999</v>
      </c>
      <c r="AH503">
        <v>0.39827977339212101</v>
      </c>
      <c r="AI503">
        <v>75.114218526702999</v>
      </c>
      <c r="AJ503">
        <v>53.8255822144435</v>
      </c>
      <c r="AK503">
        <v>0.51052779055465003</v>
      </c>
      <c r="AL503">
        <v>87.259711340081793</v>
      </c>
      <c r="AM503">
        <v>89.603291390254</v>
      </c>
      <c r="AN503">
        <v>1.0000000383538501</v>
      </c>
    </row>
    <row r="504" spans="1:40" x14ac:dyDescent="0.25">
      <c r="A504" t="str">
        <f>"20190305135804473"</f>
        <v>20190305135804473</v>
      </c>
      <c r="B504" t="str">
        <f>"1551765484469010"</f>
        <v>1551765484469010</v>
      </c>
      <c r="C504" t="s">
        <v>40</v>
      </c>
      <c r="D504">
        <v>4.3635840000000004</v>
      </c>
      <c r="E504">
        <v>0.70858710000000003</v>
      </c>
      <c r="F504" t="s">
        <v>47</v>
      </c>
      <c r="G504">
        <v>-266.48790000000002</v>
      </c>
      <c r="H504">
        <v>22.700620000000001</v>
      </c>
      <c r="I504">
        <v>321.50380000000001</v>
      </c>
      <c r="J504">
        <v>-352.31760000000003</v>
      </c>
      <c r="K504">
        <v>1.108806</v>
      </c>
      <c r="L504">
        <v>368.53410000000002</v>
      </c>
      <c r="M504">
        <v>0.99991940000000001</v>
      </c>
      <c r="N504">
        <v>-1.255591E-2</v>
      </c>
      <c r="O504">
        <v>-1.971146E-3</v>
      </c>
      <c r="P504">
        <v>0.99928450000000002</v>
      </c>
      <c r="Q504">
        <v>3.5826169999999997E-2</v>
      </c>
      <c r="R504">
        <v>-1.214602E-2</v>
      </c>
      <c r="S504">
        <v>2.9625849999999998</v>
      </c>
      <c r="T504">
        <v>0.74353719999999901</v>
      </c>
      <c r="U504">
        <v>-1.6195679999999999</v>
      </c>
      <c r="V504">
        <v>1.029471E-2</v>
      </c>
      <c r="W504">
        <v>4.8345140000000002E-2</v>
      </c>
      <c r="X504">
        <v>0.99877760000000004</v>
      </c>
      <c r="Y504">
        <v>0.46749259999999898</v>
      </c>
      <c r="Z504">
        <v>5.0505929999999997E-2</v>
      </c>
      <c r="AA504">
        <v>0.88255300000000003</v>
      </c>
      <c r="AB504">
        <v>34</v>
      </c>
      <c r="AC504">
        <v>85.829700000000003</v>
      </c>
      <c r="AD504">
        <v>21.591813999999999</v>
      </c>
      <c r="AE504">
        <v>-47.030299999999997</v>
      </c>
      <c r="AF504">
        <v>44.686064136441303</v>
      </c>
      <c r="AG504">
        <v>21.591813999999999</v>
      </c>
      <c r="AH504">
        <v>81.934356752290398</v>
      </c>
      <c r="AI504">
        <v>76.973548514150394</v>
      </c>
      <c r="AJ504">
        <v>61.392452418833102</v>
      </c>
      <c r="AK504">
        <v>95.7929515999394</v>
      </c>
      <c r="AL504">
        <v>87.228947260688898</v>
      </c>
      <c r="AM504">
        <v>89.409455571294203</v>
      </c>
      <c r="AN504">
        <v>0.99999996393868096</v>
      </c>
    </row>
    <row r="505" spans="1:40" x14ac:dyDescent="0.25">
      <c r="A505" t="str">
        <f>"20190305135804485"</f>
        <v>20190305135804485</v>
      </c>
      <c r="B505" t="str">
        <f>"1551765484479745"</f>
        <v>1551765484479745</v>
      </c>
      <c r="C505" t="s">
        <v>40</v>
      </c>
      <c r="D505">
        <v>4.3555339999999996</v>
      </c>
      <c r="E505">
        <v>0.70877089999999998</v>
      </c>
      <c r="F505" t="s">
        <v>41</v>
      </c>
      <c r="G505">
        <v>-351.79289999999997</v>
      </c>
      <c r="H505">
        <v>1.250345</v>
      </c>
      <c r="I505">
        <v>368.23930000000001</v>
      </c>
      <c r="J505">
        <v>-352.1352</v>
      </c>
      <c r="K505">
        <v>1.1088039999999999</v>
      </c>
      <c r="L505">
        <v>368.53309999999999</v>
      </c>
      <c r="M505">
        <v>0.99991799999999997</v>
      </c>
      <c r="N505">
        <v>-1.2555180000000001E-2</v>
      </c>
      <c r="O505">
        <v>-2.5735440000000001E-3</v>
      </c>
      <c r="P505">
        <v>0.9992219</v>
      </c>
      <c r="Q505">
        <v>3.5705099999999997E-2</v>
      </c>
      <c r="R505">
        <v>-1.6765080000000002E-2</v>
      </c>
      <c r="S505">
        <v>2.95343</v>
      </c>
      <c r="T505">
        <v>0.79661610000000005</v>
      </c>
      <c r="U505">
        <v>-1.6587829999999999</v>
      </c>
      <c r="V505">
        <v>1.431235E-2</v>
      </c>
      <c r="W505">
        <v>4.8213199999999998E-2</v>
      </c>
      <c r="X505">
        <v>0.99873449999999997</v>
      </c>
      <c r="Y505">
        <v>0.47532039999999998</v>
      </c>
      <c r="Z505">
        <v>5.4965720000000003E-2</v>
      </c>
      <c r="AA505">
        <v>0.87809409999999899</v>
      </c>
      <c r="AB505">
        <v>34</v>
      </c>
      <c r="AC505">
        <v>0.34230000000002198</v>
      </c>
      <c r="AD505">
        <v>0.141540999999999</v>
      </c>
      <c r="AE505">
        <v>-0.29379999999997602</v>
      </c>
      <c r="AF505">
        <v>0.26666429460260499</v>
      </c>
      <c r="AG505">
        <v>0.141540999999999</v>
      </c>
      <c r="AH505">
        <v>0.31230760120923301</v>
      </c>
      <c r="AI505">
        <v>70.982833610414602</v>
      </c>
      <c r="AJ505">
        <v>49.507595669949097</v>
      </c>
      <c r="AK505">
        <v>0.434372810463513</v>
      </c>
      <c r="AL505">
        <v>87.236515732780603</v>
      </c>
      <c r="AM505">
        <v>89.178979877255202</v>
      </c>
      <c r="AN505">
        <v>0.99999997875350599</v>
      </c>
    </row>
    <row r="506" spans="1:40" x14ac:dyDescent="0.25">
      <c r="A506" t="str">
        <f>"20190305135804496"</f>
        <v>20190305135804496</v>
      </c>
      <c r="B506" t="str">
        <f>"1551765484489506"</f>
        <v>1551765484489506</v>
      </c>
      <c r="C506" t="s">
        <v>40</v>
      </c>
      <c r="D506">
        <v>4.3607379999999996</v>
      </c>
      <c r="E506">
        <v>0.70887880000000003</v>
      </c>
      <c r="F506" t="s">
        <v>47</v>
      </c>
      <c r="G506">
        <v>-265.98009999999999</v>
      </c>
      <c r="H506">
        <v>24.540500000000002</v>
      </c>
      <c r="I506">
        <v>319.60599999999999</v>
      </c>
      <c r="J506">
        <v>-351.97289999999998</v>
      </c>
      <c r="K506">
        <v>1.1088009999999999</v>
      </c>
      <c r="L506">
        <v>368.53219999999999</v>
      </c>
      <c r="M506">
        <v>0.99991640000000004</v>
      </c>
      <c r="N506">
        <v>-1.2554559999999999E-2</v>
      </c>
      <c r="O506">
        <v>-3.1090570000000001E-3</v>
      </c>
      <c r="P506">
        <v>0.99912429999999997</v>
      </c>
      <c r="Q506">
        <v>3.6114800000000002E-2</v>
      </c>
      <c r="R506">
        <v>-2.112383E-2</v>
      </c>
      <c r="S506">
        <v>2.9456479999999998</v>
      </c>
      <c r="T506">
        <v>0.80113230000000002</v>
      </c>
      <c r="U506">
        <v>-1.6728209999999999</v>
      </c>
      <c r="V506">
        <v>1.813741E-2</v>
      </c>
      <c r="W506">
        <v>4.8611849999999998E-2</v>
      </c>
      <c r="X506">
        <v>0.99865309999999896</v>
      </c>
      <c r="Y506">
        <v>0.4787747</v>
      </c>
      <c r="Z506">
        <v>5.5619469999999997E-2</v>
      </c>
      <c r="AA506">
        <v>0.87617420000000001</v>
      </c>
      <c r="AB506">
        <v>34</v>
      </c>
      <c r="AC506">
        <v>85.992799999999903</v>
      </c>
      <c r="AD506">
        <v>23.431698999999998</v>
      </c>
      <c r="AE506">
        <v>-48.926200000000001</v>
      </c>
      <c r="AF506">
        <v>46.074254588069799</v>
      </c>
      <c r="AG506">
        <v>23.431698999999998</v>
      </c>
      <c r="AH506">
        <v>81.569244974368999</v>
      </c>
      <c r="AI506">
        <v>75.95735760414</v>
      </c>
      <c r="AJ506">
        <v>60.540137909127999</v>
      </c>
      <c r="AK506">
        <v>96.568230694993602</v>
      </c>
      <c r="AL506">
        <v>87.213648142642995</v>
      </c>
      <c r="AM506">
        <v>88.959515765841303</v>
      </c>
      <c r="AN506">
        <v>1.0000000458707601</v>
      </c>
    </row>
    <row r="507" spans="1:40" x14ac:dyDescent="0.25">
      <c r="A507" t="str">
        <f>"20190305135804516"</f>
        <v>20190305135804516</v>
      </c>
      <c r="B507" t="str">
        <f>"1551765484509030"</f>
        <v>1551765484509030</v>
      </c>
      <c r="C507" t="s">
        <v>40</v>
      </c>
      <c r="D507">
        <v>4.341189</v>
      </c>
      <c r="E507">
        <v>0.70816349999999995</v>
      </c>
      <c r="F507" t="s">
        <v>41</v>
      </c>
      <c r="G507">
        <v>-351.48610000000002</v>
      </c>
      <c r="H507">
        <v>1.2422089999999999</v>
      </c>
      <c r="I507">
        <v>368.2525</v>
      </c>
      <c r="J507">
        <v>-351.66640000000001</v>
      </c>
      <c r="K507">
        <v>1.1087990000000001</v>
      </c>
      <c r="L507">
        <v>368.53019999999998</v>
      </c>
      <c r="M507">
        <v>0.99991269999999999</v>
      </c>
      <c r="N507">
        <v>-1.2553450000000001E-2</v>
      </c>
      <c r="O507">
        <v>-4.1191429999999996E-3</v>
      </c>
      <c r="P507">
        <v>0.99893659999999995</v>
      </c>
      <c r="Q507">
        <v>3.607059E-2</v>
      </c>
      <c r="R507">
        <v>-2.87204E-2</v>
      </c>
      <c r="S507">
        <v>2.937897</v>
      </c>
      <c r="T507">
        <v>0.8048092</v>
      </c>
      <c r="U507">
        <v>-1.6862790000000001</v>
      </c>
      <c r="V507">
        <v>2.4725560000000001E-2</v>
      </c>
      <c r="W507">
        <v>4.8548040000000001E-2</v>
      </c>
      <c r="X507">
        <v>0.99851480000000004</v>
      </c>
      <c r="Y507">
        <v>0.48172569999999998</v>
      </c>
      <c r="Z507">
        <v>5.6035229999999998E-2</v>
      </c>
      <c r="AA507">
        <v>0.87452870000000005</v>
      </c>
      <c r="AB507">
        <v>34</v>
      </c>
      <c r="AC507">
        <v>0.180299999999988</v>
      </c>
      <c r="AD507">
        <v>0.13341</v>
      </c>
      <c r="AE507">
        <v>-0.27769999999998102</v>
      </c>
      <c r="AF507">
        <v>0.23827049799970601</v>
      </c>
      <c r="AG507">
        <v>0.13341</v>
      </c>
      <c r="AH507">
        <v>0.15609899470483601</v>
      </c>
      <c r="AI507">
        <v>64.903902469504303</v>
      </c>
      <c r="AJ507">
        <v>33.230152646999599</v>
      </c>
      <c r="AK507">
        <v>0.314544042170391</v>
      </c>
      <c r="AL507">
        <v>87.217308479539099</v>
      </c>
      <c r="AM507">
        <v>88.581512476554906</v>
      </c>
      <c r="AN507">
        <v>1.0000000356620899</v>
      </c>
    </row>
    <row r="508" spans="1:40" x14ac:dyDescent="0.25">
      <c r="A508" t="str">
        <f>"20190305135804528"</f>
        <v>20190305135804528</v>
      </c>
      <c r="B508" t="str">
        <f>"1551765484518785"</f>
        <v>1551765484518785</v>
      </c>
      <c r="C508" t="s">
        <v>40</v>
      </c>
      <c r="D508">
        <v>4.3057650000000001</v>
      </c>
      <c r="E508">
        <v>0.70719969999999999</v>
      </c>
      <c r="F508" t="s">
        <v>41</v>
      </c>
      <c r="G508">
        <v>-351.1848</v>
      </c>
      <c r="H508">
        <v>1.240791</v>
      </c>
      <c r="I508">
        <v>368.25009999999997</v>
      </c>
      <c r="J508">
        <v>-351.4855</v>
      </c>
      <c r="K508">
        <v>1.1087959999999999</v>
      </c>
      <c r="L508">
        <v>368.52890000000002</v>
      </c>
      <c r="M508">
        <v>0.99991019999999997</v>
      </c>
      <c r="N508">
        <v>-1.2552829999999999E-2</v>
      </c>
      <c r="O508">
        <v>-4.7147220000000002E-3</v>
      </c>
      <c r="P508">
        <v>0.99884099999999998</v>
      </c>
      <c r="Q508">
        <v>3.5864269999999997E-2</v>
      </c>
      <c r="R508">
        <v>-3.210648E-2</v>
      </c>
      <c r="S508">
        <v>2.9252929999999999</v>
      </c>
      <c r="T508">
        <v>0.80171910000000002</v>
      </c>
      <c r="U508">
        <v>-1.70163</v>
      </c>
      <c r="V508">
        <v>2.751669E-2</v>
      </c>
      <c r="W508">
        <v>4.8333229999999998E-2</v>
      </c>
      <c r="X508">
        <v>0.99845220000000001</v>
      </c>
      <c r="Y508">
        <v>0.48620960000000002</v>
      </c>
      <c r="Z508">
        <v>5.6329789999999998E-2</v>
      </c>
      <c r="AA508">
        <v>0.87202479999999905</v>
      </c>
      <c r="AB508">
        <v>34</v>
      </c>
      <c r="AC508">
        <v>0.30070000000000602</v>
      </c>
      <c r="AD508">
        <v>0.131995</v>
      </c>
      <c r="AE508">
        <v>-0.27880000000004601</v>
      </c>
      <c r="AF508">
        <v>0.25133704588552902</v>
      </c>
      <c r="AG508">
        <v>0.131995</v>
      </c>
      <c r="AH508">
        <v>0.27365658320525899</v>
      </c>
      <c r="AI508">
        <v>70.4427410767494</v>
      </c>
      <c r="AJ508">
        <v>47.434402238253803</v>
      </c>
      <c r="AK508">
        <v>0.39431068485528198</v>
      </c>
      <c r="AL508">
        <v>87.229630642250896</v>
      </c>
      <c r="AM508">
        <v>88.421365353647403</v>
      </c>
      <c r="AN508">
        <v>1.00000003251781</v>
      </c>
    </row>
    <row r="509" spans="1:40" x14ac:dyDescent="0.25">
      <c r="A509" t="str">
        <f>"20190305135804542"</f>
        <v>20190305135804542</v>
      </c>
      <c r="B509" t="str">
        <f>"1551765484539281"</f>
        <v>1551765484539281</v>
      </c>
      <c r="C509" t="s">
        <v>40</v>
      </c>
      <c r="D509">
        <v>4.2937500000000002</v>
      </c>
      <c r="E509">
        <v>0.70638380000000001</v>
      </c>
      <c r="F509" t="s">
        <v>47</v>
      </c>
      <c r="G509">
        <v>-266.2079</v>
      </c>
      <c r="H509">
        <v>24.32583</v>
      </c>
      <c r="I509">
        <v>318.76929999999999</v>
      </c>
      <c r="J509">
        <v>-351.2824</v>
      </c>
      <c r="K509">
        <v>1.1087929999999999</v>
      </c>
      <c r="L509">
        <v>368.52730000000003</v>
      </c>
      <c r="M509">
        <v>0.99990690000000004</v>
      </c>
      <c r="N509">
        <v>-1.2552199999999999E-2</v>
      </c>
      <c r="O509">
        <v>-5.3833739999999998E-3</v>
      </c>
      <c r="P509">
        <v>0.99873480000000003</v>
      </c>
      <c r="Q509">
        <v>3.6080109999999999E-2</v>
      </c>
      <c r="R509">
        <v>-3.5032199999999902E-2</v>
      </c>
      <c r="S509">
        <v>2.920166</v>
      </c>
      <c r="T509">
        <v>0.79502309999999998</v>
      </c>
      <c r="U509">
        <v>-1.703918</v>
      </c>
      <c r="V509">
        <v>2.9775940000000001E-2</v>
      </c>
      <c r="W509">
        <v>4.8541359999999999E-2</v>
      </c>
      <c r="X509">
        <v>0.99837730000000002</v>
      </c>
      <c r="Y509">
        <v>0.4869869</v>
      </c>
      <c r="Z509">
        <v>5.5839529999999998E-2</v>
      </c>
      <c r="AA509">
        <v>0.87162240000000002</v>
      </c>
      <c r="AB509">
        <v>34</v>
      </c>
      <c r="AC509">
        <v>85.0745</v>
      </c>
      <c r="AD509">
        <v>23.217037000000001</v>
      </c>
      <c r="AE509">
        <v>-49.758000000000003</v>
      </c>
      <c r="AF509">
        <v>46.7073348088324</v>
      </c>
      <c r="AG509">
        <v>23.217037000000001</v>
      </c>
      <c r="AH509">
        <v>80.854322293085005</v>
      </c>
      <c r="AI509">
        <v>76.037039997028401</v>
      </c>
      <c r="AJ509">
        <v>59.986146414944898</v>
      </c>
      <c r="AK509">
        <v>96.218643544158297</v>
      </c>
      <c r="AL509">
        <v>87.217691711748401</v>
      </c>
      <c r="AM509">
        <v>88.291697809684507</v>
      </c>
      <c r="AN509">
        <v>1.0000000516944101</v>
      </c>
    </row>
    <row r="510" spans="1:40" x14ac:dyDescent="0.25">
      <c r="A510" t="str">
        <f>"20190305135804555"</f>
        <v>20190305135804555</v>
      </c>
      <c r="B510" t="str">
        <f>"1551765484549042"</f>
        <v>1551765484549042</v>
      </c>
      <c r="C510" t="s">
        <v>40</v>
      </c>
      <c r="D510">
        <v>4.322762</v>
      </c>
      <c r="E510">
        <v>0.70546030000000004</v>
      </c>
      <c r="F510" t="s">
        <v>47</v>
      </c>
      <c r="G510">
        <v>-266.20800000000003</v>
      </c>
      <c r="H510">
        <v>24.112719999999999</v>
      </c>
      <c r="I510">
        <v>318.73050000000001</v>
      </c>
      <c r="J510">
        <v>-351.0797</v>
      </c>
      <c r="K510">
        <v>1.1087929999999999</v>
      </c>
      <c r="L510">
        <v>368.5256</v>
      </c>
      <c r="M510">
        <v>0.99990299999999999</v>
      </c>
      <c r="N510">
        <v>-1.2551720000000001E-2</v>
      </c>
      <c r="O510">
        <v>-6.050705E-3</v>
      </c>
      <c r="P510">
        <v>0.99863120000000005</v>
      </c>
      <c r="Q510">
        <v>3.6277459999999997E-2</v>
      </c>
      <c r="R510">
        <v>-3.7679909999999997E-2</v>
      </c>
      <c r="S510">
        <v>2.9154659999999999</v>
      </c>
      <c r="T510">
        <v>0.78833560000000003</v>
      </c>
      <c r="U510">
        <v>-1.70651199999999</v>
      </c>
      <c r="V510">
        <v>3.1757970000000003E-2</v>
      </c>
      <c r="W510">
        <v>4.8732350000000001E-2</v>
      </c>
      <c r="X510">
        <v>0.9983069</v>
      </c>
      <c r="Y510">
        <v>0.48778189999999999</v>
      </c>
      <c r="Z510">
        <v>5.5343200000000002E-2</v>
      </c>
      <c r="AA510">
        <v>0.87120949999999997</v>
      </c>
      <c r="AB510">
        <v>34</v>
      </c>
      <c r="AC510">
        <v>84.871700000000004</v>
      </c>
      <c r="AD510">
        <v>23.003926999999901</v>
      </c>
      <c r="AE510">
        <v>-49.795099999999898</v>
      </c>
      <c r="AF510">
        <v>46.726902387699603</v>
      </c>
      <c r="AG510">
        <v>23.003926999999901</v>
      </c>
      <c r="AH510">
        <v>80.757896434328103</v>
      </c>
      <c r="AI510">
        <v>76.149748380296103</v>
      </c>
      <c r="AJ510">
        <v>59.946121988263101</v>
      </c>
      <c r="AK510">
        <v>96.095899499763206</v>
      </c>
      <c r="AL510">
        <v>87.206735788753804</v>
      </c>
      <c r="AM510">
        <v>88.177930841804894</v>
      </c>
      <c r="AN510">
        <v>1.0000000385913199</v>
      </c>
    </row>
    <row r="511" spans="1:40" x14ac:dyDescent="0.25">
      <c r="A511" t="str">
        <f>"20190305135804572"</f>
        <v>20190305135804572</v>
      </c>
      <c r="B511" t="str">
        <f>"1551765484569537"</f>
        <v>1551765484569537</v>
      </c>
      <c r="C511" t="s">
        <v>40</v>
      </c>
      <c r="D511">
        <v>4.3484239999999996</v>
      </c>
      <c r="E511">
        <v>0.70437079999999996</v>
      </c>
      <c r="F511" t="s">
        <v>41</v>
      </c>
      <c r="G511">
        <v>-350.58420000000001</v>
      </c>
      <c r="H511">
        <v>1.239779</v>
      </c>
      <c r="I511">
        <v>368.23500000000001</v>
      </c>
      <c r="J511">
        <v>-350.83260000000001</v>
      </c>
      <c r="K511">
        <v>1.1087910000000001</v>
      </c>
      <c r="L511">
        <v>368.52330000000001</v>
      </c>
      <c r="M511">
        <v>0.99989779999999995</v>
      </c>
      <c r="N511">
        <v>-1.2551059999999999E-2</v>
      </c>
      <c r="O511">
        <v>-6.8641789999999998E-3</v>
      </c>
      <c r="P511">
        <v>0.99848749999999997</v>
      </c>
      <c r="Q511">
        <v>3.638595E-2</v>
      </c>
      <c r="R511">
        <v>-4.121988E-2</v>
      </c>
      <c r="S511">
        <v>2.9116520000000001</v>
      </c>
      <c r="T511">
        <v>0.76996109999999995</v>
      </c>
      <c r="U511">
        <v>-1.7083740000000001</v>
      </c>
      <c r="V511">
        <v>3.4486759999999998E-2</v>
      </c>
      <c r="W511">
        <v>4.883237E-2</v>
      </c>
      <c r="X511">
        <v>0.99821139999999997</v>
      </c>
      <c r="Y511">
        <v>0.48854310000000001</v>
      </c>
      <c r="Z511">
        <v>5.3948290000000003E-2</v>
      </c>
      <c r="AA511">
        <v>0.87087039999999905</v>
      </c>
      <c r="AB511">
        <v>34</v>
      </c>
      <c r="AC511">
        <v>0.24840000000000301</v>
      </c>
      <c r="AD511">
        <v>0.13098799999999999</v>
      </c>
      <c r="AE511">
        <v>-0.28829999999999201</v>
      </c>
      <c r="AF511">
        <v>0.25623045034084801</v>
      </c>
      <c r="AG511">
        <v>0.13098799999999999</v>
      </c>
      <c r="AH511">
        <v>0.223851825758353</v>
      </c>
      <c r="AI511">
        <v>68.943975059159797</v>
      </c>
      <c r="AJ511">
        <v>41.141591893790803</v>
      </c>
      <c r="AK511">
        <v>0.364584063997896</v>
      </c>
      <c r="AL511">
        <v>87.200998036505496</v>
      </c>
      <c r="AM511">
        <v>88.021300703464902</v>
      </c>
      <c r="AN511">
        <v>0.99999996803253599</v>
      </c>
    </row>
    <row r="512" spans="1:40" x14ac:dyDescent="0.25">
      <c r="A512" t="str">
        <f>"20190305135804585"</f>
        <v>20190305135804585</v>
      </c>
      <c r="B512" t="str">
        <f>"1551765484579299"</f>
        <v>1551765484579299</v>
      </c>
      <c r="C512" t="s">
        <v>40</v>
      </c>
      <c r="D512">
        <v>4.4013640000000001</v>
      </c>
      <c r="E512">
        <v>0.70394080000000003</v>
      </c>
      <c r="F512" t="s">
        <v>47</v>
      </c>
      <c r="G512">
        <v>-266.20830000000001</v>
      </c>
      <c r="H512">
        <v>23.216000000000001</v>
      </c>
      <c r="I512">
        <v>318.69819999999999</v>
      </c>
      <c r="J512">
        <v>-350.6422</v>
      </c>
      <c r="K512">
        <v>1.108795</v>
      </c>
      <c r="L512">
        <v>368.5213</v>
      </c>
      <c r="M512">
        <v>0.99989329999999998</v>
      </c>
      <c r="N512">
        <v>-1.2550489999999999E-2</v>
      </c>
      <c r="O512">
        <v>-7.4897710000000001E-3</v>
      </c>
      <c r="P512">
        <v>0.99845609999999996</v>
      </c>
      <c r="Q512">
        <v>3.5964089999999997E-2</v>
      </c>
      <c r="R512">
        <v>-4.2338699999999903E-2</v>
      </c>
      <c r="S512">
        <v>2.9062190000000001</v>
      </c>
      <c r="T512">
        <v>0.75921959999999999</v>
      </c>
      <c r="U512">
        <v>-1.7111209999999999</v>
      </c>
      <c r="V512">
        <v>3.4979709999999997E-2</v>
      </c>
      <c r="W512">
        <v>4.8408489999999998E-2</v>
      </c>
      <c r="X512">
        <v>0.99821490000000002</v>
      </c>
      <c r="Y512">
        <v>0.48961329999999997</v>
      </c>
      <c r="Z512">
        <v>5.3209890000000003E-2</v>
      </c>
      <c r="AA512">
        <v>0.870314699999999</v>
      </c>
      <c r="AB512">
        <v>34</v>
      </c>
      <c r="AC512">
        <v>84.433899999999994</v>
      </c>
      <c r="AD512">
        <v>22.107205</v>
      </c>
      <c r="AE512">
        <v>-49.823099999999997</v>
      </c>
      <c r="AF512">
        <v>46.809080797089798</v>
      </c>
      <c r="AG512">
        <v>22.107205</v>
      </c>
      <c r="AH512">
        <v>80.701174044263695</v>
      </c>
      <c r="AI512">
        <v>76.668921689320996</v>
      </c>
      <c r="AJ512">
        <v>59.884991922772798</v>
      </c>
      <c r="AK512">
        <v>95.877515873655398</v>
      </c>
      <c r="AL512">
        <v>87.225313346915499</v>
      </c>
      <c r="AM512">
        <v>87.993047388537605</v>
      </c>
      <c r="AN512">
        <v>0.99999997429888599</v>
      </c>
    </row>
    <row r="513" spans="1:40" x14ac:dyDescent="0.25">
      <c r="A513" t="str">
        <f>"20190305135804594"</f>
        <v>20190305135804594</v>
      </c>
      <c r="B513" t="str">
        <f>"1551765484589058"</f>
        <v>1551765484589058</v>
      </c>
      <c r="C513" t="s">
        <v>40</v>
      </c>
      <c r="D513">
        <v>4.3308439999999999</v>
      </c>
      <c r="E513">
        <v>0.70315079999999996</v>
      </c>
      <c r="F513" t="s">
        <v>47</v>
      </c>
      <c r="G513">
        <v>-266.0514</v>
      </c>
      <c r="H513">
        <v>23.040900000000001</v>
      </c>
      <c r="I513">
        <v>318.67720000000003</v>
      </c>
      <c r="J513">
        <v>-350.48140000000001</v>
      </c>
      <c r="K513">
        <v>1.108792</v>
      </c>
      <c r="L513">
        <v>368.51960000000003</v>
      </c>
      <c r="M513">
        <v>0.99988909999999998</v>
      </c>
      <c r="N513">
        <v>-1.2549970000000001E-2</v>
      </c>
      <c r="O513">
        <v>-8.0176069999999995E-3</v>
      </c>
      <c r="P513">
        <v>0.99843179999999998</v>
      </c>
      <c r="Q513">
        <v>3.554218E-2</v>
      </c>
      <c r="R513">
        <v>-4.3252409999999998E-2</v>
      </c>
      <c r="S513">
        <v>2.904938</v>
      </c>
      <c r="T513">
        <v>0.75317250000000002</v>
      </c>
      <c r="U513">
        <v>-1.7117</v>
      </c>
      <c r="V513">
        <v>3.5365510000000003E-2</v>
      </c>
      <c r="W513">
        <v>4.7985069999999998E-2</v>
      </c>
      <c r="X513">
        <v>0.99822180000000005</v>
      </c>
      <c r="Y513">
        <v>0.4896433</v>
      </c>
      <c r="Z513">
        <v>5.2661609999999998E-2</v>
      </c>
      <c r="AA513">
        <v>0.87033099999999997</v>
      </c>
      <c r="AB513">
        <v>34</v>
      </c>
      <c r="AC513">
        <v>84.43</v>
      </c>
      <c r="AD513">
        <v>21.932107999999999</v>
      </c>
      <c r="AE513">
        <v>-49.842399999999998</v>
      </c>
      <c r="AF513">
        <v>46.820907599927502</v>
      </c>
      <c r="AG513">
        <v>21.932107999999999</v>
      </c>
      <c r="AH513">
        <v>80.784491865140893</v>
      </c>
      <c r="AI513">
        <v>76.781446364476395</v>
      </c>
      <c r="AJ513">
        <v>59.904366182036902</v>
      </c>
      <c r="AK513">
        <v>95.913236186220004</v>
      </c>
      <c r="AL513">
        <v>87.249601890342802</v>
      </c>
      <c r="AM513">
        <v>87.970944620079294</v>
      </c>
      <c r="AN513">
        <v>1.0000000241178499</v>
      </c>
    </row>
    <row r="514" spans="1:40" x14ac:dyDescent="0.25">
      <c r="A514" t="str">
        <f>"20190305135804606"</f>
        <v>20190305135804606</v>
      </c>
      <c r="B514" t="str">
        <f>"1551765484598818"</f>
        <v>1551765484598818</v>
      </c>
      <c r="C514" t="s">
        <v>40</v>
      </c>
      <c r="D514">
        <v>4.3323130000000001</v>
      </c>
      <c r="E514">
        <v>0.70267840000000004</v>
      </c>
      <c r="F514" t="s">
        <v>41</v>
      </c>
      <c r="G514">
        <v>-349.97980000000001</v>
      </c>
      <c r="H514">
        <v>1.2364360000000001</v>
      </c>
      <c r="I514">
        <v>368.22449999999998</v>
      </c>
      <c r="J514">
        <v>-350.31630000000001</v>
      </c>
      <c r="K514">
        <v>1.1087910000000001</v>
      </c>
      <c r="L514">
        <v>368.51780000000002</v>
      </c>
      <c r="M514">
        <v>0.99988469999999996</v>
      </c>
      <c r="N514">
        <v>-1.254941E-2</v>
      </c>
      <c r="O514">
        <v>-8.5572210000000003E-3</v>
      </c>
      <c r="P514">
        <v>0.99843340000000003</v>
      </c>
      <c r="Q514">
        <v>3.4798490000000001E-2</v>
      </c>
      <c r="R514">
        <v>-4.3818749999999997E-2</v>
      </c>
      <c r="S514">
        <v>2.9043269999999999</v>
      </c>
      <c r="T514">
        <v>0.73915719999999996</v>
      </c>
      <c r="U514">
        <v>-1.7095340000000001</v>
      </c>
      <c r="V514">
        <v>3.5390709999999999E-2</v>
      </c>
      <c r="W514">
        <v>4.7241100000000001E-2</v>
      </c>
      <c r="X514">
        <v>0.99825640000000004</v>
      </c>
      <c r="Y514">
        <v>0.48920760000000002</v>
      </c>
      <c r="Z514">
        <v>5.1485610000000001E-2</v>
      </c>
      <c r="AA514">
        <v>0.87064640000000004</v>
      </c>
      <c r="AB514">
        <v>34</v>
      </c>
      <c r="AC514">
        <v>0.33650000000000002</v>
      </c>
      <c r="AD514">
        <v>0.12764500000000001</v>
      </c>
      <c r="AE514">
        <v>-0.29330000000004403</v>
      </c>
      <c r="AF514">
        <v>0.26845775160756702</v>
      </c>
      <c r="AG514">
        <v>0.12764500000000001</v>
      </c>
      <c r="AH514">
        <v>0.31337319780703998</v>
      </c>
      <c r="AI514">
        <v>72.811230460892105</v>
      </c>
      <c r="AJ514">
        <v>49.414291914665696</v>
      </c>
      <c r="AK514">
        <v>0.43193236915864602</v>
      </c>
      <c r="AL514">
        <v>87.292276652169903</v>
      </c>
      <c r="AM514">
        <v>87.969570328042494</v>
      </c>
      <c r="AN514">
        <v>1.00000003201223</v>
      </c>
    </row>
    <row r="515" spans="1:40" x14ac:dyDescent="0.25">
      <c r="A515" t="str">
        <f>"20190305135804620"</f>
        <v>20190305135804620</v>
      </c>
      <c r="B515" t="str">
        <f>"1551765484609554"</f>
        <v>1551765484609554</v>
      </c>
      <c r="C515" t="s">
        <v>40</v>
      </c>
      <c r="D515">
        <v>4.3077940000000003</v>
      </c>
      <c r="E515">
        <v>0.70223950000000002</v>
      </c>
      <c r="F515" t="s">
        <v>47</v>
      </c>
      <c r="G515">
        <v>-265.98079999999999</v>
      </c>
      <c r="H515">
        <v>22.424320000000002</v>
      </c>
      <c r="I515">
        <v>318.91879999999998</v>
      </c>
      <c r="J515">
        <v>-350.10539999999997</v>
      </c>
      <c r="K515">
        <v>1.108797</v>
      </c>
      <c r="L515">
        <v>368.5154</v>
      </c>
      <c r="M515">
        <v>0.99987859999999995</v>
      </c>
      <c r="N515">
        <v>-1.2548689999999999E-2</v>
      </c>
      <c r="O515">
        <v>-9.2436659999999993E-3</v>
      </c>
      <c r="P515">
        <v>0.99846259999999998</v>
      </c>
      <c r="Q515">
        <v>3.4106499999999998E-2</v>
      </c>
      <c r="R515">
        <v>-4.3695049999999999E-2</v>
      </c>
      <c r="S515">
        <v>2.9042050000000001</v>
      </c>
      <c r="T515">
        <v>0.73403009999999902</v>
      </c>
      <c r="U515">
        <v>-1.708008</v>
      </c>
      <c r="V515">
        <v>3.4579169999999999E-2</v>
      </c>
      <c r="W515">
        <v>4.6551879999999997E-2</v>
      </c>
      <c r="X515">
        <v>0.99831720000000002</v>
      </c>
      <c r="Y515">
        <v>0.48847059999999998</v>
      </c>
      <c r="Z515">
        <v>5.0876999999999999E-2</v>
      </c>
      <c r="AA515">
        <v>0.87109590000000003</v>
      </c>
      <c r="AB515">
        <v>34</v>
      </c>
      <c r="AC515">
        <v>84.124599999999901</v>
      </c>
      <c r="AD515">
        <v>21.315522999999999</v>
      </c>
      <c r="AE515">
        <v>-49.596600000000002</v>
      </c>
      <c r="AF515">
        <v>46.596830349214997</v>
      </c>
      <c r="AG515">
        <v>21.315522999999999</v>
      </c>
      <c r="AH515">
        <v>80.733199030581403</v>
      </c>
      <c r="AI515">
        <v>77.119658390745897</v>
      </c>
      <c r="AJ515">
        <v>60.007720556865898</v>
      </c>
      <c r="AK515">
        <v>95.621470105141796</v>
      </c>
      <c r="AL515">
        <v>87.331809497106903</v>
      </c>
      <c r="AM515">
        <v>88.016212946608604</v>
      </c>
      <c r="AN515">
        <v>1.00000001417263</v>
      </c>
    </row>
    <row r="516" spans="1:40" x14ac:dyDescent="0.25">
      <c r="A516" t="str">
        <f>"20190305135804632"</f>
        <v>20190305135804632</v>
      </c>
      <c r="B516" t="str">
        <f>"1551765484629074"</f>
        <v>1551765484629074</v>
      </c>
      <c r="C516" t="s">
        <v>40</v>
      </c>
      <c r="D516">
        <v>3.0618599999999998</v>
      </c>
      <c r="E516">
        <v>0.70288339999999905</v>
      </c>
      <c r="F516" t="s">
        <v>47</v>
      </c>
      <c r="G516">
        <v>-265.98090000000002</v>
      </c>
      <c r="H516">
        <v>22.188790000000001</v>
      </c>
      <c r="I516">
        <v>319.1542</v>
      </c>
      <c r="J516">
        <v>-349.91419999999999</v>
      </c>
      <c r="K516">
        <v>1.108798</v>
      </c>
      <c r="L516">
        <v>368.51299999999998</v>
      </c>
      <c r="M516">
        <v>0.99987280000000001</v>
      </c>
      <c r="N516">
        <v>-1.254803E-2</v>
      </c>
      <c r="O516">
        <v>-9.8586560000000004E-3</v>
      </c>
      <c r="P516">
        <v>0.99847889999999995</v>
      </c>
      <c r="Q516">
        <v>3.3778910000000002E-2</v>
      </c>
      <c r="R516">
        <v>-4.3577739999999997E-2</v>
      </c>
      <c r="S516">
        <v>2.9051819999999999</v>
      </c>
      <c r="T516">
        <v>0.72798319999999905</v>
      </c>
      <c r="U516">
        <v>-1.7046509999999999</v>
      </c>
      <c r="V516">
        <v>3.384583E-2</v>
      </c>
      <c r="W516">
        <v>4.6226059999999999E-2</v>
      </c>
      <c r="X516">
        <v>0.99835750000000001</v>
      </c>
      <c r="Y516">
        <v>0.48727769999999998</v>
      </c>
      <c r="Z516">
        <v>5.016441E-2</v>
      </c>
      <c r="AA516">
        <v>0.87180499999999905</v>
      </c>
      <c r="AB516">
        <v>34</v>
      </c>
      <c r="AC516">
        <v>83.933299999999903</v>
      </c>
      <c r="AD516">
        <v>21.079992000000001</v>
      </c>
      <c r="AE516">
        <v>-49.358800000000002</v>
      </c>
      <c r="AF516">
        <v>46.3562123761332</v>
      </c>
      <c r="AG516">
        <v>21.079992000000001</v>
      </c>
      <c r="AH516">
        <v>80.636542689620697</v>
      </c>
      <c r="AI516">
        <v>77.230297464497099</v>
      </c>
      <c r="AJ516">
        <v>60.106331385456301</v>
      </c>
      <c r="AK516">
        <v>95.370417350016197</v>
      </c>
      <c r="AL516">
        <v>87.350497803855504</v>
      </c>
      <c r="AM516">
        <v>88.058330006584598</v>
      </c>
      <c r="AN516">
        <v>1.00000004331888</v>
      </c>
    </row>
    <row r="517" spans="1:40" x14ac:dyDescent="0.25">
      <c r="A517" t="str">
        <f>"20190305135804645"</f>
        <v>20190305135804645</v>
      </c>
      <c r="B517" t="str">
        <f>"1551765484638833"</f>
        <v>1551765484638833</v>
      </c>
      <c r="C517" t="s">
        <v>40</v>
      </c>
      <c r="D517">
        <v>4.3029570000000001</v>
      </c>
      <c r="E517">
        <v>0.70243449999999996</v>
      </c>
      <c r="F517" t="s">
        <v>41</v>
      </c>
      <c r="G517">
        <v>-349.37549999999999</v>
      </c>
      <c r="H517">
        <v>1.246364</v>
      </c>
      <c r="I517">
        <v>368.19600000000003</v>
      </c>
      <c r="J517">
        <v>-349.72070000000002</v>
      </c>
      <c r="K517">
        <v>1.108803</v>
      </c>
      <c r="L517">
        <v>368.51049999999998</v>
      </c>
      <c r="M517">
        <v>0.99986649999999999</v>
      </c>
      <c r="N517">
        <v>-1.2547340000000001E-2</v>
      </c>
      <c r="O517">
        <v>-1.0473730000000001E-2</v>
      </c>
      <c r="P517">
        <v>0.99849279999999996</v>
      </c>
      <c r="Q517">
        <v>3.3566390000000002E-2</v>
      </c>
      <c r="R517">
        <v>-4.3424360000000002E-2</v>
      </c>
      <c r="S517">
        <v>2.9049070000000001</v>
      </c>
      <c r="T517">
        <v>0.74180939999999995</v>
      </c>
      <c r="U517">
        <v>-1.709381</v>
      </c>
      <c r="V517">
        <v>3.3076460000000002E-2</v>
      </c>
      <c r="W517">
        <v>4.6016000000000001E-2</v>
      </c>
      <c r="X517">
        <v>0.99839290000000003</v>
      </c>
      <c r="Y517">
        <v>0.48745430000000001</v>
      </c>
      <c r="Z517">
        <v>5.1008110000000002E-2</v>
      </c>
      <c r="AA517">
        <v>0.87165729999999997</v>
      </c>
      <c r="AB517">
        <v>34</v>
      </c>
      <c r="AC517">
        <v>0.34520000000003298</v>
      </c>
      <c r="AD517">
        <v>0.13756099999999999</v>
      </c>
      <c r="AE517">
        <v>-0.31450000000000899</v>
      </c>
      <c r="AF517">
        <v>0.286045684978527</v>
      </c>
      <c r="AG517">
        <v>0.13756099999999999</v>
      </c>
      <c r="AH517">
        <v>0.320651213743743</v>
      </c>
      <c r="AI517">
        <v>72.248310165346695</v>
      </c>
      <c r="AJ517">
        <v>48.264570268265402</v>
      </c>
      <c r="AK517">
        <v>0.45117885975649502</v>
      </c>
      <c r="AL517">
        <v>87.3625459392116</v>
      </c>
      <c r="AM517">
        <v>88.102501869997994</v>
      </c>
      <c r="AN517">
        <v>0.99999995361626903</v>
      </c>
    </row>
    <row r="518" spans="1:40" x14ac:dyDescent="0.25">
      <c r="A518" t="str">
        <f>"20190305135804660"</f>
        <v>20190305135804660</v>
      </c>
      <c r="B518" t="str">
        <f>"1551765484649569"</f>
        <v>1551765484649569</v>
      </c>
      <c r="C518" t="s">
        <v>40</v>
      </c>
      <c r="D518">
        <v>4.2641980000000004</v>
      </c>
      <c r="E518">
        <v>0.70209509999999997</v>
      </c>
      <c r="F518" t="s">
        <v>47</v>
      </c>
      <c r="G518">
        <v>-265.98079999999999</v>
      </c>
      <c r="H518">
        <v>22.395630000000001</v>
      </c>
      <c r="I518">
        <v>319.35489999999999</v>
      </c>
      <c r="J518">
        <v>-349.49579999999997</v>
      </c>
      <c r="K518">
        <v>1.108811</v>
      </c>
      <c r="L518">
        <v>368.50749999999999</v>
      </c>
      <c r="M518">
        <v>0.99985889999999999</v>
      </c>
      <c r="N518">
        <v>-1.254651E-2</v>
      </c>
      <c r="O518">
        <v>-1.117956E-2</v>
      </c>
      <c r="P518">
        <v>0.99860130000000003</v>
      </c>
      <c r="Q518">
        <v>3.244122E-2</v>
      </c>
      <c r="R518">
        <v>-4.1753360000000003E-2</v>
      </c>
      <c r="S518">
        <v>2.905548</v>
      </c>
      <c r="T518">
        <v>0.73859629999999998</v>
      </c>
      <c r="U518">
        <v>-1.7055659999999999</v>
      </c>
      <c r="V518">
        <v>3.069502E-2</v>
      </c>
      <c r="W518">
        <v>4.4898019999999997E-2</v>
      </c>
      <c r="X518">
        <v>0.99851990000000002</v>
      </c>
      <c r="Y518">
        <v>0.48604740000000002</v>
      </c>
      <c r="Z518">
        <v>5.0459709999999998E-2</v>
      </c>
      <c r="AA518">
        <v>0.87247459999999899</v>
      </c>
      <c r="AB518">
        <v>34</v>
      </c>
      <c r="AC518">
        <v>83.514999999999901</v>
      </c>
      <c r="AD518">
        <v>21.286819000000001</v>
      </c>
      <c r="AE518">
        <v>-49.1526</v>
      </c>
      <c r="AF518">
        <v>45.9963436102407</v>
      </c>
      <c r="AG518">
        <v>21.286819000000001</v>
      </c>
      <c r="AH518">
        <v>80.189942803621506</v>
      </c>
      <c r="AI518">
        <v>77.032841993722101</v>
      </c>
      <c r="AJ518">
        <v>60.161744296342398</v>
      </c>
      <c r="AK518">
        <v>94.8642146201516</v>
      </c>
      <c r="AL518">
        <v>87.426667892774404</v>
      </c>
      <c r="AM518">
        <v>88.2392524825881</v>
      </c>
      <c r="AN518">
        <v>1.0000000035743599</v>
      </c>
    </row>
    <row r="519" spans="1:40" x14ac:dyDescent="0.25">
      <c r="A519" t="str">
        <f>"20190305135804682"</f>
        <v>20190305135804682</v>
      </c>
      <c r="B519" t="str">
        <f>"1551765484678849"</f>
        <v>1551765484678849</v>
      </c>
      <c r="C519" t="s">
        <v>40</v>
      </c>
      <c r="D519">
        <v>4.2296519999999997</v>
      </c>
      <c r="E519">
        <v>0.70099669999999903</v>
      </c>
      <c r="F519" t="s">
        <v>47</v>
      </c>
      <c r="G519">
        <v>-265.98099999999999</v>
      </c>
      <c r="H519">
        <v>22.015090000000001</v>
      </c>
      <c r="I519">
        <v>319.72989999999999</v>
      </c>
      <c r="J519">
        <v>-349.15129999999999</v>
      </c>
      <c r="K519">
        <v>1.1088260000000001</v>
      </c>
      <c r="L519">
        <v>368.5025</v>
      </c>
      <c r="M519">
        <v>0.99984680000000004</v>
      </c>
      <c r="N519">
        <v>-1.2545189999999999E-2</v>
      </c>
      <c r="O519">
        <v>-1.222182E-2</v>
      </c>
      <c r="P519">
        <v>0.99867189999999995</v>
      </c>
      <c r="Q519">
        <v>3.1294809999999999E-2</v>
      </c>
      <c r="R519">
        <v>-4.0935020000000003E-2</v>
      </c>
      <c r="S519">
        <v>2.9094850000000001</v>
      </c>
      <c r="T519">
        <v>0.72833190000000003</v>
      </c>
      <c r="U519">
        <v>-1.6993100000000001</v>
      </c>
      <c r="V519">
        <v>2.882854E-2</v>
      </c>
      <c r="W519">
        <v>4.375855E-2</v>
      </c>
      <c r="X519">
        <v>0.99862609999999996</v>
      </c>
      <c r="Y519">
        <v>0.48361480000000001</v>
      </c>
      <c r="Z519">
        <v>4.918459E-2</v>
      </c>
      <c r="AA519">
        <v>0.87389799999999995</v>
      </c>
      <c r="AB519">
        <v>34</v>
      </c>
      <c r="AC519">
        <v>83.170299999999997</v>
      </c>
      <c r="AD519">
        <v>20.906264</v>
      </c>
      <c r="AE519">
        <v>-48.772599999999997</v>
      </c>
      <c r="AF519">
        <v>45.608037333416704</v>
      </c>
      <c r="AG519">
        <v>20.906264</v>
      </c>
      <c r="AH519">
        <v>79.998924953025494</v>
      </c>
      <c r="AI519">
        <v>77.209036388482801</v>
      </c>
      <c r="AJ519">
        <v>60.312184011280102</v>
      </c>
      <c r="AK519">
        <v>94.429830760643796</v>
      </c>
      <c r="AL519">
        <v>87.492018926593403</v>
      </c>
      <c r="AM519">
        <v>88.346433105977198</v>
      </c>
      <c r="AN519">
        <v>0.99999999150892105</v>
      </c>
    </row>
    <row r="520" spans="1:40" x14ac:dyDescent="0.25">
      <c r="A520" t="str">
        <f>"20190305135804695"</f>
        <v>20190305135804695</v>
      </c>
      <c r="B520" t="str">
        <f>"1551765484689586"</f>
        <v>1551765484689586</v>
      </c>
      <c r="C520" t="s">
        <v>40</v>
      </c>
      <c r="D520">
        <v>4.2366260000000002</v>
      </c>
      <c r="E520">
        <v>0.70060029999999995</v>
      </c>
      <c r="F520" t="s">
        <v>47</v>
      </c>
      <c r="G520">
        <v>-265.98110000000003</v>
      </c>
      <c r="H520">
        <v>21.549589999999998</v>
      </c>
      <c r="I520">
        <v>320.26369999999997</v>
      </c>
      <c r="J520">
        <v>-348.95859999999999</v>
      </c>
      <c r="K520">
        <v>1.108846</v>
      </c>
      <c r="L520">
        <v>368.49959999999999</v>
      </c>
      <c r="M520">
        <v>0.9998397</v>
      </c>
      <c r="N520">
        <v>-1.254447E-2</v>
      </c>
      <c r="O520">
        <v>-1.2785889999999999E-2</v>
      </c>
      <c r="P520">
        <v>0.99870720000000002</v>
      </c>
      <c r="Q520">
        <v>3.0567190000000001E-2</v>
      </c>
      <c r="R520">
        <v>-4.0616149999999997E-2</v>
      </c>
      <c r="S520">
        <v>2.9123230000000002</v>
      </c>
      <c r="T520">
        <v>0.71576309999999999</v>
      </c>
      <c r="U520">
        <v>-1.6891480000000001</v>
      </c>
      <c r="V520">
        <v>2.794222E-2</v>
      </c>
      <c r="W520">
        <v>4.3033960000000003E-2</v>
      </c>
      <c r="X520">
        <v>0.99868279999999998</v>
      </c>
      <c r="Y520">
        <v>0.48089460000000001</v>
      </c>
      <c r="Z520">
        <v>4.7878570000000002E-2</v>
      </c>
      <c r="AA520">
        <v>0.87547019999999998</v>
      </c>
      <c r="AB520">
        <v>34</v>
      </c>
      <c r="AC520">
        <v>82.977499999999907</v>
      </c>
      <c r="AD520">
        <v>20.440743999999999</v>
      </c>
      <c r="AE520">
        <v>-48.235900000000001</v>
      </c>
      <c r="AF520">
        <v>45.1242470950328</v>
      </c>
      <c r="AG520">
        <v>20.440743999999999</v>
      </c>
      <c r="AH520">
        <v>79.960751427724006</v>
      </c>
      <c r="AI520">
        <v>77.448893353522905</v>
      </c>
      <c r="AJ520">
        <v>60.562661150514003</v>
      </c>
      <c r="AK520">
        <v>94.062444472028204</v>
      </c>
      <c r="AL520">
        <v>87.533574075234</v>
      </c>
      <c r="AM520">
        <v>88.397335259691701</v>
      </c>
      <c r="AN520">
        <v>1.00000001219382</v>
      </c>
    </row>
    <row r="521" spans="1:40" x14ac:dyDescent="0.25">
      <c r="A521" t="str">
        <f>"20190305135804707"</f>
        <v>20190305135804707</v>
      </c>
      <c r="B521" t="str">
        <f>"1551765484699345"</f>
        <v>1551765484699345</v>
      </c>
      <c r="C521" t="s">
        <v>40</v>
      </c>
      <c r="D521">
        <v>4.211989</v>
      </c>
      <c r="E521">
        <v>0.70046030000000004</v>
      </c>
      <c r="F521" t="s">
        <v>41</v>
      </c>
      <c r="G521">
        <v>-348.46730000000002</v>
      </c>
      <c r="H521">
        <v>1.228677</v>
      </c>
      <c r="I521">
        <v>368.21499999999997</v>
      </c>
      <c r="J521">
        <v>-348.7801</v>
      </c>
      <c r="K521">
        <v>1.1088639999999901</v>
      </c>
      <c r="L521">
        <v>368.49680000000001</v>
      </c>
      <c r="M521">
        <v>0.99983310000000003</v>
      </c>
      <c r="N521">
        <v>-1.2543729999999999E-2</v>
      </c>
      <c r="O521">
        <v>-1.3288670000000001E-2</v>
      </c>
      <c r="P521">
        <v>0.99875650000000005</v>
      </c>
      <c r="Q521">
        <v>2.977834E-2</v>
      </c>
      <c r="R521">
        <v>-3.9987210000000002E-2</v>
      </c>
      <c r="S521">
        <v>2.913605</v>
      </c>
      <c r="T521">
        <v>0.71033930000000001</v>
      </c>
      <c r="U521">
        <v>-1.6853939999999901</v>
      </c>
      <c r="V521">
        <v>2.6805929999999999E-2</v>
      </c>
      <c r="W521">
        <v>4.2249330000000002E-2</v>
      </c>
      <c r="X521">
        <v>0.99874739999999995</v>
      </c>
      <c r="Y521">
        <v>0.47963319999999998</v>
      </c>
      <c r="Z521">
        <v>4.7245799999999998E-2</v>
      </c>
      <c r="AA521">
        <v>0.87619619999999998</v>
      </c>
      <c r="AB521">
        <v>34</v>
      </c>
      <c r="AC521">
        <v>0.31279999999998098</v>
      </c>
      <c r="AD521">
        <v>0.119813</v>
      </c>
      <c r="AE521">
        <v>-0.28180000000003202</v>
      </c>
      <c r="AF521">
        <v>0.25681935480475898</v>
      </c>
      <c r="AG521">
        <v>0.119813</v>
      </c>
      <c r="AH521">
        <v>0.292804401446709</v>
      </c>
      <c r="AI521">
        <v>72.9006833991874</v>
      </c>
      <c r="AJ521">
        <v>48.745931289452002</v>
      </c>
      <c r="AK521">
        <v>0.40748712062824599</v>
      </c>
      <c r="AL521">
        <v>87.578570880125298</v>
      </c>
      <c r="AM521">
        <v>88.462576201729604</v>
      </c>
      <c r="AN521">
        <v>0.99999996638768596</v>
      </c>
    </row>
    <row r="522" spans="1:40" x14ac:dyDescent="0.25">
      <c r="A522" t="str">
        <f>"20190305135804719"</f>
        <v>20190305135804719</v>
      </c>
      <c r="B522" t="str">
        <f>"1551765484709106"</f>
        <v>1551765484709106</v>
      </c>
      <c r="C522" t="s">
        <v>40</v>
      </c>
      <c r="D522">
        <v>3.990021</v>
      </c>
      <c r="E522">
        <v>0.70342890000000002</v>
      </c>
      <c r="F522" t="s">
        <v>47</v>
      </c>
      <c r="G522">
        <v>-265.9812</v>
      </c>
      <c r="H522">
        <v>21.187149999999999</v>
      </c>
      <c r="I522">
        <v>320.709</v>
      </c>
      <c r="J522">
        <v>-348.59809999999999</v>
      </c>
      <c r="K522">
        <v>1.1088800000000001</v>
      </c>
      <c r="L522">
        <v>368.49400000000003</v>
      </c>
      <c r="M522">
        <v>0.9998262</v>
      </c>
      <c r="N522">
        <v>-1.2542960000000001E-2</v>
      </c>
      <c r="O522">
        <v>-1.3791650000000001E-2</v>
      </c>
      <c r="P522">
        <v>0.99880080000000004</v>
      </c>
      <c r="Q522">
        <v>2.8584970000000001E-2</v>
      </c>
      <c r="R522">
        <v>-3.974697E-2</v>
      </c>
      <c r="S522">
        <v>2.915314</v>
      </c>
      <c r="T522">
        <v>0.70694840000000003</v>
      </c>
      <c r="U522">
        <v>-1.6825869999999901</v>
      </c>
      <c r="V522">
        <v>2.60576E-2</v>
      </c>
      <c r="W522">
        <v>4.105922E-2</v>
      </c>
      <c r="X522">
        <v>0.99881679999999995</v>
      </c>
      <c r="Y522">
        <v>0.47847230000000002</v>
      </c>
      <c r="Z522">
        <v>4.6757899999999998E-2</v>
      </c>
      <c r="AA522">
        <v>0.87685689999999905</v>
      </c>
      <c r="AB522">
        <v>34</v>
      </c>
      <c r="AC522">
        <v>82.616899999999902</v>
      </c>
      <c r="AD522">
        <v>20.07827</v>
      </c>
      <c r="AE522">
        <v>-47.784999999999997</v>
      </c>
      <c r="AF522">
        <v>44.664228108772598</v>
      </c>
      <c r="AG522">
        <v>20.07827</v>
      </c>
      <c r="AH522">
        <v>79.739098343771005</v>
      </c>
      <c r="AI522">
        <v>77.609825176734603</v>
      </c>
      <c r="AJ522">
        <v>60.7455217938586</v>
      </c>
      <c r="AK522">
        <v>93.575392082656904</v>
      </c>
      <c r="AL522">
        <v>87.646818311742905</v>
      </c>
      <c r="AM522">
        <v>88.505579873452604</v>
      </c>
      <c r="AN522">
        <v>0.99999992901350099</v>
      </c>
    </row>
    <row r="523" spans="1:40" x14ac:dyDescent="0.25">
      <c r="A523" t="str">
        <f>"20190305135804842"</f>
        <v>20190305135804842</v>
      </c>
      <c r="B523" t="str">
        <f>"1551765484838913"</f>
        <v>1551765484838913</v>
      </c>
      <c r="C523" t="s">
        <v>40</v>
      </c>
      <c r="D523">
        <v>3.9029410000000002</v>
      </c>
      <c r="E523">
        <v>0.70342890000000002</v>
      </c>
      <c r="F523" t="s">
        <v>47</v>
      </c>
      <c r="G523">
        <v>-265.98099999999999</v>
      </c>
      <c r="H523">
        <v>21.843399999999999</v>
      </c>
      <c r="I523">
        <v>320.19459999999998</v>
      </c>
      <c r="J523">
        <v>-346.74680000000001</v>
      </c>
      <c r="K523">
        <v>1.109219</v>
      </c>
      <c r="L523">
        <v>368.46140000000003</v>
      </c>
      <c r="M523">
        <v>0.99977020000000005</v>
      </c>
      <c r="N523">
        <v>-1.2535589999999999E-2</v>
      </c>
      <c r="O523">
        <v>-1.7397719999999998E-2</v>
      </c>
      <c r="P523">
        <v>0.99945079999999997</v>
      </c>
      <c r="Q523">
        <v>1.4258989999999999E-2</v>
      </c>
      <c r="R523">
        <v>-2.9921570000000001E-2</v>
      </c>
      <c r="S523">
        <v>2.9147949999999998</v>
      </c>
      <c r="T523">
        <v>0.7315315</v>
      </c>
      <c r="U523">
        <v>-1.7040409999999999</v>
      </c>
      <c r="V523">
        <v>1.256122E-2</v>
      </c>
      <c r="W523">
        <v>2.6775319999999998E-2</v>
      </c>
      <c r="X523">
        <v>0.99956259999999997</v>
      </c>
      <c r="Y523">
        <v>0.4796472</v>
      </c>
      <c r="Z523">
        <v>4.763701E-2</v>
      </c>
      <c r="AA523">
        <v>0.87616740000000004</v>
      </c>
      <c r="AB523">
        <v>34</v>
      </c>
      <c r="AC523">
        <v>80.765799999999999</v>
      </c>
      <c r="AD523">
        <v>20.734181</v>
      </c>
      <c r="AE523">
        <v>-48.266800000000003</v>
      </c>
      <c r="AF523">
        <v>44.684300430178602</v>
      </c>
      <c r="AG523">
        <v>20.734181</v>
      </c>
      <c r="AH523">
        <v>77.814570332284006</v>
      </c>
      <c r="AI523">
        <v>76.989109855987806</v>
      </c>
      <c r="AJ523">
        <v>60.133799887450003</v>
      </c>
      <c r="AK523">
        <v>92.096147165194694</v>
      </c>
      <c r="AL523">
        <v>88.465703875883094</v>
      </c>
      <c r="AM523">
        <v>89.280018070612996</v>
      </c>
      <c r="AN523">
        <v>1.0000000466638701</v>
      </c>
    </row>
    <row r="524" spans="1:40" x14ac:dyDescent="0.25">
      <c r="A524" t="str">
        <f>"20190305135804854"</f>
        <v>20190305135804854</v>
      </c>
      <c r="B524" t="str">
        <f>"1551765484849650"</f>
        <v>1551765484849650</v>
      </c>
      <c r="C524" t="s">
        <v>40</v>
      </c>
      <c r="D524">
        <v>3.9557380000000002</v>
      </c>
      <c r="E524">
        <v>0.50975950000000003</v>
      </c>
      <c r="F524" t="s">
        <v>47</v>
      </c>
      <c r="G524">
        <v>-265.98160000000001</v>
      </c>
      <c r="H524">
        <v>20.19669</v>
      </c>
      <c r="I524">
        <v>322.53320000000002</v>
      </c>
      <c r="J524">
        <v>-346.55860000000001</v>
      </c>
      <c r="K524">
        <v>1.109251</v>
      </c>
      <c r="L524">
        <v>368.4579</v>
      </c>
      <c r="M524">
        <v>0.9997663</v>
      </c>
      <c r="N524">
        <v>-1.2534899999999899E-2</v>
      </c>
      <c r="O524">
        <v>-1.7612429999999998E-2</v>
      </c>
      <c r="P524">
        <v>0.99951480000000004</v>
      </c>
      <c r="Q524">
        <v>1.272416E-2</v>
      </c>
      <c r="R524">
        <v>-2.8434689999999999E-2</v>
      </c>
      <c r="S524">
        <v>2.9416199999999999</v>
      </c>
      <c r="T524">
        <v>0.69520179999999998</v>
      </c>
      <c r="U524">
        <v>-1.6727909999999999</v>
      </c>
      <c r="V524">
        <v>1.0854279999999999E-2</v>
      </c>
      <c r="W524">
        <v>2.5243760000000001E-2</v>
      </c>
      <c r="X524">
        <v>0.99962240000000002</v>
      </c>
      <c r="Y524">
        <v>0.4701997</v>
      </c>
      <c r="Z524">
        <v>4.38968E-2</v>
      </c>
      <c r="AA524">
        <v>0.88146769999999997</v>
      </c>
      <c r="AB524">
        <v>34</v>
      </c>
      <c r="AC524">
        <v>80.576999999999998</v>
      </c>
      <c r="AD524">
        <v>19.087439</v>
      </c>
      <c r="AE524">
        <v>-45.924699999999902</v>
      </c>
      <c r="AF524">
        <v>42.690146120095697</v>
      </c>
      <c r="AG524">
        <v>19.087439</v>
      </c>
      <c r="AH524">
        <v>78.066850917768605</v>
      </c>
      <c r="AI524">
        <v>77.892333696986</v>
      </c>
      <c r="AJ524">
        <v>61.328358024024404</v>
      </c>
      <c r="AK524">
        <v>91.001165462597001</v>
      </c>
      <c r="AL524">
        <v>88.553485437834894</v>
      </c>
      <c r="AM524">
        <v>89.377885095790205</v>
      </c>
      <c r="AN524">
        <v>1.0000000026975</v>
      </c>
    </row>
    <row r="525" spans="1:40" x14ac:dyDescent="0.25">
      <c r="A525" t="str">
        <f>"20190305135804866"</f>
        <v>20190305135804866</v>
      </c>
      <c r="B525" t="str">
        <f>"1551765484859410"</f>
        <v>1551765484859410</v>
      </c>
      <c r="C525" t="s">
        <v>40</v>
      </c>
      <c r="D525">
        <v>3.915203</v>
      </c>
      <c r="E525">
        <v>0.51193279999999997</v>
      </c>
      <c r="F525" t="s">
        <v>44</v>
      </c>
      <c r="G525">
        <v>-158.19499999999999</v>
      </c>
      <c r="H525">
        <v>3.4213170000000002</v>
      </c>
      <c r="I525">
        <v>358.20179999999999</v>
      </c>
      <c r="J525">
        <v>-346.37569999999999</v>
      </c>
      <c r="K525">
        <v>1.1092850000000001</v>
      </c>
      <c r="L525">
        <v>368.4545</v>
      </c>
      <c r="M525">
        <v>0.99976310000000002</v>
      </c>
      <c r="N525">
        <v>-1.253425E-2</v>
      </c>
      <c r="O525">
        <v>-1.7795869999999998E-2</v>
      </c>
      <c r="P525">
        <v>0.99956730000000005</v>
      </c>
      <c r="Q525">
        <v>1.1415969999999999E-2</v>
      </c>
      <c r="R525">
        <v>-2.711235E-2</v>
      </c>
      <c r="S525">
        <v>2.9963380000000002</v>
      </c>
      <c r="T525">
        <v>3.6779880000000001E-2</v>
      </c>
      <c r="U525">
        <v>-0.16314699999999999</v>
      </c>
      <c r="V525">
        <v>9.3442779999999993E-3</v>
      </c>
      <c r="W525">
        <v>2.39381E-2</v>
      </c>
      <c r="X525">
        <v>0.99966980000000005</v>
      </c>
      <c r="Y525">
        <v>3.6594229999999998E-2</v>
      </c>
      <c r="Z525">
        <v>-4.4625669999999999E-4</v>
      </c>
      <c r="AA525">
        <v>0.9993301</v>
      </c>
      <c r="AB525">
        <v>34</v>
      </c>
      <c r="AC525">
        <v>188.1807</v>
      </c>
      <c r="AD525">
        <v>2.3120319999999901</v>
      </c>
      <c r="AE525">
        <v>-10.252700000000001</v>
      </c>
      <c r="AF525">
        <v>6.9009352398478301</v>
      </c>
      <c r="AG525">
        <v>2.3120319999999901</v>
      </c>
      <c r="AH525">
        <v>188.30502444634601</v>
      </c>
      <c r="AI525">
        <v>89.297022656724707</v>
      </c>
      <c r="AJ525">
        <v>87.901184017104697</v>
      </c>
      <c r="AK525">
        <v>188.44561717082399</v>
      </c>
      <c r="AL525">
        <v>88.6283169151978</v>
      </c>
      <c r="AM525">
        <v>89.464451061775605</v>
      </c>
      <c r="AN525">
        <v>1.0000000285974899</v>
      </c>
    </row>
    <row r="526" spans="1:40" x14ac:dyDescent="0.25">
      <c r="A526" t="str">
        <f>"20190305135804877"</f>
        <v>20190305135804877</v>
      </c>
      <c r="B526" t="str">
        <f>"1551765484869170"</f>
        <v>1551765484869170</v>
      </c>
      <c r="C526" t="s">
        <v>40</v>
      </c>
      <c r="D526">
        <v>3.9306209999999999</v>
      </c>
      <c r="E526">
        <v>0.51368910000000001</v>
      </c>
      <c r="F526" t="s">
        <v>50</v>
      </c>
      <c r="G526">
        <v>-206.6721</v>
      </c>
      <c r="H526" s="1">
        <v>-5.6656089999999899E-6</v>
      </c>
      <c r="I526">
        <v>360.04759999999999</v>
      </c>
      <c r="J526">
        <v>-346.20580000000001</v>
      </c>
      <c r="K526">
        <v>1.1093139999999999</v>
      </c>
      <c r="L526">
        <v>368.4513</v>
      </c>
      <c r="M526">
        <v>0.99976019999999999</v>
      </c>
      <c r="N526">
        <v>-1.253366E-2</v>
      </c>
      <c r="O526">
        <v>-1.7956489999999999E-2</v>
      </c>
      <c r="P526">
        <v>0.99959549999999997</v>
      </c>
      <c r="Q526">
        <v>1.116528E-2</v>
      </c>
      <c r="R526">
        <v>-2.6156970000000002E-2</v>
      </c>
      <c r="S526">
        <v>2.9966430000000002</v>
      </c>
      <c r="T526">
        <v>-2.3794289999999999E-2</v>
      </c>
      <c r="U526">
        <v>-0.1803284</v>
      </c>
      <c r="V526">
        <v>8.2257040000000003E-3</v>
      </c>
      <c r="W526">
        <v>2.3688790000000001E-2</v>
      </c>
      <c r="X526">
        <v>0.9996855</v>
      </c>
      <c r="Y526">
        <v>4.2129739999999999E-2</v>
      </c>
      <c r="Z526">
        <v>-5.1387089999999904E-4</v>
      </c>
      <c r="AA526">
        <v>0.999112</v>
      </c>
      <c r="AB526">
        <v>34</v>
      </c>
      <c r="AC526">
        <v>139.53370000000001</v>
      </c>
      <c r="AD526">
        <v>-1.1093196656090001</v>
      </c>
      <c r="AE526">
        <v>-8.4037000000000095</v>
      </c>
      <c r="AF526">
        <v>5.8962411934230801</v>
      </c>
      <c r="AG526">
        <v>-1.1093196656090001</v>
      </c>
      <c r="AH526">
        <v>139.65331718726</v>
      </c>
      <c r="AI526">
        <v>90.454707621854197</v>
      </c>
      <c r="AJ526">
        <v>87.5823759799557</v>
      </c>
      <c r="AK526">
        <v>139.78213495199199</v>
      </c>
      <c r="AL526">
        <v>88.642605284335701</v>
      </c>
      <c r="AM526">
        <v>89.528564246679096</v>
      </c>
      <c r="AN526">
        <v>0.99999995994410396</v>
      </c>
    </row>
    <row r="527" spans="1:40" x14ac:dyDescent="0.25">
      <c r="A527" t="str">
        <f>"20190305135804888"</f>
        <v>20190305135804888</v>
      </c>
      <c r="B527" t="str">
        <f>"1551765484878930"</f>
        <v>1551765484878930</v>
      </c>
      <c r="C527" t="s">
        <v>40</v>
      </c>
      <c r="D527">
        <v>3.9858989999999999</v>
      </c>
      <c r="E527">
        <v>0.51360030000000001</v>
      </c>
      <c r="F527" t="s">
        <v>43</v>
      </c>
      <c r="G527">
        <v>-284.32150000000001</v>
      </c>
      <c r="H527">
        <v>-0.05</v>
      </c>
      <c r="I527">
        <v>364.44819999999999</v>
      </c>
      <c r="J527">
        <v>-346.04689999999999</v>
      </c>
      <c r="K527">
        <v>1.1093390000000001</v>
      </c>
      <c r="L527">
        <v>368.44830000000002</v>
      </c>
      <c r="M527">
        <v>0.99975809999999998</v>
      </c>
      <c r="N527">
        <v>-1.253313E-2</v>
      </c>
      <c r="O527">
        <v>-1.8079049999999999E-2</v>
      </c>
      <c r="P527">
        <v>0.99961390000000006</v>
      </c>
      <c r="Q527">
        <v>1.093214E-2</v>
      </c>
      <c r="R527">
        <v>-2.554992E-2</v>
      </c>
      <c r="S527">
        <v>2.9967649999999999</v>
      </c>
      <c r="T527">
        <v>-5.614007E-2</v>
      </c>
      <c r="U527">
        <v>-0.19384770000000001</v>
      </c>
      <c r="V527">
        <v>7.4940789999999998E-3</v>
      </c>
      <c r="W527">
        <v>2.3456629999999999E-2</v>
      </c>
      <c r="X527">
        <v>0.99969680000000005</v>
      </c>
      <c r="Y527">
        <v>4.6484190000000002E-2</v>
      </c>
      <c r="Z527">
        <v>-6.1472549999999995E-4</v>
      </c>
      <c r="AA527">
        <v>0.9989188</v>
      </c>
      <c r="AB527">
        <v>34</v>
      </c>
      <c r="AC527">
        <v>61.725399999999901</v>
      </c>
      <c r="AD527">
        <v>-1.1593389999999999</v>
      </c>
      <c r="AE527">
        <v>-4.00010000000003</v>
      </c>
      <c r="AF527">
        <v>2.8824094026277498</v>
      </c>
      <c r="AG527">
        <v>-1.1593389999999999</v>
      </c>
      <c r="AH527">
        <v>61.765935621537601</v>
      </c>
      <c r="AI527">
        <v>91.074139744902197</v>
      </c>
      <c r="AJ527">
        <v>87.328136264193105</v>
      </c>
      <c r="AK527">
        <v>61.844022783816399</v>
      </c>
      <c r="AL527">
        <v>88.655910868974203</v>
      </c>
      <c r="AM527">
        <v>89.570498719930896</v>
      </c>
      <c r="AN527">
        <v>1.00000003332062</v>
      </c>
    </row>
    <row r="528" spans="1:40" x14ac:dyDescent="0.25">
      <c r="A528" t="str">
        <f>"20190305135804902"</f>
        <v>20190305135804902</v>
      </c>
      <c r="B528" t="str">
        <f>"1551765484889666"</f>
        <v>1551765484889666</v>
      </c>
      <c r="C528" t="s">
        <v>40</v>
      </c>
      <c r="D528">
        <v>3.936096</v>
      </c>
      <c r="E528">
        <v>0.51439579999999996</v>
      </c>
      <c r="F528" t="s">
        <v>43</v>
      </c>
      <c r="G528">
        <v>-300.40550000000002</v>
      </c>
      <c r="H528">
        <v>-0.05</v>
      </c>
      <c r="I528">
        <v>365.51490000000001</v>
      </c>
      <c r="J528">
        <v>-345.84769999999997</v>
      </c>
      <c r="K528">
        <v>1.1093710000000001</v>
      </c>
      <c r="L528">
        <v>368.44450000000001</v>
      </c>
      <c r="M528">
        <v>0.99975550000000002</v>
      </c>
      <c r="N528">
        <v>-1.253247E-2</v>
      </c>
      <c r="O528">
        <v>-1.8224290000000001E-2</v>
      </c>
      <c r="P528">
        <v>0.99962340000000005</v>
      </c>
      <c r="Q528">
        <v>1.0553399999999999E-2</v>
      </c>
      <c r="R528">
        <v>-2.5342259999999998E-2</v>
      </c>
      <c r="S528">
        <v>2.9971009999999998</v>
      </c>
      <c r="T528">
        <v>-7.6129440000000007E-2</v>
      </c>
      <c r="U528">
        <v>-0.19262699999999999</v>
      </c>
      <c r="V528">
        <v>7.1385440000000001E-3</v>
      </c>
      <c r="W528">
        <v>2.3078129999999999E-2</v>
      </c>
      <c r="X528">
        <v>0.99970820000000005</v>
      </c>
      <c r="Y528">
        <v>4.5919359999999999E-2</v>
      </c>
      <c r="Z528">
        <v>-6.3653919999999897E-4</v>
      </c>
      <c r="AA528">
        <v>0.99894490000000002</v>
      </c>
      <c r="AB528">
        <v>34</v>
      </c>
      <c r="AC528">
        <v>45.4421999999999</v>
      </c>
      <c r="AD528">
        <v>-1.1593709999999999</v>
      </c>
      <c r="AE528">
        <v>-2.92959999999999</v>
      </c>
      <c r="AF528">
        <v>2.0995356460594801</v>
      </c>
      <c r="AG528">
        <v>-1.1593709999999999</v>
      </c>
      <c r="AH528">
        <v>45.458578689775798</v>
      </c>
      <c r="AI528">
        <v>91.459394045198906</v>
      </c>
      <c r="AJ528">
        <v>87.355634291703794</v>
      </c>
      <c r="AK528">
        <v>45.5218032105414</v>
      </c>
      <c r="AL528">
        <v>88.677603178573705</v>
      </c>
      <c r="AM528">
        <v>89.590879126832306</v>
      </c>
      <c r="AN528">
        <v>1.0000000220209799</v>
      </c>
    </row>
    <row r="529" spans="1:40" x14ac:dyDescent="0.25">
      <c r="A529" t="str">
        <f>"20190305135804918"</f>
        <v>20190305135804918</v>
      </c>
      <c r="B529" t="str">
        <f>"1551765484909189"</f>
        <v>1551765484909189</v>
      </c>
      <c r="C529" t="s">
        <v>40</v>
      </c>
      <c r="D529">
        <v>3.9359609999999998</v>
      </c>
      <c r="E529">
        <v>0.51454759999999999</v>
      </c>
      <c r="F529" t="s">
        <v>43</v>
      </c>
      <c r="G529">
        <v>-302.82709999999997</v>
      </c>
      <c r="H529">
        <v>-0.05</v>
      </c>
      <c r="I529">
        <v>365.5874</v>
      </c>
      <c r="J529">
        <v>-345.59640000000002</v>
      </c>
      <c r="K529">
        <v>1.109394</v>
      </c>
      <c r="L529">
        <v>368.43970000000002</v>
      </c>
      <c r="M529">
        <v>0.99975250000000004</v>
      </c>
      <c r="N529">
        <v>-1.253165E-2</v>
      </c>
      <c r="O529">
        <v>-1.8380290000000001E-2</v>
      </c>
      <c r="P529">
        <v>0.99961359999999999</v>
      </c>
      <c r="Q529">
        <v>7.2253909999999899E-3</v>
      </c>
      <c r="R529">
        <v>-2.6837799999999998E-2</v>
      </c>
      <c r="S529">
        <v>2.9969790000000001</v>
      </c>
      <c r="T529">
        <v>-8.0766199999999996E-2</v>
      </c>
      <c r="U529">
        <v>-0.19903560000000001</v>
      </c>
      <c r="V529">
        <v>8.4735729999999999E-3</v>
      </c>
      <c r="W529">
        <v>1.9749139999999998E-2</v>
      </c>
      <c r="X529">
        <v>0.99976900000000002</v>
      </c>
      <c r="Y529">
        <v>4.7890099999999998E-2</v>
      </c>
      <c r="Z529">
        <v>-6.8047599999999995E-4</v>
      </c>
      <c r="AA529">
        <v>0.99885239999999997</v>
      </c>
      <c r="AB529">
        <v>34</v>
      </c>
      <c r="AC529">
        <v>42.769300000000001</v>
      </c>
      <c r="AD529">
        <v>-1.159394</v>
      </c>
      <c r="AE529">
        <v>-2.8523000000000098</v>
      </c>
      <c r="AF529">
        <v>2.0641340757193101</v>
      </c>
      <c r="AG529">
        <v>-1.159394</v>
      </c>
      <c r="AH529">
        <v>42.783204026162203</v>
      </c>
      <c r="AI529">
        <v>91.550491807632497</v>
      </c>
      <c r="AJ529">
        <v>87.237828761554596</v>
      </c>
      <c r="AK529">
        <v>42.848656812950502</v>
      </c>
      <c r="AL529">
        <v>88.868383994418494</v>
      </c>
      <c r="AM529">
        <v>89.514399480718794</v>
      </c>
      <c r="AN529">
        <v>0.99999994166556105</v>
      </c>
    </row>
    <row r="530" spans="1:40" x14ac:dyDescent="0.25">
      <c r="A530" t="str">
        <f>"20190305135804930"</f>
        <v>20190305135804930</v>
      </c>
      <c r="B530" t="str">
        <f>"1551765484918946"</f>
        <v>1551765484918946</v>
      </c>
      <c r="C530" t="s">
        <v>40</v>
      </c>
      <c r="D530">
        <v>3.9389219999999998</v>
      </c>
      <c r="E530">
        <v>0.51461429999999997</v>
      </c>
      <c r="F530" t="s">
        <v>43</v>
      </c>
      <c r="G530">
        <v>-308.76089999999999</v>
      </c>
      <c r="H530">
        <v>-0.05</v>
      </c>
      <c r="I530">
        <v>365.91750000000002</v>
      </c>
      <c r="J530">
        <v>-345.40609999999998</v>
      </c>
      <c r="K530">
        <v>1.1094079999999999</v>
      </c>
      <c r="L530">
        <v>368.43610000000001</v>
      </c>
      <c r="M530">
        <v>0.99975069999999999</v>
      </c>
      <c r="N530">
        <v>-1.253103E-2</v>
      </c>
      <c r="O530">
        <v>-1.8480969999999999E-2</v>
      </c>
      <c r="P530">
        <v>0.99958990000000003</v>
      </c>
      <c r="Q530">
        <v>3.8361549999999999E-3</v>
      </c>
      <c r="R530">
        <v>-2.8376439999999999E-2</v>
      </c>
      <c r="S530">
        <v>2.9963380000000002</v>
      </c>
      <c r="T530">
        <v>-9.4309329999999997E-2</v>
      </c>
      <c r="U530">
        <v>-0.20516970000000001</v>
      </c>
      <c r="V530">
        <v>9.908119E-3</v>
      </c>
      <c r="W530">
        <v>1.6358899999999999E-2</v>
      </c>
      <c r="X530">
        <v>0.99981710000000001</v>
      </c>
      <c r="Y530">
        <v>4.9831529999999999E-2</v>
      </c>
      <c r="Z530">
        <v>-7.4640549999999996E-4</v>
      </c>
      <c r="AA530">
        <v>0.99875740000000002</v>
      </c>
      <c r="AB530">
        <v>34</v>
      </c>
      <c r="AC530">
        <v>36.645199999999903</v>
      </c>
      <c r="AD530">
        <v>-1.159408</v>
      </c>
      <c r="AE530">
        <v>-2.51859999999999</v>
      </c>
      <c r="AF530">
        <v>1.8390455301786</v>
      </c>
      <c r="AG530">
        <v>-1.159408</v>
      </c>
      <c r="AH530">
        <v>36.648976781911401</v>
      </c>
      <c r="AI530">
        <v>91.809699723234999</v>
      </c>
      <c r="AJ530">
        <v>87.127307539367095</v>
      </c>
      <c r="AK530">
        <v>36.713401021066097</v>
      </c>
      <c r="AL530">
        <v>89.062662270346095</v>
      </c>
      <c r="AM530">
        <v>89.432221334347005</v>
      </c>
      <c r="AN530">
        <v>1.0000000089418599</v>
      </c>
    </row>
    <row r="531" spans="1:40" x14ac:dyDescent="0.25">
      <c r="A531" t="str">
        <f>"20190305135804946"</f>
        <v>20190305135804946</v>
      </c>
      <c r="B531" t="str">
        <f>"1551765484939442"</f>
        <v>1551765484939442</v>
      </c>
      <c r="C531" t="s">
        <v>40</v>
      </c>
      <c r="D531">
        <v>3.9336639999999998</v>
      </c>
      <c r="E531">
        <v>0.51477510000000004</v>
      </c>
      <c r="F531" t="s">
        <v>43</v>
      </c>
      <c r="G531">
        <v>-311.6139</v>
      </c>
      <c r="H531">
        <v>-0.05</v>
      </c>
      <c r="I531">
        <v>366.06420000000003</v>
      </c>
      <c r="J531">
        <v>-345.18639999999999</v>
      </c>
      <c r="K531">
        <v>1.1094219999999999</v>
      </c>
      <c r="L531">
        <v>368.43189999999998</v>
      </c>
      <c r="M531">
        <v>0.99974879999999999</v>
      </c>
      <c r="N531">
        <v>-1.2530319999999999E-2</v>
      </c>
      <c r="O531">
        <v>-1.859094E-2</v>
      </c>
      <c r="P531">
        <v>0.99953539999999996</v>
      </c>
      <c r="Q531">
        <v>1.449924E-3</v>
      </c>
      <c r="R531">
        <v>-3.0449009999999999E-2</v>
      </c>
      <c r="S531">
        <v>2.9956969999999998</v>
      </c>
      <c r="T531">
        <v>-0.102782</v>
      </c>
      <c r="U531">
        <v>-0.21026610000000001</v>
      </c>
      <c r="V531">
        <v>1.1868750000000001E-2</v>
      </c>
      <c r="W531">
        <v>1.397165E-2</v>
      </c>
      <c r="X531">
        <v>0.99983200000000005</v>
      </c>
      <c r="Y531">
        <v>5.1421479999999999E-2</v>
      </c>
      <c r="Z531">
        <v>-7.9941850000000004E-4</v>
      </c>
      <c r="AA531">
        <v>0.99867669999999997</v>
      </c>
      <c r="AB531">
        <v>34</v>
      </c>
      <c r="AC531">
        <v>33.572499999999899</v>
      </c>
      <c r="AD531">
        <v>-1.159422</v>
      </c>
      <c r="AE531">
        <v>-2.36769999999995</v>
      </c>
      <c r="AF531">
        <v>1.7410313125305199</v>
      </c>
      <c r="AG531">
        <v>-1.159422</v>
      </c>
      <c r="AH531">
        <v>33.570877693582801</v>
      </c>
      <c r="AI531">
        <v>91.975359286763606</v>
      </c>
      <c r="AJ531">
        <v>87.031222758322002</v>
      </c>
      <c r="AK531">
        <v>33.635981902165298</v>
      </c>
      <c r="AL531">
        <v>89.199457416483</v>
      </c>
      <c r="AM531">
        <v>89.319888397465803</v>
      </c>
      <c r="AN531">
        <v>1.0000000512271401</v>
      </c>
    </row>
    <row r="532" spans="1:40" x14ac:dyDescent="0.25">
      <c r="A532" t="str">
        <f>"20190305135804963"</f>
        <v>20190305135804963</v>
      </c>
      <c r="B532" t="str">
        <f>"1551765484958962"</f>
        <v>1551765484958962</v>
      </c>
      <c r="C532" t="s">
        <v>40</v>
      </c>
      <c r="D532">
        <v>3.9595470000000001</v>
      </c>
      <c r="E532">
        <v>0.51472899999999999</v>
      </c>
      <c r="F532" t="s">
        <v>43</v>
      </c>
      <c r="G532">
        <v>-313.17860000000002</v>
      </c>
      <c r="H532">
        <v>-0.05</v>
      </c>
      <c r="I532">
        <v>366.10149999999999</v>
      </c>
      <c r="J532">
        <v>-344.92680000000001</v>
      </c>
      <c r="K532">
        <v>1.1094280000000001</v>
      </c>
      <c r="L532">
        <v>368.42680000000001</v>
      </c>
      <c r="M532">
        <v>0.99974640000000004</v>
      </c>
      <c r="N532">
        <v>-1.252957E-2</v>
      </c>
      <c r="O532">
        <v>-1.8712260000000001E-2</v>
      </c>
      <c r="P532">
        <v>0.99943610000000005</v>
      </c>
      <c r="Q532">
        <v>-1.320634E-3</v>
      </c>
      <c r="R532">
        <v>-3.355445E-2</v>
      </c>
      <c r="S532">
        <v>2.9948730000000001</v>
      </c>
      <c r="T532">
        <v>-0.10848389999999999</v>
      </c>
      <c r="U532">
        <v>-0.21804809999999999</v>
      </c>
      <c r="V532">
        <v>1.48518E-2</v>
      </c>
      <c r="W532">
        <v>1.119907E-2</v>
      </c>
      <c r="X532">
        <v>0.99982700000000002</v>
      </c>
      <c r="Y532">
        <v>5.3895720000000001E-2</v>
      </c>
      <c r="Z532">
        <v>-8.7038220000000002E-4</v>
      </c>
      <c r="AA532">
        <v>0.99854620000000005</v>
      </c>
      <c r="AB532">
        <v>34</v>
      </c>
      <c r="AC532">
        <v>31.748200000000001</v>
      </c>
      <c r="AD532">
        <v>-1.1594279999999999</v>
      </c>
      <c r="AE532">
        <v>-2.3253000000000199</v>
      </c>
      <c r="AF532">
        <v>1.7284726729597999</v>
      </c>
      <c r="AG532">
        <v>-1.1594279999999999</v>
      </c>
      <c r="AH532">
        <v>31.744045099710899</v>
      </c>
      <c r="AI532">
        <v>92.088665332007096</v>
      </c>
      <c r="AJ532">
        <v>86.883305537917494</v>
      </c>
      <c r="AK532">
        <v>31.812203481695999</v>
      </c>
      <c r="AL532">
        <v>89.358327149079798</v>
      </c>
      <c r="AM532">
        <v>89.148969893025793</v>
      </c>
      <c r="AN532">
        <v>1.0000000125305499</v>
      </c>
    </row>
    <row r="533" spans="1:40" x14ac:dyDescent="0.25">
      <c r="A533" t="str">
        <f>"20190305135804986"</f>
        <v>20190305135804986</v>
      </c>
      <c r="B533" t="str">
        <f>"1551765484979459"</f>
        <v>1551765484979459</v>
      </c>
      <c r="C533" t="s">
        <v>40</v>
      </c>
      <c r="D533">
        <v>3.9635579999999999</v>
      </c>
      <c r="E533">
        <v>0.51468789999999998</v>
      </c>
      <c r="F533" t="s">
        <v>43</v>
      </c>
      <c r="G533">
        <v>-314.91890000000001</v>
      </c>
      <c r="H533">
        <v>-0.05</v>
      </c>
      <c r="I533">
        <v>366.14960000000002</v>
      </c>
      <c r="J533">
        <v>-344.58859999999999</v>
      </c>
      <c r="K533">
        <v>1.109443</v>
      </c>
      <c r="L533">
        <v>368.4203</v>
      </c>
      <c r="M533">
        <v>0.99974359999999995</v>
      </c>
      <c r="N533">
        <v>-1.252871E-2</v>
      </c>
      <c r="O533">
        <v>-1.8859580000000001E-2</v>
      </c>
      <c r="P533">
        <v>0.99934970000000001</v>
      </c>
      <c r="Q533">
        <v>-2.699014E-3</v>
      </c>
      <c r="R533">
        <v>-3.5958219999999999E-2</v>
      </c>
      <c r="S533">
        <v>2.9939269999999998</v>
      </c>
      <c r="T533">
        <v>-0.1156775</v>
      </c>
      <c r="U533">
        <v>-0.2272034</v>
      </c>
      <c r="V533">
        <v>1.7108160000000001E-2</v>
      </c>
      <c r="W533">
        <v>9.8196540000000006E-3</v>
      </c>
      <c r="X533">
        <v>0.99980550000000001</v>
      </c>
      <c r="Y533">
        <v>5.6800580000000003E-2</v>
      </c>
      <c r="Z533">
        <v>-9.605932E-4</v>
      </c>
      <c r="AA533">
        <v>0.99838510000000003</v>
      </c>
      <c r="AB533">
        <v>34</v>
      </c>
      <c r="AC533">
        <v>29.669699999999899</v>
      </c>
      <c r="AD533">
        <v>-1.159443</v>
      </c>
      <c r="AE533">
        <v>-2.27069999999997</v>
      </c>
      <c r="AF533">
        <v>1.7081007683995399</v>
      </c>
      <c r="AG533">
        <v>-1.159443</v>
      </c>
      <c r="AH533">
        <v>29.6622160790442</v>
      </c>
      <c r="AI533">
        <v>92.234751591395195</v>
      </c>
      <c r="AJ533">
        <v>86.704258287900203</v>
      </c>
      <c r="AK533">
        <v>29.733970118791198</v>
      </c>
      <c r="AL533">
        <v>89.437366270146697</v>
      </c>
      <c r="AM533">
        <v>89.019679618631898</v>
      </c>
      <c r="AN533">
        <v>1.00000007628675</v>
      </c>
    </row>
    <row r="534" spans="1:40" x14ac:dyDescent="0.25">
      <c r="A534" t="str">
        <f>"20190305135804999"</f>
        <v>20190305135804999</v>
      </c>
      <c r="B534" t="str">
        <f>"1551765484989217"</f>
        <v>1551765484989217</v>
      </c>
      <c r="C534" t="s">
        <v>40</v>
      </c>
      <c r="D534">
        <v>3.9496380000000002</v>
      </c>
      <c r="E534">
        <v>0.51466149999999999</v>
      </c>
      <c r="F534" t="s">
        <v>43</v>
      </c>
      <c r="G534">
        <v>-315.57139999999998</v>
      </c>
      <c r="H534">
        <v>-0.05</v>
      </c>
      <c r="I534">
        <v>366.14789999999999</v>
      </c>
      <c r="J534">
        <v>-344.37909999999999</v>
      </c>
      <c r="K534">
        <v>1.1094550000000001</v>
      </c>
      <c r="L534">
        <v>368.41629999999998</v>
      </c>
      <c r="M534">
        <v>0.99974220000000003</v>
      </c>
      <c r="N534">
        <v>-1.252814E-2</v>
      </c>
      <c r="O534">
        <v>-1.8945799999999999E-2</v>
      </c>
      <c r="P534">
        <v>0.99932460000000001</v>
      </c>
      <c r="Q534">
        <v>-3.4224239999999999E-3</v>
      </c>
      <c r="R534">
        <v>-3.6590409999999997E-2</v>
      </c>
      <c r="S534">
        <v>2.9931950000000001</v>
      </c>
      <c r="T534">
        <v>-0.119599499999999</v>
      </c>
      <c r="U534">
        <v>-0.23440549999999999</v>
      </c>
      <c r="V534">
        <v>1.7653720000000001E-2</v>
      </c>
      <c r="W534">
        <v>9.0958470000000007E-3</v>
      </c>
      <c r="X534">
        <v>0.99980279999999999</v>
      </c>
      <c r="Y534">
        <v>5.9115729999999998E-2</v>
      </c>
      <c r="Z534">
        <v>-1.031456E-3</v>
      </c>
      <c r="AA534">
        <v>0.99825059999999999</v>
      </c>
      <c r="AB534">
        <v>34</v>
      </c>
      <c r="AC534">
        <v>28.807700000000001</v>
      </c>
      <c r="AD534">
        <v>-1.1594549999999999</v>
      </c>
      <c r="AE534">
        <v>-2.2683999999999802</v>
      </c>
      <c r="AF534">
        <v>1.71939702288434</v>
      </c>
      <c r="AG534">
        <v>-1.1594549999999999</v>
      </c>
      <c r="AH534">
        <v>28.799144064908699</v>
      </c>
      <c r="AI534">
        <v>92.301392354815107</v>
      </c>
      <c r="AJ534">
        <v>86.583322324494304</v>
      </c>
      <c r="AK534">
        <v>28.873714012760701</v>
      </c>
      <c r="AL534">
        <v>89.478839176385506</v>
      </c>
      <c r="AM534">
        <v>88.988421967485607</v>
      </c>
      <c r="AN534">
        <v>1.0000000135751601</v>
      </c>
    </row>
    <row r="535" spans="1:40" x14ac:dyDescent="0.25">
      <c r="A535" t="str">
        <f>"20190305135805012"</f>
        <v>20190305135805012</v>
      </c>
      <c r="B535" t="str">
        <f>"1551765485009714"</f>
        <v>1551765485009714</v>
      </c>
      <c r="C535" t="s">
        <v>40</v>
      </c>
      <c r="D535">
        <v>3.9494400000000001</v>
      </c>
      <c r="E535">
        <v>0.51445070000000004</v>
      </c>
      <c r="F535" t="s">
        <v>43</v>
      </c>
      <c r="G535">
        <v>-316.05500000000001</v>
      </c>
      <c r="H535">
        <v>-0.05</v>
      </c>
      <c r="I535">
        <v>366.18239999999997</v>
      </c>
      <c r="J535">
        <v>-344.1816</v>
      </c>
      <c r="K535">
        <v>1.1094679999999999</v>
      </c>
      <c r="L535">
        <v>368.41239999999999</v>
      </c>
      <c r="M535">
        <v>0.99974050000000003</v>
      </c>
      <c r="N535">
        <v>-1.252759E-2</v>
      </c>
      <c r="O535">
        <v>-1.9022859999999999E-2</v>
      </c>
      <c r="P535">
        <v>0.9993071</v>
      </c>
      <c r="Q535">
        <v>-3.3851789999999999E-3</v>
      </c>
      <c r="R535">
        <v>-3.7069419999999999E-2</v>
      </c>
      <c r="S535">
        <v>2.9929809999999999</v>
      </c>
      <c r="T535">
        <v>-0.1225184</v>
      </c>
      <c r="U535">
        <v>-0.2360535</v>
      </c>
      <c r="V535">
        <v>1.8055660000000001E-2</v>
      </c>
      <c r="W535">
        <v>9.1325599999999996E-3</v>
      </c>
      <c r="X535">
        <v>0.99979530000000005</v>
      </c>
      <c r="Y535">
        <v>5.9587950000000001E-2</v>
      </c>
      <c r="Z535">
        <v>-1.0522120000000001E-3</v>
      </c>
      <c r="AA535">
        <v>0.99822250000000001</v>
      </c>
      <c r="AB535">
        <v>34</v>
      </c>
      <c r="AC535">
        <v>28.1266</v>
      </c>
      <c r="AD535">
        <v>-1.1594679999999999</v>
      </c>
      <c r="AE535">
        <v>-2.2300000000000102</v>
      </c>
      <c r="AF535">
        <v>1.69164927051761</v>
      </c>
      <c r="AG535">
        <v>-1.1594679999999999</v>
      </c>
      <c r="AH535">
        <v>28.116452723486699</v>
      </c>
      <c r="AI535">
        <v>92.357171158049894</v>
      </c>
      <c r="AJ535">
        <v>86.556903356596393</v>
      </c>
      <c r="AK535">
        <v>28.1911503321437</v>
      </c>
      <c r="AL535">
        <v>89.476735595697306</v>
      </c>
      <c r="AM535">
        <v>88.965387543999796</v>
      </c>
      <c r="AN535">
        <v>1.0000000262061299</v>
      </c>
    </row>
    <row r="536" spans="1:40" x14ac:dyDescent="0.25">
      <c r="A536" t="str">
        <f>"20190305135805029"</f>
        <v>20190305135805029</v>
      </c>
      <c r="B536" t="str">
        <f>"1551765485019474"</f>
        <v>1551765485019474</v>
      </c>
      <c r="C536" t="s">
        <v>40</v>
      </c>
      <c r="D536">
        <v>3.937764</v>
      </c>
      <c r="E536">
        <v>0.51430169999999997</v>
      </c>
      <c r="F536" t="s">
        <v>43</v>
      </c>
      <c r="G536">
        <v>-315.33449999999999</v>
      </c>
      <c r="H536">
        <v>-0.05</v>
      </c>
      <c r="I536">
        <v>366.13959999999997</v>
      </c>
      <c r="J536">
        <v>-343.92899999999997</v>
      </c>
      <c r="K536">
        <v>1.109502</v>
      </c>
      <c r="L536">
        <v>368.4074</v>
      </c>
      <c r="M536">
        <v>0.99973880000000004</v>
      </c>
      <c r="N536">
        <v>-1.252691E-2</v>
      </c>
      <c r="O536">
        <v>-1.911786E-2</v>
      </c>
      <c r="P536">
        <v>0.99931559999999997</v>
      </c>
      <c r="Q536">
        <v>-1.412731E-3</v>
      </c>
      <c r="R536">
        <v>-3.6964370000000003E-2</v>
      </c>
      <c r="S536">
        <v>2.9929199999999998</v>
      </c>
      <c r="T536">
        <v>-0.120296</v>
      </c>
      <c r="U536">
        <v>-0.2358093</v>
      </c>
      <c r="V536">
        <v>1.7855989999999999E-2</v>
      </c>
      <c r="W536">
        <v>1.1104660000000001E-2</v>
      </c>
      <c r="X536">
        <v>0.99977890000000003</v>
      </c>
      <c r="Y536">
        <v>5.9415629999999997E-2</v>
      </c>
      <c r="Z536">
        <v>-1.037048E-3</v>
      </c>
      <c r="AA536">
        <v>0.99823280000000003</v>
      </c>
      <c r="AB536">
        <v>34</v>
      </c>
      <c r="AC536">
        <v>28.5945</v>
      </c>
      <c r="AD536">
        <v>-1.159502</v>
      </c>
      <c r="AE536">
        <v>-2.2678000000000198</v>
      </c>
      <c r="AF536">
        <v>1.7178699252792999</v>
      </c>
      <c r="AG536">
        <v>-1.159502</v>
      </c>
      <c r="AH536">
        <v>28.585922346779199</v>
      </c>
      <c r="AI536">
        <v>92.318579429498499</v>
      </c>
      <c r="AJ536">
        <v>86.560948247381305</v>
      </c>
      <c r="AK536">
        <v>28.6609573877823</v>
      </c>
      <c r="AL536">
        <v>89.363736771575603</v>
      </c>
      <c r="AM536">
        <v>88.976809664821005</v>
      </c>
      <c r="AN536">
        <v>0.99999999936890205</v>
      </c>
    </row>
    <row r="537" spans="1:40" x14ac:dyDescent="0.25">
      <c r="A537" t="str">
        <f>"20190305135805041"</f>
        <v>20190305135805041</v>
      </c>
      <c r="B537" t="str">
        <f>"1551765485029234"</f>
        <v>1551765485029234</v>
      </c>
      <c r="C537" t="s">
        <v>40</v>
      </c>
      <c r="D537">
        <v>3.997906</v>
      </c>
      <c r="E537">
        <v>0.51418509999999995</v>
      </c>
      <c r="F537" t="s">
        <v>43</v>
      </c>
      <c r="G537">
        <v>-313.27440000000001</v>
      </c>
      <c r="H537">
        <v>-0.05</v>
      </c>
      <c r="I537">
        <v>366.01280000000003</v>
      </c>
      <c r="J537">
        <v>-343.74430000000001</v>
      </c>
      <c r="K537">
        <v>1.1095189999999999</v>
      </c>
      <c r="L537">
        <v>368.40379999999999</v>
      </c>
      <c r="M537">
        <v>0.99973749999999995</v>
      </c>
      <c r="N537">
        <v>-1.252644E-2</v>
      </c>
      <c r="O537">
        <v>-1.9184440000000001E-2</v>
      </c>
      <c r="P537">
        <v>0.99932390000000004</v>
      </c>
      <c r="Q537">
        <v>-3.5269190000000001E-4</v>
      </c>
      <c r="R537">
        <v>-3.676422E-2</v>
      </c>
      <c r="S537">
        <v>2.9932560000000001</v>
      </c>
      <c r="T537">
        <v>-0.11321929999999999</v>
      </c>
      <c r="U537">
        <v>-0.2338257</v>
      </c>
      <c r="V537">
        <v>1.7589420000000001E-2</v>
      </c>
      <c r="W537">
        <v>1.216507E-2</v>
      </c>
      <c r="X537">
        <v>0.99977130000000003</v>
      </c>
      <c r="Y537">
        <v>5.8688730000000001E-2</v>
      </c>
      <c r="Z537">
        <v>-9.920285E-4</v>
      </c>
      <c r="AA537">
        <v>0.99827580000000005</v>
      </c>
      <c r="AB537">
        <v>34</v>
      </c>
      <c r="AC537">
        <v>30.469899999999999</v>
      </c>
      <c r="AD537">
        <v>-1.159519</v>
      </c>
      <c r="AE537">
        <v>-2.39099999999996</v>
      </c>
      <c r="AF537">
        <v>1.8033704981240199</v>
      </c>
      <c r="AG537">
        <v>-1.159519</v>
      </c>
      <c r="AH537">
        <v>30.466315291032299</v>
      </c>
      <c r="AI537">
        <v>92.175766307214701</v>
      </c>
      <c r="AJ537">
        <v>86.612485108157401</v>
      </c>
      <c r="AK537">
        <v>30.541660021640201</v>
      </c>
      <c r="AL537">
        <v>89.302975648898595</v>
      </c>
      <c r="AM537">
        <v>88.992073919062406</v>
      </c>
      <c r="AN537">
        <v>1.0000000144638601</v>
      </c>
    </row>
    <row r="538" spans="1:40" x14ac:dyDescent="0.25">
      <c r="A538" t="str">
        <f>"20190305135805053"</f>
        <v>20190305135805053</v>
      </c>
      <c r="B538" t="str">
        <f>"1551765485049730"</f>
        <v>1551765485049730</v>
      </c>
      <c r="C538" t="s">
        <v>40</v>
      </c>
      <c r="D538">
        <v>3.9485009999999998</v>
      </c>
      <c r="E538">
        <v>0.51393259999999996</v>
      </c>
      <c r="F538" t="s">
        <v>43</v>
      </c>
      <c r="G538">
        <v>-312.1198</v>
      </c>
      <c r="H538">
        <v>-0.05</v>
      </c>
      <c r="I538">
        <v>365.95100000000002</v>
      </c>
      <c r="J538">
        <v>-343.56259999999997</v>
      </c>
      <c r="K538">
        <v>1.1095410000000001</v>
      </c>
      <c r="L538">
        <v>368.40030000000002</v>
      </c>
      <c r="M538">
        <v>0.99973630000000002</v>
      </c>
      <c r="N538">
        <v>-1.2525980000000001E-2</v>
      </c>
      <c r="O538">
        <v>-1.9245539999999998E-2</v>
      </c>
      <c r="P538">
        <v>0.9993457</v>
      </c>
      <c r="Q538">
        <v>1.160819E-3</v>
      </c>
      <c r="R538">
        <v>-3.6149649999999998E-2</v>
      </c>
      <c r="S538">
        <v>2.993439</v>
      </c>
      <c r="T538">
        <v>-0.10975500000000001</v>
      </c>
      <c r="U538">
        <v>-0.23217769999999999</v>
      </c>
      <c r="V538">
        <v>1.691339E-2</v>
      </c>
      <c r="W538">
        <v>1.3678900000000001E-2</v>
      </c>
      <c r="X538">
        <v>0.99976339999999997</v>
      </c>
      <c r="Y538">
        <v>5.8079680000000002E-2</v>
      </c>
      <c r="Z538">
        <v>-9.6381139999999999E-4</v>
      </c>
      <c r="AA538">
        <v>0.99831150000000002</v>
      </c>
      <c r="AB538">
        <v>34</v>
      </c>
      <c r="AC538">
        <v>31.442799999999899</v>
      </c>
      <c r="AD538">
        <v>-1.1595409999999999</v>
      </c>
      <c r="AE538">
        <v>-2.4493000000000502</v>
      </c>
      <c r="AF538">
        <v>1.8411762872180299</v>
      </c>
      <c r="AG538">
        <v>-1.1595409999999999</v>
      </c>
      <c r="AH538">
        <v>31.441615483952901</v>
      </c>
      <c r="AI538">
        <v>92.108455499782494</v>
      </c>
      <c r="AJ538">
        <v>86.648667832040502</v>
      </c>
      <c r="AK538">
        <v>31.5168153481922</v>
      </c>
      <c r="AL538">
        <v>89.216232330393495</v>
      </c>
      <c r="AM538">
        <v>89.030797254793498</v>
      </c>
      <c r="AN538">
        <v>1.00000001552303</v>
      </c>
    </row>
    <row r="539" spans="1:40" x14ac:dyDescent="0.25">
      <c r="A539" t="str">
        <f>"20190305135805066"</f>
        <v>20190305135805066</v>
      </c>
      <c r="B539" t="str">
        <f>"1551765485059489"</f>
        <v>1551765485059489</v>
      </c>
      <c r="C539" t="s">
        <v>40</v>
      </c>
      <c r="D539">
        <v>3.9630860000000001</v>
      </c>
      <c r="E539">
        <v>0.513768</v>
      </c>
      <c r="F539" t="s">
        <v>43</v>
      </c>
      <c r="G539">
        <v>-310.29599999999999</v>
      </c>
      <c r="H539">
        <v>-0.05</v>
      </c>
      <c r="I539">
        <v>365.86309999999997</v>
      </c>
      <c r="J539">
        <v>-343.37790000000001</v>
      </c>
      <c r="K539">
        <v>1.1095630000000001</v>
      </c>
      <c r="L539">
        <v>368.39670000000001</v>
      </c>
      <c r="M539">
        <v>0.99973520000000005</v>
      </c>
      <c r="N539">
        <v>-1.252553E-2</v>
      </c>
      <c r="O539">
        <v>-1.9303190000000001E-2</v>
      </c>
      <c r="P539">
        <v>0.99936610000000003</v>
      </c>
      <c r="Q539">
        <v>2.3935850000000002E-3</v>
      </c>
      <c r="R539">
        <v>-3.5522060000000001E-2</v>
      </c>
      <c r="S539">
        <v>2.9938349999999998</v>
      </c>
      <c r="T539">
        <v>-0.1043531</v>
      </c>
      <c r="U539">
        <v>-0.22833249999999999</v>
      </c>
      <c r="V539">
        <v>1.6227999999999999E-2</v>
      </c>
      <c r="W539">
        <v>1.49114E-2</v>
      </c>
      <c r="X539">
        <v>0.99975709999999995</v>
      </c>
      <c r="Y539">
        <v>5.6741890000000003E-2</v>
      </c>
      <c r="Z539">
        <v>-9.1315329999999998E-4</v>
      </c>
      <c r="AA539">
        <v>0.99838850000000001</v>
      </c>
      <c r="AB539">
        <v>34</v>
      </c>
      <c r="AC539">
        <v>33.081899999999997</v>
      </c>
      <c r="AD539">
        <v>-1.1595629999999999</v>
      </c>
      <c r="AE539">
        <v>-2.5336000000000301</v>
      </c>
      <c r="AF539">
        <v>1.89218038346577</v>
      </c>
      <c r="AG539">
        <v>-1.1595629999999999</v>
      </c>
      <c r="AH539">
        <v>33.084235463435199</v>
      </c>
      <c r="AI539">
        <v>92.004054773374094</v>
      </c>
      <c r="AJ539">
        <v>86.726659328430898</v>
      </c>
      <c r="AK539">
        <v>33.158582134261501</v>
      </c>
      <c r="AL539">
        <v>89.145608030611797</v>
      </c>
      <c r="AM539">
        <v>89.070059854318401</v>
      </c>
      <c r="AN539">
        <v>0.99999997841718402</v>
      </c>
    </row>
    <row r="540" spans="1:40" x14ac:dyDescent="0.25">
      <c r="A540" t="str">
        <f>"20190305135805078"</f>
        <v>20190305135805078</v>
      </c>
      <c r="B540" t="str">
        <f>"1551765485069394"</f>
        <v>1551765485069394</v>
      </c>
      <c r="C540" t="s">
        <v>40</v>
      </c>
      <c r="D540">
        <v>3.983104</v>
      </c>
      <c r="E540">
        <v>0.51367419999999997</v>
      </c>
      <c r="F540" t="s">
        <v>43</v>
      </c>
      <c r="G540">
        <v>-309.0197</v>
      </c>
      <c r="H540">
        <v>-0.05</v>
      </c>
      <c r="I540">
        <v>365.81259999999997</v>
      </c>
      <c r="J540">
        <v>-343.19049999999999</v>
      </c>
      <c r="K540">
        <v>1.10958</v>
      </c>
      <c r="L540">
        <v>368.3929</v>
      </c>
      <c r="M540">
        <v>0.99973409999999996</v>
      </c>
      <c r="N540">
        <v>-1.2525069999999999E-2</v>
      </c>
      <c r="O540">
        <v>-1.9359049999999999E-2</v>
      </c>
      <c r="P540">
        <v>0.99939670000000003</v>
      </c>
      <c r="Q540">
        <v>4.0428340000000004E-3</v>
      </c>
      <c r="R540">
        <v>-3.4497189999999997E-2</v>
      </c>
      <c r="S540">
        <v>2.99411</v>
      </c>
      <c r="T540">
        <v>-0.10104879999999999</v>
      </c>
      <c r="U540">
        <v>-0.22518920000000001</v>
      </c>
      <c r="V540">
        <v>1.5146929999999999E-2</v>
      </c>
      <c r="W540">
        <v>1.6561530000000001E-2</v>
      </c>
      <c r="X540">
        <v>0.99974810000000003</v>
      </c>
      <c r="Y540">
        <v>5.5639910000000001E-2</v>
      </c>
      <c r="Z540">
        <v>-8.7645509999999998E-4</v>
      </c>
      <c r="AA540">
        <v>0.99845050000000002</v>
      </c>
      <c r="AB540">
        <v>34</v>
      </c>
      <c r="AC540">
        <v>34.1707999999999</v>
      </c>
      <c r="AD540">
        <v>-1.1595799999999901</v>
      </c>
      <c r="AE540">
        <v>-2.5803000000000198</v>
      </c>
      <c r="AF540">
        <v>1.91605625243389</v>
      </c>
      <c r="AG540">
        <v>-1.1595799999999901</v>
      </c>
      <c r="AH540">
        <v>34.1752192317187</v>
      </c>
      <c r="AI540">
        <v>91.940280321855795</v>
      </c>
      <c r="AJ540">
        <v>86.791033751654496</v>
      </c>
      <c r="AK540">
        <v>34.248525616074801</v>
      </c>
      <c r="AL540">
        <v>89.051050834233095</v>
      </c>
      <c r="AM540">
        <v>89.131992582179194</v>
      </c>
      <c r="AN540">
        <v>0.99999998860898698</v>
      </c>
    </row>
    <row r="541" spans="1:40" x14ac:dyDescent="0.25">
      <c r="A541" t="str">
        <f>"20190305135805089"</f>
        <v>20190305135805089</v>
      </c>
      <c r="B541" t="str">
        <f>"1551765485079154"</f>
        <v>1551765485079154</v>
      </c>
      <c r="C541" t="s">
        <v>40</v>
      </c>
      <c r="D541">
        <v>4.0115460000000001</v>
      </c>
      <c r="E541">
        <v>0.5136617</v>
      </c>
      <c r="F541" t="s">
        <v>43</v>
      </c>
      <c r="G541">
        <v>-307.1103</v>
      </c>
      <c r="H541">
        <v>-0.05</v>
      </c>
      <c r="I541">
        <v>365.73079999999999</v>
      </c>
      <c r="J541">
        <v>-343.0095</v>
      </c>
      <c r="K541">
        <v>1.10959599999999</v>
      </c>
      <c r="L541">
        <v>368.38940000000002</v>
      </c>
      <c r="M541">
        <v>0.99973330000000005</v>
      </c>
      <c r="N541">
        <v>-1.252462E-2</v>
      </c>
      <c r="O541">
        <v>-1.9405039999999998E-2</v>
      </c>
      <c r="P541">
        <v>0.99942960000000003</v>
      </c>
      <c r="Q541">
        <v>4.9288609999999997E-3</v>
      </c>
      <c r="R541">
        <v>-3.3411080000000003E-2</v>
      </c>
      <c r="S541">
        <v>2.9945369999999998</v>
      </c>
      <c r="T541">
        <v>-9.6241119999999999E-2</v>
      </c>
      <c r="U541">
        <v>-0.22094730000000001</v>
      </c>
      <c r="V541">
        <v>1.401434E-2</v>
      </c>
      <c r="W541">
        <v>1.7447839999999999E-2</v>
      </c>
      <c r="X541">
        <v>0.99974949999999996</v>
      </c>
      <c r="Y541">
        <v>5.4180600000000002E-2</v>
      </c>
      <c r="Z541">
        <v>-8.29366E-4</v>
      </c>
      <c r="AA541">
        <v>0.99853080000000005</v>
      </c>
      <c r="AB541">
        <v>34</v>
      </c>
      <c r="AC541">
        <v>35.8992</v>
      </c>
      <c r="AD541">
        <v>-1.1595959999999901</v>
      </c>
      <c r="AE541">
        <v>-2.6586000000000301</v>
      </c>
      <c r="AF541">
        <v>1.9593860551431801</v>
      </c>
      <c r="AG541">
        <v>-1.1595959999999901</v>
      </c>
      <c r="AH541">
        <v>35.9067733913013</v>
      </c>
      <c r="AI541">
        <v>91.846957264653796</v>
      </c>
      <c r="AJ541">
        <v>86.876541448967799</v>
      </c>
      <c r="AK541">
        <v>35.978885918974299</v>
      </c>
      <c r="AL541">
        <v>89.000261623235005</v>
      </c>
      <c r="AM541">
        <v>89.196888873890302</v>
      </c>
      <c r="AN541">
        <v>0.999999945798274</v>
      </c>
    </row>
    <row r="542" spans="1:40" x14ac:dyDescent="0.25">
      <c r="A542" t="str">
        <f>"20190305135805102"</f>
        <v>20190305135805102</v>
      </c>
      <c r="B542" t="str">
        <f>"1551765485088914"</f>
        <v>1551765485088914</v>
      </c>
      <c r="C542" t="s">
        <v>40</v>
      </c>
      <c r="D542">
        <v>4.0039870000000004</v>
      </c>
      <c r="E542">
        <v>0.5136077</v>
      </c>
      <c r="F542" t="s">
        <v>43</v>
      </c>
      <c r="G542">
        <v>-306.20100000000002</v>
      </c>
      <c r="H542">
        <v>-0.05</v>
      </c>
      <c r="I542">
        <v>365.70940000000002</v>
      </c>
      <c r="J542">
        <v>-342.83609999999999</v>
      </c>
      <c r="K542">
        <v>1.1096079999999999</v>
      </c>
      <c r="L542">
        <v>368.38589999999999</v>
      </c>
      <c r="M542">
        <v>0.99973259999999997</v>
      </c>
      <c r="N542">
        <v>-1.2524199999999999E-2</v>
      </c>
      <c r="O542">
        <v>-1.944734E-2</v>
      </c>
      <c r="P542">
        <v>0.99946020000000002</v>
      </c>
      <c r="Q542">
        <v>5.9212889999999997E-3</v>
      </c>
      <c r="R542">
        <v>-3.2321170000000003E-2</v>
      </c>
      <c r="S542">
        <v>2.9948429999999999</v>
      </c>
      <c r="T542">
        <v>-9.4348070000000006E-2</v>
      </c>
      <c r="U542">
        <v>-0.21804809999999999</v>
      </c>
      <c r="V542">
        <v>1.2881760000000001E-2</v>
      </c>
      <c r="W542">
        <v>1.8440459999999999E-2</v>
      </c>
      <c r="X542">
        <v>0.99974700000000005</v>
      </c>
      <c r="Y542">
        <v>5.3171160000000002E-2</v>
      </c>
      <c r="Z542">
        <v>-8.0146359999999997E-4</v>
      </c>
      <c r="AA542">
        <v>0.9985851</v>
      </c>
      <c r="AB542">
        <v>34</v>
      </c>
      <c r="AC542">
        <v>36.635100000000001</v>
      </c>
      <c r="AD542">
        <v>-1.159608</v>
      </c>
      <c r="AE542">
        <v>-2.6764999999999701</v>
      </c>
      <c r="AF542">
        <v>1.96152790012539</v>
      </c>
      <c r="AG542">
        <v>-1.159608</v>
      </c>
      <c r="AH542">
        <v>36.643706773510402</v>
      </c>
      <c r="AI542">
        <v>91.809958465646005</v>
      </c>
      <c r="AJ542">
        <v>86.935896553750993</v>
      </c>
      <c r="AK542">
        <v>36.714486630206899</v>
      </c>
      <c r="AL542">
        <v>88.9433796085859</v>
      </c>
      <c r="AM542">
        <v>89.261783592220098</v>
      </c>
      <c r="AN542">
        <v>1.0000000271573499</v>
      </c>
    </row>
    <row r="543" spans="1:40" x14ac:dyDescent="0.25">
      <c r="A543" t="str">
        <f>"20190305135805119"</f>
        <v>20190305135805119</v>
      </c>
      <c r="B543" t="str">
        <f>"1551765485109410"</f>
        <v>1551765485109410</v>
      </c>
      <c r="C543" t="s">
        <v>40</v>
      </c>
      <c r="D543">
        <v>4.0424980000000001</v>
      </c>
      <c r="E543">
        <v>0.51366599999999996</v>
      </c>
      <c r="F543" t="s">
        <v>43</v>
      </c>
      <c r="G543">
        <v>-304.76710000000003</v>
      </c>
      <c r="H543">
        <v>-0.05</v>
      </c>
      <c r="I543">
        <v>365.66609999999997</v>
      </c>
      <c r="J543">
        <v>-342.57920000000001</v>
      </c>
      <c r="K543">
        <v>1.1096280000000001</v>
      </c>
      <c r="L543">
        <v>368.3809</v>
      </c>
      <c r="M543">
        <v>0.99973140000000005</v>
      </c>
      <c r="N543">
        <v>-1.2523569999999999E-2</v>
      </c>
      <c r="O543">
        <v>-1.9502470000000001E-2</v>
      </c>
      <c r="P543">
        <v>0.9995366</v>
      </c>
      <c r="Q543">
        <v>6.8682129999999997E-3</v>
      </c>
      <c r="R543">
        <v>-2.965622E-2</v>
      </c>
      <c r="S543">
        <v>2.9952700000000001</v>
      </c>
      <c r="T543">
        <v>-9.1237899999999997E-2</v>
      </c>
      <c r="U543">
        <v>-0.21398929999999999</v>
      </c>
      <c r="V543">
        <v>1.0160499999999999E-2</v>
      </c>
      <c r="W543">
        <v>1.938776E-2</v>
      </c>
      <c r="X543">
        <v>0.99976039999999999</v>
      </c>
      <c r="Y543">
        <v>5.1762170000000003E-2</v>
      </c>
      <c r="Z543">
        <v>-7.6275080000000003E-4</v>
      </c>
      <c r="AA543">
        <v>0.99865910000000002</v>
      </c>
      <c r="AB543">
        <v>34</v>
      </c>
      <c r="AC543">
        <v>37.812100000000001</v>
      </c>
      <c r="AD543">
        <v>-1.1596280000000001</v>
      </c>
      <c r="AE543">
        <v>-2.7148000000000199</v>
      </c>
      <c r="AF543">
        <v>1.9749484418463601</v>
      </c>
      <c r="AG543">
        <v>-1.1596280000000001</v>
      </c>
      <c r="AH543">
        <v>37.822465811559397</v>
      </c>
      <c r="AI543">
        <v>91.753737444204802</v>
      </c>
      <c r="AJ543">
        <v>87.010942192062998</v>
      </c>
      <c r="AK543">
        <v>37.891741560832401</v>
      </c>
      <c r="AL543">
        <v>88.889093562823902</v>
      </c>
      <c r="AM543">
        <v>89.417726760979505</v>
      </c>
      <c r="AN543">
        <v>0.99999998920311295</v>
      </c>
    </row>
    <row r="544" spans="1:40" x14ac:dyDescent="0.25">
      <c r="A544" t="str">
        <f>"20190305135805129"</f>
        <v>20190305135805129</v>
      </c>
      <c r="B544" t="str">
        <f>"1551765485119170"</f>
        <v>1551765485119170</v>
      </c>
      <c r="C544" t="s">
        <v>40</v>
      </c>
      <c r="D544">
        <v>4.0318100000000001</v>
      </c>
      <c r="E544">
        <v>0.51370020000000005</v>
      </c>
      <c r="F544" t="s">
        <v>43</v>
      </c>
      <c r="G544">
        <v>-303.99180000000001</v>
      </c>
      <c r="H544">
        <v>-0.05</v>
      </c>
      <c r="I544">
        <v>365.72019999999998</v>
      </c>
      <c r="J544">
        <v>-342.41149999999999</v>
      </c>
      <c r="K544">
        <v>1.1096379999999999</v>
      </c>
      <c r="L544">
        <v>368.37759999999997</v>
      </c>
      <c r="M544">
        <v>0.99973080000000003</v>
      </c>
      <c r="N544">
        <v>-1.252316E-2</v>
      </c>
      <c r="O544">
        <v>-1.9531920000000001E-2</v>
      </c>
      <c r="P544">
        <v>0.9995655</v>
      </c>
      <c r="Q544">
        <v>7.259939E-3</v>
      </c>
      <c r="R544">
        <v>-2.8573230000000002E-2</v>
      </c>
      <c r="S544">
        <v>2.9958800000000001</v>
      </c>
      <c r="T544">
        <v>-9.0032219999999996E-2</v>
      </c>
      <c r="U544">
        <v>-0.20657349999999999</v>
      </c>
      <c r="V544">
        <v>9.0470710000000003E-3</v>
      </c>
      <c r="W544">
        <v>1.9779649999999999E-2</v>
      </c>
      <c r="X544">
        <v>0.99976339999999997</v>
      </c>
      <c r="Y544">
        <v>4.9260480000000002E-2</v>
      </c>
      <c r="Z544">
        <v>-7.063913E-4</v>
      </c>
      <c r="AA544">
        <v>0.9987857</v>
      </c>
      <c r="AB544">
        <v>34</v>
      </c>
      <c r="AC544">
        <v>38.419699999999899</v>
      </c>
      <c r="AD544">
        <v>-1.1596379999999999</v>
      </c>
      <c r="AE544">
        <v>-2.6573999999999902</v>
      </c>
      <c r="AF544">
        <v>1.90469663013626</v>
      </c>
      <c r="AG544">
        <v>-1.1596379999999999</v>
      </c>
      <c r="AH544">
        <v>38.429433855899298</v>
      </c>
      <c r="AI544">
        <v>91.726302354327203</v>
      </c>
      <c r="AJ544">
        <v>87.162543469449105</v>
      </c>
      <c r="AK544">
        <v>38.494077674738897</v>
      </c>
      <c r="AL544">
        <v>88.866635590686201</v>
      </c>
      <c r="AM544">
        <v>89.481532493805702</v>
      </c>
      <c r="AN544">
        <v>0.99999997001368002</v>
      </c>
    </row>
    <row r="545" spans="1:40" x14ac:dyDescent="0.25">
      <c r="A545" t="str">
        <f>"20190305135805141"</f>
        <v>20190305135805141</v>
      </c>
      <c r="B545" t="str">
        <f>"1551765485128930"</f>
        <v>1551765485128930</v>
      </c>
      <c r="C545" t="s">
        <v>40</v>
      </c>
      <c r="D545">
        <v>4.0716320000000001</v>
      </c>
      <c r="E545">
        <v>0.51373119999999906</v>
      </c>
      <c r="F545" t="s">
        <v>43</v>
      </c>
      <c r="G545">
        <v>-303.75709999999998</v>
      </c>
      <c r="H545">
        <v>-0.05</v>
      </c>
      <c r="I545">
        <v>365.74669999999998</v>
      </c>
      <c r="J545">
        <v>-342.25009999999997</v>
      </c>
      <c r="K545">
        <v>1.109648</v>
      </c>
      <c r="L545">
        <v>368.37439999999998</v>
      </c>
      <c r="M545">
        <v>0.99973029999999996</v>
      </c>
      <c r="N545">
        <v>-1.2522760000000001E-2</v>
      </c>
      <c r="O545">
        <v>-1.955923E-2</v>
      </c>
      <c r="P545">
        <v>0.99959560000000003</v>
      </c>
      <c r="Q545">
        <v>7.2124669999999898E-3</v>
      </c>
      <c r="R545">
        <v>-2.7517420000000001E-2</v>
      </c>
      <c r="S545">
        <v>2.9960939999999998</v>
      </c>
      <c r="T545">
        <v>-8.9883210000000005E-2</v>
      </c>
      <c r="U545">
        <v>-0.2039185</v>
      </c>
      <c r="V545">
        <v>7.9631549999999995E-3</v>
      </c>
      <c r="W545">
        <v>1.9732449999999999E-2</v>
      </c>
      <c r="X545">
        <v>0.99977360000000004</v>
      </c>
      <c r="Y545">
        <v>4.8347979999999999E-2</v>
      </c>
      <c r="Z545">
        <v>-6.8624379999999996E-4</v>
      </c>
      <c r="AA545">
        <v>0.99883029999999995</v>
      </c>
      <c r="AB545">
        <v>34</v>
      </c>
      <c r="AC545">
        <v>38.493000000000002</v>
      </c>
      <c r="AD545">
        <v>-1.159648</v>
      </c>
      <c r="AE545">
        <v>-2.6276999999999999</v>
      </c>
      <c r="AF545">
        <v>1.87255315736207</v>
      </c>
      <c r="AG545">
        <v>-1.159648</v>
      </c>
      <c r="AH545">
        <v>38.502252845195699</v>
      </c>
      <c r="AI545">
        <v>91.7231325570026</v>
      </c>
      <c r="AJ545">
        <v>87.215619546408803</v>
      </c>
      <c r="AK545">
        <v>38.565200802879602</v>
      </c>
      <c r="AL545">
        <v>88.869340531857901</v>
      </c>
      <c r="AM545">
        <v>89.543651157507497</v>
      </c>
      <c r="AN545">
        <v>1.0000000163387499</v>
      </c>
    </row>
    <row r="546" spans="1:40" x14ac:dyDescent="0.25">
      <c r="A546" t="str">
        <f>"20190305135805155"</f>
        <v>20190305135805155</v>
      </c>
      <c r="B546" t="str">
        <f>"1551765485149426"</f>
        <v>1551765485149426</v>
      </c>
      <c r="C546" t="s">
        <v>40</v>
      </c>
      <c r="D546">
        <v>4.0498320000000003</v>
      </c>
      <c r="E546">
        <v>0.5138566</v>
      </c>
      <c r="F546" t="s">
        <v>43</v>
      </c>
      <c r="G546">
        <v>-304.12419999999997</v>
      </c>
      <c r="H546">
        <v>-0.05</v>
      </c>
      <c r="I546">
        <v>365.82010000000002</v>
      </c>
      <c r="J546">
        <v>-342.03129999999999</v>
      </c>
      <c r="K546">
        <v>1.109653</v>
      </c>
      <c r="L546">
        <v>368.37009999999998</v>
      </c>
      <c r="M546">
        <v>0.99972969999999906</v>
      </c>
      <c r="N546">
        <v>-1.2522230000000001E-2</v>
      </c>
      <c r="O546">
        <v>-1.9591399999999998E-2</v>
      </c>
      <c r="P546">
        <v>0.99962530000000005</v>
      </c>
      <c r="Q546">
        <v>7.1397309999999999E-3</v>
      </c>
      <c r="R546">
        <v>-2.6428839999999999E-2</v>
      </c>
      <c r="S546">
        <v>2.9963679999999999</v>
      </c>
      <c r="T546">
        <v>-9.1138360000000002E-2</v>
      </c>
      <c r="U546">
        <v>-0.2007446</v>
      </c>
      <c r="V546">
        <v>6.841939E-3</v>
      </c>
      <c r="W546">
        <v>1.9659510000000002E-2</v>
      </c>
      <c r="X546">
        <v>0.99978330000000004</v>
      </c>
      <c r="Y546">
        <v>4.7256560000000003E-2</v>
      </c>
      <c r="Z546">
        <v>-6.6414689999999999E-4</v>
      </c>
      <c r="AA546">
        <v>0.99888259999999995</v>
      </c>
      <c r="AB546">
        <v>34</v>
      </c>
      <c r="AC546">
        <v>37.9071</v>
      </c>
      <c r="AD546">
        <v>-1.159653</v>
      </c>
      <c r="AE546">
        <v>-2.5499999999999501</v>
      </c>
      <c r="AF546">
        <v>1.80511740502671</v>
      </c>
      <c r="AG546">
        <v>-1.159653</v>
      </c>
      <c r="AH546">
        <v>37.914462219401798</v>
      </c>
      <c r="AI546">
        <v>91.749923494072902</v>
      </c>
      <c r="AJ546">
        <v>87.274191359152297</v>
      </c>
      <c r="AK546">
        <v>37.975119345602899</v>
      </c>
      <c r="AL546">
        <v>88.873520453277905</v>
      </c>
      <c r="AM546">
        <v>89.607906924531505</v>
      </c>
      <c r="AN546">
        <v>0.99999997771080396</v>
      </c>
    </row>
    <row r="547" spans="1:40" x14ac:dyDescent="0.25">
      <c r="A547" t="str">
        <f>"20190305135805169"</f>
        <v>20190305135805169</v>
      </c>
      <c r="B547" t="str">
        <f>"1551765485159186"</f>
        <v>1551765485159186</v>
      </c>
      <c r="C547" t="s">
        <v>40</v>
      </c>
      <c r="D547">
        <v>4.0700789999999998</v>
      </c>
      <c r="E547">
        <v>0.51391600000000004</v>
      </c>
      <c r="F547" t="s">
        <v>43</v>
      </c>
      <c r="G547">
        <v>-304.50400000000002</v>
      </c>
      <c r="H547">
        <v>-0.05</v>
      </c>
      <c r="I547">
        <v>365.88510000000002</v>
      </c>
      <c r="J547">
        <v>-341.82029999999997</v>
      </c>
      <c r="K547">
        <v>1.109661</v>
      </c>
      <c r="L547">
        <v>368.36590000000001</v>
      </c>
      <c r="M547">
        <v>0.99972930000000004</v>
      </c>
      <c r="N547">
        <v>-1.252175E-2</v>
      </c>
      <c r="O547">
        <v>-1.9616789999999999E-2</v>
      </c>
      <c r="P547">
        <v>0.99965079999999995</v>
      </c>
      <c r="Q547">
        <v>7.1247970000000004E-3</v>
      </c>
      <c r="R547">
        <v>-2.5461190000000002E-2</v>
      </c>
      <c r="S547">
        <v>2.9965519999999999</v>
      </c>
      <c r="T547">
        <v>-9.2598319999999998E-2</v>
      </c>
      <c r="U547">
        <v>-0.1984253</v>
      </c>
      <c r="V547">
        <v>5.8480340000000002E-3</v>
      </c>
      <c r="W547">
        <v>1.9644249999999999E-2</v>
      </c>
      <c r="X547">
        <v>0.99978999999999996</v>
      </c>
      <c r="Y547">
        <v>4.645726E-2</v>
      </c>
      <c r="Z547">
        <v>-6.4827500000000002E-4</v>
      </c>
      <c r="AA547">
        <v>0.99892009999999998</v>
      </c>
      <c r="AB547">
        <v>34</v>
      </c>
      <c r="AC547">
        <v>37.316299999999899</v>
      </c>
      <c r="AD547">
        <v>-1.1596610000000001</v>
      </c>
      <c r="AE547">
        <v>-2.4807999999999799</v>
      </c>
      <c r="AF547">
        <v>1.7465599198881501</v>
      </c>
      <c r="AG547">
        <v>-1.1596610000000001</v>
      </c>
      <c r="AH547">
        <v>37.3219022781322</v>
      </c>
      <c r="AI547">
        <v>91.777769636383496</v>
      </c>
      <c r="AJ547">
        <v>87.320673622639802</v>
      </c>
      <c r="AK547">
        <v>37.380739356614299</v>
      </c>
      <c r="AL547">
        <v>88.874395059758399</v>
      </c>
      <c r="AM547">
        <v>89.664865776406103</v>
      </c>
      <c r="AN547">
        <v>1.0000000700798599</v>
      </c>
    </row>
    <row r="548" spans="1:40" x14ac:dyDescent="0.25">
      <c r="A548" t="str">
        <f>"20190305135805188"</f>
        <v>20190305135805188</v>
      </c>
      <c r="B548" t="str">
        <f>"1551765485179213"</f>
        <v>1551765485179213</v>
      </c>
      <c r="C548" t="s">
        <v>40</v>
      </c>
      <c r="D548">
        <v>4.1221899999999998</v>
      </c>
      <c r="E548">
        <v>0.51417179999999996</v>
      </c>
      <c r="F548" t="s">
        <v>43</v>
      </c>
      <c r="G548">
        <v>-304.59719999999999</v>
      </c>
      <c r="H548">
        <v>-0.05</v>
      </c>
      <c r="I548">
        <v>365.92959999999999</v>
      </c>
      <c r="J548">
        <v>-341.524</v>
      </c>
      <c r="K548">
        <v>1.109666</v>
      </c>
      <c r="L548">
        <v>368.36</v>
      </c>
      <c r="M548">
        <v>0.99972859999999997</v>
      </c>
      <c r="N548">
        <v>-1.25211E-2</v>
      </c>
      <c r="O548">
        <v>-1.964378E-2</v>
      </c>
      <c r="P548">
        <v>0.99970479999999995</v>
      </c>
      <c r="Q548">
        <v>6.6627489999999999E-3</v>
      </c>
      <c r="R548">
        <v>-2.3371579999999999E-2</v>
      </c>
      <c r="S548">
        <v>2.9967039999999998</v>
      </c>
      <c r="T548">
        <v>-9.3360299999999993E-2</v>
      </c>
      <c r="U548">
        <v>-0.19613649999999999</v>
      </c>
      <c r="V548">
        <v>3.7302450000000001E-3</v>
      </c>
      <c r="W548">
        <v>1.918276E-2</v>
      </c>
      <c r="X548">
        <v>0.99980899999999995</v>
      </c>
      <c r="Y548">
        <v>4.5667439999999997E-2</v>
      </c>
      <c r="Z548">
        <v>-6.3141909999999996E-4</v>
      </c>
      <c r="AA548">
        <v>0.99895650000000002</v>
      </c>
      <c r="AB548">
        <v>34</v>
      </c>
      <c r="AC548">
        <v>36.9268</v>
      </c>
      <c r="AD548">
        <v>-1.1596660000000001</v>
      </c>
      <c r="AE548">
        <v>-2.4304000000000201</v>
      </c>
      <c r="AF548">
        <v>1.70281998739371</v>
      </c>
      <c r="AG548">
        <v>-1.1596660000000001</v>
      </c>
      <c r="AH548">
        <v>36.931153686893502</v>
      </c>
      <c r="AI548">
        <v>91.796632094935703</v>
      </c>
      <c r="AJ548">
        <v>87.360078468416106</v>
      </c>
      <c r="AK548">
        <v>36.988573016351602</v>
      </c>
      <c r="AL548">
        <v>88.900841355719905</v>
      </c>
      <c r="AM548">
        <v>89.786232867117306</v>
      </c>
      <c r="AN548">
        <v>0.99999996474498798</v>
      </c>
    </row>
    <row r="549" spans="1:40" x14ac:dyDescent="0.25">
      <c r="A549" t="str">
        <f>"20190305135805200"</f>
        <v>20190305135805200</v>
      </c>
      <c r="B549" t="str">
        <f>"1551765485188973"</f>
        <v>1551765485188973</v>
      </c>
      <c r="C549" t="s">
        <v>40</v>
      </c>
      <c r="D549">
        <v>4.0817310000000004</v>
      </c>
      <c r="E549">
        <v>0.51422539999999906</v>
      </c>
      <c r="F549" t="s">
        <v>43</v>
      </c>
      <c r="G549">
        <v>-304.92140000000001</v>
      </c>
      <c r="H549">
        <v>-0.05</v>
      </c>
      <c r="I549">
        <v>366.01679999999999</v>
      </c>
      <c r="J549">
        <v>-341.34739999999999</v>
      </c>
      <c r="K549">
        <v>1.1096710000000001</v>
      </c>
      <c r="L549">
        <v>368.35649999999998</v>
      </c>
      <c r="M549">
        <v>0.99972839999999996</v>
      </c>
      <c r="N549">
        <v>-1.2520710000000001E-2</v>
      </c>
      <c r="O549">
        <v>-1.9655349999999999E-2</v>
      </c>
      <c r="P549">
        <v>0.9997315</v>
      </c>
      <c r="Q549">
        <v>6.1967369999999999E-3</v>
      </c>
      <c r="R549">
        <v>-2.2329160000000001E-2</v>
      </c>
      <c r="S549">
        <v>2.9970400000000001</v>
      </c>
      <c r="T549">
        <v>-9.4954010000000005E-2</v>
      </c>
      <c r="U549">
        <v>-0.19186400000000001</v>
      </c>
      <c r="V549">
        <v>2.6755899999999998E-3</v>
      </c>
      <c r="W549">
        <v>1.871602E-2</v>
      </c>
      <c r="X549">
        <v>0.99982119999999997</v>
      </c>
      <c r="Y549">
        <v>4.4230699999999998E-2</v>
      </c>
      <c r="Z549">
        <v>-6.0112869999999995E-4</v>
      </c>
      <c r="AA549">
        <v>0.99902120000000005</v>
      </c>
      <c r="AB549">
        <v>34</v>
      </c>
      <c r="AC549">
        <v>36.425999999999902</v>
      </c>
      <c r="AD549">
        <v>-1.1596709999999999</v>
      </c>
      <c r="AE549">
        <v>-2.3396999999999899</v>
      </c>
      <c r="AF549">
        <v>1.62158920474968</v>
      </c>
      <c r="AG549">
        <v>-1.1596709999999999</v>
      </c>
      <c r="AH549">
        <v>36.428182960462401</v>
      </c>
      <c r="AI549">
        <v>91.8215609234163</v>
      </c>
      <c r="AJ549">
        <v>87.451178898513803</v>
      </c>
      <c r="AK549">
        <v>36.482693187018498</v>
      </c>
      <c r="AL549">
        <v>88.927588365165505</v>
      </c>
      <c r="AM549">
        <v>89.846672936356597</v>
      </c>
      <c r="AN549">
        <v>0.999999940077962</v>
      </c>
    </row>
    <row r="550" spans="1:40" x14ac:dyDescent="0.25">
      <c r="A550" t="str">
        <f>"20190305135805212"</f>
        <v>20190305135805212</v>
      </c>
      <c r="B550" t="str">
        <f>"1551765485199709"</f>
        <v>1551765485199709</v>
      </c>
      <c r="C550" t="s">
        <v>40</v>
      </c>
      <c r="D550">
        <v>4.0897009999999998</v>
      </c>
      <c r="E550">
        <v>0.51429159999999996</v>
      </c>
      <c r="F550" t="s">
        <v>43</v>
      </c>
      <c r="G550">
        <v>-305.5607</v>
      </c>
      <c r="H550">
        <v>-0.05</v>
      </c>
      <c r="I550">
        <v>366.09469999999999</v>
      </c>
      <c r="J550">
        <v>-341.17250000000001</v>
      </c>
      <c r="K550">
        <v>1.109677</v>
      </c>
      <c r="L550">
        <v>368.35309999999998</v>
      </c>
      <c r="M550">
        <v>0.99972819999999996</v>
      </c>
      <c r="N550">
        <v>-1.252033E-2</v>
      </c>
      <c r="O550">
        <v>-1.966155E-2</v>
      </c>
      <c r="P550">
        <v>0.99975139999999996</v>
      </c>
      <c r="Q550">
        <v>5.7497989999999999E-3</v>
      </c>
      <c r="R550">
        <v>-2.1545479999999999E-2</v>
      </c>
      <c r="S550">
        <v>2.9971619999999999</v>
      </c>
      <c r="T550">
        <v>-9.7123150000000005E-2</v>
      </c>
      <c r="U550">
        <v>-0.1894226</v>
      </c>
      <c r="V550">
        <v>1.884967E-3</v>
      </c>
      <c r="W550">
        <v>1.8269299999999999E-2</v>
      </c>
      <c r="X550">
        <v>0.99983129999999998</v>
      </c>
      <c r="Y550">
        <v>4.3411060000000001E-2</v>
      </c>
      <c r="Z550">
        <v>-5.8436559999999998E-4</v>
      </c>
      <c r="AA550">
        <v>0.99905710000000003</v>
      </c>
      <c r="AB550">
        <v>34</v>
      </c>
      <c r="AC550">
        <v>35.611800000000002</v>
      </c>
      <c r="AD550">
        <v>-1.1596770000000001</v>
      </c>
      <c r="AE550">
        <v>-2.2583999999999902</v>
      </c>
      <c r="AF550">
        <v>1.55608170556253</v>
      </c>
      <c r="AG550">
        <v>-1.1596770000000001</v>
      </c>
      <c r="AH550">
        <v>35.611709216325501</v>
      </c>
      <c r="AI550">
        <v>91.863371705253002</v>
      </c>
      <c r="AJ550">
        <v>87.498007309965999</v>
      </c>
      <c r="AK550">
        <v>35.6645492657182</v>
      </c>
      <c r="AL550">
        <v>88.953187951134794</v>
      </c>
      <c r="AM550">
        <v>89.891981251570996</v>
      </c>
      <c r="AN550">
        <v>0.999999974441385</v>
      </c>
    </row>
    <row r="551" spans="1:40" x14ac:dyDescent="0.25">
      <c r="A551" t="str">
        <f>"20190305135805223"</f>
        <v>20190305135805223</v>
      </c>
      <c r="B551" t="str">
        <f>"1551765485219230"</f>
        <v>1551765485219230</v>
      </c>
      <c r="C551" t="s">
        <v>40</v>
      </c>
      <c r="D551">
        <v>4.08908</v>
      </c>
      <c r="E551">
        <v>0.51440799999999998</v>
      </c>
      <c r="F551" t="s">
        <v>43</v>
      </c>
      <c r="G551">
        <v>-306.09249999999997</v>
      </c>
      <c r="H551">
        <v>-0.05</v>
      </c>
      <c r="I551">
        <v>366.15929999999997</v>
      </c>
      <c r="J551">
        <v>-341.01740000000001</v>
      </c>
      <c r="K551">
        <v>1.109683</v>
      </c>
      <c r="L551">
        <v>368.35</v>
      </c>
      <c r="M551">
        <v>0.99972830000000001</v>
      </c>
      <c r="N551">
        <v>-1.252005E-2</v>
      </c>
      <c r="O551">
        <v>-1.9665390000000001E-2</v>
      </c>
      <c r="P551">
        <v>0.99977800000000006</v>
      </c>
      <c r="Q551">
        <v>5.0458129999999997E-3</v>
      </c>
      <c r="R551">
        <v>-2.0467119999999998E-2</v>
      </c>
      <c r="S551">
        <v>2.9972840000000001</v>
      </c>
      <c r="T551">
        <v>-9.9084500000000006E-2</v>
      </c>
      <c r="U551">
        <v>-0.18743899999999999</v>
      </c>
      <c r="V551">
        <v>8.0228809999999999E-4</v>
      </c>
      <c r="W551">
        <v>1.7565130000000002E-2</v>
      </c>
      <c r="X551">
        <v>0.9998454</v>
      </c>
      <c r="Y551">
        <v>4.2745720000000001E-2</v>
      </c>
      <c r="Z551">
        <v>-5.7045670000000002E-4</v>
      </c>
      <c r="AA551">
        <v>0.99908580000000002</v>
      </c>
      <c r="AB551">
        <v>34</v>
      </c>
      <c r="AC551">
        <v>34.924900000000001</v>
      </c>
      <c r="AD551">
        <v>-1.159683</v>
      </c>
      <c r="AE551">
        <v>-2.1907000000000401</v>
      </c>
      <c r="AF551">
        <v>1.50176141258453</v>
      </c>
      <c r="AG551">
        <v>-1.159683</v>
      </c>
      <c r="AH551">
        <v>34.922875230549202</v>
      </c>
      <c r="AI551">
        <v>91.900165780763004</v>
      </c>
      <c r="AJ551">
        <v>87.537670900966603</v>
      </c>
      <c r="AK551">
        <v>34.974381572364202</v>
      </c>
      <c r="AL551">
        <v>88.993540426095606</v>
      </c>
      <c r="AM551">
        <v>89.954025180074893</v>
      </c>
      <c r="AN551">
        <v>1.0000000006796299</v>
      </c>
    </row>
    <row r="552" spans="1:40" x14ac:dyDescent="0.25">
      <c r="A552" t="str">
        <f>"20190305135805233"</f>
        <v>20190305135805233</v>
      </c>
      <c r="B552" t="str">
        <f>"1551765485228989"</f>
        <v>1551765485228989</v>
      </c>
      <c r="C552" t="s">
        <v>40</v>
      </c>
      <c r="D552">
        <v>4.0965569999999998</v>
      </c>
      <c r="E552">
        <v>0.51454079999999902</v>
      </c>
      <c r="F552" t="s">
        <v>43</v>
      </c>
      <c r="G552">
        <v>-306.83760000000001</v>
      </c>
      <c r="H552">
        <v>-0.05</v>
      </c>
      <c r="I552">
        <v>366.24009999999998</v>
      </c>
      <c r="J552">
        <v>-340.84750000000003</v>
      </c>
      <c r="K552">
        <v>1.1096889999999999</v>
      </c>
      <c r="L552">
        <v>368.34660000000002</v>
      </c>
      <c r="M552">
        <v>0.99972830000000001</v>
      </c>
      <c r="N552">
        <v>-1.2519819999999999E-2</v>
      </c>
      <c r="O552">
        <v>-1.9666840000000001E-2</v>
      </c>
      <c r="P552">
        <v>0.99979689999999999</v>
      </c>
      <c r="Q552">
        <v>4.6539789999999999E-3</v>
      </c>
      <c r="R552">
        <v>-1.9615049999999998E-2</v>
      </c>
      <c r="S552">
        <v>2.9974370000000001</v>
      </c>
      <c r="T552">
        <v>-0.1016996</v>
      </c>
      <c r="U552">
        <v>-0.1850281</v>
      </c>
      <c r="V552" s="1">
        <v>-5.174597E-5</v>
      </c>
      <c r="W552">
        <v>1.7173230000000001E-2</v>
      </c>
      <c r="X552">
        <v>0.99985250000000003</v>
      </c>
      <c r="Y552">
        <v>4.1940110000000003E-2</v>
      </c>
      <c r="Z552">
        <v>-5.5320489999999896E-4</v>
      </c>
      <c r="AA552">
        <v>0.99912000000000001</v>
      </c>
      <c r="AB552">
        <v>34</v>
      </c>
      <c r="AC552">
        <v>34.009900000000002</v>
      </c>
      <c r="AD552">
        <v>-1.159689</v>
      </c>
      <c r="AE552">
        <v>-2.10650000000004</v>
      </c>
      <c r="AF552">
        <v>1.4355101882028201</v>
      </c>
      <c r="AG552">
        <v>-1.159689</v>
      </c>
      <c r="AH552">
        <v>34.005365158947598</v>
      </c>
      <c r="AI552">
        <v>91.951471107508993</v>
      </c>
      <c r="AJ552">
        <v>87.582738188948994</v>
      </c>
      <c r="AK552">
        <v>34.055402327244998</v>
      </c>
      <c r="AL552">
        <v>89.015998001976001</v>
      </c>
      <c r="AM552">
        <v>90.002965263061398</v>
      </c>
      <c r="AN552">
        <v>0.99999997213126302</v>
      </c>
    </row>
    <row r="553" spans="1:40" x14ac:dyDescent="0.25">
      <c r="A553" t="str">
        <f>"20190305135805245"</f>
        <v>20190305135805245</v>
      </c>
      <c r="B553" t="str">
        <f>"1551765485238749"</f>
        <v>1551765485238749</v>
      </c>
      <c r="C553" t="s">
        <v>40</v>
      </c>
      <c r="D553">
        <v>4.0794519999999999</v>
      </c>
      <c r="E553">
        <v>0.51466999999999996</v>
      </c>
      <c r="F553" t="s">
        <v>43</v>
      </c>
      <c r="G553">
        <v>-306.87909999999999</v>
      </c>
      <c r="H553">
        <v>-0.05</v>
      </c>
      <c r="I553">
        <v>366.26369999999997</v>
      </c>
      <c r="J553">
        <v>-340.67309999999998</v>
      </c>
      <c r="K553">
        <v>1.109693</v>
      </c>
      <c r="L553">
        <v>368.34320000000002</v>
      </c>
      <c r="M553">
        <v>0.99972819999999996</v>
      </c>
      <c r="N553">
        <v>-1.2519509999999999E-2</v>
      </c>
      <c r="O553">
        <v>-1.9666400000000001E-2</v>
      </c>
      <c r="P553">
        <v>0.99981609999999999</v>
      </c>
      <c r="Q553">
        <v>4.5881530000000002E-3</v>
      </c>
      <c r="R553">
        <v>-1.861809E-2</v>
      </c>
      <c r="S553">
        <v>2.9974669999999999</v>
      </c>
      <c r="T553">
        <v>-0.1023341</v>
      </c>
      <c r="U553">
        <v>-0.18380740000000001</v>
      </c>
      <c r="V553">
        <v>-1.0487129999999999E-3</v>
      </c>
      <c r="W553">
        <v>1.710743E-2</v>
      </c>
      <c r="X553">
        <v>0.99985310000000005</v>
      </c>
      <c r="Y553">
        <v>4.1534639999999998E-2</v>
      </c>
      <c r="Z553">
        <v>-5.4402309999999996E-4</v>
      </c>
      <c r="AA553">
        <v>0.99913689999999999</v>
      </c>
      <c r="AB553">
        <v>34</v>
      </c>
      <c r="AC553">
        <v>33.793999999999897</v>
      </c>
      <c r="AD553">
        <v>-1.1596930000000001</v>
      </c>
      <c r="AE553">
        <v>-2.0795000000000501</v>
      </c>
      <c r="AF553">
        <v>1.4127818868096</v>
      </c>
      <c r="AG553">
        <v>-1.1596930000000001</v>
      </c>
      <c r="AH553">
        <v>33.788722288428197</v>
      </c>
      <c r="AI553">
        <v>91.964013425717297</v>
      </c>
      <c r="AJ553">
        <v>87.605730209777704</v>
      </c>
      <c r="AK553">
        <v>33.8381233876595</v>
      </c>
      <c r="AL553">
        <v>89.019768638533407</v>
      </c>
      <c r="AM553">
        <v>90.060095634834894</v>
      </c>
      <c r="AN553">
        <v>0.99999999276988505</v>
      </c>
    </row>
    <row r="554" spans="1:40" x14ac:dyDescent="0.25">
      <c r="A554" t="str">
        <f>"20190305135805258"</f>
        <v>20190305135805258</v>
      </c>
      <c r="B554" t="str">
        <f>"1551765485249485"</f>
        <v>1551765485249485</v>
      </c>
      <c r="C554" t="s">
        <v>40</v>
      </c>
      <c r="D554">
        <v>4.0667920000000004</v>
      </c>
      <c r="E554">
        <v>0.51477299999999904</v>
      </c>
      <c r="F554" t="s">
        <v>43</v>
      </c>
      <c r="G554">
        <v>-306.56970000000001</v>
      </c>
      <c r="H554">
        <v>-0.05</v>
      </c>
      <c r="I554">
        <v>366.27569999999997</v>
      </c>
      <c r="J554">
        <v>-340.48829999999998</v>
      </c>
      <c r="K554">
        <v>1.109701</v>
      </c>
      <c r="L554">
        <v>368.33949999999999</v>
      </c>
      <c r="M554">
        <v>0.99972839999999996</v>
      </c>
      <c r="N554">
        <v>-1.251916E-2</v>
      </c>
      <c r="O554">
        <v>-1.9665120000000001E-2</v>
      </c>
      <c r="P554">
        <v>0.99983449999999996</v>
      </c>
      <c r="Q554">
        <v>4.4397600000000001E-3</v>
      </c>
      <c r="R554">
        <v>-1.7650099999999998E-2</v>
      </c>
      <c r="S554">
        <v>2.9976500000000001</v>
      </c>
      <c r="T554">
        <v>-0.1019357</v>
      </c>
      <c r="U554">
        <v>-0.18173220000000001</v>
      </c>
      <c r="V554">
        <v>-2.015602E-3</v>
      </c>
      <c r="W554">
        <v>1.695868E-2</v>
      </c>
      <c r="X554">
        <v>0.99985409999999997</v>
      </c>
      <c r="Y554">
        <v>4.0843770000000001E-2</v>
      </c>
      <c r="Z554">
        <v>-5.278231E-4</v>
      </c>
      <c r="AA554">
        <v>0.99916539999999998</v>
      </c>
      <c r="AB554">
        <v>34</v>
      </c>
      <c r="AC554">
        <v>33.918599999999898</v>
      </c>
      <c r="AD554">
        <v>-1.1597010000000001</v>
      </c>
      <c r="AE554">
        <v>-2.0638000000000098</v>
      </c>
      <c r="AF554">
        <v>1.39471092723507</v>
      </c>
      <c r="AG554">
        <v>-1.1597010000000001</v>
      </c>
      <c r="AH554">
        <v>33.913129565579197</v>
      </c>
      <c r="AI554">
        <v>91.956883267603999</v>
      </c>
      <c r="AJ554">
        <v>87.644981633197006</v>
      </c>
      <c r="AK554">
        <v>33.961603052737502</v>
      </c>
      <c r="AL554">
        <v>89.028292571495598</v>
      </c>
      <c r="AM554">
        <v>90.115502183108902</v>
      </c>
      <c r="AN554">
        <v>0.99999994038278495</v>
      </c>
    </row>
    <row r="555" spans="1:40" x14ac:dyDescent="0.25">
      <c r="A555" t="str">
        <f>"20190305135805270"</f>
        <v>20190305135805270</v>
      </c>
      <c r="B555" t="str">
        <f>"1551765485259245"</f>
        <v>1551765485259245</v>
      </c>
      <c r="C555" t="s">
        <v>40</v>
      </c>
      <c r="D555">
        <v>4.0475760000000003</v>
      </c>
      <c r="E555">
        <v>0.51488729999999905</v>
      </c>
      <c r="F555" t="s">
        <v>43</v>
      </c>
      <c r="G555">
        <v>-306.56700000000001</v>
      </c>
      <c r="H555">
        <v>-0.05</v>
      </c>
      <c r="I555">
        <v>366.30700000000002</v>
      </c>
      <c r="J555">
        <v>-340.30610000000001</v>
      </c>
      <c r="K555">
        <v>1.109704</v>
      </c>
      <c r="L555">
        <v>368.33589999999998</v>
      </c>
      <c r="M555">
        <v>0.99972839999999996</v>
      </c>
      <c r="N555">
        <v>-1.2518680000000001E-2</v>
      </c>
      <c r="O555">
        <v>-1.9663050000000001E-2</v>
      </c>
      <c r="P555">
        <v>0.99985000000000002</v>
      </c>
      <c r="Q555">
        <v>4.3473280000000001E-3</v>
      </c>
      <c r="R555">
        <v>-1.6771620000000001E-2</v>
      </c>
      <c r="S555">
        <v>2.9978030000000002</v>
      </c>
      <c r="T555">
        <v>-0.1024886</v>
      </c>
      <c r="U555">
        <v>-0.17962649999999999</v>
      </c>
      <c r="V555">
        <v>-2.8923809999999999E-3</v>
      </c>
      <c r="W555">
        <v>1.6865709999999999E-2</v>
      </c>
      <c r="X555">
        <v>0.99985360000000001</v>
      </c>
      <c r="Y555">
        <v>4.0143810000000002E-2</v>
      </c>
      <c r="Z555">
        <v>-5.1164859999999995E-4</v>
      </c>
      <c r="AA555">
        <v>0.99919380000000002</v>
      </c>
      <c r="AB555">
        <v>34</v>
      </c>
      <c r="AC555">
        <v>33.739100000000001</v>
      </c>
      <c r="AD555">
        <v>-1.1597040000000001</v>
      </c>
      <c r="AE555">
        <v>-2.0289000000000201</v>
      </c>
      <c r="AF555">
        <v>1.36343708001195</v>
      </c>
      <c r="AG555">
        <v>-1.1597040000000001</v>
      </c>
      <c r="AH555">
        <v>33.7327623975265</v>
      </c>
      <c r="AI555">
        <v>91.967400085959795</v>
      </c>
      <c r="AJ555">
        <v>87.685434399971996</v>
      </c>
      <c r="AK555">
        <v>33.780218072220102</v>
      </c>
      <c r="AL555">
        <v>89.033620199084197</v>
      </c>
      <c r="AM555">
        <v>90.165745026848697</v>
      </c>
      <c r="AN555">
        <v>1.0000000197373</v>
      </c>
    </row>
    <row r="556" spans="1:40" x14ac:dyDescent="0.25">
      <c r="A556" t="str">
        <f>"20190305135805287"</f>
        <v>20190305135805287</v>
      </c>
      <c r="B556" t="str">
        <f>"1551765485279178"</f>
        <v>1551765485279178</v>
      </c>
      <c r="C556" t="s">
        <v>40</v>
      </c>
      <c r="D556">
        <v>4.1335430000000004</v>
      </c>
      <c r="E556">
        <v>0.51488940000000005</v>
      </c>
      <c r="F556" t="s">
        <v>43</v>
      </c>
      <c r="G556">
        <v>-306.39260000000002</v>
      </c>
      <c r="H556">
        <v>-0.05</v>
      </c>
      <c r="I556">
        <v>366.32220000000001</v>
      </c>
      <c r="J556">
        <v>-340.04169999999999</v>
      </c>
      <c r="K556">
        <v>1.1097060000000001</v>
      </c>
      <c r="L556">
        <v>368.33080000000001</v>
      </c>
      <c r="M556">
        <v>0.99972859999999997</v>
      </c>
      <c r="N556">
        <v>-1.251796E-2</v>
      </c>
      <c r="O556">
        <v>-1.9659909999999999E-2</v>
      </c>
      <c r="P556">
        <v>0.99987789999999999</v>
      </c>
      <c r="Q556">
        <v>4.002299E-3</v>
      </c>
      <c r="R556">
        <v>-1.512023E-2</v>
      </c>
      <c r="S556">
        <v>2.997925</v>
      </c>
      <c r="T556">
        <v>-0.10251689999999899</v>
      </c>
      <c r="U556">
        <v>-0.178009</v>
      </c>
      <c r="V556">
        <v>-4.541064E-3</v>
      </c>
      <c r="W556">
        <v>1.6520050000000001E-2</v>
      </c>
      <c r="X556">
        <v>0.9998532</v>
      </c>
      <c r="Y556">
        <v>3.9607749999999997E-2</v>
      </c>
      <c r="Z556">
        <v>-4.9917590000000001E-4</v>
      </c>
      <c r="AA556">
        <v>0.99921519999999997</v>
      </c>
      <c r="AB556">
        <v>34</v>
      </c>
      <c r="AC556">
        <v>33.649099999999898</v>
      </c>
      <c r="AD556">
        <v>-1.1597059999999999</v>
      </c>
      <c r="AE556">
        <v>-2.0085999999999999</v>
      </c>
      <c r="AF556">
        <v>1.34502979885548</v>
      </c>
      <c r="AG556">
        <v>-1.1597059999999999</v>
      </c>
      <c r="AH556">
        <v>33.642268526339201</v>
      </c>
      <c r="AI556">
        <v>91.972726076399297</v>
      </c>
      <c r="AJ556">
        <v>87.710513803518097</v>
      </c>
      <c r="AK556">
        <v>33.689111813233701</v>
      </c>
      <c r="AL556">
        <v>89.053427777800906</v>
      </c>
      <c r="AM556">
        <v>90.2602202130835</v>
      </c>
      <c r="AN556">
        <v>0.999999977432247</v>
      </c>
    </row>
    <row r="557" spans="1:40" x14ac:dyDescent="0.25">
      <c r="A557" t="str">
        <f>"20190305135805300"</f>
        <v>20190305135805300</v>
      </c>
      <c r="B557" t="str">
        <f>"1551765485288938"</f>
        <v>1551765485288938</v>
      </c>
      <c r="C557" t="s">
        <v>40</v>
      </c>
      <c r="D557">
        <v>4.1014910000000002</v>
      </c>
      <c r="E557">
        <v>0.51486500000000002</v>
      </c>
      <c r="F557" t="s">
        <v>43</v>
      </c>
      <c r="G557">
        <v>-307.3186</v>
      </c>
      <c r="H557">
        <v>-0.05</v>
      </c>
      <c r="I557">
        <v>366.4402</v>
      </c>
      <c r="J557">
        <v>-339.86090000000002</v>
      </c>
      <c r="K557">
        <v>1.1097060000000001</v>
      </c>
      <c r="L557">
        <v>368.3272</v>
      </c>
      <c r="M557">
        <v>0.99972850000000002</v>
      </c>
      <c r="N557">
        <v>-1.2517449999999999E-2</v>
      </c>
      <c r="O557">
        <v>-1.9657270000000001E-2</v>
      </c>
      <c r="P557">
        <v>0.99988480000000002</v>
      </c>
      <c r="Q557">
        <v>4.1946170000000003E-3</v>
      </c>
      <c r="R557">
        <v>-1.4589980000000001E-2</v>
      </c>
      <c r="S557">
        <v>2.998138</v>
      </c>
      <c r="T557">
        <v>-0.1062541</v>
      </c>
      <c r="U557">
        <v>-0.17321779999999901</v>
      </c>
      <c r="V557">
        <v>-5.068828E-3</v>
      </c>
      <c r="W557">
        <v>1.6711710000000001E-2</v>
      </c>
      <c r="X557">
        <v>0.9998475</v>
      </c>
      <c r="Y557">
        <v>3.8014630000000001E-2</v>
      </c>
      <c r="Z557">
        <v>-4.6121649999999998E-4</v>
      </c>
      <c r="AA557">
        <v>0.99927710000000003</v>
      </c>
      <c r="AB557">
        <v>34</v>
      </c>
      <c r="AC557">
        <v>32.542299999999997</v>
      </c>
      <c r="AD557">
        <v>-1.1597059999999999</v>
      </c>
      <c r="AE557">
        <v>-1.887</v>
      </c>
      <c r="AF557">
        <v>1.2453162506720401</v>
      </c>
      <c r="AG557">
        <v>-1.1597059999999999</v>
      </c>
      <c r="AH557">
        <v>32.5319305916845</v>
      </c>
      <c r="AI557">
        <v>92.040136098258301</v>
      </c>
      <c r="AJ557">
        <v>87.807798578208093</v>
      </c>
      <c r="AK557">
        <v>32.576406164474299</v>
      </c>
      <c r="AL557">
        <v>89.042444972646393</v>
      </c>
      <c r="AM557">
        <v>90.290464259280498</v>
      </c>
      <c r="AN557">
        <v>0.99999999876233303</v>
      </c>
    </row>
    <row r="558" spans="1:40" x14ac:dyDescent="0.25">
      <c r="A558" t="str">
        <f>"20190305135805311"</f>
        <v>20190305135805311</v>
      </c>
      <c r="B558" t="str">
        <f>"1551765485299674"</f>
        <v>1551765485299674</v>
      </c>
      <c r="C558" t="s">
        <v>40</v>
      </c>
      <c r="D558">
        <v>4.1012839999999997</v>
      </c>
      <c r="E558">
        <v>0.51486909999999997</v>
      </c>
      <c r="F558" t="s">
        <v>43</v>
      </c>
      <c r="G558">
        <v>-307.67099999999999</v>
      </c>
      <c r="H558">
        <v>-0.05</v>
      </c>
      <c r="I558">
        <v>366.48680000000002</v>
      </c>
      <c r="J558">
        <v>-339.68610000000001</v>
      </c>
      <c r="K558">
        <v>1.1097079999999999</v>
      </c>
      <c r="L558">
        <v>368.32380000000001</v>
      </c>
      <c r="M558">
        <v>0.99972850000000002</v>
      </c>
      <c r="N558">
        <v>-1.2516960000000001E-2</v>
      </c>
      <c r="O558">
        <v>-1.9655479999999999E-2</v>
      </c>
      <c r="P558">
        <v>0.99989070000000002</v>
      </c>
      <c r="Q558">
        <v>4.1087679999999996E-3</v>
      </c>
      <c r="R558">
        <v>-1.420952E-2</v>
      </c>
      <c r="S558">
        <v>2.9982600000000001</v>
      </c>
      <c r="T558">
        <v>-0.1080183</v>
      </c>
      <c r="U558">
        <v>-0.17141719999999999</v>
      </c>
      <c r="V558">
        <v>-5.4473880000000001E-3</v>
      </c>
      <c r="W558">
        <v>1.6625419999999998E-2</v>
      </c>
      <c r="X558">
        <v>0.99984689999999998</v>
      </c>
      <c r="Y558">
        <v>3.7415799999999999E-2</v>
      </c>
      <c r="Z558">
        <v>-4.463324E-4</v>
      </c>
      <c r="AA558">
        <v>0.99929970000000001</v>
      </c>
      <c r="AB558">
        <v>34</v>
      </c>
      <c r="AC558">
        <v>32.015099999999997</v>
      </c>
      <c r="AD558">
        <v>-1.159708</v>
      </c>
      <c r="AE558">
        <v>-1.83699999999998</v>
      </c>
      <c r="AF558">
        <v>1.20574668333541</v>
      </c>
      <c r="AG558">
        <v>-1.159708</v>
      </c>
      <c r="AH558">
        <v>32.003168505093399</v>
      </c>
      <c r="AI558">
        <v>92.073865430968894</v>
      </c>
      <c r="AJ558">
        <v>87.842353132282199</v>
      </c>
      <c r="AK558">
        <v>32.046864777619597</v>
      </c>
      <c r="AL558">
        <v>89.047389666970105</v>
      </c>
      <c r="AM558">
        <v>90.312157044912297</v>
      </c>
      <c r="AN558">
        <v>0.99999995103290296</v>
      </c>
    </row>
    <row r="559" spans="1:40" x14ac:dyDescent="0.25">
      <c r="A559" t="str">
        <f>"20190305135805325"</f>
        <v>20190305135805325</v>
      </c>
      <c r="B559" t="str">
        <f>"1551765485319194"</f>
        <v>1551765485319194</v>
      </c>
      <c r="C559" t="s">
        <v>40</v>
      </c>
      <c r="D559">
        <v>4.1655040000000003</v>
      </c>
      <c r="E559">
        <v>0.51596949999999997</v>
      </c>
      <c r="F559" t="s">
        <v>43</v>
      </c>
      <c r="G559">
        <v>-308.21910000000003</v>
      </c>
      <c r="H559">
        <v>-0.05</v>
      </c>
      <c r="I559">
        <v>366.53629999999998</v>
      </c>
      <c r="J559">
        <v>-339.49079999999998</v>
      </c>
      <c r="K559">
        <v>1.109707</v>
      </c>
      <c r="L559">
        <v>368.31990000000002</v>
      </c>
      <c r="M559">
        <v>0.99972859999999997</v>
      </c>
      <c r="N559">
        <v>-1.251641E-2</v>
      </c>
      <c r="O559">
        <v>-1.965358E-2</v>
      </c>
      <c r="P559">
        <v>0.99989589999999995</v>
      </c>
      <c r="Q559">
        <v>4.1774550000000001E-3</v>
      </c>
      <c r="R559">
        <v>-1.380958E-2</v>
      </c>
      <c r="S559">
        <v>2.998383</v>
      </c>
      <c r="T559">
        <v>-0.1105044</v>
      </c>
      <c r="U559">
        <v>-0.17031859999999999</v>
      </c>
      <c r="V559">
        <v>-5.8454780000000003E-3</v>
      </c>
      <c r="W559">
        <v>1.6693599999999999E-2</v>
      </c>
      <c r="X559">
        <v>0.9998435</v>
      </c>
      <c r="Y559">
        <v>3.7049819999999997E-2</v>
      </c>
      <c r="Z559">
        <v>-4.3654829999999998E-4</v>
      </c>
      <c r="AA559">
        <v>0.99931329999999996</v>
      </c>
      <c r="AB559">
        <v>34</v>
      </c>
      <c r="AC559">
        <v>31.2716999999999</v>
      </c>
      <c r="AD559">
        <v>-1.159707</v>
      </c>
      <c r="AE559">
        <v>-1.7836000000000301</v>
      </c>
      <c r="AF559">
        <v>1.1670067328368201</v>
      </c>
      <c r="AG559">
        <v>-1.159707</v>
      </c>
      <c r="AH559">
        <v>31.257866615566702</v>
      </c>
      <c r="AI559">
        <v>92.123294502585196</v>
      </c>
      <c r="AJ559">
        <v>87.861865622986798</v>
      </c>
      <c r="AK559">
        <v>31.301134969788201</v>
      </c>
      <c r="AL559">
        <v>89.043482683172201</v>
      </c>
      <c r="AM559">
        <v>90.334969825588701</v>
      </c>
      <c r="AN559">
        <v>0.99999993519312702</v>
      </c>
    </row>
    <row r="560" spans="1:40" x14ac:dyDescent="0.25">
      <c r="A560" t="str">
        <f>"20190305135805336"</f>
        <v>20190305135805336</v>
      </c>
      <c r="B560" t="str">
        <f>"1551765485328954"</f>
        <v>1551765485328954</v>
      </c>
      <c r="C560" t="s">
        <v>40</v>
      </c>
      <c r="D560">
        <v>4.2819310000000002</v>
      </c>
      <c r="E560">
        <v>0.51918129999999996</v>
      </c>
      <c r="F560" t="s">
        <v>41</v>
      </c>
      <c r="G560">
        <v>-338.55079999999998</v>
      </c>
      <c r="H560">
        <v>1.0514730000000001</v>
      </c>
      <c r="I560">
        <v>368.26229999999998</v>
      </c>
      <c r="J560">
        <v>-339.30220000000003</v>
      </c>
      <c r="K560">
        <v>1.1097079999999999</v>
      </c>
      <c r="L560">
        <v>368.31630000000001</v>
      </c>
      <c r="M560">
        <v>0.99972859999999997</v>
      </c>
      <c r="N560">
        <v>-1.251591E-2</v>
      </c>
      <c r="O560">
        <v>-1.9651910000000002E-2</v>
      </c>
      <c r="P560">
        <v>0.99989850000000002</v>
      </c>
      <c r="Q560">
        <v>4.3344050000000004E-3</v>
      </c>
      <c r="R560">
        <v>-1.3576080000000001E-2</v>
      </c>
      <c r="S560">
        <v>2.9985659999999998</v>
      </c>
      <c r="T560">
        <v>-0.1859344</v>
      </c>
      <c r="U560">
        <v>-0.18331910000000001</v>
      </c>
      <c r="V560">
        <v>-6.077168E-3</v>
      </c>
      <c r="W560">
        <v>1.6849980000000001E-2</v>
      </c>
      <c r="X560">
        <v>0.99983949999999999</v>
      </c>
      <c r="Y560">
        <v>4.1321910000000003E-2</v>
      </c>
      <c r="Z560">
        <v>-5.6743370000000002E-4</v>
      </c>
      <c r="AA560">
        <v>0.99914570000000003</v>
      </c>
      <c r="AB560">
        <v>34</v>
      </c>
      <c r="AC560">
        <v>0.75140000000004603</v>
      </c>
      <c r="AD560">
        <v>-5.8235000000000002E-2</v>
      </c>
      <c r="AE560">
        <v>-5.4000000000030399E-2</v>
      </c>
      <c r="AF560">
        <v>3.8988982692674597E-2</v>
      </c>
      <c r="AG560">
        <v>-5.8235000000000002E-2</v>
      </c>
      <c r="AH560">
        <v>0.74784724669144598</v>
      </c>
      <c r="AI560">
        <v>94.446632534179599</v>
      </c>
      <c r="AJ560">
        <v>87.015589075215104</v>
      </c>
      <c r="AK560">
        <v>0.75112379830516995</v>
      </c>
      <c r="AL560">
        <v>89.034521512563202</v>
      </c>
      <c r="AM560">
        <v>90.348247683741405</v>
      </c>
      <c r="AN560">
        <v>0.99999993977857304</v>
      </c>
    </row>
    <row r="561" spans="1:40" x14ac:dyDescent="0.25">
      <c r="A561" t="str">
        <f>"20190305135805353"</f>
        <v>20190305135805353</v>
      </c>
      <c r="B561" t="str">
        <f>"1551765485349450"</f>
        <v>1551765485349450</v>
      </c>
      <c r="C561" t="s">
        <v>40</v>
      </c>
      <c r="D561">
        <v>4.1322979999999996</v>
      </c>
      <c r="E561">
        <v>0.56199390000000005</v>
      </c>
      <c r="F561" t="s">
        <v>43</v>
      </c>
      <c r="G561">
        <v>-319.07859999999999</v>
      </c>
      <c r="H561">
        <v>-0.05</v>
      </c>
      <c r="I561">
        <v>366.91829999999999</v>
      </c>
      <c r="J561">
        <v>-339.06450000000001</v>
      </c>
      <c r="K561">
        <v>1.1097159999999999</v>
      </c>
      <c r="L561">
        <v>368.3116</v>
      </c>
      <c r="M561">
        <v>0.99972870000000003</v>
      </c>
      <c r="N561">
        <v>-1.251528E-2</v>
      </c>
      <c r="O561">
        <v>-1.9649639999999999E-2</v>
      </c>
      <c r="P561">
        <v>0.99989099999999997</v>
      </c>
      <c r="Q561">
        <v>5.2445080000000002E-3</v>
      </c>
      <c r="R561">
        <v>-1.381458E-2</v>
      </c>
      <c r="S561">
        <v>2.99823</v>
      </c>
      <c r="T561">
        <v>-0.17193129999999901</v>
      </c>
      <c r="U561">
        <v>-0.20724490000000001</v>
      </c>
      <c r="V561">
        <v>-5.8367890000000002E-3</v>
      </c>
      <c r="W561">
        <v>1.7759170000000001E-2</v>
      </c>
      <c r="X561">
        <v>0.99982519999999997</v>
      </c>
      <c r="Y561">
        <v>4.9261579999999999E-2</v>
      </c>
      <c r="Z561">
        <v>-8.3979300000000003E-4</v>
      </c>
      <c r="AA561">
        <v>0.99878560000000005</v>
      </c>
      <c r="AB561">
        <v>34</v>
      </c>
      <c r="AC561">
        <v>19.985900000000001</v>
      </c>
      <c r="AD561">
        <v>-1.159716</v>
      </c>
      <c r="AE561">
        <v>-1.39330000000001</v>
      </c>
      <c r="AF561">
        <v>0.99694391855192799</v>
      </c>
      <c r="AG561">
        <v>-1.159716</v>
      </c>
      <c r="AH561">
        <v>19.942596719401699</v>
      </c>
      <c r="AI561">
        <v>93.324014898968898</v>
      </c>
      <c r="AJ561">
        <v>87.138127589358106</v>
      </c>
      <c r="AK561">
        <v>20.001150024188199</v>
      </c>
      <c r="AL561">
        <v>88.982420960232702</v>
      </c>
      <c r="AM561">
        <v>90.334478043396302</v>
      </c>
      <c r="AN561">
        <v>0.999999943389978</v>
      </c>
    </row>
    <row r="562" spans="1:40" x14ac:dyDescent="0.25">
      <c r="A562" t="str">
        <f>"20190305135805377"</f>
        <v>20190305135805377</v>
      </c>
      <c r="B562" t="str">
        <f>"1551765485369475"</f>
        <v>1551765485369475</v>
      </c>
      <c r="C562" t="s">
        <v>40</v>
      </c>
      <c r="D562">
        <v>4.1639589999999904</v>
      </c>
      <c r="E562">
        <v>0.57027289999999997</v>
      </c>
      <c r="F562" t="s">
        <v>43</v>
      </c>
      <c r="G562">
        <v>-300.37479999999999</v>
      </c>
      <c r="H562">
        <v>-0.05</v>
      </c>
      <c r="I562">
        <v>361.27249999999998</v>
      </c>
      <c r="J562">
        <v>-338.70839999999998</v>
      </c>
      <c r="K562">
        <v>1.109729</v>
      </c>
      <c r="L562">
        <v>368.30459999999999</v>
      </c>
      <c r="M562">
        <v>0.99972890000000003</v>
      </c>
      <c r="N562">
        <v>-1.251436E-2</v>
      </c>
      <c r="O562">
        <v>-1.9639190000000001E-2</v>
      </c>
      <c r="P562">
        <v>0.99986180000000002</v>
      </c>
      <c r="Q562">
        <v>7.2021300000000002E-3</v>
      </c>
      <c r="R562">
        <v>-1.4997430000000001E-2</v>
      </c>
      <c r="S562">
        <v>2.9932560000000001</v>
      </c>
      <c r="T562">
        <v>-8.9722389999999999E-2</v>
      </c>
      <c r="U562">
        <v>-0.54458619999999902</v>
      </c>
      <c r="V562">
        <v>-4.6433009999999999E-3</v>
      </c>
      <c r="W562">
        <v>1.9715770000000001E-2</v>
      </c>
      <c r="X562">
        <v>0.99979479999999998</v>
      </c>
      <c r="Y562">
        <v>0.1595451</v>
      </c>
      <c r="Z562">
        <v>-3.0383609999999998E-3</v>
      </c>
      <c r="AA562">
        <v>0.98718600000000001</v>
      </c>
      <c r="AB562">
        <v>34</v>
      </c>
      <c r="AC562">
        <v>38.333599999999898</v>
      </c>
      <c r="AD562">
        <v>-1.159729</v>
      </c>
      <c r="AE562">
        <v>-7.0321000000000096</v>
      </c>
      <c r="AF562">
        <v>6.2722897843352996</v>
      </c>
      <c r="AG562">
        <v>-1.159729</v>
      </c>
      <c r="AH562">
        <v>38.430291778133103</v>
      </c>
      <c r="AI562">
        <v>91.705958231157197</v>
      </c>
      <c r="AJ562">
        <v>80.730365900832396</v>
      </c>
      <c r="AK562">
        <v>38.956051091512897</v>
      </c>
      <c r="AL562">
        <v>88.870296344321602</v>
      </c>
      <c r="AM562">
        <v>90.266094240113105</v>
      </c>
      <c r="AN562">
        <v>0.99999995696895305</v>
      </c>
    </row>
    <row r="563" spans="1:40" x14ac:dyDescent="0.25">
      <c r="A563" t="str">
        <f>"20190305135805389"</f>
        <v>20190305135805389</v>
      </c>
      <c r="B563" t="str">
        <f>"1551765485379237"</f>
        <v>1551765485379237</v>
      </c>
      <c r="C563" t="s">
        <v>40</v>
      </c>
      <c r="D563">
        <v>4.0942699999999999</v>
      </c>
      <c r="E563">
        <v>0.57134030000000002</v>
      </c>
      <c r="F563" t="s">
        <v>43</v>
      </c>
      <c r="G563">
        <v>-306.55489999999998</v>
      </c>
      <c r="H563">
        <v>-0.05</v>
      </c>
      <c r="I563">
        <v>361.68329999999997</v>
      </c>
      <c r="J563">
        <v>-338.50979999999998</v>
      </c>
      <c r="K563">
        <v>1.1097379999999999</v>
      </c>
      <c r="L563">
        <v>368.30070000000001</v>
      </c>
      <c r="M563">
        <v>0.99972910000000004</v>
      </c>
      <c r="N563">
        <v>-1.2513969999999999E-2</v>
      </c>
      <c r="O563">
        <v>-1.9626350000000001E-2</v>
      </c>
      <c r="P563">
        <v>0.99984740000000005</v>
      </c>
      <c r="Q563">
        <v>7.9262550000000001E-3</v>
      </c>
      <c r="R563">
        <v>-1.5575230000000001E-2</v>
      </c>
      <c r="S563">
        <v>2.991943</v>
      </c>
      <c r="T563">
        <v>-0.10791489999999999</v>
      </c>
      <c r="U563">
        <v>-0.61611939999999998</v>
      </c>
      <c r="V563">
        <v>-4.0525600000000002E-3</v>
      </c>
      <c r="W563">
        <v>2.043946E-2</v>
      </c>
      <c r="X563">
        <v>0.99978290000000003</v>
      </c>
      <c r="Y563">
        <v>0.18228140000000001</v>
      </c>
      <c r="Z563">
        <v>-3.9482679999999996E-3</v>
      </c>
      <c r="AA563">
        <v>0.98323850000000002</v>
      </c>
      <c r="AB563">
        <v>34</v>
      </c>
      <c r="AC563">
        <v>31.954899999999999</v>
      </c>
      <c r="AD563">
        <v>-1.1597379999999999</v>
      </c>
      <c r="AE563">
        <v>-6.6174000000000301</v>
      </c>
      <c r="AF563">
        <v>5.9813634903216899</v>
      </c>
      <c r="AG563">
        <v>-1.1597379999999999</v>
      </c>
      <c r="AH563">
        <v>32.038164909659599</v>
      </c>
      <c r="AI563">
        <v>92.037942534639498</v>
      </c>
      <c r="AJ563">
        <v>79.424910820942301</v>
      </c>
      <c r="AK563">
        <v>32.612355207965898</v>
      </c>
      <c r="AL563">
        <v>88.828823674003303</v>
      </c>
      <c r="AM563">
        <v>90.232243732669005</v>
      </c>
      <c r="AN563">
        <v>1.0000000209500199</v>
      </c>
    </row>
    <row r="564" spans="1:40" x14ac:dyDescent="0.25">
      <c r="A564" t="str">
        <f>"20190305135805402"</f>
        <v>20190305135805402</v>
      </c>
      <c r="B564" t="str">
        <f>"1551765485398755"</f>
        <v>1551765485398755</v>
      </c>
      <c r="C564" t="s">
        <v>40</v>
      </c>
      <c r="D564">
        <v>4.1265010000000002</v>
      </c>
      <c r="E564">
        <v>0.57211400000000001</v>
      </c>
      <c r="F564" t="s">
        <v>43</v>
      </c>
      <c r="G564">
        <v>-301.358</v>
      </c>
      <c r="H564">
        <v>-0.05</v>
      </c>
      <c r="I564">
        <v>360.53109999999998</v>
      </c>
      <c r="J564">
        <v>-338.32979999999998</v>
      </c>
      <c r="K564">
        <v>1.109747</v>
      </c>
      <c r="L564">
        <v>368.29719999999998</v>
      </c>
      <c r="M564">
        <v>0.99972930000000004</v>
      </c>
      <c r="N564">
        <v>-1.251362E-2</v>
      </c>
      <c r="O564">
        <v>-1.9612069999999999E-2</v>
      </c>
      <c r="P564">
        <v>0.99982040000000005</v>
      </c>
      <c r="Q564">
        <v>8.5904559999999998E-3</v>
      </c>
      <c r="R564">
        <v>-1.6900559999999999E-2</v>
      </c>
      <c r="S564">
        <v>2.9914860000000001</v>
      </c>
      <c r="T564">
        <v>-9.3382950000000006E-2</v>
      </c>
      <c r="U564">
        <v>-0.62561040000000001</v>
      </c>
      <c r="V564">
        <v>-2.712898E-3</v>
      </c>
      <c r="W564">
        <v>2.1103070000000002E-2</v>
      </c>
      <c r="X564">
        <v>0.99977360000000004</v>
      </c>
      <c r="Y564">
        <v>0.18534510000000001</v>
      </c>
      <c r="Z564">
        <v>-3.6714859999999998E-3</v>
      </c>
      <c r="AA564">
        <v>0.98266659999999995</v>
      </c>
      <c r="AB564">
        <v>34</v>
      </c>
      <c r="AC564">
        <v>36.971799999999902</v>
      </c>
      <c r="AD564">
        <v>-1.1597469999999901</v>
      </c>
      <c r="AE564">
        <v>-7.76609999999999</v>
      </c>
      <c r="AF564">
        <v>7.0328280142949797</v>
      </c>
      <c r="AG564">
        <v>-1.1597469999999901</v>
      </c>
      <c r="AH564">
        <v>37.082063132974</v>
      </c>
      <c r="AI564">
        <v>91.759996998411296</v>
      </c>
      <c r="AJ564">
        <v>79.261068688929299</v>
      </c>
      <c r="AK564">
        <v>37.760893649125002</v>
      </c>
      <c r="AL564">
        <v>88.790793361796204</v>
      </c>
      <c r="AM564">
        <v>90.1554724231043</v>
      </c>
      <c r="AN564">
        <v>0.99999997531797102</v>
      </c>
    </row>
    <row r="565" spans="1:40" x14ac:dyDescent="0.25">
      <c r="A565" t="str">
        <f>"20190305135805413"</f>
        <v>20190305135805413</v>
      </c>
      <c r="B565" t="str">
        <f>"1551765485409491"</f>
        <v>1551765485409491</v>
      </c>
      <c r="C565" t="s">
        <v>40</v>
      </c>
      <c r="D565">
        <v>4.1046569999999996</v>
      </c>
      <c r="E565">
        <v>0.57227090000000003</v>
      </c>
      <c r="F565" t="s">
        <v>43</v>
      </c>
      <c r="G565">
        <v>-309.2921</v>
      </c>
      <c r="H565">
        <v>-0.05</v>
      </c>
      <c r="I565">
        <v>362.10489999999999</v>
      </c>
      <c r="J565">
        <v>-338.15649999999999</v>
      </c>
      <c r="K565">
        <v>1.109753</v>
      </c>
      <c r="L565">
        <v>368.29379999999998</v>
      </c>
      <c r="M565">
        <v>0.9997298</v>
      </c>
      <c r="N565">
        <v>-1.251331E-2</v>
      </c>
      <c r="O565">
        <v>-1.9594339999999998E-2</v>
      </c>
      <c r="P565">
        <v>0.99979980000000002</v>
      </c>
      <c r="Q565">
        <v>8.8383699999999999E-3</v>
      </c>
      <c r="R565">
        <v>-1.795764E-2</v>
      </c>
      <c r="S565">
        <v>2.9908139999999999</v>
      </c>
      <c r="T565">
        <v>-0.1194513</v>
      </c>
      <c r="U565">
        <v>-0.63778690000000005</v>
      </c>
      <c r="V565">
        <v>-1.6378639999999999E-3</v>
      </c>
      <c r="W565">
        <v>2.1350500000000001E-2</v>
      </c>
      <c r="X565">
        <v>0.99977070000000001</v>
      </c>
      <c r="Y565">
        <v>0.18917020000000001</v>
      </c>
      <c r="Z565">
        <v>-4.4010100000000003E-3</v>
      </c>
      <c r="AA565">
        <v>0.98193439999999999</v>
      </c>
      <c r="AB565">
        <v>34</v>
      </c>
      <c r="AC565">
        <v>28.8643999999999</v>
      </c>
      <c r="AD565">
        <v>-1.159753</v>
      </c>
      <c r="AE565">
        <v>-6.1888999999999896</v>
      </c>
      <c r="AF565">
        <v>5.6134246253562097</v>
      </c>
      <c r="AG565">
        <v>-1.159753</v>
      </c>
      <c r="AH565">
        <v>28.935474690360799</v>
      </c>
      <c r="AI565">
        <v>92.253259432462002</v>
      </c>
      <c r="AJ565">
        <v>79.021107927252103</v>
      </c>
      <c r="AK565">
        <v>29.497750059997401</v>
      </c>
      <c r="AL565">
        <v>88.776613489132501</v>
      </c>
      <c r="AM565">
        <v>90.093864133709801</v>
      </c>
      <c r="AN565">
        <v>0.99999998951361102</v>
      </c>
    </row>
    <row r="566" spans="1:40" x14ac:dyDescent="0.25">
      <c r="A566" t="str">
        <f>"20190305135805425"</f>
        <v>20190305135805425</v>
      </c>
      <c r="B566" t="str">
        <f>"1551765485419251"</f>
        <v>1551765485419251</v>
      </c>
      <c r="C566" t="s">
        <v>40</v>
      </c>
      <c r="D566">
        <v>4.1267610000000001</v>
      </c>
      <c r="E566">
        <v>0.57252619999999999</v>
      </c>
      <c r="F566" t="s">
        <v>43</v>
      </c>
      <c r="G566">
        <v>-312.86919999999998</v>
      </c>
      <c r="H566">
        <v>-0.05</v>
      </c>
      <c r="I566">
        <v>362.8526</v>
      </c>
      <c r="J566">
        <v>-337.98820000000001</v>
      </c>
      <c r="K566">
        <v>1.1097629999999901</v>
      </c>
      <c r="L566">
        <v>368.29050000000001</v>
      </c>
      <c r="M566">
        <v>0.99973009999999995</v>
      </c>
      <c r="N566">
        <v>-1.251297E-2</v>
      </c>
      <c r="O566">
        <v>-1.9573980000000001E-2</v>
      </c>
      <c r="P566">
        <v>0.99978299999999998</v>
      </c>
      <c r="Q566">
        <v>8.3290109999999903E-3</v>
      </c>
      <c r="R566">
        <v>-1.9101989999999999E-2</v>
      </c>
      <c r="S566">
        <v>2.990265</v>
      </c>
      <c r="T566">
        <v>-0.13714270000000001</v>
      </c>
      <c r="U566">
        <v>-0.64343260000000002</v>
      </c>
      <c r="V566">
        <v>-4.7322150000000002E-4</v>
      </c>
      <c r="W566">
        <v>2.0840870000000001E-2</v>
      </c>
      <c r="X566">
        <v>0.99978270000000002</v>
      </c>
      <c r="Y566">
        <v>0.1909476</v>
      </c>
      <c r="Z566">
        <v>-4.8915809999999999E-3</v>
      </c>
      <c r="AA566">
        <v>0.98158809999999996</v>
      </c>
      <c r="AB566">
        <v>34</v>
      </c>
      <c r="AC566">
        <v>25.119</v>
      </c>
      <c r="AD566">
        <v>-1.1597630000000001</v>
      </c>
      <c r="AE566">
        <v>-5.4379000000000097</v>
      </c>
      <c r="AF566">
        <v>4.9350913447184599</v>
      </c>
      <c r="AG566">
        <v>-1.1597630000000001</v>
      </c>
      <c r="AH566">
        <v>25.1693838808138</v>
      </c>
      <c r="AI566">
        <v>92.588998048170296</v>
      </c>
      <c r="AJ566">
        <v>78.906456666822507</v>
      </c>
      <c r="AK566">
        <v>25.674852711099501</v>
      </c>
      <c r="AL566">
        <v>88.805819657667499</v>
      </c>
      <c r="AM566">
        <v>90.027119485764302</v>
      </c>
      <c r="AN566">
        <v>1.00000000651011</v>
      </c>
    </row>
    <row r="567" spans="1:40" x14ac:dyDescent="0.25">
      <c r="A567" t="str">
        <f>"20190305135805435"</f>
        <v>20190305135805435</v>
      </c>
      <c r="B567" t="str">
        <f>"1551765485429011"</f>
        <v>1551765485429011</v>
      </c>
      <c r="C567" t="s">
        <v>40</v>
      </c>
      <c r="D567">
        <v>4.1400309999999996</v>
      </c>
      <c r="E567">
        <v>0.57247419999999904</v>
      </c>
      <c r="F567" t="s">
        <v>43</v>
      </c>
      <c r="G567">
        <v>-315.43630000000002</v>
      </c>
      <c r="H567">
        <v>-0.05</v>
      </c>
      <c r="I567">
        <v>363.38850000000002</v>
      </c>
      <c r="J567">
        <v>-337.80889999999999</v>
      </c>
      <c r="K567">
        <v>1.109764</v>
      </c>
      <c r="L567">
        <v>368.28699999999998</v>
      </c>
      <c r="M567">
        <v>0.99973069999999997</v>
      </c>
      <c r="N567">
        <v>-1.2512580000000001E-2</v>
      </c>
      <c r="O567">
        <v>-1.9550049999999999E-2</v>
      </c>
      <c r="P567">
        <v>0.99976860000000001</v>
      </c>
      <c r="Q567">
        <v>7.5613629999999998E-3</v>
      </c>
      <c r="R567">
        <v>-2.0144080000000002E-2</v>
      </c>
      <c r="S567">
        <v>2.9895019999999999</v>
      </c>
      <c r="T567">
        <v>-0.1537395</v>
      </c>
      <c r="U567">
        <v>-0.64981080000000002</v>
      </c>
      <c r="V567">
        <v>5.9227539999999999E-4</v>
      </c>
      <c r="W567">
        <v>2.0072840000000002E-2</v>
      </c>
      <c r="X567">
        <v>0.99979839999999998</v>
      </c>
      <c r="Y567">
        <v>0.19296759999999999</v>
      </c>
      <c r="Z567">
        <v>-5.372875E-3</v>
      </c>
      <c r="AA567">
        <v>0.98119040000000002</v>
      </c>
      <c r="AB567">
        <v>34</v>
      </c>
      <c r="AC567">
        <v>22.372599999999899</v>
      </c>
      <c r="AD567">
        <v>-1.159764</v>
      </c>
      <c r="AE567">
        <v>-4.8984999999999497</v>
      </c>
      <c r="AF567">
        <v>4.4487360825223901</v>
      </c>
      <c r="AG567">
        <v>-1.159764</v>
      </c>
      <c r="AH567">
        <v>22.406639358163002</v>
      </c>
      <c r="AI567">
        <v>92.906345391519196</v>
      </c>
      <c r="AJ567">
        <v>78.770224624099995</v>
      </c>
      <c r="AK567">
        <v>22.8734298388854</v>
      </c>
      <c r="AL567">
        <v>88.849833802513004</v>
      </c>
      <c r="AM567">
        <v>89.966058280589493</v>
      </c>
      <c r="AN567">
        <v>1.0000000551691799</v>
      </c>
    </row>
    <row r="568" spans="1:40" x14ac:dyDescent="0.25">
      <c r="A568" t="str">
        <f>"20190305135805447"</f>
        <v>20190305135805447</v>
      </c>
      <c r="B568" t="str">
        <f>"1551765485439747"</f>
        <v>1551765485439747</v>
      </c>
      <c r="C568" t="s">
        <v>40</v>
      </c>
      <c r="D568">
        <v>4.1540730000000003</v>
      </c>
      <c r="E568">
        <v>0.57267019999999902</v>
      </c>
      <c r="F568" t="s">
        <v>43</v>
      </c>
      <c r="G568">
        <v>-317.36540000000002</v>
      </c>
      <c r="H568">
        <v>-0.05</v>
      </c>
      <c r="I568">
        <v>363.8168</v>
      </c>
      <c r="J568">
        <v>-337.6499</v>
      </c>
      <c r="K568">
        <v>1.109764</v>
      </c>
      <c r="L568">
        <v>368.28399999999999</v>
      </c>
      <c r="M568">
        <v>0.99973109999999998</v>
      </c>
      <c r="N568">
        <v>-1.2512240000000001E-2</v>
      </c>
      <c r="O568">
        <v>-1.9523990000000001E-2</v>
      </c>
      <c r="P568">
        <v>0.99976129999999996</v>
      </c>
      <c r="Q568">
        <v>5.8760569999999996E-3</v>
      </c>
      <c r="R568">
        <v>-2.104199E-2</v>
      </c>
      <c r="S568">
        <v>2.9887999999999999</v>
      </c>
      <c r="T568">
        <v>-0.1695554</v>
      </c>
      <c r="U568">
        <v>-0.6535339</v>
      </c>
      <c r="V568">
        <v>1.5161389999999999E-3</v>
      </c>
      <c r="W568">
        <v>1.8387540000000001E-2</v>
      </c>
      <c r="X568">
        <v>0.99982979999999999</v>
      </c>
      <c r="Y568">
        <v>0.1941505</v>
      </c>
      <c r="Z568">
        <v>-5.8168409999999997E-3</v>
      </c>
      <c r="AA568">
        <v>0.98095449999999995</v>
      </c>
      <c r="AB568">
        <v>34</v>
      </c>
      <c r="AC568">
        <v>20.284499999999898</v>
      </c>
      <c r="AD568">
        <v>-1.159764</v>
      </c>
      <c r="AE568">
        <v>-4.4671999999999903</v>
      </c>
      <c r="AF568">
        <v>4.0576322823690498</v>
      </c>
      <c r="AG568">
        <v>-1.159764</v>
      </c>
      <c r="AH568">
        <v>20.304552687102799</v>
      </c>
      <c r="AI568">
        <v>93.205841861380605</v>
      </c>
      <c r="AJ568">
        <v>78.698962651624697</v>
      </c>
      <c r="AK568">
        <v>20.738473716692699</v>
      </c>
      <c r="AL568">
        <v>88.946412202147002</v>
      </c>
      <c r="AM568">
        <v>89.913116913226801</v>
      </c>
      <c r="AN568">
        <v>1.0000000146363699</v>
      </c>
    </row>
    <row r="569" spans="1:40" x14ac:dyDescent="0.25">
      <c r="A569" t="str">
        <f>"20190305135805457"</f>
        <v>20190305135805457</v>
      </c>
      <c r="B569" t="str">
        <f>"1551765485449508"</f>
        <v>1551765485449508</v>
      </c>
      <c r="C569" t="s">
        <v>40</v>
      </c>
      <c r="D569">
        <v>4.0490899999999996</v>
      </c>
      <c r="E569">
        <v>0.57266930000000005</v>
      </c>
      <c r="F569" t="s">
        <v>43</v>
      </c>
      <c r="G569">
        <v>-318.79489999999998</v>
      </c>
      <c r="H569">
        <v>-0.05</v>
      </c>
      <c r="I569">
        <v>364.12970000000001</v>
      </c>
      <c r="J569">
        <v>-337.49310000000003</v>
      </c>
      <c r="K569">
        <v>1.1097570000000001</v>
      </c>
      <c r="L569">
        <v>368.28089999999997</v>
      </c>
      <c r="M569">
        <v>0.9997317</v>
      </c>
      <c r="N569">
        <v>-1.2511899999999999E-2</v>
      </c>
      <c r="O569">
        <v>-1.9497460000000001E-2</v>
      </c>
      <c r="P569">
        <v>0.99975139999999996</v>
      </c>
      <c r="Q569">
        <v>4.6278049999999996E-3</v>
      </c>
      <c r="R569">
        <v>-2.1811899999999999E-2</v>
      </c>
      <c r="S569">
        <v>2.987946</v>
      </c>
      <c r="T569">
        <v>-0.18378710000000001</v>
      </c>
      <c r="U569">
        <v>-0.65832519999999894</v>
      </c>
      <c r="V569">
        <v>2.3125160000000001E-3</v>
      </c>
      <c r="W569">
        <v>1.7139370000000001E-2</v>
      </c>
      <c r="X569">
        <v>0.99985049999999998</v>
      </c>
      <c r="Y569">
        <v>0.19567850000000001</v>
      </c>
      <c r="Z569">
        <v>-6.2390960000000004E-3</v>
      </c>
      <c r="AA569">
        <v>0.98064830000000003</v>
      </c>
      <c r="AB569">
        <v>34</v>
      </c>
      <c r="AC569">
        <v>18.6982</v>
      </c>
      <c r="AD569">
        <v>-1.1597569999999999</v>
      </c>
      <c r="AE569">
        <v>-4.1511999999999603</v>
      </c>
      <c r="AF569">
        <v>3.7719852530529998</v>
      </c>
      <c r="AG569">
        <v>-1.1597569999999999</v>
      </c>
      <c r="AH569">
        <v>18.7070019417352</v>
      </c>
      <c r="AI569">
        <v>93.477746331233007</v>
      </c>
      <c r="AJ569">
        <v>78.600023525410705</v>
      </c>
      <c r="AK569">
        <v>19.118703687655799</v>
      </c>
      <c r="AL569">
        <v>89.0179384129722</v>
      </c>
      <c r="AM569">
        <v>89.8674830181114</v>
      </c>
      <c r="AN569">
        <v>1.00000006404224</v>
      </c>
    </row>
    <row r="570" spans="1:40" x14ac:dyDescent="0.25">
      <c r="A570" t="str">
        <f>"20190305135805468"</f>
        <v>20190305135805468</v>
      </c>
      <c r="B570" t="str">
        <f>"1551765485459268"</f>
        <v>1551765485459268</v>
      </c>
      <c r="C570" t="s">
        <v>40</v>
      </c>
      <c r="D570">
        <v>4.1245570000000003</v>
      </c>
      <c r="E570">
        <v>0.57274669999999905</v>
      </c>
      <c r="F570" t="s">
        <v>42</v>
      </c>
      <c r="G570">
        <v>-320.02929999999998</v>
      </c>
      <c r="H570" s="1">
        <v>-5.1816469999999999E-6</v>
      </c>
      <c r="I570">
        <v>364.41910000000001</v>
      </c>
      <c r="J570">
        <v>-337.33479999999997</v>
      </c>
      <c r="K570">
        <v>1.1097539999999999</v>
      </c>
      <c r="L570">
        <v>368.27789999999999</v>
      </c>
      <c r="M570">
        <v>0.99973230000000002</v>
      </c>
      <c r="N570">
        <v>-1.251159E-2</v>
      </c>
      <c r="O570">
        <v>-1.9467120000000001E-2</v>
      </c>
      <c r="P570">
        <v>0.99974300000000005</v>
      </c>
      <c r="Q570">
        <v>3.5865599999999999E-3</v>
      </c>
      <c r="R570">
        <v>-2.239182E-2</v>
      </c>
      <c r="S570">
        <v>2.987244</v>
      </c>
      <c r="T570">
        <v>-0.18982679999999999</v>
      </c>
      <c r="U570">
        <v>-0.66055299999999995</v>
      </c>
      <c r="V570">
        <v>2.9225760000000001E-3</v>
      </c>
      <c r="W570">
        <v>1.6098109999999999E-2</v>
      </c>
      <c r="X570">
        <v>0.99986609999999998</v>
      </c>
      <c r="Y570">
        <v>0.19642799999999999</v>
      </c>
      <c r="Z570">
        <v>-6.4257899999999998E-3</v>
      </c>
      <c r="AA570">
        <v>0.98049719999999996</v>
      </c>
      <c r="AB570">
        <v>34</v>
      </c>
      <c r="AC570">
        <v>17.305499999999899</v>
      </c>
      <c r="AD570">
        <v>-1.109759181647</v>
      </c>
      <c r="AE570">
        <v>-3.8587999999999698</v>
      </c>
      <c r="AF570">
        <v>3.5074135505972501</v>
      </c>
      <c r="AG570">
        <v>-1.109759181647</v>
      </c>
      <c r="AH570">
        <v>17.3095345386571</v>
      </c>
      <c r="AI570">
        <v>93.595487798646701</v>
      </c>
      <c r="AJ570">
        <v>78.545304296237404</v>
      </c>
      <c r="AK570">
        <v>17.696143681636599</v>
      </c>
      <c r="AL570">
        <v>89.077606354159798</v>
      </c>
      <c r="AM570">
        <v>89.832526782114002</v>
      </c>
      <c r="AN570">
        <v>0.999999954262627</v>
      </c>
    </row>
    <row r="571" spans="1:40" x14ac:dyDescent="0.25">
      <c r="A571" t="str">
        <f>"20190305135805479"</f>
        <v>20190305135805479</v>
      </c>
      <c r="B571" t="str">
        <f>"1551765485469534"</f>
        <v>1551765485469534</v>
      </c>
      <c r="C571" t="s">
        <v>40</v>
      </c>
      <c r="D571">
        <v>4.1373449999999998</v>
      </c>
      <c r="E571">
        <v>0.57288559999999999</v>
      </c>
      <c r="F571" t="s">
        <v>42</v>
      </c>
      <c r="G571">
        <v>-320.66419999999999</v>
      </c>
      <c r="H571" s="1">
        <v>-4.881731E-6</v>
      </c>
      <c r="I571">
        <v>364.57440000000003</v>
      </c>
      <c r="J571">
        <v>-337.16489999999999</v>
      </c>
      <c r="K571">
        <v>1.10975</v>
      </c>
      <c r="L571">
        <v>368.27460000000002</v>
      </c>
      <c r="M571">
        <v>0.99973299999999998</v>
      </c>
      <c r="N571">
        <v>-1.251126E-2</v>
      </c>
      <c r="O571">
        <v>-1.943404E-2</v>
      </c>
      <c r="P571">
        <v>0.99973040000000002</v>
      </c>
      <c r="Q571">
        <v>2.3270399999999998E-3</v>
      </c>
      <c r="R571">
        <v>-2.3104550000000001E-2</v>
      </c>
      <c r="S571">
        <v>2.9866329999999999</v>
      </c>
      <c r="T571">
        <v>-0.1988181</v>
      </c>
      <c r="U571">
        <v>-0.66348269999999998</v>
      </c>
      <c r="V571">
        <v>3.668634E-3</v>
      </c>
      <c r="W571">
        <v>1.4837980000000001E-2</v>
      </c>
      <c r="X571">
        <v>0.99988319999999997</v>
      </c>
      <c r="Y571">
        <v>0.19737950000000001</v>
      </c>
      <c r="Z571">
        <v>-6.6990169999999998E-3</v>
      </c>
      <c r="AA571">
        <v>0.98030419999999996</v>
      </c>
      <c r="AB571">
        <v>34</v>
      </c>
      <c r="AC571">
        <v>16.500699999999899</v>
      </c>
      <c r="AD571">
        <v>-1.1097548817309999</v>
      </c>
      <c r="AE571">
        <v>-3.7001999999999899</v>
      </c>
      <c r="AF571">
        <v>3.3643117663148598</v>
      </c>
      <c r="AG571">
        <v>-1.1097548817309999</v>
      </c>
      <c r="AH571">
        <v>16.498445257647901</v>
      </c>
      <c r="AI571">
        <v>93.770789304209501</v>
      </c>
      <c r="AJ571">
        <v>78.4744408875451</v>
      </c>
      <c r="AK571">
        <v>16.874502821656499</v>
      </c>
      <c r="AL571">
        <v>89.149815186864302</v>
      </c>
      <c r="AM571">
        <v>89.789779144644797</v>
      </c>
      <c r="AN571">
        <v>1.0000000190840701</v>
      </c>
    </row>
    <row r="572" spans="1:40" x14ac:dyDescent="0.25">
      <c r="A572" t="str">
        <f>"20190305135805490"</f>
        <v>20190305135805490</v>
      </c>
      <c r="B572" t="str">
        <f>"1551765485479295"</f>
        <v>1551765485479295</v>
      </c>
      <c r="C572" t="s">
        <v>40</v>
      </c>
      <c r="D572">
        <v>4.0987739999999997</v>
      </c>
      <c r="E572">
        <v>0.57293359999999904</v>
      </c>
      <c r="F572" t="s">
        <v>42</v>
      </c>
      <c r="G572">
        <v>-321.19459999999998</v>
      </c>
      <c r="H572" s="1">
        <v>-4.6308580000000001E-6</v>
      </c>
      <c r="I572">
        <v>364.70569999999998</v>
      </c>
      <c r="J572">
        <v>-336.99430000000001</v>
      </c>
      <c r="K572">
        <v>1.109747</v>
      </c>
      <c r="L572">
        <v>368.2713</v>
      </c>
      <c r="M572">
        <v>0.99973369999999995</v>
      </c>
      <c r="N572">
        <v>-1.251095E-2</v>
      </c>
      <c r="O572">
        <v>-1.9398470000000001E-2</v>
      </c>
      <c r="P572">
        <v>0.9997241</v>
      </c>
      <c r="Q572">
        <v>5.3618099999999896E-4</v>
      </c>
      <c r="R572">
        <v>-2.3489949999999999E-2</v>
      </c>
      <c r="S572">
        <v>2.9859010000000001</v>
      </c>
      <c r="T572">
        <v>-0.20748539999999999</v>
      </c>
      <c r="U572">
        <v>-0.6672363</v>
      </c>
      <c r="V572">
        <v>4.0897019999999997E-3</v>
      </c>
      <c r="W572">
        <v>1.3047629999999999E-2</v>
      </c>
      <c r="X572">
        <v>0.99990650000000003</v>
      </c>
      <c r="Y572">
        <v>0.1985982</v>
      </c>
      <c r="Z572">
        <v>-6.9778030000000003E-3</v>
      </c>
      <c r="AA572">
        <v>0.98005620000000004</v>
      </c>
      <c r="AB572">
        <v>34</v>
      </c>
      <c r="AC572">
        <v>15.7997</v>
      </c>
      <c r="AD572">
        <v>-1.109751630858</v>
      </c>
      <c r="AE572">
        <v>-3.5656000000000101</v>
      </c>
      <c r="AF572">
        <v>3.2431901697194099</v>
      </c>
      <c r="AG572">
        <v>-1.109751630858</v>
      </c>
      <c r="AH572">
        <v>15.7917662039599</v>
      </c>
      <c r="AI572">
        <v>93.937877886200397</v>
      </c>
      <c r="AJ572">
        <v>78.394408443656104</v>
      </c>
      <c r="AK572">
        <v>16.1595083774132</v>
      </c>
      <c r="AL572">
        <v>89.252404646150197</v>
      </c>
      <c r="AM572">
        <v>89.765656731469903</v>
      </c>
      <c r="AN572">
        <v>0.99999998752665697</v>
      </c>
    </row>
    <row r="573" spans="1:40" x14ac:dyDescent="0.25">
      <c r="A573" t="str">
        <f>"20190305135805502"</f>
        <v>20190305135805502</v>
      </c>
      <c r="B573" t="str">
        <f>"1551765485499791"</f>
        <v>1551765485499791</v>
      </c>
      <c r="C573" t="s">
        <v>40</v>
      </c>
      <c r="D573">
        <v>4.1553589999999998</v>
      </c>
      <c r="E573">
        <v>0.57328950000000001</v>
      </c>
      <c r="F573" t="s">
        <v>42</v>
      </c>
      <c r="G573">
        <v>-321.74209999999999</v>
      </c>
      <c r="H573" s="1">
        <v>-4.3696529999999996E-6</v>
      </c>
      <c r="I573">
        <v>364.85430000000002</v>
      </c>
      <c r="J573">
        <v>-336.82600000000002</v>
      </c>
      <c r="K573">
        <v>1.1097330000000001</v>
      </c>
      <c r="L573">
        <v>368.26799999999997</v>
      </c>
      <c r="M573">
        <v>0.99973429999999996</v>
      </c>
      <c r="N573">
        <v>-1.251064E-2</v>
      </c>
      <c r="O573">
        <v>-1.9363020000000002E-2</v>
      </c>
      <c r="P573">
        <v>0.9997125</v>
      </c>
      <c r="Q573">
        <v>-1.4794210000000001E-3</v>
      </c>
      <c r="R573">
        <v>-2.393472E-2</v>
      </c>
      <c r="S573">
        <v>2.9851990000000002</v>
      </c>
      <c r="T573">
        <v>-0.21720210000000001</v>
      </c>
      <c r="U573">
        <v>-0.66876219999999997</v>
      </c>
      <c r="V573">
        <v>4.5702649999999996E-3</v>
      </c>
      <c r="W573">
        <v>1.103171E-2</v>
      </c>
      <c r="X573">
        <v>0.9999287</v>
      </c>
      <c r="Y573">
        <v>0.19911319999999999</v>
      </c>
      <c r="Z573">
        <v>-7.2587449999999996E-3</v>
      </c>
      <c r="AA573">
        <v>0.97994959999999998</v>
      </c>
      <c r="AB573">
        <v>34</v>
      </c>
      <c r="AC573">
        <v>15.0838999999999</v>
      </c>
      <c r="AD573">
        <v>-1.109737369653</v>
      </c>
      <c r="AE573">
        <v>-3.4137</v>
      </c>
      <c r="AF573">
        <v>3.10497975066674</v>
      </c>
      <c r="AG573">
        <v>-1.109737369653</v>
      </c>
      <c r="AH573">
        <v>15.069583503038</v>
      </c>
      <c r="AI573">
        <v>94.125359716179702</v>
      </c>
      <c r="AJ573">
        <v>78.357545079970095</v>
      </c>
      <c r="AK573">
        <v>15.426106548208701</v>
      </c>
      <c r="AL573">
        <v>89.367916752300701</v>
      </c>
      <c r="AM573">
        <v>89.738126256045902</v>
      </c>
      <c r="AN573">
        <v>0.99999999551569196</v>
      </c>
    </row>
    <row r="574" spans="1:40" x14ac:dyDescent="0.25">
      <c r="A574" t="str">
        <f>"20190305135805513"</f>
        <v>20190305135805513</v>
      </c>
      <c r="B574" t="str">
        <f>"1551765485509550"</f>
        <v>1551765485509550</v>
      </c>
      <c r="C574" t="s">
        <v>40</v>
      </c>
      <c r="D574">
        <v>4.1534820000000003</v>
      </c>
      <c r="E574">
        <v>0.57341779999999998</v>
      </c>
      <c r="F574" t="s">
        <v>42</v>
      </c>
      <c r="G574">
        <v>-322.20510000000002</v>
      </c>
      <c r="H574" s="1">
        <v>-4.150626E-6</v>
      </c>
      <c r="I574">
        <v>364.96929999999998</v>
      </c>
      <c r="J574">
        <v>-336.65429999999998</v>
      </c>
      <c r="K574">
        <v>1.109715</v>
      </c>
      <c r="L574">
        <v>368.26479999999998</v>
      </c>
      <c r="M574">
        <v>0.99973489999999998</v>
      </c>
      <c r="N574">
        <v>-1.251033E-2</v>
      </c>
      <c r="O574">
        <v>-1.932615E-2</v>
      </c>
      <c r="P574">
        <v>0.99970420000000004</v>
      </c>
      <c r="Q574">
        <v>-5.1381999999999999E-3</v>
      </c>
      <c r="R574">
        <v>-2.37723E-2</v>
      </c>
      <c r="S574">
        <v>2.9844059999999999</v>
      </c>
      <c r="T574">
        <v>-0.2265162</v>
      </c>
      <c r="U574">
        <v>-0.6733093</v>
      </c>
      <c r="V574">
        <v>4.4450230000000002E-3</v>
      </c>
      <c r="W574">
        <v>7.3726149999999999E-3</v>
      </c>
      <c r="X574">
        <v>0.99996289999999999</v>
      </c>
      <c r="Y574">
        <v>0.2005769</v>
      </c>
      <c r="Z574">
        <v>-7.5721479999999999E-3</v>
      </c>
      <c r="AA574">
        <v>0.97964870000000004</v>
      </c>
      <c r="AB574">
        <v>34</v>
      </c>
      <c r="AC574">
        <v>14.4491999999999</v>
      </c>
      <c r="AD574">
        <v>-1.109719150626</v>
      </c>
      <c r="AE574">
        <v>-3.2955000000000001</v>
      </c>
      <c r="AF574">
        <v>2.9988014432477001</v>
      </c>
      <c r="AG574">
        <v>-1.109719150626</v>
      </c>
      <c r="AH574">
        <v>14.4292930448602</v>
      </c>
      <c r="AI574">
        <v>94.306155501329997</v>
      </c>
      <c r="AJ574">
        <v>78.259499760199006</v>
      </c>
      <c r="AK574">
        <v>14.779336401332101</v>
      </c>
      <c r="AL574">
        <v>89.577576431687902</v>
      </c>
      <c r="AM574">
        <v>89.745311170759294</v>
      </c>
      <c r="AN574">
        <v>0.99999995752890802</v>
      </c>
    </row>
    <row r="575" spans="1:40" x14ac:dyDescent="0.25">
      <c r="A575" t="str">
        <f>"20190305135805526"</f>
        <v>20190305135805526</v>
      </c>
      <c r="B575" t="str">
        <f>"1551765485519310"</f>
        <v>1551765485519310</v>
      </c>
      <c r="C575" t="s">
        <v>40</v>
      </c>
      <c r="D575">
        <v>4.1342639999999999</v>
      </c>
      <c r="E575">
        <v>0.57347669999999995</v>
      </c>
      <c r="F575" t="s">
        <v>42</v>
      </c>
      <c r="G575">
        <v>-322.8972</v>
      </c>
      <c r="H575" s="1">
        <v>-3.8205869999999997E-6</v>
      </c>
      <c r="I575">
        <v>365.15589999999997</v>
      </c>
      <c r="J575">
        <v>-336.48059999999998</v>
      </c>
      <c r="K575">
        <v>1.109694</v>
      </c>
      <c r="L575">
        <v>368.26150000000001</v>
      </c>
      <c r="M575">
        <v>0.9997357</v>
      </c>
      <c r="N575">
        <v>-1.251002E-2</v>
      </c>
      <c r="O575">
        <v>-1.9289290000000001E-2</v>
      </c>
      <c r="P575">
        <v>0.99968219999999997</v>
      </c>
      <c r="Q575">
        <v>-1.022699E-2</v>
      </c>
      <c r="R575">
        <v>-2.3039819999999999E-2</v>
      </c>
      <c r="S575">
        <v>2.9836119999999999</v>
      </c>
      <c r="T575">
        <v>-0.2406732</v>
      </c>
      <c r="U575">
        <v>-0.67422490000000002</v>
      </c>
      <c r="V575">
        <v>3.7508020000000001E-3</v>
      </c>
      <c r="W575">
        <v>2.283396E-3</v>
      </c>
      <c r="X575">
        <v>0.9999903</v>
      </c>
      <c r="Y575">
        <v>0.2008828</v>
      </c>
      <c r="Z575">
        <v>-7.9680489999999996E-3</v>
      </c>
      <c r="AA575">
        <v>0.97958290000000003</v>
      </c>
      <c r="AB575">
        <v>34</v>
      </c>
      <c r="AC575">
        <v>13.5833999999999</v>
      </c>
      <c r="AD575">
        <v>-1.1096978205870001</v>
      </c>
      <c r="AE575">
        <v>-3.1056000000000301</v>
      </c>
      <c r="AF575">
        <v>2.8250692976400198</v>
      </c>
      <c r="AG575">
        <v>-1.1096978205870001</v>
      </c>
      <c r="AH575">
        <v>13.554809718595999</v>
      </c>
      <c r="AI575">
        <v>94.582192168763299</v>
      </c>
      <c r="AJ575">
        <v>78.227049880281996</v>
      </c>
      <c r="AK575">
        <v>13.8904755964952</v>
      </c>
      <c r="AL575">
        <v>89.869170924868797</v>
      </c>
      <c r="AM575">
        <v>89.785093798830303</v>
      </c>
      <c r="AN575">
        <v>0.99999994125351099</v>
      </c>
    </row>
    <row r="576" spans="1:40" x14ac:dyDescent="0.25">
      <c r="A576" t="str">
        <f>"20190305135805536"</f>
        <v>20190305135805536</v>
      </c>
      <c r="B576" t="str">
        <f>"1551765485529072"</f>
        <v>1551765485529072</v>
      </c>
      <c r="C576" t="s">
        <v>40</v>
      </c>
      <c r="D576">
        <v>4.1134259999999996</v>
      </c>
      <c r="E576">
        <v>0.5735517</v>
      </c>
      <c r="F576" t="s">
        <v>42</v>
      </c>
      <c r="G576">
        <v>-323.65809999999999</v>
      </c>
      <c r="H576" s="1">
        <v>-3.4562489999999999E-6</v>
      </c>
      <c r="I576">
        <v>365.3698</v>
      </c>
      <c r="J576">
        <v>-336.30279999999999</v>
      </c>
      <c r="K576">
        <v>1.1096779999999999</v>
      </c>
      <c r="L576">
        <v>368.25810000000001</v>
      </c>
      <c r="M576">
        <v>0.99973650000000003</v>
      </c>
      <c r="N576">
        <v>-1.25097E-2</v>
      </c>
      <c r="O576">
        <v>-1.9251600000000001E-2</v>
      </c>
      <c r="P576">
        <v>0.99963800000000003</v>
      </c>
      <c r="Q576">
        <v>-1.485587E-2</v>
      </c>
      <c r="R576">
        <v>-2.2434929999999999E-2</v>
      </c>
      <c r="S576">
        <v>2.9828190000000001</v>
      </c>
      <c r="T576">
        <v>-0.25813950000000002</v>
      </c>
      <c r="U576">
        <v>-0.67263790000000001</v>
      </c>
      <c r="V576">
        <v>3.1849069999999998E-3</v>
      </c>
      <c r="W576">
        <v>-2.3461020000000001E-3</v>
      </c>
      <c r="X576">
        <v>0.9999922</v>
      </c>
      <c r="Y576">
        <v>0.2003885</v>
      </c>
      <c r="Z576">
        <v>-8.4157959999999997E-3</v>
      </c>
      <c r="AA576">
        <v>0.97968040000000001</v>
      </c>
      <c r="AB576">
        <v>34</v>
      </c>
      <c r="AC576">
        <v>12.6447</v>
      </c>
      <c r="AD576">
        <v>-1.1096814562490001</v>
      </c>
      <c r="AE576">
        <v>-2.8883000000000099</v>
      </c>
      <c r="AF576">
        <v>2.62510003626014</v>
      </c>
      <c r="AG576">
        <v>-1.1096814562490001</v>
      </c>
      <c r="AH576">
        <v>12.6056954415786</v>
      </c>
      <c r="AI576">
        <v>94.925653691631396</v>
      </c>
      <c r="AJ576">
        <v>78.236444178667696</v>
      </c>
      <c r="AK576">
        <v>12.9238578102884</v>
      </c>
      <c r="AL576">
        <v>90.1344218630028</v>
      </c>
      <c r="AM576">
        <v>89.817517464409605</v>
      </c>
      <c r="AN576">
        <v>1.0000000239440101</v>
      </c>
    </row>
    <row r="577" spans="1:40" x14ac:dyDescent="0.25">
      <c r="A577" t="str">
        <f>"20190305135805547"</f>
        <v>20190305135805547</v>
      </c>
      <c r="B577" t="str">
        <f>"1551765485539806"</f>
        <v>1551765485539806</v>
      </c>
      <c r="C577" t="s">
        <v>40</v>
      </c>
      <c r="D577">
        <v>4.1367909999999997</v>
      </c>
      <c r="E577">
        <v>0.57361189999999995</v>
      </c>
      <c r="F577" t="s">
        <v>42</v>
      </c>
      <c r="G577">
        <v>-324.20729999999998</v>
      </c>
      <c r="H577" s="1">
        <v>-3.1916110000000002E-6</v>
      </c>
      <c r="I577">
        <v>365.5335</v>
      </c>
      <c r="J577">
        <v>-336.14609999999999</v>
      </c>
      <c r="K577">
        <v>1.1096619999999999</v>
      </c>
      <c r="L577">
        <v>368.25510000000003</v>
      </c>
      <c r="M577">
        <v>0.99973730000000005</v>
      </c>
      <c r="N577">
        <v>-1.250944E-2</v>
      </c>
      <c r="O577">
        <v>-1.921869E-2</v>
      </c>
      <c r="P577">
        <v>0.99959920000000002</v>
      </c>
      <c r="Q577">
        <v>-1.852556E-2</v>
      </c>
      <c r="R577">
        <v>-2.1420600000000001E-2</v>
      </c>
      <c r="S577">
        <v>2.981903</v>
      </c>
      <c r="T577">
        <v>-0.27356760000000002</v>
      </c>
      <c r="U577">
        <v>-0.67166139999999996</v>
      </c>
      <c r="V577">
        <v>2.2047109999999998E-3</v>
      </c>
      <c r="W577">
        <v>-6.0165959999999999E-3</v>
      </c>
      <c r="X577">
        <v>0.99997950000000002</v>
      </c>
      <c r="Y577">
        <v>0.20009389999999999</v>
      </c>
      <c r="Z577">
        <v>-8.8169689999999992E-3</v>
      </c>
      <c r="AA577">
        <v>0.97973699999999997</v>
      </c>
      <c r="AB577">
        <v>34</v>
      </c>
      <c r="AC577">
        <v>11.938800000000001</v>
      </c>
      <c r="AD577">
        <v>-1.1096651916110001</v>
      </c>
      <c r="AE577">
        <v>-2.72160000000002</v>
      </c>
      <c r="AF577">
        <v>2.4713361094199802</v>
      </c>
      <c r="AG577">
        <v>-1.1096651916110001</v>
      </c>
      <c r="AH577">
        <v>11.8912507279642</v>
      </c>
      <c r="AI577">
        <v>95.220363317197496</v>
      </c>
      <c r="AJ577">
        <v>78.259457158052498</v>
      </c>
      <c r="AK577">
        <v>12.195929766873199</v>
      </c>
      <c r="AL577">
        <v>90.3447276272354</v>
      </c>
      <c r="AM577">
        <v>89.873676979710794</v>
      </c>
      <c r="AN577">
        <v>1.0000000302991301</v>
      </c>
    </row>
    <row r="578" spans="1:40" x14ac:dyDescent="0.25">
      <c r="A578" t="str">
        <f>"20190305135805559"</f>
        <v>20190305135805559</v>
      </c>
      <c r="B578" t="str">
        <f>"1551765485549567"</f>
        <v>1551765485549567</v>
      </c>
      <c r="C578" t="s">
        <v>40</v>
      </c>
      <c r="D578">
        <v>4.1669510000000001</v>
      </c>
      <c r="E578">
        <v>0.57381139999999997</v>
      </c>
      <c r="F578" t="s">
        <v>42</v>
      </c>
      <c r="G578">
        <v>-324.57799999999997</v>
      </c>
      <c r="H578" s="1">
        <v>-3.010216E-6</v>
      </c>
      <c r="I578">
        <v>365.65960000000001</v>
      </c>
      <c r="J578">
        <v>-335.96620000000001</v>
      </c>
      <c r="K578">
        <v>1.1096459999999999</v>
      </c>
      <c r="L578">
        <v>368.25170000000003</v>
      </c>
      <c r="M578">
        <v>0.99973789999999996</v>
      </c>
      <c r="N578">
        <v>-1.250914E-2</v>
      </c>
      <c r="O578">
        <v>-1.9181130000000001E-2</v>
      </c>
      <c r="P578">
        <v>0.99956579999999995</v>
      </c>
      <c r="Q578">
        <v>-2.1649399999999999E-2</v>
      </c>
      <c r="R578">
        <v>-1.9995269999999999E-2</v>
      </c>
      <c r="S578">
        <v>2.981598</v>
      </c>
      <c r="T578">
        <v>-0.28600510000000001</v>
      </c>
      <c r="U578">
        <v>-0.66894529999999996</v>
      </c>
      <c r="V578">
        <v>8.1839779999999995E-4</v>
      </c>
      <c r="W578">
        <v>-9.141405E-3</v>
      </c>
      <c r="X578">
        <v>0.99995789999999996</v>
      </c>
      <c r="Y578">
        <v>0.1992332</v>
      </c>
      <c r="Z578">
        <v>-9.1063949999999998E-3</v>
      </c>
      <c r="AA578">
        <v>0.97990980000000005</v>
      </c>
      <c r="AB578">
        <v>34</v>
      </c>
      <c r="AC578">
        <v>11.388199999999999</v>
      </c>
      <c r="AD578">
        <v>-1.1096490102159999</v>
      </c>
      <c r="AE578">
        <v>-2.5921000000000101</v>
      </c>
      <c r="AF578">
        <v>2.3519374087692202</v>
      </c>
      <c r="AG578">
        <v>-1.1096490102159999</v>
      </c>
      <c r="AH578">
        <v>11.3335244898591</v>
      </c>
      <c r="AI578">
        <v>95.475987954797901</v>
      </c>
      <c r="AJ578">
        <v>78.276359063207096</v>
      </c>
      <c r="AK578">
        <v>11.628056925509</v>
      </c>
      <c r="AL578">
        <v>90.523771210694804</v>
      </c>
      <c r="AM578">
        <v>89.953107296384005</v>
      </c>
      <c r="AN578">
        <v>1.00000001841637</v>
      </c>
    </row>
    <row r="579" spans="1:40" x14ac:dyDescent="0.25">
      <c r="A579" t="str">
        <f>"20190305135805577"</f>
        <v>20190305135805577</v>
      </c>
      <c r="B579" t="str">
        <f>"1551765485569086"</f>
        <v>1551765485569086</v>
      </c>
      <c r="C579" t="s">
        <v>40</v>
      </c>
      <c r="D579">
        <v>4.1333260000000003</v>
      </c>
      <c r="E579">
        <v>0.57403289999999996</v>
      </c>
      <c r="F579" t="s">
        <v>42</v>
      </c>
      <c r="G579">
        <v>-324.7946</v>
      </c>
      <c r="H579" s="1">
        <v>-2.9003469999999998E-6</v>
      </c>
      <c r="I579">
        <v>365.75510000000003</v>
      </c>
      <c r="J579">
        <v>-335.68799999999999</v>
      </c>
      <c r="K579">
        <v>1.1096280000000001</v>
      </c>
      <c r="L579">
        <v>368.24639999999999</v>
      </c>
      <c r="M579">
        <v>0.99973889999999999</v>
      </c>
      <c r="N579">
        <v>-1.2508689999999999E-2</v>
      </c>
      <c r="O579">
        <v>-1.9124140000000001E-2</v>
      </c>
      <c r="P579">
        <v>0.99949560000000004</v>
      </c>
      <c r="Q579">
        <v>-2.664762E-2</v>
      </c>
      <c r="R579">
        <v>-1.728797E-2</v>
      </c>
      <c r="S579">
        <v>2.9815670000000001</v>
      </c>
      <c r="T579">
        <v>-0.29615130000000001</v>
      </c>
      <c r="U579">
        <v>-0.6662903</v>
      </c>
      <c r="V579">
        <v>-1.829266E-3</v>
      </c>
      <c r="W579">
        <v>-1.4141519999999999E-2</v>
      </c>
      <c r="X579">
        <v>0.99989830000000002</v>
      </c>
      <c r="Y579">
        <v>0.19840250000000001</v>
      </c>
      <c r="Z579">
        <v>-9.3347259999999998E-3</v>
      </c>
      <c r="AA579">
        <v>0.98007619999999895</v>
      </c>
      <c r="AB579">
        <v>34</v>
      </c>
      <c r="AC579">
        <v>10.8934</v>
      </c>
      <c r="AD579">
        <v>-1.109630900347</v>
      </c>
      <c r="AE579">
        <v>-2.4912999999999599</v>
      </c>
      <c r="AF579">
        <v>2.26021475194882</v>
      </c>
      <c r="AG579">
        <v>-1.109630900347</v>
      </c>
      <c r="AH579">
        <v>10.832246137200199</v>
      </c>
      <c r="AI579">
        <v>95.726367835564901</v>
      </c>
      <c r="AJ579">
        <v>78.213985680246694</v>
      </c>
      <c r="AK579">
        <v>11.121034476919</v>
      </c>
      <c r="AL579">
        <v>90.810276444949196</v>
      </c>
      <c r="AM579">
        <v>90.104819764648596</v>
      </c>
      <c r="AN579">
        <v>0.99999996957244897</v>
      </c>
    </row>
    <row r="580" spans="1:40" x14ac:dyDescent="0.25">
      <c r="A580" t="str">
        <f>"20190305135805590"</f>
        <v>20190305135805590</v>
      </c>
      <c r="B580" t="str">
        <f>"1551765485579822"</f>
        <v>1551765485579822</v>
      </c>
      <c r="C580" t="s">
        <v>40</v>
      </c>
      <c r="D580">
        <v>4.156307</v>
      </c>
      <c r="E580">
        <v>0.57443180000000005</v>
      </c>
      <c r="F580" t="s">
        <v>41</v>
      </c>
      <c r="G580">
        <v>-334.96280000000002</v>
      </c>
      <c r="H580">
        <v>1.034397</v>
      </c>
      <c r="I580">
        <v>368.08550000000002</v>
      </c>
      <c r="J580">
        <v>-335.50259999999997</v>
      </c>
      <c r="K580">
        <v>1.1096159999999999</v>
      </c>
      <c r="L580">
        <v>368.24290000000002</v>
      </c>
      <c r="M580">
        <v>0.99973959999999995</v>
      </c>
      <c r="N580">
        <v>-1.2508379999999999E-2</v>
      </c>
      <c r="O580">
        <v>-1.9086470000000001E-2</v>
      </c>
      <c r="P580">
        <v>0.99943660000000001</v>
      </c>
      <c r="Q580">
        <v>-2.9575600000000001E-2</v>
      </c>
      <c r="R580">
        <v>-1.586597E-2</v>
      </c>
      <c r="S580">
        <v>2.9818419999999999</v>
      </c>
      <c r="T580">
        <v>-0.30963610000000003</v>
      </c>
      <c r="U580">
        <v>-0.65948490000000004</v>
      </c>
      <c r="V580">
        <v>-3.211804E-3</v>
      </c>
      <c r="W580">
        <v>-1.7070809999999999E-2</v>
      </c>
      <c r="X580">
        <v>0.99984910000000005</v>
      </c>
      <c r="Y580">
        <v>0.19621569999999999</v>
      </c>
      <c r="Z580">
        <v>-9.5686969999999993E-3</v>
      </c>
      <c r="AA580">
        <v>0.980514</v>
      </c>
      <c r="AB580">
        <v>34</v>
      </c>
      <c r="AC580">
        <v>0.53979999999995698</v>
      </c>
      <c r="AD580">
        <v>-7.5218999999999897E-2</v>
      </c>
      <c r="AE580">
        <v>-0.15739999999999499</v>
      </c>
      <c r="AF580">
        <v>0.14448202670517801</v>
      </c>
      <c r="AG580">
        <v>-7.5218999999999897E-2</v>
      </c>
      <c r="AH580">
        <v>0.53316471728020998</v>
      </c>
      <c r="AI580">
        <v>97.7542169437084</v>
      </c>
      <c r="AJ580">
        <v>74.837597401402704</v>
      </c>
      <c r="AK580">
        <v>0.55749221497194201</v>
      </c>
      <c r="AL580">
        <v>90.978132900454497</v>
      </c>
      <c r="AM580">
        <v>90.1840499540004</v>
      </c>
      <c r="AN580">
        <v>0.99999997550489905</v>
      </c>
    </row>
    <row r="581" spans="1:40" x14ac:dyDescent="0.25">
      <c r="A581" t="str">
        <f>"20190305135805603"</f>
        <v>20190305135805603</v>
      </c>
      <c r="B581" t="str">
        <f>"1551765485599343"</f>
        <v>1551765485599343</v>
      </c>
      <c r="C581" t="s">
        <v>40</v>
      </c>
      <c r="D581">
        <v>4.1578119999999998</v>
      </c>
      <c r="E581">
        <v>0.57479309999999995</v>
      </c>
      <c r="F581" t="s">
        <v>41</v>
      </c>
      <c r="G581">
        <v>-334.66930000000002</v>
      </c>
      <c r="H581">
        <v>1.022303</v>
      </c>
      <c r="I581">
        <v>368.05880000000002</v>
      </c>
      <c r="J581">
        <v>-335.31779999999998</v>
      </c>
      <c r="K581">
        <v>1.1096010000000001</v>
      </c>
      <c r="L581">
        <v>368.23939999999999</v>
      </c>
      <c r="M581">
        <v>0.99974030000000003</v>
      </c>
      <c r="N581">
        <v>-1.250807E-2</v>
      </c>
      <c r="O581">
        <v>-1.9048320000000001E-2</v>
      </c>
      <c r="P581">
        <v>0.99935969999999996</v>
      </c>
      <c r="Q581">
        <v>-3.304986E-2</v>
      </c>
      <c r="R581">
        <v>-1.371093E-2</v>
      </c>
      <c r="S581">
        <v>2.9819640000000001</v>
      </c>
      <c r="T581">
        <v>-0.31276730000000003</v>
      </c>
      <c r="U581">
        <v>-0.65759279999999998</v>
      </c>
      <c r="V581">
        <v>-5.3268539999999998E-3</v>
      </c>
      <c r="W581">
        <v>-2.0546829999999999E-2</v>
      </c>
      <c r="X581">
        <v>0.99977470000000002</v>
      </c>
      <c r="Y581">
        <v>0.19563469999999999</v>
      </c>
      <c r="Z581">
        <v>-9.619977E-3</v>
      </c>
      <c r="AA581">
        <v>0.98062959999999999</v>
      </c>
      <c r="AB581">
        <v>34</v>
      </c>
      <c r="AC581">
        <v>0.648499999999955</v>
      </c>
      <c r="AD581">
        <v>-8.7298000000000098E-2</v>
      </c>
      <c r="AE581">
        <v>-0.18059999999996901</v>
      </c>
      <c r="AF581">
        <v>0.16543136455236801</v>
      </c>
      <c r="AG581">
        <v>-8.7298000000000098E-2</v>
      </c>
      <c r="AH581">
        <v>0.64104230187094802</v>
      </c>
      <c r="AI581">
        <v>97.511756514037003</v>
      </c>
      <c r="AJ581">
        <v>75.529614299844994</v>
      </c>
      <c r="AK581">
        <v>0.66777519418563502</v>
      </c>
      <c r="AL581">
        <v>91.177329491552698</v>
      </c>
      <c r="AM581">
        <v>90.305272142063401</v>
      </c>
      <c r="AN581">
        <v>0.99999999917833804</v>
      </c>
    </row>
    <row r="582" spans="1:40" x14ac:dyDescent="0.25">
      <c r="A582" t="str">
        <f>"20190305135805613"</f>
        <v>20190305135805613</v>
      </c>
      <c r="B582" t="str">
        <f>"1551765485609104"</f>
        <v>1551765485609104</v>
      </c>
      <c r="C582" t="s">
        <v>40</v>
      </c>
      <c r="D582">
        <v>4.1774829999999996</v>
      </c>
      <c r="E582">
        <v>0.57512240000000003</v>
      </c>
      <c r="F582" t="s">
        <v>41</v>
      </c>
      <c r="G582">
        <v>-334.37610000000001</v>
      </c>
      <c r="H582">
        <v>1.0077750000000001</v>
      </c>
      <c r="I582">
        <v>368.03289999999998</v>
      </c>
      <c r="J582">
        <v>-335.1506</v>
      </c>
      <c r="K582">
        <v>1.109588</v>
      </c>
      <c r="L582">
        <v>368.2362</v>
      </c>
      <c r="M582">
        <v>0.99974099999999999</v>
      </c>
      <c r="N582">
        <v>-1.250779E-2</v>
      </c>
      <c r="O582">
        <v>-1.9013260000000001E-2</v>
      </c>
      <c r="P582">
        <v>0.99926990000000004</v>
      </c>
      <c r="Q582">
        <v>-3.645669E-2</v>
      </c>
      <c r="R582">
        <v>-1.141578E-2</v>
      </c>
      <c r="S582">
        <v>2.9823</v>
      </c>
      <c r="T582">
        <v>-0.32251790000000002</v>
      </c>
      <c r="U582">
        <v>-0.65365600000000001</v>
      </c>
      <c r="V582">
        <v>-7.5840550000000001E-3</v>
      </c>
      <c r="W582">
        <v>-2.3955609999999999E-2</v>
      </c>
      <c r="X582">
        <v>0.99968429999999997</v>
      </c>
      <c r="Y582">
        <v>0.19435559999999999</v>
      </c>
      <c r="Z582">
        <v>-9.7997129999999998E-3</v>
      </c>
      <c r="AA582">
        <v>0.98088220000000004</v>
      </c>
      <c r="AB582">
        <v>34</v>
      </c>
      <c r="AC582">
        <v>0.77449999999998898</v>
      </c>
      <c r="AD582">
        <v>-0.101812999999999</v>
      </c>
      <c r="AE582">
        <v>-0.203300000000012</v>
      </c>
      <c r="AF582">
        <v>0.18553677484429601</v>
      </c>
      <c r="AG582">
        <v>-0.101812999999999</v>
      </c>
      <c r="AH582">
        <v>0.76584437090503099</v>
      </c>
      <c r="AI582">
        <v>97.362090510721202</v>
      </c>
      <c r="AJ582">
        <v>76.381659086374498</v>
      </c>
      <c r="AK582">
        <v>0.79454853988635998</v>
      </c>
      <c r="AL582">
        <v>91.372686599952999</v>
      </c>
      <c r="AM582">
        <v>90.434663230135698</v>
      </c>
      <c r="AN582">
        <v>1.0000000444035999</v>
      </c>
    </row>
    <row r="583" spans="1:40" x14ac:dyDescent="0.25">
      <c r="A583" t="str">
        <f>"20190305135805625"</f>
        <v>20190305135805625</v>
      </c>
      <c r="B583" t="str">
        <f>"1551765485618862"</f>
        <v>1551765485618862</v>
      </c>
      <c r="C583" t="s">
        <v>40</v>
      </c>
      <c r="D583">
        <v>4.180517</v>
      </c>
      <c r="E583">
        <v>0.57525930000000003</v>
      </c>
      <c r="F583" t="s">
        <v>41</v>
      </c>
      <c r="G583">
        <v>-334.37049999999999</v>
      </c>
      <c r="H583">
        <v>1.024429</v>
      </c>
      <c r="I583">
        <v>368.06670000000003</v>
      </c>
      <c r="J583">
        <v>-334.98750000000001</v>
      </c>
      <c r="K583">
        <v>1.1095839999999999</v>
      </c>
      <c r="L583">
        <v>368.23320000000001</v>
      </c>
      <c r="M583">
        <v>0.99974169999999996</v>
      </c>
      <c r="N583">
        <v>-1.2507509999999999E-2</v>
      </c>
      <c r="O583">
        <v>-1.897772E-2</v>
      </c>
      <c r="P583">
        <v>0.99921260000000001</v>
      </c>
      <c r="Q583">
        <v>-3.8566000000000003E-2</v>
      </c>
      <c r="R583">
        <v>-9.3288969999999992E-3</v>
      </c>
      <c r="S583">
        <v>2.9829409999999998</v>
      </c>
      <c r="T583">
        <v>-0.32572620000000002</v>
      </c>
      <c r="U583">
        <v>-0.64825440000000001</v>
      </c>
      <c r="V583">
        <v>-9.6342340000000002E-3</v>
      </c>
      <c r="W583">
        <v>-2.6066510000000001E-2</v>
      </c>
      <c r="X583">
        <v>0.9996138</v>
      </c>
      <c r="Y583">
        <v>0.19264029999999999</v>
      </c>
      <c r="Z583">
        <v>-9.7819780000000002E-3</v>
      </c>
      <c r="AA583">
        <v>0.98122069999999995</v>
      </c>
      <c r="AB583">
        <v>34</v>
      </c>
      <c r="AC583">
        <v>0.61700000000001798</v>
      </c>
      <c r="AD583">
        <v>-8.51549999999998E-2</v>
      </c>
      <c r="AE583">
        <v>-0.16649999999998499</v>
      </c>
      <c r="AF583">
        <v>0.152060003528902</v>
      </c>
      <c r="AG583">
        <v>-8.51549999999998E-2</v>
      </c>
      <c r="AH583">
        <v>0.60923194134792502</v>
      </c>
      <c r="AI583">
        <v>97.722995899573405</v>
      </c>
      <c r="AJ583">
        <v>75.985708447759293</v>
      </c>
      <c r="AK583">
        <v>0.63366961190889703</v>
      </c>
      <c r="AL583">
        <v>91.493670168307105</v>
      </c>
      <c r="AM583">
        <v>90.552197114693598</v>
      </c>
      <c r="AN583">
        <v>1.00000001527939</v>
      </c>
    </row>
    <row r="584" spans="1:40" x14ac:dyDescent="0.25">
      <c r="A584" t="str">
        <f>"20190305135805636"</f>
        <v>20190305135805636</v>
      </c>
      <c r="B584" t="str">
        <f>"1551765485629599"</f>
        <v>1551765485629599</v>
      </c>
      <c r="C584" t="s">
        <v>40</v>
      </c>
      <c r="D584">
        <v>4.139958</v>
      </c>
      <c r="E584">
        <v>0.57525930000000003</v>
      </c>
      <c r="F584" t="s">
        <v>41</v>
      </c>
      <c r="G584">
        <v>-334.07830000000001</v>
      </c>
      <c r="H584">
        <v>1.0087029999999999</v>
      </c>
      <c r="I584">
        <v>368.0369</v>
      </c>
      <c r="J584">
        <v>-334.80540000000002</v>
      </c>
      <c r="K584">
        <v>1.1095809999999999</v>
      </c>
      <c r="L584">
        <v>368.22980000000001</v>
      </c>
      <c r="M584">
        <v>0.99974260000000004</v>
      </c>
      <c r="N584">
        <v>-1.250721E-2</v>
      </c>
      <c r="O584">
        <v>-1.8937160000000001E-2</v>
      </c>
      <c r="P584">
        <v>0.99921599999999999</v>
      </c>
      <c r="Q584">
        <v>-3.886183E-2</v>
      </c>
      <c r="R584">
        <v>-7.5898340000000002E-3</v>
      </c>
      <c r="S584">
        <v>2.9835509999999998</v>
      </c>
      <c r="T584">
        <v>-0.33113300000000001</v>
      </c>
      <c r="U584">
        <v>-0.64327999999999996</v>
      </c>
      <c r="V584">
        <v>-1.133197E-2</v>
      </c>
      <c r="W584">
        <v>-2.636324E-2</v>
      </c>
      <c r="X584">
        <v>0.99958820000000004</v>
      </c>
      <c r="Y584">
        <v>0.1910502</v>
      </c>
      <c r="Z584">
        <v>-9.8258930000000005E-3</v>
      </c>
      <c r="AA584">
        <v>0.98153109999999999</v>
      </c>
      <c r="AB584">
        <v>34</v>
      </c>
      <c r="AC584">
        <v>0.72710000000000696</v>
      </c>
      <c r="AD584">
        <v>-0.100877999999999</v>
      </c>
      <c r="AE584">
        <v>-0.19290000000000801</v>
      </c>
      <c r="AF584">
        <v>0.17593132602532999</v>
      </c>
      <c r="AG584">
        <v>-0.100877999999999</v>
      </c>
      <c r="AH584">
        <v>0.717716086667334</v>
      </c>
      <c r="AI584">
        <v>97.773549924331903</v>
      </c>
      <c r="AJ584">
        <v>76.226854962356498</v>
      </c>
      <c r="AK584">
        <v>0.745818063217903</v>
      </c>
      <c r="AL584">
        <v>91.510677410025494</v>
      </c>
      <c r="AM584">
        <v>90.649513711695604</v>
      </c>
      <c r="AN584">
        <v>1.0000000017733</v>
      </c>
    </row>
    <row r="585" spans="1:40" x14ac:dyDescent="0.25">
      <c r="A585" t="str">
        <f>"20190305135805648"</f>
        <v>20190305135805648</v>
      </c>
      <c r="B585" t="str">
        <f>"1551765485639360"</f>
        <v>1551765485639360</v>
      </c>
      <c r="C585" t="s">
        <v>40</v>
      </c>
      <c r="D585">
        <v>4.0755019999999904</v>
      </c>
      <c r="E585">
        <v>0.57539890000000005</v>
      </c>
      <c r="F585" t="s">
        <v>41</v>
      </c>
      <c r="G585">
        <v>-334.07</v>
      </c>
      <c r="H585">
        <v>1.027944</v>
      </c>
      <c r="I585">
        <v>368.07229999999998</v>
      </c>
      <c r="J585">
        <v>-334.6454</v>
      </c>
      <c r="K585">
        <v>1.109586</v>
      </c>
      <c r="L585">
        <v>368.22680000000003</v>
      </c>
      <c r="M585">
        <v>0.9997433</v>
      </c>
      <c r="N585">
        <v>-1.2506939999999999E-2</v>
      </c>
      <c r="O585">
        <v>-1.889681E-2</v>
      </c>
      <c r="P585">
        <v>0.99926709999999996</v>
      </c>
      <c r="Q585">
        <v>-3.7753210000000002E-2</v>
      </c>
      <c r="R585">
        <v>-6.3566739999999997E-3</v>
      </c>
      <c r="S585">
        <v>2.9846499999999998</v>
      </c>
      <c r="T585">
        <v>-0.3314357</v>
      </c>
      <c r="U585">
        <v>-0.63806149999999995</v>
      </c>
      <c r="V585">
        <v>-1.252583E-2</v>
      </c>
      <c r="W585">
        <v>-2.525488E-2</v>
      </c>
      <c r="X585">
        <v>0.99960260000000001</v>
      </c>
      <c r="Y585">
        <v>0.18938369999999999</v>
      </c>
      <c r="Z585">
        <v>-9.7339120000000008E-3</v>
      </c>
      <c r="AA585">
        <v>0.98185489999999997</v>
      </c>
      <c r="AB585">
        <v>34</v>
      </c>
      <c r="AC585">
        <v>0.57540000000000102</v>
      </c>
      <c r="AD585">
        <v>-8.1641999999999895E-2</v>
      </c>
      <c r="AE585">
        <v>-0.15450000000004099</v>
      </c>
      <c r="AF585">
        <v>0.14095152118147999</v>
      </c>
      <c r="AG585">
        <v>-8.1641999999999895E-2</v>
      </c>
      <c r="AH585">
        <v>0.56755929545178896</v>
      </c>
      <c r="AI585">
        <v>97.947509908941797</v>
      </c>
      <c r="AJ585">
        <v>76.052941986646104</v>
      </c>
      <c r="AK585">
        <v>0.59047125361113395</v>
      </c>
      <c r="AL585">
        <v>91.447151852509293</v>
      </c>
      <c r="AM585">
        <v>90.717924937297298</v>
      </c>
      <c r="AN585">
        <v>1.00000003165388</v>
      </c>
    </row>
    <row r="586" spans="1:40" x14ac:dyDescent="0.25">
      <c r="A586" t="str">
        <f>"20190305135805658"</f>
        <v>20190305135805658</v>
      </c>
      <c r="B586" t="str">
        <f>"1551765485649119"</f>
        <v>1551765485649119</v>
      </c>
      <c r="C586" t="s">
        <v>40</v>
      </c>
      <c r="D586">
        <v>4.5452519999999996</v>
      </c>
      <c r="E586">
        <v>0.57539890000000005</v>
      </c>
      <c r="F586" t="s">
        <v>43</v>
      </c>
      <c r="G586">
        <v>-310.36959999999999</v>
      </c>
      <c r="H586">
        <v>-0.05</v>
      </c>
      <c r="I586">
        <v>363.1669</v>
      </c>
      <c r="J586">
        <v>-334.47750000000002</v>
      </c>
      <c r="K586">
        <v>1.1095889999999999</v>
      </c>
      <c r="L586">
        <v>368.22359999999998</v>
      </c>
      <c r="M586">
        <v>0.99974410000000002</v>
      </c>
      <c r="N586">
        <v>-1.2506639999999999E-2</v>
      </c>
      <c r="O586">
        <v>-1.8853370000000001E-2</v>
      </c>
      <c r="P586">
        <v>0.99931130000000001</v>
      </c>
      <c r="Q586">
        <v>-3.6766380000000001E-2</v>
      </c>
      <c r="R586">
        <v>-5.0699810000000003E-3</v>
      </c>
      <c r="S586">
        <v>2.9928279999999998</v>
      </c>
      <c r="T586">
        <v>-0.1429589</v>
      </c>
      <c r="U586">
        <v>-0.62380979999999997</v>
      </c>
      <c r="V586">
        <v>-1.376925E-2</v>
      </c>
      <c r="W586">
        <v>-2.4268439999999999E-2</v>
      </c>
      <c r="X586">
        <v>0.99961069999999996</v>
      </c>
      <c r="Y586">
        <v>0.1853091</v>
      </c>
      <c r="Z586">
        <v>-4.8916339999999997E-3</v>
      </c>
      <c r="AA586">
        <v>0.98266810000000004</v>
      </c>
      <c r="AB586">
        <v>34</v>
      </c>
      <c r="AC586">
        <v>24.107900000000001</v>
      </c>
      <c r="AD586">
        <v>-1.159589</v>
      </c>
      <c r="AE586">
        <v>-5.05669999999997</v>
      </c>
      <c r="AF586">
        <v>4.59107608902612</v>
      </c>
      <c r="AG586">
        <v>-1.159589</v>
      </c>
      <c r="AH586">
        <v>24.145448797700698</v>
      </c>
      <c r="AI586">
        <v>92.701203600877406</v>
      </c>
      <c r="AJ586">
        <v>79.234152734862903</v>
      </c>
      <c r="AK586">
        <v>24.605392172175002</v>
      </c>
      <c r="AL586">
        <v>91.390615642110305</v>
      </c>
      <c r="AM586">
        <v>90.789177247901605</v>
      </c>
      <c r="AN586">
        <v>1.0000000504900399</v>
      </c>
    </row>
    <row r="587" spans="1:40" x14ac:dyDescent="0.25">
      <c r="A587" t="str">
        <f>"20190305135805670"</f>
        <v>20190305135805670</v>
      </c>
      <c r="B587" t="str">
        <f>"1551765485658879"</f>
        <v>1551765485658879</v>
      </c>
      <c r="C587" t="s">
        <v>40</v>
      </c>
      <c r="D587">
        <v>4.1582809999999997</v>
      </c>
      <c r="E587">
        <v>0.51848459999999996</v>
      </c>
      <c r="F587" t="s">
        <v>43</v>
      </c>
      <c r="G587">
        <v>-309.69749999999999</v>
      </c>
      <c r="H587">
        <v>-0.05</v>
      </c>
      <c r="I587">
        <v>363.09390000000002</v>
      </c>
      <c r="J587">
        <v>-334.29849999999999</v>
      </c>
      <c r="K587">
        <v>1.10959599999999</v>
      </c>
      <c r="L587">
        <v>368.22030000000001</v>
      </c>
      <c r="M587">
        <v>0.99974499999999999</v>
      </c>
      <c r="N587">
        <v>-1.250633E-2</v>
      </c>
      <c r="O587">
        <v>-1.8799150000000001E-2</v>
      </c>
      <c r="P587">
        <v>0.99935399999999996</v>
      </c>
      <c r="Q587">
        <v>-3.570839E-2</v>
      </c>
      <c r="R587">
        <v>-4.0897169999999997E-3</v>
      </c>
      <c r="S587">
        <v>2.993805</v>
      </c>
      <c r="T587">
        <v>-0.1400961</v>
      </c>
      <c r="U587">
        <v>-0.61975100000000005</v>
      </c>
      <c r="V587">
        <v>-1.469575E-2</v>
      </c>
      <c r="W587">
        <v>-2.3210890000000001E-2</v>
      </c>
      <c r="X587">
        <v>0.99962260000000003</v>
      </c>
      <c r="Y587">
        <v>0.18403130000000001</v>
      </c>
      <c r="Z587">
        <v>-4.7852629999999997E-3</v>
      </c>
      <c r="AA587">
        <v>0.98290869999999997</v>
      </c>
      <c r="AB587">
        <v>33</v>
      </c>
      <c r="AC587">
        <v>24.600999999999999</v>
      </c>
      <c r="AD587">
        <v>-1.1595959999999901</v>
      </c>
      <c r="AE587">
        <v>-5.1263999999999896</v>
      </c>
      <c r="AF587">
        <v>4.6530718053207796</v>
      </c>
      <c r="AG587">
        <v>-1.1595959999999901</v>
      </c>
      <c r="AH587">
        <v>24.640562908098602</v>
      </c>
      <c r="AI587">
        <v>92.647651893584296</v>
      </c>
      <c r="AJ587">
        <v>79.3063108787793</v>
      </c>
      <c r="AK587">
        <v>25.102850048085202</v>
      </c>
      <c r="AL587">
        <v>91.330005441174706</v>
      </c>
      <c r="AM587">
        <v>90.8422616689042</v>
      </c>
      <c r="AN587">
        <v>1.0000000264566999</v>
      </c>
    </row>
    <row r="588" spans="1:40" x14ac:dyDescent="0.25">
      <c r="A588" t="str">
        <f>"20190305135805689"</f>
        <v>20190305135805689</v>
      </c>
      <c r="B588" t="str">
        <f>"1551765485679374"</f>
        <v>1551765485679374</v>
      </c>
      <c r="C588" t="s">
        <v>40</v>
      </c>
      <c r="D588">
        <v>4.1200390000000002</v>
      </c>
      <c r="E588">
        <v>0.49843349999999997</v>
      </c>
      <c r="F588" t="s">
        <v>41</v>
      </c>
      <c r="G588">
        <v>-333.45780000000002</v>
      </c>
      <c r="H588">
        <v>1.047499</v>
      </c>
      <c r="I588">
        <v>368.17340000000002</v>
      </c>
      <c r="J588">
        <v>-334.03219999999999</v>
      </c>
      <c r="K588">
        <v>1.1096010000000001</v>
      </c>
      <c r="L588">
        <v>368.21539999999999</v>
      </c>
      <c r="M588">
        <v>0.99974680000000005</v>
      </c>
      <c r="N588">
        <v>-1.250591E-2</v>
      </c>
      <c r="O588">
        <v>-1.871053E-2</v>
      </c>
      <c r="P588">
        <v>0.9993187</v>
      </c>
      <c r="Q588">
        <v>-3.68483E-2</v>
      </c>
      <c r="R588">
        <v>-2.0606560000000001E-3</v>
      </c>
      <c r="S588">
        <v>2.9933169999999998</v>
      </c>
      <c r="T588">
        <v>-0.22106619999999999</v>
      </c>
      <c r="U588">
        <v>-0.16723629999999901</v>
      </c>
      <c r="V588">
        <v>-1.6634309999999999E-2</v>
      </c>
      <c r="W588">
        <v>-2.4352800000000001E-2</v>
      </c>
      <c r="X588">
        <v>0.99956500000000004</v>
      </c>
      <c r="Y588">
        <v>3.7007770000000002E-2</v>
      </c>
      <c r="Z588">
        <v>-4.5057229999999999E-4</v>
      </c>
      <c r="AA588">
        <v>0.99931490000000001</v>
      </c>
      <c r="AB588">
        <v>33</v>
      </c>
      <c r="AC588">
        <v>0.57439999999996805</v>
      </c>
      <c r="AD588">
        <v>-6.2102000000000102E-2</v>
      </c>
      <c r="AE588">
        <v>-4.1999999999973101E-2</v>
      </c>
      <c r="AF588">
        <v>3.08853749504415E-2</v>
      </c>
      <c r="AG588">
        <v>-6.2102000000000102E-2</v>
      </c>
      <c r="AH588">
        <v>0.56847568547668004</v>
      </c>
      <c r="AI588">
        <v>96.2253328205977</v>
      </c>
      <c r="AJ588">
        <v>86.890168558565193</v>
      </c>
      <c r="AK588">
        <v>0.57269116438793599</v>
      </c>
      <c r="AL588">
        <v>91.395450649273201</v>
      </c>
      <c r="AM588">
        <v>90.953402520858106</v>
      </c>
      <c r="AN588">
        <v>0.99999997418100695</v>
      </c>
    </row>
    <row r="589" spans="1:40" x14ac:dyDescent="0.25">
      <c r="A589" t="str">
        <f>"20190305135805699"</f>
        <v>20190305135805699</v>
      </c>
      <c r="B589" t="str">
        <f>"1551765485689135"</f>
        <v>1551765485689135</v>
      </c>
      <c r="C589" t="s">
        <v>40</v>
      </c>
      <c r="D589">
        <v>4.1192769999999896</v>
      </c>
      <c r="E589">
        <v>0.4953206</v>
      </c>
      <c r="F589" t="s">
        <v>43</v>
      </c>
      <c r="G589">
        <v>-314.52289999999999</v>
      </c>
      <c r="H589">
        <v>-0.05</v>
      </c>
      <c r="I589">
        <v>368.22669999999999</v>
      </c>
      <c r="J589">
        <v>-333.86680000000001</v>
      </c>
      <c r="K589">
        <v>1.109605</v>
      </c>
      <c r="L589">
        <v>368.2124</v>
      </c>
      <c r="M589">
        <v>0.99974790000000002</v>
      </c>
      <c r="N589">
        <v>-1.250565E-2</v>
      </c>
      <c r="O589">
        <v>-1.8650079999999999E-2</v>
      </c>
      <c r="P589">
        <v>0.99927600000000005</v>
      </c>
      <c r="Q589">
        <v>-3.8029920000000002E-2</v>
      </c>
      <c r="R589">
        <v>-1.2079219999999999E-3</v>
      </c>
      <c r="S589">
        <v>2.9954830000000001</v>
      </c>
      <c r="T589">
        <v>-0.1780466</v>
      </c>
      <c r="U589">
        <v>1.739502E-3</v>
      </c>
      <c r="V589">
        <v>-1.7425469999999998E-2</v>
      </c>
      <c r="W589">
        <v>-2.5535800000000001E-2</v>
      </c>
      <c r="X589">
        <v>0.99952200000000002</v>
      </c>
      <c r="Y589">
        <v>-1.9170670000000001E-2</v>
      </c>
      <c r="Z589">
        <v>1.5636549999999999E-3</v>
      </c>
      <c r="AA589">
        <v>0.99981500000000001</v>
      </c>
      <c r="AB589">
        <v>33</v>
      </c>
      <c r="AC589">
        <v>19.343900000000001</v>
      </c>
      <c r="AD589">
        <v>-1.159605</v>
      </c>
      <c r="AE589">
        <v>1.42999999999915E-2</v>
      </c>
      <c r="AF589">
        <v>-0.37374788711257001</v>
      </c>
      <c r="AG589">
        <v>-1.159605</v>
      </c>
      <c r="AH589">
        <v>19.271015655411802</v>
      </c>
      <c r="AI589">
        <v>93.442891132904705</v>
      </c>
      <c r="AJ589">
        <v>91.1110723285326</v>
      </c>
      <c r="AK589">
        <v>19.309490299598099</v>
      </c>
      <c r="AL589">
        <v>91.463252656172301</v>
      </c>
      <c r="AM589">
        <v>90.998782172356101</v>
      </c>
      <c r="AN589">
        <v>0.99999997628518</v>
      </c>
    </row>
    <row r="590" spans="1:40" x14ac:dyDescent="0.25">
      <c r="A590" t="str">
        <f>"20190305135805711"</f>
        <v>20190305135805711</v>
      </c>
      <c r="B590" t="str">
        <f>"1551765485698895"</f>
        <v>1551765485698895</v>
      </c>
      <c r="C590" t="s">
        <v>40</v>
      </c>
      <c r="D590">
        <v>4.0372170000000001</v>
      </c>
      <c r="E590">
        <v>0.49417899999999998</v>
      </c>
      <c r="F590" t="s">
        <v>43</v>
      </c>
      <c r="G590">
        <v>-313.4221</v>
      </c>
      <c r="H590">
        <v>-0.05</v>
      </c>
      <c r="I590">
        <v>368.41820000000001</v>
      </c>
      <c r="J590">
        <v>-333.6891</v>
      </c>
      <c r="K590">
        <v>1.1096109999999999</v>
      </c>
      <c r="L590">
        <v>368.20909999999998</v>
      </c>
      <c r="M590">
        <v>0.99974929999999995</v>
      </c>
      <c r="N590">
        <v>-1.250538E-2</v>
      </c>
      <c r="O590">
        <v>-1.8574110000000001E-2</v>
      </c>
      <c r="P590">
        <v>0.9992434</v>
      </c>
      <c r="Q590">
        <v>-3.8887320000000003E-2</v>
      </c>
      <c r="R590">
        <v>-7.6832669999999997E-4</v>
      </c>
      <c r="S590">
        <v>2.9957889999999998</v>
      </c>
      <c r="T590">
        <v>-0.16991829999999999</v>
      </c>
      <c r="U590">
        <v>3.015137E-2</v>
      </c>
      <c r="V590">
        <v>-1.7787299999999999E-2</v>
      </c>
      <c r="W590">
        <v>-2.6394440000000002E-2</v>
      </c>
      <c r="X590">
        <v>0.99949339999999998</v>
      </c>
      <c r="Y590">
        <v>-2.8562779999999999E-2</v>
      </c>
      <c r="Z590">
        <v>1.8086109999999999E-3</v>
      </c>
      <c r="AA590">
        <v>0.99959030000000004</v>
      </c>
      <c r="AB590">
        <v>33</v>
      </c>
      <c r="AC590">
        <v>20.266999999999999</v>
      </c>
      <c r="AD590">
        <v>-1.1596109999999999</v>
      </c>
      <c r="AE590">
        <v>0.20910000000003401</v>
      </c>
      <c r="AF590">
        <v>-0.58362440099438795</v>
      </c>
      <c r="AG590">
        <v>-1.1596109999999999</v>
      </c>
      <c r="AH590">
        <v>20.193517445923501</v>
      </c>
      <c r="AI590">
        <v>93.285226942582398</v>
      </c>
      <c r="AJ590">
        <v>91.655477266357906</v>
      </c>
      <c r="AK590">
        <v>20.235203531261401</v>
      </c>
      <c r="AL590">
        <v>91.512465579232099</v>
      </c>
      <c r="AM590">
        <v>91.019546151528203</v>
      </c>
      <c r="AN590">
        <v>1.0000000555738799</v>
      </c>
    </row>
    <row r="591" spans="1:40" x14ac:dyDescent="0.25">
      <c r="A591" t="str">
        <f>"20190305135805723"</f>
        <v>20190305135805723</v>
      </c>
      <c r="B591" t="str">
        <f>"1551765485719391"</f>
        <v>1551765485719391</v>
      </c>
      <c r="C591" t="s">
        <v>40</v>
      </c>
      <c r="D591">
        <v>3.9848309999999998</v>
      </c>
      <c r="E591">
        <v>0.493842</v>
      </c>
      <c r="F591" t="s">
        <v>43</v>
      </c>
      <c r="G591">
        <v>-312.6474</v>
      </c>
      <c r="H591">
        <v>-0.05</v>
      </c>
      <c r="I591">
        <v>368.49740000000003</v>
      </c>
      <c r="J591">
        <v>-333.52010000000001</v>
      </c>
      <c r="K591">
        <v>1.1096220000000001</v>
      </c>
      <c r="L591">
        <v>368.20609999999999</v>
      </c>
      <c r="M591">
        <v>0.99975080000000005</v>
      </c>
      <c r="N591">
        <v>-1.250512E-2</v>
      </c>
      <c r="O591">
        <v>-1.8495859999999999E-2</v>
      </c>
      <c r="P591">
        <v>0.99924780000000002</v>
      </c>
      <c r="Q591">
        <v>-3.8778670000000001E-2</v>
      </c>
      <c r="R591">
        <v>-4.2371150000000002E-4</v>
      </c>
      <c r="S591">
        <v>2.9958800000000001</v>
      </c>
      <c r="T591">
        <v>-0.16510339999999901</v>
      </c>
      <c r="U591">
        <v>4.1046140000000002E-2</v>
      </c>
      <c r="V591">
        <v>-1.805329E-2</v>
      </c>
      <c r="W591">
        <v>-2.628664E-2</v>
      </c>
      <c r="X591">
        <v>0.99949140000000003</v>
      </c>
      <c r="Y591">
        <v>-3.2116230000000003E-2</v>
      </c>
      <c r="Z591">
        <v>1.8725860000000001E-3</v>
      </c>
      <c r="AA591">
        <v>0.99948239999999999</v>
      </c>
      <c r="AB591">
        <v>33</v>
      </c>
      <c r="AC591">
        <v>20.872699999999998</v>
      </c>
      <c r="AD591">
        <v>-1.1596219999999999</v>
      </c>
      <c r="AE591">
        <v>0.29130000000003498</v>
      </c>
      <c r="AF591">
        <v>-0.67525504749807896</v>
      </c>
      <c r="AG591">
        <v>-1.1596219999999999</v>
      </c>
      <c r="AH591">
        <v>20.799553925873798</v>
      </c>
      <c r="AI591">
        <v>93.189388430732095</v>
      </c>
      <c r="AJ591">
        <v>91.8594475930295</v>
      </c>
      <c r="AK591">
        <v>20.8427957836128</v>
      </c>
      <c r="AL591">
        <v>91.506287059019101</v>
      </c>
      <c r="AM591">
        <v>91.034791150530793</v>
      </c>
      <c r="AN591">
        <v>0.99999998369813603</v>
      </c>
    </row>
    <row r="592" spans="1:40" x14ac:dyDescent="0.25">
      <c r="A592" t="str">
        <f>"20190305135805734"</f>
        <v>20190305135805734</v>
      </c>
      <c r="B592" t="str">
        <f>"1551765485729151"</f>
        <v>1551765485729151</v>
      </c>
      <c r="C592" t="s">
        <v>40</v>
      </c>
      <c r="D592">
        <v>4.1825000000000001</v>
      </c>
      <c r="E592">
        <v>0.4948207</v>
      </c>
      <c r="F592" t="s">
        <v>43</v>
      </c>
      <c r="G592">
        <v>-311.14229999999998</v>
      </c>
      <c r="H592">
        <v>-0.05</v>
      </c>
      <c r="I592">
        <v>368.54559999999998</v>
      </c>
      <c r="J592">
        <v>-333.34730000000002</v>
      </c>
      <c r="K592">
        <v>1.1096330000000001</v>
      </c>
      <c r="L592">
        <v>368.2029</v>
      </c>
      <c r="M592">
        <v>0.99975250000000004</v>
      </c>
      <c r="N592">
        <v>-1.250486E-2</v>
      </c>
      <c r="O592">
        <v>-1.8407340000000001E-2</v>
      </c>
      <c r="P592">
        <v>0.99925070000000005</v>
      </c>
      <c r="Q592">
        <v>-3.8710649999999999E-2</v>
      </c>
      <c r="R592" s="1">
        <v>-3.15092E-5</v>
      </c>
      <c r="S592">
        <v>2.9962460000000002</v>
      </c>
      <c r="T592">
        <v>-0.15526599999999999</v>
      </c>
      <c r="U592">
        <v>4.5471190000000002E-2</v>
      </c>
      <c r="V592">
        <v>-1.8355960000000001E-2</v>
      </c>
      <c r="W592">
        <v>-2.6219550000000001E-2</v>
      </c>
      <c r="X592">
        <v>0.99948760000000003</v>
      </c>
      <c r="Y592">
        <v>-3.3508360000000001E-2</v>
      </c>
      <c r="Z592">
        <v>1.8003839999999999E-3</v>
      </c>
      <c r="AA592">
        <v>0.99943680000000001</v>
      </c>
      <c r="AB592">
        <v>33</v>
      </c>
      <c r="AC592">
        <v>22.204999999999998</v>
      </c>
      <c r="AD592">
        <v>-1.1596329999999999</v>
      </c>
      <c r="AE592">
        <v>0.34269999999997902</v>
      </c>
      <c r="AF592">
        <v>-0.74936553014462004</v>
      </c>
      <c r="AG592">
        <v>-1.1596329999999999</v>
      </c>
      <c r="AH592">
        <v>22.1345743689531</v>
      </c>
      <c r="AI592">
        <v>92.997276896049598</v>
      </c>
      <c r="AJ592">
        <v>91.939006782259796</v>
      </c>
      <c r="AK592">
        <v>22.1775940960054</v>
      </c>
      <c r="AL592">
        <v>91.502441833958699</v>
      </c>
      <c r="AM592">
        <v>91.052139933676202</v>
      </c>
      <c r="AN592">
        <v>0.99999993431173995</v>
      </c>
    </row>
    <row r="593" spans="1:40" x14ac:dyDescent="0.25">
      <c r="A593" t="str">
        <f>"20190305135805744"</f>
        <v>20190305135805744</v>
      </c>
      <c r="B593" t="str">
        <f>"1551765485738911"</f>
        <v>1551765485738911</v>
      </c>
      <c r="C593" t="s">
        <v>40</v>
      </c>
      <c r="D593">
        <v>3.9766520000000001</v>
      </c>
      <c r="E593">
        <v>0.49490729999999999</v>
      </c>
      <c r="F593" t="s">
        <v>43</v>
      </c>
      <c r="G593">
        <v>-311.24040000000002</v>
      </c>
      <c r="H593">
        <v>-0.05</v>
      </c>
      <c r="I593">
        <v>368.4871</v>
      </c>
      <c r="J593">
        <v>-333.19670000000002</v>
      </c>
      <c r="K593">
        <v>1.109645</v>
      </c>
      <c r="L593">
        <v>368.20030000000003</v>
      </c>
      <c r="M593">
        <v>0.99975400000000003</v>
      </c>
      <c r="N593">
        <v>-1.2504639999999999E-2</v>
      </c>
      <c r="O593">
        <v>-1.8320610000000001E-2</v>
      </c>
      <c r="P593">
        <v>0.99924760000000001</v>
      </c>
      <c r="Q593">
        <v>-3.8783640000000001E-2</v>
      </c>
      <c r="R593">
        <v>3.2194660000000003E-4</v>
      </c>
      <c r="S593">
        <v>2.996216</v>
      </c>
      <c r="T593">
        <v>-0.157169</v>
      </c>
      <c r="U593">
        <v>3.8513180000000001E-2</v>
      </c>
      <c r="V593">
        <v>-1.862186E-2</v>
      </c>
      <c r="W593">
        <v>-2.6293500000000001E-2</v>
      </c>
      <c r="X593">
        <v>0.99948079999999995</v>
      </c>
      <c r="Y593">
        <v>-3.1103680000000002E-2</v>
      </c>
      <c r="Z593">
        <v>1.7411779999999999E-3</v>
      </c>
      <c r="AA593">
        <v>0.99951460000000003</v>
      </c>
      <c r="AB593">
        <v>33</v>
      </c>
      <c r="AC593">
        <v>21.956299999999999</v>
      </c>
      <c r="AD593">
        <v>-1.159645</v>
      </c>
      <c r="AE593">
        <v>0.28679999999997102</v>
      </c>
      <c r="AF593">
        <v>-0.68711968760625197</v>
      </c>
      <c r="AG593">
        <v>-1.159645</v>
      </c>
      <c r="AH593">
        <v>21.8863173626467</v>
      </c>
      <c r="AI593">
        <v>93.031485918567896</v>
      </c>
      <c r="AJ593">
        <v>91.798207094736696</v>
      </c>
      <c r="AK593">
        <v>21.9277859732717</v>
      </c>
      <c r="AL593">
        <v>91.506680225902201</v>
      </c>
      <c r="AM593">
        <v>91.067384737864501</v>
      </c>
      <c r="AN593">
        <v>0.99999999569037401</v>
      </c>
    </row>
    <row r="594" spans="1:40" x14ac:dyDescent="0.25">
      <c r="A594" t="str">
        <f>"20190305135805756"</f>
        <v>20190305135805756</v>
      </c>
      <c r="B594" t="str">
        <f>"1551765485749647"</f>
        <v>1551765485749647</v>
      </c>
      <c r="C594" t="s">
        <v>40</v>
      </c>
      <c r="D594">
        <v>3.9958670000000001</v>
      </c>
      <c r="E594">
        <v>0.49500830000000001</v>
      </c>
      <c r="F594" t="s">
        <v>43</v>
      </c>
      <c r="G594">
        <v>-310.51920000000001</v>
      </c>
      <c r="H594">
        <v>-0.05</v>
      </c>
      <c r="I594">
        <v>368.4975</v>
      </c>
      <c r="J594">
        <v>-333.01900000000001</v>
      </c>
      <c r="K594">
        <v>1.1096509999999999</v>
      </c>
      <c r="L594">
        <v>368.19709999999998</v>
      </c>
      <c r="M594">
        <v>0.99975590000000003</v>
      </c>
      <c r="N594">
        <v>-1.2504390000000001E-2</v>
      </c>
      <c r="O594">
        <v>-1.8212019999999999E-2</v>
      </c>
      <c r="P594">
        <v>0.9992219</v>
      </c>
      <c r="Q594">
        <v>-3.9433169999999997E-2</v>
      </c>
      <c r="R594">
        <v>9.3967509999999998E-4</v>
      </c>
      <c r="S594">
        <v>2.9963380000000002</v>
      </c>
      <c r="T594">
        <v>-0.15322230000000001</v>
      </c>
      <c r="U594">
        <v>3.9276119999999998E-2</v>
      </c>
      <c r="V594">
        <v>-1.9129569999999999E-2</v>
      </c>
      <c r="W594">
        <v>-2.6944530000000001E-2</v>
      </c>
      <c r="X594">
        <v>0.99945390000000001</v>
      </c>
      <c r="Y594">
        <v>-3.1252219999999997E-2</v>
      </c>
      <c r="Z594">
        <v>1.6971E-3</v>
      </c>
      <c r="AA594">
        <v>0.99951009999999996</v>
      </c>
      <c r="AB594">
        <v>33</v>
      </c>
      <c r="AC594">
        <v>22.4998</v>
      </c>
      <c r="AD594">
        <v>-1.159651</v>
      </c>
      <c r="AE594">
        <v>0.30040000000002398</v>
      </c>
      <c r="AF594">
        <v>-0.70826791391827804</v>
      </c>
      <c r="AG594">
        <v>-1.159651</v>
      </c>
      <c r="AH594">
        <v>22.431020778098699</v>
      </c>
      <c r="AI594">
        <v>92.958001745766694</v>
      </c>
      <c r="AJ594">
        <v>91.8085348988878</v>
      </c>
      <c r="AK594">
        <v>22.472141131347101</v>
      </c>
      <c r="AL594">
        <v>91.543994677942806</v>
      </c>
      <c r="AM594">
        <v>91.096508615959294</v>
      </c>
      <c r="AN594">
        <v>1.0000000231852499</v>
      </c>
    </row>
    <row r="595" spans="1:40" x14ac:dyDescent="0.25">
      <c r="A595" t="str">
        <f>"20190305135805770"</f>
        <v>20190305135805770</v>
      </c>
      <c r="B595" t="str">
        <f>"1551765485759407"</f>
        <v>1551765485759407</v>
      </c>
      <c r="C595" t="s">
        <v>40</v>
      </c>
      <c r="D595">
        <v>3.9741599999999999</v>
      </c>
      <c r="E595">
        <v>0.49507079999999998</v>
      </c>
      <c r="F595" t="s">
        <v>43</v>
      </c>
      <c r="G595">
        <v>-309.98160000000001</v>
      </c>
      <c r="H595">
        <v>-0.05</v>
      </c>
      <c r="I595">
        <v>368.50779999999997</v>
      </c>
      <c r="J595">
        <v>-332.8159</v>
      </c>
      <c r="K595">
        <v>1.1096680000000001</v>
      </c>
      <c r="L595">
        <v>368.1936</v>
      </c>
      <c r="M595">
        <v>0.9997587</v>
      </c>
      <c r="N595">
        <v>-1.2504110000000001E-2</v>
      </c>
      <c r="O595">
        <v>-1.806868E-2</v>
      </c>
      <c r="P595">
        <v>0.99918759999999995</v>
      </c>
      <c r="Q595">
        <v>-4.0259950000000003E-2</v>
      </c>
      <c r="R595">
        <v>1.8423350000000001E-3</v>
      </c>
      <c r="S595">
        <v>2.9963069999999998</v>
      </c>
      <c r="T595">
        <v>-0.1508274</v>
      </c>
      <c r="U595">
        <v>4.040527E-2</v>
      </c>
      <c r="V595">
        <v>-1.988591E-2</v>
      </c>
      <c r="W595">
        <v>-2.777336E-2</v>
      </c>
      <c r="X595">
        <v>0.99941639999999998</v>
      </c>
      <c r="Y595">
        <v>-3.1487349999999997E-2</v>
      </c>
      <c r="Z595">
        <v>1.6720820000000001E-3</v>
      </c>
      <c r="AA595">
        <v>0.99950280000000002</v>
      </c>
      <c r="AB595">
        <v>33</v>
      </c>
      <c r="AC595">
        <v>22.834299999999899</v>
      </c>
      <c r="AD595">
        <v>-1.1596679999999999</v>
      </c>
      <c r="AE595">
        <v>0.314199999999971</v>
      </c>
      <c r="AF595">
        <v>-0.72489722594672601</v>
      </c>
      <c r="AG595">
        <v>-1.1596679999999999</v>
      </c>
      <c r="AH595">
        <v>22.766185686135699</v>
      </c>
      <c r="AI595">
        <v>92.914547715668306</v>
      </c>
      <c r="AJ595">
        <v>91.823736506097404</v>
      </c>
      <c r="AK595">
        <v>22.807225095438898</v>
      </c>
      <c r="AL595">
        <v>91.591500999039994</v>
      </c>
      <c r="AM595">
        <v>91.139893628070098</v>
      </c>
      <c r="AN595">
        <v>0.999999974765588</v>
      </c>
    </row>
    <row r="596" spans="1:40" x14ac:dyDescent="0.25">
      <c r="A596" t="str">
        <f>"20190305135805783"</f>
        <v>20190305135805783</v>
      </c>
      <c r="B596" t="str">
        <f>"1551765485778927"</f>
        <v>1551765485778927</v>
      </c>
      <c r="C596" t="s">
        <v>40</v>
      </c>
      <c r="D596">
        <v>3.966542</v>
      </c>
      <c r="E596">
        <v>0.49542900000000001</v>
      </c>
      <c r="F596" t="s">
        <v>43</v>
      </c>
      <c r="G596">
        <v>-309.63580000000002</v>
      </c>
      <c r="H596">
        <v>-0.05</v>
      </c>
      <c r="I596">
        <v>368.5258</v>
      </c>
      <c r="J596">
        <v>-332.6139</v>
      </c>
      <c r="K596">
        <v>1.1096870000000001</v>
      </c>
      <c r="L596">
        <v>368.19009999999997</v>
      </c>
      <c r="M596">
        <v>0.99976129999999996</v>
      </c>
      <c r="N596">
        <v>-1.250384E-2</v>
      </c>
      <c r="O596">
        <v>-1.7914369999999999E-2</v>
      </c>
      <c r="P596">
        <v>0.99916119999999997</v>
      </c>
      <c r="Q596">
        <v>-4.0877660000000003E-2</v>
      </c>
      <c r="R596">
        <v>2.431739E-3</v>
      </c>
      <c r="S596">
        <v>2.9963069999999998</v>
      </c>
      <c r="T596">
        <v>-0.14990139999999999</v>
      </c>
      <c r="U596">
        <v>4.2938230000000001E-2</v>
      </c>
      <c r="V596">
        <v>-2.0319230000000001E-2</v>
      </c>
      <c r="W596">
        <v>-2.8392899999999999E-2</v>
      </c>
      <c r="X596">
        <v>0.99939029999999995</v>
      </c>
      <c r="Y596">
        <v>-3.217764E-2</v>
      </c>
      <c r="Z596">
        <v>1.6774330000000001E-3</v>
      </c>
      <c r="AA596">
        <v>0.99948079999999995</v>
      </c>
      <c r="AB596">
        <v>33</v>
      </c>
      <c r="AC596">
        <v>22.978099999999898</v>
      </c>
      <c r="AD596">
        <v>-1.1596869999999999</v>
      </c>
      <c r="AE596">
        <v>0.33570000000003097</v>
      </c>
      <c r="AF596">
        <v>-0.74541822128449797</v>
      </c>
      <c r="AG596">
        <v>-1.1596869999999999</v>
      </c>
      <c r="AH596">
        <v>22.910054947323701</v>
      </c>
      <c r="AI596">
        <v>92.896259049517994</v>
      </c>
      <c r="AJ596">
        <v>91.863559754469406</v>
      </c>
      <c r="AK596">
        <v>22.9514953750727</v>
      </c>
      <c r="AL596">
        <v>91.627011992860403</v>
      </c>
      <c r="AM596">
        <v>91.164755895489904</v>
      </c>
      <c r="AN596">
        <v>0.99999999980614596</v>
      </c>
    </row>
    <row r="597" spans="1:40" x14ac:dyDescent="0.25">
      <c r="A597" t="str">
        <f>"20190305135805801"</f>
        <v>20190305135805801</v>
      </c>
      <c r="B597" t="str">
        <f>"1551765485788687"</f>
        <v>1551765485788687</v>
      </c>
      <c r="C597" t="s">
        <v>40</v>
      </c>
      <c r="D597">
        <v>3.9350580000000002</v>
      </c>
      <c r="E597">
        <v>0.4955427</v>
      </c>
      <c r="F597" t="s">
        <v>43</v>
      </c>
      <c r="G597">
        <v>-308.88130000000001</v>
      </c>
      <c r="H597">
        <v>-0.05</v>
      </c>
      <c r="I597">
        <v>368.5256</v>
      </c>
      <c r="J597">
        <v>-332.35980000000001</v>
      </c>
      <c r="K597">
        <v>1.1097170000000001</v>
      </c>
      <c r="L597">
        <v>368.18579999999997</v>
      </c>
      <c r="M597">
        <v>0.99976529999999997</v>
      </c>
      <c r="N597">
        <v>-1.2503500000000001E-2</v>
      </c>
      <c r="O597">
        <v>-1.7701100000000001E-2</v>
      </c>
      <c r="P597">
        <v>0.99918130000000005</v>
      </c>
      <c r="Q597">
        <v>-4.0353220000000002E-2</v>
      </c>
      <c r="R597">
        <v>3.0000809999999999E-3</v>
      </c>
      <c r="S597">
        <v>2.9963989999999998</v>
      </c>
      <c r="T597">
        <v>-0.1464182</v>
      </c>
      <c r="U597">
        <v>4.2358399999999997E-2</v>
      </c>
      <c r="V597">
        <v>-2.0673130000000001E-2</v>
      </c>
      <c r="W597">
        <v>-2.7870099999999998E-2</v>
      </c>
      <c r="X597">
        <v>0.9993978</v>
      </c>
      <c r="Y597">
        <v>-3.1774219999999999E-2</v>
      </c>
      <c r="Z597">
        <v>1.6177959999999999E-3</v>
      </c>
      <c r="AA597">
        <v>0.99949379999999999</v>
      </c>
      <c r="AB597">
        <v>33</v>
      </c>
      <c r="AC597">
        <v>23.4785</v>
      </c>
      <c r="AD597">
        <v>-1.1597170000000001</v>
      </c>
      <c r="AE597">
        <v>0.33980000000002503</v>
      </c>
      <c r="AF597">
        <v>-0.75353632130076298</v>
      </c>
      <c r="AG597">
        <v>-1.1597170000000001</v>
      </c>
      <c r="AH597">
        <v>23.4116964928382</v>
      </c>
      <c r="AI597">
        <v>92.834408567526197</v>
      </c>
      <c r="AJ597">
        <v>91.8435037890264</v>
      </c>
      <c r="AK597">
        <v>23.452511447185799</v>
      </c>
      <c r="AL597">
        <v>91.597045832391203</v>
      </c>
      <c r="AM597">
        <v>91.185027821232296</v>
      </c>
      <c r="AN597">
        <v>1.0000000417114201</v>
      </c>
    </row>
    <row r="598" spans="1:40" x14ac:dyDescent="0.25">
      <c r="A598" t="str">
        <f>"20190305135805812"</f>
        <v>20190305135805812</v>
      </c>
      <c r="B598" t="str">
        <f>"1551765485809183"</f>
        <v>1551765485809183</v>
      </c>
      <c r="C598" t="s">
        <v>40</v>
      </c>
      <c r="D598">
        <v>3.9298989999999998</v>
      </c>
      <c r="E598">
        <v>0.4958169</v>
      </c>
      <c r="F598" t="s">
        <v>43</v>
      </c>
      <c r="G598">
        <v>-307.99270000000001</v>
      </c>
      <c r="H598">
        <v>-0.05</v>
      </c>
      <c r="I598">
        <v>368.53910000000002</v>
      </c>
      <c r="J598">
        <v>-332.17689999999999</v>
      </c>
      <c r="K598">
        <v>1.109737</v>
      </c>
      <c r="L598">
        <v>368.18270000000001</v>
      </c>
      <c r="M598">
        <v>0.99976830000000005</v>
      </c>
      <c r="N598">
        <v>-1.2503240000000001E-2</v>
      </c>
      <c r="O598">
        <v>-1.7532289999999999E-2</v>
      </c>
      <c r="P598">
        <v>0.99923530000000005</v>
      </c>
      <c r="Q598">
        <v>-3.8965779999999998E-2</v>
      </c>
      <c r="R598">
        <v>3.3110539999999999E-3</v>
      </c>
      <c r="S598">
        <v>2.9965820000000001</v>
      </c>
      <c r="T598">
        <v>-0.14261779999999999</v>
      </c>
      <c r="U598">
        <v>4.3457030000000001E-2</v>
      </c>
      <c r="V598">
        <v>-2.081593E-2</v>
      </c>
      <c r="W598">
        <v>-2.6483309999999999E-2</v>
      </c>
      <c r="X598">
        <v>0.99943249999999995</v>
      </c>
      <c r="Y598">
        <v>-3.197378E-2</v>
      </c>
      <c r="Z598">
        <v>1.5752349999999999E-3</v>
      </c>
      <c r="AA598">
        <v>0.99948749999999997</v>
      </c>
      <c r="AB598">
        <v>33</v>
      </c>
      <c r="AC598">
        <v>24.184199999999901</v>
      </c>
      <c r="AD598">
        <v>-1.159737</v>
      </c>
      <c r="AE598">
        <v>0.35640000000000699</v>
      </c>
      <c r="AF598">
        <v>-0.77859261224236098</v>
      </c>
      <c r="AG598">
        <v>-1.159737</v>
      </c>
      <c r="AH598">
        <v>24.118781329926101</v>
      </c>
      <c r="AI598">
        <v>92.751481419397095</v>
      </c>
      <c r="AJ598">
        <v>91.848956779620394</v>
      </c>
      <c r="AK598">
        <v>24.159197197047</v>
      </c>
      <c r="AL598">
        <v>91.517559326865694</v>
      </c>
      <c r="AM598">
        <v>91.193169646861804</v>
      </c>
      <c r="AN598">
        <v>0.99999999535328499</v>
      </c>
    </row>
    <row r="599" spans="1:40" x14ac:dyDescent="0.25">
      <c r="A599" t="str">
        <f>"20190305135805822"</f>
        <v>20190305135805822</v>
      </c>
      <c r="B599" t="str">
        <f>"1551765485818943"</f>
        <v>1551765485818943</v>
      </c>
      <c r="C599" t="s">
        <v>40</v>
      </c>
      <c r="D599">
        <v>3.892331</v>
      </c>
      <c r="E599">
        <v>0.4959211</v>
      </c>
      <c r="F599" t="s">
        <v>43</v>
      </c>
      <c r="G599">
        <v>-306.24950000000001</v>
      </c>
      <c r="H599">
        <v>-0.05</v>
      </c>
      <c r="I599">
        <v>368.54809999999998</v>
      </c>
      <c r="J599">
        <v>-332.0258</v>
      </c>
      <c r="K599">
        <v>1.109756</v>
      </c>
      <c r="L599">
        <v>368.18020000000001</v>
      </c>
      <c r="M599">
        <v>0.99977070000000001</v>
      </c>
      <c r="N599">
        <v>-1.250301E-2</v>
      </c>
      <c r="O599">
        <v>-1.7386909999999998E-2</v>
      </c>
      <c r="P599">
        <v>0.99924519999999994</v>
      </c>
      <c r="Q599">
        <v>-3.8688159999999999E-2</v>
      </c>
      <c r="R599">
        <v>3.5223810000000002E-3</v>
      </c>
      <c r="S599">
        <v>2.996918</v>
      </c>
      <c r="T599">
        <v>-0.13405259999999999</v>
      </c>
      <c r="U599">
        <v>4.2236330000000002E-2</v>
      </c>
      <c r="V599">
        <v>-2.088185E-2</v>
      </c>
      <c r="W599">
        <v>-2.6206529999999999E-2</v>
      </c>
      <c r="X599">
        <v>0.99943839999999995</v>
      </c>
      <c r="Y599">
        <v>-3.1427040000000003E-2</v>
      </c>
      <c r="Z599">
        <v>1.4590689999999999E-3</v>
      </c>
      <c r="AA599">
        <v>0.99950499999999998</v>
      </c>
      <c r="AB599">
        <v>33</v>
      </c>
      <c r="AC599">
        <v>25.7762999999999</v>
      </c>
      <c r="AD599">
        <v>-1.159756</v>
      </c>
      <c r="AE599">
        <v>0.36789999999996298</v>
      </c>
      <c r="AF599">
        <v>-0.81440128006662205</v>
      </c>
      <c r="AG599">
        <v>-1.159756</v>
      </c>
      <c r="AH599">
        <v>25.713961570113401</v>
      </c>
      <c r="AI599">
        <v>92.581122600121802</v>
      </c>
      <c r="AJ599">
        <v>91.814040341047402</v>
      </c>
      <c r="AK599">
        <v>25.7529824108545</v>
      </c>
      <c r="AL599">
        <v>91.5016955258682</v>
      </c>
      <c r="AM599">
        <v>91.196940021546794</v>
      </c>
      <c r="AN599">
        <v>0.99999997463431101</v>
      </c>
    </row>
    <row r="600" spans="1:40" x14ac:dyDescent="0.25">
      <c r="A600" t="str">
        <f>"20190305135805835"</f>
        <v>20190305135805835</v>
      </c>
      <c r="B600" t="str">
        <f>"1551765485829678"</f>
        <v>1551765485829678</v>
      </c>
      <c r="C600" t="s">
        <v>40</v>
      </c>
      <c r="D600">
        <v>3.9075099999999998</v>
      </c>
      <c r="E600">
        <v>0.49604680000000001</v>
      </c>
      <c r="F600" t="s">
        <v>43</v>
      </c>
      <c r="G600">
        <v>-305.61169999999998</v>
      </c>
      <c r="H600">
        <v>-0.05</v>
      </c>
      <c r="I600">
        <v>368.55270000000002</v>
      </c>
      <c r="J600">
        <v>-331.8408</v>
      </c>
      <c r="K600">
        <v>1.1097709999999901</v>
      </c>
      <c r="L600">
        <v>368.17720000000003</v>
      </c>
      <c r="M600">
        <v>0.99977389999999999</v>
      </c>
      <c r="N600">
        <v>-1.250271E-2</v>
      </c>
      <c r="O600">
        <v>-1.7200750000000001E-2</v>
      </c>
      <c r="P600">
        <v>0.99923850000000003</v>
      </c>
      <c r="Q600">
        <v>-3.8840590000000001E-2</v>
      </c>
      <c r="R600">
        <v>3.7338240000000002E-3</v>
      </c>
      <c r="S600">
        <v>2.9970400000000001</v>
      </c>
      <c r="T600">
        <v>-0.13159000000000001</v>
      </c>
      <c r="U600">
        <v>4.2266850000000002E-2</v>
      </c>
      <c r="V600">
        <v>-2.0905590000000002E-2</v>
      </c>
      <c r="W600">
        <v>-2.6360060000000001E-2</v>
      </c>
      <c r="X600">
        <v>0.99943389999999999</v>
      </c>
      <c r="Y600">
        <v>-3.1252589999999997E-2</v>
      </c>
      <c r="Z600">
        <v>1.421084E-3</v>
      </c>
      <c r="AA600">
        <v>0.99951049999999997</v>
      </c>
      <c r="AB600">
        <v>33</v>
      </c>
      <c r="AC600">
        <v>26.229099999999999</v>
      </c>
      <c r="AD600">
        <v>-1.1597710000000001</v>
      </c>
      <c r="AE600">
        <v>0.37549999999998801</v>
      </c>
      <c r="AF600">
        <v>-0.825027176160544</v>
      </c>
      <c r="AG600">
        <v>-1.1597710000000001</v>
      </c>
      <c r="AH600">
        <v>26.167608735605501</v>
      </c>
      <c r="AI600">
        <v>92.536478867423298</v>
      </c>
      <c r="AJ600">
        <v>91.805855547518107</v>
      </c>
      <c r="AK600">
        <v>26.206287137890801</v>
      </c>
      <c r="AL600">
        <v>91.510495135998198</v>
      </c>
      <c r="AM600">
        <v>91.198305786969399</v>
      </c>
      <c r="AN600">
        <v>1.00000000846283</v>
      </c>
    </row>
    <row r="601" spans="1:40" x14ac:dyDescent="0.25">
      <c r="A601" t="str">
        <f>"20190305135805847"</f>
        <v>20190305135805847</v>
      </c>
      <c r="B601" t="str">
        <f>"1551765485839439"</f>
        <v>1551765485839439</v>
      </c>
      <c r="C601" t="s">
        <v>40</v>
      </c>
      <c r="D601">
        <v>3.8940800000000002</v>
      </c>
      <c r="E601">
        <v>0.49614740000000002</v>
      </c>
      <c r="F601" t="s">
        <v>43</v>
      </c>
      <c r="G601">
        <v>-305.28730000000002</v>
      </c>
      <c r="H601">
        <v>-0.05</v>
      </c>
      <c r="I601">
        <v>368.54759999999999</v>
      </c>
      <c r="J601">
        <v>-331.65989999999999</v>
      </c>
      <c r="K601">
        <v>1.10978</v>
      </c>
      <c r="L601">
        <v>368.17419999999998</v>
      </c>
      <c r="M601">
        <v>0.99977720000000003</v>
      </c>
      <c r="N601">
        <v>-1.250244E-2</v>
      </c>
      <c r="O601">
        <v>-1.7010089999999999E-2</v>
      </c>
      <c r="P601">
        <v>0.99923269999999997</v>
      </c>
      <c r="Q601">
        <v>-3.8968500000000003E-2</v>
      </c>
      <c r="R601">
        <v>3.9846660000000004E-3</v>
      </c>
      <c r="S601">
        <v>2.9970089999999998</v>
      </c>
      <c r="T601">
        <v>-0.13089990000000001</v>
      </c>
      <c r="U601">
        <v>4.1809079999999998E-2</v>
      </c>
      <c r="V601">
        <v>-2.0965089999999999E-2</v>
      </c>
      <c r="W601">
        <v>-2.6488950000000001E-2</v>
      </c>
      <c r="X601">
        <v>0.99942920000000002</v>
      </c>
      <c r="Y601">
        <v>-3.0910480000000001E-2</v>
      </c>
      <c r="Z601">
        <v>1.3980030000000001E-3</v>
      </c>
      <c r="AA601">
        <v>0.9995212</v>
      </c>
      <c r="AB601">
        <v>33</v>
      </c>
      <c r="AC601">
        <v>26.372599999999899</v>
      </c>
      <c r="AD601">
        <v>-1.15978</v>
      </c>
      <c r="AE601">
        <v>0.37340000000000301</v>
      </c>
      <c r="AF601">
        <v>-0.82039502292266397</v>
      </c>
      <c r="AG601">
        <v>-1.15978</v>
      </c>
      <c r="AH601">
        <v>26.311556651187001</v>
      </c>
      <c r="AI601">
        <v>92.522667074743197</v>
      </c>
      <c r="AJ601">
        <v>91.785905301360401</v>
      </c>
      <c r="AK601">
        <v>26.349879526302601</v>
      </c>
      <c r="AL601">
        <v>91.517882638133898</v>
      </c>
      <c r="AM601">
        <v>91.201720970411301</v>
      </c>
      <c r="AN601">
        <v>0.99999996264172397</v>
      </c>
    </row>
    <row r="602" spans="1:40" x14ac:dyDescent="0.25">
      <c r="A602" t="str">
        <f>"20190305135805857"</f>
        <v>20190305135805857</v>
      </c>
      <c r="B602" t="str">
        <f>"1551765485849199"</f>
        <v>1551765485849199</v>
      </c>
      <c r="C602" t="s">
        <v>40</v>
      </c>
      <c r="D602">
        <v>3.9121459999999999</v>
      </c>
      <c r="E602">
        <v>0.49619799999999997</v>
      </c>
      <c r="F602" t="s">
        <v>43</v>
      </c>
      <c r="G602">
        <v>-305.05860000000001</v>
      </c>
      <c r="H602">
        <v>-0.05</v>
      </c>
      <c r="I602">
        <v>368.5437</v>
      </c>
      <c r="J602">
        <v>-331.49250000000001</v>
      </c>
      <c r="K602">
        <v>1.1097889999999999</v>
      </c>
      <c r="L602">
        <v>368.17160000000001</v>
      </c>
      <c r="M602">
        <v>0.99978020000000001</v>
      </c>
      <c r="N602">
        <v>-1.250218E-2</v>
      </c>
      <c r="O602">
        <v>-1.6830769999999998E-2</v>
      </c>
      <c r="P602">
        <v>0.99921879999999996</v>
      </c>
      <c r="Q602">
        <v>-3.9296110000000002E-2</v>
      </c>
      <c r="R602">
        <v>4.2130969999999998E-3</v>
      </c>
      <c r="S602">
        <v>2.9970699999999999</v>
      </c>
      <c r="T602">
        <v>-0.13066839999999999</v>
      </c>
      <c r="U602">
        <v>4.162598E-2</v>
      </c>
      <c r="V602">
        <v>-2.1013509999999999E-2</v>
      </c>
      <c r="W602">
        <v>-2.6817520000000001E-2</v>
      </c>
      <c r="X602">
        <v>0.99941950000000002</v>
      </c>
      <c r="Y602">
        <v>-3.067042E-2</v>
      </c>
      <c r="Z602">
        <v>1.383165E-3</v>
      </c>
      <c r="AA602">
        <v>0.99952859999999999</v>
      </c>
      <c r="AB602">
        <v>33</v>
      </c>
      <c r="AC602">
        <v>26.433899999999898</v>
      </c>
      <c r="AD602">
        <v>-1.159789</v>
      </c>
      <c r="AE602">
        <v>0.372099999999989</v>
      </c>
      <c r="AF602">
        <v>-0.81541556278503802</v>
      </c>
      <c r="AG602">
        <v>-1.159789</v>
      </c>
      <c r="AH602">
        <v>26.373133122699599</v>
      </c>
      <c r="AI602">
        <v>92.516824590923605</v>
      </c>
      <c r="AJ602">
        <v>91.770930717555302</v>
      </c>
      <c r="AK602">
        <v>26.4112128417494</v>
      </c>
      <c r="AL602">
        <v>91.536714881643306</v>
      </c>
      <c r="AM602">
        <v>91.204507279698703</v>
      </c>
      <c r="AN602">
        <v>1.0000000419808499</v>
      </c>
    </row>
    <row r="603" spans="1:40" x14ac:dyDescent="0.25">
      <c r="A603" t="str">
        <f>"20190305135805868"</f>
        <v>20190305135805868</v>
      </c>
      <c r="B603" t="str">
        <f>"1551765485858959"</f>
        <v>1551765485858959</v>
      </c>
      <c r="C603" t="s">
        <v>40</v>
      </c>
      <c r="D603">
        <v>3.8936169999999999</v>
      </c>
      <c r="E603">
        <v>0.49628319999999998</v>
      </c>
      <c r="F603" t="s">
        <v>43</v>
      </c>
      <c r="G603">
        <v>-304.93939999999998</v>
      </c>
      <c r="H603">
        <v>-0.05</v>
      </c>
      <c r="I603">
        <v>368.54469999999998</v>
      </c>
      <c r="J603">
        <v>-331.3322</v>
      </c>
      <c r="K603">
        <v>1.109793</v>
      </c>
      <c r="L603">
        <v>368.16899999999998</v>
      </c>
      <c r="M603">
        <v>0.99978330000000004</v>
      </c>
      <c r="N603">
        <v>-1.250193E-2</v>
      </c>
      <c r="O603">
        <v>-1.6652219999999999E-2</v>
      </c>
      <c r="P603">
        <v>0.99918399999999996</v>
      </c>
      <c r="Q603">
        <v>-4.0103529999999998E-2</v>
      </c>
      <c r="R603">
        <v>4.8051229999999997E-3</v>
      </c>
      <c r="S603">
        <v>2.9969790000000001</v>
      </c>
      <c r="T603">
        <v>-0.1309023</v>
      </c>
      <c r="U603">
        <v>4.2114260000000001E-2</v>
      </c>
      <c r="V603">
        <v>-2.1424789999999999E-2</v>
      </c>
      <c r="W603">
        <v>-2.7626290000000001E-2</v>
      </c>
      <c r="X603">
        <v>0.99938870000000002</v>
      </c>
      <c r="Y603">
        <v>-3.0655089999999999E-2</v>
      </c>
      <c r="Z603">
        <v>1.3797219999999999E-3</v>
      </c>
      <c r="AA603">
        <v>0.99952909999999995</v>
      </c>
      <c r="AB603">
        <v>33</v>
      </c>
      <c r="AC603">
        <v>26.392800000000001</v>
      </c>
      <c r="AD603">
        <v>-1.1597930000000001</v>
      </c>
      <c r="AE603">
        <v>0.37569999999993797</v>
      </c>
      <c r="AF603">
        <v>-0.81361011658296001</v>
      </c>
      <c r="AG603">
        <v>-1.1597930000000001</v>
      </c>
      <c r="AH603">
        <v>26.332045346596601</v>
      </c>
      <c r="AI603">
        <v>92.520756973117102</v>
      </c>
      <c r="AJ603">
        <v>91.769767556768699</v>
      </c>
      <c r="AK603">
        <v>26.370128808177601</v>
      </c>
      <c r="AL603">
        <v>91.583071228255804</v>
      </c>
      <c r="AM603">
        <v>91.228112787289405</v>
      </c>
      <c r="AN603">
        <v>1.0000000036066901</v>
      </c>
    </row>
    <row r="604" spans="1:40" x14ac:dyDescent="0.25">
      <c r="A604" t="str">
        <f>"20190305135805879"</f>
        <v>20190305135805879</v>
      </c>
      <c r="B604" t="str">
        <f>"1551765485869695"</f>
        <v>1551765485869695</v>
      </c>
      <c r="C604" t="s">
        <v>40</v>
      </c>
      <c r="D604">
        <v>3.9211670000000001</v>
      </c>
      <c r="E604">
        <v>0.49631950000000002</v>
      </c>
      <c r="F604" t="s">
        <v>43</v>
      </c>
      <c r="G604">
        <v>-305.12959999999998</v>
      </c>
      <c r="H604">
        <v>-0.05</v>
      </c>
      <c r="I604">
        <v>368.54759999999999</v>
      </c>
      <c r="J604">
        <v>-331.18549999999999</v>
      </c>
      <c r="K604">
        <v>1.1097939999999999</v>
      </c>
      <c r="L604">
        <v>368.16669999999999</v>
      </c>
      <c r="M604">
        <v>0.99978599999999995</v>
      </c>
      <c r="N604">
        <v>-1.2501709999999999E-2</v>
      </c>
      <c r="O604">
        <v>-1.6488579999999999E-2</v>
      </c>
      <c r="P604">
        <v>0.99913660000000004</v>
      </c>
      <c r="Q604">
        <v>-4.1199680000000002E-2</v>
      </c>
      <c r="R604">
        <v>5.3991069999999898E-3</v>
      </c>
      <c r="S604">
        <v>2.9968870000000001</v>
      </c>
      <c r="T604">
        <v>-0.13264979999999901</v>
      </c>
      <c r="U604">
        <v>4.330444E-2</v>
      </c>
      <c r="V604">
        <v>-2.1853959999999999E-2</v>
      </c>
      <c r="W604">
        <v>-2.8723889999999998E-2</v>
      </c>
      <c r="X604">
        <v>0.99934849999999997</v>
      </c>
      <c r="Y604">
        <v>-3.0887390000000001E-2</v>
      </c>
      <c r="Z604">
        <v>1.399785E-3</v>
      </c>
      <c r="AA604">
        <v>0.99952189999999996</v>
      </c>
      <c r="AB604">
        <v>33</v>
      </c>
      <c r="AC604">
        <v>26.055900000000001</v>
      </c>
      <c r="AD604">
        <v>-1.159794</v>
      </c>
      <c r="AE604">
        <v>0.38089999999999602</v>
      </c>
      <c r="AF604">
        <v>-0.80890419685278403</v>
      </c>
      <c r="AG604">
        <v>-1.159794</v>
      </c>
      <c r="AH604">
        <v>25.994584279535999</v>
      </c>
      <c r="AI604">
        <v>92.553423156757205</v>
      </c>
      <c r="AJ604">
        <v>91.782365313465306</v>
      </c>
      <c r="AK604">
        <v>26.0330148078938</v>
      </c>
      <c r="AL604">
        <v>91.645983993506505</v>
      </c>
      <c r="AM604">
        <v>91.252756302852006</v>
      </c>
      <c r="AN604">
        <v>1.0000000409383301</v>
      </c>
    </row>
    <row r="605" spans="1:40" x14ac:dyDescent="0.25">
      <c r="A605" t="str">
        <f>"20190305135805891"</f>
        <v>20190305135805891</v>
      </c>
      <c r="B605" t="str">
        <f>"1551765485879456"</f>
        <v>1551765485879456</v>
      </c>
      <c r="C605" t="s">
        <v>40</v>
      </c>
      <c r="D605">
        <v>3.8931960000000001</v>
      </c>
      <c r="E605">
        <v>0.49638149999999998</v>
      </c>
      <c r="F605" t="s">
        <v>43</v>
      </c>
      <c r="G605">
        <v>-305.60399999999998</v>
      </c>
      <c r="H605">
        <v>-0.05</v>
      </c>
      <c r="I605">
        <v>368.54759999999999</v>
      </c>
      <c r="J605">
        <v>-331.0095</v>
      </c>
      <c r="K605">
        <v>1.1097950000000001</v>
      </c>
      <c r="L605">
        <v>368.16410000000002</v>
      </c>
      <c r="M605">
        <v>0.99978920000000004</v>
      </c>
      <c r="N605">
        <v>-1.250156E-2</v>
      </c>
      <c r="O605">
        <v>-1.6287759999999998E-2</v>
      </c>
      <c r="P605">
        <v>0.9990831</v>
      </c>
      <c r="Q605">
        <v>-4.2401920000000003E-2</v>
      </c>
      <c r="R605">
        <v>5.9443040000000001E-3</v>
      </c>
      <c r="S605">
        <v>2.9967649999999999</v>
      </c>
      <c r="T605">
        <v>-0.1358647</v>
      </c>
      <c r="U605">
        <v>4.4616700000000002E-2</v>
      </c>
      <c r="V605">
        <v>-2.2196270000000001E-2</v>
      </c>
      <c r="W605">
        <v>-2.9927459999999999E-2</v>
      </c>
      <c r="X605">
        <v>0.99930560000000002</v>
      </c>
      <c r="Y605">
        <v>-3.112233E-2</v>
      </c>
      <c r="Z605">
        <v>1.4342560000000001E-3</v>
      </c>
      <c r="AA605">
        <v>0.99951460000000003</v>
      </c>
      <c r="AB605">
        <v>33</v>
      </c>
      <c r="AC605">
        <v>25.4054999999999</v>
      </c>
      <c r="AD605">
        <v>-1.1597949999999999</v>
      </c>
      <c r="AE605">
        <v>0.38349999999996898</v>
      </c>
      <c r="AF605">
        <v>-0.79562240588359401</v>
      </c>
      <c r="AG605">
        <v>-1.1597949999999999</v>
      </c>
      <c r="AH605">
        <v>25.343078409836401</v>
      </c>
      <c r="AI605">
        <v>92.618954621213206</v>
      </c>
      <c r="AJ605">
        <v>91.798157184630597</v>
      </c>
      <c r="AK605">
        <v>25.382075619260998</v>
      </c>
      <c r="AL605">
        <v>91.714973209877002</v>
      </c>
      <c r="AM605">
        <v>91.272427083513804</v>
      </c>
      <c r="AN605">
        <v>1.00000000472766</v>
      </c>
    </row>
    <row r="606" spans="1:40" x14ac:dyDescent="0.25">
      <c r="A606" t="str">
        <f>"20190305135805902"</f>
        <v>20190305135805902</v>
      </c>
      <c r="B606" t="str">
        <f>"1551765485898975"</f>
        <v>1551765485898975</v>
      </c>
      <c r="C606" t="s">
        <v>40</v>
      </c>
      <c r="D606">
        <v>4.2344860000000004</v>
      </c>
      <c r="E606">
        <v>0.49645919999999999</v>
      </c>
      <c r="F606" t="s">
        <v>43</v>
      </c>
      <c r="G606">
        <v>-306.0677</v>
      </c>
      <c r="H606">
        <v>-0.05</v>
      </c>
      <c r="I606">
        <v>368.5489</v>
      </c>
      <c r="J606">
        <v>-330.84129999999999</v>
      </c>
      <c r="K606">
        <v>1.1097939999999999</v>
      </c>
      <c r="L606">
        <v>368.16149999999999</v>
      </c>
      <c r="M606">
        <v>0.99979229999999997</v>
      </c>
      <c r="N606">
        <v>-1.2501369999999999E-2</v>
      </c>
      <c r="O606">
        <v>-1.609553E-2</v>
      </c>
      <c r="P606">
        <v>0.99901839999999997</v>
      </c>
      <c r="Q606">
        <v>-4.3838330000000002E-2</v>
      </c>
      <c r="R606">
        <v>6.3832300000000002E-3</v>
      </c>
      <c r="S606">
        <v>2.996521</v>
      </c>
      <c r="T606">
        <v>-0.13933870000000001</v>
      </c>
      <c r="U606">
        <v>4.6234129999999998E-2</v>
      </c>
      <c r="V606">
        <v>-2.24402E-2</v>
      </c>
      <c r="W606">
        <v>-3.1365230000000001E-2</v>
      </c>
      <c r="X606">
        <v>0.99925609999999998</v>
      </c>
      <c r="Y606">
        <v>-3.1467870000000002E-2</v>
      </c>
      <c r="Z606">
        <v>1.474904E-3</v>
      </c>
      <c r="AA606">
        <v>0.99950369999999999</v>
      </c>
      <c r="AB606">
        <v>33</v>
      </c>
      <c r="AC606">
        <v>24.773599999999899</v>
      </c>
      <c r="AD606">
        <v>-1.159794</v>
      </c>
      <c r="AE606">
        <v>0.38740000000001301</v>
      </c>
      <c r="AF606">
        <v>-0.78440642086965395</v>
      </c>
      <c r="AG606">
        <v>-1.159794</v>
      </c>
      <c r="AH606">
        <v>24.710010410315899</v>
      </c>
      <c r="AI606">
        <v>92.6859229902023</v>
      </c>
      <c r="AJ606">
        <v>91.818214121370204</v>
      </c>
      <c r="AK606">
        <v>24.7496470688667</v>
      </c>
      <c r="AL606">
        <v>91.797390005851298</v>
      </c>
      <c r="AM606">
        <v>91.286469685195996</v>
      </c>
      <c r="AN606">
        <v>1.0000000468081001</v>
      </c>
    </row>
    <row r="607" spans="1:40" x14ac:dyDescent="0.25">
      <c r="A607" t="str">
        <f>"20190305135805914"</f>
        <v>20190305135805914</v>
      </c>
      <c r="B607" t="str">
        <f>"1551765485909711"</f>
        <v>1551765485909711</v>
      </c>
      <c r="C607" t="s">
        <v>40</v>
      </c>
      <c r="D607">
        <v>4.094544</v>
      </c>
      <c r="E607">
        <v>0.49842249999999999</v>
      </c>
      <c r="F607" t="s">
        <v>43</v>
      </c>
      <c r="G607">
        <v>-306.69069999999999</v>
      </c>
      <c r="H607">
        <v>-0.05</v>
      </c>
      <c r="I607">
        <v>368.53629999999998</v>
      </c>
      <c r="J607">
        <v>-330.66399999999999</v>
      </c>
      <c r="K607">
        <v>1.109791</v>
      </c>
      <c r="L607">
        <v>368.15890000000002</v>
      </c>
      <c r="M607">
        <v>0.99979560000000001</v>
      </c>
      <c r="N607">
        <v>-1.2501109999999999E-2</v>
      </c>
      <c r="O607">
        <v>-1.5891389999999998E-2</v>
      </c>
      <c r="P607">
        <v>0.9989285</v>
      </c>
      <c r="Q607">
        <v>-4.5764489999999998E-2</v>
      </c>
      <c r="R607">
        <v>6.8850319999999897E-3</v>
      </c>
      <c r="S607">
        <v>2.9963380000000002</v>
      </c>
      <c r="T607">
        <v>-0.1438942</v>
      </c>
      <c r="U607">
        <v>4.6508790000000001E-2</v>
      </c>
      <c r="V607">
        <v>-2.273468E-2</v>
      </c>
      <c r="W607">
        <v>-3.3293110000000001E-2</v>
      </c>
      <c r="X607">
        <v>0.99918700000000005</v>
      </c>
      <c r="Y607">
        <v>-3.1353209999999999E-2</v>
      </c>
      <c r="Z607">
        <v>1.512602E-3</v>
      </c>
      <c r="AA607">
        <v>0.99950720000000004</v>
      </c>
      <c r="AB607">
        <v>33</v>
      </c>
      <c r="AC607">
        <v>23.973299999999899</v>
      </c>
      <c r="AD607">
        <v>-1.159791</v>
      </c>
      <c r="AE607">
        <v>0.37739999999996598</v>
      </c>
      <c r="AF607">
        <v>-0.75658083810888899</v>
      </c>
      <c r="AG607">
        <v>-1.159791</v>
      </c>
      <c r="AH607">
        <v>23.9083314279079</v>
      </c>
      <c r="AI607">
        <v>92.775848625309294</v>
      </c>
      <c r="AJ607">
        <v>91.812524127499202</v>
      </c>
      <c r="AK607">
        <v>23.948399558111699</v>
      </c>
      <c r="AL607">
        <v>91.907907304857801</v>
      </c>
      <c r="AM607">
        <v>91.303436187357093</v>
      </c>
      <c r="AN607">
        <v>0.99999997890858705</v>
      </c>
    </row>
    <row r="608" spans="1:40" x14ac:dyDescent="0.25">
      <c r="A608" t="str">
        <f>"20190305135805925"</f>
        <v>20190305135805925</v>
      </c>
      <c r="B608" t="str">
        <f>"1551765485919471"</f>
        <v>1551765485919471</v>
      </c>
      <c r="C608" t="s">
        <v>40</v>
      </c>
      <c r="D608">
        <v>4.0247510000000002</v>
      </c>
      <c r="E608">
        <v>0.49842249999999999</v>
      </c>
      <c r="F608" t="s">
        <v>43</v>
      </c>
      <c r="G608">
        <v>-309.92509999999999</v>
      </c>
      <c r="H608">
        <v>-0.05</v>
      </c>
      <c r="I608">
        <v>368.37779999999998</v>
      </c>
      <c r="J608">
        <v>-330.49680000000001</v>
      </c>
      <c r="K608">
        <v>1.109785</v>
      </c>
      <c r="L608">
        <v>368.15640000000002</v>
      </c>
      <c r="M608">
        <v>0.99979850000000003</v>
      </c>
      <c r="N608">
        <v>-1.2500799999999999E-2</v>
      </c>
      <c r="O608">
        <v>-1.5698699999999999E-2</v>
      </c>
      <c r="P608">
        <v>0.99884300000000004</v>
      </c>
      <c r="Q608">
        <v>-4.7530660000000002E-2</v>
      </c>
      <c r="R608">
        <v>7.3161709999999998E-3</v>
      </c>
      <c r="S608">
        <v>2.9953310000000002</v>
      </c>
      <c r="T608">
        <v>-0.1675092</v>
      </c>
      <c r="U608">
        <v>3.1616209999999999E-2</v>
      </c>
      <c r="V608">
        <v>-2.2970560000000001E-2</v>
      </c>
      <c r="W608">
        <v>-3.5060929999999997E-2</v>
      </c>
      <c r="X608">
        <v>0.99912109999999998</v>
      </c>
      <c r="Y608">
        <v>-2.6187470000000001E-2</v>
      </c>
      <c r="Z608">
        <v>1.57658E-3</v>
      </c>
      <c r="AA608">
        <v>0.99965579999999998</v>
      </c>
      <c r="AB608">
        <v>33</v>
      </c>
      <c r="AC608">
        <v>20.5717</v>
      </c>
      <c r="AD608">
        <v>-1.1597850000000001</v>
      </c>
      <c r="AE608">
        <v>0.22139999999995999</v>
      </c>
      <c r="AF608">
        <v>-0.54262243881172301</v>
      </c>
      <c r="AG608">
        <v>-1.1597850000000001</v>
      </c>
      <c r="AH608">
        <v>20.5005362764342</v>
      </c>
      <c r="AI608">
        <v>93.236834224842198</v>
      </c>
      <c r="AJ608">
        <v>91.516190492950898</v>
      </c>
      <c r="AK608">
        <v>20.540485095993301</v>
      </c>
      <c r="AL608">
        <v>92.009255223370999</v>
      </c>
      <c r="AM608">
        <v>91.317041873820401</v>
      </c>
      <c r="AN608">
        <v>0.99999994395219205</v>
      </c>
    </row>
    <row r="609" spans="1:40" x14ac:dyDescent="0.25">
      <c r="A609" t="str">
        <f>"20190305135805937"</f>
        <v>20190305135805937</v>
      </c>
      <c r="B609" t="str">
        <f>"1551765485929232"</f>
        <v>1551765485929232</v>
      </c>
      <c r="C609" t="s">
        <v>40</v>
      </c>
      <c r="D609">
        <v>3.9911340000000002</v>
      </c>
      <c r="E609">
        <v>0.5624865</v>
      </c>
      <c r="F609" t="s">
        <v>43</v>
      </c>
      <c r="G609">
        <v>-310.39569999999998</v>
      </c>
      <c r="H609">
        <v>-0.05</v>
      </c>
      <c r="I609">
        <v>368.37740000000002</v>
      </c>
      <c r="J609">
        <v>-330.31470000000002</v>
      </c>
      <c r="K609">
        <v>1.10978</v>
      </c>
      <c r="L609">
        <v>368.15370000000001</v>
      </c>
      <c r="M609">
        <v>0.99980190000000002</v>
      </c>
      <c r="N609">
        <v>-1.250041E-2</v>
      </c>
      <c r="O609">
        <v>-1.548886E-2</v>
      </c>
      <c r="P609">
        <v>0.99876129999999996</v>
      </c>
      <c r="Q609">
        <v>-4.9139049999999997E-2</v>
      </c>
      <c r="R609">
        <v>7.8343590000000008E-3</v>
      </c>
      <c r="S609">
        <v>2.9950260000000002</v>
      </c>
      <c r="T609">
        <v>-0.17280580000000001</v>
      </c>
      <c r="U609">
        <v>3.2928470000000001E-2</v>
      </c>
      <c r="V609">
        <v>-2.3276499999999999E-2</v>
      </c>
      <c r="W609">
        <v>-3.667103E-2</v>
      </c>
      <c r="X609">
        <v>0.99905630000000001</v>
      </c>
      <c r="Y609">
        <v>-2.641228E-2</v>
      </c>
      <c r="Z609">
        <v>1.625965E-3</v>
      </c>
      <c r="AA609">
        <v>0.99964980000000003</v>
      </c>
      <c r="AB609">
        <v>33</v>
      </c>
      <c r="AC609">
        <v>19.919</v>
      </c>
      <c r="AD609">
        <v>-1.15978</v>
      </c>
      <c r="AE609">
        <v>0.223700000000008</v>
      </c>
      <c r="AF609">
        <v>-0.53042189860302702</v>
      </c>
      <c r="AG609">
        <v>-1.15978</v>
      </c>
      <c r="AH609">
        <v>19.845873445080802</v>
      </c>
      <c r="AI609">
        <v>93.343333166346298</v>
      </c>
      <c r="AJ609">
        <v>91.530983400155407</v>
      </c>
      <c r="AK609">
        <v>19.8868079348367</v>
      </c>
      <c r="AL609">
        <v>92.101566394576295</v>
      </c>
      <c r="AM609">
        <v>91.334663502809605</v>
      </c>
      <c r="AN609">
        <v>1.0000000252315999</v>
      </c>
    </row>
    <row r="610" spans="1:40" x14ac:dyDescent="0.25">
      <c r="A610" t="str">
        <f>"20190305135805950"</f>
        <v>20190305135805950</v>
      </c>
      <c r="B610" t="str">
        <f>"1551765485938992"</f>
        <v>1551765485938992</v>
      </c>
      <c r="C610" t="s">
        <v>40</v>
      </c>
      <c r="D610">
        <v>3.9503460000000001</v>
      </c>
      <c r="E610">
        <v>0.5645097</v>
      </c>
      <c r="F610" t="s">
        <v>41</v>
      </c>
      <c r="G610">
        <v>-329.62119999999999</v>
      </c>
      <c r="H610">
        <v>0.9523163</v>
      </c>
      <c r="I610">
        <v>368.0351</v>
      </c>
      <c r="J610">
        <v>-330.12610000000001</v>
      </c>
      <c r="K610">
        <v>1.109775</v>
      </c>
      <c r="L610">
        <v>368.15109999999999</v>
      </c>
      <c r="M610">
        <v>0.99980519999999995</v>
      </c>
      <c r="N610">
        <v>-1.2499990000000001E-2</v>
      </c>
      <c r="O610">
        <v>-1.527187E-2</v>
      </c>
      <c r="P610">
        <v>0.99869110000000005</v>
      </c>
      <c r="Q610">
        <v>-5.0487789999999998E-2</v>
      </c>
      <c r="R610">
        <v>8.1917399999999994E-3</v>
      </c>
      <c r="S610">
        <v>2.9744259999999998</v>
      </c>
      <c r="T610">
        <v>-0.67563609999999996</v>
      </c>
      <c r="U610">
        <v>-0.50704959999999999</v>
      </c>
      <c r="V610">
        <v>-2.341443E-2</v>
      </c>
      <c r="W610">
        <v>-3.8021230000000003E-2</v>
      </c>
      <c r="X610">
        <v>0.99900259999999996</v>
      </c>
      <c r="Y610">
        <v>0.149397</v>
      </c>
      <c r="Z610">
        <v>-1.437805E-2</v>
      </c>
      <c r="AA610">
        <v>0.98867269999999896</v>
      </c>
      <c r="AB610">
        <v>33</v>
      </c>
      <c r="AC610">
        <v>0.50490000000002</v>
      </c>
      <c r="AD610">
        <v>-0.15745869999999901</v>
      </c>
      <c r="AE610">
        <v>-0.115999999999985</v>
      </c>
      <c r="AF610">
        <v>9.9118429627609403E-2</v>
      </c>
      <c r="AG610">
        <v>-0.15745869999999901</v>
      </c>
      <c r="AH610">
        <v>0.46376926603499502</v>
      </c>
      <c r="AI610">
        <v>108.367258278748</v>
      </c>
      <c r="AJ610">
        <v>77.936040170421904</v>
      </c>
      <c r="AK610">
        <v>0.49969954714425302</v>
      </c>
      <c r="AL610">
        <v>92.178981172101899</v>
      </c>
      <c r="AM610">
        <v>91.342641599158597</v>
      </c>
      <c r="AN610">
        <v>1.00000002213484</v>
      </c>
    </row>
    <row r="611" spans="1:40" x14ac:dyDescent="0.25">
      <c r="A611" t="str">
        <f>"20190305135805965"</f>
        <v>20190305135805965</v>
      </c>
      <c r="B611" t="str">
        <f>"1551765485959487"</f>
        <v>1551765485959487</v>
      </c>
      <c r="C611" t="s">
        <v>40</v>
      </c>
      <c r="D611">
        <v>3.8764560000000001</v>
      </c>
      <c r="E611">
        <v>0.56662650000000003</v>
      </c>
      <c r="F611" t="s">
        <v>41</v>
      </c>
      <c r="G611">
        <v>-329.3372</v>
      </c>
      <c r="H611">
        <v>0.92034720000000003</v>
      </c>
      <c r="I611">
        <v>368.012</v>
      </c>
      <c r="J611">
        <v>-329.91879999999998</v>
      </c>
      <c r="K611">
        <v>1.109772</v>
      </c>
      <c r="L611">
        <v>368.1481</v>
      </c>
      <c r="M611">
        <v>0.9998089</v>
      </c>
      <c r="N611">
        <v>-1.249952E-2</v>
      </c>
      <c r="O611">
        <v>-1.5033299999999999E-2</v>
      </c>
      <c r="P611">
        <v>0.99865190000000004</v>
      </c>
      <c r="Q611">
        <v>-5.1184599999999997E-2</v>
      </c>
      <c r="R611">
        <v>8.6564820000000001E-3</v>
      </c>
      <c r="S611">
        <v>2.972137</v>
      </c>
      <c r="T611">
        <v>-0.7136924</v>
      </c>
      <c r="U611">
        <v>-0.52374270000000001</v>
      </c>
      <c r="V611">
        <v>-2.3640060000000001E-2</v>
      </c>
      <c r="W611">
        <v>-3.8719259999999998E-2</v>
      </c>
      <c r="X611">
        <v>0.99897040000000004</v>
      </c>
      <c r="Y611">
        <v>0.15459519999999999</v>
      </c>
      <c r="Z611">
        <v>-1.5806569999999999E-2</v>
      </c>
      <c r="AA611">
        <v>0.98785140000000005</v>
      </c>
      <c r="AB611">
        <v>33</v>
      </c>
      <c r="AC611">
        <v>0.58159999999998002</v>
      </c>
      <c r="AD611">
        <v>-0.1894248</v>
      </c>
      <c r="AE611">
        <v>-0.13610000000005501</v>
      </c>
      <c r="AF611">
        <v>0.115704133797168</v>
      </c>
      <c r="AG611">
        <v>-0.1894248</v>
      </c>
      <c r="AH611">
        <v>0.53025263422838398</v>
      </c>
      <c r="AI611">
        <v>109.240136052841</v>
      </c>
      <c r="AJ611">
        <v>77.690679424112204</v>
      </c>
      <c r="AK611">
        <v>0.57483654854135102</v>
      </c>
      <c r="AL611">
        <v>92.219004986022497</v>
      </c>
      <c r="AM611">
        <v>91.355618657608701</v>
      </c>
      <c r="AN611">
        <v>0.99999994680395399</v>
      </c>
    </row>
    <row r="612" spans="1:40" x14ac:dyDescent="0.25">
      <c r="A612" t="str">
        <f>"20190305135805979"</f>
        <v>20190305135805979</v>
      </c>
      <c r="B612" t="str">
        <f>"1551765485969248"</f>
        <v>1551765485969248</v>
      </c>
      <c r="C612" t="s">
        <v>40</v>
      </c>
      <c r="D612">
        <v>3.865418</v>
      </c>
      <c r="E612">
        <v>0.56765350000000003</v>
      </c>
      <c r="F612" t="s">
        <v>41</v>
      </c>
      <c r="G612">
        <v>-329.04790000000003</v>
      </c>
      <c r="H612">
        <v>0.89696100000000001</v>
      </c>
      <c r="I612">
        <v>367.98950000000002</v>
      </c>
      <c r="J612">
        <v>-329.69049999999999</v>
      </c>
      <c r="K612">
        <v>1.1097709999999901</v>
      </c>
      <c r="L612">
        <v>368.14499999999998</v>
      </c>
      <c r="M612">
        <v>0.9998129</v>
      </c>
      <c r="N612">
        <v>-1.249902E-2</v>
      </c>
      <c r="O612">
        <v>-1.477126E-2</v>
      </c>
      <c r="P612">
        <v>0.99860950000000004</v>
      </c>
      <c r="Q612">
        <v>-5.193532E-2</v>
      </c>
      <c r="R612">
        <v>9.0544100000000006E-3</v>
      </c>
      <c r="S612">
        <v>2.9714659999999999</v>
      </c>
      <c r="T612">
        <v>-0.72628749999999997</v>
      </c>
      <c r="U612">
        <v>-0.54013059999999902</v>
      </c>
      <c r="V612">
        <v>-2.377464E-2</v>
      </c>
      <c r="W612">
        <v>-3.9471159999999998E-2</v>
      </c>
      <c r="X612">
        <v>0.99893779999999999</v>
      </c>
      <c r="Y612">
        <v>0.15986649999999999</v>
      </c>
      <c r="Z612">
        <v>-1.6777750000000001E-2</v>
      </c>
      <c r="AA612">
        <v>0.98699610000000004</v>
      </c>
      <c r="AB612">
        <v>33</v>
      </c>
      <c r="AC612">
        <v>0.64259999999995898</v>
      </c>
      <c r="AD612">
        <v>-0.212809999999999</v>
      </c>
      <c r="AE612">
        <v>-0.15549999999996</v>
      </c>
      <c r="AF612">
        <v>0.13228468463417201</v>
      </c>
      <c r="AG612">
        <v>-0.212809999999999</v>
      </c>
      <c r="AH612">
        <v>0.58429050929141402</v>
      </c>
      <c r="AI612">
        <v>109.556519323359</v>
      </c>
      <c r="AJ612">
        <v>77.243168004229204</v>
      </c>
      <c r="AK612">
        <v>0.63575367331756905</v>
      </c>
      <c r="AL612">
        <v>92.262118600787801</v>
      </c>
      <c r="AM612">
        <v>91.363377601250605</v>
      </c>
      <c r="AN612">
        <v>0.99999996712385697</v>
      </c>
    </row>
    <row r="613" spans="1:40" x14ac:dyDescent="0.25">
      <c r="A613" t="str">
        <f>"20190305135805995"</f>
        <v>20190305135805995</v>
      </c>
      <c r="B613" t="str">
        <f>"1551765485988767"</f>
        <v>1551765485988767</v>
      </c>
      <c r="C613" t="s">
        <v>40</v>
      </c>
      <c r="D613">
        <v>3.9996079999999998</v>
      </c>
      <c r="E613">
        <v>0.56593230000000005</v>
      </c>
      <c r="F613" t="s">
        <v>41</v>
      </c>
      <c r="G613">
        <v>-328.75459999999998</v>
      </c>
      <c r="H613">
        <v>0.88371909999999898</v>
      </c>
      <c r="I613">
        <v>367.97269999999997</v>
      </c>
      <c r="J613">
        <v>-329.45569999999998</v>
      </c>
      <c r="K613">
        <v>1.1097709999999901</v>
      </c>
      <c r="L613">
        <v>368.14179999999999</v>
      </c>
      <c r="M613">
        <v>0.99981679999999995</v>
      </c>
      <c r="N613">
        <v>-1.2498520000000001E-2</v>
      </c>
      <c r="O613">
        <v>-1.450326E-2</v>
      </c>
      <c r="P613">
        <v>0.99862439999999997</v>
      </c>
      <c r="Q613">
        <v>-5.1575679999999999E-2</v>
      </c>
      <c r="R613">
        <v>9.4557270000000006E-3</v>
      </c>
      <c r="S613">
        <v>2.971832</v>
      </c>
      <c r="T613">
        <v>-0.71784619999999999</v>
      </c>
      <c r="U613">
        <v>-0.54641719999999905</v>
      </c>
      <c r="V613">
        <v>-2.390836E-2</v>
      </c>
      <c r="W613">
        <v>-3.9112090000000002E-2</v>
      </c>
      <c r="X613">
        <v>0.99894879999999997</v>
      </c>
      <c r="Y613">
        <v>0.1621561</v>
      </c>
      <c r="Z613">
        <v>-1.6941990000000001E-2</v>
      </c>
      <c r="AA613">
        <v>0.98661969999999999</v>
      </c>
      <c r="AB613">
        <v>33</v>
      </c>
      <c r="AC613">
        <v>0.70109999999999595</v>
      </c>
      <c r="AD613">
        <v>-0.2260519</v>
      </c>
      <c r="AE613">
        <v>-0.16910000000001399</v>
      </c>
      <c r="AF613">
        <v>0.144697717624892</v>
      </c>
      <c r="AG613">
        <v>-0.2260519</v>
      </c>
      <c r="AH613">
        <v>0.64054973535436599</v>
      </c>
      <c r="AI613">
        <v>108.994968353079</v>
      </c>
      <c r="AJ613">
        <v>77.270754529631006</v>
      </c>
      <c r="AK613">
        <v>0.694507634545518</v>
      </c>
      <c r="AL613">
        <v>92.241529352718601</v>
      </c>
      <c r="AM613">
        <v>91.371027881691504</v>
      </c>
      <c r="AN613">
        <v>1.00000003514174</v>
      </c>
    </row>
    <row r="614" spans="1:40" x14ac:dyDescent="0.25">
      <c r="A614" t="str">
        <f>"20190305135806013"</f>
        <v>20190305135806013</v>
      </c>
      <c r="B614" t="str">
        <f>"1551765486009263"</f>
        <v>1551765486009263</v>
      </c>
      <c r="C614" t="s">
        <v>40</v>
      </c>
      <c r="D614">
        <v>4.0568869999999997</v>
      </c>
      <c r="E614">
        <v>0.56380869999999905</v>
      </c>
      <c r="F614" t="s">
        <v>41</v>
      </c>
      <c r="G614">
        <v>-328.73320000000001</v>
      </c>
      <c r="H614">
        <v>0.93553319999999995</v>
      </c>
      <c r="I614">
        <v>368.01229999999998</v>
      </c>
      <c r="J614">
        <v>-329.20060000000001</v>
      </c>
      <c r="K614">
        <v>1.1097699999999999</v>
      </c>
      <c r="L614">
        <v>368.13839999999999</v>
      </c>
      <c r="M614">
        <v>0.99982099999999996</v>
      </c>
      <c r="N614">
        <v>-1.2497960000000001E-2</v>
      </c>
      <c r="O614">
        <v>-1.4212249999999999E-2</v>
      </c>
      <c r="P614">
        <v>0.99865219999999999</v>
      </c>
      <c r="Q614">
        <v>-5.1006009999999997E-2</v>
      </c>
      <c r="R614">
        <v>9.6003549999999997E-3</v>
      </c>
      <c r="S614">
        <v>2.9721980000000001</v>
      </c>
      <c r="T614">
        <v>-0.71675540000000004</v>
      </c>
      <c r="U614">
        <v>-0.53164669999999903</v>
      </c>
      <c r="V614">
        <v>-2.3763119999999999E-2</v>
      </c>
      <c r="W614">
        <v>-3.854258E-2</v>
      </c>
      <c r="X614">
        <v>0.99897440000000004</v>
      </c>
      <c r="Y614">
        <v>0.15780239999999901</v>
      </c>
      <c r="Z614">
        <v>-1.644665E-2</v>
      </c>
      <c r="AA614">
        <v>0.98733369999999998</v>
      </c>
      <c r="AB614">
        <v>33</v>
      </c>
      <c r="AC614">
        <v>0.46739999999999698</v>
      </c>
      <c r="AD614">
        <v>-0.1742368</v>
      </c>
      <c r="AE614">
        <v>-0.12610000000000801</v>
      </c>
      <c r="AF614">
        <v>0.10574606502690299</v>
      </c>
      <c r="AG614">
        <v>-0.1742368</v>
      </c>
      <c r="AH614">
        <v>0.41534336477393502</v>
      </c>
      <c r="AI614">
        <v>112.12329829283701</v>
      </c>
      <c r="AJ614">
        <v>75.716015323846506</v>
      </c>
      <c r="AK614">
        <v>0.46265624755821499</v>
      </c>
      <c r="AL614">
        <v>92.208874212225098</v>
      </c>
      <c r="AM614">
        <v>91.3626673180718</v>
      </c>
      <c r="AN614">
        <v>1.0000000341002699</v>
      </c>
    </row>
    <row r="615" spans="1:40" x14ac:dyDescent="0.25">
      <c r="A615" t="str">
        <f>"20190305135806026"</f>
        <v>20190305135806026</v>
      </c>
      <c r="B615" t="str">
        <f>"1551765486019024"</f>
        <v>1551765486019024</v>
      </c>
      <c r="C615" t="s">
        <v>40</v>
      </c>
      <c r="D615">
        <v>4.0372409999999999</v>
      </c>
      <c r="E615">
        <v>0.5637257</v>
      </c>
      <c r="F615" t="s">
        <v>41</v>
      </c>
      <c r="G615">
        <v>-328.4391</v>
      </c>
      <c r="H615">
        <v>0.92604339999999996</v>
      </c>
      <c r="I615">
        <v>368.00619999999998</v>
      </c>
      <c r="J615">
        <v>-328.99509999999998</v>
      </c>
      <c r="K615">
        <v>1.1097709999999901</v>
      </c>
      <c r="L615">
        <v>368.13569999999999</v>
      </c>
      <c r="M615">
        <v>0.99982420000000005</v>
      </c>
      <c r="N615">
        <v>-1.2495839999999999E-2</v>
      </c>
      <c r="O615">
        <v>-1.3977750000000001E-2</v>
      </c>
      <c r="P615">
        <v>0.99863440000000003</v>
      </c>
      <c r="Q615">
        <v>-5.1338290000000002E-2</v>
      </c>
      <c r="R615">
        <v>9.6844029999999994E-3</v>
      </c>
      <c r="S615">
        <v>2.9723820000000001</v>
      </c>
      <c r="T615">
        <v>-0.71731969999999901</v>
      </c>
      <c r="U615">
        <v>-0.51458740000000003</v>
      </c>
      <c r="V615">
        <v>-2.3612770000000002E-2</v>
      </c>
      <c r="W615">
        <v>-3.8877050000000003E-2</v>
      </c>
      <c r="X615">
        <v>0.99896499999999999</v>
      </c>
      <c r="Y615">
        <v>0.15265909999999999</v>
      </c>
      <c r="Z615">
        <v>-1.587622E-2</v>
      </c>
      <c r="AA615">
        <v>0.98815140000000001</v>
      </c>
      <c r="AB615">
        <v>33</v>
      </c>
      <c r="AC615">
        <v>0.55599999999998295</v>
      </c>
      <c r="AD615">
        <v>-0.18372759999999899</v>
      </c>
      <c r="AE615">
        <v>-0.129500000000007</v>
      </c>
      <c r="AF615">
        <v>0.110291624820106</v>
      </c>
      <c r="AG615">
        <v>-0.18372759999999899</v>
      </c>
      <c r="AH615">
        <v>0.50540814403718504</v>
      </c>
      <c r="AI615">
        <v>109.55325178346</v>
      </c>
      <c r="AJ615">
        <v>77.689738000078194</v>
      </c>
      <c r="AK615">
        <v>0.548960349721481</v>
      </c>
      <c r="AL615">
        <v>92.228052315214498</v>
      </c>
      <c r="AM615">
        <v>91.354061636012403</v>
      </c>
      <c r="AN615">
        <v>1.0000000295743801</v>
      </c>
    </row>
    <row r="616" spans="1:40" x14ac:dyDescent="0.25">
      <c r="A616" t="str">
        <f>"20190305135806037"</f>
        <v>20190305135806037</v>
      </c>
      <c r="B616" t="str">
        <f>"1551765486029759"</f>
        <v>1551765486029759</v>
      </c>
      <c r="C616" t="s">
        <v>40</v>
      </c>
      <c r="D616">
        <v>4.0963640000000003</v>
      </c>
      <c r="E616">
        <v>0.56360469999999996</v>
      </c>
      <c r="F616" t="s">
        <v>41</v>
      </c>
      <c r="G616">
        <v>-328.14949999999999</v>
      </c>
      <c r="H616">
        <v>0.90456099999999995</v>
      </c>
      <c r="I616">
        <v>367.98930000000001</v>
      </c>
      <c r="J616">
        <v>-328.81740000000002</v>
      </c>
      <c r="K616">
        <v>1.1097699999999999</v>
      </c>
      <c r="L616">
        <v>368.13350000000003</v>
      </c>
      <c r="M616">
        <v>0.99982720000000003</v>
      </c>
      <c r="N616">
        <v>-1.249287E-2</v>
      </c>
      <c r="O616">
        <v>-1.3775559999999999E-2</v>
      </c>
      <c r="P616">
        <v>0.99862269999999997</v>
      </c>
      <c r="Q616">
        <v>-5.1528339999999999E-2</v>
      </c>
      <c r="R616">
        <v>9.8840660000000004E-3</v>
      </c>
      <c r="S616">
        <v>2.9720460000000002</v>
      </c>
      <c r="T616">
        <v>-0.72129829999999995</v>
      </c>
      <c r="U616">
        <v>-0.5137024</v>
      </c>
      <c r="V616">
        <v>-2.361021E-2</v>
      </c>
      <c r="W616">
        <v>-3.9070199999999999E-2</v>
      </c>
      <c r="X616">
        <v>0.99895750000000005</v>
      </c>
      <c r="Y616">
        <v>0.15254509999999999</v>
      </c>
      <c r="Z616">
        <v>-1.5988720000000001E-2</v>
      </c>
      <c r="AA616">
        <v>0.98816720000000002</v>
      </c>
      <c r="AB616">
        <v>33</v>
      </c>
      <c r="AC616">
        <v>0.66790000000003102</v>
      </c>
      <c r="AD616">
        <v>-0.205209</v>
      </c>
      <c r="AE616">
        <v>-0.14420000000001201</v>
      </c>
      <c r="AF616">
        <v>0.123817177752973</v>
      </c>
      <c r="AG616">
        <v>-0.205209</v>
      </c>
      <c r="AH616">
        <v>0.61440663221468605</v>
      </c>
      <c r="AI616">
        <v>108.129129585973</v>
      </c>
      <c r="AJ616">
        <v>78.606177033129299</v>
      </c>
      <c r="AK616">
        <v>0.65949748816587905</v>
      </c>
      <c r="AL616">
        <v>92.239127464914802</v>
      </c>
      <c r="AM616">
        <v>91.353925050005202</v>
      </c>
      <c r="AN616">
        <v>1.00000000467526</v>
      </c>
    </row>
    <row r="617" spans="1:40" x14ac:dyDescent="0.25">
      <c r="A617" t="str">
        <f>"20190305135806048"</f>
        <v>20190305135806048</v>
      </c>
      <c r="B617" t="str">
        <f>"1551765486039519"</f>
        <v>1551765486039519</v>
      </c>
      <c r="C617" t="s">
        <v>40</v>
      </c>
      <c r="D617">
        <v>4.0686519999999904</v>
      </c>
      <c r="E617">
        <v>0.56356309999999998</v>
      </c>
      <c r="F617" t="s">
        <v>41</v>
      </c>
      <c r="G617">
        <v>-328.13290000000001</v>
      </c>
      <c r="H617">
        <v>0.94304569999999999</v>
      </c>
      <c r="I617">
        <v>368.01510000000002</v>
      </c>
      <c r="J617">
        <v>-328.65699999999998</v>
      </c>
      <c r="K617">
        <v>1.1097619999999999</v>
      </c>
      <c r="L617">
        <v>368.13139999999999</v>
      </c>
      <c r="M617">
        <v>0.99982969999999904</v>
      </c>
      <c r="N617">
        <v>-1.248842E-2</v>
      </c>
      <c r="O617">
        <v>-1.359255E-2</v>
      </c>
      <c r="P617">
        <v>0.99862260000000003</v>
      </c>
      <c r="Q617">
        <v>-5.1535280000000003E-2</v>
      </c>
      <c r="R617">
        <v>9.8526180000000005E-3</v>
      </c>
      <c r="S617">
        <v>2.971924</v>
      </c>
      <c r="T617">
        <v>-0.72396490000000002</v>
      </c>
      <c r="U617">
        <v>-0.51260379999999905</v>
      </c>
      <c r="V617">
        <v>-2.3395369999999999E-2</v>
      </c>
      <c r="W617">
        <v>-3.9081369999999997E-2</v>
      </c>
      <c r="X617">
        <v>0.99896209999999996</v>
      </c>
      <c r="Y617">
        <v>0.15234900000000001</v>
      </c>
      <c r="Z617">
        <v>-1.6059500000000001E-2</v>
      </c>
      <c r="AA617">
        <v>0.98819630000000003</v>
      </c>
      <c r="AB617">
        <v>33</v>
      </c>
      <c r="AC617">
        <v>0.52409999999997503</v>
      </c>
      <c r="AD617">
        <v>-0.16671630000000001</v>
      </c>
      <c r="AE617">
        <v>-0.116299999999967</v>
      </c>
      <c r="AF617">
        <v>9.9563086736156506E-2</v>
      </c>
      <c r="AG617">
        <v>-0.16671630000000001</v>
      </c>
      <c r="AH617">
        <v>0.47939971837337297</v>
      </c>
      <c r="AI617">
        <v>108.80344725348</v>
      </c>
      <c r="AJ617">
        <v>78.267436819070497</v>
      </c>
      <c r="AK617">
        <v>0.51723420507792295</v>
      </c>
      <c r="AL617">
        <v>92.239767987485095</v>
      </c>
      <c r="AM617">
        <v>91.341603420286702</v>
      </c>
      <c r="AN617">
        <v>0.99999998702746096</v>
      </c>
    </row>
    <row r="618" spans="1:40" x14ac:dyDescent="0.25">
      <c r="A618" t="str">
        <f>"20190305135806060"</f>
        <v>20190305135806060</v>
      </c>
      <c r="B618" t="str">
        <f>"1551765486049280"</f>
        <v>1551765486049280</v>
      </c>
      <c r="C618" t="s">
        <v>40</v>
      </c>
      <c r="D618">
        <v>4.0888689999999999</v>
      </c>
      <c r="E618">
        <v>0.56347139999999996</v>
      </c>
      <c r="F618" t="s">
        <v>41</v>
      </c>
      <c r="G618">
        <v>-327.84809999999999</v>
      </c>
      <c r="H618">
        <v>0.91205349999999996</v>
      </c>
      <c r="I618">
        <v>367.99169999999998</v>
      </c>
      <c r="J618">
        <v>-328.48239999999998</v>
      </c>
      <c r="K618">
        <v>1.109761</v>
      </c>
      <c r="L618">
        <v>368.12920000000003</v>
      </c>
      <c r="M618">
        <v>0.99983239999999995</v>
      </c>
      <c r="N618">
        <v>-1.2482989999999999E-2</v>
      </c>
      <c r="O618">
        <v>-1.339333E-2</v>
      </c>
      <c r="P618">
        <v>0.99863040000000003</v>
      </c>
      <c r="Q618">
        <v>-5.1379580000000001E-2</v>
      </c>
      <c r="R618">
        <v>9.8770239999999999E-3</v>
      </c>
      <c r="S618">
        <v>2.9717410000000002</v>
      </c>
      <c r="T618">
        <v>-0.72636699999999998</v>
      </c>
      <c r="U618">
        <v>-0.51242069999999995</v>
      </c>
      <c r="V618">
        <v>-2.3221640000000002E-2</v>
      </c>
      <c r="W618">
        <v>-3.8930810000000003E-2</v>
      </c>
      <c r="X618">
        <v>0.99897210000000003</v>
      </c>
      <c r="Y618">
        <v>0.15246109999999999</v>
      </c>
      <c r="Z618">
        <v>-1.616747E-2</v>
      </c>
      <c r="AA618">
        <v>0.98817719999999998</v>
      </c>
      <c r="AB618">
        <v>33</v>
      </c>
      <c r="AC618">
        <v>0.63429999999999598</v>
      </c>
      <c r="AD618">
        <v>-0.19770750000000001</v>
      </c>
      <c r="AE618">
        <v>-0.137500000000045</v>
      </c>
      <c r="AF618">
        <v>0.118038501532452</v>
      </c>
      <c r="AG618">
        <v>-0.19770750000000001</v>
      </c>
      <c r="AH618">
        <v>0.58207271894347701</v>
      </c>
      <c r="AI618">
        <v>108.411846370307</v>
      </c>
      <c r="AJ618">
        <v>78.536445749705194</v>
      </c>
      <c r="AK618">
        <v>0.62596325254644802</v>
      </c>
      <c r="AL618">
        <v>92.231134814097899</v>
      </c>
      <c r="AM618">
        <v>91.331631178995806</v>
      </c>
      <c r="AN618">
        <v>1.0000000545549701</v>
      </c>
    </row>
    <row r="619" spans="1:40" x14ac:dyDescent="0.25">
      <c r="A619" t="str">
        <f>"20190305135806071"</f>
        <v>20190305135806071</v>
      </c>
      <c r="B619" t="str">
        <f>"1551765486059040"</f>
        <v>1551765486059040</v>
      </c>
      <c r="C619" t="s">
        <v>40</v>
      </c>
      <c r="D619">
        <v>4.3053290000000004</v>
      </c>
      <c r="E619">
        <v>0.56313880000000005</v>
      </c>
      <c r="F619" t="s">
        <v>41</v>
      </c>
      <c r="G619">
        <v>-327.56079999999997</v>
      </c>
      <c r="H619">
        <v>0.88456880000000004</v>
      </c>
      <c r="I619">
        <v>367.97030000000001</v>
      </c>
      <c r="J619">
        <v>-328.30619999999999</v>
      </c>
      <c r="K619">
        <v>1.109761</v>
      </c>
      <c r="L619">
        <v>368.12709999999998</v>
      </c>
      <c r="M619">
        <v>0.99983520000000004</v>
      </c>
      <c r="N619">
        <v>-1.2475109999999999E-2</v>
      </c>
      <c r="O619">
        <v>-1.319208E-2</v>
      </c>
      <c r="P619">
        <v>0.99864609999999998</v>
      </c>
      <c r="Q619">
        <v>-5.108625E-2</v>
      </c>
      <c r="R619">
        <v>9.8076959999999994E-3</v>
      </c>
      <c r="S619">
        <v>2.9718019999999998</v>
      </c>
      <c r="T619">
        <v>-0.72624230000000001</v>
      </c>
      <c r="U619">
        <v>-0.51165769999999999</v>
      </c>
      <c r="V619">
        <v>-2.2951800000000001E-2</v>
      </c>
      <c r="W619">
        <v>-3.8644860000000003E-2</v>
      </c>
      <c r="X619">
        <v>0.99898940000000003</v>
      </c>
      <c r="Y619">
        <v>0.15240799999999999</v>
      </c>
      <c r="Z619">
        <v>-1.6203189999999999E-2</v>
      </c>
      <c r="AA619">
        <v>0.98818479999999997</v>
      </c>
      <c r="AB619">
        <v>33</v>
      </c>
      <c r="AC619">
        <v>0.74540000000001705</v>
      </c>
      <c r="AD619">
        <v>-0.22519219999999901</v>
      </c>
      <c r="AE619">
        <v>-0.15679999999997499</v>
      </c>
      <c r="AF619">
        <v>0.135140597623787</v>
      </c>
      <c r="AG619">
        <v>-0.22519219999999901</v>
      </c>
      <c r="AH619">
        <v>0.68732954394269197</v>
      </c>
      <c r="AI619">
        <v>107.82148443004201</v>
      </c>
      <c r="AJ619">
        <v>78.876570803054094</v>
      </c>
      <c r="AK619">
        <v>0.73579644606604599</v>
      </c>
      <c r="AL619">
        <v>92.214738834064207</v>
      </c>
      <c r="AM619">
        <v>91.316140054461499</v>
      </c>
      <c r="AN619">
        <v>1.00000001582</v>
      </c>
    </row>
    <row r="620" spans="1:40" x14ac:dyDescent="0.25">
      <c r="A620" t="str">
        <f>"20190305135806083"</f>
        <v>20190305135806083</v>
      </c>
      <c r="B620" t="str">
        <f>"1551765486079535"</f>
        <v>1551765486079535</v>
      </c>
      <c r="C620" t="s">
        <v>40</v>
      </c>
      <c r="D620">
        <v>4.0677390000000004</v>
      </c>
      <c r="E620">
        <v>0.56249019999999905</v>
      </c>
      <c r="F620" t="s">
        <v>41</v>
      </c>
      <c r="G620">
        <v>-327.54469999999998</v>
      </c>
      <c r="H620">
        <v>0.92394229999999999</v>
      </c>
      <c r="I620">
        <v>367.99639999999999</v>
      </c>
      <c r="J620">
        <v>-328.14030000000002</v>
      </c>
      <c r="K620">
        <v>1.109761</v>
      </c>
      <c r="L620">
        <v>368.12509999999997</v>
      </c>
      <c r="M620">
        <v>0.9998378</v>
      </c>
      <c r="N620">
        <v>-1.2466909999999999E-2</v>
      </c>
      <c r="O620">
        <v>-1.300227E-2</v>
      </c>
      <c r="P620">
        <v>0.99867760000000005</v>
      </c>
      <c r="Q620">
        <v>-5.0442500000000001E-2</v>
      </c>
      <c r="R620">
        <v>9.9410799999999997E-3</v>
      </c>
      <c r="S620">
        <v>2.9720149999999999</v>
      </c>
      <c r="T620">
        <v>-0.72534370000000004</v>
      </c>
      <c r="U620">
        <v>-0.50912479999999904</v>
      </c>
      <c r="V620">
        <v>-2.2896630000000001E-2</v>
      </c>
      <c r="W620">
        <v>-3.8008809999999997E-2</v>
      </c>
      <c r="X620">
        <v>0.99901499999999999</v>
      </c>
      <c r="Y620">
        <v>0.15178939999999999</v>
      </c>
      <c r="Z620">
        <v>-1.6149380000000001E-2</v>
      </c>
      <c r="AA620">
        <v>0.98828099999999997</v>
      </c>
      <c r="AB620">
        <v>33</v>
      </c>
      <c r="AC620">
        <v>0.59560000000004698</v>
      </c>
      <c r="AD620">
        <v>-0.185818699999999</v>
      </c>
      <c r="AE620">
        <v>-0.12869999999998</v>
      </c>
      <c r="AF620">
        <v>0.110654289658444</v>
      </c>
      <c r="AG620">
        <v>-0.185818699999999</v>
      </c>
      <c r="AH620">
        <v>0.54641078159823397</v>
      </c>
      <c r="AI620">
        <v>108.43351610459</v>
      </c>
      <c r="AJ620">
        <v>78.551788653971798</v>
      </c>
      <c r="AK620">
        <v>0.58765440808037595</v>
      </c>
      <c r="AL620">
        <v>92.178269205864794</v>
      </c>
      <c r="AM620">
        <v>91.312943880313597</v>
      </c>
      <c r="AN620">
        <v>0.99999994776398504</v>
      </c>
    </row>
    <row r="621" spans="1:40" x14ac:dyDescent="0.25">
      <c r="A621" t="str">
        <f>"20190305135806094"</f>
        <v>20190305135806094</v>
      </c>
      <c r="B621" t="str">
        <f>"1551765486089295"</f>
        <v>1551765486089295</v>
      </c>
      <c r="C621" t="s">
        <v>40</v>
      </c>
      <c r="D621">
        <v>3.9959030000000002</v>
      </c>
      <c r="E621">
        <v>0.56251530000000005</v>
      </c>
      <c r="F621" t="s">
        <v>41</v>
      </c>
      <c r="G621">
        <v>-327.25790000000001</v>
      </c>
      <c r="H621">
        <v>0.89566869999999998</v>
      </c>
      <c r="I621">
        <v>367.9751</v>
      </c>
      <c r="J621">
        <v>-327.97030000000001</v>
      </c>
      <c r="K621">
        <v>1.109766</v>
      </c>
      <c r="L621">
        <v>368.12310000000002</v>
      </c>
      <c r="M621">
        <v>0.99984039999999996</v>
      </c>
      <c r="N621">
        <v>-1.245753E-2</v>
      </c>
      <c r="O621">
        <v>-1.280804E-2</v>
      </c>
      <c r="P621">
        <v>0.99869450000000004</v>
      </c>
      <c r="Q621">
        <v>-5.0071409999999997E-2</v>
      </c>
      <c r="R621">
        <v>1.0111810000000001E-2</v>
      </c>
      <c r="S621">
        <v>2.9725039999999998</v>
      </c>
      <c r="T621">
        <v>-0.72133959999999997</v>
      </c>
      <c r="U621">
        <v>-0.50326539999999997</v>
      </c>
      <c r="V621">
        <v>-2.2873600000000001E-2</v>
      </c>
      <c r="W621">
        <v>-3.7646850000000003E-2</v>
      </c>
      <c r="X621">
        <v>0.99902930000000001</v>
      </c>
      <c r="Y621">
        <v>0.150149</v>
      </c>
      <c r="Z621">
        <v>-1.5906090000000001E-2</v>
      </c>
      <c r="AA621">
        <v>0.98853539999999995</v>
      </c>
      <c r="AB621">
        <v>33</v>
      </c>
      <c r="AC621">
        <v>0.71240000000000203</v>
      </c>
      <c r="AD621">
        <v>-0.21409729999999999</v>
      </c>
      <c r="AE621">
        <v>-0.148000000000024</v>
      </c>
      <c r="AF621">
        <v>0.12779780814845099</v>
      </c>
      <c r="AG621">
        <v>-0.21409729999999999</v>
      </c>
      <c r="AH621">
        <v>0.65732524773078405</v>
      </c>
      <c r="AI621">
        <v>107.73028395411799</v>
      </c>
      <c r="AJ621">
        <v>78.997755487143607</v>
      </c>
      <c r="AK621">
        <v>0.70302661040615999</v>
      </c>
      <c r="AL621">
        <v>92.1575154261308</v>
      </c>
      <c r="AM621">
        <v>91.311604982369104</v>
      </c>
      <c r="AN621">
        <v>1.00000001457518</v>
      </c>
    </row>
    <row r="622" spans="1:40" x14ac:dyDescent="0.25">
      <c r="A622" t="str">
        <f>"20190305135806105"</f>
        <v>20190305135806105</v>
      </c>
      <c r="B622" t="str">
        <f>"1551765486099055"</f>
        <v>1551765486099055</v>
      </c>
      <c r="C622" t="s">
        <v>40</v>
      </c>
      <c r="D622">
        <v>3.984699</v>
      </c>
      <c r="E622">
        <v>0.56243140000000003</v>
      </c>
      <c r="F622" t="s">
        <v>41</v>
      </c>
      <c r="G622">
        <v>-327.24180000000001</v>
      </c>
      <c r="H622">
        <v>0.93378729999999999</v>
      </c>
      <c r="I622">
        <v>367.99939999999998</v>
      </c>
      <c r="J622">
        <v>-327.80770000000001</v>
      </c>
      <c r="K622">
        <v>1.109766</v>
      </c>
      <c r="L622">
        <v>368.12119999999999</v>
      </c>
      <c r="M622">
        <v>0.99984289999999998</v>
      </c>
      <c r="N622">
        <v>-1.244839E-2</v>
      </c>
      <c r="O622">
        <v>-1.262216E-2</v>
      </c>
      <c r="P622">
        <v>0.99868990000000002</v>
      </c>
      <c r="Q622">
        <v>-5.0145479999999999E-2</v>
      </c>
      <c r="R622">
        <v>1.020458E-2</v>
      </c>
      <c r="S622">
        <v>2.9730219999999998</v>
      </c>
      <c r="T622">
        <v>-0.71840139999999997</v>
      </c>
      <c r="U622">
        <v>-0.50262450000000003</v>
      </c>
      <c r="V622">
        <v>-2.278111E-2</v>
      </c>
      <c r="W622">
        <v>-3.772996E-2</v>
      </c>
      <c r="X622">
        <v>0.99902829999999998</v>
      </c>
      <c r="Y622">
        <v>0.1501266</v>
      </c>
      <c r="Z622">
        <v>-1.588324E-2</v>
      </c>
      <c r="AA622">
        <v>0.98853919999999995</v>
      </c>
      <c r="AB622">
        <v>33</v>
      </c>
      <c r="AC622">
        <v>0.56589999999999896</v>
      </c>
      <c r="AD622">
        <v>-0.17597869999999999</v>
      </c>
      <c r="AE622">
        <v>-0.121800000000007</v>
      </c>
      <c r="AF622">
        <v>0.104947435505645</v>
      </c>
      <c r="AG622">
        <v>-0.17597869999999999</v>
      </c>
      <c r="AH622">
        <v>0.51938951717806303</v>
      </c>
      <c r="AI622">
        <v>108.37166564527099</v>
      </c>
      <c r="AJ622">
        <v>78.576666388696495</v>
      </c>
      <c r="AK622">
        <v>0.55834392414296297</v>
      </c>
      <c r="AL622">
        <v>92.162280616320302</v>
      </c>
      <c r="AM622">
        <v>91.306304621838194</v>
      </c>
      <c r="AN622">
        <v>1.00000003652766</v>
      </c>
    </row>
    <row r="623" spans="1:40" x14ac:dyDescent="0.25">
      <c r="A623" t="str">
        <f>"20190305135806116"</f>
        <v>20190305135806116</v>
      </c>
      <c r="B623" t="str">
        <f>"1551765486109791"</f>
        <v>1551765486109791</v>
      </c>
      <c r="C623" t="s">
        <v>40</v>
      </c>
      <c r="D623">
        <v>3.9889000000000001</v>
      </c>
      <c r="E623">
        <v>0.56235429999999997</v>
      </c>
      <c r="F623" t="s">
        <v>41</v>
      </c>
      <c r="G623">
        <v>-326.95580000000001</v>
      </c>
      <c r="H623">
        <v>0.90464</v>
      </c>
      <c r="I623">
        <v>367.97710000000001</v>
      </c>
      <c r="J623">
        <v>-327.64600000000002</v>
      </c>
      <c r="K623">
        <v>1.109764</v>
      </c>
      <c r="L623">
        <v>368.11930000000001</v>
      </c>
      <c r="M623">
        <v>0.99984530000000005</v>
      </c>
      <c r="N623">
        <v>-1.2439220000000001E-2</v>
      </c>
      <c r="O623">
        <v>-1.2437220000000001E-2</v>
      </c>
      <c r="P623">
        <v>0.99870559999999997</v>
      </c>
      <c r="Q623">
        <v>-4.9833290000000002E-2</v>
      </c>
      <c r="R623">
        <v>1.0197619999999999E-2</v>
      </c>
      <c r="S623">
        <v>2.9731749999999999</v>
      </c>
      <c r="T623">
        <v>-0.71597849999999996</v>
      </c>
      <c r="U623">
        <v>-0.50152589999999997</v>
      </c>
      <c r="V623">
        <v>-2.2589870000000001E-2</v>
      </c>
      <c r="W623">
        <v>-3.7426519999999998E-2</v>
      </c>
      <c r="X623">
        <v>0.99904400000000004</v>
      </c>
      <c r="Y623">
        <v>0.14997249999999901</v>
      </c>
      <c r="Z623">
        <v>-1.585574E-2</v>
      </c>
      <c r="AA623">
        <v>0.98856299999999997</v>
      </c>
      <c r="AB623">
        <v>33</v>
      </c>
      <c r="AC623">
        <v>0.69019999999994697</v>
      </c>
      <c r="AD623">
        <v>-0.205124</v>
      </c>
      <c r="AE623">
        <v>-0.14220000000000199</v>
      </c>
      <c r="AF623">
        <v>0.12316831333917699</v>
      </c>
      <c r="AG623">
        <v>-0.205124</v>
      </c>
      <c r="AH623">
        <v>0.63786964767763898</v>
      </c>
      <c r="AI623">
        <v>107.52321373306999</v>
      </c>
      <c r="AJ623">
        <v>79.071076178292699</v>
      </c>
      <c r="AK623">
        <v>0.681266450234571</v>
      </c>
      <c r="AL623">
        <v>92.144882617760999</v>
      </c>
      <c r="AM623">
        <v>91.295322022584699</v>
      </c>
      <c r="AN623">
        <v>0.99999998028096304</v>
      </c>
    </row>
    <row r="624" spans="1:40" x14ac:dyDescent="0.25">
      <c r="A624" t="str">
        <f>"20190305135806126"</f>
        <v>20190305135806126</v>
      </c>
      <c r="B624" t="str">
        <f>"1551765486119551"</f>
        <v>1551765486119551</v>
      </c>
      <c r="C624" t="s">
        <v>40</v>
      </c>
      <c r="D624">
        <v>4.0069339999999896</v>
      </c>
      <c r="E624">
        <v>0.56235389999999996</v>
      </c>
      <c r="F624" t="s">
        <v>41</v>
      </c>
      <c r="G624">
        <v>-326.94029999999998</v>
      </c>
      <c r="H624">
        <v>0.94053520000000002</v>
      </c>
      <c r="I624">
        <v>368</v>
      </c>
      <c r="J624">
        <v>-327.49400000000003</v>
      </c>
      <c r="K624">
        <v>1.1097629999999901</v>
      </c>
      <c r="L624">
        <v>368.11759999999998</v>
      </c>
      <c r="M624">
        <v>0.99984770000000001</v>
      </c>
      <c r="N624">
        <v>-1.242909E-2</v>
      </c>
      <c r="O624">
        <v>-1.2263970000000001E-2</v>
      </c>
      <c r="P624">
        <v>0.99872640000000001</v>
      </c>
      <c r="Q624">
        <v>-4.9416649999999999E-2</v>
      </c>
      <c r="R624">
        <v>1.019216E-2</v>
      </c>
      <c r="S624">
        <v>2.9734189999999998</v>
      </c>
      <c r="T624">
        <v>-0.71310600000000002</v>
      </c>
      <c r="U624">
        <v>-0.50109859999999995</v>
      </c>
      <c r="V624">
        <v>-2.2412040000000001E-2</v>
      </c>
      <c r="W624">
        <v>-3.7019549999999998E-2</v>
      </c>
      <c r="X624">
        <v>0.99906320000000004</v>
      </c>
      <c r="Y624">
        <v>0.1500186</v>
      </c>
      <c r="Z624">
        <v>-1.5840440000000001E-2</v>
      </c>
      <c r="AA624">
        <v>0.98855630000000005</v>
      </c>
      <c r="AB624">
        <v>33</v>
      </c>
      <c r="AC624">
        <v>0.55370000000004804</v>
      </c>
      <c r="AD624">
        <v>-0.16922779999999901</v>
      </c>
      <c r="AE624">
        <v>-0.117599999999981</v>
      </c>
      <c r="AF624">
        <v>0.101709441484633</v>
      </c>
      <c r="AG624">
        <v>-0.16922779999999901</v>
      </c>
      <c r="AH624">
        <v>0.509557281159426</v>
      </c>
      <c r="AI624">
        <v>108.03954967073101</v>
      </c>
      <c r="AJ624">
        <v>78.711910534090194</v>
      </c>
      <c r="AK624">
        <v>0.54647184882896105</v>
      </c>
      <c r="AL624">
        <v>92.121548715448299</v>
      </c>
      <c r="AM624">
        <v>91.285103845674101</v>
      </c>
      <c r="AN624">
        <v>1.0000000121067001</v>
      </c>
    </row>
    <row r="625" spans="1:40" x14ac:dyDescent="0.25">
      <c r="A625" t="str">
        <f>"20190305135806137"</f>
        <v>20190305135806137</v>
      </c>
      <c r="B625" t="str">
        <f>"1551765486129311"</f>
        <v>1551765486129311</v>
      </c>
      <c r="C625" t="s">
        <v>40</v>
      </c>
      <c r="D625">
        <v>3.9947379999999999</v>
      </c>
      <c r="E625">
        <v>0.56264590000000003</v>
      </c>
      <c r="F625" t="s">
        <v>41</v>
      </c>
      <c r="G625">
        <v>-326.65530000000001</v>
      </c>
      <c r="H625">
        <v>0.90958450000000002</v>
      </c>
      <c r="I625">
        <v>367.97590000000002</v>
      </c>
      <c r="J625">
        <v>-327.33049999999997</v>
      </c>
      <c r="K625">
        <v>1.1097629999999901</v>
      </c>
      <c r="L625">
        <v>368.11579999999998</v>
      </c>
      <c r="M625">
        <v>0.99985000000000002</v>
      </c>
      <c r="N625">
        <v>-1.2417839999999999E-2</v>
      </c>
      <c r="O625">
        <v>-1.207795E-2</v>
      </c>
      <c r="P625">
        <v>0.99874359999999995</v>
      </c>
      <c r="Q625">
        <v>-4.9002900000000002E-2</v>
      </c>
      <c r="R625">
        <v>1.049809E-2</v>
      </c>
      <c r="S625">
        <v>2.9738159999999998</v>
      </c>
      <c r="T625">
        <v>-0.70993669999999998</v>
      </c>
      <c r="U625">
        <v>-0.50088500000000002</v>
      </c>
      <c r="V625">
        <v>-2.2532420000000001E-2</v>
      </c>
      <c r="W625">
        <v>-3.6616950000000002E-2</v>
      </c>
      <c r="X625">
        <v>0.9990753</v>
      </c>
      <c r="Y625">
        <v>0.150139299999999</v>
      </c>
      <c r="Z625">
        <v>-1.5829889999999999E-2</v>
      </c>
      <c r="AA625">
        <v>0.98853809999999998</v>
      </c>
      <c r="AB625">
        <v>33</v>
      </c>
      <c r="AC625">
        <v>0.67519999999996105</v>
      </c>
      <c r="AD625">
        <v>-0.20017849999999901</v>
      </c>
      <c r="AE625">
        <v>-0.13989999999995401</v>
      </c>
      <c r="AF625">
        <v>0.121494790673571</v>
      </c>
      <c r="AG625">
        <v>-0.20017849999999901</v>
      </c>
      <c r="AH625">
        <v>0.62423156419984704</v>
      </c>
      <c r="AI625">
        <v>107.47260984349801</v>
      </c>
      <c r="AJ625">
        <v>78.986162095167103</v>
      </c>
      <c r="AK625">
        <v>0.66670642847242201</v>
      </c>
      <c r="AL625">
        <v>92.098465845068603</v>
      </c>
      <c r="AM625">
        <v>91.291988445437894</v>
      </c>
      <c r="AN625">
        <v>0.99999998302422399</v>
      </c>
    </row>
    <row r="626" spans="1:40" x14ac:dyDescent="0.25">
      <c r="A626" t="str">
        <f>"20190305135806148"</f>
        <v>20190305135806148</v>
      </c>
      <c r="B626" t="str">
        <f>"1551765486140047"</f>
        <v>1551765486140047</v>
      </c>
      <c r="C626" t="s">
        <v>40</v>
      </c>
      <c r="D626">
        <v>4.0032310000000004</v>
      </c>
      <c r="E626">
        <v>0.56277659999999996</v>
      </c>
      <c r="F626" t="s">
        <v>41</v>
      </c>
      <c r="G626">
        <v>-326.63959999999997</v>
      </c>
      <c r="H626">
        <v>0.94529039999999998</v>
      </c>
      <c r="I626">
        <v>367.99869999999999</v>
      </c>
      <c r="J626">
        <v>-327.17099999999999</v>
      </c>
      <c r="K626">
        <v>1.1097649999999999</v>
      </c>
      <c r="L626">
        <v>368.11399999999998</v>
      </c>
      <c r="M626">
        <v>0.99985230000000003</v>
      </c>
      <c r="N626">
        <v>-1.2405650000000001E-2</v>
      </c>
      <c r="O626">
        <v>-1.189693E-2</v>
      </c>
      <c r="P626">
        <v>0.99876240000000005</v>
      </c>
      <c r="Q626">
        <v>-4.8621329999999997E-2</v>
      </c>
      <c r="R626">
        <v>1.0485120000000001E-2</v>
      </c>
      <c r="S626">
        <v>2.9743040000000001</v>
      </c>
      <c r="T626">
        <v>-0.70826909999999998</v>
      </c>
      <c r="U626">
        <v>-0.50213620000000003</v>
      </c>
      <c r="V626">
        <v>-2.2339310000000001E-2</v>
      </c>
      <c r="W626">
        <v>-3.6247139999999997E-2</v>
      </c>
      <c r="X626">
        <v>0.99909309999999996</v>
      </c>
      <c r="Y626">
        <v>0.15069540000000001</v>
      </c>
      <c r="Z626">
        <v>-1.590068E-2</v>
      </c>
      <c r="AA626">
        <v>0.98845240000000001</v>
      </c>
      <c r="AB626">
        <v>33</v>
      </c>
      <c r="AC626">
        <v>0.53140000000001897</v>
      </c>
      <c r="AD626">
        <v>-0.164474599999999</v>
      </c>
      <c r="AE626">
        <v>-0.115300000000047</v>
      </c>
      <c r="AF626">
        <v>9.9835345503505105E-2</v>
      </c>
      <c r="AG626">
        <v>-0.164474599999999</v>
      </c>
      <c r="AH626">
        <v>0.48807959728068501</v>
      </c>
      <c r="AI626">
        <v>108.270500791861</v>
      </c>
      <c r="AJ626">
        <v>78.439769777879604</v>
      </c>
      <c r="AK626">
        <v>0.52463385664541295</v>
      </c>
      <c r="AL626">
        <v>92.077263261991007</v>
      </c>
      <c r="AM626">
        <v>91.280896585445703</v>
      </c>
      <c r="AN626">
        <v>0.99999996119853196</v>
      </c>
    </row>
    <row r="627" spans="1:40" x14ac:dyDescent="0.25">
      <c r="A627" t="str">
        <f>"20190305135806159"</f>
        <v>20190305135806159</v>
      </c>
      <c r="B627" t="str">
        <f>"1551765486149807"</f>
        <v>1551765486149807</v>
      </c>
      <c r="C627" t="s">
        <v>40</v>
      </c>
      <c r="D627">
        <v>3.9536410000000002</v>
      </c>
      <c r="E627">
        <v>0.56294290000000002</v>
      </c>
      <c r="F627" t="s">
        <v>41</v>
      </c>
      <c r="G627">
        <v>-326.35419999999999</v>
      </c>
      <c r="H627">
        <v>0.91586020000000001</v>
      </c>
      <c r="I627">
        <v>367.97579999999999</v>
      </c>
      <c r="J627">
        <v>-326.99979999999999</v>
      </c>
      <c r="K627">
        <v>1.109764</v>
      </c>
      <c r="L627">
        <v>368.11219999999997</v>
      </c>
      <c r="M627">
        <v>0.99985480000000004</v>
      </c>
      <c r="N627">
        <v>-1.2392210000000001E-2</v>
      </c>
      <c r="O627">
        <v>-1.170303E-2</v>
      </c>
      <c r="P627">
        <v>0.99878840000000002</v>
      </c>
      <c r="Q627">
        <v>-4.8058839999999999E-2</v>
      </c>
      <c r="R627">
        <v>1.061116E-2</v>
      </c>
      <c r="S627">
        <v>2.9746090000000001</v>
      </c>
      <c r="T627">
        <v>-0.706265699999999</v>
      </c>
      <c r="U627">
        <v>-0.50323490000000004</v>
      </c>
      <c r="V627">
        <v>-2.227258E-2</v>
      </c>
      <c r="W627">
        <v>-3.5697689999999997E-2</v>
      </c>
      <c r="X627">
        <v>0.99911439999999996</v>
      </c>
      <c r="Y627">
        <v>0.15122849999999999</v>
      </c>
      <c r="Z627">
        <v>-1.5964889999999999E-2</v>
      </c>
      <c r="AA627">
        <v>0.98836990000000002</v>
      </c>
      <c r="AB627">
        <v>33</v>
      </c>
      <c r="AC627">
        <v>0.64560000000000095</v>
      </c>
      <c r="AD627">
        <v>-0.19390379999999999</v>
      </c>
      <c r="AE627">
        <v>-0.13639999999998001</v>
      </c>
      <c r="AF627">
        <v>0.118593627766412</v>
      </c>
      <c r="AG627">
        <v>-0.19390379999999999</v>
      </c>
      <c r="AH627">
        <v>0.59571051318087298</v>
      </c>
      <c r="AI627">
        <v>107.704926564326</v>
      </c>
      <c r="AJ627">
        <v>78.7408001763432</v>
      </c>
      <c r="AK627">
        <v>0.637600304042789</v>
      </c>
      <c r="AL627">
        <v>92.045761649922497</v>
      </c>
      <c r="AM627">
        <v>91.277044457378395</v>
      </c>
      <c r="AN627">
        <v>0.99999998858927597</v>
      </c>
    </row>
    <row r="628" spans="1:40" x14ac:dyDescent="0.25">
      <c r="A628" t="str">
        <f>"20190305135806173"</f>
        <v>20190305135806173</v>
      </c>
      <c r="B628" t="str">
        <f>"1551765486159567"</f>
        <v>1551765486159567</v>
      </c>
      <c r="C628" t="s">
        <v>40</v>
      </c>
      <c r="D628">
        <v>3.9659979999999999</v>
      </c>
      <c r="E628">
        <v>0.563056</v>
      </c>
      <c r="F628" t="s">
        <v>41</v>
      </c>
      <c r="G628">
        <v>-326.06670000000003</v>
      </c>
      <c r="H628">
        <v>0.88894010000000001</v>
      </c>
      <c r="I628">
        <v>367.95370000000003</v>
      </c>
      <c r="J628">
        <v>-326.8021</v>
      </c>
      <c r="K628">
        <v>1.1097600000000001</v>
      </c>
      <c r="L628">
        <v>368.11009999999999</v>
      </c>
      <c r="M628">
        <v>0.99985769999999996</v>
      </c>
      <c r="N628">
        <v>-1.23743E-2</v>
      </c>
      <c r="O628">
        <v>-1.1479420000000001E-2</v>
      </c>
      <c r="P628">
        <v>0.99879680000000004</v>
      </c>
      <c r="Q628">
        <v>-4.7842589999999997E-2</v>
      </c>
      <c r="R628">
        <v>1.0797350000000001E-2</v>
      </c>
      <c r="S628">
        <v>2.9751280000000002</v>
      </c>
      <c r="T628">
        <v>-0.70423419999999903</v>
      </c>
      <c r="U628">
        <v>-0.5036621</v>
      </c>
      <c r="V628">
        <v>-2.223605E-2</v>
      </c>
      <c r="W628">
        <v>-3.5499160000000002E-2</v>
      </c>
      <c r="X628">
        <v>0.99912230000000002</v>
      </c>
      <c r="Y628">
        <v>0.15156789999999901</v>
      </c>
      <c r="Z628">
        <v>-1.6009570000000001E-2</v>
      </c>
      <c r="AA628">
        <v>0.98831720000000001</v>
      </c>
      <c r="AB628">
        <v>33</v>
      </c>
      <c r="AC628">
        <v>0.73539999999996997</v>
      </c>
      <c r="AD628">
        <v>-0.22081990000000001</v>
      </c>
      <c r="AE628">
        <v>-0.15639999999996201</v>
      </c>
      <c r="AF628">
        <v>0.13619839626959299</v>
      </c>
      <c r="AG628">
        <v>-0.22081990000000001</v>
      </c>
      <c r="AH628">
        <v>0.67860916854738196</v>
      </c>
      <c r="AI628">
        <v>107.694684029868</v>
      </c>
      <c r="AJ628">
        <v>78.651383579261093</v>
      </c>
      <c r="AK628">
        <v>0.72651347889697704</v>
      </c>
      <c r="AL628">
        <v>92.034379478473298</v>
      </c>
      <c r="AM628">
        <v>91.274940548524</v>
      </c>
      <c r="AN628">
        <v>1.00000000131879</v>
      </c>
    </row>
    <row r="629" spans="1:40" x14ac:dyDescent="0.25">
      <c r="A629" t="str">
        <f>"20190305135806191"</f>
        <v>20190305135806191</v>
      </c>
      <c r="B629" t="str">
        <f>"1551765486179087"</f>
        <v>1551765486179087</v>
      </c>
      <c r="C629" t="s">
        <v>40</v>
      </c>
      <c r="D629">
        <v>4.0281699999999896</v>
      </c>
      <c r="E629">
        <v>0.56339619999999901</v>
      </c>
      <c r="F629" t="s">
        <v>41</v>
      </c>
      <c r="G629">
        <v>-326.04899999999998</v>
      </c>
      <c r="H629">
        <v>0.93182310000000002</v>
      </c>
      <c r="I629">
        <v>367.98200000000003</v>
      </c>
      <c r="J629">
        <v>-326.5249</v>
      </c>
      <c r="K629">
        <v>1.1097539999999999</v>
      </c>
      <c r="L629">
        <v>368.10719999999998</v>
      </c>
      <c r="M629">
        <v>0.99986149999999996</v>
      </c>
      <c r="N629">
        <v>-1.234785E-2</v>
      </c>
      <c r="O629">
        <v>-1.1166479999999999E-2</v>
      </c>
      <c r="P629">
        <v>0.99878659999999997</v>
      </c>
      <c r="Q629">
        <v>-4.803487E-2</v>
      </c>
      <c r="R629">
        <v>1.086497E-2</v>
      </c>
      <c r="S629">
        <v>2.975403</v>
      </c>
      <c r="T629">
        <v>-0.70325109999999902</v>
      </c>
      <c r="U629">
        <v>-0.5041504</v>
      </c>
      <c r="V629">
        <v>-2.199052E-2</v>
      </c>
      <c r="W629">
        <v>-3.5717699999999998E-2</v>
      </c>
      <c r="X629">
        <v>0.99911989999999995</v>
      </c>
      <c r="Y629">
        <v>0.1520117</v>
      </c>
      <c r="Z629">
        <v>-1.6108230000000001E-2</v>
      </c>
      <c r="AA629">
        <v>0.98824749999999995</v>
      </c>
      <c r="AB629">
        <v>33</v>
      </c>
      <c r="AC629">
        <v>0.47589999999996702</v>
      </c>
      <c r="AD629">
        <v>-0.1779309</v>
      </c>
      <c r="AE629">
        <v>-0.125200000000006</v>
      </c>
      <c r="AF629">
        <v>0.106017017713325</v>
      </c>
      <c r="AG629">
        <v>-0.1779309</v>
      </c>
      <c r="AH629">
        <v>0.42208515004233099</v>
      </c>
      <c r="AI629">
        <v>112.237317022019</v>
      </c>
      <c r="AJ629">
        <v>75.900439751629904</v>
      </c>
      <c r="AK629">
        <v>0.47016474464371999</v>
      </c>
      <c r="AL629">
        <v>92.0469089371975</v>
      </c>
      <c r="AM629">
        <v>91.260870279337993</v>
      </c>
      <c r="AN629">
        <v>0.99999995581958401</v>
      </c>
    </row>
    <row r="630" spans="1:40" x14ac:dyDescent="0.25">
      <c r="A630" t="str">
        <f>"20190305135806207"</f>
        <v>20190305135806207</v>
      </c>
      <c r="B630" t="str">
        <f>"1551765486199583"</f>
        <v>1551765486199583</v>
      </c>
      <c r="C630" t="s">
        <v>40</v>
      </c>
      <c r="D630">
        <v>3.9438300000000002</v>
      </c>
      <c r="E630">
        <v>0.56367959999999995</v>
      </c>
      <c r="F630" t="s">
        <v>41</v>
      </c>
      <c r="G630">
        <v>-325.7527</v>
      </c>
      <c r="H630">
        <v>0.92702839999999997</v>
      </c>
      <c r="I630">
        <v>367.97550000000001</v>
      </c>
      <c r="J630">
        <v>-326.2989</v>
      </c>
      <c r="K630">
        <v>1.109748</v>
      </c>
      <c r="L630">
        <v>368.10489999999999</v>
      </c>
      <c r="M630">
        <v>0.99986459999999999</v>
      </c>
      <c r="N630">
        <v>-1.2326169999999999E-2</v>
      </c>
      <c r="O630">
        <v>-1.091162E-2</v>
      </c>
      <c r="P630">
        <v>0.99879370000000001</v>
      </c>
      <c r="Q630">
        <v>-4.7961089999999998E-2</v>
      </c>
      <c r="R630">
        <v>1.054327E-2</v>
      </c>
      <c r="S630">
        <v>2.9752809999999998</v>
      </c>
      <c r="T630">
        <v>-0.70405580000000001</v>
      </c>
      <c r="U630">
        <v>-0.50631709999999996</v>
      </c>
      <c r="V630">
        <v>-2.141409E-2</v>
      </c>
      <c r="W630">
        <v>-3.5664929999999997E-2</v>
      </c>
      <c r="X630">
        <v>0.99913439999999998</v>
      </c>
      <c r="Y630">
        <v>0.15292929999999999</v>
      </c>
      <c r="Z630">
        <v>-1.6290929999999999E-2</v>
      </c>
      <c r="AA630">
        <v>0.98810290000000001</v>
      </c>
      <c r="AB630">
        <v>33</v>
      </c>
      <c r="AC630">
        <v>0.54619999999999802</v>
      </c>
      <c r="AD630">
        <v>-0.18271960000000001</v>
      </c>
      <c r="AE630">
        <v>-0.12939999999997501</v>
      </c>
      <c r="AF630">
        <v>0.11160590556854599</v>
      </c>
      <c r="AG630">
        <v>-0.18271960000000001</v>
      </c>
      <c r="AH630">
        <v>0.49511595771007499</v>
      </c>
      <c r="AI630">
        <v>109.799437207751</v>
      </c>
      <c r="AJ630">
        <v>77.297058984612605</v>
      </c>
      <c r="AK630">
        <v>0.53942760585744998</v>
      </c>
      <c r="AL630">
        <v>92.043883318849197</v>
      </c>
      <c r="AM630">
        <v>91.227811957073001</v>
      </c>
      <c r="AN630">
        <v>1.00000004987289</v>
      </c>
    </row>
    <row r="631" spans="1:40" x14ac:dyDescent="0.25">
      <c r="A631" t="str">
        <f>"20190305135806219"</f>
        <v>20190305135806219</v>
      </c>
      <c r="B631" t="str">
        <f>"1551765486209343"</f>
        <v>1551765486209343</v>
      </c>
      <c r="C631" t="s">
        <v>40</v>
      </c>
      <c r="D631">
        <v>3.9976739999999999</v>
      </c>
      <c r="E631">
        <v>0.56389639999999996</v>
      </c>
      <c r="F631" t="s">
        <v>41</v>
      </c>
      <c r="G631">
        <v>-325.46050000000002</v>
      </c>
      <c r="H631">
        <v>0.91141680000000003</v>
      </c>
      <c r="I631">
        <v>367.96089999999998</v>
      </c>
      <c r="J631">
        <v>-326.11059999999998</v>
      </c>
      <c r="K631">
        <v>1.1097440000000001</v>
      </c>
      <c r="L631">
        <v>368.10309999999998</v>
      </c>
      <c r="M631">
        <v>0.99986719999999896</v>
      </c>
      <c r="N631">
        <v>-1.2308390000000001E-2</v>
      </c>
      <c r="O631">
        <v>-1.069874E-2</v>
      </c>
      <c r="P631">
        <v>0.99878739999999999</v>
      </c>
      <c r="Q631">
        <v>-4.8127009999999998E-2</v>
      </c>
      <c r="R631">
        <v>1.038276E-2</v>
      </c>
      <c r="S631">
        <v>2.9751590000000001</v>
      </c>
      <c r="T631">
        <v>-0.70396840000000005</v>
      </c>
      <c r="U631">
        <v>-0.509552</v>
      </c>
      <c r="V631">
        <v>-2.1040909999999999E-2</v>
      </c>
      <c r="W631">
        <v>-3.5848310000000001E-2</v>
      </c>
      <c r="X631">
        <v>0.99913569999999996</v>
      </c>
      <c r="Y631">
        <v>0.15415219999999999</v>
      </c>
      <c r="Z631">
        <v>-1.6483009999999999E-2</v>
      </c>
      <c r="AA631">
        <v>0.98790960000000005</v>
      </c>
      <c r="AB631">
        <v>33</v>
      </c>
      <c r="AC631">
        <v>0.65009999999995205</v>
      </c>
      <c r="AD631">
        <v>-0.19832720000000001</v>
      </c>
      <c r="AE631">
        <v>-0.14220000000000199</v>
      </c>
      <c r="AF631">
        <v>0.12420434735492999</v>
      </c>
      <c r="AG631">
        <v>-0.19832720000000001</v>
      </c>
      <c r="AH631">
        <v>0.59843198559546995</v>
      </c>
      <c r="AI631">
        <v>107.978038641613</v>
      </c>
      <c r="AJ631">
        <v>78.274751914638699</v>
      </c>
      <c r="AK631">
        <v>0.64255835497286995</v>
      </c>
      <c r="AL631">
        <v>92.054397076700496</v>
      </c>
      <c r="AM631">
        <v>91.206419880516194</v>
      </c>
      <c r="AN631">
        <v>0.99999998411898605</v>
      </c>
    </row>
    <row r="632" spans="1:40" x14ac:dyDescent="0.25">
      <c r="A632" t="str">
        <f>"20190305135806236"</f>
        <v>20190305135806236</v>
      </c>
      <c r="B632" t="str">
        <f>"1551765486229842"</f>
        <v>1551765486229842</v>
      </c>
      <c r="C632" t="s">
        <v>40</v>
      </c>
      <c r="D632">
        <v>3.923168</v>
      </c>
      <c r="E632">
        <v>0.56408409999999998</v>
      </c>
      <c r="F632" t="s">
        <v>41</v>
      </c>
      <c r="G632">
        <v>-325.17169999999999</v>
      </c>
      <c r="H632">
        <v>0.88736409999999999</v>
      </c>
      <c r="I632">
        <v>367.94159999999999</v>
      </c>
      <c r="J632">
        <v>-325.85039999999998</v>
      </c>
      <c r="K632">
        <v>1.1097440000000001</v>
      </c>
      <c r="L632">
        <v>368.10059999999999</v>
      </c>
      <c r="M632">
        <v>0.9998705</v>
      </c>
      <c r="N632">
        <v>-1.2285320000000001E-2</v>
      </c>
      <c r="O632">
        <v>-1.0404999999999999E-2</v>
      </c>
      <c r="P632">
        <v>0.99879600000000002</v>
      </c>
      <c r="Q632">
        <v>-4.8074260000000001E-2</v>
      </c>
      <c r="R632">
        <v>9.7814800000000004E-3</v>
      </c>
      <c r="S632">
        <v>2.9750369999999999</v>
      </c>
      <c r="T632">
        <v>-0.70471669999999997</v>
      </c>
      <c r="U632">
        <v>-0.51141359999999902</v>
      </c>
      <c r="V632">
        <v>-2.01462E-2</v>
      </c>
      <c r="W632">
        <v>-3.5817679999999998E-2</v>
      </c>
      <c r="X632">
        <v>0.99915529999999997</v>
      </c>
      <c r="Y632">
        <v>0.15501029999999999</v>
      </c>
      <c r="Z632">
        <v>-1.666627E-2</v>
      </c>
      <c r="AA632">
        <v>0.98777230000000005</v>
      </c>
      <c r="AB632">
        <v>33</v>
      </c>
      <c r="AC632">
        <v>0.67869999999999198</v>
      </c>
      <c r="AD632">
        <v>-0.22237989999999999</v>
      </c>
      <c r="AE632">
        <v>-0.15899999999999101</v>
      </c>
      <c r="AF632">
        <v>0.13789504338439701</v>
      </c>
      <c r="AG632">
        <v>-0.22237989999999999</v>
      </c>
      <c r="AH632">
        <v>0.61747564805424804</v>
      </c>
      <c r="AI632">
        <v>109.36583898856</v>
      </c>
      <c r="AJ632">
        <v>77.411234385099803</v>
      </c>
      <c r="AK632">
        <v>0.67062958393885996</v>
      </c>
      <c r="AL632">
        <v>92.052640855077001</v>
      </c>
      <c r="AM632">
        <v>91.155111565999604</v>
      </c>
      <c r="AN632">
        <v>1.00000004454655</v>
      </c>
    </row>
    <row r="633" spans="1:40" x14ac:dyDescent="0.25">
      <c r="A633" t="str">
        <f>"20190305135806247"</f>
        <v>20190305135806247</v>
      </c>
      <c r="B633" t="str">
        <f>"1551765486239599"</f>
        <v>1551765486239599</v>
      </c>
      <c r="C633" t="s">
        <v>40</v>
      </c>
      <c r="D633">
        <v>3.9152819999999999</v>
      </c>
      <c r="E633">
        <v>0.56417569999999995</v>
      </c>
      <c r="F633" t="s">
        <v>41</v>
      </c>
      <c r="G633">
        <v>-325.14819999999997</v>
      </c>
      <c r="H633">
        <v>0.94345429999999997</v>
      </c>
      <c r="I633">
        <v>367.97899999999998</v>
      </c>
      <c r="J633">
        <v>-325.69959999999998</v>
      </c>
      <c r="K633">
        <v>1.1097459999999999</v>
      </c>
      <c r="L633">
        <v>368.0992</v>
      </c>
      <c r="M633">
        <v>0.99987230000000005</v>
      </c>
      <c r="N633">
        <v>-1.227282E-2</v>
      </c>
      <c r="O633">
        <v>-1.023458E-2</v>
      </c>
      <c r="P633">
        <v>0.99882150000000003</v>
      </c>
      <c r="Q633">
        <v>-4.7614450000000003E-2</v>
      </c>
      <c r="R633">
        <v>9.4150740000000007E-3</v>
      </c>
      <c r="S633">
        <v>2.9747620000000001</v>
      </c>
      <c r="T633">
        <v>-0.70447309999999996</v>
      </c>
      <c r="U633">
        <v>-0.51452640000000005</v>
      </c>
      <c r="V633">
        <v>-1.961005E-2</v>
      </c>
      <c r="W633">
        <v>-3.5369599999999897E-2</v>
      </c>
      <c r="X633">
        <v>0.99918189999999996</v>
      </c>
      <c r="Y633">
        <v>0.15616379999999999</v>
      </c>
      <c r="Z633">
        <v>-1.6838490000000001E-2</v>
      </c>
      <c r="AA633">
        <v>0.98758760000000001</v>
      </c>
      <c r="AB633">
        <v>33</v>
      </c>
      <c r="AC633">
        <v>0.551400000000001</v>
      </c>
      <c r="AD633">
        <v>-0.16629169999999899</v>
      </c>
      <c r="AE633">
        <v>-0.120199999999954</v>
      </c>
      <c r="AF633">
        <v>0.105398679128567</v>
      </c>
      <c r="AG633">
        <v>-0.16629169999999899</v>
      </c>
      <c r="AH633">
        <v>0.50845476426577696</v>
      </c>
      <c r="AI633">
        <v>107.757403463286</v>
      </c>
      <c r="AJ633">
        <v>78.288897072332404</v>
      </c>
      <c r="AK633">
        <v>0.54524128452961396</v>
      </c>
      <c r="AL633">
        <v>92.026951542875096</v>
      </c>
      <c r="AM633">
        <v>91.124348703236393</v>
      </c>
      <c r="AN633">
        <v>1.00000001597638</v>
      </c>
    </row>
    <row r="634" spans="1:40" x14ac:dyDescent="0.25">
      <c r="A634" t="str">
        <f>"20190305135806257"</f>
        <v>20190305135806257</v>
      </c>
      <c r="B634" t="str">
        <f>"1551765486249359"</f>
        <v>1551765486249359</v>
      </c>
      <c r="C634" t="s">
        <v>40</v>
      </c>
      <c r="D634">
        <v>3.9326469999999998</v>
      </c>
      <c r="E634">
        <v>0.56424839999999998</v>
      </c>
      <c r="F634" t="s">
        <v>41</v>
      </c>
      <c r="G634">
        <v>-324.863</v>
      </c>
      <c r="H634">
        <v>0.91230239999999996</v>
      </c>
      <c r="I634">
        <v>367.95350000000002</v>
      </c>
      <c r="J634">
        <v>-325.53050000000002</v>
      </c>
      <c r="K634">
        <v>1.109745</v>
      </c>
      <c r="L634">
        <v>368.0976</v>
      </c>
      <c r="M634">
        <v>0.9998745</v>
      </c>
      <c r="N634">
        <v>-1.2258979999999999E-2</v>
      </c>
      <c r="O634">
        <v>-1.004389E-2</v>
      </c>
      <c r="P634">
        <v>0.99885429999999997</v>
      </c>
      <c r="Q634">
        <v>-4.6947160000000002E-2</v>
      </c>
      <c r="R634">
        <v>9.3036739999999996E-3</v>
      </c>
      <c r="S634">
        <v>2.9749150000000002</v>
      </c>
      <c r="T634">
        <v>-0.70226029999999995</v>
      </c>
      <c r="U634">
        <v>-0.51675420000000005</v>
      </c>
      <c r="V634">
        <v>-1.9309380000000001E-2</v>
      </c>
      <c r="W634">
        <v>-3.4715509999999998E-2</v>
      </c>
      <c r="X634">
        <v>0.99921070000000001</v>
      </c>
      <c r="Y634">
        <v>0.15705810000000001</v>
      </c>
      <c r="Z634">
        <v>-1.6938120000000001E-2</v>
      </c>
      <c r="AA634">
        <v>0.98744410000000005</v>
      </c>
      <c r="AB634">
        <v>33</v>
      </c>
      <c r="AC634">
        <v>0.66750000000001797</v>
      </c>
      <c r="AD634">
        <v>-0.1974426</v>
      </c>
      <c r="AE634">
        <v>-0.14409999999997999</v>
      </c>
      <c r="AF634">
        <v>0.126788634598303</v>
      </c>
      <c r="AG634">
        <v>-0.1974426</v>
      </c>
      <c r="AH634">
        <v>0.61730795270609495</v>
      </c>
      <c r="AI634">
        <v>107.396007439104</v>
      </c>
      <c r="AJ634">
        <v>78.393453149599594</v>
      </c>
      <c r="AK634">
        <v>0.66039991416735699</v>
      </c>
      <c r="AL634">
        <v>91.989451905115402</v>
      </c>
      <c r="AM634">
        <v>91.107082111296606</v>
      </c>
      <c r="AN634">
        <v>1.0000000208925099</v>
      </c>
    </row>
    <row r="635" spans="1:40" x14ac:dyDescent="0.25">
      <c r="A635" t="str">
        <f>"20190305135806268"</f>
        <v>20190305135806268</v>
      </c>
      <c r="B635" t="str">
        <f>"1551765486259120"</f>
        <v>1551765486259120</v>
      </c>
      <c r="C635" t="s">
        <v>40</v>
      </c>
      <c r="D635">
        <v>3.9277229999999999</v>
      </c>
      <c r="E635">
        <v>0.5643475</v>
      </c>
      <c r="F635" t="s">
        <v>41</v>
      </c>
      <c r="G635">
        <v>-324.84699999999998</v>
      </c>
      <c r="H635">
        <v>0.9490767</v>
      </c>
      <c r="I635">
        <v>367.97829999999999</v>
      </c>
      <c r="J635">
        <v>-325.36470000000003</v>
      </c>
      <c r="K635">
        <v>1.1097459999999999</v>
      </c>
      <c r="L635">
        <v>368.09620000000001</v>
      </c>
      <c r="M635">
        <v>0.9998764</v>
      </c>
      <c r="N635">
        <v>-1.2246409999999999E-2</v>
      </c>
      <c r="O635">
        <v>-9.8570159999999997E-3</v>
      </c>
      <c r="P635">
        <v>0.99885729999999995</v>
      </c>
      <c r="Q635">
        <v>-4.6930819999999998E-2</v>
      </c>
      <c r="R635">
        <v>9.0453719999999994E-3</v>
      </c>
      <c r="S635">
        <v>2.9753720000000001</v>
      </c>
      <c r="T635">
        <v>-0.69958849999999995</v>
      </c>
      <c r="U635">
        <v>-0.51760859999999997</v>
      </c>
      <c r="V635">
        <v>-1.886388E-2</v>
      </c>
      <c r="W635">
        <v>-3.4711310000000002E-2</v>
      </c>
      <c r="X635">
        <v>0.99921939999999998</v>
      </c>
      <c r="Y635">
        <v>0.15750720000000001</v>
      </c>
      <c r="Z635">
        <v>-1.6970849999999999E-2</v>
      </c>
      <c r="AA635">
        <v>0.98737200000000003</v>
      </c>
      <c r="AB635">
        <v>33</v>
      </c>
      <c r="AC635">
        <v>0.51770000000004701</v>
      </c>
      <c r="AD635">
        <v>-0.16066929999999899</v>
      </c>
      <c r="AE635">
        <v>-0.11790000000002</v>
      </c>
      <c r="AF635">
        <v>0.10332914026069</v>
      </c>
      <c r="AG635">
        <v>-0.16066929999999899</v>
      </c>
      <c r="AH635">
        <v>0.47531302158042599</v>
      </c>
      <c r="AI635">
        <v>108.279077904613</v>
      </c>
      <c r="AJ635">
        <v>77.735200658592404</v>
      </c>
      <c r="AK635">
        <v>0.51226360760200196</v>
      </c>
      <c r="AL635">
        <v>91.989211029606295</v>
      </c>
      <c r="AM635">
        <v>91.081536581866899</v>
      </c>
      <c r="AN635">
        <v>1.00000006517346</v>
      </c>
    </row>
    <row r="636" spans="1:40" x14ac:dyDescent="0.25">
      <c r="A636" t="str">
        <f>"20190305135806280"</f>
        <v>20190305135806280</v>
      </c>
      <c r="B636" t="str">
        <f>"1551765486269856"</f>
        <v>1551765486269856</v>
      </c>
      <c r="C636" t="s">
        <v>40</v>
      </c>
      <c r="D636">
        <v>3.9685899999999998</v>
      </c>
      <c r="E636">
        <v>0.56448379999999998</v>
      </c>
      <c r="F636" t="s">
        <v>41</v>
      </c>
      <c r="G636">
        <v>-324.56099999999998</v>
      </c>
      <c r="H636">
        <v>0.92087350000000001</v>
      </c>
      <c r="I636">
        <v>367.9556</v>
      </c>
      <c r="J636">
        <v>-325.20100000000002</v>
      </c>
      <c r="K636">
        <v>1.1097360000000001</v>
      </c>
      <c r="L636">
        <v>368.09469999999999</v>
      </c>
      <c r="M636">
        <v>0.9998783</v>
      </c>
      <c r="N636">
        <v>-1.223551E-2</v>
      </c>
      <c r="O636">
        <v>-9.6720560000000001E-3</v>
      </c>
      <c r="P636">
        <v>0.99886010000000003</v>
      </c>
      <c r="Q636">
        <v>-4.6853989999999998E-2</v>
      </c>
      <c r="R636">
        <v>9.1226169999999995E-3</v>
      </c>
      <c r="S636">
        <v>2.975311</v>
      </c>
      <c r="T636">
        <v>-0.69922819999999997</v>
      </c>
      <c r="U636">
        <v>-0.51947019999999999</v>
      </c>
      <c r="V636">
        <v>-1.8757200000000002E-2</v>
      </c>
      <c r="W636">
        <v>-3.4645259999999997E-2</v>
      </c>
      <c r="X636">
        <v>0.99922359999999999</v>
      </c>
      <c r="Y636">
        <v>0.15827169999999999</v>
      </c>
      <c r="Z636">
        <v>-1.709453E-2</v>
      </c>
      <c r="AA636">
        <v>0.9872476</v>
      </c>
      <c r="AB636">
        <v>33</v>
      </c>
      <c r="AC636">
        <v>0.63999999999998602</v>
      </c>
      <c r="AD636">
        <v>-0.18886249999999999</v>
      </c>
      <c r="AE636">
        <v>-0.13909999999998399</v>
      </c>
      <c r="AF636">
        <v>0.122699861536645</v>
      </c>
      <c r="AG636">
        <v>-0.18886249999999999</v>
      </c>
      <c r="AH636">
        <v>0.592081291552638</v>
      </c>
      <c r="AI636">
        <v>107.345891099688</v>
      </c>
      <c r="AJ636">
        <v>78.292046159659606</v>
      </c>
      <c r="AK636">
        <v>0.63347024849948796</v>
      </c>
      <c r="AL636">
        <v>91.985424565614295</v>
      </c>
      <c r="AM636">
        <v>91.075417140959701</v>
      </c>
      <c r="AN636">
        <v>0.99999996469463304</v>
      </c>
    </row>
    <row r="637" spans="1:40" x14ac:dyDescent="0.25">
      <c r="A637" t="str">
        <f>"20190305135806292"</f>
        <v>20190305135806292</v>
      </c>
      <c r="B637" t="str">
        <f>"1551765486279615"</f>
        <v>1551765486279615</v>
      </c>
      <c r="C637" t="s">
        <v>40</v>
      </c>
      <c r="D637">
        <v>3.9157329999999999</v>
      </c>
      <c r="E637">
        <v>0.56459459999999995</v>
      </c>
      <c r="F637" t="s">
        <v>41</v>
      </c>
      <c r="G637">
        <v>-324.274</v>
      </c>
      <c r="H637">
        <v>0.89195789999999997</v>
      </c>
      <c r="I637">
        <v>367.93220000000002</v>
      </c>
      <c r="J637">
        <v>-325.01510000000002</v>
      </c>
      <c r="K637">
        <v>1.109737</v>
      </c>
      <c r="L637">
        <v>368.09309999999999</v>
      </c>
      <c r="M637">
        <v>0.9998804</v>
      </c>
      <c r="N637">
        <v>-1.223084E-2</v>
      </c>
      <c r="O637">
        <v>-9.4606589999999997E-3</v>
      </c>
      <c r="P637">
        <v>0.99886229999999998</v>
      </c>
      <c r="Q637">
        <v>-4.6794229999999999E-2</v>
      </c>
      <c r="R637">
        <v>9.1945970000000005E-3</v>
      </c>
      <c r="S637">
        <v>2.975403</v>
      </c>
      <c r="T637">
        <v>-0.69917850000000004</v>
      </c>
      <c r="U637">
        <v>-0.52020259999999996</v>
      </c>
      <c r="V637">
        <v>-1.861763E-2</v>
      </c>
      <c r="W637">
        <v>-3.4590070000000001E-2</v>
      </c>
      <c r="X637">
        <v>0.99922820000000001</v>
      </c>
      <c r="Y637">
        <v>0.15869520000000001</v>
      </c>
      <c r="Z637">
        <v>-1.7189699999999999E-2</v>
      </c>
      <c r="AA637">
        <v>0.987178</v>
      </c>
      <c r="AB637">
        <v>33</v>
      </c>
      <c r="AC637">
        <v>0.74110000000001697</v>
      </c>
      <c r="AD637">
        <v>-0.2177791</v>
      </c>
      <c r="AE637">
        <v>-0.16089999999996901</v>
      </c>
      <c r="AF637">
        <v>0.14215778204159299</v>
      </c>
      <c r="AG637">
        <v>-0.2177791</v>
      </c>
      <c r="AH637">
        <v>0.68601609510531003</v>
      </c>
      <c r="AI637">
        <v>107.267899711913</v>
      </c>
      <c r="AJ637">
        <v>78.292738205553704</v>
      </c>
      <c r="AK637">
        <v>0.733658404255913</v>
      </c>
      <c r="AL637">
        <v>91.982260360931903</v>
      </c>
      <c r="AM637">
        <v>91.0674120408991</v>
      </c>
      <c r="AN637">
        <v>1.0000000423823201</v>
      </c>
    </row>
    <row r="638" spans="1:40" x14ac:dyDescent="0.25">
      <c r="A638" t="str">
        <f>"20190305135806304"</f>
        <v>20190305135806304</v>
      </c>
      <c r="B638" t="str">
        <f>"1551765486299136"</f>
        <v>1551765486299136</v>
      </c>
      <c r="C638" t="s">
        <v>40</v>
      </c>
      <c r="D638">
        <v>3.952086</v>
      </c>
      <c r="E638">
        <v>0.56475209999999998</v>
      </c>
      <c r="F638" t="s">
        <v>41</v>
      </c>
      <c r="G638">
        <v>-324.25779999999997</v>
      </c>
      <c r="H638">
        <v>0.93186440000000004</v>
      </c>
      <c r="I638">
        <v>367.96019999999999</v>
      </c>
      <c r="J638">
        <v>-324.84550000000002</v>
      </c>
      <c r="K638">
        <v>1.1097410000000001</v>
      </c>
      <c r="L638">
        <v>368.0917</v>
      </c>
      <c r="M638">
        <v>0.9998821</v>
      </c>
      <c r="N638">
        <v>-1.2235050000000001E-2</v>
      </c>
      <c r="O638">
        <v>-9.2683869999999995E-3</v>
      </c>
      <c r="P638">
        <v>0.99885310000000005</v>
      </c>
      <c r="Q638">
        <v>-4.7001220000000003E-2</v>
      </c>
      <c r="R638">
        <v>9.1381459999999998E-3</v>
      </c>
      <c r="S638">
        <v>2.9754939999999999</v>
      </c>
      <c r="T638">
        <v>-0.69904259999999996</v>
      </c>
      <c r="U638">
        <v>-0.52066040000000002</v>
      </c>
      <c r="V638">
        <v>-1.8369259999999998E-2</v>
      </c>
      <c r="W638">
        <v>-3.4792740000000003E-2</v>
      </c>
      <c r="X638">
        <v>0.99922569999999999</v>
      </c>
      <c r="Y638">
        <v>0.1590154</v>
      </c>
      <c r="Z638">
        <v>-1.726712E-2</v>
      </c>
      <c r="AA638">
        <v>0.98712509999999998</v>
      </c>
      <c r="AB638">
        <v>33</v>
      </c>
      <c r="AC638">
        <v>0.58770000000003997</v>
      </c>
      <c r="AD638">
        <v>-0.1778766</v>
      </c>
      <c r="AE638">
        <v>-0.13150000000001599</v>
      </c>
      <c r="AF638">
        <v>0.11593304897885</v>
      </c>
      <c r="AG638">
        <v>-0.1778766</v>
      </c>
      <c r="AH638">
        <v>0.54164147319089495</v>
      </c>
      <c r="AI638">
        <v>107.80334298998601</v>
      </c>
      <c r="AJ638">
        <v>77.918692986458296</v>
      </c>
      <c r="AK638">
        <v>0.58176975011897603</v>
      </c>
      <c r="AL638">
        <v>91.993879610405202</v>
      </c>
      <c r="AM638">
        <v>91.0531780075477</v>
      </c>
      <c r="AN638">
        <v>0.99999998200507201</v>
      </c>
    </row>
    <row r="639" spans="1:40" x14ac:dyDescent="0.25">
      <c r="A639" t="str">
        <f>"20190305135806315"</f>
        <v>20190305135806315</v>
      </c>
      <c r="B639" t="str">
        <f>"1551765486309872"</f>
        <v>1551765486309872</v>
      </c>
      <c r="C639" t="s">
        <v>40</v>
      </c>
      <c r="D639">
        <v>3.9133450000000001</v>
      </c>
      <c r="E639">
        <v>0.56478390000000001</v>
      </c>
      <c r="F639" t="s">
        <v>41</v>
      </c>
      <c r="G639">
        <v>-323.9708</v>
      </c>
      <c r="H639">
        <v>0.90388610000000003</v>
      </c>
      <c r="I639">
        <v>367.93790000000001</v>
      </c>
      <c r="J639">
        <v>-324.67439999999999</v>
      </c>
      <c r="K639">
        <v>1.10975</v>
      </c>
      <c r="L639">
        <v>368.09030000000001</v>
      </c>
      <c r="M639">
        <v>0.99988390000000005</v>
      </c>
      <c r="N639">
        <v>-1.2247549999999999E-2</v>
      </c>
      <c r="O639">
        <v>-9.075451E-3</v>
      </c>
      <c r="P639">
        <v>0.99886050000000004</v>
      </c>
      <c r="Q639">
        <v>-4.6816539999999997E-2</v>
      </c>
      <c r="R639">
        <v>9.2945489999999992E-3</v>
      </c>
      <c r="S639">
        <v>2.9752809999999998</v>
      </c>
      <c r="T639">
        <v>-0.70032240000000001</v>
      </c>
      <c r="U639">
        <v>-0.52203370000000004</v>
      </c>
      <c r="V639">
        <v>-1.833222E-2</v>
      </c>
      <c r="W639">
        <v>-3.4595500000000001E-2</v>
      </c>
      <c r="X639">
        <v>0.99923320000000004</v>
      </c>
      <c r="Y639">
        <v>0.15962299999999999</v>
      </c>
      <c r="Z639">
        <v>-1.7413620000000001E-2</v>
      </c>
      <c r="AA639">
        <v>0.98702440000000002</v>
      </c>
      <c r="AB639">
        <v>33</v>
      </c>
      <c r="AC639">
        <v>0.70359999999999401</v>
      </c>
      <c r="AD639">
        <v>-0.20586389999999999</v>
      </c>
      <c r="AE639">
        <v>-0.15240000000000001</v>
      </c>
      <c r="AF639">
        <v>0.13497109405858199</v>
      </c>
      <c r="AG639">
        <v>-0.20586389999999999</v>
      </c>
      <c r="AH639">
        <v>0.65166703797613301</v>
      </c>
      <c r="AI639">
        <v>107.188840108243</v>
      </c>
      <c r="AJ639">
        <v>78.298538287595207</v>
      </c>
      <c r="AK639">
        <v>0.69661113251165296</v>
      </c>
      <c r="AL639">
        <v>91.982571839711397</v>
      </c>
      <c r="AM639">
        <v>91.051046956246694</v>
      </c>
      <c r="AN639">
        <v>0.99999995344630799</v>
      </c>
    </row>
    <row r="640" spans="1:40" x14ac:dyDescent="0.25">
      <c r="A640" t="str">
        <f>"20190305135806326"</f>
        <v>20190305135806326</v>
      </c>
      <c r="B640" t="str">
        <f>"1551765486319631"</f>
        <v>1551765486319631</v>
      </c>
      <c r="C640" t="s">
        <v>40</v>
      </c>
      <c r="D640">
        <v>3.8912810000000002</v>
      </c>
      <c r="E640">
        <v>0.56473739999999994</v>
      </c>
      <c r="F640" t="s">
        <v>41</v>
      </c>
      <c r="G640">
        <v>-323.9554</v>
      </c>
      <c r="H640">
        <v>0.94065860000000001</v>
      </c>
      <c r="I640">
        <v>367.96390000000002</v>
      </c>
      <c r="J640">
        <v>-324.50850000000003</v>
      </c>
      <c r="K640">
        <v>1.1097629999999901</v>
      </c>
      <c r="L640">
        <v>368.089</v>
      </c>
      <c r="M640">
        <v>0.99988489999999997</v>
      </c>
      <c r="N640">
        <v>-1.2290830000000001E-2</v>
      </c>
      <c r="O640">
        <v>-8.8937789999999992E-3</v>
      </c>
      <c r="P640">
        <v>0.99888209999999999</v>
      </c>
      <c r="Q640">
        <v>-4.6348210000000001E-2</v>
      </c>
      <c r="R640">
        <v>9.2918840000000003E-3</v>
      </c>
      <c r="S640">
        <v>2.9754640000000001</v>
      </c>
      <c r="T640">
        <v>-0.69987390000000005</v>
      </c>
      <c r="U640">
        <v>-0.52182010000000001</v>
      </c>
      <c r="V640">
        <v>-1.8149100000000001E-2</v>
      </c>
      <c r="W640">
        <v>-3.4083530000000001E-2</v>
      </c>
      <c r="X640">
        <v>0.99925419999999998</v>
      </c>
      <c r="Y640">
        <v>0.1597208</v>
      </c>
      <c r="Z640">
        <v>-1.7458000000000001E-2</v>
      </c>
      <c r="AA640">
        <v>0.98700790000000005</v>
      </c>
      <c r="AB640">
        <v>33</v>
      </c>
      <c r="AC640">
        <v>0.55310000000002801</v>
      </c>
      <c r="AD640">
        <v>-0.16910439999999899</v>
      </c>
      <c r="AE640">
        <v>-0.12509999999997401</v>
      </c>
      <c r="AF640">
        <v>0.110361396512376</v>
      </c>
      <c r="AG640">
        <v>-0.16910439999999899</v>
      </c>
      <c r="AH640">
        <v>0.50893282661448302</v>
      </c>
      <c r="AI640">
        <v>107.989930207508</v>
      </c>
      <c r="AJ640">
        <v>77.764918345294703</v>
      </c>
      <c r="AK640">
        <v>0.54752950417793</v>
      </c>
      <c r="AL640">
        <v>91.953220684008301</v>
      </c>
      <c r="AM640">
        <v>91.040528536424304</v>
      </c>
      <c r="AN640">
        <v>1.00000001653285</v>
      </c>
    </row>
    <row r="641" spans="1:40" x14ac:dyDescent="0.25">
      <c r="A641" t="str">
        <f>"20190305135806337"</f>
        <v>20190305135806337</v>
      </c>
      <c r="B641" t="str">
        <f>"1551765486329391"</f>
        <v>1551765486329391</v>
      </c>
      <c r="C641" t="s">
        <v>40</v>
      </c>
      <c r="D641">
        <v>3.9538959999999999</v>
      </c>
      <c r="E641">
        <v>0.56478319999999904</v>
      </c>
      <c r="F641" t="s">
        <v>41</v>
      </c>
      <c r="G641">
        <v>-323.66899999999998</v>
      </c>
      <c r="H641">
        <v>0.91294059999999999</v>
      </c>
      <c r="I641">
        <v>367.94170000000003</v>
      </c>
      <c r="J641">
        <v>-324.34109999999998</v>
      </c>
      <c r="K641">
        <v>1.1097790000000001</v>
      </c>
      <c r="L641">
        <v>368.08769999999998</v>
      </c>
      <c r="M641">
        <v>0.99988589999999999</v>
      </c>
      <c r="N641">
        <v>-1.2344819999999999E-2</v>
      </c>
      <c r="O641">
        <v>-8.7127679999999992E-3</v>
      </c>
      <c r="P641">
        <v>0.99888710000000003</v>
      </c>
      <c r="Q641">
        <v>-4.6194020000000002E-2</v>
      </c>
      <c r="R641">
        <v>9.5456900000000008E-3</v>
      </c>
      <c r="S641">
        <v>2.9758300000000002</v>
      </c>
      <c r="T641">
        <v>-0.69770339999999997</v>
      </c>
      <c r="U641">
        <v>-0.52163700000000002</v>
      </c>
      <c r="V641">
        <v>-1.822213E-2</v>
      </c>
      <c r="W641">
        <v>-3.3875420000000003E-2</v>
      </c>
      <c r="X641">
        <v>0.99925989999999998</v>
      </c>
      <c r="Y641">
        <v>0.15983729999999999</v>
      </c>
      <c r="Z641">
        <v>-1.7465029999999999E-2</v>
      </c>
      <c r="AA641">
        <v>0.9869888</v>
      </c>
      <c r="AB641">
        <v>33</v>
      </c>
      <c r="AC641">
        <v>0.67209999999994297</v>
      </c>
      <c r="AD641">
        <v>-0.1968384</v>
      </c>
      <c r="AE641">
        <v>-0.145999999999958</v>
      </c>
      <c r="AF641">
        <v>0.129528708165908</v>
      </c>
      <c r="AG641">
        <v>-0.1968384</v>
      </c>
      <c r="AH641">
        <v>0.62236953253836402</v>
      </c>
      <c r="AI641">
        <v>107.20449610112</v>
      </c>
      <c r="AJ641">
        <v>78.243323768149693</v>
      </c>
      <c r="AK641">
        <v>0.66548243927673301</v>
      </c>
      <c r="AL641">
        <v>91.941290062346994</v>
      </c>
      <c r="AM641">
        <v>91.044708625762993</v>
      </c>
      <c r="AN641">
        <v>0.99999996892496101</v>
      </c>
    </row>
    <row r="642" spans="1:40" x14ac:dyDescent="0.25">
      <c r="A642" t="str">
        <f>"20190305135806348"</f>
        <v>20190305135806348</v>
      </c>
      <c r="B642" t="str">
        <f>"1551765486339151"</f>
        <v>1551765486339151</v>
      </c>
      <c r="C642" t="s">
        <v>40</v>
      </c>
      <c r="D642">
        <v>3.9259330000000001</v>
      </c>
      <c r="E642">
        <v>0.56483819999999996</v>
      </c>
      <c r="F642" t="s">
        <v>41</v>
      </c>
      <c r="G642">
        <v>-323.65359999999998</v>
      </c>
      <c r="H642">
        <v>0.94866249999999996</v>
      </c>
      <c r="I642">
        <v>367.96719999999999</v>
      </c>
      <c r="J642">
        <v>-324.17750000000001</v>
      </c>
      <c r="K642">
        <v>1.1097969999999999</v>
      </c>
      <c r="L642">
        <v>368.0865</v>
      </c>
      <c r="M642">
        <v>0.99988639999999995</v>
      </c>
      <c r="N642">
        <v>-1.242909E-2</v>
      </c>
      <c r="O642">
        <v>-8.5332959999999992E-3</v>
      </c>
      <c r="P642">
        <v>0.99891189999999996</v>
      </c>
      <c r="Q642">
        <v>-4.564874E-2</v>
      </c>
      <c r="R642">
        <v>9.5649259999999996E-3</v>
      </c>
      <c r="S642">
        <v>2.9760740000000001</v>
      </c>
      <c r="T642">
        <v>-0.6974688</v>
      </c>
      <c r="U642">
        <v>-0.52108759999999998</v>
      </c>
      <c r="V642">
        <v>-1.8063369999999999E-2</v>
      </c>
      <c r="W642">
        <v>-3.324535E-2</v>
      </c>
      <c r="X642">
        <v>0.99928399999999995</v>
      </c>
      <c r="Y642">
        <v>0.15982150000000001</v>
      </c>
      <c r="Z642">
        <v>-1.7503290000000001E-2</v>
      </c>
      <c r="AA642">
        <v>0.9869907</v>
      </c>
      <c r="AB642">
        <v>33</v>
      </c>
      <c r="AC642">
        <v>0.52390000000002601</v>
      </c>
      <c r="AD642">
        <v>-0.16113449999999899</v>
      </c>
      <c r="AE642">
        <v>-0.119300000000009</v>
      </c>
      <c r="AF642">
        <v>0.10535013966005199</v>
      </c>
      <c r="AG642">
        <v>-0.16113449999999899</v>
      </c>
      <c r="AH642">
        <v>0.48158782283616802</v>
      </c>
      <c r="AI642">
        <v>108.10053109014</v>
      </c>
      <c r="AJ642">
        <v>77.660594423476198</v>
      </c>
      <c r="AK642">
        <v>0.51864227567825905</v>
      </c>
      <c r="AL642">
        <v>91.905169253633403</v>
      </c>
      <c r="AM642">
        <v>91.035583639867994</v>
      </c>
      <c r="AN642">
        <v>1.0000000256441799</v>
      </c>
    </row>
    <row r="643" spans="1:40" x14ac:dyDescent="0.25">
      <c r="A643" t="str">
        <f>"20190305135806360"</f>
        <v>20190305135806360</v>
      </c>
      <c r="B643" t="str">
        <f>"1551765486349888"</f>
        <v>1551765486349888</v>
      </c>
      <c r="C643" t="s">
        <v>40</v>
      </c>
      <c r="D643">
        <v>3.8969100000000001</v>
      </c>
      <c r="E643">
        <v>0.56489049999999996</v>
      </c>
      <c r="F643" t="s">
        <v>41</v>
      </c>
      <c r="G643">
        <v>-323.36829999999998</v>
      </c>
      <c r="H643">
        <v>0.9205565</v>
      </c>
      <c r="I643">
        <v>367.94470000000001</v>
      </c>
      <c r="J643">
        <v>-324.00850000000003</v>
      </c>
      <c r="K643">
        <v>1.109818</v>
      </c>
      <c r="L643">
        <v>368.08519999999999</v>
      </c>
      <c r="M643">
        <v>0.99988679999999996</v>
      </c>
      <c r="N643">
        <v>-1.2519189999999999E-2</v>
      </c>
      <c r="O643">
        <v>-8.347195E-3</v>
      </c>
      <c r="P643">
        <v>0.99893770000000004</v>
      </c>
      <c r="Q643">
        <v>-4.4995649999999998E-2</v>
      </c>
      <c r="R643">
        <v>9.9480260000000004E-3</v>
      </c>
      <c r="S643">
        <v>2.9764400000000002</v>
      </c>
      <c r="T643">
        <v>-0.69601709999999894</v>
      </c>
      <c r="U643">
        <v>-0.52148439999999996</v>
      </c>
      <c r="V643">
        <v>-1.826156E-2</v>
      </c>
      <c r="W643">
        <v>-3.250194E-2</v>
      </c>
      <c r="X643">
        <v>0.99930479999999999</v>
      </c>
      <c r="Y643">
        <v>0.1601157</v>
      </c>
      <c r="Z643">
        <v>-1.7551919999999999E-2</v>
      </c>
      <c r="AA643">
        <v>0.98694219999999999</v>
      </c>
      <c r="AB643">
        <v>33</v>
      </c>
      <c r="AC643">
        <v>0.64020000000004895</v>
      </c>
      <c r="AD643">
        <v>-0.1892615</v>
      </c>
      <c r="AE643">
        <v>-0.14049999999997401</v>
      </c>
      <c r="AF643">
        <v>0.124749173976581</v>
      </c>
      <c r="AG643">
        <v>-0.1892615</v>
      </c>
      <c r="AH643">
        <v>0.591990180926666</v>
      </c>
      <c r="AI643">
        <v>107.371421411588</v>
      </c>
      <c r="AJ643">
        <v>78.100252427027797</v>
      </c>
      <c r="AK643">
        <v>0.633904287809821</v>
      </c>
      <c r="AL643">
        <v>91.862552064285396</v>
      </c>
      <c r="AM643">
        <v>91.046921687278299</v>
      </c>
      <c r="AN643">
        <v>0.99999997199021795</v>
      </c>
    </row>
    <row r="644" spans="1:40" x14ac:dyDescent="0.25">
      <c r="A644" t="str">
        <f>"20190305135806373"</f>
        <v>20190305135806373</v>
      </c>
      <c r="B644" t="str">
        <f>"1551765486359647"</f>
        <v>1551765486359647</v>
      </c>
      <c r="C644" t="s">
        <v>40</v>
      </c>
      <c r="D644">
        <v>3.8873180000000001</v>
      </c>
      <c r="E644">
        <v>0.56493349999999998</v>
      </c>
      <c r="F644" t="s">
        <v>41</v>
      </c>
      <c r="G644">
        <v>-323.08150000000001</v>
      </c>
      <c r="H644">
        <v>0.89395179999999996</v>
      </c>
      <c r="I644">
        <v>367.92259999999999</v>
      </c>
      <c r="J644">
        <v>-323.81470000000002</v>
      </c>
      <c r="K644">
        <v>1.1098429999999999</v>
      </c>
      <c r="L644">
        <v>368.0838</v>
      </c>
      <c r="M644">
        <v>0.99988730000000003</v>
      </c>
      <c r="N644">
        <v>-1.263301E-2</v>
      </c>
      <c r="O644">
        <v>-8.1299110000000001E-3</v>
      </c>
      <c r="P644">
        <v>0.99895369999999994</v>
      </c>
      <c r="Q644">
        <v>-4.4533719999999999E-2</v>
      </c>
      <c r="R644">
        <v>1.041719E-2</v>
      </c>
      <c r="S644">
        <v>2.9771420000000002</v>
      </c>
      <c r="T644">
        <v>-0.6933511</v>
      </c>
      <c r="U644">
        <v>-0.52099609999999996</v>
      </c>
      <c r="V644">
        <v>-1.8514449999999998E-2</v>
      </c>
      <c r="W644">
        <v>-3.1926059999999999E-2</v>
      </c>
      <c r="X644">
        <v>0.9993187</v>
      </c>
      <c r="Y644">
        <v>0.16015750000000001</v>
      </c>
      <c r="Z644">
        <v>-1.7549180000000001E-2</v>
      </c>
      <c r="AA644">
        <v>0.98693540000000002</v>
      </c>
      <c r="AB644">
        <v>33</v>
      </c>
      <c r="AC644">
        <v>0.73320000000000995</v>
      </c>
      <c r="AD644">
        <v>-0.21589120000000001</v>
      </c>
      <c r="AE644">
        <v>-0.161200000000008</v>
      </c>
      <c r="AF644">
        <v>0.143375678196345</v>
      </c>
      <c r="AG644">
        <v>-0.21589120000000001</v>
      </c>
      <c r="AH644">
        <v>0.67838186769378594</v>
      </c>
      <c r="AI644">
        <v>107.294821944902</v>
      </c>
      <c r="AJ644">
        <v>78.066185398769093</v>
      </c>
      <c r="AK644">
        <v>0.72620076683477197</v>
      </c>
      <c r="AL644">
        <v>91.829539455464698</v>
      </c>
      <c r="AM644">
        <v>91.061401628890493</v>
      </c>
      <c r="AN644">
        <v>0.99999996116780698</v>
      </c>
    </row>
    <row r="645" spans="1:40" x14ac:dyDescent="0.25">
      <c r="A645" t="str">
        <f>"20190305135806397"</f>
        <v>20190305135806397</v>
      </c>
      <c r="B645" t="str">
        <f>"1551765486388927"</f>
        <v>1551765486388927</v>
      </c>
      <c r="C645" t="s">
        <v>40</v>
      </c>
      <c r="D645">
        <v>3.9777529999999999</v>
      </c>
      <c r="E645">
        <v>0.56501840000000003</v>
      </c>
      <c r="F645" t="s">
        <v>41</v>
      </c>
      <c r="G645">
        <v>-323.06439999999998</v>
      </c>
      <c r="H645">
        <v>0.93561300000000003</v>
      </c>
      <c r="I645">
        <v>367.95240000000001</v>
      </c>
      <c r="J645">
        <v>-323.4588</v>
      </c>
      <c r="K645">
        <v>1.109874</v>
      </c>
      <c r="L645">
        <v>368.08139999999997</v>
      </c>
      <c r="M645">
        <v>0.99988790000000005</v>
      </c>
      <c r="N645">
        <v>-1.283917E-2</v>
      </c>
      <c r="O645">
        <v>-7.7277319999999898E-3</v>
      </c>
      <c r="P645">
        <v>0.99896039999999997</v>
      </c>
      <c r="Q645">
        <v>-4.430663E-2</v>
      </c>
      <c r="R645">
        <v>1.0743900000000001E-2</v>
      </c>
      <c r="S645">
        <v>2.9777529999999999</v>
      </c>
      <c r="T645">
        <v>-0.69162690000000004</v>
      </c>
      <c r="U645">
        <v>-0.52038569999999995</v>
      </c>
      <c r="V645">
        <v>-1.8440370000000001E-2</v>
      </c>
      <c r="W645">
        <v>-3.149242E-2</v>
      </c>
      <c r="X645">
        <v>0.9993339</v>
      </c>
      <c r="Y645">
        <v>0.16032689999999999</v>
      </c>
      <c r="Z645">
        <v>-1.763168E-2</v>
      </c>
      <c r="AA645">
        <v>0.98690650000000002</v>
      </c>
      <c r="AB645">
        <v>33</v>
      </c>
      <c r="AC645">
        <v>0.39440000000001801</v>
      </c>
      <c r="AD645">
        <v>-0.174261</v>
      </c>
      <c r="AE645">
        <v>-0.12899999999996201</v>
      </c>
      <c r="AF645">
        <v>0.107066432975088</v>
      </c>
      <c r="AG645">
        <v>-0.174261</v>
      </c>
      <c r="AH645">
        <v>0.336110571887281</v>
      </c>
      <c r="AI645">
        <v>116.28960918930299</v>
      </c>
      <c r="AJ645">
        <v>72.330967920038205</v>
      </c>
      <c r="AK645">
        <v>0.39344686264526701</v>
      </c>
      <c r="AL645">
        <v>91.804681084772596</v>
      </c>
      <c r="AM645">
        <v>91.057139639582303</v>
      </c>
      <c r="AN645">
        <v>1.0000000317261999</v>
      </c>
    </row>
    <row r="646" spans="1:40" x14ac:dyDescent="0.25">
      <c r="A646" t="str">
        <f>"20190305135806415"</f>
        <v>20190305135806415</v>
      </c>
      <c r="B646" t="str">
        <f>"1551765486409423"</f>
        <v>1551765486409423</v>
      </c>
      <c r="C646" t="s">
        <v>40</v>
      </c>
      <c r="D646">
        <v>3.9914670000000001</v>
      </c>
      <c r="E646">
        <v>0.56491139999999995</v>
      </c>
      <c r="F646" t="s">
        <v>41</v>
      </c>
      <c r="G646">
        <v>-322.76170000000002</v>
      </c>
      <c r="H646">
        <v>0.94796809999999998</v>
      </c>
      <c r="I646">
        <v>367.95949999999999</v>
      </c>
      <c r="J646">
        <v>-323.20749999999998</v>
      </c>
      <c r="K646">
        <v>1.109912</v>
      </c>
      <c r="L646">
        <v>368.0797</v>
      </c>
      <c r="M646">
        <v>0.99988809999999995</v>
      </c>
      <c r="N646">
        <v>-1.29774E-2</v>
      </c>
      <c r="O646">
        <v>-7.4454780000000002E-3</v>
      </c>
      <c r="P646">
        <v>0.99901030000000002</v>
      </c>
      <c r="Q646">
        <v>-4.2824519999999998E-2</v>
      </c>
      <c r="R646">
        <v>1.201603E-2</v>
      </c>
      <c r="S646">
        <v>2.9779659999999999</v>
      </c>
      <c r="T646">
        <v>-0.69176859999999996</v>
      </c>
      <c r="U646">
        <v>-0.51998900000000003</v>
      </c>
      <c r="V646">
        <v>-1.9432479999999999E-2</v>
      </c>
      <c r="W646">
        <v>-2.987238E-2</v>
      </c>
      <c r="X646">
        <v>0.99936480000000005</v>
      </c>
      <c r="Y646">
        <v>0.16045179999999901</v>
      </c>
      <c r="Z646">
        <v>-1.7722040000000001E-2</v>
      </c>
      <c r="AA646">
        <v>0.9868846</v>
      </c>
      <c r="AB646">
        <v>33</v>
      </c>
      <c r="AC646">
        <v>0.445799999999962</v>
      </c>
      <c r="AD646">
        <v>-0.161943899999999</v>
      </c>
      <c r="AE646">
        <v>-0.12020000000001101</v>
      </c>
      <c r="AF646">
        <v>0.10407412936817299</v>
      </c>
      <c r="AG646">
        <v>-0.161943899999999</v>
      </c>
      <c r="AH646">
        <v>0.39775175621662701</v>
      </c>
      <c r="AI646">
        <v>111.498877118051</v>
      </c>
      <c r="AJ646">
        <v>75.336946328669001</v>
      </c>
      <c r="AK646">
        <v>0.44188653602974098</v>
      </c>
      <c r="AL646">
        <v>91.711815968662194</v>
      </c>
      <c r="AM646">
        <v>91.113966386804293</v>
      </c>
      <c r="AN646">
        <v>0.99999999192242695</v>
      </c>
    </row>
    <row r="647" spans="1:40" x14ac:dyDescent="0.25">
      <c r="A647" t="str">
        <f>"20190305135806426"</f>
        <v>20190305135806426</v>
      </c>
      <c r="B647" t="str">
        <f>"1551765486419183"</f>
        <v>1551765486419183</v>
      </c>
      <c r="C647" t="s">
        <v>40</v>
      </c>
      <c r="D647">
        <v>3.9721920000000002</v>
      </c>
      <c r="E647">
        <v>0.56480739999999996</v>
      </c>
      <c r="F647" t="s">
        <v>41</v>
      </c>
      <c r="G647">
        <v>-322.46890000000002</v>
      </c>
      <c r="H647">
        <v>0.93944729999999999</v>
      </c>
      <c r="I647">
        <v>367.95139999999998</v>
      </c>
      <c r="J647">
        <v>-323.0204</v>
      </c>
      <c r="K647">
        <v>1.1099289999999999</v>
      </c>
      <c r="L647">
        <v>368.07859999999999</v>
      </c>
      <c r="M647">
        <v>0.99988849999999996</v>
      </c>
      <c r="N647">
        <v>-1.307613E-2</v>
      </c>
      <c r="O647">
        <v>-7.2383029999999998E-3</v>
      </c>
      <c r="P647">
        <v>0.99900370000000005</v>
      </c>
      <c r="Q647">
        <v>-4.2892109999999997E-2</v>
      </c>
      <c r="R647">
        <v>1.233074E-2</v>
      </c>
      <c r="S647">
        <v>2.9797359999999999</v>
      </c>
      <c r="T647">
        <v>-0.68783549999999904</v>
      </c>
      <c r="U647">
        <v>-0.51599119999999998</v>
      </c>
      <c r="V647">
        <v>-1.953972E-2</v>
      </c>
      <c r="W647">
        <v>-2.984142E-2</v>
      </c>
      <c r="X647">
        <v>0.99936369999999997</v>
      </c>
      <c r="Y647">
        <v>0.15934409999999999</v>
      </c>
      <c r="Z647">
        <v>-1.7542700000000001E-2</v>
      </c>
      <c r="AA647">
        <v>0.98706719999999903</v>
      </c>
      <c r="AB647">
        <v>33</v>
      </c>
      <c r="AC647">
        <v>0.55149999999997501</v>
      </c>
      <c r="AD647">
        <v>-0.17048170000000001</v>
      </c>
      <c r="AE647">
        <v>-0.12720000000001599</v>
      </c>
      <c r="AF647">
        <v>0.112955822230954</v>
      </c>
      <c r="AG647">
        <v>-0.17048170000000001</v>
      </c>
      <c r="AH647">
        <v>0.50645521691019602</v>
      </c>
      <c r="AI647">
        <v>108.187690231636</v>
      </c>
      <c r="AJ647">
        <v>77.426975388133698</v>
      </c>
      <c r="AK647">
        <v>0.54618670301126404</v>
      </c>
      <c r="AL647">
        <v>91.710041187208503</v>
      </c>
      <c r="AM647">
        <v>91.120113587549199</v>
      </c>
      <c r="AN647">
        <v>1.0000000579414901</v>
      </c>
    </row>
    <row r="648" spans="1:40" x14ac:dyDescent="0.25">
      <c r="A648" t="str">
        <f>"20190305135806437"</f>
        <v>20190305135806437</v>
      </c>
      <c r="B648" t="str">
        <f>"1551765486428944"</f>
        <v>1551765486428944</v>
      </c>
      <c r="C648" t="s">
        <v>40</v>
      </c>
      <c r="D648">
        <v>3.971514</v>
      </c>
      <c r="E648">
        <v>0.56472129999999998</v>
      </c>
      <c r="F648" t="s">
        <v>41</v>
      </c>
      <c r="G648">
        <v>-322.18239999999997</v>
      </c>
      <c r="H648">
        <v>0.91641090000000003</v>
      </c>
      <c r="I648">
        <v>367.93369999999999</v>
      </c>
      <c r="J648">
        <v>-322.85079999999999</v>
      </c>
      <c r="K648">
        <v>1.109945</v>
      </c>
      <c r="L648">
        <v>368.07749999999999</v>
      </c>
      <c r="M648">
        <v>0.99988849999999996</v>
      </c>
      <c r="N648">
        <v>-1.3163889999999999E-2</v>
      </c>
      <c r="O648">
        <v>-7.0512029999999998E-3</v>
      </c>
      <c r="P648">
        <v>0.99899249999999995</v>
      </c>
      <c r="Q648">
        <v>-4.2993299999999998E-2</v>
      </c>
      <c r="R648">
        <v>1.286727E-2</v>
      </c>
      <c r="S648">
        <v>2.9797669999999998</v>
      </c>
      <c r="T648">
        <v>-0.68814169999999997</v>
      </c>
      <c r="U648">
        <v>-0.51477050000000002</v>
      </c>
      <c r="V648">
        <v>-1.9889489999999999E-2</v>
      </c>
      <c r="W648">
        <v>-2.9855340000000001E-2</v>
      </c>
      <c r="X648">
        <v>0.99935629999999998</v>
      </c>
      <c r="Y648">
        <v>0.159130299999999</v>
      </c>
      <c r="Z648">
        <v>-1.7572230000000001E-2</v>
      </c>
      <c r="AA648">
        <v>0.98710120000000001</v>
      </c>
      <c r="AB648">
        <v>33</v>
      </c>
      <c r="AC648">
        <v>0.66840000000001898</v>
      </c>
      <c r="AD648">
        <v>-0.19353409999999999</v>
      </c>
      <c r="AE648">
        <v>-0.14379999999999801</v>
      </c>
      <c r="AF648">
        <v>0.12876511984824299</v>
      </c>
      <c r="AG648">
        <v>-0.19353409999999999</v>
      </c>
      <c r="AH648">
        <v>0.61973818091329103</v>
      </c>
      <c r="AI648">
        <v>107.001206913453</v>
      </c>
      <c r="AJ648">
        <v>78.262460836468193</v>
      </c>
      <c r="AK648">
        <v>0.66189977854208304</v>
      </c>
      <c r="AL648">
        <v>91.710839244023404</v>
      </c>
      <c r="AM648">
        <v>91.140167331472099</v>
      </c>
      <c r="AN648">
        <v>0.99999997374433203</v>
      </c>
    </row>
    <row r="649" spans="1:40" x14ac:dyDescent="0.25">
      <c r="A649" t="str">
        <f>"20190305135806448"</f>
        <v>20190305135806448</v>
      </c>
      <c r="B649" t="str">
        <f>"1551765486439680"</f>
        <v>1551765486439680</v>
      </c>
      <c r="C649" t="s">
        <v>40</v>
      </c>
      <c r="D649">
        <v>4.0195449999999999</v>
      </c>
      <c r="E649">
        <v>0.5646738</v>
      </c>
      <c r="F649" t="s">
        <v>41</v>
      </c>
      <c r="G649">
        <v>-322.1669</v>
      </c>
      <c r="H649">
        <v>0.95191429999999999</v>
      </c>
      <c r="I649">
        <v>367.9597</v>
      </c>
      <c r="J649">
        <v>-322.70650000000001</v>
      </c>
      <c r="K649">
        <v>1.1099600000000001</v>
      </c>
      <c r="L649">
        <v>368.07659999999998</v>
      </c>
      <c r="M649">
        <v>0.99988869999999996</v>
      </c>
      <c r="N649">
        <v>-1.323382E-2</v>
      </c>
      <c r="O649">
        <v>-6.8940299999999998E-3</v>
      </c>
      <c r="P649">
        <v>0.99898830000000005</v>
      </c>
      <c r="Q649">
        <v>-4.301427E-2</v>
      </c>
      <c r="R649">
        <v>1.312835E-2</v>
      </c>
      <c r="S649">
        <v>2.9800110000000002</v>
      </c>
      <c r="T649">
        <v>-0.68859049999999999</v>
      </c>
      <c r="U649">
        <v>-0.51248170000000004</v>
      </c>
      <c r="V649">
        <v>-1.9993400000000001E-2</v>
      </c>
      <c r="W649">
        <v>-2.9806590000000001E-2</v>
      </c>
      <c r="X649">
        <v>0.99935569999999896</v>
      </c>
      <c r="Y649">
        <v>0.158541299999999</v>
      </c>
      <c r="Z649">
        <v>-1.755139E-2</v>
      </c>
      <c r="AA649">
        <v>0.98719630000000003</v>
      </c>
      <c r="AB649">
        <v>33</v>
      </c>
      <c r="AC649">
        <v>0.53960000000000696</v>
      </c>
      <c r="AD649">
        <v>-0.15804570000000001</v>
      </c>
      <c r="AE649">
        <v>-0.116899999999986</v>
      </c>
      <c r="AF649">
        <v>0.104605386876332</v>
      </c>
      <c r="AG649">
        <v>-0.15804570000000001</v>
      </c>
      <c r="AH649">
        <v>0.49946629258981801</v>
      </c>
      <c r="AI649">
        <v>107.208260080619</v>
      </c>
      <c r="AJ649">
        <v>78.171266139984297</v>
      </c>
      <c r="AK649">
        <v>0.53421653632722299</v>
      </c>
      <c r="AL649">
        <v>91.708044799898502</v>
      </c>
      <c r="AM649">
        <v>91.146123087501493</v>
      </c>
      <c r="AN649">
        <v>0.99999999198673795</v>
      </c>
    </row>
    <row r="650" spans="1:40" x14ac:dyDescent="0.25">
      <c r="A650" t="str">
        <f>"20190305135806458"</f>
        <v>20190305135806458</v>
      </c>
      <c r="B650" t="str">
        <f>"1551765486449439"</f>
        <v>1551765486449439</v>
      </c>
      <c r="C650" t="s">
        <v>40</v>
      </c>
      <c r="D650">
        <v>3.9995440000000002</v>
      </c>
      <c r="E650">
        <v>0.56459380000000003</v>
      </c>
      <c r="F650" t="s">
        <v>41</v>
      </c>
      <c r="G650">
        <v>-321.88490000000002</v>
      </c>
      <c r="H650">
        <v>0.92011240000000005</v>
      </c>
      <c r="I650">
        <v>367.93529999999998</v>
      </c>
      <c r="J650">
        <v>-322.54689999999999</v>
      </c>
      <c r="K650">
        <v>1.109972</v>
      </c>
      <c r="L650">
        <v>368.07569999999998</v>
      </c>
      <c r="M650">
        <v>0.99988900000000003</v>
      </c>
      <c r="N650">
        <v>-1.331077E-2</v>
      </c>
      <c r="O650">
        <v>-6.7205709999999998E-3</v>
      </c>
      <c r="P650">
        <v>0.99897469999999999</v>
      </c>
      <c r="Q650">
        <v>-4.317928E-2</v>
      </c>
      <c r="R650">
        <v>1.360683E-2</v>
      </c>
      <c r="S650">
        <v>2.9800420000000001</v>
      </c>
      <c r="T650">
        <v>-0.68879619999999997</v>
      </c>
      <c r="U650">
        <v>-0.51150509999999905</v>
      </c>
      <c r="V650">
        <v>-2.0298320000000002E-2</v>
      </c>
      <c r="W650">
        <v>-2.9895149999999999E-2</v>
      </c>
      <c r="X650">
        <v>0.99934690000000004</v>
      </c>
      <c r="Y650">
        <v>0.15839249999999999</v>
      </c>
      <c r="Z650">
        <v>-1.7582319999999999E-2</v>
      </c>
      <c r="AA650">
        <v>0.98721970000000003</v>
      </c>
      <c r="AB650">
        <v>33</v>
      </c>
      <c r="AC650">
        <v>0.66199999999997705</v>
      </c>
      <c r="AD650">
        <v>-0.18985959999999999</v>
      </c>
      <c r="AE650">
        <v>-0.140399999999999</v>
      </c>
      <c r="AF650">
        <v>0.12602753206831899</v>
      </c>
      <c r="AG650">
        <v>-0.18985959999999999</v>
      </c>
      <c r="AH650">
        <v>0.61455575602733103</v>
      </c>
      <c r="AI650">
        <v>106.83790770099201</v>
      </c>
      <c r="AJ650">
        <v>78.410972699469397</v>
      </c>
      <c r="AK650">
        <v>0.65544517987221196</v>
      </c>
      <c r="AL650">
        <v>91.713121189798599</v>
      </c>
      <c r="AM650">
        <v>91.163608122183803</v>
      </c>
      <c r="AN650">
        <v>0.99999998416397695</v>
      </c>
    </row>
    <row r="651" spans="1:40" x14ac:dyDescent="0.25">
      <c r="A651" t="str">
        <f>"20190305135806468"</f>
        <v>20190305135806468</v>
      </c>
      <c r="B651" t="str">
        <f>"1551765486459199"</f>
        <v>1551765486459199</v>
      </c>
      <c r="C651" t="s">
        <v>40</v>
      </c>
      <c r="D651">
        <v>4.0278119999999999</v>
      </c>
      <c r="E651">
        <v>0.56454139999999997</v>
      </c>
      <c r="F651" t="s">
        <v>41</v>
      </c>
      <c r="G651">
        <v>-321.601</v>
      </c>
      <c r="H651">
        <v>0.891001499999999</v>
      </c>
      <c r="I651">
        <v>367.91390000000001</v>
      </c>
      <c r="J651">
        <v>-322.38619999999997</v>
      </c>
      <c r="K651">
        <v>1.1099810000000001</v>
      </c>
      <c r="L651">
        <v>368.07479999999998</v>
      </c>
      <c r="M651">
        <v>0.99988909999999998</v>
      </c>
      <c r="N651">
        <v>-1.338232E-2</v>
      </c>
      <c r="O651">
        <v>-6.545894E-3</v>
      </c>
      <c r="P651">
        <v>0.99897080000000005</v>
      </c>
      <c r="Q651">
        <v>-4.3158920000000003E-2</v>
      </c>
      <c r="R651">
        <v>1.395362E-2</v>
      </c>
      <c r="S651">
        <v>2.9801639999999998</v>
      </c>
      <c r="T651">
        <v>-0.68985369999999901</v>
      </c>
      <c r="U651">
        <v>-0.50952149999999996</v>
      </c>
      <c r="V651">
        <v>-2.0470889999999999E-2</v>
      </c>
      <c r="W651">
        <v>-2.9803489999999998E-2</v>
      </c>
      <c r="X651">
        <v>0.99934610000000001</v>
      </c>
      <c r="Y651">
        <v>0.1579149</v>
      </c>
      <c r="Z651">
        <v>-1.7593259999999999E-2</v>
      </c>
      <c r="AA651">
        <v>0.98729599999999995</v>
      </c>
      <c r="AB651">
        <v>33</v>
      </c>
      <c r="AC651">
        <v>0.78519999999997403</v>
      </c>
      <c r="AD651">
        <v>-0.21897949999999999</v>
      </c>
      <c r="AE651">
        <v>-0.16089999999996901</v>
      </c>
      <c r="AF651">
        <v>0.144937824792256</v>
      </c>
      <c r="AG651">
        <v>-0.21897949999999999</v>
      </c>
      <c r="AH651">
        <v>0.73162652492591596</v>
      </c>
      <c r="AI651">
        <v>106.362202867454</v>
      </c>
      <c r="AJ651">
        <v>78.794583958285699</v>
      </c>
      <c r="AK651">
        <v>0.77732642207179203</v>
      </c>
      <c r="AL651">
        <v>91.707867147629003</v>
      </c>
      <c r="AM651">
        <v>91.173498940811797</v>
      </c>
      <c r="AN651">
        <v>0.99999996646939004</v>
      </c>
    </row>
    <row r="652" spans="1:40" x14ac:dyDescent="0.25">
      <c r="A652" t="str">
        <f>"20190305135806480"</f>
        <v>20190305135806480</v>
      </c>
      <c r="B652" t="str">
        <f>"1551765486468960"</f>
        <v>1551765486468960</v>
      </c>
      <c r="C652" t="s">
        <v>40</v>
      </c>
      <c r="D652">
        <v>4.0010379999999897</v>
      </c>
      <c r="E652">
        <v>0.56450599999999995</v>
      </c>
      <c r="F652" t="s">
        <v>41</v>
      </c>
      <c r="G652">
        <v>-321.5874</v>
      </c>
      <c r="H652">
        <v>0.92492399999999997</v>
      </c>
      <c r="I652">
        <v>367.93860000000001</v>
      </c>
      <c r="J652">
        <v>-322.22379999999998</v>
      </c>
      <c r="K652">
        <v>1.1099829999999999</v>
      </c>
      <c r="L652">
        <v>368.07389999999998</v>
      </c>
      <c r="M652">
        <v>0.99988929999999998</v>
      </c>
      <c r="N652">
        <v>-1.345324E-2</v>
      </c>
      <c r="O652">
        <v>-6.3693109999999999E-3</v>
      </c>
      <c r="P652">
        <v>0.99896499999999999</v>
      </c>
      <c r="Q652">
        <v>-4.325826E-2</v>
      </c>
      <c r="R652">
        <v>1.4069480000000001E-2</v>
      </c>
      <c r="S652">
        <v>2.9803470000000001</v>
      </c>
      <c r="T652">
        <v>-0.69045819999999902</v>
      </c>
      <c r="U652">
        <v>-0.50817869999999998</v>
      </c>
      <c r="V652">
        <v>-2.0410350000000001E-2</v>
      </c>
      <c r="W652">
        <v>-2.9831969999999999E-2</v>
      </c>
      <c r="X652">
        <v>0.99934650000000003</v>
      </c>
      <c r="Y652">
        <v>0.157642</v>
      </c>
      <c r="Z652">
        <v>-1.761797E-2</v>
      </c>
      <c r="AA652">
        <v>0.98733910000000003</v>
      </c>
      <c r="AB652">
        <v>33</v>
      </c>
      <c r="AC652">
        <v>0.63639999999997998</v>
      </c>
      <c r="AD652">
        <v>-0.185059</v>
      </c>
      <c r="AE652">
        <v>-0.135299999999972</v>
      </c>
      <c r="AF652">
        <v>0.121420280234862</v>
      </c>
      <c r="AG652">
        <v>-0.185059</v>
      </c>
      <c r="AH652">
        <v>0.58955276544458302</v>
      </c>
      <c r="AI652">
        <v>107.08976204147601</v>
      </c>
      <c r="AJ652">
        <v>78.362471731236994</v>
      </c>
      <c r="AK652">
        <v>0.62973183274840705</v>
      </c>
      <c r="AL652">
        <v>91.709499637757801</v>
      </c>
      <c r="AM652">
        <v>91.170028967997794</v>
      </c>
      <c r="AN652">
        <v>0.99999997794172601</v>
      </c>
    </row>
    <row r="653" spans="1:40" x14ac:dyDescent="0.25">
      <c r="A653" t="str">
        <f>"20190305135806491"</f>
        <v>20190305135806491</v>
      </c>
      <c r="B653" t="str">
        <f>"1551765486479695"</f>
        <v>1551765486479695</v>
      </c>
      <c r="C653" t="s">
        <v>40</v>
      </c>
      <c r="D653">
        <v>3.977662</v>
      </c>
      <c r="E653">
        <v>0.56444729999999999</v>
      </c>
      <c r="F653" t="s">
        <v>41</v>
      </c>
      <c r="G653">
        <v>-321.30340000000001</v>
      </c>
      <c r="H653">
        <v>0.89658150000000003</v>
      </c>
      <c r="I653">
        <v>367.9169</v>
      </c>
      <c r="J653">
        <v>-322.05689999999998</v>
      </c>
      <c r="K653">
        <v>1.10999</v>
      </c>
      <c r="L653">
        <v>368.07299999999998</v>
      </c>
      <c r="M653">
        <v>0.99988960000000005</v>
      </c>
      <c r="N653">
        <v>-1.3520860000000001E-2</v>
      </c>
      <c r="O653">
        <v>-6.187115E-3</v>
      </c>
      <c r="P653">
        <v>0.99897270000000005</v>
      </c>
      <c r="Q653">
        <v>-4.3037560000000002E-2</v>
      </c>
      <c r="R653">
        <v>1.420255E-2</v>
      </c>
      <c r="S653">
        <v>2.9803160000000002</v>
      </c>
      <c r="T653">
        <v>-0.69109639999999894</v>
      </c>
      <c r="U653">
        <v>-0.50759889999999996</v>
      </c>
      <c r="V653">
        <v>-2.0361440000000001E-2</v>
      </c>
      <c r="W653">
        <v>-2.9543529999999998E-2</v>
      </c>
      <c r="X653">
        <v>0.99935609999999997</v>
      </c>
      <c r="Y653">
        <v>0.15762419999999999</v>
      </c>
      <c r="Z653">
        <v>-1.7675920000000001E-2</v>
      </c>
      <c r="AA653">
        <v>0.98734100000000002</v>
      </c>
      <c r="AB653">
        <v>33</v>
      </c>
      <c r="AC653">
        <v>0.75349999999997397</v>
      </c>
      <c r="AD653">
        <v>-0.2134085</v>
      </c>
      <c r="AE653">
        <v>-0.15610000000003699</v>
      </c>
      <c r="AF653">
        <v>0.140618991995103</v>
      </c>
      <c r="AG653">
        <v>-0.2134085</v>
      </c>
      <c r="AH653">
        <v>0.70056782917744997</v>
      </c>
      <c r="AI653">
        <v>106.629050341425</v>
      </c>
      <c r="AJ653">
        <v>78.650326735690001</v>
      </c>
      <c r="AK653">
        <v>0.74572928872371202</v>
      </c>
      <c r="AL653">
        <v>91.692965898163706</v>
      </c>
      <c r="AM653">
        <v>91.167214755819799</v>
      </c>
      <c r="AN653">
        <v>1.0000000115054699</v>
      </c>
    </row>
    <row r="654" spans="1:40" x14ac:dyDescent="0.25">
      <c r="A654" t="str">
        <f>"20190305135806503"</f>
        <v>20190305135806503</v>
      </c>
      <c r="B654" t="str">
        <f>"1551765486499216"</f>
        <v>1551765486499216</v>
      </c>
      <c r="C654" t="s">
        <v>40</v>
      </c>
      <c r="D654">
        <v>4.0095780000000003</v>
      </c>
      <c r="E654">
        <v>0.56436039999999998</v>
      </c>
      <c r="F654" t="s">
        <v>41</v>
      </c>
      <c r="G654">
        <v>-321.28899999999999</v>
      </c>
      <c r="H654">
        <v>0.93200539999999998</v>
      </c>
      <c r="I654">
        <v>367.94220000000001</v>
      </c>
      <c r="J654">
        <v>-321.89409999999998</v>
      </c>
      <c r="K654">
        <v>1.109993</v>
      </c>
      <c r="L654">
        <v>368.07220000000001</v>
      </c>
      <c r="M654">
        <v>0.99988969999999999</v>
      </c>
      <c r="N654">
        <v>-1.3583929999999999E-2</v>
      </c>
      <c r="O654">
        <v>-6.0087119999999898E-3</v>
      </c>
      <c r="P654">
        <v>0.99897559999999996</v>
      </c>
      <c r="Q654">
        <v>-4.2914969999999997E-2</v>
      </c>
      <c r="R654">
        <v>1.435259E-2</v>
      </c>
      <c r="S654">
        <v>2.9805299999999999</v>
      </c>
      <c r="T654">
        <v>-0.69094460000000002</v>
      </c>
      <c r="U654">
        <v>-0.50662229999999997</v>
      </c>
      <c r="V654">
        <v>-2.0333440000000001E-2</v>
      </c>
      <c r="W654">
        <v>-2.9357830000000001E-2</v>
      </c>
      <c r="X654">
        <v>0.99936210000000003</v>
      </c>
      <c r="Y654">
        <v>0.1574749</v>
      </c>
      <c r="Z654">
        <v>-1.7697259999999999E-2</v>
      </c>
      <c r="AA654">
        <v>0.98736440000000003</v>
      </c>
      <c r="AB654">
        <v>33</v>
      </c>
      <c r="AC654">
        <v>0.60509999999999298</v>
      </c>
      <c r="AD654">
        <v>-0.1779876</v>
      </c>
      <c r="AE654">
        <v>-0.12999999999999501</v>
      </c>
      <c r="AF654">
        <v>0.11670909170947499</v>
      </c>
      <c r="AG654">
        <v>-0.1779876</v>
      </c>
      <c r="AH654">
        <v>0.55958975126231503</v>
      </c>
      <c r="AI654">
        <v>107.294924458043</v>
      </c>
      <c r="AJ654">
        <v>78.2191614749905</v>
      </c>
      <c r="AK654">
        <v>0.598699663904391</v>
      </c>
      <c r="AL654">
        <v>91.682321526453194</v>
      </c>
      <c r="AM654">
        <v>91.165603109347799</v>
      </c>
      <c r="AN654">
        <v>0.99999996894047505</v>
      </c>
    </row>
    <row r="655" spans="1:40" x14ac:dyDescent="0.25">
      <c r="A655" t="str">
        <f>"20190305135806514"</f>
        <v>20190305135806514</v>
      </c>
      <c r="B655" t="str">
        <f>"1551765486509952"</f>
        <v>1551765486509952</v>
      </c>
      <c r="C655" t="s">
        <v>40</v>
      </c>
      <c r="D655">
        <v>4.036314</v>
      </c>
      <c r="E655">
        <v>0.56431279999999995</v>
      </c>
      <c r="F655" t="s">
        <v>41</v>
      </c>
      <c r="G655">
        <v>-321.00569999999999</v>
      </c>
      <c r="H655">
        <v>0.90371159999999995</v>
      </c>
      <c r="I655">
        <v>367.92140000000001</v>
      </c>
      <c r="J655">
        <v>-321.71530000000001</v>
      </c>
      <c r="K655">
        <v>1.1099969999999999</v>
      </c>
      <c r="L655">
        <v>368.07130000000001</v>
      </c>
      <c r="M655">
        <v>0.9998901</v>
      </c>
      <c r="N655">
        <v>-1.364899E-2</v>
      </c>
      <c r="O655">
        <v>-5.8123280000000003E-3</v>
      </c>
      <c r="P655">
        <v>0.99896700000000005</v>
      </c>
      <c r="Q655">
        <v>-4.3000719999999999E-2</v>
      </c>
      <c r="R655">
        <v>1.469752E-2</v>
      </c>
      <c r="S655">
        <v>2.9806210000000002</v>
      </c>
      <c r="T655">
        <v>-0.69208930000000002</v>
      </c>
      <c r="U655">
        <v>-0.50549319999999998</v>
      </c>
      <c r="V655">
        <v>-2.0481630000000001E-2</v>
      </c>
      <c r="W655">
        <v>-2.9378729999999999E-2</v>
      </c>
      <c r="X655">
        <v>0.99935850000000004</v>
      </c>
      <c r="Y655">
        <v>0.15728619999999999</v>
      </c>
      <c r="Z655">
        <v>-1.774885E-2</v>
      </c>
      <c r="AA655">
        <v>0.98739359999999998</v>
      </c>
      <c r="AB655">
        <v>33</v>
      </c>
      <c r="AC655">
        <v>0.70960000000002299</v>
      </c>
      <c r="AD655">
        <v>-0.20628539999999901</v>
      </c>
      <c r="AE655">
        <v>-0.149900000000002</v>
      </c>
      <c r="AF655">
        <v>0.134862274605688</v>
      </c>
      <c r="AG655">
        <v>-0.20628539999999901</v>
      </c>
      <c r="AH655">
        <v>0.65728489876553997</v>
      </c>
      <c r="AI655">
        <v>107.089519843633</v>
      </c>
      <c r="AJ655">
        <v>78.404930053537598</v>
      </c>
      <c r="AK655">
        <v>0.70197217716246096</v>
      </c>
      <c r="AL655">
        <v>91.683519457175294</v>
      </c>
      <c r="AM655">
        <v>91.174099877438806</v>
      </c>
      <c r="AN655">
        <v>1.0000000092330501</v>
      </c>
    </row>
    <row r="656" spans="1:40" x14ac:dyDescent="0.25">
      <c r="A656" t="str">
        <f>"20190305135806527"</f>
        <v>20190305135806527</v>
      </c>
      <c r="B656" t="str">
        <f>"1551765486519712"</f>
        <v>1551765486519712</v>
      </c>
      <c r="C656" t="s">
        <v>40</v>
      </c>
      <c r="D656">
        <v>4.036645</v>
      </c>
      <c r="E656">
        <v>0.56425899999999996</v>
      </c>
      <c r="F656" t="s">
        <v>41</v>
      </c>
      <c r="G656">
        <v>-320.98989999999998</v>
      </c>
      <c r="H656">
        <v>0.94135570000000002</v>
      </c>
      <c r="I656">
        <v>367.94839999999999</v>
      </c>
      <c r="J656">
        <v>-321.54500000000002</v>
      </c>
      <c r="K656">
        <v>1.1100000000000001</v>
      </c>
      <c r="L656">
        <v>368.07049999999998</v>
      </c>
      <c r="M656">
        <v>0.99989039999999996</v>
      </c>
      <c r="N656">
        <v>-1.3706360000000001E-2</v>
      </c>
      <c r="O656">
        <v>-5.6249589999999997E-3</v>
      </c>
      <c r="P656">
        <v>0.998969</v>
      </c>
      <c r="Q656">
        <v>-4.2933510000000001E-2</v>
      </c>
      <c r="R656">
        <v>1.476331E-2</v>
      </c>
      <c r="S656">
        <v>2.9807130000000002</v>
      </c>
      <c r="T656">
        <v>-0.69295549999999995</v>
      </c>
      <c r="U656">
        <v>-0.50436400000000003</v>
      </c>
      <c r="V656">
        <v>-2.0360659999999999E-2</v>
      </c>
      <c r="W656">
        <v>-2.9253990000000001E-2</v>
      </c>
      <c r="X656">
        <v>0.99936460000000005</v>
      </c>
      <c r="Y656">
        <v>0.15709229999999999</v>
      </c>
      <c r="Z656">
        <v>-1.7790739999999999E-2</v>
      </c>
      <c r="AA656">
        <v>0.98742370000000002</v>
      </c>
      <c r="AB656">
        <v>33</v>
      </c>
      <c r="AC656">
        <v>0.55510000000003801</v>
      </c>
      <c r="AD656">
        <v>-0.1686443</v>
      </c>
      <c r="AE656">
        <v>-0.122099999999989</v>
      </c>
      <c r="AF656">
        <v>0.109348311632246</v>
      </c>
      <c r="AG656">
        <v>-0.1686443</v>
      </c>
      <c r="AH656">
        <v>0.51080656875216301</v>
      </c>
      <c r="AI656">
        <v>107.892083743089</v>
      </c>
      <c r="AJ656">
        <v>77.917065770842697</v>
      </c>
      <c r="AK656">
        <v>0.54892741219552099</v>
      </c>
      <c r="AL656">
        <v>91.676369360701699</v>
      </c>
      <c r="AM656">
        <v>91.167160130365403</v>
      </c>
      <c r="AN656">
        <v>0.99999997806985697</v>
      </c>
    </row>
    <row r="657" spans="1:40" x14ac:dyDescent="0.25">
      <c r="A657" t="str">
        <f>"20190305135806538"</f>
        <v>20190305135806538</v>
      </c>
      <c r="B657" t="str">
        <f>"1551765486529471"</f>
        <v>1551765486529471</v>
      </c>
      <c r="C657" t="s">
        <v>40</v>
      </c>
      <c r="D657">
        <v>4.0501649999999998</v>
      </c>
      <c r="E657">
        <v>0.56423299999999998</v>
      </c>
      <c r="F657" t="s">
        <v>41</v>
      </c>
      <c r="G657">
        <v>-320.70650000000001</v>
      </c>
      <c r="H657">
        <v>0.91502629999999996</v>
      </c>
      <c r="I657">
        <v>367.92860000000002</v>
      </c>
      <c r="J657">
        <v>-321.3673</v>
      </c>
      <c r="K657">
        <v>1.110001</v>
      </c>
      <c r="L657">
        <v>368.06970000000001</v>
      </c>
      <c r="M657">
        <v>0.99989070000000002</v>
      </c>
      <c r="N657">
        <v>-1.3764159999999999E-2</v>
      </c>
      <c r="O657">
        <v>-5.4293709999999997E-3</v>
      </c>
      <c r="P657">
        <v>0.99896289999999999</v>
      </c>
      <c r="Q657">
        <v>-4.2944019999999999E-2</v>
      </c>
      <c r="R657">
        <v>1.514512E-2</v>
      </c>
      <c r="S657">
        <v>2.9807429999999999</v>
      </c>
      <c r="T657">
        <v>-0.69328809999999996</v>
      </c>
      <c r="U657">
        <v>-0.50387570000000004</v>
      </c>
      <c r="V657">
        <v>-2.0547490000000002E-2</v>
      </c>
      <c r="W657">
        <v>-2.9206889999999999E-2</v>
      </c>
      <c r="X657">
        <v>0.99936219999999998</v>
      </c>
      <c r="Y657">
        <v>0.15711620000000001</v>
      </c>
      <c r="Z657">
        <v>-1.7848349999999999E-2</v>
      </c>
      <c r="AA657">
        <v>0.98741880000000004</v>
      </c>
      <c r="AB657">
        <v>33</v>
      </c>
      <c r="AC657">
        <v>0.66079999999999395</v>
      </c>
      <c r="AD657">
        <v>-0.194974699999999</v>
      </c>
      <c r="AE657">
        <v>-0.14109999999999401</v>
      </c>
      <c r="AF657">
        <v>0.12694038926322301</v>
      </c>
      <c r="AG657">
        <v>-0.194974699999999</v>
      </c>
      <c r="AH657">
        <v>0.61070699649263105</v>
      </c>
      <c r="AI657">
        <v>107.35817604527401</v>
      </c>
      <c r="AJ657">
        <v>78.257810359813007</v>
      </c>
      <c r="AK657">
        <v>0.65352278585481505</v>
      </c>
      <c r="AL657">
        <v>91.673669498446898</v>
      </c>
      <c r="AM657">
        <v>91.177869849586102</v>
      </c>
      <c r="AN657">
        <v>1.0000000242788001</v>
      </c>
    </row>
    <row r="658" spans="1:40" x14ac:dyDescent="0.25">
      <c r="A658" t="str">
        <f>"20190305135806548"</f>
        <v>20190305135806548</v>
      </c>
      <c r="B658" t="str">
        <f>"1551765486539232"</f>
        <v>1551765486539232</v>
      </c>
      <c r="C658" t="s">
        <v>40</v>
      </c>
      <c r="D658">
        <v>3.9875440000000002</v>
      </c>
      <c r="E658">
        <v>0.56417569999999995</v>
      </c>
      <c r="F658" t="s">
        <v>41</v>
      </c>
      <c r="G658">
        <v>-320.42230000000001</v>
      </c>
      <c r="H658">
        <v>0.89002179999999997</v>
      </c>
      <c r="I658">
        <v>367.91059999999999</v>
      </c>
      <c r="J658">
        <v>-321.20479999999998</v>
      </c>
      <c r="K658">
        <v>1.1100000000000001</v>
      </c>
      <c r="L658">
        <v>368.06900000000002</v>
      </c>
      <c r="M658">
        <v>0.99989090000000003</v>
      </c>
      <c r="N658">
        <v>-1.381132E-2</v>
      </c>
      <c r="O658">
        <v>-5.2505340000000003E-3</v>
      </c>
      <c r="P658">
        <v>0.99895769999999995</v>
      </c>
      <c r="Q658">
        <v>-4.2992580000000002E-2</v>
      </c>
      <c r="R658">
        <v>1.534874E-2</v>
      </c>
      <c r="S658">
        <v>2.980896</v>
      </c>
      <c r="T658">
        <v>-0.69387809999999905</v>
      </c>
      <c r="U658">
        <v>-0.50228879999999998</v>
      </c>
      <c r="V658">
        <v>-2.057227E-2</v>
      </c>
      <c r="W658">
        <v>-2.92083E-2</v>
      </c>
      <c r="X658">
        <v>0.99936159999999996</v>
      </c>
      <c r="Y658">
        <v>0.15677089999999999</v>
      </c>
      <c r="Z658">
        <v>-1.7862619999999999E-2</v>
      </c>
      <c r="AA658">
        <v>0.98747339999999995</v>
      </c>
      <c r="AB658">
        <v>33</v>
      </c>
      <c r="AC658">
        <v>0.78249999999997</v>
      </c>
      <c r="AD658">
        <v>-0.21997820000000001</v>
      </c>
      <c r="AE658">
        <v>-0.15840000000002799</v>
      </c>
      <c r="AF658">
        <v>0.143401974185139</v>
      </c>
      <c r="AG658">
        <v>-0.21997820000000001</v>
      </c>
      <c r="AH658">
        <v>0.72804840579415997</v>
      </c>
      <c r="AI658">
        <v>106.512555647597</v>
      </c>
      <c r="AJ658">
        <v>78.857223755548205</v>
      </c>
      <c r="AK658">
        <v>0.77395672737876797</v>
      </c>
      <c r="AL658">
        <v>91.673750401946293</v>
      </c>
      <c r="AM658">
        <v>91.1792906518953</v>
      </c>
      <c r="AN658">
        <v>0.99999997531820095</v>
      </c>
    </row>
    <row r="659" spans="1:40" x14ac:dyDescent="0.25">
      <c r="A659" t="str">
        <f>"20190305135806560"</f>
        <v>20190305135806560</v>
      </c>
      <c r="B659" t="str">
        <f>"1551765486548992"</f>
        <v>1551765486548992</v>
      </c>
      <c r="C659" t="s">
        <v>40</v>
      </c>
      <c r="D659">
        <v>4.0082139999999997</v>
      </c>
      <c r="E659">
        <v>0.56411180000000005</v>
      </c>
      <c r="F659" t="s">
        <v>41</v>
      </c>
      <c r="G659">
        <v>-320.4085</v>
      </c>
      <c r="H659">
        <v>0.92449870000000001</v>
      </c>
      <c r="I659">
        <v>367.93520000000001</v>
      </c>
      <c r="J659">
        <v>-321.0498</v>
      </c>
      <c r="K659">
        <v>1.109977</v>
      </c>
      <c r="L659">
        <v>368.06830000000002</v>
      </c>
      <c r="M659">
        <v>0.99989229999999996</v>
      </c>
      <c r="N659">
        <v>-1.3772009999999999E-2</v>
      </c>
      <c r="O659">
        <v>-5.078412E-3</v>
      </c>
      <c r="P659">
        <v>0.99894709999999998</v>
      </c>
      <c r="Q659">
        <v>-4.3099369999999998E-2</v>
      </c>
      <c r="R659">
        <v>1.5723029999999999E-2</v>
      </c>
      <c r="S659">
        <v>2.980988</v>
      </c>
      <c r="T659">
        <v>-0.69441569999999997</v>
      </c>
      <c r="U659">
        <v>-0.50155640000000001</v>
      </c>
      <c r="V659">
        <v>-2.0774709999999998E-2</v>
      </c>
      <c r="W659">
        <v>-2.9354559999999998E-2</v>
      </c>
      <c r="X659">
        <v>0.99935320000000005</v>
      </c>
      <c r="Y659">
        <v>0.15669259999999999</v>
      </c>
      <c r="Z659">
        <v>-1.7899169999999999E-2</v>
      </c>
      <c r="AA659">
        <v>0.98748519999999895</v>
      </c>
      <c r="AB659">
        <v>33</v>
      </c>
      <c r="AC659">
        <v>0.64130000000000098</v>
      </c>
      <c r="AD659">
        <v>-0.18547830000000001</v>
      </c>
      <c r="AE659">
        <v>-0.13310000000001301</v>
      </c>
      <c r="AF659">
        <v>0.12020160848318601</v>
      </c>
      <c r="AG659">
        <v>-0.18547830000000001</v>
      </c>
      <c r="AH659">
        <v>0.59430720186435104</v>
      </c>
      <c r="AI659">
        <v>107.008748048729</v>
      </c>
      <c r="AJ659">
        <v>78.565888397894994</v>
      </c>
      <c r="AK659">
        <v>0.63407545027438905</v>
      </c>
      <c r="AL659">
        <v>91.682133954497203</v>
      </c>
      <c r="AM659">
        <v>91.190902061352801</v>
      </c>
      <c r="AN659">
        <v>1.0000000485592999</v>
      </c>
    </row>
    <row r="660" spans="1:40" x14ac:dyDescent="0.25">
      <c r="A660" t="str">
        <f>"20190305135806571"</f>
        <v>20190305135806571</v>
      </c>
      <c r="B660" t="str">
        <f>"1551765486559728"</f>
        <v>1551765486559728</v>
      </c>
      <c r="C660" t="s">
        <v>40</v>
      </c>
      <c r="D660">
        <v>4.002853</v>
      </c>
      <c r="E660">
        <v>0.56405539999999998</v>
      </c>
      <c r="F660" t="s">
        <v>41</v>
      </c>
      <c r="G660">
        <v>-320.12389999999999</v>
      </c>
      <c r="H660">
        <v>0.89391399999999999</v>
      </c>
      <c r="I660">
        <v>367.9128</v>
      </c>
      <c r="J660">
        <v>-320.87490000000003</v>
      </c>
      <c r="K660">
        <v>1.1098399999999999</v>
      </c>
      <c r="L660">
        <v>368.0677</v>
      </c>
      <c r="M660">
        <v>0.99989930000000005</v>
      </c>
      <c r="N660">
        <v>-1.3334789999999999E-2</v>
      </c>
      <c r="O660">
        <v>-4.8766130000000001E-3</v>
      </c>
      <c r="P660">
        <v>0.99897100000000005</v>
      </c>
      <c r="Q660">
        <v>-4.2554120000000001E-2</v>
      </c>
      <c r="R660">
        <v>1.5689459999999999E-2</v>
      </c>
      <c r="S660">
        <v>2.9810180000000002</v>
      </c>
      <c r="T660">
        <v>-0.6957295</v>
      </c>
      <c r="U660">
        <v>-0.49954219999999999</v>
      </c>
      <c r="V660">
        <v>-2.053984E-2</v>
      </c>
      <c r="W660">
        <v>-2.92456E-2</v>
      </c>
      <c r="X660">
        <v>0.99936119999999995</v>
      </c>
      <c r="Y660">
        <v>0.15624179999999999</v>
      </c>
      <c r="Z660">
        <v>-1.7882450000000001E-2</v>
      </c>
      <c r="AA660">
        <v>0.98755689999999996</v>
      </c>
      <c r="AB660">
        <v>33</v>
      </c>
      <c r="AC660">
        <v>0.75100000000003297</v>
      </c>
      <c r="AD660">
        <v>-0.21592599999999901</v>
      </c>
      <c r="AE660">
        <v>-0.15489999999999701</v>
      </c>
      <c r="AF660">
        <v>0.140124563594172</v>
      </c>
      <c r="AG660">
        <v>-0.21592599999999901</v>
      </c>
      <c r="AH660">
        <v>0.69651739261808898</v>
      </c>
      <c r="AI660">
        <v>106.90501346873</v>
      </c>
      <c r="AJ660">
        <v>78.625137309098804</v>
      </c>
      <c r="AK660">
        <v>0.74256003731547404</v>
      </c>
      <c r="AL660">
        <v>91.675888408068204</v>
      </c>
      <c r="AM660">
        <v>91.177432620253597</v>
      </c>
      <c r="AN660">
        <v>0.99999999910601201</v>
      </c>
    </row>
    <row r="661" spans="1:40" x14ac:dyDescent="0.25">
      <c r="A661" t="str">
        <f>"20190305135806585"</f>
        <v>20190305135806585</v>
      </c>
      <c r="B661" t="str">
        <f>"1551765486579247"</f>
        <v>1551765486579247</v>
      </c>
      <c r="C661" t="s">
        <v>40</v>
      </c>
      <c r="D661">
        <v>3.9992610000000002</v>
      </c>
      <c r="E661">
        <v>0.56395830000000002</v>
      </c>
      <c r="F661" t="s">
        <v>41</v>
      </c>
      <c r="G661">
        <v>-320.1087</v>
      </c>
      <c r="H661">
        <v>0.9313053</v>
      </c>
      <c r="I661">
        <v>367.9391</v>
      </c>
      <c r="J661">
        <v>-320.68490000000003</v>
      </c>
      <c r="K661">
        <v>1.1096950000000001</v>
      </c>
      <c r="L661">
        <v>368.06689999999998</v>
      </c>
      <c r="M661">
        <v>0.9999055</v>
      </c>
      <c r="N661">
        <v>-1.2940810000000001E-2</v>
      </c>
      <c r="O661">
        <v>-4.6593030000000001E-3</v>
      </c>
      <c r="P661">
        <v>0.99898790000000004</v>
      </c>
      <c r="Q661">
        <v>-4.2048679999999998E-2</v>
      </c>
      <c r="R661">
        <v>1.59817999999999E-2</v>
      </c>
      <c r="S661">
        <v>2.9813540000000001</v>
      </c>
      <c r="T661">
        <v>-0.69479820000000003</v>
      </c>
      <c r="U661">
        <v>-0.49902340000000001</v>
      </c>
      <c r="V661">
        <v>-2.0615680000000001E-2</v>
      </c>
      <c r="W661">
        <v>-2.9133610000000001E-2</v>
      </c>
      <c r="X661">
        <v>0.99936290000000005</v>
      </c>
      <c r="Y661">
        <v>0.15628399999999901</v>
      </c>
      <c r="Z661">
        <v>-1.7877609999999999E-2</v>
      </c>
      <c r="AA661">
        <v>0.98755040000000005</v>
      </c>
      <c r="AB661">
        <v>33</v>
      </c>
      <c r="AC661">
        <v>0.57620000000002802</v>
      </c>
      <c r="AD661">
        <v>-0.17838970000000001</v>
      </c>
      <c r="AE661">
        <v>-0.12779999999997901</v>
      </c>
      <c r="AF661">
        <v>0.11464059114393201</v>
      </c>
      <c r="AG661">
        <v>-0.17838970000000001</v>
      </c>
      <c r="AH661">
        <v>0.52850696796135299</v>
      </c>
      <c r="AI661">
        <v>108.255865484346</v>
      </c>
      <c r="AJ661">
        <v>77.761339110272203</v>
      </c>
      <c r="AK661">
        <v>0.56946024039227106</v>
      </c>
      <c r="AL661">
        <v>91.669469134121101</v>
      </c>
      <c r="AM661">
        <v>91.181776857247996</v>
      </c>
      <c r="AN661">
        <v>0.99999998969495196</v>
      </c>
    </row>
    <row r="662" spans="1:40" x14ac:dyDescent="0.25">
      <c r="A662" t="str">
        <f>"20190305135806597"</f>
        <v>20190305135806597</v>
      </c>
      <c r="B662" t="str">
        <f>"1551765486589983"</f>
        <v>1551765486589983</v>
      </c>
      <c r="C662" t="s">
        <v>40</v>
      </c>
      <c r="D662">
        <v>3.9938470000000001</v>
      </c>
      <c r="E662">
        <v>0.56392119999999901</v>
      </c>
      <c r="F662" t="s">
        <v>41</v>
      </c>
      <c r="G662">
        <v>-319.82069999999999</v>
      </c>
      <c r="H662">
        <v>0.90836640000000002</v>
      </c>
      <c r="I662">
        <v>367.92250000000001</v>
      </c>
      <c r="J662">
        <v>-320.4873</v>
      </c>
      <c r="K662">
        <v>1.1095349999999999</v>
      </c>
      <c r="L662">
        <v>368.06619999999998</v>
      </c>
      <c r="M662">
        <v>0.99991070000000004</v>
      </c>
      <c r="N662">
        <v>-1.260966E-2</v>
      </c>
      <c r="O662">
        <v>-4.4347980000000002E-3</v>
      </c>
      <c r="P662">
        <v>0.99899979999999999</v>
      </c>
      <c r="Q662">
        <v>-4.1750570000000001E-2</v>
      </c>
      <c r="R662">
        <v>1.601348E-2</v>
      </c>
      <c r="S662">
        <v>2.9817200000000001</v>
      </c>
      <c r="T662">
        <v>-0.69472590000000001</v>
      </c>
      <c r="U662">
        <v>-0.49688719999999997</v>
      </c>
      <c r="V662">
        <v>-2.0422659999999999E-2</v>
      </c>
      <c r="W662">
        <v>-2.9166020000000001E-2</v>
      </c>
      <c r="X662">
        <v>0.99936590000000003</v>
      </c>
      <c r="Y662">
        <v>0.1558129</v>
      </c>
      <c r="Z662">
        <v>-1.783852E-2</v>
      </c>
      <c r="AA662">
        <v>0.98762550000000005</v>
      </c>
      <c r="AB662">
        <v>33</v>
      </c>
      <c r="AC662">
        <v>0.66660000000001596</v>
      </c>
      <c r="AD662">
        <v>-0.201168599999999</v>
      </c>
      <c r="AE662">
        <v>-0.14369999999996699</v>
      </c>
      <c r="AF662">
        <v>0.12947414772135701</v>
      </c>
      <c r="AG662">
        <v>-0.201168599999999</v>
      </c>
      <c r="AH662">
        <v>0.61381154943867999</v>
      </c>
      <c r="AI662">
        <v>107.780022238041</v>
      </c>
      <c r="AJ662">
        <v>78.088938816004998</v>
      </c>
      <c r="AK662">
        <v>0.65878447065671297</v>
      </c>
      <c r="AL662">
        <v>91.671326909506604</v>
      </c>
      <c r="AM662">
        <v>91.170711725479904</v>
      </c>
      <c r="AN662">
        <v>0.99999997192346202</v>
      </c>
    </row>
    <row r="663" spans="1:40" x14ac:dyDescent="0.25">
      <c r="A663" t="str">
        <f>"20190305135806611"</f>
        <v>20190305135806611</v>
      </c>
      <c r="B663" t="str">
        <f>"1551765486599744"</f>
        <v>1551765486599744</v>
      </c>
      <c r="C663" t="s">
        <v>40</v>
      </c>
      <c r="D663">
        <v>3.992105</v>
      </c>
      <c r="E663">
        <v>0.56387519999999902</v>
      </c>
      <c r="F663" t="s">
        <v>41</v>
      </c>
      <c r="G663">
        <v>-319.80279999999999</v>
      </c>
      <c r="H663">
        <v>0.95011599999999996</v>
      </c>
      <c r="I663">
        <v>367.95179999999999</v>
      </c>
      <c r="J663">
        <v>-320.29649999999998</v>
      </c>
      <c r="K663">
        <v>1.109378</v>
      </c>
      <c r="L663">
        <v>368.06549999999999</v>
      </c>
      <c r="M663">
        <v>0.99991059999999998</v>
      </c>
      <c r="N663">
        <v>-1.269136E-2</v>
      </c>
      <c r="O663">
        <v>-4.2242290000000004E-3</v>
      </c>
      <c r="P663">
        <v>0.99899760000000004</v>
      </c>
      <c r="Q663">
        <v>-4.1768189999999997E-2</v>
      </c>
      <c r="R663">
        <v>1.611398E-2</v>
      </c>
      <c r="S663">
        <v>2.9819339999999999</v>
      </c>
      <c r="T663">
        <v>-0.69460949999999999</v>
      </c>
      <c r="U663">
        <v>-0.49642940000000002</v>
      </c>
      <c r="V663">
        <v>-2.031357E-2</v>
      </c>
      <c r="W663">
        <v>-2.9101700000000001E-2</v>
      </c>
      <c r="X663">
        <v>0.99936999999999998</v>
      </c>
      <c r="Y663">
        <v>0.15585589999999999</v>
      </c>
      <c r="Z663">
        <v>-1.7892310000000002E-2</v>
      </c>
      <c r="AA663">
        <v>0.98761770000000004</v>
      </c>
      <c r="AB663">
        <v>33</v>
      </c>
      <c r="AC663">
        <v>0.49369999999998898</v>
      </c>
      <c r="AD663">
        <v>-0.15926199999999999</v>
      </c>
      <c r="AE663">
        <v>-0.113699999999994</v>
      </c>
      <c r="AF663">
        <v>0.10157542838127499</v>
      </c>
      <c r="AG663">
        <v>-0.15926199999999999</v>
      </c>
      <c r="AH663">
        <v>0.44973246486972202</v>
      </c>
      <c r="AI663">
        <v>109.056208741897</v>
      </c>
      <c r="AJ663">
        <v>77.272864029862902</v>
      </c>
      <c r="AK663">
        <v>0.487792212168906</v>
      </c>
      <c r="AL663">
        <v>91.667640077271002</v>
      </c>
      <c r="AM663">
        <v>91.164455183928197</v>
      </c>
      <c r="AN663">
        <v>0.99999997348451697</v>
      </c>
    </row>
    <row r="664" spans="1:40" x14ac:dyDescent="0.25">
      <c r="A664" t="str">
        <f>"20190305135806627"</f>
        <v>20190305135806627</v>
      </c>
      <c r="B664" t="str">
        <f>"1551765486619264"</f>
        <v>1551765486619264</v>
      </c>
      <c r="C664" t="s">
        <v>40</v>
      </c>
      <c r="D664">
        <v>3.9881030000000002</v>
      </c>
      <c r="E664">
        <v>0.56382670000000001</v>
      </c>
      <c r="F664" t="s">
        <v>41</v>
      </c>
      <c r="G664">
        <v>-319.51620000000003</v>
      </c>
      <c r="H664">
        <v>0.92750480000000002</v>
      </c>
      <c r="I664">
        <v>367.93529999999998</v>
      </c>
      <c r="J664">
        <v>-320.06909999999999</v>
      </c>
      <c r="K664">
        <v>1.1091409999999999</v>
      </c>
      <c r="L664">
        <v>368.06479999999999</v>
      </c>
      <c r="M664">
        <v>0.99990809999999997</v>
      </c>
      <c r="N664">
        <v>-1.295488E-2</v>
      </c>
      <c r="O664">
        <v>-3.9801860000000001E-3</v>
      </c>
      <c r="P664">
        <v>0.99901180000000001</v>
      </c>
      <c r="Q664">
        <v>-4.1286469999999999E-2</v>
      </c>
      <c r="R664">
        <v>1.6455620000000001E-2</v>
      </c>
      <c r="S664">
        <v>2.9819640000000001</v>
      </c>
      <c r="T664">
        <v>-0.6952623</v>
      </c>
      <c r="U664">
        <v>-0.49539179999999999</v>
      </c>
      <c r="V664">
        <v>-2.0412179999999999E-2</v>
      </c>
      <c r="W664">
        <v>-2.8356329999999999E-2</v>
      </c>
      <c r="X664">
        <v>0.99938950000000004</v>
      </c>
      <c r="Y664">
        <v>0.1557452</v>
      </c>
      <c r="Z664">
        <v>-1.7969369999999998E-2</v>
      </c>
      <c r="AA664">
        <v>0.98763380000000001</v>
      </c>
      <c r="AB664">
        <v>33</v>
      </c>
      <c r="AC664">
        <v>0.55289999999996498</v>
      </c>
      <c r="AD664">
        <v>-0.181636199999999</v>
      </c>
      <c r="AE664">
        <v>-0.129500000000007</v>
      </c>
      <c r="AF664">
        <v>0.11548309068432</v>
      </c>
      <c r="AG664">
        <v>-0.181636199999999</v>
      </c>
      <c r="AH664">
        <v>0.50204678329900598</v>
      </c>
      <c r="AI664">
        <v>109.421823575236</v>
      </c>
      <c r="AJ664">
        <v>77.045898981663399</v>
      </c>
      <c r="AK664">
        <v>0.54624081319993101</v>
      </c>
      <c r="AL664">
        <v>91.624915751479804</v>
      </c>
      <c r="AM664">
        <v>91.1700835115941</v>
      </c>
      <c r="AN664">
        <v>1.00000005562683</v>
      </c>
    </row>
    <row r="665" spans="1:40" x14ac:dyDescent="0.25">
      <c r="A665" t="str">
        <f>"20190305135806637"</f>
        <v>20190305135806637</v>
      </c>
      <c r="B665" t="str">
        <f>"1551765486629024"</f>
        <v>1551765486629024</v>
      </c>
      <c r="C665" t="s">
        <v>40</v>
      </c>
      <c r="D665">
        <v>3.9860329999999999</v>
      </c>
      <c r="E665">
        <v>0.56380830000000004</v>
      </c>
      <c r="F665" t="s">
        <v>41</v>
      </c>
      <c r="G665">
        <v>-319.22559999999999</v>
      </c>
      <c r="H665">
        <v>0.91263260000000002</v>
      </c>
      <c r="I665">
        <v>367.92489999999998</v>
      </c>
      <c r="J665">
        <v>-319.8954</v>
      </c>
      <c r="K665">
        <v>1.108927</v>
      </c>
      <c r="L665">
        <v>368.06420000000003</v>
      </c>
      <c r="M665">
        <v>0.99990480000000004</v>
      </c>
      <c r="N665">
        <v>-1.3267269999999999E-2</v>
      </c>
      <c r="O665">
        <v>-3.7989230000000001E-3</v>
      </c>
      <c r="P665">
        <v>0.99900259999999996</v>
      </c>
      <c r="Q665">
        <v>-4.1459650000000001E-2</v>
      </c>
      <c r="R665">
        <v>1.6588559999999999E-2</v>
      </c>
      <c r="S665">
        <v>2.9824220000000001</v>
      </c>
      <c r="T665">
        <v>-0.69495549999999995</v>
      </c>
      <c r="U665">
        <v>-0.4937744</v>
      </c>
      <c r="V665">
        <v>-2.0364130000000001E-2</v>
      </c>
      <c r="W665">
        <v>-2.8217220000000001E-2</v>
      </c>
      <c r="X665">
        <v>0.99939440000000002</v>
      </c>
      <c r="Y665">
        <v>0.15538250000000001</v>
      </c>
      <c r="Z665">
        <v>-1.7981500000000001E-2</v>
      </c>
      <c r="AA665">
        <v>0.98769070000000003</v>
      </c>
      <c r="AB665">
        <v>33</v>
      </c>
      <c r="AC665">
        <v>0.66980000000000905</v>
      </c>
      <c r="AD665">
        <v>-0.19629440000000001</v>
      </c>
      <c r="AE665">
        <v>-0.139300000000048</v>
      </c>
      <c r="AF665">
        <v>0.126352203284498</v>
      </c>
      <c r="AG665">
        <v>-0.19629440000000001</v>
      </c>
      <c r="AH665">
        <v>0.61933697746647598</v>
      </c>
      <c r="AI665">
        <v>107.25197678416799</v>
      </c>
      <c r="AJ665">
        <v>78.4692070608683</v>
      </c>
      <c r="AK665">
        <v>0.66187208915584095</v>
      </c>
      <c r="AL665">
        <v>91.616942173854994</v>
      </c>
      <c r="AM665">
        <v>91.167324191824605</v>
      </c>
      <c r="AN665">
        <v>1.0000000380232701</v>
      </c>
    </row>
    <row r="666" spans="1:40" x14ac:dyDescent="0.25">
      <c r="A666" t="str">
        <f>"20190305135806648"</f>
        <v>20190305135806648</v>
      </c>
      <c r="B666" t="str">
        <f>"1551765486639760"</f>
        <v>1551765486639760</v>
      </c>
      <c r="C666" t="s">
        <v>40</v>
      </c>
      <c r="D666">
        <v>3.7932549999999998</v>
      </c>
      <c r="E666">
        <v>0.56394560000000005</v>
      </c>
      <c r="F666" t="s">
        <v>41</v>
      </c>
      <c r="G666">
        <v>-319.20979999999997</v>
      </c>
      <c r="H666">
        <v>0.94905649999999997</v>
      </c>
      <c r="I666">
        <v>367.9504</v>
      </c>
      <c r="J666">
        <v>-319.74290000000002</v>
      </c>
      <c r="K666">
        <v>1.108627</v>
      </c>
      <c r="L666">
        <v>368.06380000000001</v>
      </c>
      <c r="M666">
        <v>0.99990000000000001</v>
      </c>
      <c r="N666">
        <v>-1.365851E-2</v>
      </c>
      <c r="O666">
        <v>-3.6467079999999998E-3</v>
      </c>
      <c r="P666">
        <v>0.99900420000000001</v>
      </c>
      <c r="Q666">
        <v>-4.130122E-2</v>
      </c>
      <c r="R666">
        <v>1.6881090000000001E-2</v>
      </c>
      <c r="S666">
        <v>2.982361</v>
      </c>
      <c r="T666">
        <v>-0.69555840000000002</v>
      </c>
      <c r="U666">
        <v>-0.49395749999999999</v>
      </c>
      <c r="V666">
        <v>-2.0505019999999999E-2</v>
      </c>
      <c r="W666">
        <v>-2.766774E-2</v>
      </c>
      <c r="X666">
        <v>0.99940680000000004</v>
      </c>
      <c r="Y666">
        <v>0.15557170000000001</v>
      </c>
      <c r="Z666">
        <v>-1.8084260000000001E-2</v>
      </c>
      <c r="AA666">
        <v>0.98765899999999995</v>
      </c>
      <c r="AB666">
        <v>33</v>
      </c>
      <c r="AC666">
        <v>0.53310000000004698</v>
      </c>
      <c r="AD666">
        <v>-0.159570499999999</v>
      </c>
      <c r="AE666">
        <v>-0.11340000000001201</v>
      </c>
      <c r="AF666">
        <v>0.102655647221795</v>
      </c>
      <c r="AG666">
        <v>-0.159570499999999</v>
      </c>
      <c r="AH666">
        <v>0.49138948728569298</v>
      </c>
      <c r="AI666">
        <v>107.633946338057</v>
      </c>
      <c r="AJ666">
        <v>78.2001078271133</v>
      </c>
      <c r="AK666">
        <v>0.52674904327551697</v>
      </c>
      <c r="AL666">
        <v>91.585447122308594</v>
      </c>
      <c r="AM666">
        <v>91.175383530771498</v>
      </c>
      <c r="AN666">
        <v>0.99999995578407297</v>
      </c>
    </row>
    <row r="667" spans="1:40" x14ac:dyDescent="0.25">
      <c r="A667" t="str">
        <f>"20190305135806660"</f>
        <v>20190305135806660</v>
      </c>
      <c r="B667" t="str">
        <f>"1551765486649520"</f>
        <v>1551765486649520</v>
      </c>
      <c r="C667" t="s">
        <v>40</v>
      </c>
      <c r="D667">
        <v>3.9948890000000001</v>
      </c>
      <c r="E667">
        <v>0.56392100000000001</v>
      </c>
      <c r="F667" t="s">
        <v>41</v>
      </c>
      <c r="G667">
        <v>-318.92660000000001</v>
      </c>
      <c r="H667">
        <v>0.91887030000000003</v>
      </c>
      <c r="I667">
        <v>367.92849999999999</v>
      </c>
      <c r="J667">
        <v>-319.57240000000002</v>
      </c>
      <c r="K667">
        <v>1.108277</v>
      </c>
      <c r="L667">
        <v>368.06330000000003</v>
      </c>
      <c r="M667">
        <v>0.99989419999999996</v>
      </c>
      <c r="N667">
        <v>-1.412533E-2</v>
      </c>
      <c r="O667">
        <v>-3.4816059999999999E-3</v>
      </c>
      <c r="P667">
        <v>0.99900199999999995</v>
      </c>
      <c r="Q667">
        <v>-4.131423E-2</v>
      </c>
      <c r="R667">
        <v>1.6983740000000001E-2</v>
      </c>
      <c r="S667">
        <v>2.9826969999999999</v>
      </c>
      <c r="T667">
        <v>-0.693469</v>
      </c>
      <c r="U667">
        <v>-0.49371340000000002</v>
      </c>
      <c r="V667">
        <v>-2.0443800000000002E-2</v>
      </c>
      <c r="W667">
        <v>-2.7214019999999998E-2</v>
      </c>
      <c r="X667">
        <v>0.99942059999999999</v>
      </c>
      <c r="Y667">
        <v>0.1556485</v>
      </c>
      <c r="Z667">
        <v>-1.8116219999999999E-2</v>
      </c>
      <c r="AA667">
        <v>0.98764640000000004</v>
      </c>
      <c r="AB667">
        <v>33</v>
      </c>
      <c r="AC667">
        <v>0.64580000000000803</v>
      </c>
      <c r="AD667">
        <v>-0.18940669999999901</v>
      </c>
      <c r="AE667">
        <v>-0.134800000000041</v>
      </c>
      <c r="AF667">
        <v>0.122456712542754</v>
      </c>
      <c r="AG667">
        <v>-0.18940669999999901</v>
      </c>
      <c r="AH667">
        <v>0.597051843654818</v>
      </c>
      <c r="AI667">
        <v>107.26354232188</v>
      </c>
      <c r="AJ667">
        <v>78.409248349410007</v>
      </c>
      <c r="AK667">
        <v>0.63823306751004805</v>
      </c>
      <c r="AL667">
        <v>91.559440949464502</v>
      </c>
      <c r="AM667">
        <v>91.171859096850099</v>
      </c>
      <c r="AN667">
        <v>1.00000004377367</v>
      </c>
    </row>
    <row r="668" spans="1:40" x14ac:dyDescent="0.25">
      <c r="A668" t="str">
        <f>"20190305135806670"</f>
        <v>20190305135806670</v>
      </c>
      <c r="B668" t="str">
        <f>"1551765486659280"</f>
        <v>1551765486659280</v>
      </c>
      <c r="C668" t="s">
        <v>40</v>
      </c>
      <c r="D668">
        <v>3.777247</v>
      </c>
      <c r="E668">
        <v>0.56409319999999996</v>
      </c>
      <c r="F668" t="s">
        <v>41</v>
      </c>
      <c r="G668">
        <v>-318.64120000000003</v>
      </c>
      <c r="H668">
        <v>0.89165280000000002</v>
      </c>
      <c r="I668">
        <v>367.90910000000002</v>
      </c>
      <c r="J668">
        <v>-319.40719999999999</v>
      </c>
      <c r="K668">
        <v>1.1078399999999999</v>
      </c>
      <c r="L668">
        <v>368.06279999999998</v>
      </c>
      <c r="M668">
        <v>0.99988569999999999</v>
      </c>
      <c r="N668">
        <v>-1.4738660000000001E-2</v>
      </c>
      <c r="O668">
        <v>-3.349692E-3</v>
      </c>
      <c r="P668">
        <v>0.99900449999999996</v>
      </c>
      <c r="Q668">
        <v>-4.1173550000000003E-2</v>
      </c>
      <c r="R668">
        <v>1.7162420000000001E-2</v>
      </c>
      <c r="S668">
        <v>2.982666</v>
      </c>
      <c r="T668">
        <v>-0.69382949999999999</v>
      </c>
      <c r="U668">
        <v>-0.49337769999999997</v>
      </c>
      <c r="V668">
        <v>-2.0490919999999999E-2</v>
      </c>
      <c r="W668">
        <v>-2.6460210000000001E-2</v>
      </c>
      <c r="X668">
        <v>0.99943979999999999</v>
      </c>
      <c r="Y668">
        <v>0.15565290000000001</v>
      </c>
      <c r="Z668">
        <v>-1.8204689999999999E-2</v>
      </c>
      <c r="AA668">
        <v>0.98764410000000002</v>
      </c>
      <c r="AB668">
        <v>33</v>
      </c>
      <c r="AC668">
        <v>0.76599999999996204</v>
      </c>
      <c r="AD668">
        <v>-0.216187199999999</v>
      </c>
      <c r="AE668">
        <v>-0.15369999999995701</v>
      </c>
      <c r="AF668">
        <v>0.14038377814991099</v>
      </c>
      <c r="AG668">
        <v>-0.216187199999999</v>
      </c>
      <c r="AH668">
        <v>0.71199313616322901</v>
      </c>
      <c r="AI668">
        <v>106.58885905191499</v>
      </c>
      <c r="AJ668">
        <v>78.846055581777804</v>
      </c>
      <c r="AK668">
        <v>0.75721776032726196</v>
      </c>
      <c r="AL668">
        <v>91.516235373116103</v>
      </c>
      <c r="AM668">
        <v>91.174536748815399</v>
      </c>
      <c r="AN668">
        <v>0.99999996716986395</v>
      </c>
    </row>
    <row r="669" spans="1:40" x14ac:dyDescent="0.25">
      <c r="A669" t="str">
        <f>"20190305135806681"</f>
        <v>20190305135806681</v>
      </c>
      <c r="B669" t="str">
        <f>"1551765486679776"</f>
        <v>1551765486679776</v>
      </c>
      <c r="C669" t="s">
        <v>40</v>
      </c>
      <c r="D669">
        <v>3.744516</v>
      </c>
      <c r="E669">
        <v>0.56420239999999999</v>
      </c>
      <c r="F669" t="s">
        <v>41</v>
      </c>
      <c r="G669">
        <v>-318.62689999999998</v>
      </c>
      <c r="H669">
        <v>0.92679109999999998</v>
      </c>
      <c r="I669">
        <v>367.93349999999998</v>
      </c>
      <c r="J669">
        <v>-319.24880000000002</v>
      </c>
      <c r="K669">
        <v>1.107394</v>
      </c>
      <c r="L669">
        <v>368.06240000000003</v>
      </c>
      <c r="M669">
        <v>0.99987619999999999</v>
      </c>
      <c r="N669">
        <v>-1.5402900000000001E-2</v>
      </c>
      <c r="O669">
        <v>-3.22909E-3</v>
      </c>
      <c r="P669">
        <v>0.99898819999999999</v>
      </c>
      <c r="Q669">
        <v>-4.1520330000000001E-2</v>
      </c>
      <c r="R669">
        <v>1.729048E-2</v>
      </c>
      <c r="S669">
        <v>2.9829409999999998</v>
      </c>
      <c r="T669">
        <v>-0.69219889999999995</v>
      </c>
      <c r="U669">
        <v>-0.49401859999999997</v>
      </c>
      <c r="V669">
        <v>-2.0498240000000001E-2</v>
      </c>
      <c r="W669">
        <v>-2.6143119999999999E-2</v>
      </c>
      <c r="X669">
        <v>0.999448</v>
      </c>
      <c r="Y669">
        <v>0.15595989999999901</v>
      </c>
      <c r="Z669">
        <v>-1.8281889999999999E-2</v>
      </c>
      <c r="AA669">
        <v>0.98759419999999998</v>
      </c>
      <c r="AB669">
        <v>33</v>
      </c>
      <c r="AC669">
        <v>0.62190000000003898</v>
      </c>
      <c r="AD669">
        <v>-0.18060290000000001</v>
      </c>
      <c r="AE669">
        <v>-0.12890000000004401</v>
      </c>
      <c r="AF669">
        <v>0.11739796770147801</v>
      </c>
      <c r="AG669">
        <v>-0.18060290000000001</v>
      </c>
      <c r="AH669">
        <v>0.57575661458124305</v>
      </c>
      <c r="AI669">
        <v>107.085072722085</v>
      </c>
      <c r="AJ669">
        <v>78.475256305642006</v>
      </c>
      <c r="AK669">
        <v>0.614731949342883</v>
      </c>
      <c r="AL669">
        <v>91.498061158185905</v>
      </c>
      <c r="AM669">
        <v>91.174946575359996</v>
      </c>
      <c r="AN669">
        <v>0.99999997263521501</v>
      </c>
    </row>
    <row r="670" spans="1:40" x14ac:dyDescent="0.25">
      <c r="A670" t="str">
        <f>"20190305135806693"</f>
        <v>20190305135806693</v>
      </c>
      <c r="B670" t="str">
        <f>"1551765486689536"</f>
        <v>1551765486689536</v>
      </c>
      <c r="C670" t="s">
        <v>40</v>
      </c>
      <c r="D670">
        <v>3.7582010000000001</v>
      </c>
      <c r="E670">
        <v>0.56435630000000003</v>
      </c>
      <c r="F670" t="s">
        <v>41</v>
      </c>
      <c r="G670">
        <v>-318.34370000000001</v>
      </c>
      <c r="H670">
        <v>0.897362199999999</v>
      </c>
      <c r="I670">
        <v>367.91239999999999</v>
      </c>
      <c r="J670">
        <v>-319.08210000000003</v>
      </c>
      <c r="K670">
        <v>1.10686</v>
      </c>
      <c r="L670">
        <v>368.06200000000001</v>
      </c>
      <c r="M670">
        <v>0.99986280000000005</v>
      </c>
      <c r="N670">
        <v>-1.626644E-2</v>
      </c>
      <c r="O670">
        <v>-3.113757E-3</v>
      </c>
      <c r="P670">
        <v>0.99897849999999999</v>
      </c>
      <c r="Q670">
        <v>-4.1635440000000003E-2</v>
      </c>
      <c r="R670">
        <v>1.7564690000000001E-2</v>
      </c>
      <c r="S670">
        <v>2.9827880000000002</v>
      </c>
      <c r="T670">
        <v>-0.6921988</v>
      </c>
      <c r="U670">
        <v>-0.4942627</v>
      </c>
      <c r="V670">
        <v>-2.065877E-2</v>
      </c>
      <c r="W670">
        <v>-2.5395040000000001E-2</v>
      </c>
      <c r="X670">
        <v>0.99946400000000002</v>
      </c>
      <c r="Y670">
        <v>0.15613640000000001</v>
      </c>
      <c r="Z670">
        <v>-1.8400090000000001E-2</v>
      </c>
      <c r="AA670">
        <v>0.98756409999999994</v>
      </c>
      <c r="AB670">
        <v>33</v>
      </c>
      <c r="AC670">
        <v>0.73840000000001205</v>
      </c>
      <c r="AD670">
        <v>-0.20949780000000001</v>
      </c>
      <c r="AE670">
        <v>-0.14959999999996301</v>
      </c>
      <c r="AF670">
        <v>0.136727662108556</v>
      </c>
      <c r="AG670">
        <v>-0.20949780000000001</v>
      </c>
      <c r="AH670">
        <v>0.68583211885181705</v>
      </c>
      <c r="AI670">
        <v>106.676638978724</v>
      </c>
      <c r="AJ670">
        <v>78.725317071751505</v>
      </c>
      <c r="AK670">
        <v>0.73003388759651699</v>
      </c>
      <c r="AL670">
        <v>91.455185065709102</v>
      </c>
      <c r="AM670">
        <v>91.184126495869705</v>
      </c>
      <c r="AN670">
        <v>0.99999999006525697</v>
      </c>
    </row>
    <row r="671" spans="1:40" x14ac:dyDescent="0.25">
      <c r="A671" t="str">
        <f>"20190305135806704"</f>
        <v>20190305135806704</v>
      </c>
      <c r="B671" t="str">
        <f>"1551765486699296"</f>
        <v>1551765486699296</v>
      </c>
      <c r="C671" t="s">
        <v>40</v>
      </c>
      <c r="D671">
        <v>3.9609529999999999</v>
      </c>
      <c r="E671">
        <v>0.56431309999999901</v>
      </c>
      <c r="F671" t="s">
        <v>41</v>
      </c>
      <c r="G671">
        <v>-318.32909999999998</v>
      </c>
      <c r="H671">
        <v>0.93236739999999996</v>
      </c>
      <c r="I671">
        <v>367.93700000000001</v>
      </c>
      <c r="J671">
        <v>-318.92</v>
      </c>
      <c r="K671">
        <v>1.1062879999999999</v>
      </c>
      <c r="L671">
        <v>368.0616</v>
      </c>
      <c r="M671">
        <v>0.99984810000000002</v>
      </c>
      <c r="N671">
        <v>-1.7166359999999999E-2</v>
      </c>
      <c r="O671">
        <v>-3.00453E-3</v>
      </c>
      <c r="P671">
        <v>0.99896609999999997</v>
      </c>
      <c r="Q671">
        <v>-4.1841160000000002E-2</v>
      </c>
      <c r="R671">
        <v>1.7782010000000001E-2</v>
      </c>
      <c r="S671">
        <v>2.9829409999999998</v>
      </c>
      <c r="T671">
        <v>-0.69121489999999997</v>
      </c>
      <c r="U671">
        <v>-0.49447629999999998</v>
      </c>
      <c r="V671">
        <v>-2.0767310000000001E-2</v>
      </c>
      <c r="W671">
        <v>-2.4701009999999999E-2</v>
      </c>
      <c r="X671">
        <v>0.99947920000000001</v>
      </c>
      <c r="Y671">
        <v>0.15629299999999999</v>
      </c>
      <c r="Z671">
        <v>-1.8492169999999999E-2</v>
      </c>
      <c r="AA671">
        <v>0.98753760000000002</v>
      </c>
      <c r="AB671">
        <v>33</v>
      </c>
      <c r="AC671">
        <v>0.59090000000003295</v>
      </c>
      <c r="AD671">
        <v>-0.17392059999999901</v>
      </c>
      <c r="AE671">
        <v>-0.124600000000043</v>
      </c>
      <c r="AF671">
        <v>0.113416661861548</v>
      </c>
      <c r="AG671">
        <v>-0.17392059999999901</v>
      </c>
      <c r="AH671">
        <v>0.54598594820301005</v>
      </c>
      <c r="AI671">
        <v>107.321972700972</v>
      </c>
      <c r="AJ671">
        <v>78.264946068260201</v>
      </c>
      <c r="AK671">
        <v>0.58413386302055503</v>
      </c>
      <c r="AL671">
        <v>91.415407515043498</v>
      </c>
      <c r="AM671">
        <v>91.190327946166505</v>
      </c>
      <c r="AN671">
        <v>1.00000004614614</v>
      </c>
    </row>
    <row r="672" spans="1:40" x14ac:dyDescent="0.25">
      <c r="A672" t="str">
        <f>"20190305135806715"</f>
        <v>20190305135806715</v>
      </c>
      <c r="B672" t="str">
        <f>"1551765486709055"</f>
        <v>1551765486709055</v>
      </c>
      <c r="C672" t="s">
        <v>40</v>
      </c>
      <c r="D672">
        <v>3.9445480000000002</v>
      </c>
      <c r="E672">
        <v>0.56429810000000002</v>
      </c>
      <c r="F672" t="s">
        <v>41</v>
      </c>
      <c r="G672">
        <v>-318.04680000000002</v>
      </c>
      <c r="H672">
        <v>0.90364610000000001</v>
      </c>
      <c r="I672">
        <v>367.9171</v>
      </c>
      <c r="J672">
        <v>-318.73860000000002</v>
      </c>
      <c r="K672">
        <v>1.105594</v>
      </c>
      <c r="L672">
        <v>368.06119999999999</v>
      </c>
      <c r="M672">
        <v>0.99982959999999999</v>
      </c>
      <c r="N672">
        <v>-1.8233300000000001E-2</v>
      </c>
      <c r="O672">
        <v>-2.884873E-3</v>
      </c>
      <c r="P672">
        <v>0.99894749999999999</v>
      </c>
      <c r="Q672">
        <v>-4.2195679999999999E-2</v>
      </c>
      <c r="R672">
        <v>1.798806E-2</v>
      </c>
      <c r="S672">
        <v>2.98291</v>
      </c>
      <c r="T672">
        <v>-0.69218489999999999</v>
      </c>
      <c r="U672">
        <v>-0.49349979999999899</v>
      </c>
      <c r="V672">
        <v>-2.0855370000000002E-2</v>
      </c>
      <c r="W672">
        <v>-2.3988679999999998E-2</v>
      </c>
      <c r="X672">
        <v>0.99949469999999996</v>
      </c>
      <c r="Y672">
        <v>0.15606970000000001</v>
      </c>
      <c r="Z672">
        <v>-1.8602090000000002E-2</v>
      </c>
      <c r="AA672">
        <v>0.98757090000000003</v>
      </c>
      <c r="AB672">
        <v>33</v>
      </c>
      <c r="AC672">
        <v>0.69179999999999997</v>
      </c>
      <c r="AD672">
        <v>-0.20194790000000001</v>
      </c>
      <c r="AE672">
        <v>-0.14409999999997999</v>
      </c>
      <c r="AF672">
        <v>0.13137378653444801</v>
      </c>
      <c r="AG672">
        <v>-0.20194790000000001</v>
      </c>
      <c r="AH672">
        <v>0.63994728668355905</v>
      </c>
      <c r="AI672">
        <v>107.177585264142</v>
      </c>
      <c r="AJ672">
        <v>78.399014245252701</v>
      </c>
      <c r="AK672">
        <v>0.68379423501259395</v>
      </c>
      <c r="AL672">
        <v>91.374581936757096</v>
      </c>
      <c r="AM672">
        <v>91.195355321551503</v>
      </c>
      <c r="AN672">
        <v>1.0000000292770299</v>
      </c>
    </row>
    <row r="673" spans="1:40" x14ac:dyDescent="0.25">
      <c r="A673" t="str">
        <f>"20190305135806727"</f>
        <v>20190305135806727</v>
      </c>
      <c r="B673" t="str">
        <f>"1551765486719792"</f>
        <v>1551765486719792</v>
      </c>
      <c r="C673" t="s">
        <v>40</v>
      </c>
      <c r="D673">
        <v>3.721441</v>
      </c>
      <c r="E673">
        <v>0.56445780000000001</v>
      </c>
      <c r="F673" t="s">
        <v>41</v>
      </c>
      <c r="G673">
        <v>-318.03059999999999</v>
      </c>
      <c r="H673">
        <v>0.94094290000000003</v>
      </c>
      <c r="I673">
        <v>367.94420000000002</v>
      </c>
      <c r="J673">
        <v>-318.57740000000001</v>
      </c>
      <c r="K673">
        <v>1.1048559999999901</v>
      </c>
      <c r="L673">
        <v>368.06079999999997</v>
      </c>
      <c r="M673">
        <v>0.99981569999999997</v>
      </c>
      <c r="N673">
        <v>-1.9000340000000001E-2</v>
      </c>
      <c r="O673">
        <v>-2.776251E-3</v>
      </c>
      <c r="P673">
        <v>0.9989538</v>
      </c>
      <c r="Q673">
        <v>-4.1956760000000003E-2</v>
      </c>
      <c r="R673">
        <v>1.819726E-2</v>
      </c>
      <c r="S673">
        <v>2.982758</v>
      </c>
      <c r="T673">
        <v>-0.69363299999999894</v>
      </c>
      <c r="U673">
        <v>-0.4928284</v>
      </c>
      <c r="V673">
        <v>-2.0957380000000001E-2</v>
      </c>
      <c r="W673">
        <v>-2.2982099999999998E-2</v>
      </c>
      <c r="X673">
        <v>0.99951619999999997</v>
      </c>
      <c r="Y673">
        <v>0.15593779999999999</v>
      </c>
      <c r="Z673">
        <v>-1.87079E-2</v>
      </c>
      <c r="AA673">
        <v>0.98758970000000001</v>
      </c>
      <c r="AB673">
        <v>33</v>
      </c>
      <c r="AC673">
        <v>0.54680000000001805</v>
      </c>
      <c r="AD673">
        <v>-0.16391309999999901</v>
      </c>
      <c r="AE673">
        <v>-0.116599999999948</v>
      </c>
      <c r="AF673">
        <v>0.105972619878824</v>
      </c>
      <c r="AG673">
        <v>-0.16391309999999901</v>
      </c>
      <c r="AH673">
        <v>0.50381734393088096</v>
      </c>
      <c r="AI673">
        <v>107.660208120419</v>
      </c>
      <c r="AJ673">
        <v>78.1215992737568</v>
      </c>
      <c r="AK673">
        <v>0.54030511432075001</v>
      </c>
      <c r="AL673">
        <v>91.316893262151396</v>
      </c>
      <c r="AM673">
        <v>91.201174630758501</v>
      </c>
      <c r="AN673">
        <v>1.0000000113796499</v>
      </c>
    </row>
    <row r="674" spans="1:40" x14ac:dyDescent="0.25">
      <c r="A674" t="str">
        <f>"20190305135806738"</f>
        <v>20190305135806738</v>
      </c>
      <c r="B674" t="str">
        <f>"1551765486729552"</f>
        <v>1551765486729552</v>
      </c>
      <c r="C674" t="s">
        <v>40</v>
      </c>
      <c r="D674">
        <v>3.8790580000000001</v>
      </c>
      <c r="E674">
        <v>0.56444139999999998</v>
      </c>
      <c r="F674" t="s">
        <v>41</v>
      </c>
      <c r="G674">
        <v>-317.74779999999998</v>
      </c>
      <c r="H674">
        <v>0.91258349999999999</v>
      </c>
      <c r="I674">
        <v>367.92320000000001</v>
      </c>
      <c r="J674">
        <v>-318.4126</v>
      </c>
      <c r="K674">
        <v>1.104069</v>
      </c>
      <c r="L674">
        <v>368.06040000000002</v>
      </c>
      <c r="M674">
        <v>0.99980170000000002</v>
      </c>
      <c r="N674">
        <v>-1.9741849999999998E-2</v>
      </c>
      <c r="O674">
        <v>-2.6651219999999998E-3</v>
      </c>
      <c r="P674">
        <v>0.99895509999999998</v>
      </c>
      <c r="Q674">
        <v>-4.1762559999999997E-2</v>
      </c>
      <c r="R674">
        <v>1.8575689999999999E-2</v>
      </c>
      <c r="S674">
        <v>2.9830930000000002</v>
      </c>
      <c r="T674">
        <v>-0.69150710000000004</v>
      </c>
      <c r="U674">
        <v>-0.49356080000000002</v>
      </c>
      <c r="V674">
        <v>-2.122663E-2</v>
      </c>
      <c r="W674">
        <v>-2.2045840000000001E-2</v>
      </c>
      <c r="X674">
        <v>0.99953159999999996</v>
      </c>
      <c r="Y674">
        <v>0.156266299999999</v>
      </c>
      <c r="Z674">
        <v>-1.8779279999999999E-2</v>
      </c>
      <c r="AA674">
        <v>0.98753639999999998</v>
      </c>
      <c r="AB674">
        <v>33</v>
      </c>
      <c r="AC674">
        <v>0.66480000000001305</v>
      </c>
      <c r="AD674">
        <v>-0.1914855</v>
      </c>
      <c r="AE674">
        <v>-0.13720000000000701</v>
      </c>
      <c r="AF674">
        <v>0.12544512592222301</v>
      </c>
      <c r="AG674">
        <v>-0.1914855</v>
      </c>
      <c r="AH674">
        <v>0.61613458911983299</v>
      </c>
      <c r="AI674">
        <v>106.93744692980501</v>
      </c>
      <c r="AJ674">
        <v>78.491862949132994</v>
      </c>
      <c r="AK674">
        <v>0.657286093141911</v>
      </c>
      <c r="AL674">
        <v>91.263235922807098</v>
      </c>
      <c r="AM674">
        <v>91.2165833777091</v>
      </c>
      <c r="AN674">
        <v>1.0000000041405099</v>
      </c>
    </row>
    <row r="675" spans="1:40" x14ac:dyDescent="0.25">
      <c r="A675" t="str">
        <f>"20190305135806749"</f>
        <v>20190305135806749</v>
      </c>
      <c r="B675" t="str">
        <f>"1551765486739312"</f>
        <v>1551765486739312</v>
      </c>
      <c r="C675" t="s">
        <v>40</v>
      </c>
      <c r="D675">
        <v>3.8725969999999998</v>
      </c>
      <c r="E675">
        <v>0.5644209</v>
      </c>
      <c r="F675" t="s">
        <v>41</v>
      </c>
      <c r="G675">
        <v>-317.4633</v>
      </c>
      <c r="H675">
        <v>0.88407669999999905</v>
      </c>
      <c r="I675">
        <v>367.904</v>
      </c>
      <c r="J675">
        <v>-318.25259999999997</v>
      </c>
      <c r="K675">
        <v>1.1031850000000001</v>
      </c>
      <c r="L675">
        <v>368.06009999999998</v>
      </c>
      <c r="M675">
        <v>0.9997914</v>
      </c>
      <c r="N675">
        <v>-2.0270779999999999E-2</v>
      </c>
      <c r="O675">
        <v>-2.5681829999999999E-3</v>
      </c>
      <c r="P675">
        <v>0.99894839999999996</v>
      </c>
      <c r="Q675">
        <v>-4.180702E-2</v>
      </c>
      <c r="R675">
        <v>1.8832270000000002E-2</v>
      </c>
      <c r="S675">
        <v>2.9833980000000002</v>
      </c>
      <c r="T675">
        <v>-0.69132450000000001</v>
      </c>
      <c r="U675">
        <v>-0.4920349</v>
      </c>
      <c r="V675">
        <v>-2.1387469999999999E-2</v>
      </c>
      <c r="W675">
        <v>-2.156075E-2</v>
      </c>
      <c r="X675">
        <v>0.9995387</v>
      </c>
      <c r="Y675">
        <v>0.1558561</v>
      </c>
      <c r="Z675">
        <v>-1.878666E-2</v>
      </c>
      <c r="AA675">
        <v>0.98760110000000001</v>
      </c>
      <c r="AB675">
        <v>33</v>
      </c>
      <c r="AC675">
        <v>0.78929999999996803</v>
      </c>
      <c r="AD675">
        <v>-0.21910830000000001</v>
      </c>
      <c r="AE675">
        <v>-0.15609999999998</v>
      </c>
      <c r="AF675">
        <v>0.14343485048211399</v>
      </c>
      <c r="AG675">
        <v>-0.21910830000000001</v>
      </c>
      <c r="AH675">
        <v>0.73517749141979005</v>
      </c>
      <c r="AI675">
        <v>106.30521109304701</v>
      </c>
      <c r="AJ675">
        <v>78.960142133475003</v>
      </c>
      <c r="AK675">
        <v>0.78042805392426295</v>
      </c>
      <c r="AL675">
        <v>91.235435769578899</v>
      </c>
      <c r="AM675">
        <v>91.225790257165997</v>
      </c>
      <c r="AN675">
        <v>0.99999995130562502</v>
      </c>
    </row>
    <row r="676" spans="1:40" x14ac:dyDescent="0.25">
      <c r="A676" t="str">
        <f>"20190305135806759"</f>
        <v>20190305135806759</v>
      </c>
      <c r="B676" t="str">
        <f>"1551765486749073"</f>
        <v>1551765486749073</v>
      </c>
      <c r="C676" t="s">
        <v>40</v>
      </c>
      <c r="D676">
        <v>3.8589639999999998</v>
      </c>
      <c r="E676">
        <v>0.56436989999999998</v>
      </c>
      <c r="F676" t="s">
        <v>41</v>
      </c>
      <c r="G676">
        <v>-317.44990000000001</v>
      </c>
      <c r="H676">
        <v>0.91701779999999999</v>
      </c>
      <c r="I676">
        <v>367.92809999999997</v>
      </c>
      <c r="J676">
        <v>-318.10219999999998</v>
      </c>
      <c r="K676">
        <v>1.1023369999999999</v>
      </c>
      <c r="L676">
        <v>368.0598</v>
      </c>
      <c r="M676">
        <v>0.99978160000000005</v>
      </c>
      <c r="N676">
        <v>-2.075401E-2</v>
      </c>
      <c r="O676">
        <v>-2.4799679999999999E-3</v>
      </c>
      <c r="P676">
        <v>0.99894349999999998</v>
      </c>
      <c r="Q676">
        <v>-4.1654150000000001E-2</v>
      </c>
      <c r="R676">
        <v>1.941768E-2</v>
      </c>
      <c r="S676">
        <v>2.9834589999999999</v>
      </c>
      <c r="T676">
        <v>-0.69190479999999999</v>
      </c>
      <c r="U676">
        <v>-0.4909058</v>
      </c>
      <c r="V676">
        <v>-2.1885829999999998E-2</v>
      </c>
      <c r="W676">
        <v>-2.092426E-2</v>
      </c>
      <c r="X676">
        <v>0.99954149999999997</v>
      </c>
      <c r="Y676">
        <v>0.15556619999999999</v>
      </c>
      <c r="Z676">
        <v>-1.8822760000000001E-2</v>
      </c>
      <c r="AA676">
        <v>0.98764609999999997</v>
      </c>
      <c r="AB676">
        <v>33</v>
      </c>
      <c r="AC676">
        <v>0.65229999999996802</v>
      </c>
      <c r="AD676">
        <v>-0.18531919999999999</v>
      </c>
      <c r="AE676">
        <v>-0.13170000000002299</v>
      </c>
      <c r="AF676">
        <v>0.120719506612434</v>
      </c>
      <c r="AG676">
        <v>-0.18531919999999999</v>
      </c>
      <c r="AH676">
        <v>0.60565484309672502</v>
      </c>
      <c r="AI676">
        <v>106.70338222234101</v>
      </c>
      <c r="AJ676">
        <v>78.7275001713774</v>
      </c>
      <c r="AK676">
        <v>0.64477452968608195</v>
      </c>
      <c r="AL676">
        <v>91.198959272630006</v>
      </c>
      <c r="AM676">
        <v>91.254340466993696</v>
      </c>
      <c r="AN676">
        <v>1.00000001221679</v>
      </c>
    </row>
    <row r="677" spans="1:40" x14ac:dyDescent="0.25">
      <c r="A677" t="str">
        <f>"20190305135806770"</f>
        <v>20190305135806770</v>
      </c>
      <c r="B677" t="str">
        <f>"1551765486759808"</f>
        <v>1551765486759808</v>
      </c>
      <c r="C677" t="s">
        <v>40</v>
      </c>
      <c r="D677">
        <v>3.69156</v>
      </c>
      <c r="E677">
        <v>0.56436989999999998</v>
      </c>
      <c r="F677" t="s">
        <v>41</v>
      </c>
      <c r="G677">
        <v>-317.16649999999998</v>
      </c>
      <c r="H677">
        <v>0.88554759999999999</v>
      </c>
      <c r="I677">
        <v>367.90629999999999</v>
      </c>
      <c r="J677">
        <v>-317.93849999999998</v>
      </c>
      <c r="K677">
        <v>1.1013269999999999</v>
      </c>
      <c r="L677">
        <v>368.05939999999998</v>
      </c>
      <c r="M677">
        <v>0.99977269999999896</v>
      </c>
      <c r="N677">
        <v>-2.1185030000000001E-2</v>
      </c>
      <c r="O677">
        <v>-2.4037149999999998E-3</v>
      </c>
      <c r="P677">
        <v>0.9989365</v>
      </c>
      <c r="Q677">
        <v>-4.1490539999999999E-2</v>
      </c>
      <c r="R677">
        <v>2.011429E-2</v>
      </c>
      <c r="S677">
        <v>2.9838260000000001</v>
      </c>
      <c r="T677">
        <v>-0.69128469999999997</v>
      </c>
      <c r="U677">
        <v>-0.48880000000000001</v>
      </c>
      <c r="V677">
        <v>-2.2507139999999998E-2</v>
      </c>
      <c r="W677">
        <v>-2.0329340000000001E-2</v>
      </c>
      <c r="X677">
        <v>0.99953999999999998</v>
      </c>
      <c r="Y677">
        <v>0.1549586</v>
      </c>
      <c r="Z677">
        <v>-1.8782050000000002E-2</v>
      </c>
      <c r="AA677">
        <v>0.98774240000000002</v>
      </c>
      <c r="AB677">
        <v>33</v>
      </c>
      <c r="AC677">
        <v>0.77199999999999103</v>
      </c>
      <c r="AD677">
        <v>-0.21577939999999901</v>
      </c>
      <c r="AE677">
        <v>-0.15309999999999399</v>
      </c>
      <c r="AF677">
        <v>0.140669636913344</v>
      </c>
      <c r="AG677">
        <v>-0.21577939999999901</v>
      </c>
      <c r="AH677">
        <v>0.71836769515010601</v>
      </c>
      <c r="AI677">
        <v>106.42426094488</v>
      </c>
      <c r="AJ677">
        <v>78.920622931634</v>
      </c>
      <c r="AK677">
        <v>0.76315191256326398</v>
      </c>
      <c r="AL677">
        <v>91.164865590156595</v>
      </c>
      <c r="AM677">
        <v>91.289939616864302</v>
      </c>
      <c r="AN677">
        <v>1.0000000325078999</v>
      </c>
    </row>
    <row r="678" spans="1:40" x14ac:dyDescent="0.25">
      <c r="A678" t="str">
        <f>"20190305135806782"</f>
        <v>20190305135806782</v>
      </c>
      <c r="B678" t="str">
        <f>"1551765486769568"</f>
        <v>1551765486769568</v>
      </c>
      <c r="C678" t="s">
        <v>40</v>
      </c>
      <c r="D678">
        <v>3.6941700000000002</v>
      </c>
      <c r="E678">
        <v>0.53617230000000005</v>
      </c>
      <c r="F678" t="s">
        <v>41</v>
      </c>
      <c r="G678">
        <v>-317.15249999999997</v>
      </c>
      <c r="H678">
        <v>0.91931320000000005</v>
      </c>
      <c r="I678">
        <v>367.93119999999999</v>
      </c>
      <c r="J678">
        <v>-317.76990000000001</v>
      </c>
      <c r="K678">
        <v>1.100258</v>
      </c>
      <c r="L678">
        <v>368.0591</v>
      </c>
      <c r="M678">
        <v>0.99976399999999999</v>
      </c>
      <c r="N678">
        <v>-2.1600609999999999E-2</v>
      </c>
      <c r="O678">
        <v>-2.3349220000000001E-3</v>
      </c>
      <c r="P678">
        <v>0.99892069999999999</v>
      </c>
      <c r="Q678">
        <v>-4.1572289999999998E-2</v>
      </c>
      <c r="R678">
        <v>2.0711779999999999E-2</v>
      </c>
      <c r="S678">
        <v>2.984283</v>
      </c>
      <c r="T678">
        <v>-0.69107169999999996</v>
      </c>
      <c r="U678">
        <v>-0.4862976</v>
      </c>
      <c r="V678">
        <v>-2.3037289999999998E-2</v>
      </c>
      <c r="W678">
        <v>-1.9995260000000001E-2</v>
      </c>
      <c r="X678">
        <v>0.99953460000000005</v>
      </c>
      <c r="Y678">
        <v>0.1542106</v>
      </c>
      <c r="Z678">
        <v>-1.873027E-2</v>
      </c>
      <c r="AA678">
        <v>0.98786039999999997</v>
      </c>
      <c r="AB678">
        <v>33</v>
      </c>
      <c r="AC678">
        <v>0.61740000000003104</v>
      </c>
      <c r="AD678">
        <v>-0.18094479999999999</v>
      </c>
      <c r="AE678">
        <v>-0.127900000000011</v>
      </c>
      <c r="AF678">
        <v>0.11683531556108701</v>
      </c>
      <c r="AG678">
        <v>-0.18094479999999999</v>
      </c>
      <c r="AH678">
        <v>0.57069523754128804</v>
      </c>
      <c r="AI678">
        <v>107.255723357089</v>
      </c>
      <c r="AJ678">
        <v>78.430021199318006</v>
      </c>
      <c r="AK678">
        <v>0.60998734885373396</v>
      </c>
      <c r="AL678">
        <v>91.145720394301406</v>
      </c>
      <c r="AM678">
        <v>91.320320317805496</v>
      </c>
      <c r="AN678">
        <v>0.99999997187508505</v>
      </c>
    </row>
    <row r="679" spans="1:40" x14ac:dyDescent="0.25">
      <c r="A679" t="str">
        <f>"20190305135806795"</f>
        <v>20190305135806795</v>
      </c>
      <c r="B679" t="str">
        <f>"1551765486789088"</f>
        <v>1551765486789088</v>
      </c>
      <c r="C679" t="s">
        <v>40</v>
      </c>
      <c r="D679">
        <v>3.8329010000000001</v>
      </c>
      <c r="E679">
        <v>0.5251749</v>
      </c>
      <c r="F679" t="s">
        <v>41</v>
      </c>
      <c r="G679">
        <v>-316.83440000000002</v>
      </c>
      <c r="H679">
        <v>0.96527960000000002</v>
      </c>
      <c r="I679">
        <v>367.98259999999999</v>
      </c>
      <c r="J679">
        <v>-317.57</v>
      </c>
      <c r="K679">
        <v>1.0989169999999999</v>
      </c>
      <c r="L679">
        <v>368.05869999999999</v>
      </c>
      <c r="M679">
        <v>0.9997549</v>
      </c>
      <c r="N679">
        <v>-2.2028120000000002E-2</v>
      </c>
      <c r="O679">
        <v>-2.275479E-3</v>
      </c>
      <c r="P679">
        <v>0.99889870000000003</v>
      </c>
      <c r="Q679">
        <v>-4.1718779999999997E-2</v>
      </c>
      <c r="R679">
        <v>2.146553E-2</v>
      </c>
      <c r="S679">
        <v>2.9903559999999998</v>
      </c>
      <c r="T679">
        <v>-0.4315621</v>
      </c>
      <c r="U679">
        <v>-0.2443237</v>
      </c>
      <c r="V679">
        <v>-2.3732320000000001E-2</v>
      </c>
      <c r="W679">
        <v>-1.9714039999999999E-2</v>
      </c>
      <c r="X679">
        <v>0.99952390000000002</v>
      </c>
      <c r="Y679">
        <v>7.8250420000000001E-2</v>
      </c>
      <c r="Z679">
        <v>-6.2003359999999999E-3</v>
      </c>
      <c r="AA679">
        <v>0.99691439999999998</v>
      </c>
      <c r="AB679">
        <v>33</v>
      </c>
      <c r="AC679">
        <v>0.73559999999997605</v>
      </c>
      <c r="AD679">
        <v>-0.13363739999999899</v>
      </c>
      <c r="AE679">
        <v>-7.6099999999996698E-2</v>
      </c>
      <c r="AF679">
        <v>7.2072044295572193E-2</v>
      </c>
      <c r="AG679">
        <v>-0.13363739999999899</v>
      </c>
      <c r="AH679">
        <v>0.71250449012107397</v>
      </c>
      <c r="AI679">
        <v>100.57026578289</v>
      </c>
      <c r="AJ679">
        <v>84.224000225205799</v>
      </c>
      <c r="AK679">
        <v>0.72850256189693297</v>
      </c>
      <c r="AL679">
        <v>91.129604526501893</v>
      </c>
      <c r="AM679">
        <v>91.3601539034306</v>
      </c>
      <c r="AN679">
        <v>0.99999994652845503</v>
      </c>
    </row>
    <row r="680" spans="1:40" x14ac:dyDescent="0.25">
      <c r="A680" t="str">
        <f>"20190305135806808"</f>
        <v>20190305135806808</v>
      </c>
      <c r="B680" t="str">
        <f>"1551765486799824"</f>
        <v>1551765486799824</v>
      </c>
      <c r="C680" t="s">
        <v>40</v>
      </c>
      <c r="D680">
        <v>3.7453479999999999</v>
      </c>
      <c r="E680">
        <v>0.52295959999999997</v>
      </c>
      <c r="F680" t="s">
        <v>41</v>
      </c>
      <c r="G680">
        <v>-316.80790000000002</v>
      </c>
      <c r="H680">
        <v>1.017234</v>
      </c>
      <c r="I680">
        <v>368.02100000000002</v>
      </c>
      <c r="J680">
        <v>-317.37619999999998</v>
      </c>
      <c r="K680">
        <v>1.0975330000000001</v>
      </c>
      <c r="L680">
        <v>368.05829999999997</v>
      </c>
      <c r="M680">
        <v>0.99974819999999998</v>
      </c>
      <c r="N680">
        <v>-2.2333909999999998E-2</v>
      </c>
      <c r="O680">
        <v>-2.2462039999999999E-3</v>
      </c>
      <c r="P680">
        <v>0.99888739999999998</v>
      </c>
      <c r="Q680">
        <v>-4.1670819999999997E-2</v>
      </c>
      <c r="R680">
        <v>2.2084909999999999E-2</v>
      </c>
      <c r="S680">
        <v>2.9930729999999999</v>
      </c>
      <c r="T680">
        <v>-0.3209265</v>
      </c>
      <c r="U680">
        <v>-0.14782709999999999</v>
      </c>
      <c r="V680">
        <v>-2.4323009999999999E-2</v>
      </c>
      <c r="W680">
        <v>-1.9359939999999999E-2</v>
      </c>
      <c r="X680">
        <v>0.99951670000000004</v>
      </c>
      <c r="Y680">
        <v>4.6769930000000001E-2</v>
      </c>
      <c r="Z680">
        <v>-2.8332180000000002E-3</v>
      </c>
      <c r="AA680">
        <v>0.9989017</v>
      </c>
      <c r="AB680">
        <v>33</v>
      </c>
      <c r="AC680">
        <v>0.56829999999996506</v>
      </c>
      <c r="AD680">
        <v>-8.0299000000000106E-2</v>
      </c>
      <c r="AE680">
        <v>-3.7300000000016098E-2</v>
      </c>
      <c r="AF680">
        <v>3.5320919517518902E-2</v>
      </c>
      <c r="AG680">
        <v>-8.0299000000000106E-2</v>
      </c>
      <c r="AH680">
        <v>0.55730363997427301</v>
      </c>
      <c r="AI680">
        <v>98.182829989897101</v>
      </c>
      <c r="AJ680">
        <v>86.373545171672205</v>
      </c>
      <c r="AK680">
        <v>0.56416561742553695</v>
      </c>
      <c r="AL680">
        <v>91.109312129811101</v>
      </c>
      <c r="AM680">
        <v>91.394004549154104</v>
      </c>
      <c r="AN680">
        <v>1.00000002483557</v>
      </c>
    </row>
    <row r="681" spans="1:40" x14ac:dyDescent="0.25">
      <c r="A681" t="str">
        <f>"20190305135806822"</f>
        <v>20190305135806822</v>
      </c>
      <c r="B681" t="str">
        <f>"1551765486819344"</f>
        <v>1551765486819344</v>
      </c>
      <c r="C681" t="s">
        <v>40</v>
      </c>
      <c r="D681">
        <v>3.7306569999999999</v>
      </c>
      <c r="E681">
        <v>0.52125329999999903</v>
      </c>
      <c r="F681" t="s">
        <v>41</v>
      </c>
      <c r="G681">
        <v>-316.51069999999999</v>
      </c>
      <c r="H681">
        <v>1.018993</v>
      </c>
      <c r="I681">
        <v>368.02179999999998</v>
      </c>
      <c r="J681">
        <v>-317.1884</v>
      </c>
      <c r="K681">
        <v>1.0961399999999999</v>
      </c>
      <c r="L681">
        <v>368.05790000000002</v>
      </c>
      <c r="M681">
        <v>0.99974289999999999</v>
      </c>
      <c r="N681">
        <v>-2.256317E-2</v>
      </c>
      <c r="O681">
        <v>-2.2288859999999998E-3</v>
      </c>
      <c r="P681">
        <v>0.99888440000000001</v>
      </c>
      <c r="Q681">
        <v>-4.1505149999999998E-2</v>
      </c>
      <c r="R681">
        <v>2.2520209999999999E-2</v>
      </c>
      <c r="S681">
        <v>2.994812</v>
      </c>
      <c r="T681">
        <v>-0.27191850000000001</v>
      </c>
      <c r="U681">
        <v>-0.12567139999999999</v>
      </c>
      <c r="V681">
        <v>-2.4742130000000001E-2</v>
      </c>
      <c r="W681">
        <v>-1.8964379999999999E-2</v>
      </c>
      <c r="X681">
        <v>0.99951400000000001</v>
      </c>
      <c r="Y681">
        <v>3.9500960000000002E-2</v>
      </c>
      <c r="Z681">
        <v>-2.0841689999999999E-3</v>
      </c>
      <c r="AA681">
        <v>0.99921729999999997</v>
      </c>
      <c r="AB681">
        <v>33</v>
      </c>
      <c r="AC681">
        <v>0.67770000000001496</v>
      </c>
      <c r="AD681">
        <v>-7.7146999999999799E-2</v>
      </c>
      <c r="AE681">
        <v>-3.6100000000033099E-2</v>
      </c>
      <c r="AF681">
        <v>3.41477494774012E-2</v>
      </c>
      <c r="AG681">
        <v>-7.7146999999999799E-2</v>
      </c>
      <c r="AH681">
        <v>0.66913221675810997</v>
      </c>
      <c r="AI681">
        <v>96.568354103733697</v>
      </c>
      <c r="AJ681">
        <v>87.078565293754593</v>
      </c>
      <c r="AK681">
        <v>0.67442987174871905</v>
      </c>
      <c r="AL681">
        <v>91.086644045643197</v>
      </c>
      <c r="AM681">
        <v>91.418019331438501</v>
      </c>
      <c r="AN681">
        <v>1.0000000284508599</v>
      </c>
    </row>
    <row r="682" spans="1:40" x14ac:dyDescent="0.25">
      <c r="A682" t="str">
        <f>"20190305135806835"</f>
        <v>20190305135806835</v>
      </c>
      <c r="B682" t="str">
        <f>"1551765486829103"</f>
        <v>1551765486829103</v>
      </c>
      <c r="C682" t="s">
        <v>40</v>
      </c>
      <c r="D682">
        <v>3.7464979999999999</v>
      </c>
      <c r="E682">
        <v>0.52055799999999997</v>
      </c>
      <c r="F682" t="s">
        <v>43</v>
      </c>
      <c r="G682">
        <v>-300.30619999999999</v>
      </c>
      <c r="H682">
        <v>-0.05</v>
      </c>
      <c r="I682">
        <v>367.45780000000002</v>
      </c>
      <c r="J682">
        <v>-316.97859999999997</v>
      </c>
      <c r="K682">
        <v>1.0945039999999999</v>
      </c>
      <c r="L682">
        <v>368.0575</v>
      </c>
      <c r="M682">
        <v>0.99974019999999997</v>
      </c>
      <c r="N682">
        <v>-2.2687100000000002E-2</v>
      </c>
      <c r="O682">
        <v>-2.2247270000000001E-3</v>
      </c>
      <c r="P682">
        <v>0.9988899</v>
      </c>
      <c r="Q682">
        <v>-4.1163060000000001E-2</v>
      </c>
      <c r="R682">
        <v>2.291168E-2</v>
      </c>
      <c r="S682">
        <v>2.9973139999999998</v>
      </c>
      <c r="T682">
        <v>-0.20348949999999999</v>
      </c>
      <c r="U682">
        <v>-0.1065369</v>
      </c>
      <c r="V682">
        <v>-2.5130779999999998E-2</v>
      </c>
      <c r="W682">
        <v>-1.8497280000000001E-2</v>
      </c>
      <c r="X682">
        <v>0.99951299999999998</v>
      </c>
      <c r="Y682">
        <v>3.3198039999999998E-2</v>
      </c>
      <c r="Z682">
        <v>-1.402206E-3</v>
      </c>
      <c r="AA682">
        <v>0.9994478</v>
      </c>
      <c r="AB682">
        <v>33</v>
      </c>
      <c r="AC682">
        <v>16.6723999999999</v>
      </c>
      <c r="AD682">
        <v>-1.144504</v>
      </c>
      <c r="AE682">
        <v>-0.59969999999998402</v>
      </c>
      <c r="AF682">
        <v>0.55996209678634701</v>
      </c>
      <c r="AG682">
        <v>-1.144504</v>
      </c>
      <c r="AH682">
        <v>16.595589902032199</v>
      </c>
      <c r="AI682">
        <v>93.942882667404902</v>
      </c>
      <c r="AJ682">
        <v>88.067480716832804</v>
      </c>
      <c r="AK682">
        <v>16.644430033866801</v>
      </c>
      <c r="AL682">
        <v>91.059876552079601</v>
      </c>
      <c r="AM682">
        <v>91.440285745333895</v>
      </c>
      <c r="AN682">
        <v>0.99999997131990204</v>
      </c>
    </row>
    <row r="683" spans="1:40" x14ac:dyDescent="0.25">
      <c r="A683" t="str">
        <f>"20190305135806849"</f>
        <v>20190305135806849</v>
      </c>
      <c r="B683" t="str">
        <f>"1551765486839840"</f>
        <v>1551765486839840</v>
      </c>
      <c r="C683" t="s">
        <v>40</v>
      </c>
      <c r="D683">
        <v>3.736173</v>
      </c>
      <c r="E683">
        <v>0.51985700000000001</v>
      </c>
      <c r="F683" t="s">
        <v>43</v>
      </c>
      <c r="G683">
        <v>-298.77730000000003</v>
      </c>
      <c r="H683">
        <v>-0.05</v>
      </c>
      <c r="I683">
        <v>367.45659999999998</v>
      </c>
      <c r="J683">
        <v>-316.78590000000003</v>
      </c>
      <c r="K683">
        <v>1.0929260000000001</v>
      </c>
      <c r="L683">
        <v>368.05709999999999</v>
      </c>
      <c r="M683">
        <v>0.99974070000000004</v>
      </c>
      <c r="N683">
        <v>-2.2669970000000001E-2</v>
      </c>
      <c r="O683">
        <v>-2.2243139999999998E-3</v>
      </c>
      <c r="P683">
        <v>0.99891019999999997</v>
      </c>
      <c r="Q683">
        <v>-4.0401649999999997E-2</v>
      </c>
      <c r="R683">
        <v>2.3376520000000001E-2</v>
      </c>
      <c r="S683">
        <v>2.997833</v>
      </c>
      <c r="T683">
        <v>-0.1885049</v>
      </c>
      <c r="U683">
        <v>-9.8968509999999996E-2</v>
      </c>
      <c r="V683">
        <v>-2.559581E-2</v>
      </c>
      <c r="W683">
        <v>-1.7751739999999998E-2</v>
      </c>
      <c r="X683">
        <v>0.99951480000000004</v>
      </c>
      <c r="Y683">
        <v>3.0690950000000002E-2</v>
      </c>
      <c r="Z683">
        <v>-1.2229020000000001E-3</v>
      </c>
      <c r="AA683">
        <v>0.99952819999999998</v>
      </c>
      <c r="AB683">
        <v>33</v>
      </c>
      <c r="AC683">
        <v>18.008600000000001</v>
      </c>
      <c r="AD683">
        <v>-1.1429260000000001</v>
      </c>
      <c r="AE683">
        <v>-0.60050000000001003</v>
      </c>
      <c r="AF683">
        <v>0.55818563577961799</v>
      </c>
      <c r="AG683">
        <v>-1.1429260000000001</v>
      </c>
      <c r="AH683">
        <v>17.9377207649095</v>
      </c>
      <c r="AI683">
        <v>93.643990224207599</v>
      </c>
      <c r="AJ683">
        <v>88.217646232700204</v>
      </c>
      <c r="AK683">
        <v>17.982760557971499</v>
      </c>
      <c r="AL683">
        <v>91.017153153896402</v>
      </c>
      <c r="AM683">
        <v>91.466923188499706</v>
      </c>
      <c r="AN683">
        <v>1.0000000525908099</v>
      </c>
    </row>
    <row r="684" spans="1:40" x14ac:dyDescent="0.25">
      <c r="A684" t="str">
        <f>"20190305135806860"</f>
        <v>20190305135806860</v>
      </c>
      <c r="B684" t="str">
        <f>"1551765486849600"</f>
        <v>1551765486849600</v>
      </c>
      <c r="C684" t="s">
        <v>40</v>
      </c>
      <c r="D684">
        <v>3.7079789999999999</v>
      </c>
      <c r="E684">
        <v>0.51938430000000002</v>
      </c>
      <c r="F684" t="s">
        <v>43</v>
      </c>
      <c r="G684">
        <v>-297.32679999999999</v>
      </c>
      <c r="H684">
        <v>-0.05</v>
      </c>
      <c r="I684">
        <v>367.46469999999999</v>
      </c>
      <c r="J684">
        <v>-316.62169999999998</v>
      </c>
      <c r="K684">
        <v>1.0915600000000001</v>
      </c>
      <c r="L684">
        <v>368.05669999999998</v>
      </c>
      <c r="M684">
        <v>0.99974180000000001</v>
      </c>
      <c r="N684">
        <v>-2.2618949999999999E-2</v>
      </c>
      <c r="O684">
        <v>-2.226071E-3</v>
      </c>
      <c r="P684">
        <v>0.99893460000000001</v>
      </c>
      <c r="Q684">
        <v>-3.9649900000000002E-2</v>
      </c>
      <c r="R684">
        <v>2.361564E-2</v>
      </c>
      <c r="S684">
        <v>2.9983219999999999</v>
      </c>
      <c r="T684">
        <v>-0.17610509999999999</v>
      </c>
      <c r="U684">
        <v>-9.1278079999999998E-2</v>
      </c>
      <c r="V684">
        <v>-2.5837289999999999E-2</v>
      </c>
      <c r="W684">
        <v>-1.7049720000000001E-2</v>
      </c>
      <c r="X684">
        <v>0.99952079999999999</v>
      </c>
      <c r="Y684">
        <v>2.8137570000000001E-2</v>
      </c>
      <c r="Z684">
        <v>-1.0638539999999999E-3</v>
      </c>
      <c r="AA684">
        <v>0.99960349999999998</v>
      </c>
      <c r="AB684">
        <v>33</v>
      </c>
      <c r="AC684">
        <v>19.294899999999899</v>
      </c>
      <c r="AD684">
        <v>-1.1415599999999999</v>
      </c>
      <c r="AE684">
        <v>-0.59199999999998398</v>
      </c>
      <c r="AF684">
        <v>0.54712240562958703</v>
      </c>
      <c r="AG684">
        <v>-1.1415599999999999</v>
      </c>
      <c r="AH684">
        <v>19.228925524997599</v>
      </c>
      <c r="AI684">
        <v>93.3961089036857</v>
      </c>
      <c r="AJ684">
        <v>88.370197581618299</v>
      </c>
      <c r="AK684">
        <v>19.270549525279399</v>
      </c>
      <c r="AL684">
        <v>90.976924289558099</v>
      </c>
      <c r="AM684">
        <v>91.480747647368901</v>
      </c>
      <c r="AN684">
        <v>1.0000000440696299</v>
      </c>
    </row>
    <row r="685" spans="1:40" x14ac:dyDescent="0.25">
      <c r="A685" t="str">
        <f>"20190305135806871"</f>
        <v>20190305135806871</v>
      </c>
      <c r="B685" t="str">
        <f>"1551765486859360"</f>
        <v>1551765486859360</v>
      </c>
      <c r="C685" t="s">
        <v>40</v>
      </c>
      <c r="D685">
        <v>3.695954</v>
      </c>
      <c r="E685">
        <v>0.51912049999999998</v>
      </c>
      <c r="F685" t="s">
        <v>43</v>
      </c>
      <c r="G685">
        <v>-296.27050000000003</v>
      </c>
      <c r="H685">
        <v>-0.05</v>
      </c>
      <c r="I685">
        <v>367.46809999999999</v>
      </c>
      <c r="J685">
        <v>-316.45800000000003</v>
      </c>
      <c r="K685">
        <v>1.090157</v>
      </c>
      <c r="L685">
        <v>368.0564</v>
      </c>
      <c r="M685">
        <v>0.99974419999999997</v>
      </c>
      <c r="N685">
        <v>-2.2512939999999999E-2</v>
      </c>
      <c r="O685">
        <v>-2.2367509999999999E-3</v>
      </c>
      <c r="P685">
        <v>0.99894490000000002</v>
      </c>
      <c r="Q685">
        <v>-3.9394199999999997E-2</v>
      </c>
      <c r="R685">
        <v>2.3609479999999999E-2</v>
      </c>
      <c r="S685">
        <v>2.9985659999999998</v>
      </c>
      <c r="T685">
        <v>-0.16819790000000001</v>
      </c>
      <c r="U685">
        <v>-8.6730959999999996E-2</v>
      </c>
      <c r="V685">
        <v>-2.58426E-2</v>
      </c>
      <c r="W685">
        <v>-1.6898860000000002E-2</v>
      </c>
      <c r="X685">
        <v>0.99952319999999995</v>
      </c>
      <c r="Y685">
        <v>2.661823E-2</v>
      </c>
      <c r="Z685">
        <v>-9.708494E-4</v>
      </c>
      <c r="AA685">
        <v>0.99964520000000001</v>
      </c>
      <c r="AB685">
        <v>33</v>
      </c>
      <c r="AC685">
        <v>20.187499999999901</v>
      </c>
      <c r="AD685">
        <v>-1.1401569999999901</v>
      </c>
      <c r="AE685">
        <v>-0.58830000000000304</v>
      </c>
      <c r="AF685">
        <v>0.54140715809945195</v>
      </c>
      <c r="AG685">
        <v>-1.1401569999999901</v>
      </c>
      <c r="AH685">
        <v>20.124626509242901</v>
      </c>
      <c r="AI685">
        <v>93.241445134834095</v>
      </c>
      <c r="AJ685">
        <v>88.4589594908376</v>
      </c>
      <c r="AK685">
        <v>20.1641680173522</v>
      </c>
      <c r="AL685">
        <v>90.968279427031305</v>
      </c>
      <c r="AM685">
        <v>91.4810482758853</v>
      </c>
      <c r="AN685">
        <v>1.00000001939114</v>
      </c>
    </row>
    <row r="686" spans="1:40" x14ac:dyDescent="0.25">
      <c r="A686" t="str">
        <f>"20190305135806882"</f>
        <v>20190305135806882</v>
      </c>
      <c r="B686" t="str">
        <f>"1551765486878880"</f>
        <v>1551765486878880</v>
      </c>
      <c r="C686" t="s">
        <v>40</v>
      </c>
      <c r="D686">
        <v>3.720853</v>
      </c>
      <c r="E686">
        <v>0.5190707</v>
      </c>
      <c r="F686" t="s">
        <v>43</v>
      </c>
      <c r="G686">
        <v>-295.49610000000001</v>
      </c>
      <c r="H686">
        <v>-0.05</v>
      </c>
      <c r="I686">
        <v>367.46780000000001</v>
      </c>
      <c r="J686">
        <v>-316.291</v>
      </c>
      <c r="K686">
        <v>1.0887230000000001</v>
      </c>
      <c r="L686">
        <v>368.05599999999998</v>
      </c>
      <c r="M686">
        <v>0.99974669999999999</v>
      </c>
      <c r="N686">
        <v>-2.239404E-2</v>
      </c>
      <c r="O686">
        <v>-2.2511179999999999E-3</v>
      </c>
      <c r="P686">
        <v>0.99896719999999894</v>
      </c>
      <c r="Q686">
        <v>-3.8686070000000003E-2</v>
      </c>
      <c r="R686">
        <v>2.3830110000000002E-2</v>
      </c>
      <c r="S686">
        <v>2.9987180000000002</v>
      </c>
      <c r="T686">
        <v>-0.163106</v>
      </c>
      <c r="U686">
        <v>-8.4197999999999995E-2</v>
      </c>
      <c r="V686">
        <v>-2.6078299999999999E-2</v>
      </c>
      <c r="W686">
        <v>-1.6308309999999999E-2</v>
      </c>
      <c r="X686">
        <v>0.9995269</v>
      </c>
      <c r="Y686">
        <v>2.5763459999999998E-2</v>
      </c>
      <c r="Z686">
        <v>-9.1693380000000004E-4</v>
      </c>
      <c r="AA686">
        <v>0.99966759999999999</v>
      </c>
      <c r="AB686">
        <v>33</v>
      </c>
      <c r="AC686">
        <v>20.794899999999899</v>
      </c>
      <c r="AD686">
        <v>-1.1387229999999999</v>
      </c>
      <c r="AE686">
        <v>-0.58819999999997197</v>
      </c>
      <c r="AF686">
        <v>0.53975775497080403</v>
      </c>
      <c r="AG686">
        <v>-1.1387229999999999</v>
      </c>
      <c r="AH686">
        <v>20.734047743519898</v>
      </c>
      <c r="AI686">
        <v>93.142488808451205</v>
      </c>
      <c r="AJ686">
        <v>88.5087881285706</v>
      </c>
      <c r="AK686">
        <v>20.772307631443901</v>
      </c>
      <c r="AL686">
        <v>90.934438728602203</v>
      </c>
      <c r="AM686">
        <v>91.494544694928194</v>
      </c>
      <c r="AN686">
        <v>1.0000000312647701</v>
      </c>
    </row>
    <row r="687" spans="1:40" x14ac:dyDescent="0.25">
      <c r="A687" t="str">
        <f>"20190305135806893"</f>
        <v>20190305135806893</v>
      </c>
      <c r="B687" t="str">
        <f>"1551765486889617"</f>
        <v>1551765486889617</v>
      </c>
      <c r="C687" t="s">
        <v>40</v>
      </c>
      <c r="D687">
        <v>3.7281979999999999</v>
      </c>
      <c r="E687">
        <v>0.51896299999999995</v>
      </c>
      <c r="F687" t="s">
        <v>43</v>
      </c>
      <c r="G687">
        <v>-295.67469999999997</v>
      </c>
      <c r="H687">
        <v>-0.05</v>
      </c>
      <c r="I687">
        <v>367.48340000000002</v>
      </c>
      <c r="J687">
        <v>-316.1275</v>
      </c>
      <c r="K687">
        <v>1.0873010000000001</v>
      </c>
      <c r="L687">
        <v>368.05560000000003</v>
      </c>
      <c r="M687">
        <v>0.99974969999999996</v>
      </c>
      <c r="N687">
        <v>-2.2259810000000001E-2</v>
      </c>
      <c r="O687">
        <v>-2.2709219999999999E-3</v>
      </c>
      <c r="P687">
        <v>0.99899729999999998</v>
      </c>
      <c r="Q687">
        <v>-3.7957100000000001E-2</v>
      </c>
      <c r="R687">
        <v>2.3747919999999999E-2</v>
      </c>
      <c r="S687">
        <v>2.9987180000000002</v>
      </c>
      <c r="T687">
        <v>-0.165632</v>
      </c>
      <c r="U687">
        <v>-8.3282469999999997E-2</v>
      </c>
      <c r="V687">
        <v>-2.6016589999999999E-2</v>
      </c>
      <c r="W687">
        <v>-1.571202E-2</v>
      </c>
      <c r="X687">
        <v>0.99953800000000004</v>
      </c>
      <c r="Y687">
        <v>2.5438140000000001E-2</v>
      </c>
      <c r="Z687">
        <v>-9.1058689999999999E-4</v>
      </c>
      <c r="AA687">
        <v>0.99967600000000001</v>
      </c>
      <c r="AB687">
        <v>33</v>
      </c>
      <c r="AC687">
        <v>20.4528</v>
      </c>
      <c r="AD687">
        <v>-1.1373009999999999</v>
      </c>
      <c r="AE687">
        <v>-0.57220000000000903</v>
      </c>
      <c r="AF687">
        <v>0.52412096539467501</v>
      </c>
      <c r="AG687">
        <v>-1.1373009999999999</v>
      </c>
      <c r="AH687">
        <v>20.391046329669599</v>
      </c>
      <c r="AI687">
        <v>93.191285766368196</v>
      </c>
      <c r="AJ687">
        <v>88.527622951481106</v>
      </c>
      <c r="AK687">
        <v>20.4294622241922</v>
      </c>
      <c r="AL687">
        <v>90.900269502662098</v>
      </c>
      <c r="AM687">
        <v>91.490993149107396</v>
      </c>
      <c r="AN687">
        <v>0.999999971985853</v>
      </c>
    </row>
    <row r="688" spans="1:40" x14ac:dyDescent="0.25">
      <c r="A688" t="str">
        <f>"20190305135806906"</f>
        <v>20190305135806906</v>
      </c>
      <c r="B688" t="str">
        <f>"1551765486899376"</f>
        <v>1551765486899376</v>
      </c>
      <c r="C688" t="s">
        <v>40</v>
      </c>
      <c r="D688">
        <v>3.6825839999999999</v>
      </c>
      <c r="E688">
        <v>0.51873040000000004</v>
      </c>
      <c r="F688" t="s">
        <v>43</v>
      </c>
      <c r="G688">
        <v>-294.9701</v>
      </c>
      <c r="H688">
        <v>-0.05</v>
      </c>
      <c r="I688">
        <v>367.47320000000002</v>
      </c>
      <c r="J688">
        <v>-315.94240000000002</v>
      </c>
      <c r="K688">
        <v>1.0856889999999999</v>
      </c>
      <c r="L688">
        <v>368.05520000000001</v>
      </c>
      <c r="M688">
        <v>0.99975389999999997</v>
      </c>
      <c r="N688">
        <v>-2.2071190000000001E-2</v>
      </c>
      <c r="O688">
        <v>-2.30225E-3</v>
      </c>
      <c r="P688">
        <v>0.99902550000000001</v>
      </c>
      <c r="Q688">
        <v>-3.7196750000000001E-2</v>
      </c>
      <c r="R688">
        <v>2.3762470000000001E-2</v>
      </c>
      <c r="S688">
        <v>2.99884</v>
      </c>
      <c r="T688">
        <v>-0.16120090000000001</v>
      </c>
      <c r="U688">
        <v>-8.255005E-2</v>
      </c>
      <c r="V688">
        <v>-2.6063050000000001E-2</v>
      </c>
      <c r="W688">
        <v>-1.513863E-2</v>
      </c>
      <c r="X688">
        <v>0.99954569999999998</v>
      </c>
      <c r="Y688">
        <v>2.5164800000000001E-2</v>
      </c>
      <c r="Z688">
        <v>-8.8096769999999999E-4</v>
      </c>
      <c r="AA688">
        <v>0.99968290000000004</v>
      </c>
      <c r="AB688">
        <v>33</v>
      </c>
      <c r="AC688">
        <v>20.972300000000001</v>
      </c>
      <c r="AD688">
        <v>-1.1356889999999999</v>
      </c>
      <c r="AE688">
        <v>-0.58199999999999297</v>
      </c>
      <c r="AF688">
        <v>0.53214395103089096</v>
      </c>
      <c r="AG688">
        <v>-1.1356889999999999</v>
      </c>
      <c r="AH688">
        <v>20.912308071039298</v>
      </c>
      <c r="AI688">
        <v>93.107516125070703</v>
      </c>
      <c r="AJ688">
        <v>88.542340518009993</v>
      </c>
      <c r="AK688">
        <v>20.9498829482982</v>
      </c>
      <c r="AL688">
        <v>90.867412711668905</v>
      </c>
      <c r="AM688">
        <v>91.493643033982494</v>
      </c>
      <c r="AN688">
        <v>1.00000003354103</v>
      </c>
    </row>
    <row r="689" spans="1:40" x14ac:dyDescent="0.25">
      <c r="A689" t="str">
        <f>"20190305135806915"</f>
        <v>20190305135806915</v>
      </c>
      <c r="B689" t="str">
        <f>"1551765486909136"</f>
        <v>1551765486909136</v>
      </c>
      <c r="C689" t="s">
        <v>40</v>
      </c>
      <c r="D689">
        <v>3.7269060000000001</v>
      </c>
      <c r="E689">
        <v>0.5190245</v>
      </c>
      <c r="F689" t="s">
        <v>43</v>
      </c>
      <c r="G689">
        <v>-294.26670000000001</v>
      </c>
      <c r="H689">
        <v>-0.05</v>
      </c>
      <c r="I689">
        <v>367.47239999999999</v>
      </c>
      <c r="J689">
        <v>-315.78739999999999</v>
      </c>
      <c r="K689">
        <v>1.0843449999999999</v>
      </c>
      <c r="L689">
        <v>368.0548</v>
      </c>
      <c r="M689">
        <v>0.99975760000000002</v>
      </c>
      <c r="N689">
        <v>-2.189543E-2</v>
      </c>
      <c r="O689">
        <v>-2.332705E-3</v>
      </c>
      <c r="P689">
        <v>0.99905650000000001</v>
      </c>
      <c r="Q689">
        <v>-3.6476099999999997E-2</v>
      </c>
      <c r="R689">
        <v>2.3579039999999999E-2</v>
      </c>
      <c r="S689">
        <v>2.9989620000000001</v>
      </c>
      <c r="T689">
        <v>-0.15712989999999999</v>
      </c>
      <c r="U689">
        <v>-8.0627439999999995E-2</v>
      </c>
      <c r="V689">
        <v>-2.5911219999999999E-2</v>
      </c>
      <c r="W689">
        <v>-1.459217E-2</v>
      </c>
      <c r="X689">
        <v>0.99955769999999999</v>
      </c>
      <c r="Y689">
        <v>2.449635E-2</v>
      </c>
      <c r="Z689">
        <v>-8.3864279999999996E-4</v>
      </c>
      <c r="AA689">
        <v>0.99969960000000002</v>
      </c>
      <c r="AB689">
        <v>33</v>
      </c>
      <c r="AC689">
        <v>21.520699999999898</v>
      </c>
      <c r="AD689">
        <v>-1.1343449999999999</v>
      </c>
      <c r="AE689">
        <v>-0.58240000000000602</v>
      </c>
      <c r="AF689">
        <v>0.53071154370889295</v>
      </c>
      <c r="AG689">
        <v>-1.1343449999999999</v>
      </c>
      <c r="AH689">
        <v>21.462415142869801</v>
      </c>
      <c r="AI689">
        <v>93.024494629898498</v>
      </c>
      <c r="AJ689">
        <v>88.583508141224797</v>
      </c>
      <c r="AK689">
        <v>21.498922230812799</v>
      </c>
      <c r="AL689">
        <v>90.836099462826695</v>
      </c>
      <c r="AM689">
        <v>91.484927921586305</v>
      </c>
      <c r="AN689">
        <v>0.99999995918824203</v>
      </c>
    </row>
    <row r="690" spans="1:40" x14ac:dyDescent="0.25">
      <c r="A690" t="str">
        <f>"20190305135806927"</f>
        <v>20190305135806927</v>
      </c>
      <c r="B690" t="str">
        <f>"1551765486919872"</f>
        <v>1551765486919872</v>
      </c>
      <c r="C690" t="s">
        <v>40</v>
      </c>
      <c r="D690">
        <v>3.7049829999999999</v>
      </c>
      <c r="E690">
        <v>0.51890789999999998</v>
      </c>
      <c r="F690" t="s">
        <v>43</v>
      </c>
      <c r="G690">
        <v>-294.58240000000001</v>
      </c>
      <c r="H690">
        <v>-0.05</v>
      </c>
      <c r="I690">
        <v>367.46100000000001</v>
      </c>
      <c r="J690">
        <v>-315.6266</v>
      </c>
      <c r="K690">
        <v>1.0829679999999999</v>
      </c>
      <c r="L690">
        <v>368.05439999999999</v>
      </c>
      <c r="M690">
        <v>0.9997627</v>
      </c>
      <c r="N690">
        <v>-2.1658750000000001E-2</v>
      </c>
      <c r="O690">
        <v>-2.378518E-3</v>
      </c>
      <c r="P690">
        <v>0.99907769999999996</v>
      </c>
      <c r="Q690">
        <v>-3.6002359999999997E-2</v>
      </c>
      <c r="R690">
        <v>2.3399719999999999E-2</v>
      </c>
      <c r="S690">
        <v>2.998993</v>
      </c>
      <c r="T690">
        <v>-0.16042899999999999</v>
      </c>
      <c r="U690">
        <v>-8.3984379999999997E-2</v>
      </c>
      <c r="V690">
        <v>-2.5778329999999999E-2</v>
      </c>
      <c r="W690">
        <v>-1.4353609999999999E-2</v>
      </c>
      <c r="X690">
        <v>0.99956460000000003</v>
      </c>
      <c r="Y690">
        <v>2.556485E-2</v>
      </c>
      <c r="Z690">
        <v>-8.8475070000000003E-4</v>
      </c>
      <c r="AA690">
        <v>0.99967280000000003</v>
      </c>
      <c r="AB690">
        <v>33</v>
      </c>
      <c r="AC690">
        <v>21.044199999999901</v>
      </c>
      <c r="AD690">
        <v>-1.132968</v>
      </c>
      <c r="AE690">
        <v>-0.59339999999997395</v>
      </c>
      <c r="AF690">
        <v>0.54176352954726603</v>
      </c>
      <c r="AG690">
        <v>-1.132968</v>
      </c>
      <c r="AH690">
        <v>20.9847765376295</v>
      </c>
      <c r="AI690">
        <v>93.089371087472699</v>
      </c>
      <c r="AJ690">
        <v>88.521124585456604</v>
      </c>
      <c r="AK690">
        <v>21.022320769725201</v>
      </c>
      <c r="AL690">
        <v>90.8224295412533</v>
      </c>
      <c r="AM690">
        <v>91.477305412046604</v>
      </c>
      <c r="AN690">
        <v>0.99999996899539001</v>
      </c>
    </row>
    <row r="691" spans="1:40" x14ac:dyDescent="0.25">
      <c r="A691" t="str">
        <f>"20190305135806940"</f>
        <v>20190305135806940</v>
      </c>
      <c r="B691" t="str">
        <f>"1551765486929632"</f>
        <v>1551765486929632</v>
      </c>
      <c r="C691" t="s">
        <v>40</v>
      </c>
      <c r="D691">
        <v>3.6892399999999999</v>
      </c>
      <c r="E691">
        <v>0.51880379999999904</v>
      </c>
      <c r="F691" t="s">
        <v>43</v>
      </c>
      <c r="G691">
        <v>-294.05099999999999</v>
      </c>
      <c r="H691">
        <v>-0.05</v>
      </c>
      <c r="I691">
        <v>367.45350000000002</v>
      </c>
      <c r="J691">
        <v>-315.44959999999998</v>
      </c>
      <c r="K691">
        <v>1.0814600000000001</v>
      </c>
      <c r="L691">
        <v>368.0539</v>
      </c>
      <c r="M691">
        <v>0.99976849999999995</v>
      </c>
      <c r="N691">
        <v>-2.1381250000000001E-2</v>
      </c>
      <c r="O691">
        <v>-2.4342180000000001E-3</v>
      </c>
      <c r="P691">
        <v>0.99909499999999996</v>
      </c>
      <c r="Q691">
        <v>-3.55264E-2</v>
      </c>
      <c r="R691">
        <v>2.3386770000000001E-2</v>
      </c>
      <c r="S691">
        <v>2.9990230000000002</v>
      </c>
      <c r="T691">
        <v>-0.15748329999999999</v>
      </c>
      <c r="U691">
        <v>-8.3526610000000001E-2</v>
      </c>
      <c r="V691">
        <v>-2.5821299999999998E-2</v>
      </c>
      <c r="W691">
        <v>-1.4153600000000001E-2</v>
      </c>
      <c r="X691">
        <v>0.99956639999999997</v>
      </c>
      <c r="Y691">
        <v>2.5358579999999999E-2</v>
      </c>
      <c r="Z691">
        <v>-8.6097840000000001E-4</v>
      </c>
      <c r="AA691">
        <v>0.99967810000000001</v>
      </c>
      <c r="AB691">
        <v>33</v>
      </c>
      <c r="AC691">
        <v>21.398599999999899</v>
      </c>
      <c r="AD691">
        <v>-1.1314599999999999</v>
      </c>
      <c r="AE691">
        <v>-0.60039999999997895</v>
      </c>
      <c r="AF691">
        <v>0.54676999349724498</v>
      </c>
      <c r="AG691">
        <v>-1.1314599999999999</v>
      </c>
      <c r="AH691">
        <v>21.340381687373</v>
      </c>
      <c r="AI691">
        <v>93.033967812276998</v>
      </c>
      <c r="AJ691">
        <v>88.532324253004703</v>
      </c>
      <c r="AK691">
        <v>21.377348987190999</v>
      </c>
      <c r="AL691">
        <v>90.810968601525602</v>
      </c>
      <c r="AM691">
        <v>91.479764180730598</v>
      </c>
      <c r="AN691">
        <v>1.0000000259677999</v>
      </c>
    </row>
    <row r="692" spans="1:40" x14ac:dyDescent="0.25">
      <c r="A692" t="str">
        <f>"20190305135806951"</f>
        <v>20190305135806951</v>
      </c>
      <c r="B692" t="str">
        <f>"1551765486939392"</f>
        <v>1551765486939392</v>
      </c>
      <c r="C692" t="s">
        <v>40</v>
      </c>
      <c r="D692">
        <v>3.6811950000000002</v>
      </c>
      <c r="E692">
        <v>0.51901759999999997</v>
      </c>
      <c r="F692" t="s">
        <v>43</v>
      </c>
      <c r="G692">
        <v>-293.57749999999999</v>
      </c>
      <c r="H692">
        <v>-0.05</v>
      </c>
      <c r="I692">
        <v>367.45139999999998</v>
      </c>
      <c r="J692">
        <v>-315.28339999999997</v>
      </c>
      <c r="K692">
        <v>1.080087</v>
      </c>
      <c r="L692">
        <v>368.05349999999999</v>
      </c>
      <c r="M692">
        <v>0.99977479999999996</v>
      </c>
      <c r="N692">
        <v>-2.1073439999999999E-2</v>
      </c>
      <c r="O692">
        <v>-2.50249E-3</v>
      </c>
      <c r="P692">
        <v>0.99911589999999995</v>
      </c>
      <c r="Q692">
        <v>-3.5121510000000002E-2</v>
      </c>
      <c r="R692">
        <v>2.311353E-2</v>
      </c>
      <c r="S692">
        <v>2.9991460000000001</v>
      </c>
      <c r="T692">
        <v>-0.15514849999999999</v>
      </c>
      <c r="U692">
        <v>-8.2611080000000003E-2</v>
      </c>
      <c r="V692">
        <v>-2.5617339999999999E-2</v>
      </c>
      <c r="W692">
        <v>-1.40549E-2</v>
      </c>
      <c r="X692">
        <v>0.99957300000000004</v>
      </c>
      <c r="Y692">
        <v>2.4986399999999999E-2</v>
      </c>
      <c r="Z692">
        <v>-8.3269989999999999E-4</v>
      </c>
      <c r="AA692">
        <v>0.9996874</v>
      </c>
      <c r="AB692">
        <v>33</v>
      </c>
      <c r="AC692">
        <v>21.7058999999999</v>
      </c>
      <c r="AD692">
        <v>-1.1300870000000001</v>
      </c>
      <c r="AE692">
        <v>-0.60210000000000696</v>
      </c>
      <c r="AF692">
        <v>0.54628761301044904</v>
      </c>
      <c r="AG692">
        <v>-1.1300870000000001</v>
      </c>
      <c r="AH692">
        <v>21.648702862623502</v>
      </c>
      <c r="AI692">
        <v>92.9872436139228</v>
      </c>
      <c r="AJ692">
        <v>88.554493828616302</v>
      </c>
      <c r="AK692">
        <v>21.685060811947501</v>
      </c>
      <c r="AL692">
        <v>90.805312978396501</v>
      </c>
      <c r="AM692">
        <v>91.468071110152593</v>
      </c>
      <c r="AN692">
        <v>0.999999985325842</v>
      </c>
    </row>
    <row r="693" spans="1:40" x14ac:dyDescent="0.25">
      <c r="A693" t="str">
        <f>"20190305135806963"</f>
        <v>20190305135806963</v>
      </c>
      <c r="B693" t="str">
        <f>"1551765486959889"</f>
        <v>1551765486959889</v>
      </c>
      <c r="C693" t="s">
        <v>40</v>
      </c>
      <c r="D693">
        <v>3.6899929999999999</v>
      </c>
      <c r="E693">
        <v>0.51897329999999997</v>
      </c>
      <c r="F693" t="s">
        <v>43</v>
      </c>
      <c r="G693">
        <v>-293.82389999999998</v>
      </c>
      <c r="H693">
        <v>-0.05</v>
      </c>
      <c r="I693">
        <v>367.4434</v>
      </c>
      <c r="J693">
        <v>-315.10469999999998</v>
      </c>
      <c r="K693">
        <v>1.078646</v>
      </c>
      <c r="L693">
        <v>368.053</v>
      </c>
      <c r="M693">
        <v>0.9997819</v>
      </c>
      <c r="N693">
        <v>-2.0725540000000001E-2</v>
      </c>
      <c r="O693">
        <v>-2.584598E-3</v>
      </c>
      <c r="P693">
        <v>0.99912540000000005</v>
      </c>
      <c r="Q693">
        <v>-3.476899E-2</v>
      </c>
      <c r="R693">
        <v>2.3235860000000001E-2</v>
      </c>
      <c r="S693">
        <v>2.9990839999999999</v>
      </c>
      <c r="T693">
        <v>-0.15793589999999999</v>
      </c>
      <c r="U693">
        <v>-8.5266110000000006E-2</v>
      </c>
      <c r="V693">
        <v>-2.5822290000000001E-2</v>
      </c>
      <c r="W693">
        <v>-1.404875E-2</v>
      </c>
      <c r="X693">
        <v>0.99956780000000001</v>
      </c>
      <c r="Y693">
        <v>2.5786549999999998E-2</v>
      </c>
      <c r="Z693">
        <v>-8.6348600000000001E-4</v>
      </c>
      <c r="AA693">
        <v>0.99966710000000003</v>
      </c>
      <c r="AB693">
        <v>33</v>
      </c>
      <c r="AC693">
        <v>21.280799999999999</v>
      </c>
      <c r="AD693">
        <v>-1.12864599999999</v>
      </c>
      <c r="AE693">
        <v>-0.60960000000005699</v>
      </c>
      <c r="AF693">
        <v>0.55302954634474699</v>
      </c>
      <c r="AG693">
        <v>-1.12864599999999</v>
      </c>
      <c r="AH693">
        <v>21.222658547388399</v>
      </c>
      <c r="AI693">
        <v>93.043158262910296</v>
      </c>
      <c r="AJ693">
        <v>88.507298711245696</v>
      </c>
      <c r="AK693">
        <v>21.259842880216301</v>
      </c>
      <c r="AL693">
        <v>90.804960584945604</v>
      </c>
      <c r="AM693">
        <v>91.479818818589806</v>
      </c>
      <c r="AN693">
        <v>0.99999997241712202</v>
      </c>
    </row>
    <row r="694" spans="1:40" x14ac:dyDescent="0.25">
      <c r="A694" t="str">
        <f>"20190305135806975"</f>
        <v>20190305135806975</v>
      </c>
      <c r="B694" t="str">
        <f>"1551765486969648"</f>
        <v>1551765486969648</v>
      </c>
      <c r="C694" t="s">
        <v>40</v>
      </c>
      <c r="D694">
        <v>3.6702140000000001</v>
      </c>
      <c r="E694">
        <v>0.51901109999999995</v>
      </c>
      <c r="F694" t="s">
        <v>43</v>
      </c>
      <c r="G694">
        <v>-293.08600000000001</v>
      </c>
      <c r="H694">
        <v>-0.05</v>
      </c>
      <c r="I694">
        <v>367.43279999999999</v>
      </c>
      <c r="J694">
        <v>-314.92849999999999</v>
      </c>
      <c r="K694">
        <v>1.0772710000000001</v>
      </c>
      <c r="L694">
        <v>368.05239999999998</v>
      </c>
      <c r="M694">
        <v>0.99978909999999999</v>
      </c>
      <c r="N694">
        <v>-2.0360590000000001E-2</v>
      </c>
      <c r="O694">
        <v>-2.676819E-3</v>
      </c>
      <c r="P694">
        <v>0.99913730000000001</v>
      </c>
      <c r="Q694">
        <v>-3.4693729999999999E-2</v>
      </c>
      <c r="R694">
        <v>2.2826300000000001E-2</v>
      </c>
      <c r="S694">
        <v>2.9992679999999998</v>
      </c>
      <c r="T694">
        <v>-0.15373779999999901</v>
      </c>
      <c r="U694">
        <v>-8.4472660000000005E-2</v>
      </c>
      <c r="V694">
        <v>-2.5505699999999999E-2</v>
      </c>
      <c r="W694">
        <v>-1.4336939999999999E-2</v>
      </c>
      <c r="X694">
        <v>0.99957189999999996</v>
      </c>
      <c r="Y694">
        <v>2.5431479999999999E-2</v>
      </c>
      <c r="Z694">
        <v>-8.2783270000000005E-4</v>
      </c>
      <c r="AA694">
        <v>0.99967620000000001</v>
      </c>
      <c r="AB694">
        <v>33</v>
      </c>
      <c r="AC694">
        <v>21.842499999999902</v>
      </c>
      <c r="AD694">
        <v>-1.1272709999999999</v>
      </c>
      <c r="AE694">
        <v>-0.61959999999999105</v>
      </c>
      <c r="AF694">
        <v>0.55962786835071399</v>
      </c>
      <c r="AG694">
        <v>-1.1272709999999999</v>
      </c>
      <c r="AH694">
        <v>21.786100087631802</v>
      </c>
      <c r="AI694">
        <v>92.961020140341006</v>
      </c>
      <c r="AJ694">
        <v>88.528545028243499</v>
      </c>
      <c r="AK694">
        <v>21.822421503737498</v>
      </c>
      <c r="AL694">
        <v>90.821474267303302</v>
      </c>
      <c r="AM694">
        <v>91.461677666737799</v>
      </c>
      <c r="AN694">
        <v>1.00000003592533</v>
      </c>
    </row>
    <row r="695" spans="1:40" x14ac:dyDescent="0.25">
      <c r="A695" t="str">
        <f>"20190305135806989"</f>
        <v>20190305135806989</v>
      </c>
      <c r="B695" t="str">
        <f>"1551765486979409"</f>
        <v>1551765486979409</v>
      </c>
      <c r="C695" t="s">
        <v>40</v>
      </c>
      <c r="D695">
        <v>3.6870319999999999</v>
      </c>
      <c r="E695">
        <v>0.51895159999999996</v>
      </c>
      <c r="F695" t="s">
        <v>43</v>
      </c>
      <c r="G695">
        <v>-292.66680000000002</v>
      </c>
      <c r="H695">
        <v>-0.05</v>
      </c>
      <c r="I695">
        <v>367.41320000000002</v>
      </c>
      <c r="J695">
        <v>-314.73880000000003</v>
      </c>
      <c r="K695">
        <v>1.0758760000000001</v>
      </c>
      <c r="L695">
        <v>368.05180000000001</v>
      </c>
      <c r="M695">
        <v>0.99979720000000005</v>
      </c>
      <c r="N695">
        <v>-1.995102E-2</v>
      </c>
      <c r="O695">
        <v>-2.7947739999999999E-3</v>
      </c>
      <c r="P695">
        <v>0.99916079999999996</v>
      </c>
      <c r="Q695">
        <v>-3.428341E-2</v>
      </c>
      <c r="R695">
        <v>2.2414199999999999E-2</v>
      </c>
      <c r="S695">
        <v>2.999298</v>
      </c>
      <c r="T695">
        <v>-0.15187629999999999</v>
      </c>
      <c r="U695">
        <v>-8.612061E-2</v>
      </c>
      <c r="V695">
        <v>-2.521209E-2</v>
      </c>
      <c r="W695">
        <v>-1.433446E-2</v>
      </c>
      <c r="X695">
        <v>0.99957940000000001</v>
      </c>
      <c r="Y695">
        <v>2.5862599999999999E-2</v>
      </c>
      <c r="Z695">
        <v>-8.2688679999999896E-4</v>
      </c>
      <c r="AA695">
        <v>0.99966509999999997</v>
      </c>
      <c r="AB695">
        <v>33</v>
      </c>
      <c r="AC695">
        <v>22.071999999999999</v>
      </c>
      <c r="AD695">
        <v>-1.1258760000000001</v>
      </c>
      <c r="AE695">
        <v>-0.63859999999999595</v>
      </c>
      <c r="AF695">
        <v>0.57540306818278497</v>
      </c>
      <c r="AG695">
        <v>-1.1258760000000001</v>
      </c>
      <c r="AH695">
        <v>22.016461203899802</v>
      </c>
      <c r="AI695">
        <v>92.926439313500097</v>
      </c>
      <c r="AJ695">
        <v>88.502908171846997</v>
      </c>
      <c r="AK695">
        <v>22.052737911676001</v>
      </c>
      <c r="AL695">
        <v>90.821332146325801</v>
      </c>
      <c r="AM695">
        <v>91.444847836902298</v>
      </c>
      <c r="AN695">
        <v>1.000000051565</v>
      </c>
    </row>
    <row r="696" spans="1:40" x14ac:dyDescent="0.25">
      <c r="A696" t="str">
        <f>"20190305135807002"</f>
        <v>20190305135807002</v>
      </c>
      <c r="B696" t="str">
        <f>"1551765486989168"</f>
        <v>1551765486989168</v>
      </c>
      <c r="C696" t="s">
        <v>40</v>
      </c>
      <c r="D696">
        <v>3.8042579999999999</v>
      </c>
      <c r="E696">
        <v>0.51924870000000001</v>
      </c>
      <c r="F696" t="s">
        <v>43</v>
      </c>
      <c r="G696">
        <v>-292.05880000000002</v>
      </c>
      <c r="H696">
        <v>-0.05</v>
      </c>
      <c r="I696">
        <v>367.39760000000001</v>
      </c>
      <c r="J696">
        <v>-314.53960000000001</v>
      </c>
      <c r="K696">
        <v>1.074465</v>
      </c>
      <c r="L696">
        <v>368.05110000000002</v>
      </c>
      <c r="M696">
        <v>0.99980530000000001</v>
      </c>
      <c r="N696">
        <v>-1.9514739999999999E-2</v>
      </c>
      <c r="O696">
        <v>-2.930911E-3</v>
      </c>
      <c r="P696">
        <v>0.99917730000000005</v>
      </c>
      <c r="Q696">
        <v>-3.3833719999999998E-2</v>
      </c>
      <c r="R696">
        <v>2.235989E-2</v>
      </c>
      <c r="S696">
        <v>2.99939</v>
      </c>
      <c r="T696">
        <v>-0.1488949</v>
      </c>
      <c r="U696">
        <v>-8.6517330000000003E-2</v>
      </c>
      <c r="V696">
        <v>-2.5294560000000001E-2</v>
      </c>
      <c r="W696">
        <v>-1.431929E-2</v>
      </c>
      <c r="X696">
        <v>0.99957750000000001</v>
      </c>
      <c r="Y696">
        <v>2.5859589999999998E-2</v>
      </c>
      <c r="Z696">
        <v>-8.0573829999999996E-4</v>
      </c>
      <c r="AA696">
        <v>0.99966529999999998</v>
      </c>
      <c r="AB696">
        <v>33</v>
      </c>
      <c r="AC696">
        <v>22.480799999999899</v>
      </c>
      <c r="AD696">
        <v>-1.124465</v>
      </c>
      <c r="AE696">
        <v>-0.65350000000000796</v>
      </c>
      <c r="AF696">
        <v>0.586130224361606</v>
      </c>
      <c r="AG696">
        <v>-1.124465</v>
      </c>
      <c r="AH696">
        <v>22.4265576937802</v>
      </c>
      <c r="AI696">
        <v>92.869421745584006</v>
      </c>
      <c r="AJ696">
        <v>88.502884603796005</v>
      </c>
      <c r="AK696">
        <v>22.462378773598001</v>
      </c>
      <c r="AL696">
        <v>90.820462907990603</v>
      </c>
      <c r="AM696">
        <v>91.449574746985704</v>
      </c>
      <c r="AN696">
        <v>1.0000000176689701</v>
      </c>
    </row>
    <row r="697" spans="1:40" x14ac:dyDescent="0.25">
      <c r="A697" t="str">
        <f>"20190305135807018"</f>
        <v>20190305135807018</v>
      </c>
      <c r="B697" t="str">
        <f>"1551765487009665"</f>
        <v>1551765487009665</v>
      </c>
      <c r="C697" t="s">
        <v>40</v>
      </c>
      <c r="D697">
        <v>3.6996329999999999</v>
      </c>
      <c r="E697">
        <v>0.51957059999999999</v>
      </c>
      <c r="F697" t="s">
        <v>43</v>
      </c>
      <c r="G697">
        <v>-292.38080000000002</v>
      </c>
      <c r="H697">
        <v>-0.05</v>
      </c>
      <c r="I697">
        <v>367.39159999999998</v>
      </c>
      <c r="J697">
        <v>-314.30040000000002</v>
      </c>
      <c r="K697">
        <v>1.072881</v>
      </c>
      <c r="L697">
        <v>368.05020000000002</v>
      </c>
      <c r="M697">
        <v>0.9998148</v>
      </c>
      <c r="N697">
        <v>-1.8987670000000002E-2</v>
      </c>
      <c r="O697">
        <v>-3.117253E-3</v>
      </c>
      <c r="P697">
        <v>0.99922060000000001</v>
      </c>
      <c r="Q697">
        <v>-3.2799960000000003E-2</v>
      </c>
      <c r="R697">
        <v>2.196244E-2</v>
      </c>
      <c r="S697">
        <v>2.9993590000000001</v>
      </c>
      <c r="T697">
        <v>-0.15220520000000001</v>
      </c>
      <c r="U697">
        <v>-8.9263919999999997E-2</v>
      </c>
      <c r="V697">
        <v>-2.5084539999999999E-2</v>
      </c>
      <c r="W697">
        <v>-1.381025E-2</v>
      </c>
      <c r="X697">
        <v>0.99958990000000003</v>
      </c>
      <c r="Y697">
        <v>2.658582E-2</v>
      </c>
      <c r="Z697">
        <v>-8.277906E-4</v>
      </c>
      <c r="AA697">
        <v>0.99964620000000004</v>
      </c>
      <c r="AB697">
        <v>33</v>
      </c>
      <c r="AC697">
        <v>21.919599999999999</v>
      </c>
      <c r="AD697">
        <v>-1.122881</v>
      </c>
      <c r="AE697">
        <v>-0.65860000000003505</v>
      </c>
      <c r="AF697">
        <v>0.58871201197107104</v>
      </c>
      <c r="AG697">
        <v>-1.122881</v>
      </c>
      <c r="AH697">
        <v>21.864221817346699</v>
      </c>
      <c r="AI697">
        <v>92.9388935432073</v>
      </c>
      <c r="AJ697">
        <v>88.457637053072304</v>
      </c>
      <c r="AK697">
        <v>21.900950647205701</v>
      </c>
      <c r="AL697">
        <v>90.791294222924193</v>
      </c>
      <c r="AM697">
        <v>91.437526215937595</v>
      </c>
      <c r="AN697">
        <v>0.99999996266704105</v>
      </c>
    </row>
    <row r="698" spans="1:40" x14ac:dyDescent="0.25">
      <c r="A698" t="str">
        <f>"20190305135807031"</f>
        <v>20190305135807031</v>
      </c>
      <c r="B698" t="str">
        <f>"1551765487019424"</f>
        <v>1551765487019424</v>
      </c>
      <c r="C698" t="s">
        <v>40</v>
      </c>
      <c r="D698">
        <v>3.7079330000000001</v>
      </c>
      <c r="E698">
        <v>0.51967669999999999</v>
      </c>
      <c r="F698" t="s">
        <v>43</v>
      </c>
      <c r="G698">
        <v>-291.12220000000002</v>
      </c>
      <c r="H698">
        <v>-0.05</v>
      </c>
      <c r="I698">
        <v>367.3338</v>
      </c>
      <c r="J698">
        <v>-314.11180000000002</v>
      </c>
      <c r="K698">
        <v>1.0717449999999999</v>
      </c>
      <c r="L698">
        <v>368.04950000000002</v>
      </c>
      <c r="M698">
        <v>0.99982199999999999</v>
      </c>
      <c r="N698">
        <v>-1.858046E-2</v>
      </c>
      <c r="O698">
        <v>-3.285376E-3</v>
      </c>
      <c r="P698">
        <v>0.99926939999999997</v>
      </c>
      <c r="Q698">
        <v>-3.1499800000000001E-2</v>
      </c>
      <c r="R698">
        <v>2.164814E-2</v>
      </c>
      <c r="S698">
        <v>2.999603</v>
      </c>
      <c r="T698">
        <v>-0.1453171</v>
      </c>
      <c r="U698">
        <v>-9.27124E-2</v>
      </c>
      <c r="V698">
        <v>-2.4938510000000001E-2</v>
      </c>
      <c r="W698">
        <v>-1.2915329999999999E-2</v>
      </c>
      <c r="X698">
        <v>0.99960550000000004</v>
      </c>
      <c r="Y698">
        <v>2.7565679999999999E-2</v>
      </c>
      <c r="Z698">
        <v>-8.2553279999999997E-4</v>
      </c>
      <c r="AA698">
        <v>0.9996197</v>
      </c>
      <c r="AB698">
        <v>33</v>
      </c>
      <c r="AC698">
        <v>22.989599999999999</v>
      </c>
      <c r="AD698">
        <v>-1.121745</v>
      </c>
      <c r="AE698">
        <v>-0.71570000000002598</v>
      </c>
      <c r="AF698">
        <v>0.63863461920421605</v>
      </c>
      <c r="AG698">
        <v>-1.121745</v>
      </c>
      <c r="AH698">
        <v>22.937271134773798</v>
      </c>
      <c r="AI698">
        <v>92.798730944728604</v>
      </c>
      <c r="AJ698">
        <v>88.405145179947297</v>
      </c>
      <c r="AK698">
        <v>22.973562482383901</v>
      </c>
      <c r="AL698">
        <v>90.740014514561196</v>
      </c>
      <c r="AM698">
        <v>91.429138823435906</v>
      </c>
      <c r="AN698">
        <v>0.99999994533013803</v>
      </c>
    </row>
    <row r="699" spans="1:40" x14ac:dyDescent="0.25">
      <c r="A699" t="str">
        <f>"20190305135807042"</f>
        <v>20190305135807042</v>
      </c>
      <c r="B699" t="str">
        <f>"1551765487038944"</f>
        <v>1551765487038944</v>
      </c>
      <c r="C699" t="s">
        <v>40</v>
      </c>
      <c r="D699">
        <v>3.7075930000000001</v>
      </c>
      <c r="E699">
        <v>0.51986589999999999</v>
      </c>
      <c r="F699" t="s">
        <v>43</v>
      </c>
      <c r="G699">
        <v>-290.01150000000001</v>
      </c>
      <c r="H699">
        <v>-0.05</v>
      </c>
      <c r="I699">
        <v>367.28870000000001</v>
      </c>
      <c r="J699">
        <v>-313.94819999999999</v>
      </c>
      <c r="K699">
        <v>1.0708</v>
      </c>
      <c r="L699">
        <v>368.04880000000003</v>
      </c>
      <c r="M699">
        <v>0.99982789999999999</v>
      </c>
      <c r="N699">
        <v>-1.8233019999999999E-2</v>
      </c>
      <c r="O699">
        <v>-3.4378329999999999E-3</v>
      </c>
      <c r="P699">
        <v>0.99932129999999997</v>
      </c>
      <c r="Q699">
        <v>-3.0004240000000001E-2</v>
      </c>
      <c r="R699">
        <v>2.1374589999999999E-2</v>
      </c>
      <c r="S699">
        <v>2.9998469999999999</v>
      </c>
      <c r="T699">
        <v>-0.1396271</v>
      </c>
      <c r="U699">
        <v>-9.4696039999999995E-2</v>
      </c>
      <c r="V699">
        <v>-2.481732E-2</v>
      </c>
      <c r="W699">
        <v>-1.176544E-2</v>
      </c>
      <c r="X699">
        <v>0.99962280000000003</v>
      </c>
      <c r="Y699">
        <v>2.807345E-2</v>
      </c>
      <c r="Z699">
        <v>-8.1179699999999995E-4</v>
      </c>
      <c r="AA699">
        <v>0.99960550000000004</v>
      </c>
      <c r="AB699">
        <v>33</v>
      </c>
      <c r="AC699">
        <v>23.936699999999899</v>
      </c>
      <c r="AD699">
        <v>-1.1208</v>
      </c>
      <c r="AE699">
        <v>-0.76010000000002198</v>
      </c>
      <c r="AF699">
        <v>0.67631017580149599</v>
      </c>
      <c r="AG699">
        <v>-1.1208</v>
      </c>
      <c r="AH699">
        <v>23.886854296558202</v>
      </c>
      <c r="AI699">
        <v>92.685342197975501</v>
      </c>
      <c r="AJ699">
        <v>88.378213853521302</v>
      </c>
      <c r="AK699">
        <v>23.922696258551099</v>
      </c>
      <c r="AL699">
        <v>90.674125586767104</v>
      </c>
      <c r="AM699">
        <v>91.422172104326904</v>
      </c>
      <c r="AN699">
        <v>1.0000000336151</v>
      </c>
    </row>
    <row r="700" spans="1:40" x14ac:dyDescent="0.25">
      <c r="A700" t="str">
        <f>"20190305135807054"</f>
        <v>20190305135807054</v>
      </c>
      <c r="B700" t="str">
        <f>"1551765487049681"</f>
        <v>1551765487049681</v>
      </c>
      <c r="C700" t="s">
        <v>40</v>
      </c>
      <c r="D700">
        <v>3.7298330000000002</v>
      </c>
      <c r="E700">
        <v>0.51995829999999998</v>
      </c>
      <c r="F700" t="s">
        <v>43</v>
      </c>
      <c r="G700">
        <v>-288.64550000000003</v>
      </c>
      <c r="H700">
        <v>-0.05</v>
      </c>
      <c r="I700">
        <v>367.23289999999997</v>
      </c>
      <c r="J700">
        <v>-313.77210000000002</v>
      </c>
      <c r="K700">
        <v>1.069847</v>
      </c>
      <c r="L700">
        <v>368.04809999999998</v>
      </c>
      <c r="M700">
        <v>0.99983379999999999</v>
      </c>
      <c r="N700">
        <v>-1.7868680000000001E-2</v>
      </c>
      <c r="O700">
        <v>-3.6130789999999999E-3</v>
      </c>
      <c r="P700">
        <v>0.99935510000000005</v>
      </c>
      <c r="Q700">
        <v>-2.8914860000000001E-2</v>
      </c>
      <c r="R700">
        <v>2.129085E-2</v>
      </c>
      <c r="S700">
        <v>3.0001220000000002</v>
      </c>
      <c r="T700">
        <v>-0.13289239999999999</v>
      </c>
      <c r="U700">
        <v>-9.6740720000000002E-2</v>
      </c>
      <c r="V700">
        <v>-2.4909520000000001E-2</v>
      </c>
      <c r="W700">
        <v>-1.103876E-2</v>
      </c>
      <c r="X700">
        <v>0.99962879999999998</v>
      </c>
      <c r="Y700">
        <v>2.8578800000000001E-2</v>
      </c>
      <c r="Z700">
        <v>-7.9268939999999999E-4</v>
      </c>
      <c r="AA700">
        <v>0.99959120000000001</v>
      </c>
      <c r="AB700">
        <v>33</v>
      </c>
      <c r="AC700">
        <v>25.1266</v>
      </c>
      <c r="AD700">
        <v>-1.119847</v>
      </c>
      <c r="AE700">
        <v>-0.81520000000000403</v>
      </c>
      <c r="AF700">
        <v>0.72296126370743696</v>
      </c>
      <c r="AG700">
        <v>-1.119847</v>
      </c>
      <c r="AH700">
        <v>25.0796179463592</v>
      </c>
      <c r="AI700">
        <v>92.555594224957204</v>
      </c>
      <c r="AJ700">
        <v>88.348812121557202</v>
      </c>
      <c r="AK700">
        <v>25.115014764629802</v>
      </c>
      <c r="AL700">
        <v>90.632487180609104</v>
      </c>
      <c r="AM700">
        <v>91.427444936843798</v>
      </c>
      <c r="AN700">
        <v>1.0000000380992</v>
      </c>
    </row>
    <row r="701" spans="1:40" x14ac:dyDescent="0.25">
      <c r="A701" t="str">
        <f>"20190305135807067"</f>
        <v>20190305135807067</v>
      </c>
      <c r="B701" t="str">
        <f>"1551765487059440"</f>
        <v>1551765487059440</v>
      </c>
      <c r="C701" t="s">
        <v>40</v>
      </c>
      <c r="D701">
        <v>3.7087469999999998</v>
      </c>
      <c r="E701">
        <v>0.52002879999999996</v>
      </c>
      <c r="F701" t="s">
        <v>43</v>
      </c>
      <c r="G701">
        <v>-287.67899999999997</v>
      </c>
      <c r="H701">
        <v>-0.05</v>
      </c>
      <c r="I701">
        <v>367.19529999999997</v>
      </c>
      <c r="J701">
        <v>-313.58909999999997</v>
      </c>
      <c r="K701">
        <v>1.068932</v>
      </c>
      <c r="L701">
        <v>368.04719999999998</v>
      </c>
      <c r="M701">
        <v>0.99983949999999999</v>
      </c>
      <c r="N701">
        <v>-1.7505880000000001E-2</v>
      </c>
      <c r="O701">
        <v>-3.8089E-3</v>
      </c>
      <c r="P701">
        <v>0.99936939999999996</v>
      </c>
      <c r="Q701">
        <v>-2.8532700000000001E-2</v>
      </c>
      <c r="R701">
        <v>2.1144619999999999E-2</v>
      </c>
      <c r="S701">
        <v>3.000305</v>
      </c>
      <c r="T701">
        <v>-0.12876499999999999</v>
      </c>
      <c r="U701">
        <v>-9.8052979999999998E-2</v>
      </c>
      <c r="V701">
        <v>-2.495957E-2</v>
      </c>
      <c r="W701">
        <v>-1.101799E-2</v>
      </c>
      <c r="X701">
        <v>0.99962779999999996</v>
      </c>
      <c r="Y701">
        <v>2.8819770000000001E-2</v>
      </c>
      <c r="Z701">
        <v>-7.7379439999999999E-4</v>
      </c>
      <c r="AA701">
        <v>0.99958429999999998</v>
      </c>
      <c r="AB701">
        <v>33</v>
      </c>
      <c r="AC701">
        <v>25.9100999999999</v>
      </c>
      <c r="AD701">
        <v>-1.118932</v>
      </c>
      <c r="AE701">
        <v>-0.85189999999999999</v>
      </c>
      <c r="AF701">
        <v>0.75178917102351095</v>
      </c>
      <c r="AG701">
        <v>-1.118932</v>
      </c>
      <c r="AH701">
        <v>25.864972278171301</v>
      </c>
      <c r="AI701">
        <v>92.476055980625404</v>
      </c>
      <c r="AJ701">
        <v>88.3351142953953</v>
      </c>
      <c r="AK701">
        <v>25.900076963763301</v>
      </c>
      <c r="AL701">
        <v>90.631297062762499</v>
      </c>
      <c r="AM701">
        <v>91.430313301938398</v>
      </c>
      <c r="AN701">
        <v>1.0000000573855301</v>
      </c>
    </row>
    <row r="702" spans="1:40" x14ac:dyDescent="0.25">
      <c r="A702" t="str">
        <f>"20190305135807077"</f>
        <v>20190305135807077</v>
      </c>
      <c r="B702" t="str">
        <f>"1551765487069200"</f>
        <v>1551765487069200</v>
      </c>
      <c r="C702" t="s">
        <v>40</v>
      </c>
      <c r="D702">
        <v>3.7424330000000001</v>
      </c>
      <c r="E702">
        <v>0.52010959999999995</v>
      </c>
      <c r="F702" t="s">
        <v>43</v>
      </c>
      <c r="G702">
        <v>-287.01560000000001</v>
      </c>
      <c r="H702">
        <v>-0.05</v>
      </c>
      <c r="I702">
        <v>367.17439999999999</v>
      </c>
      <c r="J702">
        <v>-313.4282</v>
      </c>
      <c r="K702">
        <v>1.0681510000000001</v>
      </c>
      <c r="L702">
        <v>368.04640000000001</v>
      </c>
      <c r="M702">
        <v>0.99984430000000002</v>
      </c>
      <c r="N702">
        <v>-1.7192430000000002E-2</v>
      </c>
      <c r="O702">
        <v>-3.985728E-3</v>
      </c>
      <c r="P702">
        <v>0.99935980000000002</v>
      </c>
      <c r="Q702">
        <v>-2.886056E-2</v>
      </c>
      <c r="R702">
        <v>2.1146760000000001E-2</v>
      </c>
      <c r="S702">
        <v>3.000305</v>
      </c>
      <c r="T702">
        <v>-0.1263341</v>
      </c>
      <c r="U702">
        <v>-9.8541260000000006E-2</v>
      </c>
      <c r="V702">
        <v>-2.5139100000000001E-2</v>
      </c>
      <c r="W702">
        <v>-1.165827E-2</v>
      </c>
      <c r="X702">
        <v>0.99961599999999995</v>
      </c>
      <c r="Y702">
        <v>2.880692E-2</v>
      </c>
      <c r="Z702">
        <v>-7.5471519999999995E-4</v>
      </c>
      <c r="AA702">
        <v>0.99958469999999999</v>
      </c>
      <c r="AB702">
        <v>33</v>
      </c>
      <c r="AC702">
        <v>26.412600000000001</v>
      </c>
      <c r="AD702">
        <v>-1.1181509999999999</v>
      </c>
      <c r="AE702">
        <v>-0.87200000000001399</v>
      </c>
      <c r="AF702">
        <v>0.76533396188015002</v>
      </c>
      <c r="AG702">
        <v>-1.1181509999999999</v>
      </c>
      <c r="AH702">
        <v>26.368660604845299</v>
      </c>
      <c r="AI702">
        <v>92.427125766479406</v>
      </c>
      <c r="AJ702">
        <v>88.3374923965645</v>
      </c>
      <c r="AK702">
        <v>26.403451664991302</v>
      </c>
      <c r="AL702">
        <v>90.667984787181496</v>
      </c>
      <c r="AM702">
        <v>91.440613984104999</v>
      </c>
      <c r="AN702">
        <v>1.0000000185321001</v>
      </c>
    </row>
    <row r="703" spans="1:40" x14ac:dyDescent="0.25">
      <c r="A703" t="str">
        <f>"20190305135807090"</f>
        <v>20190305135807090</v>
      </c>
      <c r="B703" t="str">
        <f>"1551765487079512"</f>
        <v>1551765487079512</v>
      </c>
      <c r="C703" t="s">
        <v>40</v>
      </c>
      <c r="D703">
        <v>3.7483680000000001</v>
      </c>
      <c r="E703">
        <v>0.52016759999999995</v>
      </c>
      <c r="F703" t="s">
        <v>43</v>
      </c>
      <c r="G703">
        <v>-286.95749999999998</v>
      </c>
      <c r="H703">
        <v>-0.05</v>
      </c>
      <c r="I703">
        <v>367.17219999999998</v>
      </c>
      <c r="J703">
        <v>-313.2568</v>
      </c>
      <c r="K703">
        <v>1.0674129999999999</v>
      </c>
      <c r="L703">
        <v>368.04559999999998</v>
      </c>
      <c r="M703">
        <v>0.99984879999999998</v>
      </c>
      <c r="N703">
        <v>-1.688166E-2</v>
      </c>
      <c r="O703">
        <v>-4.1908800000000001E-3</v>
      </c>
      <c r="P703">
        <v>0.99934659999999997</v>
      </c>
      <c r="Q703">
        <v>-2.927451E-2</v>
      </c>
      <c r="R703">
        <v>2.1212180000000001E-2</v>
      </c>
      <c r="S703">
        <v>3.000397</v>
      </c>
      <c r="T703">
        <v>-0.12673960000000001</v>
      </c>
      <c r="U703">
        <v>-9.9090579999999998E-2</v>
      </c>
      <c r="V703">
        <v>-2.5410559999999999E-2</v>
      </c>
      <c r="W703">
        <v>-1.2381919999999999E-2</v>
      </c>
      <c r="X703">
        <v>0.99960039999999994</v>
      </c>
      <c r="Y703">
        <v>2.8783779999999998E-2</v>
      </c>
      <c r="Z703">
        <v>-7.445059E-4</v>
      </c>
      <c r="AA703">
        <v>0.99958539999999996</v>
      </c>
      <c r="AB703">
        <v>33</v>
      </c>
      <c r="AC703">
        <v>26.299299999999999</v>
      </c>
      <c r="AD703">
        <v>-1.117413</v>
      </c>
      <c r="AE703">
        <v>-0.87340000000000295</v>
      </c>
      <c r="AF703">
        <v>0.76178571438781095</v>
      </c>
      <c r="AG703">
        <v>-1.117413</v>
      </c>
      <c r="AH703">
        <v>26.255384314309399</v>
      </c>
      <c r="AI703">
        <v>92.435978547821605</v>
      </c>
      <c r="AJ703">
        <v>88.338060336614106</v>
      </c>
      <c r="AK703">
        <v>26.2901908471448</v>
      </c>
      <c r="AL703">
        <v>90.709449898199907</v>
      </c>
      <c r="AM703">
        <v>91.456186245658699</v>
      </c>
      <c r="AN703">
        <v>0.99999998409127899</v>
      </c>
    </row>
    <row r="704" spans="1:40" x14ac:dyDescent="0.25">
      <c r="A704" t="str">
        <f>"20190305135807101"</f>
        <v>20190305135807101</v>
      </c>
      <c r="B704" t="str">
        <f>"1551765487089271"</f>
        <v>1551765487089271</v>
      </c>
      <c r="C704" t="s">
        <v>40</v>
      </c>
      <c r="D704">
        <v>3.7479070000000001</v>
      </c>
      <c r="E704">
        <v>0.52022590000000002</v>
      </c>
      <c r="F704" t="s">
        <v>43</v>
      </c>
      <c r="G704">
        <v>-286.96690000000001</v>
      </c>
      <c r="H704">
        <v>-0.05</v>
      </c>
      <c r="I704">
        <v>367.173</v>
      </c>
      <c r="J704">
        <v>-313.08909999999997</v>
      </c>
      <c r="K704">
        <v>1.0667120000000001</v>
      </c>
      <c r="L704">
        <v>368.04469999999998</v>
      </c>
      <c r="M704">
        <v>0.99985290000000004</v>
      </c>
      <c r="N704">
        <v>-1.658395E-2</v>
      </c>
      <c r="O704">
        <v>-4.3960500000000003E-3</v>
      </c>
      <c r="P704">
        <v>0.99933669999999997</v>
      </c>
      <c r="Q704">
        <v>-2.9511140000000002E-2</v>
      </c>
      <c r="R704">
        <v>2.1342839999999998E-2</v>
      </c>
      <c r="S704">
        <v>3.0003359999999999</v>
      </c>
      <c r="T704">
        <v>-0.12752459999999999</v>
      </c>
      <c r="U704">
        <v>-9.9578860000000005E-2</v>
      </c>
      <c r="V704">
        <v>-2.57469E-2</v>
      </c>
      <c r="W704">
        <v>-1.2915090000000001E-2</v>
      </c>
      <c r="X704">
        <v>0.9995851</v>
      </c>
      <c r="Y704">
        <v>2.8741840000000001E-2</v>
      </c>
      <c r="Z704">
        <v>-7.3509080000000004E-4</v>
      </c>
      <c r="AA704">
        <v>0.99958659999999999</v>
      </c>
      <c r="AB704">
        <v>33</v>
      </c>
      <c r="AC704">
        <v>26.1221999999999</v>
      </c>
      <c r="AD704">
        <v>-1.1167119999999999</v>
      </c>
      <c r="AE704">
        <v>-0.87169999999997505</v>
      </c>
      <c r="AF704">
        <v>0.75546220396111996</v>
      </c>
      <c r="AG704">
        <v>-1.1167119999999999</v>
      </c>
      <c r="AH704">
        <v>26.078174629964899</v>
      </c>
      <c r="AI704">
        <v>92.450978198200502</v>
      </c>
      <c r="AJ704">
        <v>88.340654811209106</v>
      </c>
      <c r="AK704">
        <v>26.113003673715902</v>
      </c>
      <c r="AL704">
        <v>90.7400006943829</v>
      </c>
      <c r="AM704">
        <v>91.475474770238193</v>
      </c>
      <c r="AN704">
        <v>1.0000000372756599</v>
      </c>
    </row>
    <row r="705" spans="1:40" x14ac:dyDescent="0.25">
      <c r="A705" t="str">
        <f>"20190305135807111"</f>
        <v>20190305135807111</v>
      </c>
      <c r="B705" t="str">
        <f>"1551765487099032"</f>
        <v>1551765487099032</v>
      </c>
      <c r="C705" t="s">
        <v>40</v>
      </c>
      <c r="D705">
        <v>3.7607309999999998</v>
      </c>
      <c r="E705">
        <v>0.52030719999999997</v>
      </c>
      <c r="F705" t="s">
        <v>43</v>
      </c>
      <c r="G705">
        <v>-286.80759999999998</v>
      </c>
      <c r="H705">
        <v>-0.05</v>
      </c>
      <c r="I705">
        <v>367.17239999999998</v>
      </c>
      <c r="J705">
        <v>-312.93310000000002</v>
      </c>
      <c r="K705">
        <v>1.066122</v>
      </c>
      <c r="L705">
        <v>368.04379999999998</v>
      </c>
      <c r="M705">
        <v>0.99985639999999998</v>
      </c>
      <c r="N705">
        <v>-1.632318E-2</v>
      </c>
      <c r="O705">
        <v>-4.597121E-3</v>
      </c>
      <c r="P705">
        <v>0.99932189999999999</v>
      </c>
      <c r="Q705">
        <v>-3.0000059999999999E-2</v>
      </c>
      <c r="R705">
        <v>2.1360959999999998E-2</v>
      </c>
      <c r="S705">
        <v>3.000397</v>
      </c>
      <c r="T705">
        <v>-0.12748860000000001</v>
      </c>
      <c r="U705">
        <v>-9.9578860000000005E-2</v>
      </c>
      <c r="V705">
        <v>-2.596685E-2</v>
      </c>
      <c r="W705">
        <v>-1.366384E-2</v>
      </c>
      <c r="X705">
        <v>0.99956940000000005</v>
      </c>
      <c r="Y705">
        <v>2.8540690000000001E-2</v>
      </c>
      <c r="Z705">
        <v>-7.1889419999999896E-4</v>
      </c>
      <c r="AA705">
        <v>0.99959240000000005</v>
      </c>
      <c r="AB705">
        <v>33</v>
      </c>
      <c r="AC705">
        <v>26.125499999999999</v>
      </c>
      <c r="AD705">
        <v>-1.1161219999999901</v>
      </c>
      <c r="AE705">
        <v>-0.87139999999999396</v>
      </c>
      <c r="AF705">
        <v>0.74990557026524596</v>
      </c>
      <c r="AG705">
        <v>-1.1161219999999901</v>
      </c>
      <c r="AH705">
        <v>26.081680734899901</v>
      </c>
      <c r="AI705">
        <v>92.449371233652499</v>
      </c>
      <c r="AJ705">
        <v>88.353074306722903</v>
      </c>
      <c r="AK705">
        <v>26.116319737674601</v>
      </c>
      <c r="AL705">
        <v>90.782904741075697</v>
      </c>
      <c r="AM705">
        <v>91.488097139617693</v>
      </c>
      <c r="AN705">
        <v>0.99999998161941395</v>
      </c>
    </row>
    <row r="706" spans="1:40" x14ac:dyDescent="0.25">
      <c r="A706" t="str">
        <f>"20190305135807122"</f>
        <v>20190305135807122</v>
      </c>
      <c r="B706" t="str">
        <f>"1551765487119527"</f>
        <v>1551765487119527</v>
      </c>
      <c r="C706" t="s">
        <v>40</v>
      </c>
      <c r="D706">
        <v>3.7342179999999998</v>
      </c>
      <c r="E706">
        <v>0.52039259999999998</v>
      </c>
      <c r="F706" t="s">
        <v>43</v>
      </c>
      <c r="G706">
        <v>-286.88290000000001</v>
      </c>
      <c r="H706">
        <v>-0.05</v>
      </c>
      <c r="I706">
        <v>367.17630000000003</v>
      </c>
      <c r="J706">
        <v>-312.77999999999997</v>
      </c>
      <c r="K706">
        <v>1.0655709999999901</v>
      </c>
      <c r="L706">
        <v>368.04300000000001</v>
      </c>
      <c r="M706">
        <v>0.99985939999999995</v>
      </c>
      <c r="N706">
        <v>-1.607594E-2</v>
      </c>
      <c r="O706">
        <v>-4.799032E-3</v>
      </c>
      <c r="P706">
        <v>0.99928209999999995</v>
      </c>
      <c r="Q706">
        <v>-3.107211E-2</v>
      </c>
      <c r="R706">
        <v>2.1683999999999998E-2</v>
      </c>
      <c r="S706">
        <v>3.000305</v>
      </c>
      <c r="T706">
        <v>-0.1285481</v>
      </c>
      <c r="U706">
        <v>-9.9914550000000005E-2</v>
      </c>
      <c r="V706">
        <v>-2.6493030000000001E-2</v>
      </c>
      <c r="W706">
        <v>-1.498231E-2</v>
      </c>
      <c r="X706">
        <v>0.99953669999999994</v>
      </c>
      <c r="Y706">
        <v>2.8451480000000001E-2</v>
      </c>
      <c r="Z706">
        <v>-7.096219E-4</v>
      </c>
      <c r="AA706">
        <v>0.99959489999999995</v>
      </c>
      <c r="AB706">
        <v>33</v>
      </c>
      <c r="AC706">
        <v>25.897099999999899</v>
      </c>
      <c r="AD706">
        <v>-1.1155710000000001</v>
      </c>
      <c r="AE706">
        <v>-0.86669999999998004</v>
      </c>
      <c r="AF706">
        <v>0.74101943878991605</v>
      </c>
      <c r="AG706">
        <v>-1.1155710000000001</v>
      </c>
      <c r="AH706">
        <v>25.853041472225001</v>
      </c>
      <c r="AI706">
        <v>92.469794231747699</v>
      </c>
      <c r="AJ706">
        <v>88.358194521360204</v>
      </c>
      <c r="AK706">
        <v>25.887706770382199</v>
      </c>
      <c r="AL706">
        <v>90.858455263653397</v>
      </c>
      <c r="AM706">
        <v>91.518286911014897</v>
      </c>
      <c r="AN706">
        <v>0.99999998244920296</v>
      </c>
    </row>
    <row r="707" spans="1:40" x14ac:dyDescent="0.25">
      <c r="A707" t="str">
        <f>"20190305135807134"</f>
        <v>20190305135807134</v>
      </c>
      <c r="B707" t="str">
        <f>"1551765487129288"</f>
        <v>1551765487129288</v>
      </c>
      <c r="C707" t="s">
        <v>40</v>
      </c>
      <c r="D707">
        <v>3.7517939999999999</v>
      </c>
      <c r="E707">
        <v>0.52042250000000001</v>
      </c>
      <c r="F707" t="s">
        <v>43</v>
      </c>
      <c r="G707">
        <v>-287.23219999999998</v>
      </c>
      <c r="H707">
        <v>-0.05</v>
      </c>
      <c r="I707">
        <v>367.19240000000002</v>
      </c>
      <c r="J707">
        <v>-312.60860000000002</v>
      </c>
      <c r="K707">
        <v>1.0649999999999999</v>
      </c>
      <c r="L707">
        <v>368.0419</v>
      </c>
      <c r="M707">
        <v>0.99986240000000004</v>
      </c>
      <c r="N707">
        <v>-1.581333E-2</v>
      </c>
      <c r="O707">
        <v>-5.032206E-3</v>
      </c>
      <c r="P707">
        <v>0.99921139999999997</v>
      </c>
      <c r="Q707">
        <v>-3.2975599999999897E-2</v>
      </c>
      <c r="R707">
        <v>2.2120029999999999E-2</v>
      </c>
      <c r="S707">
        <v>3.0002749999999998</v>
      </c>
      <c r="T707">
        <v>-0.13100989999999901</v>
      </c>
      <c r="U707">
        <v>-9.9884029999999999E-2</v>
      </c>
      <c r="V707">
        <v>-2.7164569999999999E-2</v>
      </c>
      <c r="W707">
        <v>-1.714775E-2</v>
      </c>
      <c r="X707">
        <v>0.99948389999999998</v>
      </c>
      <c r="Y707">
        <v>2.820808E-2</v>
      </c>
      <c r="Z707">
        <v>-6.9862660000000003E-4</v>
      </c>
      <c r="AA707">
        <v>0.99960179999999998</v>
      </c>
      <c r="AB707">
        <v>33</v>
      </c>
      <c r="AC707">
        <v>25.3764</v>
      </c>
      <c r="AD707">
        <v>-1.115</v>
      </c>
      <c r="AE707">
        <v>-0.84949999999997705</v>
      </c>
      <c r="AF707">
        <v>0.72038480278856598</v>
      </c>
      <c r="AG707">
        <v>-1.115</v>
      </c>
      <c r="AH707">
        <v>25.3315040395258</v>
      </c>
      <c r="AI707">
        <v>92.519306272493793</v>
      </c>
      <c r="AJ707">
        <v>88.371044716259206</v>
      </c>
      <c r="AK707">
        <v>25.3662625581421</v>
      </c>
      <c r="AL707">
        <v>90.982541846577504</v>
      </c>
      <c r="AM707">
        <v>91.5568356369984</v>
      </c>
      <c r="AN707">
        <v>1.00000001277627</v>
      </c>
    </row>
    <row r="708" spans="1:40" x14ac:dyDescent="0.25">
      <c r="A708" t="str">
        <f>"20190305135807144"</f>
        <v>20190305135807144</v>
      </c>
      <c r="B708" t="str">
        <f>"1551765487139047"</f>
        <v>1551765487139047</v>
      </c>
      <c r="C708" t="s">
        <v>40</v>
      </c>
      <c r="D708">
        <v>3.7419690000000001</v>
      </c>
      <c r="E708">
        <v>0.52046720000000002</v>
      </c>
      <c r="F708" t="s">
        <v>43</v>
      </c>
      <c r="G708">
        <v>-288.07729999999998</v>
      </c>
      <c r="H708">
        <v>-0.05</v>
      </c>
      <c r="I708">
        <v>367.23540000000003</v>
      </c>
      <c r="J708">
        <v>-312.45080000000002</v>
      </c>
      <c r="K708">
        <v>1.064511</v>
      </c>
      <c r="L708">
        <v>368.04090000000002</v>
      </c>
      <c r="M708">
        <v>0.9998648</v>
      </c>
      <c r="N708">
        <v>-1.558498E-2</v>
      </c>
      <c r="O708">
        <v>-5.2537259999999898E-3</v>
      </c>
      <c r="P708">
        <v>0.99914860000000005</v>
      </c>
      <c r="Q708">
        <v>-3.4752900000000003E-2</v>
      </c>
      <c r="R708">
        <v>2.223518E-2</v>
      </c>
      <c r="S708">
        <v>3.0000309999999999</v>
      </c>
      <c r="T708">
        <v>-0.1363579</v>
      </c>
      <c r="U708">
        <v>-9.8632810000000001E-2</v>
      </c>
      <c r="V708">
        <v>-2.7502909999999998E-2</v>
      </c>
      <c r="W708">
        <v>-1.9153010000000002E-2</v>
      </c>
      <c r="X708">
        <v>0.99943820000000005</v>
      </c>
      <c r="Y708">
        <v>2.757167E-2</v>
      </c>
      <c r="Z708">
        <v>-6.8441230000000001E-4</v>
      </c>
      <c r="AA708">
        <v>0.99961960000000005</v>
      </c>
      <c r="AB708">
        <v>33</v>
      </c>
      <c r="AC708">
        <v>24.3735</v>
      </c>
      <c r="AD708">
        <v>-1.114511</v>
      </c>
      <c r="AE708">
        <v>-0.805499999999994</v>
      </c>
      <c r="AF708">
        <v>0.67600971744016802</v>
      </c>
      <c r="AG708">
        <v>-1.114511</v>
      </c>
      <c r="AH708">
        <v>24.326587003481301</v>
      </c>
      <c r="AI708">
        <v>92.622133752112703</v>
      </c>
      <c r="AJ708">
        <v>88.408221495715495</v>
      </c>
      <c r="AK708">
        <v>24.361485158855501</v>
      </c>
      <c r="AL708">
        <v>91.097453762912707</v>
      </c>
      <c r="AM708">
        <v>91.5762886429563</v>
      </c>
      <c r="AN708">
        <v>0.99999998173488402</v>
      </c>
    </row>
    <row r="709" spans="1:40" x14ac:dyDescent="0.25">
      <c r="A709" t="str">
        <f>"20190305135807155"</f>
        <v>20190305135807155</v>
      </c>
      <c r="B709" t="str">
        <f>"1551765487149783"</f>
        <v>1551765487149783</v>
      </c>
      <c r="C709" t="s">
        <v>40</v>
      </c>
      <c r="D709">
        <v>3.7747790000000001</v>
      </c>
      <c r="E709">
        <v>0.52052989999999999</v>
      </c>
      <c r="F709" t="s">
        <v>43</v>
      </c>
      <c r="G709">
        <v>-288.80340000000001</v>
      </c>
      <c r="H709">
        <v>-0.05</v>
      </c>
      <c r="I709">
        <v>367.2636</v>
      </c>
      <c r="J709">
        <v>-312.29649999999998</v>
      </c>
      <c r="K709">
        <v>1.0640499999999999</v>
      </c>
      <c r="L709">
        <v>368.03989999999999</v>
      </c>
      <c r="M709">
        <v>0.99986679999999994</v>
      </c>
      <c r="N709">
        <v>-1.536949E-2</v>
      </c>
      <c r="O709">
        <v>-5.473805E-3</v>
      </c>
      <c r="P709">
        <v>0.99907440000000003</v>
      </c>
      <c r="Q709">
        <v>-3.6562600000000001E-2</v>
      </c>
      <c r="R709">
        <v>2.2658810000000001E-2</v>
      </c>
      <c r="S709">
        <v>2.9998469999999999</v>
      </c>
      <c r="T709">
        <v>-0.14138399999999901</v>
      </c>
      <c r="U709">
        <v>-9.8602289999999995E-2</v>
      </c>
      <c r="V709">
        <v>-2.814846E-2</v>
      </c>
      <c r="W709">
        <v>-2.1177700000000001E-2</v>
      </c>
      <c r="X709">
        <v>0.99937940000000003</v>
      </c>
      <c r="Y709">
        <v>2.7341899999999999E-2</v>
      </c>
      <c r="Z709">
        <v>-6.8044489999999997E-4</v>
      </c>
      <c r="AA709">
        <v>0.99962589999999996</v>
      </c>
      <c r="AB709">
        <v>33</v>
      </c>
      <c r="AC709">
        <v>23.493099999999899</v>
      </c>
      <c r="AD709">
        <v>-1.11405</v>
      </c>
      <c r="AE709">
        <v>-0.776299999999992</v>
      </c>
      <c r="AF709">
        <v>0.64622494319219104</v>
      </c>
      <c r="AG709">
        <v>-1.11405</v>
      </c>
      <c r="AH709">
        <v>23.444336337122898</v>
      </c>
      <c r="AI709">
        <v>92.719556777392896</v>
      </c>
      <c r="AJ709">
        <v>88.421086085507298</v>
      </c>
      <c r="AK709">
        <v>23.479685269778301</v>
      </c>
      <c r="AL709">
        <v>91.2134835385407</v>
      </c>
      <c r="AM709">
        <v>91.613362927979097</v>
      </c>
      <c r="AN709">
        <v>1.0000000079610101</v>
      </c>
    </row>
    <row r="710" spans="1:40" x14ac:dyDescent="0.25">
      <c r="A710" t="str">
        <f>"20190305135807166"</f>
        <v>20190305135807166</v>
      </c>
      <c r="B710" t="str">
        <f>"1551765487159543"</f>
        <v>1551765487159543</v>
      </c>
      <c r="C710" t="s">
        <v>40</v>
      </c>
      <c r="D710">
        <v>3.76545</v>
      </c>
      <c r="E710">
        <v>0.52057989999999998</v>
      </c>
      <c r="F710" t="s">
        <v>43</v>
      </c>
      <c r="G710">
        <v>-289.40960000000001</v>
      </c>
      <c r="H710">
        <v>-0.05</v>
      </c>
      <c r="I710">
        <v>367.29379999999998</v>
      </c>
      <c r="J710">
        <v>-312.15129999999999</v>
      </c>
      <c r="K710">
        <v>1.063666</v>
      </c>
      <c r="L710">
        <v>368.03890000000001</v>
      </c>
      <c r="M710">
        <v>0.9998688</v>
      </c>
      <c r="N710">
        <v>-1.51805E-2</v>
      </c>
      <c r="O710">
        <v>-5.6876390000000004E-3</v>
      </c>
      <c r="P710">
        <v>0.99900889999999998</v>
      </c>
      <c r="Q710">
        <v>-3.8026579999999997E-2</v>
      </c>
      <c r="R710">
        <v>2.3137419999999999E-2</v>
      </c>
      <c r="S710">
        <v>2.9996640000000001</v>
      </c>
      <c r="T710">
        <v>-0.14601249999999999</v>
      </c>
      <c r="U710">
        <v>-9.7778320000000002E-2</v>
      </c>
      <c r="V710">
        <v>-2.8842199999999998E-2</v>
      </c>
      <c r="W710">
        <v>-2.2830139999999999E-2</v>
      </c>
      <c r="X710">
        <v>0.99932319999999997</v>
      </c>
      <c r="Y710">
        <v>2.685481E-2</v>
      </c>
      <c r="Z710">
        <v>-6.6677730000000001E-4</v>
      </c>
      <c r="AA710">
        <v>0.9996391</v>
      </c>
      <c r="AB710">
        <v>33</v>
      </c>
      <c r="AC710">
        <v>22.741699999999899</v>
      </c>
      <c r="AD710">
        <v>-1.113666</v>
      </c>
      <c r="AE710">
        <v>-0.74510000000003596</v>
      </c>
      <c r="AF710">
        <v>0.61425503144869698</v>
      </c>
      <c r="AG710">
        <v>-1.113666</v>
      </c>
      <c r="AH710">
        <v>22.6912133757615</v>
      </c>
      <c r="AI710">
        <v>92.8087476460462</v>
      </c>
      <c r="AJ710">
        <v>88.449372127651699</v>
      </c>
      <c r="AK710">
        <v>22.726828323977699</v>
      </c>
      <c r="AL710">
        <v>91.308184360849694</v>
      </c>
      <c r="AM710">
        <v>91.653196590451699</v>
      </c>
      <c r="AN710">
        <v>0.99999997292574905</v>
      </c>
    </row>
    <row r="711" spans="1:40" x14ac:dyDescent="0.25">
      <c r="A711" t="str">
        <f>"20190305135807176"</f>
        <v>20190305135807176</v>
      </c>
      <c r="B711" t="str">
        <f>"1551765487169304"</f>
        <v>1551765487169304</v>
      </c>
      <c r="C711" t="s">
        <v>40</v>
      </c>
      <c r="D711">
        <v>3.7881939999999998</v>
      </c>
      <c r="E711">
        <v>0.52061179999999996</v>
      </c>
      <c r="F711" t="s">
        <v>43</v>
      </c>
      <c r="G711">
        <v>-289.87009999999998</v>
      </c>
      <c r="H711">
        <v>-0.05</v>
      </c>
      <c r="I711">
        <v>367.32069999999999</v>
      </c>
      <c r="J711">
        <v>-311.9828</v>
      </c>
      <c r="K711">
        <v>1.0632410000000001</v>
      </c>
      <c r="L711">
        <v>368.03769999999997</v>
      </c>
      <c r="M711">
        <v>0.99987040000000005</v>
      </c>
      <c r="N711">
        <v>-1.496693E-2</v>
      </c>
      <c r="O711">
        <v>-5.9385019999999896E-3</v>
      </c>
      <c r="P711">
        <v>0.99896169999999995</v>
      </c>
      <c r="Q711">
        <v>-3.8846560000000002E-2</v>
      </c>
      <c r="R711">
        <v>2.380059E-2</v>
      </c>
      <c r="S711">
        <v>2.9995419999999999</v>
      </c>
      <c r="T711">
        <v>-0.14992369999999999</v>
      </c>
      <c r="U711">
        <v>-9.6679689999999999E-2</v>
      </c>
      <c r="V711">
        <v>-2.9757800000000001E-2</v>
      </c>
      <c r="W711">
        <v>-2.3862620000000001E-2</v>
      </c>
      <c r="X711">
        <v>0.9992723</v>
      </c>
      <c r="Y711">
        <v>2.6239189999999999E-2</v>
      </c>
      <c r="Z711">
        <v>-6.4402630000000001E-4</v>
      </c>
      <c r="AA711">
        <v>0.99965550000000003</v>
      </c>
      <c r="AB711">
        <v>33</v>
      </c>
      <c r="AC711">
        <v>22.1127</v>
      </c>
      <c r="AD711">
        <v>-1.1132409999999999</v>
      </c>
      <c r="AE711">
        <v>-0.71699999999998398</v>
      </c>
      <c r="AF711">
        <v>0.58417728564693205</v>
      </c>
      <c r="AG711">
        <v>-1.1132409999999999</v>
      </c>
      <c r="AH711">
        <v>22.0607138978277</v>
      </c>
      <c r="AI711">
        <v>92.887832991683098</v>
      </c>
      <c r="AJ711">
        <v>88.483137355076906</v>
      </c>
      <c r="AK711">
        <v>22.0965080116057</v>
      </c>
      <c r="AL711">
        <v>91.367357147599193</v>
      </c>
      <c r="AM711">
        <v>91.705733871634905</v>
      </c>
      <c r="AN711">
        <v>1.0000000404206899</v>
      </c>
    </row>
    <row r="712" spans="1:40" x14ac:dyDescent="0.25">
      <c r="A712" t="str">
        <f>"20190305135807187"</f>
        <v>20190305135807187</v>
      </c>
      <c r="B712" t="str">
        <f>"1551765487179068"</f>
        <v>1551765487179068</v>
      </c>
      <c r="C712" t="s">
        <v>40</v>
      </c>
      <c r="D712">
        <v>3.774254</v>
      </c>
      <c r="E712">
        <v>0.5206518</v>
      </c>
      <c r="F712" t="s">
        <v>43</v>
      </c>
      <c r="G712">
        <v>-290.02460000000002</v>
      </c>
      <c r="H712">
        <v>-0.05</v>
      </c>
      <c r="I712">
        <v>367.34059999999999</v>
      </c>
      <c r="J712">
        <v>-311.82850000000002</v>
      </c>
      <c r="K712">
        <v>1.062902</v>
      </c>
      <c r="L712">
        <v>368.03649999999999</v>
      </c>
      <c r="M712">
        <v>0.99987159999999997</v>
      </c>
      <c r="N712">
        <v>-1.4788010000000001E-2</v>
      </c>
      <c r="O712">
        <v>-6.1748330000000002E-3</v>
      </c>
      <c r="P712">
        <v>0.99895210000000001</v>
      </c>
      <c r="Q712">
        <v>-3.8848319999999999E-2</v>
      </c>
      <c r="R712">
        <v>2.419994E-2</v>
      </c>
      <c r="S712">
        <v>2.9994510000000001</v>
      </c>
      <c r="T712">
        <v>-0.1520667</v>
      </c>
      <c r="U712">
        <v>-9.5214839999999995E-2</v>
      </c>
      <c r="V712">
        <v>-3.0393779999999999E-2</v>
      </c>
      <c r="W712">
        <v>-2.404216E-2</v>
      </c>
      <c r="X712">
        <v>0.99924880000000005</v>
      </c>
      <c r="Y712">
        <v>2.5516770000000001E-2</v>
      </c>
      <c r="Z712">
        <v>-6.1362739999999997E-4</v>
      </c>
      <c r="AA712">
        <v>0.99967419999999996</v>
      </c>
      <c r="AB712">
        <v>33</v>
      </c>
      <c r="AC712">
        <v>21.803899999999999</v>
      </c>
      <c r="AD712">
        <v>-1.1129020000000001</v>
      </c>
      <c r="AE712">
        <v>-0.69589999999999397</v>
      </c>
      <c r="AF712">
        <v>0.55977969827402596</v>
      </c>
      <c r="AG712">
        <v>-1.1129020000000001</v>
      </c>
      <c r="AH712">
        <v>21.751172699513901</v>
      </c>
      <c r="AI712">
        <v>92.9280251896311</v>
      </c>
      <c r="AJ712">
        <v>88.525783573136593</v>
      </c>
      <c r="AK712">
        <v>21.786817527493199</v>
      </c>
      <c r="AL712">
        <v>91.377647058848794</v>
      </c>
      <c r="AM712">
        <v>91.742207319501503</v>
      </c>
      <c r="AN712">
        <v>0.99999998581079697</v>
      </c>
    </row>
    <row r="713" spans="1:40" x14ac:dyDescent="0.25">
      <c r="A713" t="str">
        <f>"20190305135807200"</f>
        <v>20190305135807200</v>
      </c>
      <c r="B713" t="str">
        <f>"1551765487189805"</f>
        <v>1551765487189805</v>
      </c>
      <c r="C713" t="s">
        <v>40</v>
      </c>
      <c r="D713">
        <v>3.780268</v>
      </c>
      <c r="E713">
        <v>0.52070989999999995</v>
      </c>
      <c r="F713" t="s">
        <v>43</v>
      </c>
      <c r="G713">
        <v>-289.82429999999999</v>
      </c>
      <c r="H713">
        <v>-0.05</v>
      </c>
      <c r="I713">
        <v>367.34829999999999</v>
      </c>
      <c r="J713">
        <v>-311.64830000000001</v>
      </c>
      <c r="K713">
        <v>1.062516</v>
      </c>
      <c r="L713">
        <v>368.03519999999997</v>
      </c>
      <c r="M713">
        <v>0.99987269999999995</v>
      </c>
      <c r="N713">
        <v>-1.4584120000000001E-2</v>
      </c>
      <c r="O713">
        <v>-6.4528419999999899E-3</v>
      </c>
      <c r="P713">
        <v>0.99896870000000004</v>
      </c>
      <c r="Q713">
        <v>-3.8303219999999999E-2</v>
      </c>
      <c r="R713">
        <v>2.4379580000000001E-2</v>
      </c>
      <c r="S713">
        <v>2.9995120000000002</v>
      </c>
      <c r="T713">
        <v>-0.15170539999999999</v>
      </c>
      <c r="U713">
        <v>-9.3811039999999998E-2</v>
      </c>
      <c r="V713">
        <v>-3.0851460000000001E-2</v>
      </c>
      <c r="W713">
        <v>-2.369953E-2</v>
      </c>
      <c r="X713">
        <v>0.99924299999999999</v>
      </c>
      <c r="Y713">
        <v>2.4772519999999999E-2</v>
      </c>
      <c r="Z713">
        <v>-5.7473409999999996E-4</v>
      </c>
      <c r="AA713">
        <v>0.99969300000000005</v>
      </c>
      <c r="AB713">
        <v>33</v>
      </c>
      <c r="AC713">
        <v>21.824000000000002</v>
      </c>
      <c r="AD713">
        <v>-1.1125160000000001</v>
      </c>
      <c r="AE713">
        <v>-0.68689999999997997</v>
      </c>
      <c r="AF713">
        <v>0.54462998634192705</v>
      </c>
      <c r="AG713">
        <v>-1.1125160000000001</v>
      </c>
      <c r="AH713">
        <v>21.7714585679559</v>
      </c>
      <c r="AI713">
        <v>92.924342137205201</v>
      </c>
      <c r="AJ713">
        <v>88.567000336293503</v>
      </c>
      <c r="AK713">
        <v>21.806666912861701</v>
      </c>
      <c r="AL713">
        <v>91.358010154526497</v>
      </c>
      <c r="AM713">
        <v>91.768435800175993</v>
      </c>
      <c r="AN713">
        <v>1.0000000266776701</v>
      </c>
    </row>
    <row r="714" spans="1:40" x14ac:dyDescent="0.25">
      <c r="A714" t="str">
        <f>"20190305135807211"</f>
        <v>20190305135807211</v>
      </c>
      <c r="B714" t="str">
        <f>"1551765487199564"</f>
        <v>1551765487199564</v>
      </c>
      <c r="C714" t="s">
        <v>40</v>
      </c>
      <c r="D714">
        <v>3.7863829999999998</v>
      </c>
      <c r="E714">
        <v>0.52069350000000003</v>
      </c>
      <c r="F714" t="s">
        <v>43</v>
      </c>
      <c r="G714">
        <v>-289.38459999999998</v>
      </c>
      <c r="H714">
        <v>-0.05</v>
      </c>
      <c r="I714">
        <v>367.33690000000001</v>
      </c>
      <c r="J714">
        <v>-311.47430000000003</v>
      </c>
      <c r="K714">
        <v>1.0621969999999901</v>
      </c>
      <c r="L714">
        <v>368.03379999999999</v>
      </c>
      <c r="M714">
        <v>0.99987380000000003</v>
      </c>
      <c r="N714">
        <v>-1.440428E-2</v>
      </c>
      <c r="O714">
        <v>-6.7267219999999897E-3</v>
      </c>
      <c r="P714">
        <v>0.99897559999999996</v>
      </c>
      <c r="Q714">
        <v>-3.7822210000000002E-2</v>
      </c>
      <c r="R714">
        <v>2.4853710000000001E-2</v>
      </c>
      <c r="S714">
        <v>2.9996339999999999</v>
      </c>
      <c r="T714">
        <v>-0.14989149999999901</v>
      </c>
      <c r="U714">
        <v>-9.408569E-2</v>
      </c>
      <c r="V714">
        <v>-3.1599259999999997E-2</v>
      </c>
      <c r="W714">
        <v>-2.3396940000000001E-2</v>
      </c>
      <c r="X714">
        <v>0.99922670000000002</v>
      </c>
      <c r="Y714">
        <v>2.4590230000000001E-2</v>
      </c>
      <c r="Z714">
        <v>-5.5215329999999999E-4</v>
      </c>
      <c r="AA714">
        <v>0.99969739999999996</v>
      </c>
      <c r="AB714">
        <v>33</v>
      </c>
      <c r="AC714">
        <v>22.089700000000001</v>
      </c>
      <c r="AD714">
        <v>-1.1121970000000001</v>
      </c>
      <c r="AE714">
        <v>-0.69689999999997099</v>
      </c>
      <c r="AF714">
        <v>0.54689255427269501</v>
      </c>
      <c r="AG714">
        <v>-1.1121970000000001</v>
      </c>
      <c r="AH714">
        <v>22.0380767375087</v>
      </c>
      <c r="AI714">
        <v>92.888210915815705</v>
      </c>
      <c r="AJ714">
        <v>88.578451025990603</v>
      </c>
      <c r="AK714">
        <v>22.072899671793198</v>
      </c>
      <c r="AL714">
        <v>91.340668300140294</v>
      </c>
      <c r="AM714">
        <v>91.811301738041195</v>
      </c>
      <c r="AN714">
        <v>0.99999996401339997</v>
      </c>
    </row>
    <row r="715" spans="1:40" x14ac:dyDescent="0.25">
      <c r="A715" t="str">
        <f>"20190305135807224"</f>
        <v>20190305135807224</v>
      </c>
      <c r="B715" t="str">
        <f>"1551765487219084"</f>
        <v>1551765487219084</v>
      </c>
      <c r="C715" t="s">
        <v>40</v>
      </c>
      <c r="D715">
        <v>3.789345</v>
      </c>
      <c r="E715">
        <v>0.52068309999999995</v>
      </c>
      <c r="F715" t="s">
        <v>43</v>
      </c>
      <c r="G715">
        <v>-289.01229999999998</v>
      </c>
      <c r="H715">
        <v>-0.05</v>
      </c>
      <c r="I715">
        <v>367.34050000000002</v>
      </c>
      <c r="J715">
        <v>-311.2826</v>
      </c>
      <c r="K715">
        <v>1.061874</v>
      </c>
      <c r="L715">
        <v>368.03219999999999</v>
      </c>
      <c r="M715">
        <v>0.99987440000000005</v>
      </c>
      <c r="N715">
        <v>-1.4216039999999999E-2</v>
      </c>
      <c r="O715">
        <v>-7.0304649999999996E-3</v>
      </c>
      <c r="P715">
        <v>0.99900109999999998</v>
      </c>
      <c r="Q715">
        <v>-3.687754E-2</v>
      </c>
      <c r="R715">
        <v>2.5244559999999999E-2</v>
      </c>
      <c r="S715">
        <v>2.9997859999999998</v>
      </c>
      <c r="T715">
        <v>-0.148533</v>
      </c>
      <c r="U715">
        <v>-9.2590329999999998E-2</v>
      </c>
      <c r="V715">
        <v>-3.2293549999999997E-2</v>
      </c>
      <c r="W715">
        <v>-2.2638930000000002E-2</v>
      </c>
      <c r="X715">
        <v>0.99922200000000005</v>
      </c>
      <c r="Y715">
        <v>2.378924E-2</v>
      </c>
      <c r="Z715">
        <v>-5.0981609999999999E-4</v>
      </c>
      <c r="AA715">
        <v>0.99971690000000002</v>
      </c>
      <c r="AB715">
        <v>33</v>
      </c>
      <c r="AC715">
        <v>22.270299999999999</v>
      </c>
      <c r="AD715">
        <v>-1.111874</v>
      </c>
      <c r="AE715">
        <v>-0.69169999999996801</v>
      </c>
      <c r="AF715">
        <v>0.53376733431311696</v>
      </c>
      <c r="AG715">
        <v>-1.111874</v>
      </c>
      <c r="AH715">
        <v>22.2192817394982</v>
      </c>
      <c r="AI715">
        <v>92.863920843021106</v>
      </c>
      <c r="AJ715">
        <v>88.623864852455</v>
      </c>
      <c r="AK715">
        <v>22.253486297168202</v>
      </c>
      <c r="AL715">
        <v>91.297225967203602</v>
      </c>
      <c r="AM715">
        <v>91.851080458505905</v>
      </c>
      <c r="AN715">
        <v>0.99999999990357302</v>
      </c>
    </row>
    <row r="716" spans="1:40" x14ac:dyDescent="0.25">
      <c r="A716" t="str">
        <f>"20190305135807239"</f>
        <v>20190305135807239</v>
      </c>
      <c r="B716" t="str">
        <f>"1551765487229821"</f>
        <v>1551765487229821</v>
      </c>
      <c r="C716" t="s">
        <v>40</v>
      </c>
      <c r="D716">
        <v>3.8027060000000001</v>
      </c>
      <c r="E716">
        <v>0.52067070000000004</v>
      </c>
      <c r="F716" t="s">
        <v>43</v>
      </c>
      <c r="G716">
        <v>-288.32470000000001</v>
      </c>
      <c r="H716">
        <v>-0.05</v>
      </c>
      <c r="I716">
        <v>367.33530000000002</v>
      </c>
      <c r="J716">
        <v>-311.06310000000002</v>
      </c>
      <c r="K716">
        <v>1.061542</v>
      </c>
      <c r="L716">
        <v>368.03030000000001</v>
      </c>
      <c r="M716">
        <v>0.99987470000000001</v>
      </c>
      <c r="N716">
        <v>-1.4013980000000001E-2</v>
      </c>
      <c r="O716">
        <v>-7.3810780000000001E-3</v>
      </c>
      <c r="P716">
        <v>0.99905630000000001</v>
      </c>
      <c r="Q716">
        <v>-3.5272989999999997E-2</v>
      </c>
      <c r="R716">
        <v>2.534134E-2</v>
      </c>
      <c r="S716">
        <v>2.9999389999999999</v>
      </c>
      <c r="T716">
        <v>-0.14529029999999901</v>
      </c>
      <c r="U716">
        <v>-9.1064450000000005E-2</v>
      </c>
      <c r="V716">
        <v>-3.2739579999999997E-2</v>
      </c>
      <c r="W716">
        <v>-2.123479E-2</v>
      </c>
      <c r="X716">
        <v>0.99923830000000002</v>
      </c>
      <c r="Y716">
        <v>2.293195E-2</v>
      </c>
      <c r="Z716">
        <v>-4.6191720000000002E-4</v>
      </c>
      <c r="AA716">
        <v>0.99973690000000004</v>
      </c>
      <c r="AB716">
        <v>33</v>
      </c>
      <c r="AC716">
        <v>22.738399999999999</v>
      </c>
      <c r="AD716">
        <v>-1.111542</v>
      </c>
      <c r="AE716">
        <v>-0.69499999999999296</v>
      </c>
      <c r="AF716">
        <v>0.52587522321128499</v>
      </c>
      <c r="AG716">
        <v>-1.111542</v>
      </c>
      <c r="AH716">
        <v>22.688743565826901</v>
      </c>
      <c r="AI716">
        <v>92.803977577173399</v>
      </c>
      <c r="AJ716">
        <v>88.672247450377498</v>
      </c>
      <c r="AK716">
        <v>22.722041170722399</v>
      </c>
      <c r="AL716">
        <v>91.216755314242704</v>
      </c>
      <c r="AM716">
        <v>91.876598346726794</v>
      </c>
      <c r="AN716">
        <v>0.99999998829590497</v>
      </c>
    </row>
    <row r="717" spans="1:40" x14ac:dyDescent="0.25">
      <c r="A717" t="str">
        <f>"20190305135807250"</f>
        <v>20190305135807250</v>
      </c>
      <c r="B717" t="str">
        <f>"1551765487239581"</f>
        <v>1551765487239581</v>
      </c>
      <c r="C717" t="s">
        <v>40</v>
      </c>
      <c r="D717">
        <v>3.8386520000000002</v>
      </c>
      <c r="E717">
        <v>0.52065810000000001</v>
      </c>
      <c r="F717" t="s">
        <v>43</v>
      </c>
      <c r="G717">
        <v>-287.31450000000001</v>
      </c>
      <c r="H717">
        <v>-0.05</v>
      </c>
      <c r="I717">
        <v>367.31279999999998</v>
      </c>
      <c r="J717">
        <v>-310.90440000000001</v>
      </c>
      <c r="K717">
        <v>1.061334</v>
      </c>
      <c r="L717">
        <v>368.02890000000002</v>
      </c>
      <c r="M717">
        <v>0.9998745</v>
      </c>
      <c r="N717">
        <v>-1.3881370000000001E-2</v>
      </c>
      <c r="O717">
        <v>-7.6362030000000003E-3</v>
      </c>
      <c r="P717">
        <v>0.99910520000000003</v>
      </c>
      <c r="Q717">
        <v>-3.4114220000000001E-2</v>
      </c>
      <c r="R717">
        <v>2.500631E-2</v>
      </c>
      <c r="S717">
        <v>3.0002140000000002</v>
      </c>
      <c r="T717">
        <v>-0.1404234</v>
      </c>
      <c r="U717">
        <v>-9.0637209999999996E-2</v>
      </c>
      <c r="V717">
        <v>-3.2658799999999898E-2</v>
      </c>
      <c r="W717">
        <v>-2.0207840000000001E-2</v>
      </c>
      <c r="X717">
        <v>0.99926230000000005</v>
      </c>
      <c r="Y717">
        <v>2.25343E-2</v>
      </c>
      <c r="Z717">
        <v>-4.3232840000000003E-4</v>
      </c>
      <c r="AA717">
        <v>0.99974600000000002</v>
      </c>
      <c r="AB717">
        <v>33</v>
      </c>
      <c r="AC717">
        <v>23.5899</v>
      </c>
      <c r="AD717">
        <v>-1.111334</v>
      </c>
      <c r="AE717">
        <v>-0.71610000000003904</v>
      </c>
      <c r="AF717">
        <v>0.53473878527290897</v>
      </c>
      <c r="AG717">
        <v>-1.111334</v>
      </c>
      <c r="AH717">
        <v>23.5424786431694</v>
      </c>
      <c r="AI717">
        <v>92.701972577801996</v>
      </c>
      <c r="AJ717">
        <v>88.698819750153604</v>
      </c>
      <c r="AK717">
        <v>23.574760009215801</v>
      </c>
      <c r="AL717">
        <v>91.157902703569206</v>
      </c>
      <c r="AM717">
        <v>91.871926491888999</v>
      </c>
      <c r="AN717">
        <v>1.00000004910809</v>
      </c>
    </row>
    <row r="718" spans="1:40" x14ac:dyDescent="0.25">
      <c r="A718" t="str">
        <f>"20190305135807262"</f>
        <v>20190305135807262</v>
      </c>
      <c r="B718" t="str">
        <f>"1551765487259101"</f>
        <v>1551765487259101</v>
      </c>
      <c r="C718" t="s">
        <v>40</v>
      </c>
      <c r="D718">
        <v>3.869227</v>
      </c>
      <c r="E718">
        <v>0.52067580000000002</v>
      </c>
      <c r="F718" t="s">
        <v>43</v>
      </c>
      <c r="G718">
        <v>-286.60770000000002</v>
      </c>
      <c r="H718">
        <v>-0.05</v>
      </c>
      <c r="I718">
        <v>367.2878</v>
      </c>
      <c r="J718">
        <v>-310.74090000000001</v>
      </c>
      <c r="K718">
        <v>1.061129</v>
      </c>
      <c r="L718">
        <v>368.0274</v>
      </c>
      <c r="M718">
        <v>0.99987440000000005</v>
      </c>
      <c r="N718">
        <v>-1.374909E-2</v>
      </c>
      <c r="O718">
        <v>-7.8995569999999998E-3</v>
      </c>
      <c r="P718">
        <v>0.99913759999999996</v>
      </c>
      <c r="Q718">
        <v>-3.3227729999999997E-2</v>
      </c>
      <c r="R718">
        <v>2.4908360000000001E-2</v>
      </c>
      <c r="S718">
        <v>3.000305</v>
      </c>
      <c r="T718">
        <v>-0.1372341</v>
      </c>
      <c r="U718">
        <v>-9.1522220000000001E-2</v>
      </c>
      <c r="V718">
        <v>-3.2823680000000001E-2</v>
      </c>
      <c r="W718">
        <v>-1.9452830000000001E-2</v>
      </c>
      <c r="X718">
        <v>0.99927180000000004</v>
      </c>
      <c r="Y718">
        <v>2.2565910000000002E-2</v>
      </c>
      <c r="Z718">
        <v>-4.1848880000000001E-4</v>
      </c>
      <c r="AA718">
        <v>0.9997452</v>
      </c>
      <c r="AB718">
        <v>33</v>
      </c>
      <c r="AC718">
        <v>24.133199999999899</v>
      </c>
      <c r="AD718">
        <v>-1.111129</v>
      </c>
      <c r="AE718">
        <v>-0.73959999999999504</v>
      </c>
      <c r="AF718">
        <v>0.54775727463433899</v>
      </c>
      <c r="AG718">
        <v>-1.111129</v>
      </c>
      <c r="AH718">
        <v>24.0872771196942</v>
      </c>
      <c r="AI718">
        <v>92.6404596617039</v>
      </c>
      <c r="AJ718">
        <v>88.697288546089197</v>
      </c>
      <c r="AK718">
        <v>24.119112021952699</v>
      </c>
      <c r="AL718">
        <v>91.114635400006094</v>
      </c>
      <c r="AM718">
        <v>91.881352382387306</v>
      </c>
      <c r="AN718">
        <v>0.99999996841949501</v>
      </c>
    </row>
    <row r="719" spans="1:40" x14ac:dyDescent="0.25">
      <c r="A719" t="str">
        <f>"20190305135807272"</f>
        <v>20190305135807272</v>
      </c>
      <c r="B719" t="str">
        <f>"1551765487269837"</f>
        <v>1551765487269837</v>
      </c>
      <c r="C719" t="s">
        <v>40</v>
      </c>
      <c r="D719">
        <v>3.8206449999999998</v>
      </c>
      <c r="E719">
        <v>0.52067359999999996</v>
      </c>
      <c r="F719" t="s">
        <v>43</v>
      </c>
      <c r="G719">
        <v>-286.03890000000001</v>
      </c>
      <c r="H719">
        <v>-0.05</v>
      </c>
      <c r="I719">
        <v>367.27080000000001</v>
      </c>
      <c r="J719">
        <v>-310.57499999999999</v>
      </c>
      <c r="K719">
        <v>1.0609440000000001</v>
      </c>
      <c r="L719">
        <v>368.0258</v>
      </c>
      <c r="M719">
        <v>0.99987389999999998</v>
      </c>
      <c r="N719">
        <v>-1.362469E-2</v>
      </c>
      <c r="O719">
        <v>-8.1673719999999905E-3</v>
      </c>
      <c r="P719">
        <v>0.99916799999999995</v>
      </c>
      <c r="Q719">
        <v>-3.2462970000000001E-2</v>
      </c>
      <c r="R719">
        <v>2.4697790000000001E-2</v>
      </c>
      <c r="S719">
        <v>3.0003660000000001</v>
      </c>
      <c r="T719">
        <v>-0.13496069999999999</v>
      </c>
      <c r="U719">
        <v>-9.1888429999999993E-2</v>
      </c>
      <c r="V719">
        <v>-3.2879829999999999E-2</v>
      </c>
      <c r="W719">
        <v>-1.881188E-2</v>
      </c>
      <c r="X719">
        <v>0.99928220000000001</v>
      </c>
      <c r="Y719">
        <v>2.2420550000000001E-2</v>
      </c>
      <c r="Z719">
        <v>-4.0088960000000002E-4</v>
      </c>
      <c r="AA719">
        <v>0.99974850000000004</v>
      </c>
      <c r="AB719">
        <v>33</v>
      </c>
      <c r="AC719">
        <v>24.536099999999902</v>
      </c>
      <c r="AD719">
        <v>-1.1109439999999999</v>
      </c>
      <c r="AE719">
        <v>-0.75499999999999501</v>
      </c>
      <c r="AF719">
        <v>0.55342726686600596</v>
      </c>
      <c r="AG719">
        <v>-1.1109439999999999</v>
      </c>
      <c r="AH719">
        <v>24.491286534993101</v>
      </c>
      <c r="AI719">
        <v>92.596539287317796</v>
      </c>
      <c r="AJ719">
        <v>88.705513033204497</v>
      </c>
      <c r="AK719">
        <v>24.5227158864997</v>
      </c>
      <c r="AL719">
        <v>91.077904972973101</v>
      </c>
      <c r="AM719">
        <v>91.884548809482894</v>
      </c>
      <c r="AN719">
        <v>0.99999994264339997</v>
      </c>
    </row>
    <row r="720" spans="1:40" x14ac:dyDescent="0.25">
      <c r="A720" t="str">
        <f>"20190305135807285"</f>
        <v>20190305135807285</v>
      </c>
      <c r="B720" t="str">
        <f>"1551765487279638"</f>
        <v>1551765487279638</v>
      </c>
      <c r="C720" t="s">
        <v>40</v>
      </c>
      <c r="D720">
        <v>3.870835</v>
      </c>
      <c r="E720">
        <v>0.52066840000000003</v>
      </c>
      <c r="F720" t="s">
        <v>43</v>
      </c>
      <c r="G720">
        <v>-285.45350000000002</v>
      </c>
      <c r="H720">
        <v>-0.05</v>
      </c>
      <c r="I720">
        <v>367.24930000000001</v>
      </c>
      <c r="J720">
        <v>-310.3904</v>
      </c>
      <c r="K720">
        <v>1.0607530000000001</v>
      </c>
      <c r="L720">
        <v>368.024</v>
      </c>
      <c r="M720">
        <v>0.99987329999999996</v>
      </c>
      <c r="N720">
        <v>-1.349477E-2</v>
      </c>
      <c r="O720">
        <v>-8.4655459999999991E-3</v>
      </c>
      <c r="P720">
        <v>0.99919720000000001</v>
      </c>
      <c r="Q720">
        <v>-3.1643299999999999E-2</v>
      </c>
      <c r="R720">
        <v>2.4577129999999999E-2</v>
      </c>
      <c r="S720">
        <v>3.0005190000000002</v>
      </c>
      <c r="T720">
        <v>-0.13269129999999901</v>
      </c>
      <c r="U720">
        <v>-9.2742920000000006E-2</v>
      </c>
      <c r="V720">
        <v>-3.3057030000000001E-2</v>
      </c>
      <c r="W720">
        <v>-1.8121470000000001E-2</v>
      </c>
      <c r="X720">
        <v>0.99928919999999999</v>
      </c>
      <c r="Y720">
        <v>2.2406249999999999E-2</v>
      </c>
      <c r="Z720">
        <v>-3.8649849999999999E-4</v>
      </c>
      <c r="AA720">
        <v>0.99974890000000005</v>
      </c>
      <c r="AB720">
        <v>33</v>
      </c>
      <c r="AC720">
        <v>24.936899999999898</v>
      </c>
      <c r="AD720">
        <v>-1.1107530000000001</v>
      </c>
      <c r="AE720">
        <v>-0.77469999999999495</v>
      </c>
      <c r="AF720">
        <v>0.56243376316044102</v>
      </c>
      <c r="AG720">
        <v>-1.1107530000000001</v>
      </c>
      <c r="AH720">
        <v>24.893223628942199</v>
      </c>
      <c r="AI720">
        <v>92.554231947614696</v>
      </c>
      <c r="AJ720">
        <v>88.705687957413204</v>
      </c>
      <c r="AK720">
        <v>24.9243392411008</v>
      </c>
      <c r="AL720">
        <v>91.038340553341399</v>
      </c>
      <c r="AM720">
        <v>91.894684604823198</v>
      </c>
      <c r="AN720">
        <v>1.00000003007201</v>
      </c>
    </row>
    <row r="721" spans="1:40" x14ac:dyDescent="0.25">
      <c r="A721" t="str">
        <f>"20190305135807296"</f>
        <v>20190305135807296</v>
      </c>
      <c r="B721" t="str">
        <f>"1551765487289399"</f>
        <v>1551765487289399</v>
      </c>
      <c r="C721" t="s">
        <v>40</v>
      </c>
      <c r="D721">
        <v>3.876376</v>
      </c>
      <c r="E721">
        <v>0.52066979999999996</v>
      </c>
      <c r="F721" t="s">
        <v>43</v>
      </c>
      <c r="G721">
        <v>-284.83190000000002</v>
      </c>
      <c r="H721">
        <v>-0.05</v>
      </c>
      <c r="I721">
        <v>367.23140000000001</v>
      </c>
      <c r="J721">
        <v>-310.23110000000003</v>
      </c>
      <c r="K721">
        <v>1.060602</v>
      </c>
      <c r="L721">
        <v>368.0224</v>
      </c>
      <c r="M721">
        <v>0.99987239999999999</v>
      </c>
      <c r="N721">
        <v>-1.3387799999999899E-2</v>
      </c>
      <c r="O721">
        <v>-8.7226379999999996E-3</v>
      </c>
      <c r="P721">
        <v>0.99923779999999995</v>
      </c>
      <c r="Q721">
        <v>-3.0531249999999999E-2</v>
      </c>
      <c r="R721">
        <v>2.4323460000000002E-2</v>
      </c>
      <c r="S721">
        <v>3.0005799999999998</v>
      </c>
      <c r="T721">
        <v>-0.13040270000000001</v>
      </c>
      <c r="U721">
        <v>-9.3048099999999995E-2</v>
      </c>
      <c r="V721">
        <v>-3.305905E-2</v>
      </c>
      <c r="W721">
        <v>-1.7115829999999999E-2</v>
      </c>
      <c r="X721">
        <v>0.9993069</v>
      </c>
      <c r="Y721">
        <v>2.225121E-2</v>
      </c>
      <c r="Z721">
        <v>-3.7017590000000002E-4</v>
      </c>
      <c r="AA721">
        <v>0.99975230000000004</v>
      </c>
      <c r="AB721">
        <v>33</v>
      </c>
      <c r="AC721">
        <v>25.3992</v>
      </c>
      <c r="AD721">
        <v>-1.1106020000000001</v>
      </c>
      <c r="AE721">
        <v>-0.79099999999999604</v>
      </c>
      <c r="AF721">
        <v>0.56831649272051898</v>
      </c>
      <c r="AG721">
        <v>-1.1106020000000001</v>
      </c>
      <c r="AH721">
        <v>25.356699990334398</v>
      </c>
      <c r="AI721">
        <v>92.507274914638302</v>
      </c>
      <c r="AJ721">
        <v>88.716051941754401</v>
      </c>
      <c r="AK721">
        <v>25.387371956114801</v>
      </c>
      <c r="AL721">
        <v>90.980712644272899</v>
      </c>
      <c r="AM721">
        <v>91.894766761246302</v>
      </c>
      <c r="AN721">
        <v>1.00000006640554</v>
      </c>
    </row>
    <row r="722" spans="1:40" x14ac:dyDescent="0.25">
      <c r="A722" t="str">
        <f>"20190305135807306"</f>
        <v>20190305135807306</v>
      </c>
      <c r="B722" t="str">
        <f>"1551765487299159"</f>
        <v>1551765487299159</v>
      </c>
      <c r="C722" t="s">
        <v>40</v>
      </c>
      <c r="D722">
        <v>3.8773170000000001</v>
      </c>
      <c r="E722">
        <v>0.52065629999999996</v>
      </c>
      <c r="F722" t="s">
        <v>43</v>
      </c>
      <c r="G722">
        <v>-284.07909999999998</v>
      </c>
      <c r="H722">
        <v>-0.05</v>
      </c>
      <c r="I722">
        <v>367.2054</v>
      </c>
      <c r="J722">
        <v>-310.0718</v>
      </c>
      <c r="K722">
        <v>1.0604709999999999</v>
      </c>
      <c r="L722">
        <v>368.02080000000001</v>
      </c>
      <c r="M722">
        <v>0.99987139999999997</v>
      </c>
      <c r="N722">
        <v>-1.329024E-2</v>
      </c>
      <c r="O722">
        <v>-8.9764240000000002E-3</v>
      </c>
      <c r="P722">
        <v>0.99926979999999999</v>
      </c>
      <c r="Q722">
        <v>-2.9590229999999999E-2</v>
      </c>
      <c r="R722">
        <v>2.416987E-2</v>
      </c>
      <c r="S722">
        <v>3.000702</v>
      </c>
      <c r="T722">
        <v>-0.12743119999999999</v>
      </c>
      <c r="U722">
        <v>-9.375E-2</v>
      </c>
      <c r="V722">
        <v>-3.315862E-2</v>
      </c>
      <c r="W722">
        <v>-1.627201E-2</v>
      </c>
      <c r="X722">
        <v>0.99931760000000003</v>
      </c>
      <c r="Y722">
        <v>2.2230880000000001E-2</v>
      </c>
      <c r="Z722">
        <v>-3.5789209999999999E-4</v>
      </c>
      <c r="AA722">
        <v>0.9997528</v>
      </c>
      <c r="AB722">
        <v>33</v>
      </c>
      <c r="AC722">
        <v>25.992699999999999</v>
      </c>
      <c r="AD722">
        <v>-1.110471</v>
      </c>
      <c r="AE722">
        <v>-0.815400000000011</v>
      </c>
      <c r="AF722">
        <v>0.58096570163253503</v>
      </c>
      <c r="AG722">
        <v>-1.110471</v>
      </c>
      <c r="AH722">
        <v>25.9516521025303</v>
      </c>
      <c r="AI722">
        <v>92.449578304884696</v>
      </c>
      <c r="AJ722">
        <v>88.717564351194</v>
      </c>
      <c r="AK722">
        <v>25.9818958861566</v>
      </c>
      <c r="AL722">
        <v>90.932358673883996</v>
      </c>
      <c r="AM722">
        <v>91.900449064980705</v>
      </c>
      <c r="AN722">
        <v>0.99999996902975097</v>
      </c>
    </row>
    <row r="723" spans="1:40" x14ac:dyDescent="0.25">
      <c r="A723" t="str">
        <f>"20190305135807318"</f>
        <v>20190305135807318</v>
      </c>
      <c r="B723" t="str">
        <f>"1551765487308918"</f>
        <v>1551765487308918</v>
      </c>
      <c r="C723" t="s">
        <v>40</v>
      </c>
      <c r="D723">
        <v>3.868649</v>
      </c>
      <c r="E723">
        <v>0.52063599999999999</v>
      </c>
      <c r="F723" t="s">
        <v>43</v>
      </c>
      <c r="G723">
        <v>-283.4205</v>
      </c>
      <c r="H723">
        <v>-0.05</v>
      </c>
      <c r="I723">
        <v>367.18380000000002</v>
      </c>
      <c r="J723">
        <v>-309.90780000000001</v>
      </c>
      <c r="K723">
        <v>1.060343</v>
      </c>
      <c r="L723">
        <v>368.01900000000001</v>
      </c>
      <c r="M723">
        <v>0.99987040000000005</v>
      </c>
      <c r="N723">
        <v>-1.3191960000000001E-2</v>
      </c>
      <c r="O723">
        <v>-9.2363989999999993E-3</v>
      </c>
      <c r="P723">
        <v>0.99930629999999998</v>
      </c>
      <c r="Q723">
        <v>-2.8647860000000001E-2</v>
      </c>
      <c r="R723">
        <v>2.3803009999999999E-2</v>
      </c>
      <c r="S723">
        <v>3.0007630000000001</v>
      </c>
      <c r="T723">
        <v>-0.1250317</v>
      </c>
      <c r="U723">
        <v>-9.4238279999999994E-2</v>
      </c>
      <c r="V723">
        <v>-3.3050900000000001E-2</v>
      </c>
      <c r="W723">
        <v>-1.542775E-2</v>
      </c>
      <c r="X723">
        <v>0.99933459999999996</v>
      </c>
      <c r="Y723">
        <v>2.2133779999999999E-2</v>
      </c>
      <c r="Z723">
        <v>-3.4414729999999999E-4</v>
      </c>
      <c r="AA723">
        <v>0.99975499999999995</v>
      </c>
      <c r="AB723">
        <v>33</v>
      </c>
      <c r="AC723">
        <v>26.487300000000001</v>
      </c>
      <c r="AD723">
        <v>-1.1103430000000001</v>
      </c>
      <c r="AE723">
        <v>-0.83519999999998595</v>
      </c>
      <c r="AF723">
        <v>0.58946101014840102</v>
      </c>
      <c r="AG723">
        <v>-1.1103430000000001</v>
      </c>
      <c r="AH723">
        <v>26.4474556562676</v>
      </c>
      <c r="AI723">
        <v>92.403439610817898</v>
      </c>
      <c r="AJ723">
        <v>88.723202800060605</v>
      </c>
      <c r="AK723">
        <v>26.477315508759101</v>
      </c>
      <c r="AL723">
        <v>90.883980022631604</v>
      </c>
      <c r="AM723">
        <v>91.894247518692893</v>
      </c>
      <c r="AN723">
        <v>1.0000000101090101</v>
      </c>
    </row>
    <row r="724" spans="1:40" x14ac:dyDescent="0.25">
      <c r="A724" t="str">
        <f>"20190305135807328"</f>
        <v>20190305135807328</v>
      </c>
      <c r="B724" t="str">
        <f>"1551765487319655"</f>
        <v>1551765487319655</v>
      </c>
      <c r="C724" t="s">
        <v>40</v>
      </c>
      <c r="D724">
        <v>3.9032840000000002</v>
      </c>
      <c r="E724">
        <v>0.52063909999999902</v>
      </c>
      <c r="F724" t="s">
        <v>43</v>
      </c>
      <c r="G724">
        <v>-282.69839999999999</v>
      </c>
      <c r="H724">
        <v>-0.05</v>
      </c>
      <c r="I724">
        <v>367.15839999999997</v>
      </c>
      <c r="J724">
        <v>-309.75139999999999</v>
      </c>
      <c r="K724">
        <v>1.0602450000000001</v>
      </c>
      <c r="L724">
        <v>368.01740000000001</v>
      </c>
      <c r="M724">
        <v>0.99986929999999996</v>
      </c>
      <c r="N724">
        <v>-1.310797E-2</v>
      </c>
      <c r="O724">
        <v>-9.4705239999999993E-3</v>
      </c>
      <c r="P724">
        <v>0.99933760000000005</v>
      </c>
      <c r="Q724">
        <v>-2.778044E-2</v>
      </c>
      <c r="R724">
        <v>2.3507900000000002E-2</v>
      </c>
      <c r="S724">
        <v>3.0008240000000002</v>
      </c>
      <c r="T724">
        <v>-0.1224558</v>
      </c>
      <c r="U724">
        <v>-9.4909670000000002E-2</v>
      </c>
      <c r="V724">
        <v>-3.2988860000000002E-2</v>
      </c>
      <c r="W724">
        <v>-1.4644590000000001E-2</v>
      </c>
      <c r="X724">
        <v>0.99934840000000003</v>
      </c>
      <c r="Y724">
        <v>2.212335E-2</v>
      </c>
      <c r="Z724">
        <v>-3.3410919999999998E-4</v>
      </c>
      <c r="AA724">
        <v>0.99975519999999996</v>
      </c>
      <c r="AB724">
        <v>33</v>
      </c>
      <c r="AC724">
        <v>27.053000000000001</v>
      </c>
      <c r="AD724">
        <v>-1.1102449999999999</v>
      </c>
      <c r="AE724">
        <v>-0.85900000000003696</v>
      </c>
      <c r="AF724">
        <v>0.60172095911401002</v>
      </c>
      <c r="AG724">
        <v>-1.1102449999999999</v>
      </c>
      <c r="AH724">
        <v>27.014469123234001</v>
      </c>
      <c r="AI724">
        <v>92.352843806755004</v>
      </c>
      <c r="AJ724">
        <v>88.724003370997806</v>
      </c>
      <c r="AK724">
        <v>27.0439689040426</v>
      </c>
      <c r="AL724">
        <v>90.8391032139467</v>
      </c>
      <c r="AM724">
        <v>91.890668311230499</v>
      </c>
      <c r="AN724">
        <v>0.99999997674146301</v>
      </c>
    </row>
    <row r="725" spans="1:40" x14ac:dyDescent="0.25">
      <c r="A725" t="str">
        <f>"20190305135807340"</f>
        <v>20190305135807340</v>
      </c>
      <c r="B725" t="str">
        <f>"1551765487329415"</f>
        <v>1551765487329415</v>
      </c>
      <c r="C725" t="s">
        <v>40</v>
      </c>
      <c r="D725">
        <v>3.854724</v>
      </c>
      <c r="E725">
        <v>0.52062229999999998</v>
      </c>
      <c r="F725" t="s">
        <v>43</v>
      </c>
      <c r="G725">
        <v>-282.0598</v>
      </c>
      <c r="H725">
        <v>-0.05</v>
      </c>
      <c r="I725">
        <v>367.13369999999998</v>
      </c>
      <c r="J725">
        <v>-309.59030000000001</v>
      </c>
      <c r="K725">
        <v>1.060147</v>
      </c>
      <c r="L725">
        <v>368.01560000000001</v>
      </c>
      <c r="M725">
        <v>0.99986819999999998</v>
      </c>
      <c r="N725">
        <v>-1.3023079999999999E-2</v>
      </c>
      <c r="O725">
        <v>-9.7080799999999991E-3</v>
      </c>
      <c r="P725">
        <v>0.99937339999999997</v>
      </c>
      <c r="Q725">
        <v>-2.6622739999999999E-2</v>
      </c>
      <c r="R725">
        <v>2.332335E-2</v>
      </c>
      <c r="S725">
        <v>3.0008849999999998</v>
      </c>
      <c r="T725">
        <v>-0.1203152</v>
      </c>
      <c r="U725">
        <v>-9.5764160000000001E-2</v>
      </c>
      <c r="V725">
        <v>-3.3040350000000003E-2</v>
      </c>
      <c r="W725">
        <v>-1.3572010000000001E-2</v>
      </c>
      <c r="X725">
        <v>0.99936190000000003</v>
      </c>
      <c r="Y725">
        <v>2.2170240000000001E-2</v>
      </c>
      <c r="Z725">
        <v>-3.2604980000000002E-4</v>
      </c>
      <c r="AA725">
        <v>0.99975409999999998</v>
      </c>
      <c r="AB725">
        <v>33</v>
      </c>
      <c r="AC725">
        <v>27.5305</v>
      </c>
      <c r="AD725">
        <v>-1.110147</v>
      </c>
      <c r="AE725">
        <v>-0.88190000000002999</v>
      </c>
      <c r="AF725">
        <v>0.61357083392589196</v>
      </c>
      <c r="AG725">
        <v>-1.110147</v>
      </c>
      <c r="AH725">
        <v>27.493105477005301</v>
      </c>
      <c r="AI725">
        <v>92.311721154677798</v>
      </c>
      <c r="AJ725">
        <v>88.721527309789096</v>
      </c>
      <c r="AK725">
        <v>27.522349905115199</v>
      </c>
      <c r="AL725">
        <v>90.777642739571604</v>
      </c>
      <c r="AM725">
        <v>91.893591614613001</v>
      </c>
      <c r="AN725">
        <v>1.00000003567758</v>
      </c>
    </row>
    <row r="726" spans="1:40" x14ac:dyDescent="0.25">
      <c r="A726" t="str">
        <f>"20190305135807350"</f>
        <v>20190305135807350</v>
      </c>
      <c r="B726" t="str">
        <f>"1551765487339174"</f>
        <v>1551765487339174</v>
      </c>
      <c r="C726" t="s">
        <v>40</v>
      </c>
      <c r="D726">
        <v>3.8814829999999998</v>
      </c>
      <c r="E726">
        <v>0.52062079999999999</v>
      </c>
      <c r="F726" t="s">
        <v>43</v>
      </c>
      <c r="G726">
        <v>-281.13119999999998</v>
      </c>
      <c r="H726">
        <v>-0.05</v>
      </c>
      <c r="I726">
        <v>367.10160000000002</v>
      </c>
      <c r="J726">
        <v>-309.42959999999999</v>
      </c>
      <c r="K726">
        <v>1.060071</v>
      </c>
      <c r="L726">
        <v>368.0138</v>
      </c>
      <c r="M726">
        <v>0.99986699999999995</v>
      </c>
      <c r="N726">
        <v>-1.294593E-2</v>
      </c>
      <c r="O726">
        <v>-9.9298660000000007E-3</v>
      </c>
      <c r="P726">
        <v>0.99939599999999995</v>
      </c>
      <c r="Q726">
        <v>-2.573638E-2</v>
      </c>
      <c r="R726">
        <v>2.33545E-2</v>
      </c>
      <c r="S726">
        <v>3.001007</v>
      </c>
      <c r="T726">
        <v>-0.11706469999999999</v>
      </c>
      <c r="U726">
        <v>-9.6374509999999997E-2</v>
      </c>
      <c r="V726">
        <v>-3.3291840000000003E-2</v>
      </c>
      <c r="W726">
        <v>-1.2763450000000001E-2</v>
      </c>
      <c r="X726">
        <v>0.99936420000000004</v>
      </c>
      <c r="Y726">
        <v>2.2151290000000001E-2</v>
      </c>
      <c r="Z726">
        <v>-3.1668449999999997E-4</v>
      </c>
      <c r="AA726">
        <v>0.99975460000000005</v>
      </c>
      <c r="AB726">
        <v>33</v>
      </c>
      <c r="AC726">
        <v>28.298400000000001</v>
      </c>
      <c r="AD726">
        <v>-1.11007099999999</v>
      </c>
      <c r="AE726">
        <v>-0.91219999999998402</v>
      </c>
      <c r="AF726">
        <v>0.63016349991092202</v>
      </c>
      <c r="AG726">
        <v>-1.11007099999999</v>
      </c>
      <c r="AH726">
        <v>28.262618440617501</v>
      </c>
      <c r="AI726">
        <v>92.248692137341607</v>
      </c>
      <c r="AJ726">
        <v>88.722704070415801</v>
      </c>
      <c r="AK726">
        <v>28.291429175310199</v>
      </c>
      <c r="AL726">
        <v>90.731311653080397</v>
      </c>
      <c r="AM726">
        <v>91.907989879639004</v>
      </c>
      <c r="AN726">
        <v>1.00000002825406</v>
      </c>
    </row>
    <row r="727" spans="1:40" x14ac:dyDescent="0.25">
      <c r="A727" t="str">
        <f>"20190305135807363"</f>
        <v>20190305135807363</v>
      </c>
      <c r="B727" t="str">
        <f>"1551765487359670"</f>
        <v>1551765487359670</v>
      </c>
      <c r="C727" t="s">
        <v>40</v>
      </c>
      <c r="D727">
        <v>3.894196</v>
      </c>
      <c r="E727">
        <v>0.52060669999999998</v>
      </c>
      <c r="F727" t="s">
        <v>43</v>
      </c>
      <c r="G727">
        <v>-280.41309999999999</v>
      </c>
      <c r="H727">
        <v>-0.05</v>
      </c>
      <c r="I727">
        <v>367.08370000000002</v>
      </c>
      <c r="J727">
        <v>-309.25760000000002</v>
      </c>
      <c r="K727">
        <v>1.0599909999999999</v>
      </c>
      <c r="L727">
        <v>368.01190000000003</v>
      </c>
      <c r="M727">
        <v>0.99986580000000003</v>
      </c>
      <c r="N727">
        <v>-1.2866860000000001E-2</v>
      </c>
      <c r="O727">
        <v>-1.0155020000000001E-2</v>
      </c>
      <c r="P727">
        <v>0.99942470000000005</v>
      </c>
      <c r="Q727">
        <v>-2.479075E-2</v>
      </c>
      <c r="R727">
        <v>2.3156510000000002E-2</v>
      </c>
      <c r="S727">
        <v>3.001099</v>
      </c>
      <c r="T727">
        <v>-0.11481130000000001</v>
      </c>
      <c r="U727">
        <v>-9.6191410000000005E-2</v>
      </c>
      <c r="V727">
        <v>-3.3318399999999998E-2</v>
      </c>
      <c r="W727">
        <v>-1.189803E-2</v>
      </c>
      <c r="X727">
        <v>0.99937399999999998</v>
      </c>
      <c r="Y727">
        <v>2.1865220000000001E-2</v>
      </c>
      <c r="Z727">
        <v>-3.0113930000000001E-4</v>
      </c>
      <c r="AA727">
        <v>0.99976089999999995</v>
      </c>
      <c r="AB727">
        <v>33</v>
      </c>
      <c r="AC727">
        <v>28.8445</v>
      </c>
      <c r="AD727">
        <v>-1.1099909999999999</v>
      </c>
      <c r="AE727">
        <v>-0.92820000000000402</v>
      </c>
      <c r="AF727">
        <v>0.63427315438049003</v>
      </c>
      <c r="AG727">
        <v>-1.1099909999999999</v>
      </c>
      <c r="AH727">
        <v>28.809820030469901</v>
      </c>
      <c r="AI727">
        <v>92.205878911967304</v>
      </c>
      <c r="AJ727">
        <v>88.738787504743101</v>
      </c>
      <c r="AK727">
        <v>28.8381711043283</v>
      </c>
      <c r="AL727">
        <v>90.681722964512403</v>
      </c>
      <c r="AM727">
        <v>91.909492223287899</v>
      </c>
      <c r="AN727">
        <v>1.00000003538621</v>
      </c>
    </row>
    <row r="728" spans="1:40" x14ac:dyDescent="0.25">
      <c r="A728" t="str">
        <f>"20190305135807374"</f>
        <v>20190305135807374</v>
      </c>
      <c r="B728" t="str">
        <f>"1551765487369431"</f>
        <v>1551765487369431</v>
      </c>
      <c r="C728" t="s">
        <v>40</v>
      </c>
      <c r="D728">
        <v>3.8814150000000001</v>
      </c>
      <c r="E728">
        <v>0.52060859999999998</v>
      </c>
      <c r="F728" t="s">
        <v>43</v>
      </c>
      <c r="G728">
        <v>-279.74400000000003</v>
      </c>
      <c r="H728">
        <v>-0.05</v>
      </c>
      <c r="I728">
        <v>367.06200000000001</v>
      </c>
      <c r="J728">
        <v>-309.08600000000001</v>
      </c>
      <c r="K728">
        <v>1.0599270000000001</v>
      </c>
      <c r="L728">
        <v>368.00990000000002</v>
      </c>
      <c r="M728">
        <v>0.99986459999999999</v>
      </c>
      <c r="N728">
        <v>-1.279337E-2</v>
      </c>
      <c r="O728">
        <v>-1.036071E-2</v>
      </c>
      <c r="P728">
        <v>0.99943479999999996</v>
      </c>
      <c r="Q728">
        <v>-2.4457659999999999E-2</v>
      </c>
      <c r="R728">
        <v>2.30712E-2</v>
      </c>
      <c r="S728">
        <v>3.00116</v>
      </c>
      <c r="T728">
        <v>-0.1128719</v>
      </c>
      <c r="U728">
        <v>-9.6588129999999994E-2</v>
      </c>
      <c r="V728">
        <v>-3.343716E-2</v>
      </c>
      <c r="W728">
        <v>-1.164014E-2</v>
      </c>
      <c r="X728">
        <v>0.99937299999999996</v>
      </c>
      <c r="Y728">
        <v>2.1791580000000001E-2</v>
      </c>
      <c r="Z728">
        <v>-2.921307E-4</v>
      </c>
      <c r="AA728">
        <v>0.9997625</v>
      </c>
      <c r="AB728">
        <v>33</v>
      </c>
      <c r="AC728">
        <v>29.341999999999899</v>
      </c>
      <c r="AD728">
        <v>-1.1099270000000001</v>
      </c>
      <c r="AE728">
        <v>-0.94790000000006003</v>
      </c>
      <c r="AF728">
        <v>0.64290134707776603</v>
      </c>
      <c r="AG728">
        <v>-1.1099270000000001</v>
      </c>
      <c r="AH728">
        <v>29.308352958755801</v>
      </c>
      <c r="AI728">
        <v>92.168272105995698</v>
      </c>
      <c r="AJ728">
        <v>88.7433743739481</v>
      </c>
      <c r="AK728">
        <v>29.336407640377701</v>
      </c>
      <c r="AL728">
        <v>90.666945980047203</v>
      </c>
      <c r="AM728">
        <v>91.916295261908701</v>
      </c>
      <c r="AN728">
        <v>0.99999996482854103</v>
      </c>
    </row>
    <row r="729" spans="1:40" x14ac:dyDescent="0.25">
      <c r="A729" t="str">
        <f>"20190305135807386"</f>
        <v>20190305135807386</v>
      </c>
      <c r="B729" t="str">
        <f>"1551765487379191"</f>
        <v>1551765487379191</v>
      </c>
      <c r="C729" t="s">
        <v>40</v>
      </c>
      <c r="D729">
        <v>3.8876189999999999</v>
      </c>
      <c r="E729">
        <v>0.52061919999999995</v>
      </c>
      <c r="F729" t="s">
        <v>43</v>
      </c>
      <c r="G729">
        <v>-279.43239999999997</v>
      </c>
      <c r="H729">
        <v>-0.05</v>
      </c>
      <c r="I729">
        <v>367.05340000000001</v>
      </c>
      <c r="J729">
        <v>-308.92200000000003</v>
      </c>
      <c r="K729">
        <v>1.0598749999999999</v>
      </c>
      <c r="L729">
        <v>368.00799999999998</v>
      </c>
      <c r="M729">
        <v>0.99986359999999996</v>
      </c>
      <c r="N729">
        <v>-1.272817E-2</v>
      </c>
      <c r="O729">
        <v>-1.0530980000000001E-2</v>
      </c>
      <c r="P729">
        <v>0.99944820000000001</v>
      </c>
      <c r="Q729">
        <v>-2.4294240000000002E-2</v>
      </c>
      <c r="R729">
        <v>2.2650420000000001E-2</v>
      </c>
      <c r="S729">
        <v>3.0011899999999998</v>
      </c>
      <c r="T729">
        <v>-0.1123339</v>
      </c>
      <c r="U729">
        <v>-9.6801760000000001E-2</v>
      </c>
      <c r="V729">
        <v>-3.3186060000000003E-2</v>
      </c>
      <c r="W729">
        <v>-1.1544260000000001E-2</v>
      </c>
      <c r="X729">
        <v>0.99938249999999995</v>
      </c>
      <c r="Y729">
        <v>2.169242E-2</v>
      </c>
      <c r="Z729">
        <v>-2.8395980000000003E-4</v>
      </c>
      <c r="AA729">
        <v>0.99976469999999995</v>
      </c>
      <c r="AB729">
        <v>33</v>
      </c>
      <c r="AC729">
        <v>29.489599999999999</v>
      </c>
      <c r="AD729">
        <v>-1.1098749999999999</v>
      </c>
      <c r="AE729">
        <v>-0.95460000000002698</v>
      </c>
      <c r="AF729">
        <v>0.64305760494014796</v>
      </c>
      <c r="AG729">
        <v>-1.1098749999999999</v>
      </c>
      <c r="AH729">
        <v>29.4563375257861</v>
      </c>
      <c r="AI729">
        <v>92.157293292830104</v>
      </c>
      <c r="AJ729">
        <v>88.749381684477996</v>
      </c>
      <c r="AK729">
        <v>29.484252848460098</v>
      </c>
      <c r="AL729">
        <v>90.661452079406104</v>
      </c>
      <c r="AM729">
        <v>91.901897176386996</v>
      </c>
      <c r="AN729">
        <v>0.99999998291175995</v>
      </c>
    </row>
    <row r="730" spans="1:40" x14ac:dyDescent="0.25">
      <c r="A730" t="str">
        <f>"20190305135807397"</f>
        <v>20190305135807397</v>
      </c>
      <c r="B730" t="str">
        <f>"1551765487388951"</f>
        <v>1551765487388951</v>
      </c>
      <c r="C730" t="s">
        <v>40</v>
      </c>
      <c r="D730">
        <v>3.8898670000000002</v>
      </c>
      <c r="E730">
        <v>0.52060039999999996</v>
      </c>
      <c r="F730" t="s">
        <v>43</v>
      </c>
      <c r="G730">
        <v>-279.32760000000002</v>
      </c>
      <c r="H730">
        <v>-0.05</v>
      </c>
      <c r="I730">
        <v>367.04020000000003</v>
      </c>
      <c r="J730">
        <v>-308.75040000000001</v>
      </c>
      <c r="K730">
        <v>1.059831</v>
      </c>
      <c r="L730">
        <v>368.00599999999997</v>
      </c>
      <c r="M730">
        <v>0.99986260000000005</v>
      </c>
      <c r="N730">
        <v>-1.266252E-2</v>
      </c>
      <c r="O730">
        <v>-1.069557E-2</v>
      </c>
      <c r="P730">
        <v>0.99946389999999996</v>
      </c>
      <c r="Q730">
        <v>-2.424838E-2</v>
      </c>
      <c r="R730">
        <v>2.1998819999999999E-2</v>
      </c>
      <c r="S730">
        <v>3.0011290000000002</v>
      </c>
      <c r="T730">
        <v>-0.1125506</v>
      </c>
      <c r="U730">
        <v>-9.8144529999999994E-2</v>
      </c>
      <c r="V730">
        <v>-3.2697589999999999E-2</v>
      </c>
      <c r="W730">
        <v>-1.156683E-2</v>
      </c>
      <c r="X730">
        <v>0.99939840000000002</v>
      </c>
      <c r="Y730">
        <v>2.1975120000000001E-2</v>
      </c>
      <c r="Z730">
        <v>-2.8558369999999997E-4</v>
      </c>
      <c r="AA730">
        <v>0.99975849999999999</v>
      </c>
      <c r="AB730">
        <v>33</v>
      </c>
      <c r="AC730">
        <v>29.422799999999899</v>
      </c>
      <c r="AD730">
        <v>-1.109831</v>
      </c>
      <c r="AE730">
        <v>-0.96579999999994404</v>
      </c>
      <c r="AF730">
        <v>0.650101918478456</v>
      </c>
      <c r="AG730">
        <v>-1.109831</v>
      </c>
      <c r="AH730">
        <v>29.389676575315399</v>
      </c>
      <c r="AI730">
        <v>92.162082416506493</v>
      </c>
      <c r="AJ730">
        <v>88.732819575873506</v>
      </c>
      <c r="AK730">
        <v>29.4178083234392</v>
      </c>
      <c r="AL730">
        <v>90.662745291736996</v>
      </c>
      <c r="AM730">
        <v>91.873893216729797</v>
      </c>
      <c r="AN730">
        <v>1.0000000429353</v>
      </c>
    </row>
    <row r="731" spans="1:40" x14ac:dyDescent="0.25">
      <c r="A731" t="str">
        <f>"20190305135807409"</f>
        <v>20190305135807409</v>
      </c>
      <c r="B731" t="str">
        <f>"1551765487399687"</f>
        <v>1551765487399687</v>
      </c>
      <c r="C731" t="s">
        <v>40</v>
      </c>
      <c r="D731">
        <v>3.8360409999999998</v>
      </c>
      <c r="E731">
        <v>0.52062659999999905</v>
      </c>
      <c r="F731" t="s">
        <v>43</v>
      </c>
      <c r="G731">
        <v>-279.31189999999998</v>
      </c>
      <c r="H731">
        <v>-0.05</v>
      </c>
      <c r="I731">
        <v>367.02589999999998</v>
      </c>
      <c r="J731">
        <v>-308.57440000000003</v>
      </c>
      <c r="K731">
        <v>1.059809</v>
      </c>
      <c r="L731">
        <v>368.00400000000002</v>
      </c>
      <c r="M731">
        <v>0.99986209999999998</v>
      </c>
      <c r="N731">
        <v>-1.2602149999999999E-2</v>
      </c>
      <c r="O731">
        <v>-1.0817999999999999E-2</v>
      </c>
      <c r="P731">
        <v>0.99946840000000003</v>
      </c>
      <c r="Q731">
        <v>-2.4752139999999999E-2</v>
      </c>
      <c r="R731">
        <v>2.1220570000000001E-2</v>
      </c>
      <c r="S731">
        <v>3.0010680000000001</v>
      </c>
      <c r="T731">
        <v>-0.1131403</v>
      </c>
      <c r="U731">
        <v>-9.9914550000000005E-2</v>
      </c>
      <c r="V731">
        <v>-3.2041640000000003E-2</v>
      </c>
      <c r="W731">
        <v>-1.2134509999999999E-2</v>
      </c>
      <c r="X731">
        <v>0.99941290000000005</v>
      </c>
      <c r="Y731">
        <v>2.2441880000000001E-2</v>
      </c>
      <c r="Z731">
        <v>-2.9299890000000002E-4</v>
      </c>
      <c r="AA731">
        <v>0.99974810000000003</v>
      </c>
      <c r="AB731">
        <v>33</v>
      </c>
      <c r="AC731">
        <v>29.262499999999999</v>
      </c>
      <c r="AD731">
        <v>-1.109809</v>
      </c>
      <c r="AE731">
        <v>-0.97810000000004005</v>
      </c>
      <c r="AF731">
        <v>0.66050690111774701</v>
      </c>
      <c r="AG731">
        <v>-1.109809</v>
      </c>
      <c r="AH731">
        <v>29.2293732952254</v>
      </c>
      <c r="AI731">
        <v>92.173862408660895</v>
      </c>
      <c r="AJ731">
        <v>88.705486506545597</v>
      </c>
      <c r="AK731">
        <v>29.257891390435901</v>
      </c>
      <c r="AL731">
        <v>90.695273252846903</v>
      </c>
      <c r="AM731">
        <v>91.836300212871393</v>
      </c>
      <c r="AN731">
        <v>1.00000002885661</v>
      </c>
    </row>
    <row r="732" spans="1:40" x14ac:dyDescent="0.25">
      <c r="A732" t="str">
        <f>"20190305135807423"</f>
        <v>20190305135807423</v>
      </c>
      <c r="B732" t="str">
        <f>"1551765487419206"</f>
        <v>1551765487419206</v>
      </c>
      <c r="C732" t="s">
        <v>40</v>
      </c>
      <c r="D732">
        <v>3.9036469999999999</v>
      </c>
      <c r="E732">
        <v>0.5206115</v>
      </c>
      <c r="F732" t="s">
        <v>43</v>
      </c>
      <c r="G732">
        <v>-279.71850000000001</v>
      </c>
      <c r="H732">
        <v>-0.05</v>
      </c>
      <c r="I732">
        <v>367.01679999999999</v>
      </c>
      <c r="J732">
        <v>-308.38619999999997</v>
      </c>
      <c r="K732">
        <v>1.0597909999999999</v>
      </c>
      <c r="L732">
        <v>368.0018</v>
      </c>
      <c r="M732">
        <v>0.99986169999999996</v>
      </c>
      <c r="N732">
        <v>-1.254037E-2</v>
      </c>
      <c r="O732">
        <v>-1.0930479999999999E-2</v>
      </c>
      <c r="P732">
        <v>0.99948490000000001</v>
      </c>
      <c r="Q732">
        <v>-2.443478E-2</v>
      </c>
      <c r="R732">
        <v>2.0816970000000001E-2</v>
      </c>
      <c r="S732">
        <v>3.0009160000000001</v>
      </c>
      <c r="T732">
        <v>-0.11541650000000001</v>
      </c>
      <c r="U732">
        <v>-0.10266110000000001</v>
      </c>
      <c r="V732">
        <v>-3.1749119999999999E-2</v>
      </c>
      <c r="W732">
        <v>-1.188236E-2</v>
      </c>
      <c r="X732">
        <v>0.99942520000000001</v>
      </c>
      <c r="Y732">
        <v>2.3243840000000002E-2</v>
      </c>
      <c r="Z732">
        <v>-3.0947610000000002E-4</v>
      </c>
      <c r="AA732">
        <v>0.9997298</v>
      </c>
      <c r="AB732">
        <v>33</v>
      </c>
      <c r="AC732">
        <v>28.6676999999999</v>
      </c>
      <c r="AD732">
        <v>-1.109791</v>
      </c>
      <c r="AE732">
        <v>-0.98500000000001298</v>
      </c>
      <c r="AF732">
        <v>0.67056106511939995</v>
      </c>
      <c r="AG732">
        <v>-1.109791</v>
      </c>
      <c r="AH732">
        <v>28.633893270082801</v>
      </c>
      <c r="AI732">
        <v>92.2189482355694</v>
      </c>
      <c r="AJ732">
        <v>88.658467524730497</v>
      </c>
      <c r="AK732">
        <v>28.663236593382599</v>
      </c>
      <c r="AL732">
        <v>90.680825124982405</v>
      </c>
      <c r="AM732">
        <v>91.819524890700905</v>
      </c>
      <c r="AN732">
        <v>0.99999996374749101</v>
      </c>
    </row>
    <row r="733" spans="1:40" x14ac:dyDescent="0.25">
      <c r="A733" t="str">
        <f>"20190305135807435"</f>
        <v>20190305135807435</v>
      </c>
      <c r="B733" t="str">
        <f>"1551765487428967"</f>
        <v>1551765487428967</v>
      </c>
      <c r="C733" t="s">
        <v>40</v>
      </c>
      <c r="D733">
        <v>3.9586160000000001</v>
      </c>
      <c r="E733">
        <v>0.52072410000000002</v>
      </c>
      <c r="F733" t="s">
        <v>43</v>
      </c>
      <c r="G733">
        <v>-279.64929999999998</v>
      </c>
      <c r="H733">
        <v>-0.05</v>
      </c>
      <c r="I733">
        <v>367.01060000000001</v>
      </c>
      <c r="J733">
        <v>-308.18599999999998</v>
      </c>
      <c r="K733">
        <v>1.0597760000000001</v>
      </c>
      <c r="L733">
        <v>367.99950000000001</v>
      </c>
      <c r="M733">
        <v>0.99986140000000001</v>
      </c>
      <c r="N733">
        <v>-1.247998E-2</v>
      </c>
      <c r="O733">
        <v>-1.101444E-2</v>
      </c>
      <c r="P733">
        <v>0.99949180000000004</v>
      </c>
      <c r="Q733">
        <v>-2.4095809999999999E-2</v>
      </c>
      <c r="R733">
        <v>2.0871199999999999E-2</v>
      </c>
      <c r="S733">
        <v>3.0008849999999998</v>
      </c>
      <c r="T733">
        <v>-0.11589149999999999</v>
      </c>
      <c r="U733">
        <v>-0.1035156</v>
      </c>
      <c r="V733">
        <v>-3.1885530000000002E-2</v>
      </c>
      <c r="W733">
        <v>-1.1607350000000001E-2</v>
      </c>
      <c r="X733">
        <v>0.99942410000000004</v>
      </c>
      <c r="Y733">
        <v>2.3444340000000001E-2</v>
      </c>
      <c r="Z733">
        <v>-3.1115230000000003E-4</v>
      </c>
      <c r="AA733">
        <v>0.99972510000000003</v>
      </c>
      <c r="AB733">
        <v>33</v>
      </c>
      <c r="AC733">
        <v>28.5367</v>
      </c>
      <c r="AD733">
        <v>-1.1097760000000001</v>
      </c>
      <c r="AE733">
        <v>-0.988900000000001</v>
      </c>
      <c r="AF733">
        <v>0.67348239047258396</v>
      </c>
      <c r="AG733">
        <v>-1.1097760000000001</v>
      </c>
      <c r="AH733">
        <v>28.502806109045</v>
      </c>
      <c r="AI733">
        <v>92.229102017958894</v>
      </c>
      <c r="AJ733">
        <v>88.646430829381799</v>
      </c>
      <c r="AK733">
        <v>28.532352468562198</v>
      </c>
      <c r="AL733">
        <v>90.665067117920799</v>
      </c>
      <c r="AM733">
        <v>91.827339195080995</v>
      </c>
      <c r="AN733">
        <v>0.99999997462910595</v>
      </c>
    </row>
    <row r="734" spans="1:40" x14ac:dyDescent="0.25">
      <c r="A734" t="str">
        <f>"20190305135807447"</f>
        <v>20190305135807447</v>
      </c>
      <c r="B734" t="str">
        <f>"1551765487439703"</f>
        <v>1551765487439703</v>
      </c>
      <c r="C734" t="s">
        <v>40</v>
      </c>
      <c r="D734">
        <v>4.0035259999999999</v>
      </c>
      <c r="E734">
        <v>0.52072410000000002</v>
      </c>
      <c r="F734" t="s">
        <v>43</v>
      </c>
      <c r="G734">
        <v>-279.28379999999999</v>
      </c>
      <c r="H734">
        <v>-0.05</v>
      </c>
      <c r="I734">
        <v>366.99400000000003</v>
      </c>
      <c r="J734">
        <v>-308.02</v>
      </c>
      <c r="K734">
        <v>1.0597669999999999</v>
      </c>
      <c r="L734">
        <v>367.99770000000001</v>
      </c>
      <c r="M734">
        <v>0.99986169999999996</v>
      </c>
      <c r="N734">
        <v>-1.2434239999999999E-2</v>
      </c>
      <c r="O734">
        <v>-1.1052650000000001E-2</v>
      </c>
      <c r="P734">
        <v>0.99947509999999995</v>
      </c>
      <c r="Q734">
        <v>-2.4628589999999999E-2</v>
      </c>
      <c r="R734">
        <v>2.1050039999999999E-2</v>
      </c>
      <c r="S734">
        <v>3.0009160000000001</v>
      </c>
      <c r="T734">
        <v>-0.1152277</v>
      </c>
      <c r="U734">
        <v>-0.1044006</v>
      </c>
      <c r="V734">
        <v>-3.2101669999999999E-2</v>
      </c>
      <c r="W734">
        <v>-1.2188890000000001E-2</v>
      </c>
      <c r="X734">
        <v>0.99941029999999997</v>
      </c>
      <c r="Y734">
        <v>2.3700229999999999E-2</v>
      </c>
      <c r="Z734">
        <v>-3.154656E-4</v>
      </c>
      <c r="AA734">
        <v>0.99971909999999997</v>
      </c>
      <c r="AB734">
        <v>33</v>
      </c>
      <c r="AC734">
        <v>28.7362</v>
      </c>
      <c r="AD734">
        <v>-1.1097669999999999</v>
      </c>
      <c r="AE734">
        <v>-1.0036999999999801</v>
      </c>
      <c r="AF734">
        <v>0.68498263194123998</v>
      </c>
      <c r="AG734">
        <v>-1.1097669999999999</v>
      </c>
      <c r="AH734">
        <v>28.702782621108899</v>
      </c>
      <c r="AI734">
        <v>92.213556717626204</v>
      </c>
      <c r="AJ734">
        <v>88.632914226502095</v>
      </c>
      <c r="AK734">
        <v>28.7323948565897</v>
      </c>
      <c r="AL734">
        <v>90.698389235973096</v>
      </c>
      <c r="AM734">
        <v>91.839742941467406</v>
      </c>
      <c r="AN734">
        <v>1.00000001700115</v>
      </c>
    </row>
    <row r="735" spans="1:40" x14ac:dyDescent="0.25">
      <c r="A735" t="str">
        <f>"20190305135807458"</f>
        <v>20190305135807458</v>
      </c>
      <c r="B735" t="str">
        <f>"1551765487449463"</f>
        <v>1551765487449463</v>
      </c>
      <c r="C735" t="s">
        <v>40</v>
      </c>
      <c r="D735">
        <v>4.3455349999999999</v>
      </c>
      <c r="E735">
        <v>0.55247930000000001</v>
      </c>
      <c r="F735" t="s">
        <v>43</v>
      </c>
      <c r="G735">
        <v>-279.47669999999999</v>
      </c>
      <c r="H735">
        <v>-0.05</v>
      </c>
      <c r="I735">
        <v>367.00869999999998</v>
      </c>
      <c r="J735">
        <v>-307.84859999999998</v>
      </c>
      <c r="K735">
        <v>1.0597540000000001</v>
      </c>
      <c r="L735">
        <v>367.9957</v>
      </c>
      <c r="M735">
        <v>0.99986200000000003</v>
      </c>
      <c r="N735">
        <v>-1.238846E-2</v>
      </c>
      <c r="O735">
        <v>-1.108133E-2</v>
      </c>
      <c r="P735">
        <v>0.99945589999999995</v>
      </c>
      <c r="Q735">
        <v>-2.5150530000000001E-2</v>
      </c>
      <c r="R735">
        <v>2.134964E-2</v>
      </c>
      <c r="S735">
        <v>3.0008539999999999</v>
      </c>
      <c r="T735">
        <v>-0.11667370000000001</v>
      </c>
      <c r="U735">
        <v>-0.10397339999999999</v>
      </c>
      <c r="V735">
        <v>-3.2428829999999999E-2</v>
      </c>
      <c r="W735">
        <v>-1.275972E-2</v>
      </c>
      <c r="X735">
        <v>0.99939259999999996</v>
      </c>
      <c r="Y735">
        <v>2.3529939999999999E-2</v>
      </c>
      <c r="Z735">
        <v>-3.096792E-4</v>
      </c>
      <c r="AA735">
        <v>0.99972309999999998</v>
      </c>
      <c r="AB735">
        <v>33</v>
      </c>
      <c r="AC735">
        <v>28.371899999999901</v>
      </c>
      <c r="AD735">
        <v>-1.1097539999999999</v>
      </c>
      <c r="AE735">
        <v>-0.98700000000002297</v>
      </c>
      <c r="AF735">
        <v>0.67149081506053399</v>
      </c>
      <c r="AG735">
        <v>-1.1097539999999999</v>
      </c>
      <c r="AH735">
        <v>28.3377928770045</v>
      </c>
      <c r="AI735">
        <v>92.242021082237898</v>
      </c>
      <c r="AJ735">
        <v>88.642576317408398</v>
      </c>
      <c r="AK735">
        <v>28.367463034174101</v>
      </c>
      <c r="AL735">
        <v>90.731097940009505</v>
      </c>
      <c r="AM735">
        <v>91.858512252397006</v>
      </c>
      <c r="AN735">
        <v>1.0000000042021999</v>
      </c>
    </row>
    <row r="736" spans="1:40" x14ac:dyDescent="0.25">
      <c r="A736" t="str">
        <f>"20190305135807468"</f>
        <v>20190305135807468</v>
      </c>
      <c r="B736" t="str">
        <f>"1551765487459223"</f>
        <v>1551765487459223</v>
      </c>
      <c r="C736" t="s">
        <v>40</v>
      </c>
      <c r="D736">
        <v>3.97959</v>
      </c>
      <c r="E736">
        <v>0.55646819999999997</v>
      </c>
      <c r="F736" t="s">
        <v>43</v>
      </c>
      <c r="G736">
        <v>-282.34750000000003</v>
      </c>
      <c r="H736">
        <v>-0.05</v>
      </c>
      <c r="I736">
        <v>364.96940000000001</v>
      </c>
      <c r="J736">
        <v>-307.69229999999999</v>
      </c>
      <c r="K736">
        <v>1.0597490000000001</v>
      </c>
      <c r="L736">
        <v>367.9939</v>
      </c>
      <c r="M736">
        <v>0.99986249999999999</v>
      </c>
      <c r="N736">
        <v>-1.235116E-2</v>
      </c>
      <c r="O736">
        <v>-1.106878E-2</v>
      </c>
      <c r="P736">
        <v>0.99941420000000003</v>
      </c>
      <c r="Q736">
        <v>-2.6632119999999999E-2</v>
      </c>
      <c r="R736">
        <v>2.1498320000000001E-2</v>
      </c>
      <c r="S736">
        <v>3.0059200000000001</v>
      </c>
      <c r="T736">
        <v>-0.13081110000000001</v>
      </c>
      <c r="U736">
        <v>-0.35671999999999998</v>
      </c>
      <c r="V736">
        <v>-3.2563969999999998E-2</v>
      </c>
      <c r="W736">
        <v>-1.428162E-2</v>
      </c>
      <c r="X736">
        <v>0.99936760000000002</v>
      </c>
      <c r="Y736">
        <v>0.1067229</v>
      </c>
      <c r="Z736">
        <v>-2.6312979999999998E-3</v>
      </c>
      <c r="AA736">
        <v>0.99428530000000004</v>
      </c>
      <c r="AB736">
        <v>33</v>
      </c>
      <c r="AC736">
        <v>25.3447999999999</v>
      </c>
      <c r="AD736">
        <v>-1.1097489999999901</v>
      </c>
      <c r="AE736">
        <v>-3.0244999999999802</v>
      </c>
      <c r="AF736">
        <v>2.7385805455389698</v>
      </c>
      <c r="AG736">
        <v>-1.1097489999999901</v>
      </c>
      <c r="AH736">
        <v>25.328848070841399</v>
      </c>
      <c r="AI736">
        <v>92.494214132107899</v>
      </c>
      <c r="AJ736">
        <v>83.829094423068199</v>
      </c>
      <c r="AK736">
        <v>25.5006256951309</v>
      </c>
      <c r="AL736">
        <v>90.818304379264205</v>
      </c>
      <c r="AM736">
        <v>91.866298379811298</v>
      </c>
      <c r="AN736">
        <v>0.99999998837087201</v>
      </c>
    </row>
    <row r="737" spans="1:40" x14ac:dyDescent="0.25">
      <c r="A737" t="str">
        <f>"20190305135807479"</f>
        <v>20190305135807479</v>
      </c>
      <c r="B737" t="str">
        <f>"1551765487468983"</f>
        <v>1551765487468983</v>
      </c>
      <c r="C737" t="s">
        <v>40</v>
      </c>
      <c r="D737">
        <v>3.9500850000000001</v>
      </c>
      <c r="E737">
        <v>0.55858249999999998</v>
      </c>
      <c r="F737" t="s">
        <v>43</v>
      </c>
      <c r="G737">
        <v>-284.15570000000002</v>
      </c>
      <c r="H737">
        <v>-0.05</v>
      </c>
      <c r="I737">
        <v>364.95150000000001</v>
      </c>
      <c r="J737">
        <v>-307.54259999999999</v>
      </c>
      <c r="K737">
        <v>1.059741</v>
      </c>
      <c r="L737">
        <v>367.9923</v>
      </c>
      <c r="M737">
        <v>0.9998631</v>
      </c>
      <c r="N737">
        <v>-1.2315970000000001E-2</v>
      </c>
      <c r="O737">
        <v>-1.1052340000000001E-2</v>
      </c>
      <c r="P737">
        <v>0.99937339999999997</v>
      </c>
      <c r="Q737">
        <v>-2.8035609999999999E-2</v>
      </c>
      <c r="R737">
        <v>2.1603339999999999E-2</v>
      </c>
      <c r="S737">
        <v>3.006348</v>
      </c>
      <c r="T737">
        <v>-0.14174890000000001</v>
      </c>
      <c r="U737">
        <v>-0.38861079999999998</v>
      </c>
      <c r="V737">
        <v>-3.265142E-2</v>
      </c>
      <c r="W737">
        <v>-1.5723190000000001E-2</v>
      </c>
      <c r="X737">
        <v>0.99934310000000004</v>
      </c>
      <c r="Y737">
        <v>0.11707190000000001</v>
      </c>
      <c r="Z737">
        <v>-3.0884200000000001E-3</v>
      </c>
      <c r="AA737">
        <v>0.99311859999999996</v>
      </c>
      <c r="AB737">
        <v>33</v>
      </c>
      <c r="AC737">
        <v>23.386899999999901</v>
      </c>
      <c r="AD737">
        <v>-1.1097410000000001</v>
      </c>
      <c r="AE737">
        <v>-3.0407999999999902</v>
      </c>
      <c r="AF737">
        <v>2.7759681188637999</v>
      </c>
      <c r="AG737">
        <v>-1.1097410000000001</v>
      </c>
      <c r="AH737">
        <v>23.3673418156982</v>
      </c>
      <c r="AI737">
        <v>92.700039952646904</v>
      </c>
      <c r="AJ737">
        <v>83.225189396735701</v>
      </c>
      <c r="AK737">
        <v>23.557805237663899</v>
      </c>
      <c r="AL737">
        <v>90.900909565929297</v>
      </c>
      <c r="AM737">
        <v>91.871352578980705</v>
      </c>
      <c r="AN737">
        <v>0.99999998272470103</v>
      </c>
    </row>
    <row r="738" spans="1:40" x14ac:dyDescent="0.25">
      <c r="A738" t="str">
        <f>"20190305135807489"</f>
        <v>20190305135807489</v>
      </c>
      <c r="B738" t="str">
        <f>"1551765487479249"</f>
        <v>1551765487479249</v>
      </c>
      <c r="C738" t="s">
        <v>40</v>
      </c>
      <c r="D738">
        <v>3.8646180000000001</v>
      </c>
      <c r="E738">
        <v>0.56035140000000006</v>
      </c>
      <c r="F738" t="s">
        <v>43</v>
      </c>
      <c r="G738">
        <v>-285.1481</v>
      </c>
      <c r="H738">
        <v>-0.05</v>
      </c>
      <c r="I738">
        <v>364.9735</v>
      </c>
      <c r="J738">
        <v>-307.38130000000001</v>
      </c>
      <c r="K738">
        <v>1.059733</v>
      </c>
      <c r="L738">
        <v>367.9905</v>
      </c>
      <c r="M738">
        <v>0.99986399999999998</v>
      </c>
      <c r="N738">
        <v>-1.22819E-2</v>
      </c>
      <c r="O738">
        <v>-1.100336E-2</v>
      </c>
      <c r="P738">
        <v>0.99930660000000004</v>
      </c>
      <c r="Q738">
        <v>-3.0044930000000001E-2</v>
      </c>
      <c r="R738">
        <v>2.199777E-2</v>
      </c>
      <c r="S738">
        <v>3.0065</v>
      </c>
      <c r="T738">
        <v>-0.1489848</v>
      </c>
      <c r="U738">
        <v>-0.40527340000000001</v>
      </c>
      <c r="V738">
        <v>-3.2994809999999999E-2</v>
      </c>
      <c r="W738">
        <v>-1.7769819999999999E-2</v>
      </c>
      <c r="X738">
        <v>0.99929760000000001</v>
      </c>
      <c r="Y738">
        <v>0.12249989999999999</v>
      </c>
      <c r="Z738">
        <v>-3.3680849999999998E-3</v>
      </c>
      <c r="AA738">
        <v>0.99246279999999998</v>
      </c>
      <c r="AB738">
        <v>33</v>
      </c>
      <c r="AC738">
        <v>22.2332</v>
      </c>
      <c r="AD738">
        <v>-1.1097330000000001</v>
      </c>
      <c r="AE738">
        <v>-3.0169999999999901</v>
      </c>
      <c r="AF738">
        <v>2.7653939944396102</v>
      </c>
      <c r="AG738">
        <v>-1.1097330000000001</v>
      </c>
      <c r="AH738">
        <v>22.210719509554298</v>
      </c>
      <c r="AI738">
        <v>92.838458915054503</v>
      </c>
      <c r="AJ738">
        <v>82.902787579600798</v>
      </c>
      <c r="AK738">
        <v>22.4097071022329</v>
      </c>
      <c r="AL738">
        <v>91.018189218761904</v>
      </c>
      <c r="AM738">
        <v>91.891105132995406</v>
      </c>
      <c r="AN738">
        <v>1.00000005867776</v>
      </c>
    </row>
    <row r="739" spans="1:40" x14ac:dyDescent="0.25">
      <c r="A739" t="str">
        <f>"20190305135807500"</f>
        <v>20190305135807500</v>
      </c>
      <c r="B739" t="str">
        <f>"1551765487489009"</f>
        <v>1551765487489009</v>
      </c>
      <c r="C739" t="s">
        <v>40</v>
      </c>
      <c r="D739">
        <v>3.9160529999999998</v>
      </c>
      <c r="E739">
        <v>0.56131640000000005</v>
      </c>
      <c r="F739" t="s">
        <v>43</v>
      </c>
      <c r="G739">
        <v>-284.38810000000001</v>
      </c>
      <c r="H739">
        <v>-0.05</v>
      </c>
      <c r="I739">
        <v>364.7953</v>
      </c>
      <c r="J739">
        <v>-307.23239999999998</v>
      </c>
      <c r="K739">
        <v>1.0597289999999999</v>
      </c>
      <c r="L739">
        <v>367.9889</v>
      </c>
      <c r="M739">
        <v>0.99986509999999995</v>
      </c>
      <c r="N739">
        <v>-1.225131E-2</v>
      </c>
      <c r="O739">
        <v>-1.095135E-2</v>
      </c>
      <c r="P739">
        <v>0.99925450000000005</v>
      </c>
      <c r="Q739">
        <v>-3.1491789999999999E-2</v>
      </c>
      <c r="R739">
        <v>2.2339319999999999E-2</v>
      </c>
      <c r="S739">
        <v>3.0069270000000001</v>
      </c>
      <c r="T739">
        <v>-0.14512439999999999</v>
      </c>
      <c r="U739">
        <v>-0.41784670000000002</v>
      </c>
      <c r="V739">
        <v>-3.3282659999999999E-2</v>
      </c>
      <c r="W739">
        <v>-1.9250179999999999E-2</v>
      </c>
      <c r="X739">
        <v>0.9992605</v>
      </c>
      <c r="Y739">
        <v>0.12660769999999999</v>
      </c>
      <c r="Z739">
        <v>-3.426644E-3</v>
      </c>
      <c r="AA739">
        <v>0.99194689999999996</v>
      </c>
      <c r="AB739">
        <v>33</v>
      </c>
      <c r="AC739">
        <v>22.844299999999901</v>
      </c>
      <c r="AD739">
        <v>-1.109729</v>
      </c>
      <c r="AE739">
        <v>-3.1936</v>
      </c>
      <c r="AF739">
        <v>2.9364172118611198</v>
      </c>
      <c r="AG739">
        <v>-1.109729</v>
      </c>
      <c r="AH739">
        <v>22.825076240730699</v>
      </c>
      <c r="AI739">
        <v>92.760746741871401</v>
      </c>
      <c r="AJ739">
        <v>82.669236012049097</v>
      </c>
      <c r="AK739">
        <v>23.0399251277152</v>
      </c>
      <c r="AL739">
        <v>91.103022282179197</v>
      </c>
      <c r="AM739">
        <v>91.907661957187599</v>
      </c>
      <c r="AN739">
        <v>0.99999992587347597</v>
      </c>
    </row>
    <row r="740" spans="1:40" x14ac:dyDescent="0.25">
      <c r="A740" t="str">
        <f>"20190305135807510"</f>
        <v>20190305135807510</v>
      </c>
      <c r="B740" t="str">
        <f>"1551765487499745"</f>
        <v>1551765487499745</v>
      </c>
      <c r="C740" t="s">
        <v>40</v>
      </c>
      <c r="D740">
        <v>3.9195769999999999</v>
      </c>
      <c r="E740">
        <v>0.56191709999999995</v>
      </c>
      <c r="F740" t="s">
        <v>43</v>
      </c>
      <c r="G740">
        <v>-283.7389</v>
      </c>
      <c r="H740">
        <v>-0.05</v>
      </c>
      <c r="I740">
        <v>364.67380000000003</v>
      </c>
      <c r="J740">
        <v>-307.07960000000003</v>
      </c>
      <c r="K740">
        <v>1.0597289999999999</v>
      </c>
      <c r="L740">
        <v>367.9873</v>
      </c>
      <c r="M740">
        <v>0.99986620000000004</v>
      </c>
      <c r="N740">
        <v>-1.222262E-2</v>
      </c>
      <c r="O740">
        <v>-1.0876729999999999E-2</v>
      </c>
      <c r="P740">
        <v>0.9992164</v>
      </c>
      <c r="Q740">
        <v>-3.2228479999999997E-2</v>
      </c>
      <c r="R740">
        <v>2.2981809999999998E-2</v>
      </c>
      <c r="S740">
        <v>3.007263</v>
      </c>
      <c r="T740">
        <v>-0.14205009999999901</v>
      </c>
      <c r="U740">
        <v>-0.42434690000000003</v>
      </c>
      <c r="V740">
        <v>-3.3848690000000001E-2</v>
      </c>
      <c r="W740">
        <v>-2.0018339999999999E-2</v>
      </c>
      <c r="X740">
        <v>0.99922650000000002</v>
      </c>
      <c r="Y740">
        <v>0.12877279999999999</v>
      </c>
      <c r="Z740">
        <v>-3.4375209999999998E-3</v>
      </c>
      <c r="AA740">
        <v>0.9916682</v>
      </c>
      <c r="AB740">
        <v>33</v>
      </c>
      <c r="AC740">
        <v>23.340699999999998</v>
      </c>
      <c r="AD740">
        <v>-1.109729</v>
      </c>
      <c r="AE740">
        <v>-3.3134999999999701</v>
      </c>
      <c r="AF740">
        <v>3.0526503030767298</v>
      </c>
      <c r="AG740">
        <v>-1.109729</v>
      </c>
      <c r="AH740">
        <v>23.323680033262701</v>
      </c>
      <c r="AI740">
        <v>92.701048290888806</v>
      </c>
      <c r="AJ740">
        <v>82.543397457788501</v>
      </c>
      <c r="AK740">
        <v>23.548762655824099</v>
      </c>
      <c r="AL740">
        <v>91.1470429755136</v>
      </c>
      <c r="AM740">
        <v>91.940146471733101</v>
      </c>
      <c r="AN740">
        <v>1.0000000330266601</v>
      </c>
    </row>
    <row r="741" spans="1:40" x14ac:dyDescent="0.25">
      <c r="A741" t="str">
        <f>"20190305135807521"</f>
        <v>20190305135807521</v>
      </c>
      <c r="B741" t="str">
        <f>"1551765487509505"</f>
        <v>1551765487509505</v>
      </c>
      <c r="C741" t="s">
        <v>40</v>
      </c>
      <c r="D741">
        <v>3.9222229999999998</v>
      </c>
      <c r="E741">
        <v>0.56201619999999997</v>
      </c>
      <c r="F741" t="s">
        <v>43</v>
      </c>
      <c r="G741">
        <v>-283.54840000000002</v>
      </c>
      <c r="H741">
        <v>-0.05</v>
      </c>
      <c r="I741">
        <v>364.64260000000002</v>
      </c>
      <c r="J741">
        <v>-306.93040000000002</v>
      </c>
      <c r="K741">
        <v>1.059734</v>
      </c>
      <c r="L741">
        <v>367.98570000000001</v>
      </c>
      <c r="M741">
        <v>0.99986739999999996</v>
      </c>
      <c r="N741">
        <v>-1.2195559999999999E-2</v>
      </c>
      <c r="O741">
        <v>-1.079797E-2</v>
      </c>
      <c r="P741">
        <v>0.99917339999999999</v>
      </c>
      <c r="Q741">
        <v>-3.3044539999999997E-2</v>
      </c>
      <c r="R741">
        <v>2.3679080000000002E-2</v>
      </c>
      <c r="S741">
        <v>3.0075379999999998</v>
      </c>
      <c r="T741">
        <v>-0.14183499999999999</v>
      </c>
      <c r="U741">
        <v>-0.42749019999999999</v>
      </c>
      <c r="V741">
        <v>-3.446511E-2</v>
      </c>
      <c r="W741">
        <v>-2.0864230000000001E-2</v>
      </c>
      <c r="X741">
        <v>0.99918810000000002</v>
      </c>
      <c r="Y741">
        <v>0.12985350000000001</v>
      </c>
      <c r="Z741">
        <v>-3.4660120000000001E-3</v>
      </c>
      <c r="AA741">
        <v>0.99152709999999999</v>
      </c>
      <c r="AB741">
        <v>33</v>
      </c>
      <c r="AC741">
        <v>23.382000000000001</v>
      </c>
      <c r="AD741">
        <v>-1.109734</v>
      </c>
      <c r="AE741">
        <v>-3.34309999999999</v>
      </c>
      <c r="AF741">
        <v>3.0836013571060201</v>
      </c>
      <c r="AG741">
        <v>-1.109734</v>
      </c>
      <c r="AH741">
        <v>23.365161172902699</v>
      </c>
      <c r="AI741">
        <v>92.695892305261495</v>
      </c>
      <c r="AJ741">
        <v>82.481875597284002</v>
      </c>
      <c r="AK741">
        <v>23.593873431804699</v>
      </c>
      <c r="AL741">
        <v>91.195519059197693</v>
      </c>
      <c r="AM741">
        <v>91.975526680485899</v>
      </c>
      <c r="AN741">
        <v>1.0000000095412001</v>
      </c>
    </row>
    <row r="742" spans="1:40" x14ac:dyDescent="0.25">
      <c r="A742" t="str">
        <f>"20190305135807530"</f>
        <v>20190305135807530</v>
      </c>
      <c r="B742" t="str">
        <f>"1551765487519265"</f>
        <v>1551765487519265</v>
      </c>
      <c r="C742" t="s">
        <v>40</v>
      </c>
      <c r="D742">
        <v>3.9307189999999999</v>
      </c>
      <c r="E742">
        <v>0.56219969999999997</v>
      </c>
      <c r="F742" t="s">
        <v>43</v>
      </c>
      <c r="G742">
        <v>-284.27179999999998</v>
      </c>
      <c r="H742">
        <v>-0.05</v>
      </c>
      <c r="I742">
        <v>364.77420000000001</v>
      </c>
      <c r="J742">
        <v>-306.7783</v>
      </c>
      <c r="K742">
        <v>1.0597379999999901</v>
      </c>
      <c r="L742">
        <v>367.98419999999999</v>
      </c>
      <c r="M742">
        <v>0.9998688</v>
      </c>
      <c r="N742">
        <v>-1.2170159999999999E-2</v>
      </c>
      <c r="O742">
        <v>-1.0703880000000001E-2</v>
      </c>
      <c r="P742">
        <v>0.99912630000000002</v>
      </c>
      <c r="Q742">
        <v>-3.4011989999999999E-2</v>
      </c>
      <c r="R742">
        <v>2.4294670000000001E-2</v>
      </c>
      <c r="S742">
        <v>3.0076900000000002</v>
      </c>
      <c r="T742">
        <v>-0.14730509999999999</v>
      </c>
      <c r="U742">
        <v>-0.42630000000000001</v>
      </c>
      <c r="V742">
        <v>-3.4984639999999997E-2</v>
      </c>
      <c r="W742">
        <v>-2.1859759999999999E-2</v>
      </c>
      <c r="X742">
        <v>0.9991487</v>
      </c>
      <c r="Y742">
        <v>0.12954379999999999</v>
      </c>
      <c r="Z742">
        <v>-3.5558349999999998E-3</v>
      </c>
      <c r="AA742">
        <v>0.99156730000000004</v>
      </c>
      <c r="AB742">
        <v>33</v>
      </c>
      <c r="AC742">
        <v>22.506499999999999</v>
      </c>
      <c r="AD742">
        <v>-1.1097379999999999</v>
      </c>
      <c r="AE742">
        <v>-3.2099999999999702</v>
      </c>
      <c r="AF742">
        <v>2.9618340742925802</v>
      </c>
      <c r="AG742">
        <v>-1.1097379999999999</v>
      </c>
      <c r="AH742">
        <v>22.485993854860599</v>
      </c>
      <c r="AI742">
        <v>92.801235365632806</v>
      </c>
      <c r="AJ742">
        <v>82.496251010214905</v>
      </c>
      <c r="AK742">
        <v>22.707353415867502</v>
      </c>
      <c r="AL742">
        <v>91.252571822750298</v>
      </c>
      <c r="AM742">
        <v>92.005360816806004</v>
      </c>
      <c r="AN742">
        <v>0.99999994942743697</v>
      </c>
    </row>
    <row r="743" spans="1:40" x14ac:dyDescent="0.25">
      <c r="A743" t="str">
        <f>"20190305135807541"</f>
        <v>20190305135807541</v>
      </c>
      <c r="B743" t="str">
        <f>"1551765487539761"</f>
        <v>1551765487539761</v>
      </c>
      <c r="C743" t="s">
        <v>40</v>
      </c>
      <c r="D743">
        <v>3.9894430000000001</v>
      </c>
      <c r="E743">
        <v>0.56218449999999998</v>
      </c>
      <c r="F743" t="s">
        <v>43</v>
      </c>
      <c r="G743">
        <v>-284.26589999999999</v>
      </c>
      <c r="H743">
        <v>-0.05</v>
      </c>
      <c r="I743">
        <v>364.79590000000002</v>
      </c>
      <c r="J743">
        <v>-306.6318</v>
      </c>
      <c r="K743">
        <v>1.059736</v>
      </c>
      <c r="L743">
        <v>367.98270000000002</v>
      </c>
      <c r="M743">
        <v>0.99987000000000004</v>
      </c>
      <c r="N743">
        <v>-1.214664E-2</v>
      </c>
      <c r="O743">
        <v>-1.060853E-2</v>
      </c>
      <c r="P743">
        <v>0.99909199999999998</v>
      </c>
      <c r="Q743">
        <v>-3.4689490000000003E-2</v>
      </c>
      <c r="R743">
        <v>2.4742480000000001E-2</v>
      </c>
      <c r="S743">
        <v>3.0079349999999998</v>
      </c>
      <c r="T743">
        <v>-0.1482744</v>
      </c>
      <c r="U743">
        <v>-0.42599490000000001</v>
      </c>
      <c r="V743">
        <v>-3.533617E-2</v>
      </c>
      <c r="W743">
        <v>-2.2563119999999999E-2</v>
      </c>
      <c r="X743">
        <v>0.99912080000000003</v>
      </c>
      <c r="Y743">
        <v>0.12952640000000001</v>
      </c>
      <c r="Z743">
        <v>-3.5741560000000002E-3</v>
      </c>
      <c r="AA743">
        <v>0.99156949999999999</v>
      </c>
      <c r="AB743">
        <v>33</v>
      </c>
      <c r="AC743">
        <v>22.3659</v>
      </c>
      <c r="AD743">
        <v>-1.1097360000000001</v>
      </c>
      <c r="AE743">
        <v>-3.1867999999999999</v>
      </c>
      <c r="AF743">
        <v>2.94223453667525</v>
      </c>
      <c r="AG743">
        <v>-1.1097360000000001</v>
      </c>
      <c r="AH743">
        <v>22.3445360421576</v>
      </c>
      <c r="AI743">
        <v>92.818951481981799</v>
      </c>
      <c r="AJ743">
        <v>82.498687929055393</v>
      </c>
      <c r="AK743">
        <v>22.5647191207376</v>
      </c>
      <c r="AL743">
        <v>91.292881191640703</v>
      </c>
      <c r="AM743">
        <v>92.025550744228397</v>
      </c>
      <c r="AN743">
        <v>1.0000000561435201</v>
      </c>
    </row>
    <row r="744" spans="1:40" x14ac:dyDescent="0.25">
      <c r="A744" t="str">
        <f>"20190305135807551"</f>
        <v>20190305135807551</v>
      </c>
      <c r="B744" t="str">
        <f>"1551765487549521"</f>
        <v>1551765487549521</v>
      </c>
      <c r="C744" t="s">
        <v>40</v>
      </c>
      <c r="D744">
        <v>4.0085499999999996</v>
      </c>
      <c r="E744">
        <v>0.56199460000000001</v>
      </c>
      <c r="F744" t="s">
        <v>43</v>
      </c>
      <c r="G744">
        <v>-284.74369999999999</v>
      </c>
      <c r="H744">
        <v>-0.05</v>
      </c>
      <c r="I744">
        <v>364.89569999999998</v>
      </c>
      <c r="J744">
        <v>-306.4778</v>
      </c>
      <c r="K744">
        <v>1.059731</v>
      </c>
      <c r="L744">
        <v>367.98110000000003</v>
      </c>
      <c r="M744">
        <v>0.99987139999999997</v>
      </c>
      <c r="N744">
        <v>-1.212382E-2</v>
      </c>
      <c r="O744">
        <v>-1.0499390000000001E-2</v>
      </c>
      <c r="P744">
        <v>0.99903600000000004</v>
      </c>
      <c r="Q744">
        <v>-3.5911310000000002E-2</v>
      </c>
      <c r="R744">
        <v>2.5245159999999999E-2</v>
      </c>
      <c r="S744">
        <v>3.0079349999999998</v>
      </c>
      <c r="T744">
        <v>-0.15250369999999999</v>
      </c>
      <c r="U744">
        <v>-0.42422490000000002</v>
      </c>
      <c r="V744">
        <v>-3.5727229999999999E-2</v>
      </c>
      <c r="W744">
        <v>-2.3810169999999999E-2</v>
      </c>
      <c r="X744">
        <v>0.99907789999999996</v>
      </c>
      <c r="Y744">
        <v>0.1290539</v>
      </c>
      <c r="Z744">
        <v>-3.637557E-3</v>
      </c>
      <c r="AA744">
        <v>0.99163089999999998</v>
      </c>
      <c r="AB744">
        <v>33</v>
      </c>
      <c r="AC744">
        <v>21.734100000000002</v>
      </c>
      <c r="AD744">
        <v>-1.109731</v>
      </c>
      <c r="AE744">
        <v>-3.0854000000000399</v>
      </c>
      <c r="AF744">
        <v>2.8497356645734002</v>
      </c>
      <c r="AG744">
        <v>-1.109731</v>
      </c>
      <c r="AH744">
        <v>21.7098182008226</v>
      </c>
      <c r="AI744">
        <v>92.901369562045204</v>
      </c>
      <c r="AJ744">
        <v>82.521834208687494</v>
      </c>
      <c r="AK744">
        <v>21.924157967025099</v>
      </c>
      <c r="AL744">
        <v>91.364351178719602</v>
      </c>
      <c r="AM744">
        <v>92.048036084787697</v>
      </c>
      <c r="AN744">
        <v>1.0000000047136499</v>
      </c>
    </row>
    <row r="745" spans="1:40" x14ac:dyDescent="0.25">
      <c r="A745" t="str">
        <f>"20190305135807564"</f>
        <v>20190305135807564</v>
      </c>
      <c r="B745" t="str">
        <f>"1551765487559280"</f>
        <v>1551765487559280</v>
      </c>
      <c r="C745" t="s">
        <v>40</v>
      </c>
      <c r="D745">
        <v>3.9951349999999999</v>
      </c>
      <c r="E745">
        <v>0.561708599999999</v>
      </c>
      <c r="F745" t="s">
        <v>43</v>
      </c>
      <c r="G745">
        <v>-285.64999999999998</v>
      </c>
      <c r="H745">
        <v>-0.05</v>
      </c>
      <c r="I745">
        <v>365.06130000000002</v>
      </c>
      <c r="J745">
        <v>-306.31029999999998</v>
      </c>
      <c r="K745">
        <v>1.059728</v>
      </c>
      <c r="L745">
        <v>367.97949999999997</v>
      </c>
      <c r="M745">
        <v>0.99987309999999996</v>
      </c>
      <c r="N745">
        <v>-1.2100390000000001E-2</v>
      </c>
      <c r="O745">
        <v>-1.037656E-2</v>
      </c>
      <c r="P745">
        <v>0.9989903</v>
      </c>
      <c r="Q745">
        <v>-3.6849649999999998E-2</v>
      </c>
      <c r="R745">
        <v>2.5701870000000002E-2</v>
      </c>
      <c r="S745">
        <v>3.0077820000000002</v>
      </c>
      <c r="T745">
        <v>-0.16025780000000001</v>
      </c>
      <c r="U745">
        <v>-0.42166140000000002</v>
      </c>
      <c r="V745">
        <v>-3.6059380000000002E-2</v>
      </c>
      <c r="W745">
        <v>-2.477418E-2</v>
      </c>
      <c r="X745">
        <v>0.99904250000000006</v>
      </c>
      <c r="Y745">
        <v>0.12833710000000001</v>
      </c>
      <c r="Z745">
        <v>-3.7561119999999998E-3</v>
      </c>
      <c r="AA745">
        <v>0.99172349999999998</v>
      </c>
      <c r="AB745">
        <v>33</v>
      </c>
      <c r="AC745">
        <v>20.660299999999999</v>
      </c>
      <c r="AD745">
        <v>-1.109728</v>
      </c>
      <c r="AE745">
        <v>-2.9181999999999499</v>
      </c>
      <c r="AF745">
        <v>2.6960182431694699</v>
      </c>
      <c r="AG745">
        <v>-1.109728</v>
      </c>
      <c r="AH745">
        <v>20.631112225712599</v>
      </c>
      <c r="AI745">
        <v>93.053011279510798</v>
      </c>
      <c r="AJ745">
        <v>82.554929128775896</v>
      </c>
      <c r="AK745">
        <v>20.836093738305099</v>
      </c>
      <c r="AL745">
        <v>91.419601227355102</v>
      </c>
      <c r="AM745">
        <v>92.067133068593805</v>
      </c>
      <c r="AN745">
        <v>0.99999997784345296</v>
      </c>
    </row>
    <row r="746" spans="1:40" x14ac:dyDescent="0.25">
      <c r="A746" t="str">
        <f>"20190305135807574"</f>
        <v>20190305135807574</v>
      </c>
      <c r="B746" t="str">
        <f>"1551765487569041"</f>
        <v>1551765487569041</v>
      </c>
      <c r="C746" t="s">
        <v>40</v>
      </c>
      <c r="D746">
        <v>3.9740669999999998</v>
      </c>
      <c r="E746">
        <v>0.561639</v>
      </c>
      <c r="F746" t="s">
        <v>43</v>
      </c>
      <c r="G746">
        <v>-286.20420000000001</v>
      </c>
      <c r="H746">
        <v>-0.05</v>
      </c>
      <c r="I746">
        <v>365.18439999999998</v>
      </c>
      <c r="J746">
        <v>-306.13780000000003</v>
      </c>
      <c r="K746">
        <v>1.0597240000000001</v>
      </c>
      <c r="L746">
        <v>367.9778</v>
      </c>
      <c r="M746">
        <v>0.99987470000000001</v>
      </c>
      <c r="N746">
        <v>-1.2077900000000001E-2</v>
      </c>
      <c r="O746">
        <v>-1.0244710000000001E-2</v>
      </c>
      <c r="P746">
        <v>0.99894760000000005</v>
      </c>
      <c r="Q746">
        <v>-3.7698139999999998E-2</v>
      </c>
      <c r="R746">
        <v>2.6132889999999999E-2</v>
      </c>
      <c r="S746">
        <v>3.00766</v>
      </c>
      <c r="T746">
        <v>-0.1660035</v>
      </c>
      <c r="U746">
        <v>-0.41812129999999997</v>
      </c>
      <c r="V746">
        <v>-3.6357269999999997E-2</v>
      </c>
      <c r="W746">
        <v>-2.564717E-2</v>
      </c>
      <c r="X746">
        <v>0.9990097</v>
      </c>
      <c r="Y746">
        <v>0.1273165</v>
      </c>
      <c r="Z746">
        <v>-3.8282500000000001E-3</v>
      </c>
      <c r="AA746">
        <v>0.99185469999999998</v>
      </c>
      <c r="AB746">
        <v>33</v>
      </c>
      <c r="AC746">
        <v>19.933599999999998</v>
      </c>
      <c r="AD746">
        <v>-1.1097239999999999</v>
      </c>
      <c r="AE746">
        <v>-2.7934000000000201</v>
      </c>
      <c r="AF746">
        <v>2.5811788822095498</v>
      </c>
      <c r="AG746">
        <v>-1.1097239999999999</v>
      </c>
      <c r="AH746">
        <v>19.900683848366</v>
      </c>
      <c r="AI746">
        <v>93.165226843545497</v>
      </c>
      <c r="AJ746">
        <v>82.609821174310298</v>
      </c>
      <c r="AK746">
        <v>20.098039441964399</v>
      </c>
      <c r="AL746">
        <v>91.4696357363121</v>
      </c>
      <c r="AM746">
        <v>92.084263223722303</v>
      </c>
      <c r="AN746">
        <v>1.00000000455247</v>
      </c>
    </row>
    <row r="747" spans="1:40" x14ac:dyDescent="0.25">
      <c r="A747" t="str">
        <f>"20190305135807586"</f>
        <v>20190305135807586</v>
      </c>
      <c r="B747" t="str">
        <f>"1551765487579777"</f>
        <v>1551765487579777</v>
      </c>
      <c r="C747" t="s">
        <v>40</v>
      </c>
      <c r="D747">
        <v>3.9705979999999998</v>
      </c>
      <c r="E747">
        <v>0.56163350000000001</v>
      </c>
      <c r="F747" t="s">
        <v>43</v>
      </c>
      <c r="G747">
        <v>-286.54739999999998</v>
      </c>
      <c r="H747">
        <v>-0.05</v>
      </c>
      <c r="I747">
        <v>365.26530000000002</v>
      </c>
      <c r="J747">
        <v>-305.96980000000002</v>
      </c>
      <c r="K747">
        <v>1.059723</v>
      </c>
      <c r="L747">
        <v>367.97620000000001</v>
      </c>
      <c r="M747">
        <v>0.99987610000000005</v>
      </c>
      <c r="N747">
        <v>-1.20578E-2</v>
      </c>
      <c r="O747">
        <v>-1.0113179999999999E-2</v>
      </c>
      <c r="P747">
        <v>0.9989015</v>
      </c>
      <c r="Q747">
        <v>-3.8354159999999998E-2</v>
      </c>
      <c r="R747">
        <v>2.6921750000000001E-2</v>
      </c>
      <c r="S747">
        <v>3.0076290000000001</v>
      </c>
      <c r="T747">
        <v>-0.1703711</v>
      </c>
      <c r="U747">
        <v>-0.4164429</v>
      </c>
      <c r="V747">
        <v>-3.701256E-2</v>
      </c>
      <c r="W747">
        <v>-2.6325109999999999E-2</v>
      </c>
      <c r="X747">
        <v>0.99896799999999997</v>
      </c>
      <c r="Y747">
        <v>0.12689539999999999</v>
      </c>
      <c r="Z747">
        <v>-3.8953410000000001E-3</v>
      </c>
      <c r="AA747">
        <v>0.99190840000000002</v>
      </c>
      <c r="AB747">
        <v>33</v>
      </c>
      <c r="AC747">
        <v>19.4224</v>
      </c>
      <c r="AD747">
        <v>-1.109723</v>
      </c>
      <c r="AE747">
        <v>-2.7108999999999801</v>
      </c>
      <c r="AF747">
        <v>2.5062992361766301</v>
      </c>
      <c r="AG747">
        <v>-1.109723</v>
      </c>
      <c r="AH747">
        <v>19.386744811652399</v>
      </c>
      <c r="AI747">
        <v>93.249131133250103</v>
      </c>
      <c r="AJ747">
        <v>82.633714588268404</v>
      </c>
      <c r="AK747">
        <v>19.579552992602299</v>
      </c>
      <c r="AL747">
        <v>91.508491961578102</v>
      </c>
      <c r="AM747">
        <v>92.121883671004596</v>
      </c>
      <c r="AN747">
        <v>1.0000000030191301</v>
      </c>
    </row>
    <row r="748" spans="1:40" x14ac:dyDescent="0.25">
      <c r="A748" t="str">
        <f>"20190305135807598"</f>
        <v>20190305135807598</v>
      </c>
      <c r="B748" t="str">
        <f>"1551765487589537"</f>
        <v>1551765487589537</v>
      </c>
      <c r="C748" t="s">
        <v>40</v>
      </c>
      <c r="D748">
        <v>3.9934080000000001</v>
      </c>
      <c r="E748">
        <v>0.56153330000000001</v>
      </c>
      <c r="F748" t="s">
        <v>43</v>
      </c>
      <c r="G748">
        <v>-286.64420000000001</v>
      </c>
      <c r="H748">
        <v>-0.05</v>
      </c>
      <c r="I748">
        <v>365.31619999999998</v>
      </c>
      <c r="J748">
        <v>-305.80239999999998</v>
      </c>
      <c r="K748">
        <v>1.059717</v>
      </c>
      <c r="L748">
        <v>367.97460000000001</v>
      </c>
      <c r="M748">
        <v>0.99987780000000004</v>
      </c>
      <c r="N748">
        <v>-1.203839E-2</v>
      </c>
      <c r="O748">
        <v>-9.9810799999999998E-3</v>
      </c>
      <c r="P748">
        <v>0.99885809999999997</v>
      </c>
      <c r="Q748">
        <v>-3.8893230000000001E-2</v>
      </c>
      <c r="R748">
        <v>2.7751479999999999E-2</v>
      </c>
      <c r="S748">
        <v>3.0078130000000001</v>
      </c>
      <c r="T748">
        <v>-0.1727157</v>
      </c>
      <c r="U748">
        <v>-0.41400150000000002</v>
      </c>
      <c r="V748">
        <v>-3.7709840000000001E-2</v>
      </c>
      <c r="W748">
        <v>-2.6885309999999999E-2</v>
      </c>
      <c r="X748">
        <v>0.99892700000000001</v>
      </c>
      <c r="Y748">
        <v>0.12622359999999999</v>
      </c>
      <c r="Z748">
        <v>-3.9178629999999997E-3</v>
      </c>
      <c r="AA748">
        <v>0.99199409999999999</v>
      </c>
      <c r="AB748">
        <v>33</v>
      </c>
      <c r="AC748">
        <v>19.158199999999901</v>
      </c>
      <c r="AD748">
        <v>-1.1097170000000001</v>
      </c>
      <c r="AE748">
        <v>-2.6584000000000199</v>
      </c>
      <c r="AF748">
        <v>2.4589398710215602</v>
      </c>
      <c r="AG748">
        <v>-1.1097170000000001</v>
      </c>
      <c r="AH748">
        <v>19.120839337279399</v>
      </c>
      <c r="AI748">
        <v>93.294481916561296</v>
      </c>
      <c r="AJ748">
        <v>82.671983144017204</v>
      </c>
      <c r="AK748">
        <v>19.310213724126399</v>
      </c>
      <c r="AL748">
        <v>91.540600425522697</v>
      </c>
      <c r="AM748">
        <v>92.161908927283505</v>
      </c>
      <c r="AN748">
        <v>1.0000000016278101</v>
      </c>
    </row>
    <row r="749" spans="1:40" x14ac:dyDescent="0.25">
      <c r="A749" t="str">
        <f>"20190305135807611"</f>
        <v>20190305135807611</v>
      </c>
      <c r="B749" t="str">
        <f>"1551765487599297"</f>
        <v>1551765487599297</v>
      </c>
      <c r="C749" t="s">
        <v>40</v>
      </c>
      <c r="D749">
        <v>4.0248460000000001</v>
      </c>
      <c r="E749">
        <v>0.56146759999999996</v>
      </c>
      <c r="F749" t="s">
        <v>43</v>
      </c>
      <c r="G749">
        <v>-286.7953</v>
      </c>
      <c r="H749">
        <v>-0.05</v>
      </c>
      <c r="I749">
        <v>365.3818</v>
      </c>
      <c r="J749">
        <v>-305.62709999999998</v>
      </c>
      <c r="K749">
        <v>1.059707</v>
      </c>
      <c r="L749">
        <v>367.97300000000001</v>
      </c>
      <c r="M749">
        <v>0.99987930000000003</v>
      </c>
      <c r="N749">
        <v>-1.202047E-2</v>
      </c>
      <c r="O749">
        <v>-9.8465779999999999E-3</v>
      </c>
      <c r="P749">
        <v>0.99880780000000002</v>
      </c>
      <c r="Q749">
        <v>-3.9518240000000003E-2</v>
      </c>
      <c r="R749">
        <v>2.865469E-2</v>
      </c>
      <c r="S749">
        <v>3.0079959999999999</v>
      </c>
      <c r="T749">
        <v>-0.1756202</v>
      </c>
      <c r="U749">
        <v>-0.41033940000000002</v>
      </c>
      <c r="V749">
        <v>-3.847747E-2</v>
      </c>
      <c r="W749">
        <v>-2.752951E-2</v>
      </c>
      <c r="X749">
        <v>0.9988802</v>
      </c>
      <c r="Y749">
        <v>0.1251582</v>
      </c>
      <c r="Z749">
        <v>-3.9363480000000001E-3</v>
      </c>
      <c r="AA749">
        <v>0.99212900000000004</v>
      </c>
      <c r="AB749">
        <v>33</v>
      </c>
      <c r="AC749">
        <v>18.831799999999902</v>
      </c>
      <c r="AD749">
        <v>-1.109707</v>
      </c>
      <c r="AE749">
        <v>-2.5912000000000099</v>
      </c>
      <c r="AF749">
        <v>2.3974618635896801</v>
      </c>
      <c r="AG749">
        <v>-1.109707</v>
      </c>
      <c r="AH749">
        <v>18.792360657018499</v>
      </c>
      <c r="AI749">
        <v>93.352338495329406</v>
      </c>
      <c r="AJ749">
        <v>82.729683788116006</v>
      </c>
      <c r="AK749">
        <v>18.977146573620399</v>
      </c>
      <c r="AL749">
        <v>91.577524004213203</v>
      </c>
      <c r="AM749">
        <v>92.205977439939602</v>
      </c>
      <c r="AN749">
        <v>1.0000000217852401</v>
      </c>
    </row>
    <row r="750" spans="1:40" x14ac:dyDescent="0.25">
      <c r="A750" t="str">
        <f>"20190305135807623"</f>
        <v>20190305135807623</v>
      </c>
      <c r="B750" t="str">
        <f>"1551765487619792"</f>
        <v>1551765487619792</v>
      </c>
      <c r="C750" t="s">
        <v>40</v>
      </c>
      <c r="D750">
        <v>4.0297589999999897</v>
      </c>
      <c r="E750">
        <v>0.56153699999999995</v>
      </c>
      <c r="F750" t="s">
        <v>43</v>
      </c>
      <c r="G750">
        <v>-286.95940000000002</v>
      </c>
      <c r="H750">
        <v>-0.05</v>
      </c>
      <c r="I750">
        <v>365.44400000000002</v>
      </c>
      <c r="J750">
        <v>-305.43270000000001</v>
      </c>
      <c r="K750">
        <v>1.059693</v>
      </c>
      <c r="L750">
        <v>367.97120000000001</v>
      </c>
      <c r="M750">
        <v>0.99988089999999996</v>
      </c>
      <c r="N750">
        <v>-1.20015E-2</v>
      </c>
      <c r="O750">
        <v>-9.7019710000000002E-3</v>
      </c>
      <c r="P750">
        <v>0.99873469999999998</v>
      </c>
      <c r="Q750">
        <v>-4.0539039999999998E-2</v>
      </c>
      <c r="R750">
        <v>2.975887E-2</v>
      </c>
      <c r="S750">
        <v>3.0082089999999999</v>
      </c>
      <c r="T750">
        <v>-0.1788236</v>
      </c>
      <c r="U750">
        <v>-0.4075317</v>
      </c>
      <c r="V750">
        <v>-3.943605E-2</v>
      </c>
      <c r="W750">
        <v>-2.8570680000000001E-2</v>
      </c>
      <c r="X750">
        <v>0.99881359999999997</v>
      </c>
      <c r="Y750">
        <v>0.1243766</v>
      </c>
      <c r="Z750">
        <v>-3.9696810000000001E-3</v>
      </c>
      <c r="AA750">
        <v>0.99222710000000003</v>
      </c>
      <c r="AB750">
        <v>33</v>
      </c>
      <c r="AC750">
        <v>18.473299999999899</v>
      </c>
      <c r="AD750">
        <v>-1.109693</v>
      </c>
      <c r="AE750">
        <v>-2.5271999999999899</v>
      </c>
      <c r="AF750">
        <v>2.3395537135445101</v>
      </c>
      <c r="AG750">
        <v>-1.109693</v>
      </c>
      <c r="AH750">
        <v>18.431663734836</v>
      </c>
      <c r="AI750">
        <v>93.418020250133594</v>
      </c>
      <c r="AJ750">
        <v>82.766060779975106</v>
      </c>
      <c r="AK750">
        <v>18.6126612327974</v>
      </c>
      <c r="AL750">
        <v>91.6372020938486</v>
      </c>
      <c r="AM750">
        <v>92.261028686476706</v>
      </c>
      <c r="AN750">
        <v>1.00000004667011</v>
      </c>
    </row>
    <row r="751" spans="1:40" x14ac:dyDescent="0.25">
      <c r="A751" t="str">
        <f>"20190305135807637"</f>
        <v>20190305135807637</v>
      </c>
      <c r="B751" t="str">
        <f>"1551765487629553"</f>
        <v>1551765487629553</v>
      </c>
      <c r="C751" t="s">
        <v>40</v>
      </c>
      <c r="D751">
        <v>4.0358049999999999</v>
      </c>
      <c r="E751">
        <v>0.56160410000000005</v>
      </c>
      <c r="F751" t="s">
        <v>43</v>
      </c>
      <c r="G751">
        <v>-287.11860000000001</v>
      </c>
      <c r="H751">
        <v>-0.05</v>
      </c>
      <c r="I751">
        <v>365.50740000000002</v>
      </c>
      <c r="J751">
        <v>-305.21679999999998</v>
      </c>
      <c r="K751">
        <v>1.059674</v>
      </c>
      <c r="L751">
        <v>367.96929999999998</v>
      </c>
      <c r="M751">
        <v>0.99988279999999996</v>
      </c>
      <c r="N751">
        <v>-1.1982049999999999E-2</v>
      </c>
      <c r="O751">
        <v>-9.5500359999999996E-3</v>
      </c>
      <c r="P751">
        <v>0.99864850000000005</v>
      </c>
      <c r="Q751">
        <v>-4.1561279999999999E-2</v>
      </c>
      <c r="R751">
        <v>3.1211579999999999E-2</v>
      </c>
      <c r="S751">
        <v>3.0084840000000002</v>
      </c>
      <c r="T751">
        <v>-0.18229119999999999</v>
      </c>
      <c r="U751">
        <v>-0.40472409999999998</v>
      </c>
      <c r="V751">
        <v>-4.073595E-2</v>
      </c>
      <c r="W751">
        <v>-2.9613649999999998E-2</v>
      </c>
      <c r="X751">
        <v>0.99873100000000004</v>
      </c>
      <c r="Y751">
        <v>0.12359879999999999</v>
      </c>
      <c r="Z751">
        <v>-4.0074539999999997E-3</v>
      </c>
      <c r="AA751">
        <v>0.99232419999999999</v>
      </c>
      <c r="AB751">
        <v>33</v>
      </c>
      <c r="AC751">
        <v>18.098199999999899</v>
      </c>
      <c r="AD751">
        <v>-1.109674</v>
      </c>
      <c r="AE751">
        <v>-2.4618999999999498</v>
      </c>
      <c r="AF751">
        <v>2.28051922605166</v>
      </c>
      <c r="AG751">
        <v>-1.109674</v>
      </c>
      <c r="AH751">
        <v>18.054247222843301</v>
      </c>
      <c r="AI751">
        <v>93.489505592021203</v>
      </c>
      <c r="AJ751">
        <v>82.800820293011995</v>
      </c>
      <c r="AK751">
        <v>18.231510829062199</v>
      </c>
      <c r="AL751">
        <v>91.696985259521398</v>
      </c>
      <c r="AM751">
        <v>92.335668955102406</v>
      </c>
      <c r="AN751">
        <v>0.99999999812486196</v>
      </c>
    </row>
    <row r="752" spans="1:40" x14ac:dyDescent="0.25">
      <c r="A752" t="str">
        <f>"20190305135807652"</f>
        <v>20190305135807652</v>
      </c>
      <c r="B752" t="str">
        <f>"1551765487649073"</f>
        <v>1551765487649073</v>
      </c>
      <c r="C752" t="s">
        <v>40</v>
      </c>
      <c r="D752">
        <v>4.0103150000000003</v>
      </c>
      <c r="E752">
        <v>0.56173039999999996</v>
      </c>
      <c r="F752" t="s">
        <v>43</v>
      </c>
      <c r="G752">
        <v>-287.25259999999997</v>
      </c>
      <c r="H752">
        <v>-0.05</v>
      </c>
      <c r="I752">
        <v>365.57600000000002</v>
      </c>
      <c r="J752">
        <v>-304.99770000000001</v>
      </c>
      <c r="K752">
        <v>1.0596570000000001</v>
      </c>
      <c r="L752">
        <v>367.96730000000002</v>
      </c>
      <c r="M752">
        <v>0.9998842</v>
      </c>
      <c r="N752">
        <v>-1.1964610000000001E-2</v>
      </c>
      <c r="O752">
        <v>-9.4114279999999995E-3</v>
      </c>
      <c r="P752">
        <v>0.99852189999999996</v>
      </c>
      <c r="Q752">
        <v>-4.2471050000000003E-2</v>
      </c>
      <c r="R752">
        <v>3.3920480000000003E-2</v>
      </c>
      <c r="S752">
        <v>3.0088810000000001</v>
      </c>
      <c r="T752">
        <v>-0.18586250000000001</v>
      </c>
      <c r="U752">
        <v>-0.40084839999999999</v>
      </c>
      <c r="V752">
        <v>-4.3304830000000002E-2</v>
      </c>
      <c r="W752">
        <v>-3.0542659999999999E-2</v>
      </c>
      <c r="X752">
        <v>0.99859489999999995</v>
      </c>
      <c r="Y752">
        <v>0.1224566</v>
      </c>
      <c r="Z752">
        <v>-4.0325090000000001E-3</v>
      </c>
      <c r="AA752">
        <v>0.99246570000000001</v>
      </c>
      <c r="AB752">
        <v>33</v>
      </c>
      <c r="AC752">
        <v>17.745100000000001</v>
      </c>
      <c r="AD752">
        <v>-1.1096569999999999</v>
      </c>
      <c r="AE752">
        <v>-2.3913000000000499</v>
      </c>
      <c r="AF752">
        <v>2.2156658080503102</v>
      </c>
      <c r="AG752">
        <v>-1.1096569999999999</v>
      </c>
      <c r="AH752">
        <v>17.698846078975599</v>
      </c>
      <c r="AI752">
        <v>93.559839433590099</v>
      </c>
      <c r="AJ752">
        <v>82.864433258735005</v>
      </c>
      <c r="AK752">
        <v>17.871476328436898</v>
      </c>
      <c r="AL752">
        <v>91.750237759881699</v>
      </c>
      <c r="AM752">
        <v>92.483119412474693</v>
      </c>
      <c r="AN752">
        <v>0.99999996834360605</v>
      </c>
    </row>
    <row r="753" spans="1:40" x14ac:dyDescent="0.25">
      <c r="A753" t="str">
        <f>"20190305135807664"</f>
        <v>20190305135807664</v>
      </c>
      <c r="B753" t="str">
        <f>"1551765487659809"</f>
        <v>1551765487659809</v>
      </c>
      <c r="C753" t="s">
        <v>40</v>
      </c>
      <c r="D753">
        <v>4.044295</v>
      </c>
      <c r="E753">
        <v>0.56179000000000001</v>
      </c>
      <c r="F753" t="s">
        <v>43</v>
      </c>
      <c r="G753">
        <v>-287.17189999999999</v>
      </c>
      <c r="H753">
        <v>-0.05</v>
      </c>
      <c r="I753">
        <v>365.63510000000002</v>
      </c>
      <c r="J753">
        <v>-304.83240000000001</v>
      </c>
      <c r="K753">
        <v>1.0596429999999999</v>
      </c>
      <c r="L753">
        <v>367.96589999999998</v>
      </c>
      <c r="M753">
        <v>0.99988520000000003</v>
      </c>
      <c r="N753">
        <v>-1.1952310000000001E-2</v>
      </c>
      <c r="O753">
        <v>-9.3156390000000006E-3</v>
      </c>
      <c r="P753">
        <v>0.99849900000000003</v>
      </c>
      <c r="Q753">
        <v>-4.2093789999999999E-2</v>
      </c>
      <c r="R753">
        <v>3.504065E-2</v>
      </c>
      <c r="S753">
        <v>3.0098569999999998</v>
      </c>
      <c r="T753">
        <v>-0.18736340000000001</v>
      </c>
      <c r="U753">
        <v>-0.3937988</v>
      </c>
      <c r="V753">
        <v>-4.4330000000000001E-2</v>
      </c>
      <c r="W753">
        <v>-3.0177519999999999E-2</v>
      </c>
      <c r="X753">
        <v>0.99856100000000003</v>
      </c>
      <c r="Y753">
        <v>0.1202257</v>
      </c>
      <c r="Z753">
        <v>-3.97898E-3</v>
      </c>
      <c r="AA753">
        <v>0.99273860000000003</v>
      </c>
      <c r="AB753">
        <v>33</v>
      </c>
      <c r="AC753">
        <v>17.660499999999999</v>
      </c>
      <c r="AD753">
        <v>-1.1096429999999999</v>
      </c>
      <c r="AE753">
        <v>-2.3307999999999498</v>
      </c>
      <c r="AF753">
        <v>2.1577954460328201</v>
      </c>
      <c r="AG753">
        <v>-1.1096429999999999</v>
      </c>
      <c r="AH753">
        <v>17.613104556491798</v>
      </c>
      <c r="AI753">
        <v>93.578243876271998</v>
      </c>
      <c r="AJ753">
        <v>83.015453162934307</v>
      </c>
      <c r="AK753">
        <v>17.779449960341299</v>
      </c>
      <c r="AL753">
        <v>91.729307159411405</v>
      </c>
      <c r="AM753">
        <v>92.541913115473704</v>
      </c>
      <c r="AN753">
        <v>0.99999995116717399</v>
      </c>
    </row>
    <row r="754" spans="1:40" x14ac:dyDescent="0.25">
      <c r="A754" t="str">
        <f>"20190305135807675"</f>
        <v>20190305135807675</v>
      </c>
      <c r="B754" t="str">
        <f>"1551765487669569"</f>
        <v>1551765487669569</v>
      </c>
      <c r="C754" t="s">
        <v>40</v>
      </c>
      <c r="D754">
        <v>4.0255970000000003</v>
      </c>
      <c r="E754">
        <v>0.56193269999999995</v>
      </c>
      <c r="F754" t="s">
        <v>43</v>
      </c>
      <c r="G754">
        <v>-286.9076</v>
      </c>
      <c r="H754">
        <v>-0.05</v>
      </c>
      <c r="I754">
        <v>365.63920000000002</v>
      </c>
      <c r="J754">
        <v>-304.65410000000003</v>
      </c>
      <c r="K754">
        <v>1.059631</v>
      </c>
      <c r="L754">
        <v>367.96429999999998</v>
      </c>
      <c r="M754">
        <v>0.99988619999999995</v>
      </c>
      <c r="N754">
        <v>-1.193985E-2</v>
      </c>
      <c r="O754">
        <v>-9.2209570000000001E-3</v>
      </c>
      <c r="P754">
        <v>0.99850649999999996</v>
      </c>
      <c r="Q754">
        <v>-4.107011E-2</v>
      </c>
      <c r="R754">
        <v>3.6028499999999998E-2</v>
      </c>
      <c r="S754">
        <v>3.0104060000000001</v>
      </c>
      <c r="T754">
        <v>-0.18636059999999999</v>
      </c>
      <c r="U754">
        <v>-0.39074710000000001</v>
      </c>
      <c r="V754">
        <v>-4.5224599999999997E-2</v>
      </c>
      <c r="W754">
        <v>-2.9165429999999999E-2</v>
      </c>
      <c r="X754">
        <v>0.99855099999999997</v>
      </c>
      <c r="Y754">
        <v>0.1193114</v>
      </c>
      <c r="Z754">
        <v>-3.9319560000000003E-3</v>
      </c>
      <c r="AA754">
        <v>0.99284910000000004</v>
      </c>
      <c r="AB754">
        <v>33</v>
      </c>
      <c r="AC754">
        <v>17.746500000000001</v>
      </c>
      <c r="AD754">
        <v>-1.109631</v>
      </c>
      <c r="AE754">
        <v>-2.32509999999996</v>
      </c>
      <c r="AF754">
        <v>2.1530741656210699</v>
      </c>
      <c r="AG754">
        <v>-1.109631</v>
      </c>
      <c r="AH754">
        <v>17.6991578129856</v>
      </c>
      <c r="AI754">
        <v>93.561221382596997</v>
      </c>
      <c r="AJ754">
        <v>83.064139382751705</v>
      </c>
      <c r="AK754">
        <v>17.864131566012201</v>
      </c>
      <c r="AL754">
        <v>91.671293055078493</v>
      </c>
      <c r="AM754">
        <v>92.593166706812994</v>
      </c>
      <c r="AN754">
        <v>0.99999999317662203</v>
      </c>
    </row>
    <row r="755" spans="1:40" x14ac:dyDescent="0.25">
      <c r="A755" t="str">
        <f>"20190305135807687"</f>
        <v>20190305135807687</v>
      </c>
      <c r="B755" t="str">
        <f>"1551765487679329"</f>
        <v>1551765487679329</v>
      </c>
      <c r="C755" t="s">
        <v>40</v>
      </c>
      <c r="D755">
        <v>4.0378819999999997</v>
      </c>
      <c r="E755">
        <v>0.56201979999999996</v>
      </c>
      <c r="F755" t="s">
        <v>43</v>
      </c>
      <c r="G755">
        <v>-286.46100000000001</v>
      </c>
      <c r="H755">
        <v>-0.05</v>
      </c>
      <c r="I755">
        <v>365.61360000000002</v>
      </c>
      <c r="J755">
        <v>-304.49130000000002</v>
      </c>
      <c r="K755">
        <v>1.0596219999999901</v>
      </c>
      <c r="L755">
        <v>367.96289999999999</v>
      </c>
      <c r="M755">
        <v>0.99988699999999997</v>
      </c>
      <c r="N755">
        <v>-1.19296E-2</v>
      </c>
      <c r="O755">
        <v>-9.1473869999999999E-3</v>
      </c>
      <c r="P755">
        <v>0.9985231</v>
      </c>
      <c r="Q755">
        <v>-4.0146920000000003E-2</v>
      </c>
      <c r="R755">
        <v>3.660149E-2</v>
      </c>
      <c r="S755">
        <v>3.0109859999999999</v>
      </c>
      <c r="T755">
        <v>-0.1836449</v>
      </c>
      <c r="U755">
        <v>-0.3890381</v>
      </c>
      <c r="V755">
        <v>-4.5725269999999998E-2</v>
      </c>
      <c r="W755">
        <v>-2.8251289999999998E-2</v>
      </c>
      <c r="X755">
        <v>0.99855450000000001</v>
      </c>
      <c r="Y755">
        <v>0.11881360000000001</v>
      </c>
      <c r="Z755">
        <v>-3.8710519999999998E-3</v>
      </c>
      <c r="AA755">
        <v>0.99290900000000004</v>
      </c>
      <c r="AB755">
        <v>33</v>
      </c>
      <c r="AC755">
        <v>18.0303</v>
      </c>
      <c r="AD755">
        <v>-1.1096220000000001</v>
      </c>
      <c r="AE755">
        <v>-2.3492999999999702</v>
      </c>
      <c r="AF755">
        <v>2.1761553902460098</v>
      </c>
      <c r="AG755">
        <v>-1.1096220000000001</v>
      </c>
      <c r="AH755">
        <v>17.984060796255999</v>
      </c>
      <c r="AI755">
        <v>93.5051871280547</v>
      </c>
      <c r="AJ755">
        <v>83.100486992129007</v>
      </c>
      <c r="AK755">
        <v>18.1491971169199</v>
      </c>
      <c r="AL755">
        <v>91.618895060712106</v>
      </c>
      <c r="AM755">
        <v>92.621825976333994</v>
      </c>
      <c r="AN755">
        <v>1.0000000125867401</v>
      </c>
    </row>
    <row r="756" spans="1:40" x14ac:dyDescent="0.25">
      <c r="A756" t="str">
        <f>"20190305135807698"</f>
        <v>20190305135807698</v>
      </c>
      <c r="B756" t="str">
        <f>"1551765487689089"</f>
        <v>1551765487689089</v>
      </c>
      <c r="C756" t="s">
        <v>40</v>
      </c>
      <c r="D756">
        <v>4.0184610000000003</v>
      </c>
      <c r="E756">
        <v>0.56213869999999999</v>
      </c>
      <c r="F756" t="s">
        <v>43</v>
      </c>
      <c r="G756">
        <v>-286.02670000000001</v>
      </c>
      <c r="H756">
        <v>-0.05</v>
      </c>
      <c r="I756">
        <v>365.58440000000002</v>
      </c>
      <c r="J756">
        <v>-304.32479999999998</v>
      </c>
      <c r="K756">
        <v>1.0596129999999999</v>
      </c>
      <c r="L756">
        <v>367.96140000000003</v>
      </c>
      <c r="M756">
        <v>0.99988779999999999</v>
      </c>
      <c r="N756">
        <v>-1.191942E-2</v>
      </c>
      <c r="O756">
        <v>-9.0756129999999997E-3</v>
      </c>
      <c r="P756">
        <v>0.99857850000000004</v>
      </c>
      <c r="Q756">
        <v>-3.8503519999999999E-2</v>
      </c>
      <c r="R756">
        <v>3.6857349999999997E-2</v>
      </c>
      <c r="S756">
        <v>3.0114139999999998</v>
      </c>
      <c r="T756">
        <v>-0.18096960000000001</v>
      </c>
      <c r="U756">
        <v>-0.3879089</v>
      </c>
      <c r="V756">
        <v>-4.5911609999999999E-2</v>
      </c>
      <c r="W756">
        <v>-2.6616270000000001E-2</v>
      </c>
      <c r="X756">
        <v>0.9985908</v>
      </c>
      <c r="Y756">
        <v>0.1185079</v>
      </c>
      <c r="Z756">
        <v>-3.8180839999999998E-3</v>
      </c>
      <c r="AA756">
        <v>0.99294579999999999</v>
      </c>
      <c r="AB756">
        <v>33</v>
      </c>
      <c r="AC756">
        <v>18.298099999999899</v>
      </c>
      <c r="AD756">
        <v>-1.109613</v>
      </c>
      <c r="AE756">
        <v>-2.3769999999999998</v>
      </c>
      <c r="AF756">
        <v>2.2028576472376198</v>
      </c>
      <c r="AG756">
        <v>-1.109613</v>
      </c>
      <c r="AH756">
        <v>18.2529127056501</v>
      </c>
      <c r="AI756">
        <v>93.453787340681501</v>
      </c>
      <c r="AJ756">
        <v>83.118524171747794</v>
      </c>
      <c r="AK756">
        <v>18.418812259856601</v>
      </c>
      <c r="AL756">
        <v>91.525180138760604</v>
      </c>
      <c r="AM756">
        <v>92.632399903581103</v>
      </c>
      <c r="AN756">
        <v>0.99999994380307</v>
      </c>
    </row>
    <row r="757" spans="1:40" x14ac:dyDescent="0.25">
      <c r="A757" t="str">
        <f>"20190305135807709"</f>
        <v>20190305135807709</v>
      </c>
      <c r="B757" t="str">
        <f>"1551765487699825"</f>
        <v>1551765487699825</v>
      </c>
      <c r="C757" t="s">
        <v>40</v>
      </c>
      <c r="D757">
        <v>3.992785</v>
      </c>
      <c r="E757">
        <v>0.56233580000000005</v>
      </c>
      <c r="F757" t="s">
        <v>43</v>
      </c>
      <c r="G757">
        <v>-285.32190000000003</v>
      </c>
      <c r="H757">
        <v>-0.05</v>
      </c>
      <c r="I757">
        <v>365.51490000000001</v>
      </c>
      <c r="J757">
        <v>-304.16140000000001</v>
      </c>
      <c r="K757">
        <v>1.0596049999999999</v>
      </c>
      <c r="L757">
        <v>367.96</v>
      </c>
      <c r="M757">
        <v>0.99988849999999996</v>
      </c>
      <c r="N757">
        <v>-1.191058E-2</v>
      </c>
      <c r="O757">
        <v>-9.0201729999999994E-3</v>
      </c>
      <c r="P757">
        <v>0.99863880000000005</v>
      </c>
      <c r="Q757">
        <v>-3.6838429999999998E-2</v>
      </c>
      <c r="R757">
        <v>3.6929660000000003E-2</v>
      </c>
      <c r="S757">
        <v>3.0118100000000001</v>
      </c>
      <c r="T757">
        <v>-0.17586470000000001</v>
      </c>
      <c r="U757">
        <v>-0.3877563</v>
      </c>
      <c r="V757">
        <v>-4.5930239999999997E-2</v>
      </c>
      <c r="W757">
        <v>-2.4958109999999999E-2</v>
      </c>
      <c r="X757">
        <v>0.99863279999999999</v>
      </c>
      <c r="Y757">
        <v>0.118509199999999</v>
      </c>
      <c r="Z757">
        <v>-3.7351799999999998E-3</v>
      </c>
      <c r="AA757">
        <v>0.99294590000000005</v>
      </c>
      <c r="AB757">
        <v>33</v>
      </c>
      <c r="AC757">
        <v>18.839499999999902</v>
      </c>
      <c r="AD757">
        <v>-1.109605</v>
      </c>
      <c r="AE757">
        <v>-2.4450999999999601</v>
      </c>
      <c r="AF757">
        <v>2.2673180055050799</v>
      </c>
      <c r="AG757">
        <v>-1.109605</v>
      </c>
      <c r="AH757">
        <v>18.7966656787465</v>
      </c>
      <c r="AI757">
        <v>93.354107602840998</v>
      </c>
      <c r="AJ757">
        <v>83.122017190602705</v>
      </c>
      <c r="AK757">
        <v>18.9654052114021</v>
      </c>
      <c r="AL757">
        <v>91.430142894381106</v>
      </c>
      <c r="AM757">
        <v>92.633355973498197</v>
      </c>
      <c r="AN757">
        <v>0.99999998171853399</v>
      </c>
    </row>
    <row r="758" spans="1:40" x14ac:dyDescent="0.25">
      <c r="A758" t="str">
        <f>"20190305135807719"</f>
        <v>20190305135807719</v>
      </c>
      <c r="B758" t="str">
        <f>"1551765487709585"</f>
        <v>1551765487709585</v>
      </c>
      <c r="C758" t="s">
        <v>40</v>
      </c>
      <c r="D758">
        <v>3.995139</v>
      </c>
      <c r="E758">
        <v>0.56255359999999999</v>
      </c>
      <c r="F758" t="s">
        <v>43</v>
      </c>
      <c r="G758">
        <v>-284.56470000000002</v>
      </c>
      <c r="H758">
        <v>-0.05</v>
      </c>
      <c r="I758">
        <v>365.42759999999998</v>
      </c>
      <c r="J758">
        <v>-304.01339999999999</v>
      </c>
      <c r="K758">
        <v>1.0595950000000001</v>
      </c>
      <c r="L758">
        <v>367.95870000000002</v>
      </c>
      <c r="M758">
        <v>0.99988909999999998</v>
      </c>
      <c r="N758">
        <v>-1.190272E-2</v>
      </c>
      <c r="O758">
        <v>-8.9712790000000004E-3</v>
      </c>
      <c r="P758">
        <v>0.99866999999999995</v>
      </c>
      <c r="Q758">
        <v>-3.6049400000000002E-2</v>
      </c>
      <c r="R758">
        <v>3.6865830000000002E-2</v>
      </c>
      <c r="S758">
        <v>3.0122070000000001</v>
      </c>
      <c r="T758">
        <v>-0.17055680000000001</v>
      </c>
      <c r="U758">
        <v>-0.38925169999999998</v>
      </c>
      <c r="V758">
        <v>-4.5818730000000002E-2</v>
      </c>
      <c r="W758">
        <v>-2.4175430000000001E-2</v>
      </c>
      <c r="X758">
        <v>0.99865720000000002</v>
      </c>
      <c r="Y758">
        <v>0.1190373</v>
      </c>
      <c r="Z758">
        <v>-3.6664269999999999E-3</v>
      </c>
      <c r="AA758">
        <v>0.99288299999999996</v>
      </c>
      <c r="AB758">
        <v>33</v>
      </c>
      <c r="AC758">
        <v>19.448699999999899</v>
      </c>
      <c r="AD758">
        <v>-1.1095950000000001</v>
      </c>
      <c r="AE758">
        <v>-2.5311000000000301</v>
      </c>
      <c r="AF758">
        <v>2.3489875281003698</v>
      </c>
      <c r="AG758">
        <v>-1.1095950000000001</v>
      </c>
      <c r="AH758">
        <v>19.408503972920101</v>
      </c>
      <c r="AI758">
        <v>93.248416358250097</v>
      </c>
      <c r="AJ758">
        <v>83.099125766782294</v>
      </c>
      <c r="AK758">
        <v>19.581597737111501</v>
      </c>
      <c r="AL758">
        <v>91.385285060596004</v>
      </c>
      <c r="AM758">
        <v>92.626907552102395</v>
      </c>
      <c r="AN758">
        <v>1.0000000052731599</v>
      </c>
    </row>
    <row r="759" spans="1:40" x14ac:dyDescent="0.25">
      <c r="A759" t="str">
        <f>"20190305135807730"</f>
        <v>20190305135807730</v>
      </c>
      <c r="B759" t="str">
        <f>"1551765487719345"</f>
        <v>1551765487719345</v>
      </c>
      <c r="C759" t="s">
        <v>40</v>
      </c>
      <c r="D759">
        <v>3.9998330000000002</v>
      </c>
      <c r="E759">
        <v>0.56274150000000001</v>
      </c>
      <c r="F759" t="s">
        <v>43</v>
      </c>
      <c r="G759">
        <v>-284.10300000000001</v>
      </c>
      <c r="H759">
        <v>-0.05</v>
      </c>
      <c r="I759">
        <v>365.3734</v>
      </c>
      <c r="J759">
        <v>-303.84899999999999</v>
      </c>
      <c r="K759">
        <v>1.059582</v>
      </c>
      <c r="L759">
        <v>367.95729999999998</v>
      </c>
      <c r="M759">
        <v>0.99988949999999999</v>
      </c>
      <c r="N759">
        <v>-1.189491E-2</v>
      </c>
      <c r="O759">
        <v>-8.9275109999999904E-3</v>
      </c>
      <c r="P759">
        <v>0.99868210000000002</v>
      </c>
      <c r="Q759">
        <v>-3.5526729999999999E-2</v>
      </c>
      <c r="R759">
        <v>3.7044680000000003E-2</v>
      </c>
      <c r="S759">
        <v>3.0123899999999999</v>
      </c>
      <c r="T759">
        <v>-0.16787869999999999</v>
      </c>
      <c r="U759">
        <v>-0.39114379999999999</v>
      </c>
      <c r="V759">
        <v>-4.5954540000000002E-2</v>
      </c>
      <c r="W759">
        <v>-2.3659340000000001E-2</v>
      </c>
      <c r="X759">
        <v>0.99866330000000003</v>
      </c>
      <c r="Y759">
        <v>0.1196914</v>
      </c>
      <c r="Z759">
        <v>-3.644918E-3</v>
      </c>
      <c r="AA759">
        <v>0.99280449999999998</v>
      </c>
      <c r="AB759">
        <v>33</v>
      </c>
      <c r="AC759">
        <v>19.745999999999899</v>
      </c>
      <c r="AD759">
        <v>-1.1095820000000001</v>
      </c>
      <c r="AE759">
        <v>-2.5838999999999701</v>
      </c>
      <c r="AF759">
        <v>2.4000510518653999</v>
      </c>
      <c r="AG759">
        <v>-1.1095820000000001</v>
      </c>
      <c r="AH759">
        <v>19.7071023959607</v>
      </c>
      <c r="AI759">
        <v>93.198973304093997</v>
      </c>
      <c r="AJ759">
        <v>83.056364991350193</v>
      </c>
      <c r="AK759">
        <v>19.883694377835401</v>
      </c>
      <c r="AL759">
        <v>91.355706847267498</v>
      </c>
      <c r="AM759">
        <v>92.634666868556394</v>
      </c>
      <c r="AN759">
        <v>0.99999998544136803</v>
      </c>
    </row>
    <row r="760" spans="1:40" x14ac:dyDescent="0.25">
      <c r="A760" t="str">
        <f>"20190305135807742"</f>
        <v>20190305135807742</v>
      </c>
      <c r="B760" t="str">
        <f>"1551765487739841"</f>
        <v>1551765487739841</v>
      </c>
      <c r="C760" t="s">
        <v>40</v>
      </c>
      <c r="D760">
        <v>3.9947010000000001</v>
      </c>
      <c r="E760">
        <v>0.56306709999999904</v>
      </c>
      <c r="F760" t="s">
        <v>43</v>
      </c>
      <c r="G760">
        <v>-283.73579999999998</v>
      </c>
      <c r="H760">
        <v>-0.05</v>
      </c>
      <c r="I760">
        <v>365.34010000000001</v>
      </c>
      <c r="J760">
        <v>-303.6746</v>
      </c>
      <c r="K760">
        <v>1.059566</v>
      </c>
      <c r="L760">
        <v>367.95580000000001</v>
      </c>
      <c r="M760">
        <v>0.9998899</v>
      </c>
      <c r="N760">
        <v>-1.188701E-2</v>
      </c>
      <c r="O760">
        <v>-8.8849319999999999E-3</v>
      </c>
      <c r="P760">
        <v>0.99866869999999996</v>
      </c>
      <c r="Q760">
        <v>-3.5773659999999999E-2</v>
      </c>
      <c r="R760">
        <v>3.7163059999999998E-2</v>
      </c>
      <c r="S760">
        <v>3.0125730000000002</v>
      </c>
      <c r="T760">
        <v>-0.166193799999999</v>
      </c>
      <c r="U760">
        <v>-0.39199830000000002</v>
      </c>
      <c r="V760">
        <v>-4.6030460000000002E-2</v>
      </c>
      <c r="W760">
        <v>-2.3913179999999999E-2</v>
      </c>
      <c r="X760">
        <v>0.99865380000000004</v>
      </c>
      <c r="Y760">
        <v>0.1200061</v>
      </c>
      <c r="Z760">
        <v>-3.6282089999999999E-3</v>
      </c>
      <c r="AA760">
        <v>0.9927665</v>
      </c>
      <c r="AB760">
        <v>33</v>
      </c>
      <c r="AC760">
        <v>19.938800000000001</v>
      </c>
      <c r="AD760">
        <v>-1.1095660000000001</v>
      </c>
      <c r="AE760">
        <v>-2.6156999999999999</v>
      </c>
      <c r="AF760">
        <v>2.4310283903299101</v>
      </c>
      <c r="AG760">
        <v>-1.1095660000000001</v>
      </c>
      <c r="AH760">
        <v>19.900669790822398</v>
      </c>
      <c r="AI760">
        <v>93.167734672344594</v>
      </c>
      <c r="AJ760">
        <v>83.035362067007298</v>
      </c>
      <c r="AK760">
        <v>20.0792851931113</v>
      </c>
      <c r="AL760">
        <v>91.370254866214793</v>
      </c>
      <c r="AM760">
        <v>92.639038436532303</v>
      </c>
      <c r="AN760">
        <v>1.0000000278399801</v>
      </c>
    </row>
    <row r="761" spans="1:40" x14ac:dyDescent="0.25">
      <c r="A761" t="str">
        <f>"20190305135807754"</f>
        <v>20190305135807754</v>
      </c>
      <c r="B761" t="str">
        <f>"1551765487749602"</f>
        <v>1551765487749602</v>
      </c>
      <c r="C761" t="s">
        <v>40</v>
      </c>
      <c r="D761">
        <v>3.9841199999999999</v>
      </c>
      <c r="E761">
        <v>0.56324919999999901</v>
      </c>
      <c r="F761" t="s">
        <v>43</v>
      </c>
      <c r="G761">
        <v>-283.60989999999998</v>
      </c>
      <c r="H761">
        <v>-0.05</v>
      </c>
      <c r="I761">
        <v>365.33100000000002</v>
      </c>
      <c r="J761">
        <v>-303.50080000000003</v>
      </c>
      <c r="K761">
        <v>1.059552</v>
      </c>
      <c r="L761">
        <v>367.95429999999999</v>
      </c>
      <c r="M761">
        <v>0.99989019999999995</v>
      </c>
      <c r="N761">
        <v>-1.187978E-2</v>
      </c>
      <c r="O761">
        <v>-8.849015E-3</v>
      </c>
      <c r="P761">
        <v>0.99862569999999995</v>
      </c>
      <c r="Q761">
        <v>-3.6783879999999998E-2</v>
      </c>
      <c r="R761">
        <v>3.7331799999999998E-2</v>
      </c>
      <c r="S761">
        <v>3.0126949999999999</v>
      </c>
      <c r="T761">
        <v>-0.1666</v>
      </c>
      <c r="U761">
        <v>-0.39410400000000001</v>
      </c>
      <c r="V761">
        <v>-4.6163599999999999E-2</v>
      </c>
      <c r="W761">
        <v>-2.493012E-2</v>
      </c>
      <c r="X761">
        <v>0.99862280000000003</v>
      </c>
      <c r="Y761">
        <v>0.1207167</v>
      </c>
      <c r="Z761">
        <v>-3.6596889999999998E-3</v>
      </c>
      <c r="AA761">
        <v>0.99268029999999996</v>
      </c>
      <c r="AB761">
        <v>33</v>
      </c>
      <c r="AC761">
        <v>19.890899999999998</v>
      </c>
      <c r="AD761">
        <v>-1.1095520000000001</v>
      </c>
      <c r="AE761">
        <v>-2.6233000000000199</v>
      </c>
      <c r="AF761">
        <v>2.4397083078993198</v>
      </c>
      <c r="AG761">
        <v>-1.1095520000000001</v>
      </c>
      <c r="AH761">
        <v>19.852618659198001</v>
      </c>
      <c r="AI761">
        <v>93.175065847623301</v>
      </c>
      <c r="AJ761">
        <v>82.993991720757293</v>
      </c>
      <c r="AK761">
        <v>20.032716987365301</v>
      </c>
      <c r="AL761">
        <v>91.428538599105394</v>
      </c>
      <c r="AM761">
        <v>92.646742881737595</v>
      </c>
      <c r="AN761">
        <v>1.0000000427639999</v>
      </c>
    </row>
    <row r="762" spans="1:40" x14ac:dyDescent="0.25">
      <c r="A762" t="str">
        <f>"20190305135807765"</f>
        <v>20190305135807765</v>
      </c>
      <c r="B762" t="str">
        <f>"1551765487759361"</f>
        <v>1551765487759361</v>
      </c>
      <c r="C762" t="s">
        <v>40</v>
      </c>
      <c r="D762">
        <v>4.0054589999999903</v>
      </c>
      <c r="E762">
        <v>0.56337119999999996</v>
      </c>
      <c r="F762" t="s">
        <v>43</v>
      </c>
      <c r="G762">
        <v>-283.69819999999999</v>
      </c>
      <c r="H762">
        <v>-0.05</v>
      </c>
      <c r="I762">
        <v>365.35579999999999</v>
      </c>
      <c r="J762">
        <v>-303.34440000000001</v>
      </c>
      <c r="K762">
        <v>1.059536</v>
      </c>
      <c r="L762">
        <v>367.9529</v>
      </c>
      <c r="M762">
        <v>0.99989070000000002</v>
      </c>
      <c r="N762">
        <v>-1.187379E-2</v>
      </c>
      <c r="O762">
        <v>-8.8204670000000002E-3</v>
      </c>
      <c r="P762">
        <v>0.99859399999999998</v>
      </c>
      <c r="Q762">
        <v>-3.7675630000000002E-2</v>
      </c>
      <c r="R762">
        <v>3.7296780000000002E-2</v>
      </c>
      <c r="S762">
        <v>3.0127259999999998</v>
      </c>
      <c r="T762">
        <v>-0.1688056</v>
      </c>
      <c r="U762">
        <v>-0.39532469999999997</v>
      </c>
      <c r="V762">
        <v>-4.6100170000000003E-2</v>
      </c>
      <c r="W762">
        <v>-2.5827369999999999E-2</v>
      </c>
      <c r="X762">
        <v>0.99860289999999996</v>
      </c>
      <c r="Y762">
        <v>0.1211333</v>
      </c>
      <c r="Z762">
        <v>-3.7120170000000002E-3</v>
      </c>
      <c r="AA762">
        <v>0.99262930000000005</v>
      </c>
      <c r="AB762">
        <v>33</v>
      </c>
      <c r="AC762">
        <v>19.6462</v>
      </c>
      <c r="AD762">
        <v>-1.1095360000000001</v>
      </c>
      <c r="AE762">
        <v>-2.59710000000001</v>
      </c>
      <c r="AF762">
        <v>2.4161241701263099</v>
      </c>
      <c r="AG762">
        <v>-1.1095360000000001</v>
      </c>
      <c r="AH762">
        <v>19.606882353845599</v>
      </c>
      <c r="AI762">
        <v>93.214599070275</v>
      </c>
      <c r="AJ762">
        <v>82.974950575474395</v>
      </c>
      <c r="AK762">
        <v>19.786322593607601</v>
      </c>
      <c r="AL762">
        <v>91.479963841111996</v>
      </c>
      <c r="AM762">
        <v>92.643163945012702</v>
      </c>
      <c r="AN762">
        <v>1.0000000153017701</v>
      </c>
    </row>
    <row r="763" spans="1:40" x14ac:dyDescent="0.25">
      <c r="A763" t="str">
        <f>"20190305135807775"</f>
        <v>20190305135807775</v>
      </c>
      <c r="B763" t="str">
        <f>"1551765487769122"</f>
        <v>1551765487769122</v>
      </c>
      <c r="C763" t="s">
        <v>40</v>
      </c>
      <c r="D763">
        <v>3.9701330000000001</v>
      </c>
      <c r="E763">
        <v>0.56355540000000004</v>
      </c>
      <c r="F763" t="s">
        <v>43</v>
      </c>
      <c r="G763">
        <v>-283.88900000000001</v>
      </c>
      <c r="H763">
        <v>-0.05</v>
      </c>
      <c r="I763">
        <v>365.3929</v>
      </c>
      <c r="J763">
        <v>-303.1748</v>
      </c>
      <c r="K763">
        <v>1.05952</v>
      </c>
      <c r="L763">
        <v>367.95139999999998</v>
      </c>
      <c r="M763">
        <v>0.99989099999999997</v>
      </c>
      <c r="N763">
        <v>-1.1867569999999999E-2</v>
      </c>
      <c r="O763">
        <v>-8.7913209999999995E-3</v>
      </c>
      <c r="P763">
        <v>0.9985522</v>
      </c>
      <c r="Q763">
        <v>-3.8862939999999999E-2</v>
      </c>
      <c r="R763">
        <v>3.719389E-2</v>
      </c>
      <c r="S763">
        <v>3.012543</v>
      </c>
      <c r="T763">
        <v>-0.17180490000000001</v>
      </c>
      <c r="U763">
        <v>-0.39639279999999999</v>
      </c>
      <c r="V763">
        <v>-4.5967769999999998E-2</v>
      </c>
      <c r="W763">
        <v>-2.7020490000000001E-2</v>
      </c>
      <c r="X763">
        <v>0.99857739999999995</v>
      </c>
      <c r="Y763">
        <v>0.121508199999999</v>
      </c>
      <c r="Z763">
        <v>-3.7770849999999999E-3</v>
      </c>
      <c r="AA763">
        <v>0.9925832</v>
      </c>
      <c r="AB763">
        <v>33</v>
      </c>
      <c r="AC763">
        <v>19.285799999999899</v>
      </c>
      <c r="AD763">
        <v>-1.1095200000000001</v>
      </c>
      <c r="AE763">
        <v>-2.55849999999998</v>
      </c>
      <c r="AF763">
        <v>2.38109699376324</v>
      </c>
      <c r="AG763">
        <v>-1.1095200000000001</v>
      </c>
      <c r="AH763">
        <v>19.244954447823201</v>
      </c>
      <c r="AI763">
        <v>93.274678857999405</v>
      </c>
      <c r="AJ763">
        <v>82.946879144139203</v>
      </c>
      <c r="AK763">
        <v>19.423411884190099</v>
      </c>
      <c r="AL763">
        <v>91.548348512248495</v>
      </c>
      <c r="AM763">
        <v>92.635650687806603</v>
      </c>
      <c r="AN763">
        <v>0.99999998327468598</v>
      </c>
    </row>
    <row r="764" spans="1:40" x14ac:dyDescent="0.25">
      <c r="A764" t="str">
        <f>"20190305135807787"</f>
        <v>20190305135807787</v>
      </c>
      <c r="B764" t="str">
        <f>"1551765487779857"</f>
        <v>1551765487779857</v>
      </c>
      <c r="C764" t="s">
        <v>40</v>
      </c>
      <c r="D764">
        <v>4.0563459999999996</v>
      </c>
      <c r="E764">
        <v>0.56369349999999996</v>
      </c>
      <c r="F764" t="s">
        <v>43</v>
      </c>
      <c r="G764">
        <v>-283.96249999999998</v>
      </c>
      <c r="H764">
        <v>-0.05</v>
      </c>
      <c r="I764">
        <v>365.4119</v>
      </c>
      <c r="J764">
        <v>-303.01479999999998</v>
      </c>
      <c r="K764">
        <v>1.059507</v>
      </c>
      <c r="L764">
        <v>367.95</v>
      </c>
      <c r="M764">
        <v>0.99989119999999998</v>
      </c>
      <c r="N764">
        <v>-1.1862340000000001E-2</v>
      </c>
      <c r="O764">
        <v>-8.7670400000000002E-3</v>
      </c>
      <c r="P764">
        <v>0.99854109999999996</v>
      </c>
      <c r="Q764">
        <v>-3.9876130000000003E-2</v>
      </c>
      <c r="R764">
        <v>3.6407960000000003E-2</v>
      </c>
      <c r="S764">
        <v>3.0123899999999999</v>
      </c>
      <c r="T764">
        <v>-0.17396710000000001</v>
      </c>
      <c r="U764">
        <v>-0.39819339999999998</v>
      </c>
      <c r="V764">
        <v>-4.515798E-2</v>
      </c>
      <c r="W764">
        <v>-2.8038250000000001E-2</v>
      </c>
      <c r="X764">
        <v>0.99858630000000004</v>
      </c>
      <c r="Y764">
        <v>0.1221156</v>
      </c>
      <c r="Z764">
        <v>-3.8360159999999998E-3</v>
      </c>
      <c r="AA764">
        <v>0.99250850000000002</v>
      </c>
      <c r="AB764">
        <v>33</v>
      </c>
      <c r="AC764">
        <v>19.052299999999999</v>
      </c>
      <c r="AD764">
        <v>-1.109507</v>
      </c>
      <c r="AE764">
        <v>-2.53809999999998</v>
      </c>
      <c r="AF764">
        <v>2.3630842453851701</v>
      </c>
      <c r="AG764">
        <v>-1.109507</v>
      </c>
      <c r="AH764">
        <v>19.010474992789099</v>
      </c>
      <c r="AI764">
        <v>93.314707487537206</v>
      </c>
      <c r="AJ764">
        <v>82.914233076905901</v>
      </c>
      <c r="AK764">
        <v>19.188885647303699</v>
      </c>
      <c r="AL764">
        <v>91.606683962773801</v>
      </c>
      <c r="AM764">
        <v>92.589260527460297</v>
      </c>
      <c r="AN764">
        <v>0.99999999258421601</v>
      </c>
    </row>
    <row r="765" spans="1:40" x14ac:dyDescent="0.25">
      <c r="A765" t="str">
        <f>"20190305135807799"</f>
        <v>20190305135807799</v>
      </c>
      <c r="B765" t="str">
        <f>"1551765487789617"</f>
        <v>1551765487789617</v>
      </c>
      <c r="C765" t="s">
        <v>40</v>
      </c>
      <c r="D765">
        <v>4.1285059999999998</v>
      </c>
      <c r="E765">
        <v>0.56369349999999996</v>
      </c>
      <c r="F765" t="s">
        <v>43</v>
      </c>
      <c r="G765">
        <v>-284.02910000000003</v>
      </c>
      <c r="H765">
        <v>-0.05</v>
      </c>
      <c r="I765">
        <v>365.41680000000002</v>
      </c>
      <c r="J765">
        <v>-302.846</v>
      </c>
      <c r="K765">
        <v>1.0594920000000001</v>
      </c>
      <c r="L765">
        <v>367.9486</v>
      </c>
      <c r="M765">
        <v>0.99989159999999999</v>
      </c>
      <c r="N765">
        <v>-1.185696E-2</v>
      </c>
      <c r="O765">
        <v>-8.7422790000000004E-3</v>
      </c>
      <c r="P765">
        <v>0.99853550000000002</v>
      </c>
      <c r="Q765">
        <v>-4.0449060000000002E-2</v>
      </c>
      <c r="R765">
        <v>3.5932440000000003E-2</v>
      </c>
      <c r="S765">
        <v>3.0119929999999999</v>
      </c>
      <c r="T765">
        <v>-0.17601729999999999</v>
      </c>
      <c r="U765">
        <v>-0.40188600000000002</v>
      </c>
      <c r="V765">
        <v>-4.4657750000000003E-2</v>
      </c>
      <c r="W765">
        <v>-2.8615950000000001E-2</v>
      </c>
      <c r="X765">
        <v>0.99859240000000005</v>
      </c>
      <c r="Y765">
        <v>0.1233453</v>
      </c>
      <c r="Z765">
        <v>-3.915422E-3</v>
      </c>
      <c r="AA765">
        <v>0.99235609999999996</v>
      </c>
      <c r="AB765">
        <v>33</v>
      </c>
      <c r="AC765">
        <v>18.816899999999901</v>
      </c>
      <c r="AD765">
        <v>-1.1094919999999999</v>
      </c>
      <c r="AE765">
        <v>-2.5317999999999699</v>
      </c>
      <c r="AF765">
        <v>2.3591332240518601</v>
      </c>
      <c r="AG765">
        <v>-1.1094919999999999</v>
      </c>
      <c r="AH765">
        <v>18.774206655485798</v>
      </c>
      <c r="AI765">
        <v>93.355724284699093</v>
      </c>
      <c r="AJ765">
        <v>82.837854139074196</v>
      </c>
      <c r="AK765">
        <v>18.9543482507253</v>
      </c>
      <c r="AL765">
        <v>91.639797036954207</v>
      </c>
      <c r="AM765">
        <v>92.560601193713495</v>
      </c>
      <c r="AN765">
        <v>0.99999998428361203</v>
      </c>
    </row>
    <row r="766" spans="1:40" x14ac:dyDescent="0.25">
      <c r="A766" t="str">
        <f>"20190305135807812"</f>
        <v>20190305135807812</v>
      </c>
      <c r="B766" t="str">
        <f>"1551765487799378"</f>
        <v>1551765487799378</v>
      </c>
      <c r="C766" t="s">
        <v>40</v>
      </c>
      <c r="D766">
        <v>4.0712320000000002</v>
      </c>
      <c r="E766">
        <v>0.56319330000000001</v>
      </c>
      <c r="F766" t="s">
        <v>43</v>
      </c>
      <c r="G766">
        <v>-284.0136</v>
      </c>
      <c r="H766">
        <v>-0.05</v>
      </c>
      <c r="I766">
        <v>365.42739999999998</v>
      </c>
      <c r="J766">
        <v>-302.6574</v>
      </c>
      <c r="K766">
        <v>1.05948</v>
      </c>
      <c r="L766">
        <v>367.947</v>
      </c>
      <c r="M766">
        <v>0.99989189999999994</v>
      </c>
      <c r="N766">
        <v>-1.185169E-2</v>
      </c>
      <c r="O766">
        <v>-8.7160759999999997E-3</v>
      </c>
      <c r="P766">
        <v>0.99852450000000004</v>
      </c>
      <c r="Q766">
        <v>-4.109579E-2</v>
      </c>
      <c r="R766">
        <v>3.5502039999999999E-2</v>
      </c>
      <c r="S766">
        <v>3.0117189999999998</v>
      </c>
      <c r="T766">
        <v>-0.1774328</v>
      </c>
      <c r="U766">
        <v>-0.40319820000000001</v>
      </c>
      <c r="V766">
        <v>-4.4201690000000002E-2</v>
      </c>
      <c r="W766">
        <v>-2.926753E-2</v>
      </c>
      <c r="X766">
        <v>0.99859379999999998</v>
      </c>
      <c r="Y766">
        <v>0.1238035</v>
      </c>
      <c r="Z766">
        <v>-3.9573530000000003E-3</v>
      </c>
      <c r="AA766">
        <v>0.99229880000000004</v>
      </c>
      <c r="AB766">
        <v>33</v>
      </c>
      <c r="AC766">
        <v>18.643799999999999</v>
      </c>
      <c r="AD766">
        <v>-1.10948</v>
      </c>
      <c r="AE766">
        <v>-2.5195999999999601</v>
      </c>
      <c r="AF766">
        <v>2.3488232721772602</v>
      </c>
      <c r="AG766">
        <v>-1.10948</v>
      </c>
      <c r="AH766">
        <v>18.6003651550214</v>
      </c>
      <c r="AI766">
        <v>93.386718275683506</v>
      </c>
      <c r="AJ766">
        <v>82.802878257677705</v>
      </c>
      <c r="AK766">
        <v>18.780881250209099</v>
      </c>
      <c r="AL766">
        <v>91.677145478761304</v>
      </c>
      <c r="AM766">
        <v>92.534482196772302</v>
      </c>
      <c r="AN766">
        <v>0.99999997755479797</v>
      </c>
    </row>
    <row r="767" spans="1:40" x14ac:dyDescent="0.25">
      <c r="A767" t="str">
        <f>"20190305135807825"</f>
        <v>20190305135807825</v>
      </c>
      <c r="B767" t="str">
        <f>"1551765487819873"</f>
        <v>1551765487819873</v>
      </c>
      <c r="C767" t="s">
        <v>40</v>
      </c>
      <c r="D767">
        <v>3.9717120000000001</v>
      </c>
      <c r="E767">
        <v>0.56050290000000003</v>
      </c>
      <c r="F767" t="s">
        <v>43</v>
      </c>
      <c r="G767">
        <v>-283.64350000000002</v>
      </c>
      <c r="H767">
        <v>-0.05</v>
      </c>
      <c r="I767">
        <v>365.4178</v>
      </c>
      <c r="J767">
        <v>-302.46980000000002</v>
      </c>
      <c r="K767">
        <v>1.0594669999999999</v>
      </c>
      <c r="L767">
        <v>367.94529999999997</v>
      </c>
      <c r="M767">
        <v>0.99989209999999995</v>
      </c>
      <c r="N767">
        <v>-1.1846829999999999E-2</v>
      </c>
      <c r="O767">
        <v>-8.6902239999999999E-3</v>
      </c>
      <c r="P767">
        <v>0.99849140000000003</v>
      </c>
      <c r="Q767">
        <v>-4.2132559999999999E-2</v>
      </c>
      <c r="R767">
        <v>3.5212430000000003E-2</v>
      </c>
      <c r="S767">
        <v>3.0114139999999998</v>
      </c>
      <c r="T767">
        <v>-0.17571909999999999</v>
      </c>
      <c r="U767">
        <v>-0.40057369999999998</v>
      </c>
      <c r="V767">
        <v>-4.3886050000000003E-2</v>
      </c>
      <c r="W767">
        <v>-3.0309059999999999E-2</v>
      </c>
      <c r="X767">
        <v>0.99857669999999998</v>
      </c>
      <c r="Y767">
        <v>0.12299839999999999</v>
      </c>
      <c r="Z767">
        <v>-3.900429E-3</v>
      </c>
      <c r="AA767">
        <v>0.99239920000000004</v>
      </c>
      <c r="AB767">
        <v>33</v>
      </c>
      <c r="AC767">
        <v>18.8263</v>
      </c>
      <c r="AD767">
        <v>-1.109467</v>
      </c>
      <c r="AE767">
        <v>-2.5274999999999701</v>
      </c>
      <c r="AF767">
        <v>2.3557517446051901</v>
      </c>
      <c r="AG767">
        <v>-1.109467</v>
      </c>
      <c r="AH767">
        <v>18.783475935996801</v>
      </c>
      <c r="AI767">
        <v>93.354096777397999</v>
      </c>
      <c r="AJ767">
        <v>82.851506512503093</v>
      </c>
      <c r="AK767">
        <v>18.9631076446998</v>
      </c>
      <c r="AL767">
        <v>91.736847167205198</v>
      </c>
      <c r="AM767">
        <v>92.516450088976896</v>
      </c>
      <c r="AN767">
        <v>1.0000000251427801</v>
      </c>
    </row>
    <row r="768" spans="1:40" x14ac:dyDescent="0.25">
      <c r="A768" t="str">
        <f>"20190305135807838"</f>
        <v>20190305135807838</v>
      </c>
      <c r="B768" t="str">
        <f>"1551765487829633"</f>
        <v>1551765487829633</v>
      </c>
      <c r="C768" t="s">
        <v>40</v>
      </c>
      <c r="D768">
        <v>4.0006250000000003</v>
      </c>
      <c r="E768">
        <v>0.55916880000000002</v>
      </c>
      <c r="F768" t="s">
        <v>43</v>
      </c>
      <c r="G768">
        <v>-283.66860000000003</v>
      </c>
      <c r="H768">
        <v>-0.05</v>
      </c>
      <c r="I768">
        <v>365.57440000000003</v>
      </c>
      <c r="J768">
        <v>-302.26339999999999</v>
      </c>
      <c r="K768">
        <v>1.059453</v>
      </c>
      <c r="L768">
        <v>367.9436</v>
      </c>
      <c r="M768">
        <v>0.99989240000000001</v>
      </c>
      <c r="N768">
        <v>-1.1841920000000001E-2</v>
      </c>
      <c r="O768">
        <v>-8.6619839999999993E-3</v>
      </c>
      <c r="P768">
        <v>0.99843309999999996</v>
      </c>
      <c r="Q768">
        <v>-4.3384079999999998E-2</v>
      </c>
      <c r="R768">
        <v>3.534967E-2</v>
      </c>
      <c r="S768">
        <v>3.010437</v>
      </c>
      <c r="T768">
        <v>-0.17764720000000001</v>
      </c>
      <c r="U768">
        <v>-0.3796387</v>
      </c>
      <c r="V768">
        <v>-4.3994329999999998E-2</v>
      </c>
      <c r="W768">
        <v>-3.1565790000000003E-2</v>
      </c>
      <c r="X768">
        <v>0.998533</v>
      </c>
      <c r="Y768">
        <v>0.11628719999999999</v>
      </c>
      <c r="Z768">
        <v>-3.700091E-3</v>
      </c>
      <c r="AA768">
        <v>0.9932088</v>
      </c>
      <c r="AB768">
        <v>33</v>
      </c>
      <c r="AC768">
        <v>18.5947999999999</v>
      </c>
      <c r="AD768">
        <v>-1.109453</v>
      </c>
      <c r="AE768">
        <v>-2.36919999999997</v>
      </c>
      <c r="AF768">
        <v>2.2003242028435501</v>
      </c>
      <c r="AG768">
        <v>-1.109453</v>
      </c>
      <c r="AH768">
        <v>18.5496461535291</v>
      </c>
      <c r="AI768">
        <v>93.399006509316806</v>
      </c>
      <c r="AJ768">
        <v>83.235291093618301</v>
      </c>
      <c r="AK768">
        <v>18.712607647732199</v>
      </c>
      <c r="AL768">
        <v>91.808886977130499</v>
      </c>
      <c r="AM768">
        <v>92.522761171537795</v>
      </c>
      <c r="AN768">
        <v>1.0000000261297299</v>
      </c>
    </row>
    <row r="769" spans="1:40" x14ac:dyDescent="0.25">
      <c r="A769" t="str">
        <f>"20190305135807850"</f>
        <v>20190305135807850</v>
      </c>
      <c r="B769" t="str">
        <f>"1551765487839393"</f>
        <v>1551765487839393</v>
      </c>
      <c r="C769" t="s">
        <v>40</v>
      </c>
      <c r="D769">
        <v>4.0562860000000001</v>
      </c>
      <c r="E769">
        <v>0.55782569999999998</v>
      </c>
      <c r="F769" t="s">
        <v>41</v>
      </c>
      <c r="G769">
        <v>-301.23700000000002</v>
      </c>
      <c r="H769">
        <v>0.99819080000000004</v>
      </c>
      <c r="I769">
        <v>367.8177</v>
      </c>
      <c r="J769">
        <v>-302.07909999999998</v>
      </c>
      <c r="K769">
        <v>1.0594399999999999</v>
      </c>
      <c r="L769">
        <v>367.94200000000001</v>
      </c>
      <c r="M769">
        <v>0.99989269999999997</v>
      </c>
      <c r="N769">
        <v>-1.1838019999999999E-2</v>
      </c>
      <c r="O769">
        <v>-8.6362369999999997E-3</v>
      </c>
      <c r="P769">
        <v>0.9983358</v>
      </c>
      <c r="Q769">
        <v>-4.5330210000000003E-2</v>
      </c>
      <c r="R769">
        <v>3.5649840000000002E-2</v>
      </c>
      <c r="S769">
        <v>3.0099490000000002</v>
      </c>
      <c r="T769">
        <v>-0.17987500000000001</v>
      </c>
      <c r="U769">
        <v>-0.36837769999999997</v>
      </c>
      <c r="V769">
        <v>-4.4268149999999999E-2</v>
      </c>
      <c r="W769">
        <v>-3.3516700000000003E-2</v>
      </c>
      <c r="X769">
        <v>0.99845729999999999</v>
      </c>
      <c r="Y769">
        <v>0.11267489999999999</v>
      </c>
      <c r="Z769">
        <v>-3.6095369999999999E-3</v>
      </c>
      <c r="AA769">
        <v>0.99362530000000004</v>
      </c>
      <c r="AB769">
        <v>33</v>
      </c>
      <c r="AC769">
        <v>0.84209999999995899</v>
      </c>
      <c r="AD769">
        <v>-6.1249199999999698E-2</v>
      </c>
      <c r="AE769">
        <v>-0.12429999999994799</v>
      </c>
      <c r="AF769">
        <v>0.116419527599286</v>
      </c>
      <c r="AG769">
        <v>-6.1249199999999698E-2</v>
      </c>
      <c r="AH769">
        <v>0.83879934047120597</v>
      </c>
      <c r="AI769">
        <v>94.136815542351002</v>
      </c>
      <c r="AJ769">
        <v>82.098224021078593</v>
      </c>
      <c r="AK769">
        <v>0.84905200340262499</v>
      </c>
      <c r="AL769">
        <v>91.920725164153197</v>
      </c>
      <c r="AM769">
        <v>92.538634526299205</v>
      </c>
      <c r="AN769">
        <v>1.0000000091032999</v>
      </c>
    </row>
    <row r="770" spans="1:40" x14ac:dyDescent="0.25">
      <c r="A770" t="str">
        <f>"20190305135807865"</f>
        <v>20190305135807865</v>
      </c>
      <c r="B770" t="str">
        <f>"1551765487859889"</f>
        <v>1551765487859889</v>
      </c>
      <c r="C770" t="s">
        <v>40</v>
      </c>
      <c r="D770">
        <v>3.99824</v>
      </c>
      <c r="E770">
        <v>0.55545800000000001</v>
      </c>
      <c r="F770" t="s">
        <v>43</v>
      </c>
      <c r="G770">
        <v>-284.2242</v>
      </c>
      <c r="H770">
        <v>-0.05</v>
      </c>
      <c r="I770">
        <v>365.82369999999997</v>
      </c>
      <c r="J770">
        <v>-301.86059999999998</v>
      </c>
      <c r="K770">
        <v>1.059409</v>
      </c>
      <c r="L770">
        <v>367.9402</v>
      </c>
      <c r="M770">
        <v>0.99989309999999998</v>
      </c>
      <c r="N770">
        <v>-1.1833679999999999E-2</v>
      </c>
      <c r="O770">
        <v>-8.6055980000000008E-3</v>
      </c>
      <c r="P770">
        <v>0.99811539999999999</v>
      </c>
      <c r="Q770">
        <v>-4.9298689999999999E-2</v>
      </c>
      <c r="R770">
        <v>3.6546219999999997E-2</v>
      </c>
      <c r="S770">
        <v>3.0093079999999999</v>
      </c>
      <c r="T770">
        <v>-0.18698719999999999</v>
      </c>
      <c r="U770">
        <v>-0.35702509999999998</v>
      </c>
      <c r="V770">
        <v>-4.5132070000000003E-2</v>
      </c>
      <c r="W770">
        <v>-3.7491820000000002E-2</v>
      </c>
      <c r="X770">
        <v>0.99827719999999998</v>
      </c>
      <c r="Y770">
        <v>0.10902679999999999</v>
      </c>
      <c r="Z770">
        <v>-3.589456E-3</v>
      </c>
      <c r="AA770">
        <v>0.99403229999999998</v>
      </c>
      <c r="AB770">
        <v>33</v>
      </c>
      <c r="AC770">
        <v>17.636399999999899</v>
      </c>
      <c r="AD770">
        <v>-1.1094090000000001</v>
      </c>
      <c r="AE770">
        <v>-2.11650000000003</v>
      </c>
      <c r="AF770">
        <v>1.95700536119635</v>
      </c>
      <c r="AG770">
        <v>-1.1094090000000001</v>
      </c>
      <c r="AH770">
        <v>17.585364914894399</v>
      </c>
      <c r="AI770">
        <v>93.587748787340999</v>
      </c>
      <c r="AJ770">
        <v>83.649908828746106</v>
      </c>
      <c r="AK770">
        <v>17.728669366397199</v>
      </c>
      <c r="AL770">
        <v>92.148626716079207</v>
      </c>
      <c r="AM770">
        <v>92.588577096955206</v>
      </c>
      <c r="AN770">
        <v>0.99999995417461696</v>
      </c>
    </row>
    <row r="771" spans="1:40" x14ac:dyDescent="0.25">
      <c r="A771" t="str">
        <f>"20190305135807876"</f>
        <v>20190305135807876</v>
      </c>
      <c r="B771" t="str">
        <f>"1551765487869649"</f>
        <v>1551765487869649</v>
      </c>
      <c r="C771" t="s">
        <v>40</v>
      </c>
      <c r="D771">
        <v>4.0209070000000002</v>
      </c>
      <c r="E771">
        <v>0.5543768</v>
      </c>
      <c r="F771" t="s">
        <v>41</v>
      </c>
      <c r="G771">
        <v>-300.94589999999999</v>
      </c>
      <c r="H771">
        <v>0.99831740000000002</v>
      </c>
      <c r="I771">
        <v>367.83789999999999</v>
      </c>
      <c r="J771">
        <v>-301.69389999999999</v>
      </c>
      <c r="K771">
        <v>1.059404</v>
      </c>
      <c r="L771">
        <v>367.93880000000001</v>
      </c>
      <c r="M771">
        <v>0.99989320000000004</v>
      </c>
      <c r="N771">
        <v>-1.183058E-2</v>
      </c>
      <c r="O771">
        <v>-8.5817529999999993E-3</v>
      </c>
      <c r="P771">
        <v>0.99801580000000001</v>
      </c>
      <c r="Q771">
        <v>-5.1033790000000002E-2</v>
      </c>
      <c r="R771">
        <v>3.6881869999999997E-2</v>
      </c>
      <c r="S771">
        <v>3.0080260000000001</v>
      </c>
      <c r="T771">
        <v>-0.20105870000000001</v>
      </c>
      <c r="U771">
        <v>-0.33569339999999998</v>
      </c>
      <c r="V771">
        <v>-4.5442730000000001E-2</v>
      </c>
      <c r="W771">
        <v>-3.9231019999999998E-2</v>
      </c>
      <c r="X771">
        <v>0.99819630000000004</v>
      </c>
      <c r="Y771">
        <v>0.1021247</v>
      </c>
      <c r="Z771">
        <v>-3.535505E-3</v>
      </c>
      <c r="AA771">
        <v>0.99476529999999996</v>
      </c>
      <c r="AB771">
        <v>33</v>
      </c>
      <c r="AC771">
        <v>0.74799999999999001</v>
      </c>
      <c r="AD771">
        <v>-6.1086599999999797E-2</v>
      </c>
      <c r="AE771">
        <v>-0.100900000000024</v>
      </c>
      <c r="AF771">
        <v>9.3861865676081596E-2</v>
      </c>
      <c r="AG771">
        <v>-6.1086599999999797E-2</v>
      </c>
      <c r="AH771">
        <v>0.74396525970817295</v>
      </c>
      <c r="AI771">
        <v>94.657241590266295</v>
      </c>
      <c r="AJ771">
        <v>82.809309197164495</v>
      </c>
      <c r="AK771">
        <v>0.752346948010293</v>
      </c>
      <c r="AL771">
        <v>92.248348888517896</v>
      </c>
      <c r="AM771">
        <v>92.606581646822093</v>
      </c>
      <c r="AN771">
        <v>0.99999998398689105</v>
      </c>
    </row>
    <row r="772" spans="1:40" x14ac:dyDescent="0.25">
      <c r="A772" t="str">
        <f>"20190305135807888"</f>
        <v>20190305135807888</v>
      </c>
      <c r="B772" t="str">
        <f>"1551765487879409"</f>
        <v>1551765487879409</v>
      </c>
      <c r="C772" t="s">
        <v>40</v>
      </c>
      <c r="D772">
        <v>3.9537710000000001</v>
      </c>
      <c r="E772">
        <v>0.55336609999999997</v>
      </c>
      <c r="F772" t="s">
        <v>43</v>
      </c>
      <c r="G772">
        <v>-285.57119999999998</v>
      </c>
      <c r="H772">
        <v>-0.05</v>
      </c>
      <c r="I772">
        <v>366.19099999999997</v>
      </c>
      <c r="J772">
        <v>-301.53530000000001</v>
      </c>
      <c r="K772">
        <v>1.059401</v>
      </c>
      <c r="L772">
        <v>367.93740000000003</v>
      </c>
      <c r="M772">
        <v>0.99989349999999999</v>
      </c>
      <c r="N772">
        <v>-1.182799E-2</v>
      </c>
      <c r="O772">
        <v>-8.5586220000000001E-3</v>
      </c>
      <c r="P772">
        <v>0.99796549999999995</v>
      </c>
      <c r="Q772">
        <v>-5.1830889999999998E-2</v>
      </c>
      <c r="R772">
        <v>3.7132079999999998E-2</v>
      </c>
      <c r="S772">
        <v>3.0074459999999998</v>
      </c>
      <c r="T772">
        <v>-0.20694209999999999</v>
      </c>
      <c r="U772">
        <v>-0.32601930000000001</v>
      </c>
      <c r="V772">
        <v>-4.5669750000000002E-2</v>
      </c>
      <c r="W772">
        <v>-4.0031200000000003E-2</v>
      </c>
      <c r="X772">
        <v>0.99815419999999999</v>
      </c>
      <c r="Y772">
        <v>9.9001459999999999E-2</v>
      </c>
      <c r="Z772">
        <v>-3.4946600000000001E-3</v>
      </c>
      <c r="AA772">
        <v>0.99508110000000005</v>
      </c>
      <c r="AB772">
        <v>33</v>
      </c>
      <c r="AC772">
        <v>15.9641</v>
      </c>
      <c r="AD772">
        <v>-1.1094010000000001</v>
      </c>
      <c r="AE772">
        <v>-1.7464000000000499</v>
      </c>
      <c r="AF772">
        <v>1.6020504239083999</v>
      </c>
      <c r="AG772">
        <v>-1.1094010000000001</v>
      </c>
      <c r="AH772">
        <v>15.902572250188999</v>
      </c>
      <c r="AI772">
        <v>93.970590580389597</v>
      </c>
      <c r="AJ772">
        <v>84.247340637612297</v>
      </c>
      <c r="AK772">
        <v>16.021521160989298</v>
      </c>
      <c r="AL772">
        <v>92.294231802765793</v>
      </c>
      <c r="AM772">
        <v>92.619695687700698</v>
      </c>
      <c r="AN772">
        <v>1.0000000150080699</v>
      </c>
    </row>
    <row r="773" spans="1:40" x14ac:dyDescent="0.25">
      <c r="A773" t="str">
        <f>"20190305135807898"</f>
        <v>20190305135807898</v>
      </c>
      <c r="B773" t="str">
        <f>"1551765487889169"</f>
        <v>1551765487889169</v>
      </c>
      <c r="C773" t="s">
        <v>40</v>
      </c>
      <c r="D773">
        <v>3.9932690000000002</v>
      </c>
      <c r="E773">
        <v>0.5524173</v>
      </c>
      <c r="F773" t="s">
        <v>41</v>
      </c>
      <c r="G773">
        <v>-300.65170000000001</v>
      </c>
      <c r="H773">
        <v>0.99781750000000002</v>
      </c>
      <c r="I773">
        <v>367.84379999999999</v>
      </c>
      <c r="J773">
        <v>-301.37</v>
      </c>
      <c r="K773">
        <v>1.059402</v>
      </c>
      <c r="L773">
        <v>367.93599999999998</v>
      </c>
      <c r="M773">
        <v>0.9998937</v>
      </c>
      <c r="N773">
        <v>-1.182535E-2</v>
      </c>
      <c r="O773">
        <v>-8.5344180000000002E-3</v>
      </c>
      <c r="P773">
        <v>0.9979268</v>
      </c>
      <c r="Q773">
        <v>-5.215297E-2</v>
      </c>
      <c r="R773">
        <v>3.771563E-2</v>
      </c>
      <c r="S773">
        <v>3.0069889999999999</v>
      </c>
      <c r="T773">
        <v>-0.20994640000000001</v>
      </c>
      <c r="U773">
        <v>-0.31741329999999901</v>
      </c>
      <c r="V773">
        <v>-4.6228390000000001E-2</v>
      </c>
      <c r="W773">
        <v>-4.0356349999999999E-2</v>
      </c>
      <c r="X773">
        <v>0.99811539999999999</v>
      </c>
      <c r="Y773">
        <v>9.6226480000000003E-2</v>
      </c>
      <c r="Z773">
        <v>-3.424379E-3</v>
      </c>
      <c r="AA773">
        <v>0.99535359999999995</v>
      </c>
      <c r="AB773">
        <v>33</v>
      </c>
      <c r="AC773">
        <v>0.71829999999999905</v>
      </c>
      <c r="AD773">
        <v>-6.15845E-2</v>
      </c>
      <c r="AE773">
        <v>-9.2199999999991095E-2</v>
      </c>
      <c r="AF773">
        <v>8.5448015549481393E-2</v>
      </c>
      <c r="AG773">
        <v>-6.15845E-2</v>
      </c>
      <c r="AH773">
        <v>0.71389814387629202</v>
      </c>
      <c r="AI773">
        <v>94.895648849309197</v>
      </c>
      <c r="AJ773">
        <v>83.174614401058804</v>
      </c>
      <c r="AK773">
        <v>0.72162633948021104</v>
      </c>
      <c r="AL773">
        <v>92.312876568077897</v>
      </c>
      <c r="AM773">
        <v>92.651797712788095</v>
      </c>
      <c r="AN773">
        <v>1.0000000253722301</v>
      </c>
    </row>
    <row r="774" spans="1:40" x14ac:dyDescent="0.25">
      <c r="A774" t="str">
        <f>"20190305135807910"</f>
        <v>20190305135807910</v>
      </c>
      <c r="B774" t="str">
        <f>"1551765487898930"</f>
        <v>1551765487898930</v>
      </c>
      <c r="C774" t="s">
        <v>40</v>
      </c>
      <c r="D774">
        <v>4.0011099999999997</v>
      </c>
      <c r="E774">
        <v>0.55147279999999999</v>
      </c>
      <c r="F774" t="s">
        <v>41</v>
      </c>
      <c r="G774">
        <v>-300.36279999999999</v>
      </c>
      <c r="H774">
        <v>0.98855999999999999</v>
      </c>
      <c r="I774">
        <v>367.83269999999999</v>
      </c>
      <c r="J774">
        <v>-301.19459999999998</v>
      </c>
      <c r="K774">
        <v>1.059404</v>
      </c>
      <c r="L774">
        <v>367.93450000000001</v>
      </c>
      <c r="M774">
        <v>0.99989399999999995</v>
      </c>
      <c r="N774">
        <v>-1.1822900000000001E-2</v>
      </c>
      <c r="O774">
        <v>-8.5078310000000004E-3</v>
      </c>
      <c r="P774">
        <v>0.99792389999999997</v>
      </c>
      <c r="Q774">
        <v>-5.1600680000000003E-2</v>
      </c>
      <c r="R774">
        <v>3.8542130000000001E-2</v>
      </c>
      <c r="S774">
        <v>3.0068049999999999</v>
      </c>
      <c r="T774">
        <v>-0.2116305</v>
      </c>
      <c r="U774">
        <v>-0.30807499999999999</v>
      </c>
      <c r="V774">
        <v>-4.7028510000000003E-2</v>
      </c>
      <c r="W774">
        <v>-3.9806639999999997E-2</v>
      </c>
      <c r="X774">
        <v>0.99809999999999999</v>
      </c>
      <c r="Y774">
        <v>9.3205350000000006E-2</v>
      </c>
      <c r="Z774">
        <v>-3.3245150000000001E-3</v>
      </c>
      <c r="AA774">
        <v>0.99564140000000001</v>
      </c>
      <c r="AB774">
        <v>33</v>
      </c>
      <c r="AC774">
        <v>0.83179999999998699</v>
      </c>
      <c r="AD774">
        <v>-7.0844000000000004E-2</v>
      </c>
      <c r="AE774">
        <v>-0.101800000000025</v>
      </c>
      <c r="AF774">
        <v>9.4046873060917899E-2</v>
      </c>
      <c r="AG774">
        <v>-7.0844000000000004E-2</v>
      </c>
      <c r="AH774">
        <v>0.82672759196601597</v>
      </c>
      <c r="AI774">
        <v>94.866593374755396</v>
      </c>
      <c r="AJ774">
        <v>83.510046296266395</v>
      </c>
      <c r="AK774">
        <v>0.83507017548614604</v>
      </c>
      <c r="AL774">
        <v>92.281355393818501</v>
      </c>
      <c r="AM774">
        <v>92.697669309440002</v>
      </c>
      <c r="AN774">
        <v>0.99999992967045204</v>
      </c>
    </row>
    <row r="775" spans="1:40" x14ac:dyDescent="0.25">
      <c r="A775" t="str">
        <f>"20190305135807921"</f>
        <v>20190305135807921</v>
      </c>
      <c r="B775" t="str">
        <f>"1551765487909666"</f>
        <v>1551765487909666</v>
      </c>
      <c r="C775" t="s">
        <v>40</v>
      </c>
      <c r="D775">
        <v>3.9942410000000002</v>
      </c>
      <c r="E775">
        <v>0.55061169999999904</v>
      </c>
      <c r="F775" t="s">
        <v>41</v>
      </c>
      <c r="G775">
        <v>-300.3546</v>
      </c>
      <c r="H775">
        <v>1.0005189999999999</v>
      </c>
      <c r="I775">
        <v>367.85109999999997</v>
      </c>
      <c r="J775">
        <v>-301.04129999999998</v>
      </c>
      <c r="K775">
        <v>1.0594030000000001</v>
      </c>
      <c r="L775">
        <v>367.93329999999997</v>
      </c>
      <c r="M775">
        <v>0.99989430000000001</v>
      </c>
      <c r="N775">
        <v>-1.1820850000000001E-2</v>
      </c>
      <c r="O775">
        <v>-8.4848189999999993E-3</v>
      </c>
      <c r="P775">
        <v>0.99792159999999996</v>
      </c>
      <c r="Q775">
        <v>-5.1225079999999999E-2</v>
      </c>
      <c r="R775">
        <v>3.9100169999999997E-2</v>
      </c>
      <c r="S775">
        <v>3.0068049999999999</v>
      </c>
      <c r="T775">
        <v>-0.2109557</v>
      </c>
      <c r="U775">
        <v>-0.2980042</v>
      </c>
      <c r="V775">
        <v>-4.7563199999999903E-2</v>
      </c>
      <c r="W775">
        <v>-3.9433169999999997E-2</v>
      </c>
      <c r="X775">
        <v>0.99808960000000002</v>
      </c>
      <c r="Y775">
        <v>8.9937210000000004E-2</v>
      </c>
      <c r="Z775">
        <v>-3.1839889999999999E-3</v>
      </c>
      <c r="AA775">
        <v>0.99594240000000001</v>
      </c>
      <c r="AB775">
        <v>33</v>
      </c>
      <c r="AC775">
        <v>0.686699999999973</v>
      </c>
      <c r="AD775">
        <v>-5.8883999999999902E-2</v>
      </c>
      <c r="AE775">
        <v>-8.2200000000000203E-2</v>
      </c>
      <c r="AF775">
        <v>7.5820482000814204E-2</v>
      </c>
      <c r="AG775">
        <v>-5.8883999999999902E-2</v>
      </c>
      <c r="AH775">
        <v>0.68242583178696603</v>
      </c>
      <c r="AI775">
        <v>94.901613722045795</v>
      </c>
      <c r="AJ775">
        <v>83.660190619986196</v>
      </c>
      <c r="AK775">
        <v>0.68914518560095095</v>
      </c>
      <c r="AL775">
        <v>92.259940070481804</v>
      </c>
      <c r="AM775">
        <v>92.728322726763494</v>
      </c>
      <c r="AN775">
        <v>1.00000004125932</v>
      </c>
    </row>
    <row r="776" spans="1:40" x14ac:dyDescent="0.25">
      <c r="A776" t="str">
        <f>"20190305135807932"</f>
        <v>20190305135807932</v>
      </c>
      <c r="B776" t="str">
        <f>"1551765487919425"</f>
        <v>1551765487919425</v>
      </c>
      <c r="C776" t="s">
        <v>40</v>
      </c>
      <c r="D776">
        <v>3.9940020000000001</v>
      </c>
      <c r="E776">
        <v>0.54978930000000004</v>
      </c>
      <c r="F776" t="s">
        <v>41</v>
      </c>
      <c r="G776">
        <v>-300.06630000000001</v>
      </c>
      <c r="H776">
        <v>0.99131119999999995</v>
      </c>
      <c r="I776">
        <v>367.83929999999998</v>
      </c>
      <c r="J776">
        <v>-300.87959999999998</v>
      </c>
      <c r="K776">
        <v>1.059407</v>
      </c>
      <c r="L776">
        <v>367.93189999999998</v>
      </c>
      <c r="M776">
        <v>0.99989439999999996</v>
      </c>
      <c r="N776">
        <v>-1.181889E-2</v>
      </c>
      <c r="O776">
        <v>-8.4604910000000005E-3</v>
      </c>
      <c r="P776">
        <v>0.99791300000000005</v>
      </c>
      <c r="Q776">
        <v>-5.0890650000000003E-2</v>
      </c>
      <c r="R776">
        <v>3.9745200000000001E-2</v>
      </c>
      <c r="S776">
        <v>3.0067750000000002</v>
      </c>
      <c r="T776">
        <v>-0.21017959999999999</v>
      </c>
      <c r="U776">
        <v>-0.28930660000000002</v>
      </c>
      <c r="V776">
        <v>-4.8183950000000003E-2</v>
      </c>
      <c r="W776">
        <v>-3.9100919999999997E-2</v>
      </c>
      <c r="X776">
        <v>0.99807290000000004</v>
      </c>
      <c r="Y776">
        <v>8.7117899999999998E-2</v>
      </c>
      <c r="Z776">
        <v>-3.061331E-3</v>
      </c>
      <c r="AA776">
        <v>0.99619329999999995</v>
      </c>
      <c r="AB776">
        <v>33</v>
      </c>
      <c r="AC776">
        <v>0.81329999999996905</v>
      </c>
      <c r="AD776">
        <v>-6.8095799999999998E-2</v>
      </c>
      <c r="AE776">
        <v>-9.2600000000004401E-2</v>
      </c>
      <c r="AF776">
        <v>8.5126161364190794E-2</v>
      </c>
      <c r="AG776">
        <v>-6.8095799999999998E-2</v>
      </c>
      <c r="AH776">
        <v>0.80845933945985604</v>
      </c>
      <c r="AI776">
        <v>94.788261208637095</v>
      </c>
      <c r="AJ776">
        <v>83.989229211408997</v>
      </c>
      <c r="AK776">
        <v>0.81577570746260297</v>
      </c>
      <c r="AL776">
        <v>92.240888848302902</v>
      </c>
      <c r="AM776">
        <v>92.763921536339296</v>
      </c>
      <c r="AN776">
        <v>1.00000004434842</v>
      </c>
    </row>
    <row r="777" spans="1:40" x14ac:dyDescent="0.25">
      <c r="A777" t="str">
        <f>"20190305135807943"</f>
        <v>20190305135807943</v>
      </c>
      <c r="B777" t="str">
        <f>"1551765487938946"</f>
        <v>1551765487938946</v>
      </c>
      <c r="C777" t="s">
        <v>40</v>
      </c>
      <c r="D777">
        <v>4.0440699999999996</v>
      </c>
      <c r="E777">
        <v>0.54828149999999998</v>
      </c>
      <c r="F777" t="s">
        <v>41</v>
      </c>
      <c r="G777">
        <v>-300.0582</v>
      </c>
      <c r="H777">
        <v>1.002292</v>
      </c>
      <c r="I777">
        <v>367.85500000000002</v>
      </c>
      <c r="J777">
        <v>-300.71510000000001</v>
      </c>
      <c r="K777">
        <v>1.05941</v>
      </c>
      <c r="L777">
        <v>367.93060000000003</v>
      </c>
      <c r="M777">
        <v>0.99989459999999997</v>
      </c>
      <c r="N777">
        <v>-1.1817019999999999E-2</v>
      </c>
      <c r="O777">
        <v>-8.4355690000000004E-3</v>
      </c>
      <c r="P777">
        <v>0.99794649999999996</v>
      </c>
      <c r="Q777">
        <v>-4.9992719999999997E-2</v>
      </c>
      <c r="R777">
        <v>4.0046320000000003E-2</v>
      </c>
      <c r="S777">
        <v>3.0067439999999999</v>
      </c>
      <c r="T777">
        <v>-0.2092618</v>
      </c>
      <c r="U777">
        <v>-0.2807617</v>
      </c>
      <c r="V777">
        <v>-4.8461200000000003E-2</v>
      </c>
      <c r="W777">
        <v>-3.820453E-2</v>
      </c>
      <c r="X777">
        <v>0.99809409999999998</v>
      </c>
      <c r="Y777">
        <v>8.4346969999999993E-2</v>
      </c>
      <c r="Z777">
        <v>-2.9397730000000001E-3</v>
      </c>
      <c r="AA777">
        <v>0.99643210000000004</v>
      </c>
      <c r="AB777">
        <v>33</v>
      </c>
      <c r="AC777">
        <v>0.65690000000000703</v>
      </c>
      <c r="AD777">
        <v>-5.7117999999999898E-2</v>
      </c>
      <c r="AE777">
        <v>-7.5600000000008494E-2</v>
      </c>
      <c r="AF777">
        <v>6.9536740907437097E-2</v>
      </c>
      <c r="AG777">
        <v>-5.7117999999999898E-2</v>
      </c>
      <c r="AH777">
        <v>0.65264461217919001</v>
      </c>
      <c r="AI777">
        <v>94.973646383549806</v>
      </c>
      <c r="AJ777">
        <v>83.918301938221006</v>
      </c>
      <c r="AK777">
        <v>0.65881925751039905</v>
      </c>
      <c r="AL777">
        <v>92.189491275303098</v>
      </c>
      <c r="AM777">
        <v>92.779741289773099</v>
      </c>
      <c r="AN777">
        <v>0.99999995323638402</v>
      </c>
    </row>
    <row r="778" spans="1:40" x14ac:dyDescent="0.25">
      <c r="A778" t="str">
        <f>"20190305135807955"</f>
        <v>20190305135807955</v>
      </c>
      <c r="B778" t="str">
        <f>"1551765487949681"</f>
        <v>1551765487949681</v>
      </c>
      <c r="C778" t="s">
        <v>40</v>
      </c>
      <c r="D778">
        <v>4.0067139999999997</v>
      </c>
      <c r="E778">
        <v>0.54753629999999998</v>
      </c>
      <c r="F778" t="s">
        <v>41</v>
      </c>
      <c r="G778">
        <v>-299.76979999999998</v>
      </c>
      <c r="H778">
        <v>0.99429299999999998</v>
      </c>
      <c r="I778">
        <v>367.84620000000001</v>
      </c>
      <c r="J778">
        <v>-300.53550000000001</v>
      </c>
      <c r="K778">
        <v>1.05941</v>
      </c>
      <c r="L778">
        <v>367.92899999999997</v>
      </c>
      <c r="M778">
        <v>0.99989490000000003</v>
      </c>
      <c r="N778">
        <v>-1.181514E-2</v>
      </c>
      <c r="O778">
        <v>-8.4081420000000004E-3</v>
      </c>
      <c r="P778">
        <v>0.99798430000000005</v>
      </c>
      <c r="Q778">
        <v>-4.9274289999999998E-2</v>
      </c>
      <c r="R778">
        <v>3.9994179999999997E-2</v>
      </c>
      <c r="S778">
        <v>3.006561</v>
      </c>
      <c r="T778">
        <v>-0.20719219999999999</v>
      </c>
      <c r="U778">
        <v>-0.26809690000000003</v>
      </c>
      <c r="V778">
        <v>-4.8382069999999999E-2</v>
      </c>
      <c r="W778">
        <v>-3.748754E-2</v>
      </c>
      <c r="X778">
        <v>0.99812520000000005</v>
      </c>
      <c r="Y778">
        <v>8.0231739999999996E-2</v>
      </c>
      <c r="Z778">
        <v>-2.7528969999999998E-3</v>
      </c>
      <c r="AA778">
        <v>0.9967724</v>
      </c>
      <c r="AB778">
        <v>33</v>
      </c>
      <c r="AC778">
        <v>0.76570000000003802</v>
      </c>
      <c r="AD778">
        <v>-6.5116999999999897E-2</v>
      </c>
      <c r="AE778">
        <v>-8.2800000000020094E-2</v>
      </c>
      <c r="AF778">
        <v>7.58165253576919E-2</v>
      </c>
      <c r="AG778">
        <v>-6.5116999999999897E-2</v>
      </c>
      <c r="AH778">
        <v>0.76092957186829502</v>
      </c>
      <c r="AI778">
        <v>94.867220549086895</v>
      </c>
      <c r="AJ778">
        <v>84.310016029870496</v>
      </c>
      <c r="AK778">
        <v>0.76746477609723596</v>
      </c>
      <c r="AL778">
        <v>92.148381159770594</v>
      </c>
      <c r="AM778">
        <v>92.775123147429696</v>
      </c>
      <c r="AN778">
        <v>1.0000000276138801</v>
      </c>
    </row>
    <row r="779" spans="1:40" x14ac:dyDescent="0.25">
      <c r="A779" t="str">
        <f>"20190305135807967"</f>
        <v>20190305135807967</v>
      </c>
      <c r="B779" t="str">
        <f>"1551765487959442"</f>
        <v>1551765487959442</v>
      </c>
      <c r="C779" t="s">
        <v>40</v>
      </c>
      <c r="D779">
        <v>4.2068969999999997</v>
      </c>
      <c r="E779">
        <v>0.54689560000000004</v>
      </c>
      <c r="F779" t="s">
        <v>43</v>
      </c>
      <c r="G779">
        <v>-284.31740000000002</v>
      </c>
      <c r="H779">
        <v>-0.05</v>
      </c>
      <c r="I779">
        <v>366.5147</v>
      </c>
      <c r="J779">
        <v>-300.36799999999999</v>
      </c>
      <c r="K779">
        <v>1.05941</v>
      </c>
      <c r="L779">
        <v>367.92770000000002</v>
      </c>
      <c r="M779">
        <v>0.99989530000000004</v>
      </c>
      <c r="N779">
        <v>-1.1813560000000001E-2</v>
      </c>
      <c r="O779">
        <v>-8.3825050000000002E-3</v>
      </c>
      <c r="P779">
        <v>0.9980116</v>
      </c>
      <c r="Q779">
        <v>-4.8712600000000002E-2</v>
      </c>
      <c r="R779">
        <v>4.0002629999999997E-2</v>
      </c>
      <c r="S779">
        <v>3.0064389999999999</v>
      </c>
      <c r="T779">
        <v>-0.2056578</v>
      </c>
      <c r="U779">
        <v>-0.26217649999999998</v>
      </c>
      <c r="V779">
        <v>-4.8364999999999998E-2</v>
      </c>
      <c r="W779">
        <v>-3.6927099999999997E-2</v>
      </c>
      <c r="X779">
        <v>0.99814689999999995</v>
      </c>
      <c r="Y779">
        <v>7.8320890000000004E-2</v>
      </c>
      <c r="Z779">
        <v>-2.6619249999999999E-3</v>
      </c>
      <c r="AA779">
        <v>0.99692460000000005</v>
      </c>
      <c r="AB779">
        <v>33</v>
      </c>
      <c r="AC779">
        <v>16.0505999999999</v>
      </c>
      <c r="AD779">
        <v>-1.10941</v>
      </c>
      <c r="AE779">
        <v>-1.41300000000001</v>
      </c>
      <c r="AF779">
        <v>1.2723647666682001</v>
      </c>
      <c r="AG779">
        <v>-1.10941</v>
      </c>
      <c r="AH779">
        <v>15.986094921840801</v>
      </c>
      <c r="AI779">
        <v>93.957397466798</v>
      </c>
      <c r="AJ779">
        <v>85.449309292933094</v>
      </c>
      <c r="AK779">
        <v>16.0749784913593</v>
      </c>
      <c r="AL779">
        <v>92.116248103074895</v>
      </c>
      <c r="AM779">
        <v>92.774085351029001</v>
      </c>
      <c r="AN779">
        <v>1.0000000089595</v>
      </c>
    </row>
    <row r="780" spans="1:40" x14ac:dyDescent="0.25">
      <c r="A780" t="str">
        <f>"20190305135807978"</f>
        <v>20190305135807978</v>
      </c>
      <c r="B780" t="str">
        <f>"1551765487969201"</f>
        <v>1551765487969201</v>
      </c>
      <c r="C780" t="s">
        <v>40</v>
      </c>
      <c r="D780">
        <v>3.9955509999999999</v>
      </c>
      <c r="E780">
        <v>0.54627819999999905</v>
      </c>
      <c r="F780" t="s">
        <v>41</v>
      </c>
      <c r="G780">
        <v>-299.47140000000002</v>
      </c>
      <c r="H780">
        <v>0.99857030000000002</v>
      </c>
      <c r="I780">
        <v>367.85079999999999</v>
      </c>
      <c r="J780">
        <v>-300.19619999999998</v>
      </c>
      <c r="K780">
        <v>1.059407</v>
      </c>
      <c r="L780">
        <v>367.92630000000003</v>
      </c>
      <c r="M780">
        <v>0.99989539999999999</v>
      </c>
      <c r="N780">
        <v>-1.181201E-2</v>
      </c>
      <c r="O780">
        <v>-8.3561529999999998E-3</v>
      </c>
      <c r="P780">
        <v>0.9980251</v>
      </c>
      <c r="Q780">
        <v>-4.8674879999999997E-2</v>
      </c>
      <c r="R780">
        <v>3.9709880000000003E-2</v>
      </c>
      <c r="S780">
        <v>3.0062869999999999</v>
      </c>
      <c r="T780">
        <v>-0.2042099</v>
      </c>
      <c r="U780">
        <v>-0.25711060000000002</v>
      </c>
      <c r="V780">
        <v>-4.8046169999999999E-2</v>
      </c>
      <c r="W780">
        <v>-3.689071E-2</v>
      </c>
      <c r="X780">
        <v>0.99816360000000004</v>
      </c>
      <c r="Y780">
        <v>7.6690789999999995E-2</v>
      </c>
      <c r="Z780">
        <v>-2.5839439999999999E-3</v>
      </c>
      <c r="AA780">
        <v>0.99705160000000004</v>
      </c>
      <c r="AB780">
        <v>33</v>
      </c>
      <c r="AC780">
        <v>0.72479999999995903</v>
      </c>
      <c r="AD780">
        <v>-6.0836699999999799E-2</v>
      </c>
      <c r="AE780">
        <v>-7.5500000000033596E-2</v>
      </c>
      <c r="AF780">
        <v>6.8959779764949394E-2</v>
      </c>
      <c r="AG780">
        <v>-6.0836699999999799E-2</v>
      </c>
      <c r="AH780">
        <v>0.72038483005951104</v>
      </c>
      <c r="AI780">
        <v>94.8053276207566</v>
      </c>
      <c r="AJ780">
        <v>84.531948184208005</v>
      </c>
      <c r="AK780">
        <v>0.72623058230288795</v>
      </c>
      <c r="AL780">
        <v>92.114161779669104</v>
      </c>
      <c r="AM780">
        <v>92.755780374766104</v>
      </c>
      <c r="AN780">
        <v>0.99999996565046601</v>
      </c>
    </row>
    <row r="781" spans="1:40" x14ac:dyDescent="0.25">
      <c r="A781" t="str">
        <f>"20190305135807989"</f>
        <v>20190305135807989</v>
      </c>
      <c r="B781" t="str">
        <f>"1551765487979937"</f>
        <v>1551765487979937</v>
      </c>
      <c r="C781" t="s">
        <v>40</v>
      </c>
      <c r="D781">
        <v>4.0463380000000004</v>
      </c>
      <c r="E781">
        <v>0.54567959999999904</v>
      </c>
      <c r="F781" t="s">
        <v>41</v>
      </c>
      <c r="G781">
        <v>-299.1814</v>
      </c>
      <c r="H781">
        <v>0.99041999999999997</v>
      </c>
      <c r="I781">
        <v>367.84070000000003</v>
      </c>
      <c r="J781">
        <v>-300.03289999999998</v>
      </c>
      <c r="K781">
        <v>1.059396</v>
      </c>
      <c r="L781">
        <v>367.92489999999998</v>
      </c>
      <c r="M781">
        <v>0.9998956</v>
      </c>
      <c r="N781">
        <v>-1.181076E-2</v>
      </c>
      <c r="O781">
        <v>-8.3311129999999994E-3</v>
      </c>
      <c r="P781">
        <v>0.9979808</v>
      </c>
      <c r="Q781">
        <v>-4.9505779999999999E-2</v>
      </c>
      <c r="R781">
        <v>3.9791170000000001E-2</v>
      </c>
      <c r="S781">
        <v>3.0060730000000002</v>
      </c>
      <c r="T781">
        <v>-0.20446729999999999</v>
      </c>
      <c r="U781">
        <v>-0.25305179999999999</v>
      </c>
      <c r="V781">
        <v>-4.8101779999999997E-2</v>
      </c>
      <c r="W781">
        <v>-3.7723310000000003E-2</v>
      </c>
      <c r="X781">
        <v>0.99812979999999996</v>
      </c>
      <c r="Y781">
        <v>7.53881E-2</v>
      </c>
      <c r="Z781">
        <v>-2.5361899999999998E-3</v>
      </c>
      <c r="AA781">
        <v>0.99715100000000001</v>
      </c>
      <c r="AB781">
        <v>33</v>
      </c>
      <c r="AC781">
        <v>0.85149999999998705</v>
      </c>
      <c r="AD781">
        <v>-6.8975999999999899E-2</v>
      </c>
      <c r="AE781">
        <v>-8.4199999999952896E-2</v>
      </c>
      <c r="AF781">
        <v>7.6604837972135895E-2</v>
      </c>
      <c r="AG781">
        <v>-6.8975999999999899E-2</v>
      </c>
      <c r="AH781">
        <v>0.84667004515817101</v>
      </c>
      <c r="AI781">
        <v>94.638587744680194</v>
      </c>
      <c r="AJ781">
        <v>84.8300809805786</v>
      </c>
      <c r="AK781">
        <v>0.85292212724543404</v>
      </c>
      <c r="AL781">
        <v>92.161899485908705</v>
      </c>
      <c r="AM781">
        <v>92.759058351112699</v>
      </c>
      <c r="AN781">
        <v>0.99999996350228104</v>
      </c>
    </row>
    <row r="782" spans="1:40" x14ac:dyDescent="0.25">
      <c r="A782" t="str">
        <f>"20190305135808002"</f>
        <v>20190305135808002</v>
      </c>
      <c r="B782" t="str">
        <f>"1551765487989698"</f>
        <v>1551765487989698</v>
      </c>
      <c r="C782" t="s">
        <v>40</v>
      </c>
      <c r="D782">
        <v>4.0230839999999999</v>
      </c>
      <c r="E782">
        <v>0.54509149999999995</v>
      </c>
      <c r="F782" t="s">
        <v>41</v>
      </c>
      <c r="G782">
        <v>-299.17450000000002</v>
      </c>
      <c r="H782">
        <v>1.0002500000000001</v>
      </c>
      <c r="I782">
        <v>367.85390000000001</v>
      </c>
      <c r="J782">
        <v>-299.86040000000003</v>
      </c>
      <c r="K782">
        <v>1.0593870000000001</v>
      </c>
      <c r="L782">
        <v>367.92349999999999</v>
      </c>
      <c r="M782">
        <v>0.9998958</v>
      </c>
      <c r="N782">
        <v>-1.1809500000000001E-2</v>
      </c>
      <c r="O782">
        <v>-8.3046419999999992E-3</v>
      </c>
      <c r="P782">
        <v>0.99793419999999999</v>
      </c>
      <c r="Q782">
        <v>-5.0453329999999998E-2</v>
      </c>
      <c r="R782">
        <v>3.9772290000000002E-2</v>
      </c>
      <c r="S782">
        <v>3.0056759999999998</v>
      </c>
      <c r="T782">
        <v>-0.2072301</v>
      </c>
      <c r="U782">
        <v>-0.24798580000000001</v>
      </c>
      <c r="V782">
        <v>-4.8056260000000003E-2</v>
      </c>
      <c r="W782">
        <v>-3.8672600000000001E-2</v>
      </c>
      <c r="X782">
        <v>0.99809570000000003</v>
      </c>
      <c r="Y782">
        <v>7.3756050000000004E-2</v>
      </c>
      <c r="Z782">
        <v>-2.499111E-3</v>
      </c>
      <c r="AA782">
        <v>0.99727319999999997</v>
      </c>
      <c r="AB782">
        <v>33</v>
      </c>
      <c r="AC782">
        <v>0.68590000000000295</v>
      </c>
      <c r="AD782">
        <v>-5.9137000000000002E-2</v>
      </c>
      <c r="AE782">
        <v>-6.95999999999799E-2</v>
      </c>
      <c r="AF782">
        <v>6.3434311441837699E-2</v>
      </c>
      <c r="AG782">
        <v>-5.9137000000000002E-2</v>
      </c>
      <c r="AH782">
        <v>0.681440483796941</v>
      </c>
      <c r="AI782">
        <v>94.938590424378802</v>
      </c>
      <c r="AJ782">
        <v>84.681744958230595</v>
      </c>
      <c r="AK782">
        <v>0.68693684541921995</v>
      </c>
      <c r="AL782">
        <v>92.216329442515303</v>
      </c>
      <c r="AM782">
        <v>92.756545438283396</v>
      </c>
      <c r="AN782">
        <v>1.00000000023721</v>
      </c>
    </row>
    <row r="783" spans="1:40" x14ac:dyDescent="0.25">
      <c r="A783" t="str">
        <f>"20190305135808014"</f>
        <v>20190305135808014</v>
      </c>
      <c r="B783" t="str">
        <f>"1551765488009216"</f>
        <v>1551765488009216</v>
      </c>
      <c r="C783" t="s">
        <v>40</v>
      </c>
      <c r="D783">
        <v>4.0214100000000004</v>
      </c>
      <c r="E783">
        <v>0.54397269999999998</v>
      </c>
      <c r="F783" t="s">
        <v>41</v>
      </c>
      <c r="G783">
        <v>-298.88569999999999</v>
      </c>
      <c r="H783">
        <v>0.99121729999999997</v>
      </c>
      <c r="I783">
        <v>367.84449999999998</v>
      </c>
      <c r="J783">
        <v>-299.66840000000002</v>
      </c>
      <c r="K783">
        <v>1.0593809999999999</v>
      </c>
      <c r="L783">
        <v>367.92200000000003</v>
      </c>
      <c r="M783">
        <v>0.99989600000000001</v>
      </c>
      <c r="N783">
        <v>-1.1808259999999999E-2</v>
      </c>
      <c r="O783">
        <v>-8.2751909999999994E-3</v>
      </c>
      <c r="P783">
        <v>0.99788460000000001</v>
      </c>
      <c r="Q783">
        <v>-5.1480039999999998E-2</v>
      </c>
      <c r="R783">
        <v>3.970021E-2</v>
      </c>
      <c r="S783">
        <v>3.00528</v>
      </c>
      <c r="T783">
        <v>-0.2103071</v>
      </c>
      <c r="U783">
        <v>-0.2432251</v>
      </c>
      <c r="V783">
        <v>-4.7954379999999998E-2</v>
      </c>
      <c r="W783">
        <v>-3.970104E-2</v>
      </c>
      <c r="X783">
        <v>0.99806019999999895</v>
      </c>
      <c r="Y783">
        <v>7.2225880000000006E-2</v>
      </c>
      <c r="Z783">
        <v>-2.467791E-3</v>
      </c>
      <c r="AA783">
        <v>0.99738530000000003</v>
      </c>
      <c r="AB783">
        <v>33</v>
      </c>
      <c r="AC783">
        <v>0.78270000000003304</v>
      </c>
      <c r="AD783">
        <v>-6.8163699999999799E-2</v>
      </c>
      <c r="AE783">
        <v>-7.7499999999986302E-2</v>
      </c>
      <c r="AF783">
        <v>7.0490471773430499E-2</v>
      </c>
      <c r="AG783">
        <v>-6.8163699999999799E-2</v>
      </c>
      <c r="AH783">
        <v>0.77747521179701196</v>
      </c>
      <c r="AI783">
        <v>94.990125563632404</v>
      </c>
      <c r="AJ783">
        <v>84.819392314169903</v>
      </c>
      <c r="AK783">
        <v>0.78363441831464997</v>
      </c>
      <c r="AL783">
        <v>92.275300060186893</v>
      </c>
      <c r="AM783">
        <v>92.750808194865897</v>
      </c>
      <c r="AN783">
        <v>0.999999978981152</v>
      </c>
    </row>
    <row r="784" spans="1:40" x14ac:dyDescent="0.25">
      <c r="A784" t="str">
        <f>"20190305135808027"</f>
        <v>20190305135808027</v>
      </c>
      <c r="B784" t="str">
        <f>"1551765488018977"</f>
        <v>1551765488018977</v>
      </c>
      <c r="C784" t="s">
        <v>40</v>
      </c>
      <c r="D784">
        <v>4.0406610000000001</v>
      </c>
      <c r="E784">
        <v>0.54344340000000002</v>
      </c>
      <c r="F784" t="s">
        <v>41</v>
      </c>
      <c r="G784">
        <v>-298.87630000000001</v>
      </c>
      <c r="H784">
        <v>1.0030859999999999</v>
      </c>
      <c r="I784">
        <v>367.86009999999999</v>
      </c>
      <c r="J784">
        <v>-299.47480000000002</v>
      </c>
      <c r="K784">
        <v>1.0593709999999901</v>
      </c>
      <c r="L784">
        <v>367.92039999999997</v>
      </c>
      <c r="M784">
        <v>0.99989640000000002</v>
      </c>
      <c r="N784">
        <v>-1.1807150000000001E-2</v>
      </c>
      <c r="O784">
        <v>-8.2456219999999993E-3</v>
      </c>
      <c r="P784">
        <v>0.99784899999999999</v>
      </c>
      <c r="Q784">
        <v>-5.2318419999999997E-2</v>
      </c>
      <c r="R784">
        <v>3.949971E-2</v>
      </c>
      <c r="S784">
        <v>3.0046689999999998</v>
      </c>
      <c r="T784">
        <v>-0.21369740000000001</v>
      </c>
      <c r="U784">
        <v>-0.234375</v>
      </c>
      <c r="V784">
        <v>-4.7723839999999997E-2</v>
      </c>
      <c r="W784">
        <v>-4.0540819999999998E-2</v>
      </c>
      <c r="X784">
        <v>0.99803750000000002</v>
      </c>
      <c r="Y784">
        <v>6.9354669999999993E-2</v>
      </c>
      <c r="Z784">
        <v>-2.3825090000000001E-3</v>
      </c>
      <c r="AA784">
        <v>0.99758919999999995</v>
      </c>
      <c r="AB784">
        <v>33</v>
      </c>
      <c r="AC784">
        <v>0.59850000000000103</v>
      </c>
      <c r="AD784">
        <v>-5.6284999999999599E-2</v>
      </c>
      <c r="AE784">
        <v>-6.0299999999983797E-2</v>
      </c>
      <c r="AF784">
        <v>5.48820926129144E-2</v>
      </c>
      <c r="AG784">
        <v>-5.6284999999999599E-2</v>
      </c>
      <c r="AH784">
        <v>0.59377819339959903</v>
      </c>
      <c r="AI784">
        <v>95.392113700019493</v>
      </c>
      <c r="AJ784">
        <v>84.719234621810003</v>
      </c>
      <c r="AK784">
        <v>0.59895958817892203</v>
      </c>
      <c r="AL784">
        <v>92.323454665834106</v>
      </c>
      <c r="AM784">
        <v>92.737666061129801</v>
      </c>
      <c r="AN784">
        <v>0.99999998719843297</v>
      </c>
    </row>
    <row r="785" spans="1:40" x14ac:dyDescent="0.25">
      <c r="A785" t="str">
        <f>"20190305135808045"</f>
        <v>20190305135808045</v>
      </c>
      <c r="B785" t="str">
        <f>"1551765488039472"</f>
        <v>1551765488039472</v>
      </c>
      <c r="C785" t="s">
        <v>40</v>
      </c>
      <c r="D785">
        <v>3.9311289999999999</v>
      </c>
      <c r="E785">
        <v>0.54284069999999995</v>
      </c>
      <c r="F785" t="s">
        <v>41</v>
      </c>
      <c r="G785">
        <v>-298.58819999999997</v>
      </c>
      <c r="H785">
        <v>0.99542739999999996</v>
      </c>
      <c r="I785">
        <v>367.85230000000001</v>
      </c>
      <c r="J785">
        <v>-299.21570000000003</v>
      </c>
      <c r="K785">
        <v>1.0593520000000001</v>
      </c>
      <c r="L785">
        <v>367.91829999999999</v>
      </c>
      <c r="M785">
        <v>0.99989660000000002</v>
      </c>
      <c r="N785">
        <v>-1.180581E-2</v>
      </c>
      <c r="O785">
        <v>-8.2054439999999992E-3</v>
      </c>
      <c r="P785">
        <v>0.99775320000000001</v>
      </c>
      <c r="Q785">
        <v>-5.4142860000000001E-2</v>
      </c>
      <c r="R785">
        <v>3.9458029999999998E-2</v>
      </c>
      <c r="S785">
        <v>3.0042719999999998</v>
      </c>
      <c r="T785">
        <v>-0.21669440000000001</v>
      </c>
      <c r="U785">
        <v>-0.2307129</v>
      </c>
      <c r="V785">
        <v>-4.7641240000000001E-2</v>
      </c>
      <c r="W785">
        <v>-4.2367549999999997E-2</v>
      </c>
      <c r="X785">
        <v>0.99796560000000001</v>
      </c>
      <c r="Y785">
        <v>6.8194660000000004E-2</v>
      </c>
      <c r="Z785">
        <v>-2.3628410000000001E-3</v>
      </c>
      <c r="AA785">
        <v>0.99766920000000003</v>
      </c>
      <c r="AB785">
        <v>33</v>
      </c>
      <c r="AC785">
        <v>0.62750000000005401</v>
      </c>
      <c r="AD785">
        <v>-6.3924600000000095E-2</v>
      </c>
      <c r="AE785">
        <v>-6.5999999999973996E-2</v>
      </c>
      <c r="AF785">
        <v>6.0230279296431197E-2</v>
      </c>
      <c r="AG785">
        <v>-6.3924600000000095E-2</v>
      </c>
      <c r="AH785">
        <v>0.62163975521068504</v>
      </c>
      <c r="AI785">
        <v>95.844039816008205</v>
      </c>
      <c r="AJ785">
        <v>84.465922477237498</v>
      </c>
      <c r="AK785">
        <v>0.627813687560001</v>
      </c>
      <c r="AL785">
        <v>92.428208572426399</v>
      </c>
      <c r="AM785">
        <v>92.733131522913794</v>
      </c>
      <c r="AN785">
        <v>1.0000000179125399</v>
      </c>
    </row>
    <row r="786" spans="1:40" x14ac:dyDescent="0.25">
      <c r="A786" t="str">
        <f>"20190305135808058"</f>
        <v>20190305135808058</v>
      </c>
      <c r="B786" t="str">
        <f>"1551765488049232"</f>
        <v>1551765488049232</v>
      </c>
      <c r="C786" t="s">
        <v>40</v>
      </c>
      <c r="D786">
        <v>3.9746359999999998</v>
      </c>
      <c r="E786">
        <v>0.49957570000000001</v>
      </c>
      <c r="F786" t="s">
        <v>41</v>
      </c>
      <c r="G786">
        <v>-298.29500000000002</v>
      </c>
      <c r="H786">
        <v>0.99118830000000002</v>
      </c>
      <c r="I786">
        <v>367.84879999999998</v>
      </c>
      <c r="J786">
        <v>-299.01209999999998</v>
      </c>
      <c r="K786">
        <v>1.0593379999999999</v>
      </c>
      <c r="L786">
        <v>367.91660000000002</v>
      </c>
      <c r="M786">
        <v>0.99989709999999998</v>
      </c>
      <c r="N786">
        <v>-1.180489E-2</v>
      </c>
      <c r="O786">
        <v>-8.1743279999999998E-3</v>
      </c>
      <c r="P786">
        <v>0.99771049999999994</v>
      </c>
      <c r="Q786">
        <v>-5.486924E-2</v>
      </c>
      <c r="R786">
        <v>3.954001E-2</v>
      </c>
      <c r="S786">
        <v>3.0036320000000001</v>
      </c>
      <c r="T786">
        <v>-0.22246869999999999</v>
      </c>
      <c r="U786">
        <v>-0.2261658</v>
      </c>
      <c r="V786">
        <v>-4.7691619999999997E-2</v>
      </c>
      <c r="W786">
        <v>-4.309528E-2</v>
      </c>
      <c r="X786">
        <v>0.99793200000000004</v>
      </c>
      <c r="Y786">
        <v>6.6735359999999994E-2</v>
      </c>
      <c r="Z786">
        <v>-2.3522180000000001E-3</v>
      </c>
      <c r="AA786">
        <v>0.99776790000000004</v>
      </c>
      <c r="AB786">
        <v>33</v>
      </c>
      <c r="AC786">
        <v>0.71709999999995899</v>
      </c>
      <c r="AD786">
        <v>-6.8149699999999799E-2</v>
      </c>
      <c r="AE786">
        <v>-6.7800000000033805E-2</v>
      </c>
      <c r="AF786">
        <v>6.1386009982646698E-2</v>
      </c>
      <c r="AG786">
        <v>-6.8149699999999799E-2</v>
      </c>
      <c r="AH786">
        <v>0.71126331067883497</v>
      </c>
      <c r="AI786">
        <v>95.4529398030202</v>
      </c>
      <c r="AJ786">
        <v>85.067276271172105</v>
      </c>
      <c r="AK786">
        <v>0.71715278773040902</v>
      </c>
      <c r="AL786">
        <v>92.469942631062693</v>
      </c>
      <c r="AM786">
        <v>92.736109365686502</v>
      </c>
      <c r="AN786">
        <v>0.99999998520025102</v>
      </c>
    </row>
    <row r="787" spans="1:40" x14ac:dyDescent="0.25">
      <c r="A787" t="str">
        <f>"20190305135808071"</f>
        <v>20190305135808071</v>
      </c>
      <c r="B787" t="str">
        <f>"1551765488058993"</f>
        <v>1551765488058993</v>
      </c>
      <c r="C787" t="s">
        <v>40</v>
      </c>
      <c r="D787">
        <v>3.9688300000000001</v>
      </c>
      <c r="E787">
        <v>0.49820160000000002</v>
      </c>
      <c r="F787" t="s">
        <v>42</v>
      </c>
      <c r="G787">
        <v>-274.23309999999998</v>
      </c>
      <c r="H787" s="1">
        <v>-2.576354E-6</v>
      </c>
      <c r="I787">
        <v>368.93939999999998</v>
      </c>
      <c r="J787">
        <v>-298.81990000000002</v>
      </c>
      <c r="K787">
        <v>1.0593300000000001</v>
      </c>
      <c r="L787">
        <v>367.9151</v>
      </c>
      <c r="M787">
        <v>0.99989729999999999</v>
      </c>
      <c r="N787">
        <v>-1.1804159999999999E-2</v>
      </c>
      <c r="O787">
        <v>-8.1449969999999993E-3</v>
      </c>
      <c r="P787">
        <v>0.99765300000000001</v>
      </c>
      <c r="Q787">
        <v>-5.5920919999999999E-2</v>
      </c>
      <c r="R787">
        <v>3.9517400000000001E-2</v>
      </c>
      <c r="S787">
        <v>2.9949340000000002</v>
      </c>
      <c r="T787">
        <v>-0.1280376</v>
      </c>
      <c r="U787">
        <v>0.12362670000000001</v>
      </c>
      <c r="V787">
        <v>-4.7639470000000003E-2</v>
      </c>
      <c r="W787">
        <v>-4.4148300000000001E-2</v>
      </c>
      <c r="X787">
        <v>0.99788840000000001</v>
      </c>
      <c r="Y787">
        <v>-4.9319439999999999E-2</v>
      </c>
      <c r="Z787">
        <v>1.5965409999999999E-3</v>
      </c>
      <c r="AA787">
        <v>0.99878180000000005</v>
      </c>
      <c r="AB787">
        <v>33</v>
      </c>
      <c r="AC787">
        <v>24.5868</v>
      </c>
      <c r="AD787">
        <v>-1.05933257635399</v>
      </c>
      <c r="AE787">
        <v>1.02429999999998</v>
      </c>
      <c r="AF787">
        <v>-1.22227431299133</v>
      </c>
      <c r="AG787">
        <v>-1.05933257635399</v>
      </c>
      <c r="AH787">
        <v>24.532179326965601</v>
      </c>
      <c r="AI787">
        <v>92.469513541643593</v>
      </c>
      <c r="AJ787">
        <v>92.852306645982395</v>
      </c>
      <c r="AK787">
        <v>24.585442085387001</v>
      </c>
      <c r="AL787">
        <v>92.530333873764704</v>
      </c>
      <c r="AM787">
        <v>92.733241249480002</v>
      </c>
      <c r="AN787">
        <v>0.99999992517466196</v>
      </c>
    </row>
    <row r="788" spans="1:40" x14ac:dyDescent="0.25">
      <c r="A788" t="str">
        <f>"20190305135808083"</f>
        <v>20190305135808083</v>
      </c>
      <c r="B788" t="str">
        <f>"1551765488079489"</f>
        <v>1551765488079489</v>
      </c>
      <c r="C788" t="s">
        <v>40</v>
      </c>
      <c r="D788">
        <v>3.9313989999999999</v>
      </c>
      <c r="E788">
        <v>0.49773519999999999</v>
      </c>
      <c r="F788" t="s">
        <v>42</v>
      </c>
      <c r="G788">
        <v>-274.46789999999999</v>
      </c>
      <c r="H788" s="1">
        <v>-2.4628860000000002E-6</v>
      </c>
      <c r="I788">
        <v>369.01130000000001</v>
      </c>
      <c r="J788">
        <v>-298.65359999999998</v>
      </c>
      <c r="K788">
        <v>1.0593250000000001</v>
      </c>
      <c r="L788">
        <v>367.91379999999998</v>
      </c>
      <c r="M788">
        <v>0.99989740000000005</v>
      </c>
      <c r="N788">
        <v>-1.1803579999999999E-2</v>
      </c>
      <c r="O788">
        <v>-8.1196010000000006E-3</v>
      </c>
      <c r="P788">
        <v>0.99761409999999995</v>
      </c>
      <c r="Q788">
        <v>-5.6591059999999999E-2</v>
      </c>
      <c r="R788">
        <v>3.9543040000000002E-2</v>
      </c>
      <c r="S788">
        <v>2.9943849999999999</v>
      </c>
      <c r="T788">
        <v>-0.1302575</v>
      </c>
      <c r="U788">
        <v>0.1347961</v>
      </c>
      <c r="V788">
        <v>-4.7639470000000003E-2</v>
      </c>
      <c r="W788">
        <v>-4.4819419999999999E-2</v>
      </c>
      <c r="X788">
        <v>0.99785860000000004</v>
      </c>
      <c r="Y788">
        <v>-5.301351E-2</v>
      </c>
      <c r="Z788">
        <v>1.7222800000000001E-3</v>
      </c>
      <c r="AA788">
        <v>0.99859229999999999</v>
      </c>
      <c r="AB788">
        <v>33</v>
      </c>
      <c r="AC788">
        <v>24.185700000000001</v>
      </c>
      <c r="AD788">
        <v>-1.0593274628859899</v>
      </c>
      <c r="AE788">
        <v>1.0975000000000199</v>
      </c>
      <c r="AF788">
        <v>-1.29138340405478</v>
      </c>
      <c r="AG788">
        <v>-1.0593274628859899</v>
      </c>
      <c r="AH788">
        <v>24.1297948398011</v>
      </c>
      <c r="AI788">
        <v>92.510152985706199</v>
      </c>
      <c r="AJ788">
        <v>93.063444963304093</v>
      </c>
      <c r="AK788">
        <v>24.187534905004</v>
      </c>
      <c r="AL788">
        <v>92.568824020770407</v>
      </c>
      <c r="AM788">
        <v>92.733322751077296</v>
      </c>
      <c r="AN788">
        <v>1.00000004255248</v>
      </c>
    </row>
    <row r="789" spans="1:40" x14ac:dyDescent="0.25">
      <c r="A789" t="str">
        <f>"20190305135808093"</f>
        <v>20190305135808093</v>
      </c>
      <c r="B789" t="str">
        <f>"1551765488089250"</f>
        <v>1551765488089250</v>
      </c>
      <c r="C789" t="s">
        <v>40</v>
      </c>
      <c r="D789">
        <v>4.0596069999999997</v>
      </c>
      <c r="E789">
        <v>0.49900319999999998</v>
      </c>
      <c r="F789" t="s">
        <v>42</v>
      </c>
      <c r="G789">
        <v>-274.4289</v>
      </c>
      <c r="H789" s="1">
        <v>-2.475359E-6</v>
      </c>
      <c r="I789">
        <v>369.03539999999998</v>
      </c>
      <c r="J789">
        <v>-298.49759999999998</v>
      </c>
      <c r="K789">
        <v>1.0593220000000001</v>
      </c>
      <c r="L789">
        <v>367.91250000000002</v>
      </c>
      <c r="M789">
        <v>0.9998977</v>
      </c>
      <c r="N789">
        <v>-1.180311E-2</v>
      </c>
      <c r="O789">
        <v>-8.0957570000000003E-3</v>
      </c>
      <c r="P789">
        <v>0.99758060000000004</v>
      </c>
      <c r="Q789">
        <v>-5.7052810000000002E-2</v>
      </c>
      <c r="R789">
        <v>3.9727999999999999E-2</v>
      </c>
      <c r="S789">
        <v>2.9942319999999998</v>
      </c>
      <c r="T789">
        <v>-0.130935</v>
      </c>
      <c r="U789">
        <v>0.1386414</v>
      </c>
      <c r="V789">
        <v>-4.7800250000000002E-2</v>
      </c>
      <c r="W789">
        <v>-4.5282019999999999E-2</v>
      </c>
      <c r="X789">
        <v>0.99782999999999999</v>
      </c>
      <c r="Y789">
        <v>-5.426951E-2</v>
      </c>
      <c r="Z789">
        <v>1.7642329999999901E-3</v>
      </c>
      <c r="AA789">
        <v>0.99852479999999999</v>
      </c>
      <c r="AB789">
        <v>33</v>
      </c>
      <c r="AC789">
        <v>24.0686999999999</v>
      </c>
      <c r="AD789">
        <v>-1.0593244753590001</v>
      </c>
      <c r="AE789">
        <v>1.12289999999995</v>
      </c>
      <c r="AF789">
        <v>-1.3151889676055599</v>
      </c>
      <c r="AG789">
        <v>-1.0593244753590001</v>
      </c>
      <c r="AH789">
        <v>24.012406288537999</v>
      </c>
      <c r="AI789">
        <v>92.522230956791404</v>
      </c>
      <c r="AJ789">
        <v>93.135027768230898</v>
      </c>
      <c r="AK789">
        <v>24.071716725867802</v>
      </c>
      <c r="AL789">
        <v>92.595356051548606</v>
      </c>
      <c r="AM789">
        <v>92.742611957814503</v>
      </c>
      <c r="AN789">
        <v>1.0000000170676699</v>
      </c>
    </row>
    <row r="790" spans="1:40" x14ac:dyDescent="0.25">
      <c r="A790" t="str">
        <f>"20190305135808104"</f>
        <v>20190305135808104</v>
      </c>
      <c r="B790" t="str">
        <f>"1551765488099010"</f>
        <v>1551765488099010</v>
      </c>
      <c r="C790" t="s">
        <v>40</v>
      </c>
      <c r="D790">
        <v>3.933001</v>
      </c>
      <c r="E790">
        <v>0.49886239999999998</v>
      </c>
      <c r="F790" t="s">
        <v>42</v>
      </c>
      <c r="G790">
        <v>-276.04509999999999</v>
      </c>
      <c r="H790" s="1">
        <v>-1.810261E-6</v>
      </c>
      <c r="I790">
        <v>368.87619999999998</v>
      </c>
      <c r="J790">
        <v>-298.33249999999998</v>
      </c>
      <c r="K790">
        <v>1.059321</v>
      </c>
      <c r="L790">
        <v>367.91120000000001</v>
      </c>
      <c r="M790">
        <v>0.99989790000000001</v>
      </c>
      <c r="N790">
        <v>-1.180266E-2</v>
      </c>
      <c r="O790">
        <v>-8.0708389999999998E-3</v>
      </c>
      <c r="P790">
        <v>0.99753729999999996</v>
      </c>
      <c r="Q790">
        <v>-5.7360599999999998E-2</v>
      </c>
      <c r="R790">
        <v>4.0365209999999999E-2</v>
      </c>
      <c r="S790">
        <v>2.9940799999999999</v>
      </c>
      <c r="T790">
        <v>-0.1412622</v>
      </c>
      <c r="U790">
        <v>0.1285095</v>
      </c>
      <c r="V790">
        <v>-4.8411910000000002E-2</v>
      </c>
      <c r="W790">
        <v>-4.5590869999999999E-2</v>
      </c>
      <c r="X790">
        <v>0.99778639999999996</v>
      </c>
      <c r="Y790">
        <v>-5.0868620000000003E-2</v>
      </c>
      <c r="Z790">
        <v>1.7845739999999999E-3</v>
      </c>
      <c r="AA790">
        <v>0.99870380000000003</v>
      </c>
      <c r="AB790">
        <v>33</v>
      </c>
      <c r="AC790">
        <v>22.287399999999899</v>
      </c>
      <c r="AD790">
        <v>-1.0593228102609999</v>
      </c>
      <c r="AE790">
        <v>0.96499999999997499</v>
      </c>
      <c r="AF790">
        <v>-1.14228337262321</v>
      </c>
      <c r="AG790">
        <v>-1.0593228102609999</v>
      </c>
      <c r="AH790">
        <v>22.228761799156398</v>
      </c>
      <c r="AI790">
        <v>92.724805087659405</v>
      </c>
      <c r="AJ790">
        <v>92.941706725799406</v>
      </c>
      <c r="AK790">
        <v>22.283285826900499</v>
      </c>
      <c r="AL790">
        <v>92.613070269827006</v>
      </c>
      <c r="AM790">
        <v>92.777773448462</v>
      </c>
      <c r="AN790">
        <v>0.999999970241082</v>
      </c>
    </row>
    <row r="791" spans="1:40" x14ac:dyDescent="0.25">
      <c r="A791" t="str">
        <f>"20190305135808115"</f>
        <v>20190305135808115</v>
      </c>
      <c r="B791" t="str">
        <f>"1551765488109746"</f>
        <v>1551765488109746</v>
      </c>
      <c r="C791" t="s">
        <v>40</v>
      </c>
      <c r="D791">
        <v>3.8904800000000002</v>
      </c>
      <c r="E791">
        <v>0.4985636</v>
      </c>
      <c r="F791" t="s">
        <v>42</v>
      </c>
      <c r="G791">
        <v>-275.55380000000002</v>
      </c>
      <c r="H791" s="1">
        <v>-2.0140940000000002E-6</v>
      </c>
      <c r="I791">
        <v>368.9151</v>
      </c>
      <c r="J791">
        <v>-298.17009999999999</v>
      </c>
      <c r="K791">
        <v>1.059321</v>
      </c>
      <c r="L791">
        <v>367.91</v>
      </c>
      <c r="M791">
        <v>0.99989810000000001</v>
      </c>
      <c r="N791">
        <v>-1.180226E-2</v>
      </c>
      <c r="O791">
        <v>-8.0462769999999992E-3</v>
      </c>
      <c r="P791">
        <v>0.99754209999999999</v>
      </c>
      <c r="Q791">
        <v>-5.6889219999999997E-2</v>
      </c>
      <c r="R791">
        <v>4.0909510000000003E-2</v>
      </c>
      <c r="S791">
        <v>2.9940190000000002</v>
      </c>
      <c r="T791">
        <v>-0.13923650000000001</v>
      </c>
      <c r="U791">
        <v>0.13195799999999999</v>
      </c>
      <c r="V791">
        <v>-4.8931549999999997E-2</v>
      </c>
      <c r="W791">
        <v>-4.5119960000000001E-2</v>
      </c>
      <c r="X791">
        <v>0.99778250000000002</v>
      </c>
      <c r="Y791">
        <v>-5.1993560000000001E-2</v>
      </c>
      <c r="Z791">
        <v>1.7938679999999999E-3</v>
      </c>
      <c r="AA791">
        <v>0.99864580000000003</v>
      </c>
      <c r="AB791">
        <v>33</v>
      </c>
      <c r="AC791">
        <v>22.616299999999899</v>
      </c>
      <c r="AD791">
        <v>-1.059323014094</v>
      </c>
      <c r="AE791">
        <v>1.0050999999999699</v>
      </c>
      <c r="AF791">
        <v>-1.1844636721077999</v>
      </c>
      <c r="AG791">
        <v>-1.059323014094</v>
      </c>
      <c r="AH791">
        <v>22.558087611674299</v>
      </c>
      <c r="AI791">
        <v>92.6849292669243</v>
      </c>
      <c r="AJ791">
        <v>93.005684945387202</v>
      </c>
      <c r="AK791">
        <v>22.613987621264599</v>
      </c>
      <c r="AL791">
        <v>92.586061209750696</v>
      </c>
      <c r="AM791">
        <v>92.807552802262407</v>
      </c>
      <c r="AN791">
        <v>1.00000001234102</v>
      </c>
    </row>
    <row r="792" spans="1:40" x14ac:dyDescent="0.25">
      <c r="A792" t="str">
        <f>"20190305135808126"</f>
        <v>20190305135808126</v>
      </c>
      <c r="B792" t="str">
        <f>"1551765488119505"</f>
        <v>1551765488119505</v>
      </c>
      <c r="C792" t="s">
        <v>40</v>
      </c>
      <c r="D792">
        <v>3.88775</v>
      </c>
      <c r="E792">
        <v>0.49831809999999999</v>
      </c>
      <c r="F792" t="s">
        <v>42</v>
      </c>
      <c r="G792">
        <v>-274.8784</v>
      </c>
      <c r="H792" s="1">
        <v>-2.2946029999999999E-6</v>
      </c>
      <c r="I792">
        <v>368.96730000000002</v>
      </c>
      <c r="J792">
        <v>-298.01049999999998</v>
      </c>
      <c r="K792">
        <v>1.059323</v>
      </c>
      <c r="L792">
        <v>367.90870000000001</v>
      </c>
      <c r="M792">
        <v>0.99989830000000002</v>
      </c>
      <c r="N792">
        <v>-1.180193E-2</v>
      </c>
      <c r="O792">
        <v>-8.0217209999999903E-3</v>
      </c>
      <c r="P792">
        <v>0.9975311</v>
      </c>
      <c r="Q792">
        <v>-5.6761150000000003E-2</v>
      </c>
      <c r="R792">
        <v>4.135606E-2</v>
      </c>
      <c r="S792">
        <v>2.994049</v>
      </c>
      <c r="T792">
        <v>-0.13617070000000001</v>
      </c>
      <c r="U792">
        <v>0.1359253</v>
      </c>
      <c r="V792">
        <v>-4.9353859999999999E-2</v>
      </c>
      <c r="W792">
        <v>-4.4992400000000002E-2</v>
      </c>
      <c r="X792">
        <v>0.99776739999999997</v>
      </c>
      <c r="Y792">
        <v>-5.3290530000000003E-2</v>
      </c>
      <c r="Z792">
        <v>1.7953159999999999E-3</v>
      </c>
      <c r="AA792">
        <v>0.99857739999999995</v>
      </c>
      <c r="AB792">
        <v>33</v>
      </c>
      <c r="AC792">
        <v>23.132099999999902</v>
      </c>
      <c r="AD792">
        <v>-1.0593252946030001</v>
      </c>
      <c r="AE792">
        <v>1.05860000000001</v>
      </c>
      <c r="AF792">
        <v>-1.2415398409921601</v>
      </c>
      <c r="AG792">
        <v>-1.0593252946030001</v>
      </c>
      <c r="AH792">
        <v>23.074573641414698</v>
      </c>
      <c r="AI792">
        <v>92.624741861922999</v>
      </c>
      <c r="AJ792">
        <v>93.0798604110865</v>
      </c>
      <c r="AK792">
        <v>23.132218656878202</v>
      </c>
      <c r="AL792">
        <v>92.578745286026304</v>
      </c>
      <c r="AM792">
        <v>92.8317872599889</v>
      </c>
      <c r="AN792">
        <v>0.99999995202870795</v>
      </c>
    </row>
    <row r="793" spans="1:40" x14ac:dyDescent="0.25">
      <c r="A793" t="str">
        <f>"20190305135808137"</f>
        <v>20190305135808137</v>
      </c>
      <c r="B793" t="str">
        <f>"1551765488129265"</f>
        <v>1551765488129265</v>
      </c>
      <c r="C793" t="s">
        <v>40</v>
      </c>
      <c r="D793">
        <v>3.8930859999999998</v>
      </c>
      <c r="E793">
        <v>0.4981662</v>
      </c>
      <c r="F793" t="s">
        <v>42</v>
      </c>
      <c r="G793">
        <v>-274.57380000000001</v>
      </c>
      <c r="H793" s="1">
        <v>-2.4198309999999999E-6</v>
      </c>
      <c r="I793">
        <v>368.99799999999999</v>
      </c>
      <c r="J793">
        <v>-297.8476</v>
      </c>
      <c r="K793">
        <v>1.059323</v>
      </c>
      <c r="L793">
        <v>367.90750000000003</v>
      </c>
      <c r="M793">
        <v>0.99989850000000002</v>
      </c>
      <c r="N793">
        <v>-1.1801620000000001E-2</v>
      </c>
      <c r="O793">
        <v>-7.9966889999999995E-3</v>
      </c>
      <c r="P793">
        <v>0.99750669999999997</v>
      </c>
      <c r="Q793">
        <v>-5.6660330000000002E-2</v>
      </c>
      <c r="R793">
        <v>4.2077169999999997E-2</v>
      </c>
      <c r="S793">
        <v>2.9939879999999999</v>
      </c>
      <c r="T793">
        <v>-0.135326</v>
      </c>
      <c r="U793">
        <v>0.13916020000000001</v>
      </c>
      <c r="V793">
        <v>-5.0049650000000001E-2</v>
      </c>
      <c r="W793">
        <v>-4.4892269999999998E-2</v>
      </c>
      <c r="X793">
        <v>0.99773730000000005</v>
      </c>
      <c r="Y793">
        <v>-5.4342559999999998E-2</v>
      </c>
      <c r="Z793">
        <v>1.8146810000000001E-3</v>
      </c>
      <c r="AA793">
        <v>0.99852070000000004</v>
      </c>
      <c r="AB793">
        <v>33</v>
      </c>
      <c r="AC793">
        <v>23.273799999999898</v>
      </c>
      <c r="AD793">
        <v>-1.059325419831</v>
      </c>
      <c r="AE793">
        <v>1.09050000000002</v>
      </c>
      <c r="AF793">
        <v>-1.27395794723136</v>
      </c>
      <c r="AG793">
        <v>-1.059325419831</v>
      </c>
      <c r="AH793">
        <v>23.2163431034521</v>
      </c>
      <c r="AI793">
        <v>92.608585814121696</v>
      </c>
      <c r="AJ793">
        <v>93.140860012272896</v>
      </c>
      <c r="AK793">
        <v>23.275388853757601</v>
      </c>
      <c r="AL793">
        <v>92.573002329082001</v>
      </c>
      <c r="AM793">
        <v>92.871729883607699</v>
      </c>
      <c r="AN793">
        <v>1.0000000015910799</v>
      </c>
    </row>
    <row r="794" spans="1:40" x14ac:dyDescent="0.25">
      <c r="A794" t="str">
        <f>"20190305135808148"</f>
        <v>20190305135808148</v>
      </c>
      <c r="B794" t="str">
        <f>"1551765488139027"</f>
        <v>1551765488139027</v>
      </c>
      <c r="C794" t="s">
        <v>40</v>
      </c>
      <c r="D794">
        <v>3.925586</v>
      </c>
      <c r="E794">
        <v>0.49815019999999999</v>
      </c>
      <c r="F794" t="s">
        <v>42</v>
      </c>
      <c r="G794">
        <v>-274.10820000000001</v>
      </c>
      <c r="H794" s="1">
        <v>-2.6122390000000002E-6</v>
      </c>
      <c r="I794">
        <v>369.03919999999999</v>
      </c>
      <c r="J794">
        <v>-297.68619999999999</v>
      </c>
      <c r="K794">
        <v>1.059323</v>
      </c>
      <c r="L794">
        <v>367.90620000000001</v>
      </c>
      <c r="M794">
        <v>0.99989870000000003</v>
      </c>
      <c r="N794">
        <v>-1.180138E-2</v>
      </c>
      <c r="O794">
        <v>-7.9744109999999903E-3</v>
      </c>
      <c r="P794">
        <v>0.99748110000000001</v>
      </c>
      <c r="Q794">
        <v>-5.668981E-2</v>
      </c>
      <c r="R794">
        <v>4.2638969999999998E-2</v>
      </c>
      <c r="S794">
        <v>2.9939269999999998</v>
      </c>
      <c r="T794">
        <v>-0.13359789999999999</v>
      </c>
      <c r="U794">
        <v>0.14273069999999999</v>
      </c>
      <c r="V794">
        <v>-5.0589090000000003E-2</v>
      </c>
      <c r="W794">
        <v>-4.4922240000000002E-2</v>
      </c>
      <c r="X794">
        <v>0.9977087</v>
      </c>
      <c r="Y794">
        <v>-5.5509709999999997E-2</v>
      </c>
      <c r="Z794">
        <v>1.826591E-3</v>
      </c>
      <c r="AA794">
        <v>0.99845649999999997</v>
      </c>
      <c r="AB794">
        <v>33</v>
      </c>
      <c r="AC794">
        <v>23.5779999999999</v>
      </c>
      <c r="AD794">
        <v>-1.059325612239</v>
      </c>
      <c r="AE794">
        <v>1.13299999999998</v>
      </c>
      <c r="AF794">
        <v>-1.31834265769076</v>
      </c>
      <c r="AG794">
        <v>-1.059325612239</v>
      </c>
      <c r="AH794">
        <v>23.520845347806201</v>
      </c>
      <c r="AI794">
        <v>92.574693838333005</v>
      </c>
      <c r="AJ794">
        <v>93.208069997882404</v>
      </c>
      <c r="AK794">
        <v>23.5815683106796</v>
      </c>
      <c r="AL794">
        <v>92.574721332909903</v>
      </c>
      <c r="AM794">
        <v>92.902712081935107</v>
      </c>
      <c r="AN794">
        <v>0.99999995686466603</v>
      </c>
    </row>
    <row r="795" spans="1:40" x14ac:dyDescent="0.25">
      <c r="A795" t="str">
        <f>"20190305135808159"</f>
        <v>20190305135808159</v>
      </c>
      <c r="B795" t="str">
        <f>"1551765488149762"</f>
        <v>1551765488149762</v>
      </c>
      <c r="C795" t="s">
        <v>40</v>
      </c>
      <c r="D795">
        <v>3.9458769999999999</v>
      </c>
      <c r="E795">
        <v>0.49812610000000002</v>
      </c>
      <c r="F795" t="s">
        <v>42</v>
      </c>
      <c r="G795">
        <v>-273.84859999999998</v>
      </c>
      <c r="H795" s="1">
        <v>-2.7201710000000001E-6</v>
      </c>
      <c r="I795">
        <v>369.05860000000001</v>
      </c>
      <c r="J795">
        <v>-297.51920000000001</v>
      </c>
      <c r="K795">
        <v>1.0593220000000001</v>
      </c>
      <c r="L795">
        <v>367.9049</v>
      </c>
      <c r="M795">
        <v>0.99989879999999998</v>
      </c>
      <c r="N795">
        <v>-1.180114E-2</v>
      </c>
      <c r="O795">
        <v>-7.9518999999999996E-3</v>
      </c>
      <c r="P795">
        <v>0.99748939999999997</v>
      </c>
      <c r="Q795">
        <v>-5.6086129999999998E-2</v>
      </c>
      <c r="R795">
        <v>4.3234769999999999E-2</v>
      </c>
      <c r="S795">
        <v>2.9938660000000001</v>
      </c>
      <c r="T795">
        <v>-0.13304469999999999</v>
      </c>
      <c r="U795">
        <v>0.14474489999999901</v>
      </c>
      <c r="V795">
        <v>-5.1162779999999998E-2</v>
      </c>
      <c r="W795">
        <v>-4.4318650000000001E-2</v>
      </c>
      <c r="X795">
        <v>0.99770650000000005</v>
      </c>
      <c r="Y795">
        <v>-5.6158130000000001E-2</v>
      </c>
      <c r="Z795">
        <v>1.8374999999999999E-3</v>
      </c>
      <c r="AA795">
        <v>0.99842019999999998</v>
      </c>
      <c r="AB795">
        <v>33</v>
      </c>
      <c r="AC795">
        <v>23.6706</v>
      </c>
      <c r="AD795">
        <v>-1.0593247201710001</v>
      </c>
      <c r="AE795">
        <v>1.1537000000000099</v>
      </c>
      <c r="AF795">
        <v>-1.33922700045604</v>
      </c>
      <c r="AG795">
        <v>-1.0593247201710001</v>
      </c>
      <c r="AH795">
        <v>23.613495505391899</v>
      </c>
      <c r="AI795">
        <v>92.564507448175704</v>
      </c>
      <c r="AJ795">
        <v>93.2460227232405</v>
      </c>
      <c r="AK795">
        <v>23.6751529626458</v>
      </c>
      <c r="AL795">
        <v>92.540103541073904</v>
      </c>
      <c r="AM795">
        <v>92.935578601807507</v>
      </c>
      <c r="AN795">
        <v>1.0000000164687</v>
      </c>
    </row>
    <row r="796" spans="1:40" x14ac:dyDescent="0.25">
      <c r="A796" t="str">
        <f>"20190305135808170"</f>
        <v>20190305135808170</v>
      </c>
      <c r="B796" t="str">
        <f>"1551765488159521"</f>
        <v>1551765488159521</v>
      </c>
      <c r="C796" t="s">
        <v>40</v>
      </c>
      <c r="D796">
        <v>3.9198149999999998</v>
      </c>
      <c r="E796">
        <v>0.4980772</v>
      </c>
      <c r="F796" t="s">
        <v>42</v>
      </c>
      <c r="G796">
        <v>-273.23880000000003</v>
      </c>
      <c r="H796" s="1">
        <v>-2.9753469999999999E-6</v>
      </c>
      <c r="I796">
        <v>369.09480000000002</v>
      </c>
      <c r="J796">
        <v>-297.35739999999998</v>
      </c>
      <c r="K796">
        <v>1.05932</v>
      </c>
      <c r="L796">
        <v>367.90359999999998</v>
      </c>
      <c r="M796">
        <v>0.99989899999999998</v>
      </c>
      <c r="N796">
        <v>-1.1800980000000001E-2</v>
      </c>
      <c r="O796">
        <v>-7.9340569999999996E-3</v>
      </c>
      <c r="P796">
        <v>0.99747399999999997</v>
      </c>
      <c r="Q796">
        <v>-5.5955499999999998E-2</v>
      </c>
      <c r="R796">
        <v>4.3762700000000002E-2</v>
      </c>
      <c r="S796">
        <v>2.993805</v>
      </c>
      <c r="T796">
        <v>-0.1306157</v>
      </c>
      <c r="U796">
        <v>0.14672850000000001</v>
      </c>
      <c r="V796">
        <v>-5.167306E-2</v>
      </c>
      <c r="W796">
        <v>-4.4188079999999998E-2</v>
      </c>
      <c r="X796">
        <v>0.99768599999999996</v>
      </c>
      <c r="Y796">
        <v>-5.6802970000000001E-2</v>
      </c>
      <c r="Z796">
        <v>1.8256220000000001E-3</v>
      </c>
      <c r="AA796">
        <v>0.99838380000000004</v>
      </c>
      <c r="AB796">
        <v>33</v>
      </c>
      <c r="AC796">
        <v>24.118599999999901</v>
      </c>
      <c r="AD796">
        <v>-1.0593229753469999</v>
      </c>
      <c r="AE796">
        <v>1.19120000000003</v>
      </c>
      <c r="AF796">
        <v>-1.3798787199706199</v>
      </c>
      <c r="AG796">
        <v>-1.0593229753469999</v>
      </c>
      <c r="AH796">
        <v>24.062084067562001</v>
      </c>
      <c r="AI796">
        <v>92.516665028151493</v>
      </c>
      <c r="AJ796">
        <v>93.282123423199806</v>
      </c>
      <c r="AK796">
        <v>24.124885909001701</v>
      </c>
      <c r="AL796">
        <v>92.532615078400497</v>
      </c>
      <c r="AM796">
        <v>92.964865886598801</v>
      </c>
      <c r="AN796">
        <v>1.00000002306992</v>
      </c>
    </row>
    <row r="797" spans="1:40" x14ac:dyDescent="0.25">
      <c r="A797" t="str">
        <f>"20190305135808181"</f>
        <v>20190305135808181</v>
      </c>
      <c r="B797" t="str">
        <f>"1551765488179042"</f>
        <v>1551765488179042</v>
      </c>
      <c r="C797" t="s">
        <v>40</v>
      </c>
      <c r="D797">
        <v>3.9691619999999999</v>
      </c>
      <c r="E797">
        <v>0.49793900000000002</v>
      </c>
      <c r="F797" t="s">
        <v>42</v>
      </c>
      <c r="G797">
        <v>-272.92500000000001</v>
      </c>
      <c r="H797" s="1">
        <v>-3.1059389999999998E-6</v>
      </c>
      <c r="I797">
        <v>369.11750000000001</v>
      </c>
      <c r="J797">
        <v>-297.19369999999998</v>
      </c>
      <c r="K797">
        <v>1.0593220000000001</v>
      </c>
      <c r="L797">
        <v>367.90230000000003</v>
      </c>
      <c r="M797">
        <v>0.99989910000000004</v>
      </c>
      <c r="N797">
        <v>-1.180085E-2</v>
      </c>
      <c r="O797">
        <v>-7.9172949999999995E-3</v>
      </c>
      <c r="P797">
        <v>0.99742609999999998</v>
      </c>
      <c r="Q797">
        <v>-5.6345729999999997E-2</v>
      </c>
      <c r="R797">
        <v>4.434664E-2</v>
      </c>
      <c r="S797">
        <v>2.9937740000000002</v>
      </c>
      <c r="T797">
        <v>-0.129802</v>
      </c>
      <c r="U797">
        <v>0.14874270000000001</v>
      </c>
      <c r="V797">
        <v>-5.2240179999999997E-2</v>
      </c>
      <c r="W797">
        <v>-4.4578659999999999E-2</v>
      </c>
      <c r="X797">
        <v>0.9976391</v>
      </c>
      <c r="Y797">
        <v>-5.7456840000000002E-2</v>
      </c>
      <c r="Z797">
        <v>1.8332520000000001E-3</v>
      </c>
      <c r="AA797">
        <v>0.99834630000000002</v>
      </c>
      <c r="AB797">
        <v>33</v>
      </c>
      <c r="AC797">
        <v>24.2686999999999</v>
      </c>
      <c r="AD797">
        <v>-1.0593251059390001</v>
      </c>
      <c r="AE797">
        <v>1.2151999999999801</v>
      </c>
      <c r="AF797">
        <v>-1.40464813440516</v>
      </c>
      <c r="AG797">
        <v>-1.0593251059390001</v>
      </c>
      <c r="AH797">
        <v>24.212300944200798</v>
      </c>
      <c r="AI797">
        <v>92.500980347724806</v>
      </c>
      <c r="AJ797">
        <v>93.320225677396493</v>
      </c>
      <c r="AK797">
        <v>24.276134846266299</v>
      </c>
      <c r="AL797">
        <v>92.555015710909998</v>
      </c>
      <c r="AM797">
        <v>92.997487395061398</v>
      </c>
      <c r="AN797">
        <v>1.00000003359131</v>
      </c>
    </row>
    <row r="798" spans="1:40" x14ac:dyDescent="0.25">
      <c r="A798" t="str">
        <f>"20190305135808192"</f>
        <v>20190305135808192</v>
      </c>
      <c r="B798" t="str">
        <f>"1551765488189778"</f>
        <v>1551765488189778</v>
      </c>
      <c r="C798" t="s">
        <v>40</v>
      </c>
      <c r="D798">
        <v>3.8903470000000002</v>
      </c>
      <c r="E798">
        <v>0.49795040000000002</v>
      </c>
      <c r="F798" t="s">
        <v>42</v>
      </c>
      <c r="G798">
        <v>-273.00909999999999</v>
      </c>
      <c r="H798" s="1">
        <v>-3.0676719999999999E-6</v>
      </c>
      <c r="I798">
        <v>369.12979999999999</v>
      </c>
      <c r="J798">
        <v>-297.02670000000001</v>
      </c>
      <c r="K798">
        <v>1.0593170000000001</v>
      </c>
      <c r="L798">
        <v>367.90109999999999</v>
      </c>
      <c r="M798">
        <v>0.99989919999999999</v>
      </c>
      <c r="N798">
        <v>-1.180075E-2</v>
      </c>
      <c r="O798">
        <v>-7.9035279999999999E-3</v>
      </c>
      <c r="P798">
        <v>0.99738380000000004</v>
      </c>
      <c r="Q798">
        <v>-5.6823720000000001E-2</v>
      </c>
      <c r="R798">
        <v>4.4685679999999998E-2</v>
      </c>
      <c r="S798">
        <v>2.9936219999999998</v>
      </c>
      <c r="T798">
        <v>-0.1311252</v>
      </c>
      <c r="U798">
        <v>0.151947</v>
      </c>
      <c r="V798">
        <v>-5.256537E-2</v>
      </c>
      <c r="W798">
        <v>-4.5056720000000001E-2</v>
      </c>
      <c r="X798">
        <v>0.9976005</v>
      </c>
      <c r="Y798">
        <v>-5.8508879999999999E-2</v>
      </c>
      <c r="Z798">
        <v>1.878259E-3</v>
      </c>
      <c r="AA798">
        <v>0.99828510000000004</v>
      </c>
      <c r="AB798">
        <v>33</v>
      </c>
      <c r="AC798">
        <v>24.017600000000002</v>
      </c>
      <c r="AD798">
        <v>-1.0593200676719901</v>
      </c>
      <c r="AE798">
        <v>1.2286999999999999</v>
      </c>
      <c r="AF798">
        <v>-1.4157516711637701</v>
      </c>
      <c r="AG798">
        <v>-1.0593200676719901</v>
      </c>
      <c r="AH798">
        <v>23.9606481053703</v>
      </c>
      <c r="AI798">
        <v>92.527043675651598</v>
      </c>
      <c r="AJ798">
        <v>93.381477575168006</v>
      </c>
      <c r="AK798">
        <v>24.025802159960499</v>
      </c>
      <c r="AL798">
        <v>92.582434188877798</v>
      </c>
      <c r="AM798">
        <v>93.016228601546601</v>
      </c>
      <c r="AN798">
        <v>0.99999999187032196</v>
      </c>
    </row>
    <row r="799" spans="1:40" x14ac:dyDescent="0.25">
      <c r="A799" t="str">
        <f>"20190305135808204"</f>
        <v>20190305135808204</v>
      </c>
      <c r="B799" t="str">
        <f>"1551765488199537"</f>
        <v>1551765488199537</v>
      </c>
      <c r="C799" t="s">
        <v>40</v>
      </c>
      <c r="D799">
        <v>3.9244750000000002</v>
      </c>
      <c r="E799">
        <v>0.49801580000000001</v>
      </c>
      <c r="F799" t="s">
        <v>42</v>
      </c>
      <c r="G799">
        <v>-273.05529999999999</v>
      </c>
      <c r="H799" s="1">
        <v>-3.0487309999999999E-6</v>
      </c>
      <c r="I799">
        <v>369.12490000000003</v>
      </c>
      <c r="J799">
        <v>-296.87020000000001</v>
      </c>
      <c r="K799">
        <v>1.0593140000000001</v>
      </c>
      <c r="L799">
        <v>367.89980000000003</v>
      </c>
      <c r="M799">
        <v>0.99989930000000005</v>
      </c>
      <c r="N799">
        <v>-1.1800690000000001E-2</v>
      </c>
      <c r="O799">
        <v>-7.8928590000000003E-3</v>
      </c>
      <c r="P799">
        <v>0.99732259999999995</v>
      </c>
      <c r="Q799">
        <v>-5.7738449999999997E-2</v>
      </c>
      <c r="R799">
        <v>4.4877970000000003E-2</v>
      </c>
      <c r="S799">
        <v>2.9934690000000002</v>
      </c>
      <c r="T799">
        <v>-0.13228419999999999</v>
      </c>
      <c r="U799">
        <v>0.152832</v>
      </c>
      <c r="V799">
        <v>-5.2747740000000001E-2</v>
      </c>
      <c r="W799">
        <v>-4.5971650000000003E-2</v>
      </c>
      <c r="X799">
        <v>0.99754909999999997</v>
      </c>
      <c r="Y799">
        <v>-5.8793610000000003E-2</v>
      </c>
      <c r="Z799">
        <v>1.900313E-3</v>
      </c>
      <c r="AA799">
        <v>0.99826839999999994</v>
      </c>
      <c r="AB799">
        <v>33</v>
      </c>
      <c r="AC799">
        <v>23.814900000000002</v>
      </c>
      <c r="AD799">
        <v>-1.059317048731</v>
      </c>
      <c r="AE799">
        <v>1.2250999999999901</v>
      </c>
      <c r="AF799">
        <v>-1.41025960370159</v>
      </c>
      <c r="AG799">
        <v>-1.059317048731</v>
      </c>
      <c r="AH799">
        <v>23.7576055285938</v>
      </c>
      <c r="AI799">
        <v>92.548564123993202</v>
      </c>
      <c r="AJ799">
        <v>93.397110767406403</v>
      </c>
      <c r="AK799">
        <v>23.822989006668301</v>
      </c>
      <c r="AL799">
        <v>92.634910279283602</v>
      </c>
      <c r="AM799">
        <v>93.026829328201103</v>
      </c>
      <c r="AN799">
        <v>0.99999996179481898</v>
      </c>
    </row>
    <row r="800" spans="1:40" x14ac:dyDescent="0.25">
      <c r="A800" t="str">
        <f>"20190305135808215"</f>
        <v>20190305135808215</v>
      </c>
      <c r="B800" t="str">
        <f>"1551765488209297"</f>
        <v>1551765488209297</v>
      </c>
      <c r="C800" t="s">
        <v>40</v>
      </c>
      <c r="D800">
        <v>3.9277220000000002</v>
      </c>
      <c r="E800">
        <v>0.4979904</v>
      </c>
      <c r="F800" t="s">
        <v>42</v>
      </c>
      <c r="G800">
        <v>-273.34739999999999</v>
      </c>
      <c r="H800" s="1">
        <v>-2.927773E-6</v>
      </c>
      <c r="I800">
        <v>369.10059999999999</v>
      </c>
      <c r="J800">
        <v>-296.6961</v>
      </c>
      <c r="K800">
        <v>1.059307</v>
      </c>
      <c r="L800">
        <v>367.89850000000001</v>
      </c>
      <c r="M800">
        <v>0.99989939999999999</v>
      </c>
      <c r="N800">
        <v>-1.1800639999999999E-2</v>
      </c>
      <c r="O800">
        <v>-7.8832720000000002E-3</v>
      </c>
      <c r="P800">
        <v>0.99726210000000004</v>
      </c>
      <c r="Q800">
        <v>-5.8719840000000002E-2</v>
      </c>
      <c r="R800">
        <v>4.4953960000000001E-2</v>
      </c>
      <c r="S800">
        <v>2.9933779999999999</v>
      </c>
      <c r="T800">
        <v>-0.1348019</v>
      </c>
      <c r="U800">
        <v>0.15280150000000001</v>
      </c>
      <c r="V800">
        <v>-5.2813819999999997E-2</v>
      </c>
      <c r="W800">
        <v>-4.6953109999999999E-2</v>
      </c>
      <c r="X800">
        <v>0.99749989999999999</v>
      </c>
      <c r="Y800">
        <v>-5.877276E-2</v>
      </c>
      <c r="Z800">
        <v>1.9307580000000001E-3</v>
      </c>
      <c r="AA800">
        <v>0.99826950000000003</v>
      </c>
      <c r="AB800">
        <v>33</v>
      </c>
      <c r="AC800">
        <v>23.348700000000001</v>
      </c>
      <c r="AD800">
        <v>-1.059309927773</v>
      </c>
      <c r="AE800">
        <v>1.20209999999997</v>
      </c>
      <c r="AF800">
        <v>-1.3832997948869701</v>
      </c>
      <c r="AG800">
        <v>-1.059309927773</v>
      </c>
      <c r="AH800">
        <v>23.2906834339977</v>
      </c>
      <c r="AI800">
        <v>92.599564850769497</v>
      </c>
      <c r="AJ800">
        <v>93.398966091863898</v>
      </c>
      <c r="AK800">
        <v>23.355761402024701</v>
      </c>
      <c r="AL800">
        <v>92.691204566735607</v>
      </c>
      <c r="AM800">
        <v>93.030763341086995</v>
      </c>
      <c r="AN800">
        <v>0.99999997231083604</v>
      </c>
    </row>
    <row r="801" spans="1:40" x14ac:dyDescent="0.25">
      <c r="A801" t="str">
        <f>"20190305135808227"</f>
        <v>20190305135808227</v>
      </c>
      <c r="B801" t="str">
        <f>"1551765488220033"</f>
        <v>1551765488220033</v>
      </c>
      <c r="C801" t="s">
        <v>40</v>
      </c>
      <c r="D801">
        <v>3.7551580000000002</v>
      </c>
      <c r="E801">
        <v>0.4979904</v>
      </c>
      <c r="F801" t="s">
        <v>42</v>
      </c>
      <c r="G801">
        <v>-273.76479999999998</v>
      </c>
      <c r="H801" s="1">
        <v>-2.7539139999999898E-6</v>
      </c>
      <c r="I801">
        <v>369.07119999999998</v>
      </c>
      <c r="J801">
        <v>-296.52949999999998</v>
      </c>
      <c r="K801">
        <v>1.059304</v>
      </c>
      <c r="L801">
        <v>367.8972</v>
      </c>
      <c r="M801">
        <v>0.99989939999999999</v>
      </c>
      <c r="N801">
        <v>-1.1800629999999999E-2</v>
      </c>
      <c r="O801">
        <v>-7.8765380000000006E-3</v>
      </c>
      <c r="P801">
        <v>0.99725710000000001</v>
      </c>
      <c r="Q801">
        <v>-5.902135E-2</v>
      </c>
      <c r="R801">
        <v>4.4668220000000002E-2</v>
      </c>
      <c r="S801">
        <v>2.9931950000000001</v>
      </c>
      <c r="T801">
        <v>-0.1382698</v>
      </c>
      <c r="U801">
        <v>0.1530762</v>
      </c>
      <c r="V801">
        <v>-5.2521989999999998E-2</v>
      </c>
      <c r="W801">
        <v>-4.7254089999999999E-2</v>
      </c>
      <c r="X801">
        <v>0.99750110000000003</v>
      </c>
      <c r="Y801">
        <v>-5.8856579999999999E-2</v>
      </c>
      <c r="Z801">
        <v>1.976153E-3</v>
      </c>
      <c r="AA801">
        <v>0.9982645</v>
      </c>
      <c r="AB801">
        <v>33</v>
      </c>
      <c r="AC801">
        <v>22.764700000000001</v>
      </c>
      <c r="AD801">
        <v>-1.059306753914</v>
      </c>
      <c r="AE801">
        <v>1.17399999999997</v>
      </c>
      <c r="AF801">
        <v>-1.35036687425187</v>
      </c>
      <c r="AG801">
        <v>-1.059306753914</v>
      </c>
      <c r="AH801">
        <v>22.705711591155101</v>
      </c>
      <c r="AI801">
        <v>92.666421969463201</v>
      </c>
      <c r="AJ801">
        <v>93.403517931212093</v>
      </c>
      <c r="AK801">
        <v>22.7704844119461</v>
      </c>
      <c r="AL801">
        <v>92.708468602632195</v>
      </c>
      <c r="AM801">
        <v>93.014043787813705</v>
      </c>
      <c r="AN801">
        <v>0.99999997647824801</v>
      </c>
    </row>
    <row r="802" spans="1:40" x14ac:dyDescent="0.25">
      <c r="A802" t="str">
        <f>"20190305135808240"</f>
        <v>20190305135808240</v>
      </c>
      <c r="B802" t="str">
        <f>"1551765488229793"</f>
        <v>1551765488229793</v>
      </c>
      <c r="C802" t="s">
        <v>40</v>
      </c>
      <c r="D802">
        <v>3.9183910000000002</v>
      </c>
      <c r="E802">
        <v>0.4980021</v>
      </c>
      <c r="F802" t="s">
        <v>42</v>
      </c>
      <c r="G802">
        <v>-273.75209999999998</v>
      </c>
      <c r="H802" s="1">
        <v>-2.7619120000000001E-6</v>
      </c>
      <c r="I802">
        <v>369.05669999999998</v>
      </c>
      <c r="J802">
        <v>-296.33909999999997</v>
      </c>
      <c r="K802">
        <v>1.0593030000000001</v>
      </c>
      <c r="L802">
        <v>367.89569999999998</v>
      </c>
      <c r="M802">
        <v>0.99989950000000005</v>
      </c>
      <c r="N802">
        <v>-1.1800629999999999E-2</v>
      </c>
      <c r="O802">
        <v>-7.8705240000000003E-3</v>
      </c>
      <c r="P802">
        <v>0.99726269999999995</v>
      </c>
      <c r="Q802">
        <v>-5.9040290000000002E-2</v>
      </c>
      <c r="R802">
        <v>4.4517149999999998E-2</v>
      </c>
      <c r="S802">
        <v>2.9931640000000002</v>
      </c>
      <c r="T802">
        <v>-0.1392022</v>
      </c>
      <c r="U802">
        <v>0.15237429999999999</v>
      </c>
      <c r="V802">
        <v>-5.2364969999999997E-2</v>
      </c>
      <c r="W802">
        <v>-4.7272359999999999E-2</v>
      </c>
      <c r="X802">
        <v>0.99750850000000002</v>
      </c>
      <c r="Y802">
        <v>-5.8616880000000003E-2</v>
      </c>
      <c r="Z802">
        <v>1.9805859999999999E-3</v>
      </c>
      <c r="AA802">
        <v>0.99827860000000002</v>
      </c>
      <c r="AB802">
        <v>33</v>
      </c>
      <c r="AC802">
        <v>22.5869999999999</v>
      </c>
      <c r="AD802">
        <v>-1.0593057619120001</v>
      </c>
      <c r="AE802">
        <v>1.161</v>
      </c>
      <c r="AF802">
        <v>-1.33581752217466</v>
      </c>
      <c r="AG802">
        <v>-1.0593057619120001</v>
      </c>
      <c r="AH802">
        <v>22.527742618683298</v>
      </c>
      <c r="AI802">
        <v>92.687481355611894</v>
      </c>
      <c r="AJ802">
        <v>93.393468808035394</v>
      </c>
      <c r="AK802">
        <v>22.592160690013898</v>
      </c>
      <c r="AL802">
        <v>92.709516539591704</v>
      </c>
      <c r="AM802">
        <v>93.005027275777294</v>
      </c>
      <c r="AN802">
        <v>0.99999998683766</v>
      </c>
    </row>
    <row r="803" spans="1:40" x14ac:dyDescent="0.25">
      <c r="A803" t="str">
        <f>"20190305135808254"</f>
        <v>20190305135808254</v>
      </c>
      <c r="B803" t="str">
        <f>"1551765488249313"</f>
        <v>1551765488249313</v>
      </c>
      <c r="C803" t="s">
        <v>40</v>
      </c>
      <c r="D803">
        <v>3.9320719999999998</v>
      </c>
      <c r="E803">
        <v>0.4979925</v>
      </c>
      <c r="F803" t="s">
        <v>42</v>
      </c>
      <c r="G803">
        <v>-273.55259999999998</v>
      </c>
      <c r="H803" s="1">
        <v>-2.848403E-6</v>
      </c>
      <c r="I803">
        <v>369.05149999999998</v>
      </c>
      <c r="J803">
        <v>-296.12909999999999</v>
      </c>
      <c r="K803">
        <v>1.0593140000000001</v>
      </c>
      <c r="L803">
        <v>367.89400000000001</v>
      </c>
      <c r="M803">
        <v>0.99989939999999999</v>
      </c>
      <c r="N803">
        <v>-1.1800679999999999E-2</v>
      </c>
      <c r="O803">
        <v>-7.8671190000000005E-3</v>
      </c>
      <c r="P803">
        <v>0.99733959999999999</v>
      </c>
      <c r="Q803">
        <v>-5.7877789999999998E-2</v>
      </c>
      <c r="R803">
        <v>4.431993E-2</v>
      </c>
      <c r="S803">
        <v>2.9931950000000001</v>
      </c>
      <c r="T803">
        <v>-0.13914840000000001</v>
      </c>
      <c r="U803">
        <v>0.15182499999999999</v>
      </c>
      <c r="V803">
        <v>-5.216614E-2</v>
      </c>
      <c r="W803">
        <v>-4.6108490000000002E-2</v>
      </c>
      <c r="X803">
        <v>0.99757340000000005</v>
      </c>
      <c r="Y803">
        <v>-5.8430549999999998E-2</v>
      </c>
      <c r="Z803">
        <v>1.9743619999999999E-3</v>
      </c>
      <c r="AA803">
        <v>0.99828950000000005</v>
      </c>
      <c r="AB803">
        <v>33</v>
      </c>
      <c r="AC803">
        <v>22.576499999999999</v>
      </c>
      <c r="AD803">
        <v>-1.05931684840299</v>
      </c>
      <c r="AE803">
        <v>1.15749999999997</v>
      </c>
      <c r="AF803">
        <v>-1.3321633562888699</v>
      </c>
      <c r="AG803">
        <v>-1.05931684840299</v>
      </c>
      <c r="AH803">
        <v>22.517250398298899</v>
      </c>
      <c r="AI803">
        <v>92.688781223148197</v>
      </c>
      <c r="AJ803">
        <v>93.385780734955304</v>
      </c>
      <c r="AK803">
        <v>22.581483053440898</v>
      </c>
      <c r="AL803">
        <v>92.642758872467596</v>
      </c>
      <c r="AM803">
        <v>92.993443563779607</v>
      </c>
      <c r="AN803">
        <v>0.99999999370006898</v>
      </c>
    </row>
    <row r="804" spans="1:40" x14ac:dyDescent="0.25">
      <c r="A804" t="str">
        <f>"20190305135808268"</f>
        <v>20190305135808268</v>
      </c>
      <c r="B804" t="str">
        <f>"1551765488259073"</f>
        <v>1551765488259073</v>
      </c>
      <c r="C804" t="s">
        <v>40</v>
      </c>
      <c r="D804">
        <v>3.9253809999999998</v>
      </c>
      <c r="E804">
        <v>0.49797459999999999</v>
      </c>
      <c r="F804" t="s">
        <v>42</v>
      </c>
      <c r="G804">
        <v>-272.85430000000002</v>
      </c>
      <c r="H804" s="1">
        <v>-3.1448820000000001E-6</v>
      </c>
      <c r="I804">
        <v>369.06909999999999</v>
      </c>
      <c r="J804">
        <v>-295.9119</v>
      </c>
      <c r="K804">
        <v>1.059321</v>
      </c>
      <c r="L804">
        <v>367.89240000000001</v>
      </c>
      <c r="M804">
        <v>0.99989950000000005</v>
      </c>
      <c r="N804">
        <v>-1.180079E-2</v>
      </c>
      <c r="O804">
        <v>-7.8656109999999998E-3</v>
      </c>
      <c r="P804">
        <v>0.99770409999999998</v>
      </c>
      <c r="Q804">
        <v>-5.2363859999999998E-2</v>
      </c>
      <c r="R804">
        <v>4.2950410000000001E-2</v>
      </c>
      <c r="S804">
        <v>2.993347</v>
      </c>
      <c r="T804">
        <v>-0.13623689999999999</v>
      </c>
      <c r="U804">
        <v>0.15112300000000001</v>
      </c>
      <c r="V804">
        <v>-5.0797839999999997E-2</v>
      </c>
      <c r="W804">
        <v>-4.0590090000000002E-2</v>
      </c>
      <c r="X804">
        <v>0.99788379999999999</v>
      </c>
      <c r="Y804">
        <v>-5.819651E-2</v>
      </c>
      <c r="Z804">
        <v>1.9315319999999999E-3</v>
      </c>
      <c r="AA804">
        <v>0.9983033</v>
      </c>
      <c r="AB804">
        <v>33</v>
      </c>
      <c r="AC804">
        <v>23.057599999999901</v>
      </c>
      <c r="AD804">
        <v>-1.0593241448820001</v>
      </c>
      <c r="AE804">
        <v>1.1766999999999801</v>
      </c>
      <c r="AF804">
        <v>-1.3551853442351101</v>
      </c>
      <c r="AG804">
        <v>-1.0593241448820001</v>
      </c>
      <c r="AH804">
        <v>22.999211844599301</v>
      </c>
      <c r="AI804">
        <v>92.632571448146805</v>
      </c>
      <c r="AJ804">
        <v>93.372147135915199</v>
      </c>
      <c r="AK804">
        <v>23.063443811233299</v>
      </c>
      <c r="AL804">
        <v>92.326279861529898</v>
      </c>
      <c r="AM804">
        <v>92.914158615690596</v>
      </c>
      <c r="AN804">
        <v>1.00000002712865</v>
      </c>
    </row>
    <row r="805" spans="1:40" x14ac:dyDescent="0.25">
      <c r="A805" t="str">
        <f>"20190305135808280"</f>
        <v>20190305135808280</v>
      </c>
      <c r="B805" t="str">
        <f>"1551765488269810"</f>
        <v>1551765488269810</v>
      </c>
      <c r="C805" t="s">
        <v>40</v>
      </c>
      <c r="D805">
        <v>3.9380199999999999</v>
      </c>
      <c r="E805">
        <v>0.49792690000000001</v>
      </c>
      <c r="F805" t="s">
        <v>42</v>
      </c>
      <c r="G805">
        <v>-269.34660000000002</v>
      </c>
      <c r="H805" s="1">
        <v>-3.3623869999999999E-7</v>
      </c>
      <c r="I805">
        <v>369.20139999999998</v>
      </c>
      <c r="J805">
        <v>-295.73450000000003</v>
      </c>
      <c r="K805">
        <v>1.0593140000000001</v>
      </c>
      <c r="L805">
        <v>367.89100000000002</v>
      </c>
      <c r="M805">
        <v>0.99989939999999999</v>
      </c>
      <c r="N805">
        <v>-1.180088E-2</v>
      </c>
      <c r="O805">
        <v>-7.865281E-3</v>
      </c>
      <c r="P805">
        <v>0.99795129999999999</v>
      </c>
      <c r="Q805">
        <v>-4.8538619999999998E-2</v>
      </c>
      <c r="R805">
        <v>4.1679870000000001E-2</v>
      </c>
      <c r="S805">
        <v>2.9943240000000002</v>
      </c>
      <c r="T805">
        <v>-0.1194018</v>
      </c>
      <c r="U805">
        <v>0.1475525</v>
      </c>
      <c r="V805">
        <v>-4.952898E-2</v>
      </c>
      <c r="W805">
        <v>-3.6761780000000001E-2</v>
      </c>
      <c r="X805">
        <v>0.99809590000000004</v>
      </c>
      <c r="Y805">
        <v>-5.7010749999999999E-2</v>
      </c>
      <c r="Z805">
        <v>1.6929200000000001E-3</v>
      </c>
      <c r="AA805">
        <v>0.99837209999999998</v>
      </c>
      <c r="AB805">
        <v>33</v>
      </c>
      <c r="AC805">
        <v>26.387899999999998</v>
      </c>
      <c r="AD805">
        <v>-1.0593143362387001</v>
      </c>
      <c r="AE805">
        <v>1.31040000000001</v>
      </c>
      <c r="AF805">
        <v>-1.5154859174847199</v>
      </c>
      <c r="AG805">
        <v>-1.0593143362387001</v>
      </c>
      <c r="AH805">
        <v>26.334441773016</v>
      </c>
      <c r="AI805">
        <v>92.299704917303899</v>
      </c>
      <c r="AJ805">
        <v>93.293606298994405</v>
      </c>
      <c r="AK805">
        <v>26.399274003756702</v>
      </c>
      <c r="AL805">
        <v>92.106769575415498</v>
      </c>
      <c r="AM805">
        <v>92.840884930865997</v>
      </c>
      <c r="AN805">
        <v>0.99999998696270898</v>
      </c>
    </row>
    <row r="806" spans="1:40" x14ac:dyDescent="0.25">
      <c r="A806" t="str">
        <f>"20190305135808291"</f>
        <v>20190305135808291</v>
      </c>
      <c r="B806" t="str">
        <f>"1551765488279570"</f>
        <v>1551765488279570</v>
      </c>
      <c r="C806" t="s">
        <v>40</v>
      </c>
      <c r="D806">
        <v>3.9026580000000002</v>
      </c>
      <c r="E806">
        <v>0.4979305</v>
      </c>
      <c r="F806" t="s">
        <v>42</v>
      </c>
      <c r="G806">
        <v>-266.23160000000001</v>
      </c>
      <c r="H806" s="1">
        <v>-1.653673E-6</v>
      </c>
      <c r="I806">
        <v>369.30779999999999</v>
      </c>
      <c r="J806">
        <v>-295.57040000000001</v>
      </c>
      <c r="K806">
        <v>1.0592980000000001</v>
      </c>
      <c r="L806">
        <v>367.8897</v>
      </c>
      <c r="M806">
        <v>0.9998996</v>
      </c>
      <c r="N806">
        <v>-1.1800990000000001E-2</v>
      </c>
      <c r="O806">
        <v>-7.8662509999999995E-3</v>
      </c>
      <c r="P806">
        <v>0.99819690000000005</v>
      </c>
      <c r="Q806">
        <v>-4.393325E-2</v>
      </c>
      <c r="R806">
        <v>4.0907890000000002E-2</v>
      </c>
      <c r="S806">
        <v>2.9949340000000002</v>
      </c>
      <c r="T806">
        <v>-0.1075343</v>
      </c>
      <c r="U806">
        <v>0.14382929999999999</v>
      </c>
      <c r="V806">
        <v>-4.8759990000000003E-2</v>
      </c>
      <c r="W806">
        <v>-3.215353E-2</v>
      </c>
      <c r="X806">
        <v>0.99829290000000004</v>
      </c>
      <c r="Y806">
        <v>-5.5775230000000002E-2</v>
      </c>
      <c r="Z806">
        <v>1.5193029999999901E-3</v>
      </c>
      <c r="AA806">
        <v>0.99844219999999895</v>
      </c>
      <c r="AB806">
        <v>33</v>
      </c>
      <c r="AC806">
        <v>29.3387999999999</v>
      </c>
      <c r="AD806">
        <v>-1.0592996536729999</v>
      </c>
      <c r="AE806">
        <v>1.4180999999999799</v>
      </c>
      <c r="AF806">
        <v>-1.6467168157343901</v>
      </c>
      <c r="AG806">
        <v>-1.0592996536729999</v>
      </c>
      <c r="AH806">
        <v>29.288643804633399</v>
      </c>
      <c r="AI806">
        <v>92.068084093822407</v>
      </c>
      <c r="AJ806">
        <v>93.217994509989197</v>
      </c>
      <c r="AK806">
        <v>29.3540192808785</v>
      </c>
      <c r="AL806">
        <v>91.842579057640506</v>
      </c>
      <c r="AM806">
        <v>92.796296715852904</v>
      </c>
      <c r="AN806">
        <v>1.0000000501533299</v>
      </c>
    </row>
    <row r="807" spans="1:40" x14ac:dyDescent="0.25">
      <c r="A807" t="str">
        <f>"20190305135808303"</f>
        <v>20190305135808303</v>
      </c>
      <c r="B807" t="str">
        <f>"1551765488299089"</f>
        <v>1551765488299089</v>
      </c>
      <c r="C807" t="s">
        <v>40</v>
      </c>
      <c r="D807">
        <v>3.8977349999999999</v>
      </c>
      <c r="E807">
        <v>0.49794159999999998</v>
      </c>
      <c r="F807" t="s">
        <v>42</v>
      </c>
      <c r="G807">
        <v>-261.49650000000003</v>
      </c>
      <c r="H807" s="1">
        <v>-3.6512150000000001E-6</v>
      </c>
      <c r="I807">
        <v>369.49829999999997</v>
      </c>
      <c r="J807">
        <v>-295.39350000000002</v>
      </c>
      <c r="K807">
        <v>1.059283</v>
      </c>
      <c r="L807">
        <v>367.88830000000002</v>
      </c>
      <c r="M807">
        <v>0.9998996</v>
      </c>
      <c r="N807">
        <v>-1.18011E-2</v>
      </c>
      <c r="O807">
        <v>-7.8674590000000003E-3</v>
      </c>
      <c r="P807">
        <v>0.99831329999999996</v>
      </c>
      <c r="Q807">
        <v>-4.150214E-2</v>
      </c>
      <c r="R807">
        <v>4.060275E-2</v>
      </c>
      <c r="S807">
        <v>2.9954830000000001</v>
      </c>
      <c r="T807">
        <v>-9.312463E-2</v>
      </c>
      <c r="U807">
        <v>0.1414185</v>
      </c>
      <c r="V807">
        <v>-4.8457559999999997E-2</v>
      </c>
      <c r="W807">
        <v>-2.9720969999999999E-2</v>
      </c>
      <c r="X807">
        <v>0.99838300000000002</v>
      </c>
      <c r="Y807">
        <v>-5.4977789999999999E-2</v>
      </c>
      <c r="Z807">
        <v>1.330223E-3</v>
      </c>
      <c r="AA807">
        <v>0.99848669999999995</v>
      </c>
      <c r="AB807">
        <v>33</v>
      </c>
      <c r="AC807">
        <v>33.896999999999899</v>
      </c>
      <c r="AD807">
        <v>-1.0592866512150001</v>
      </c>
      <c r="AE807">
        <v>1.6099999999999499</v>
      </c>
      <c r="AF807">
        <v>-1.8748251636714399</v>
      </c>
      <c r="AG807">
        <v>-1.0592866512150001</v>
      </c>
      <c r="AH807">
        <v>33.850300426030202</v>
      </c>
      <c r="AI807">
        <v>91.789646420782901</v>
      </c>
      <c r="AJ807">
        <v>93.170132319400295</v>
      </c>
      <c r="AK807">
        <v>33.918724866012901</v>
      </c>
      <c r="AL807">
        <v>91.703136874053897</v>
      </c>
      <c r="AM807">
        <v>92.778729779470495</v>
      </c>
      <c r="AN807">
        <v>1.00000004293394</v>
      </c>
    </row>
    <row r="808" spans="1:40" x14ac:dyDescent="0.25">
      <c r="A808" t="str">
        <f>"20190305135808314"</f>
        <v>20190305135808314</v>
      </c>
      <c r="B808" t="str">
        <f>"1551765488309826"</f>
        <v>1551765488309826</v>
      </c>
      <c r="C808" t="s">
        <v>40</v>
      </c>
      <c r="D808">
        <v>3.9077709999999999</v>
      </c>
      <c r="E808">
        <v>0.49801529999999999</v>
      </c>
      <c r="F808" t="s">
        <v>42</v>
      </c>
      <c r="G808">
        <v>-258.14960000000002</v>
      </c>
      <c r="H808" s="1">
        <v>-7.8110499999999995E-7</v>
      </c>
      <c r="I808">
        <v>369.63499999999999</v>
      </c>
      <c r="J808">
        <v>-295.2276</v>
      </c>
      <c r="K808">
        <v>1.0592820000000001</v>
      </c>
      <c r="L808">
        <v>367.887</v>
      </c>
      <c r="M808">
        <v>0.99989950000000005</v>
      </c>
      <c r="N808">
        <v>-1.1801209999999999E-2</v>
      </c>
      <c r="O808">
        <v>-7.8686620000000002E-3</v>
      </c>
      <c r="P808">
        <v>0.99831320000000001</v>
      </c>
      <c r="Q808">
        <v>-4.170919E-2</v>
      </c>
      <c r="R808">
        <v>4.0389109999999999E-2</v>
      </c>
      <c r="S808">
        <v>2.995819</v>
      </c>
      <c r="T808">
        <v>-8.5206270000000001E-2</v>
      </c>
      <c r="U808">
        <v>0.14050289999999999</v>
      </c>
      <c r="V808">
        <v>-4.8244929999999998E-2</v>
      </c>
      <c r="W808">
        <v>-2.9927809999999999E-2</v>
      </c>
      <c r="X808">
        <v>0.99838709999999997</v>
      </c>
      <c r="Y808">
        <v>-5.4674970000000003E-2</v>
      </c>
      <c r="Z808">
        <v>1.2306789999999999E-3</v>
      </c>
      <c r="AA808">
        <v>0.99850340000000004</v>
      </c>
      <c r="AB808">
        <v>33</v>
      </c>
      <c r="AC808">
        <v>37.077999999999903</v>
      </c>
      <c r="AD808">
        <v>-1.0592827811049901</v>
      </c>
      <c r="AE808">
        <v>1.74800000000004</v>
      </c>
      <c r="AF808">
        <v>-2.0380606609829202</v>
      </c>
      <c r="AG808">
        <v>-1.0592827811049901</v>
      </c>
      <c r="AH808">
        <v>37.032937706129402</v>
      </c>
      <c r="AI808">
        <v>91.635956133219906</v>
      </c>
      <c r="AJ808">
        <v>93.150022801995405</v>
      </c>
      <c r="AK808">
        <v>37.104100129423003</v>
      </c>
      <c r="AL808">
        <v>91.714993238871202</v>
      </c>
      <c r="AM808">
        <v>92.766544455988196</v>
      </c>
      <c r="AN808">
        <v>1.0000000242642499</v>
      </c>
    </row>
    <row r="809" spans="1:40" x14ac:dyDescent="0.25">
      <c r="A809" t="str">
        <f>"20190305135808325"</f>
        <v>20190305135808325</v>
      </c>
      <c r="B809" t="str">
        <f>"1551765488319586"</f>
        <v>1551765488319586</v>
      </c>
      <c r="C809" t="s">
        <v>40</v>
      </c>
      <c r="D809">
        <v>3.904944</v>
      </c>
      <c r="E809">
        <v>0.49807639999999997</v>
      </c>
      <c r="F809" t="s">
        <v>42</v>
      </c>
      <c r="G809">
        <v>-258.00229999999999</v>
      </c>
      <c r="H809" s="1">
        <v>-8.3999869999999995E-7</v>
      </c>
      <c r="I809">
        <v>369.61880000000002</v>
      </c>
      <c r="J809">
        <v>-295.07679999999999</v>
      </c>
      <c r="K809">
        <v>1.059283</v>
      </c>
      <c r="L809">
        <v>367.88580000000002</v>
      </c>
      <c r="M809">
        <v>0.99989939999999999</v>
      </c>
      <c r="N809">
        <v>-1.180134E-2</v>
      </c>
      <c r="O809">
        <v>-7.8697439999999997E-3</v>
      </c>
      <c r="P809">
        <v>0.99823309999999998</v>
      </c>
      <c r="Q809">
        <v>-4.3302359999999998E-2</v>
      </c>
      <c r="R809">
        <v>4.0687630000000002E-2</v>
      </c>
      <c r="S809">
        <v>2.9958800000000001</v>
      </c>
      <c r="T809">
        <v>-8.5250499999999896E-2</v>
      </c>
      <c r="U809">
        <v>0.13937379999999999</v>
      </c>
      <c r="V809">
        <v>-4.8543419999999997E-2</v>
      </c>
      <c r="W809">
        <v>-3.1521630000000002E-2</v>
      </c>
      <c r="X809">
        <v>0.99832359999999998</v>
      </c>
      <c r="Y809">
        <v>-5.4299760000000002E-2</v>
      </c>
      <c r="Z809">
        <v>1.2236529999999999E-3</v>
      </c>
      <c r="AA809">
        <v>0.99852399999999997</v>
      </c>
      <c r="AB809">
        <v>33</v>
      </c>
      <c r="AC809">
        <v>37.0745</v>
      </c>
      <c r="AD809">
        <v>-1.0592838399986999</v>
      </c>
      <c r="AE809">
        <v>1.7330000000000001</v>
      </c>
      <c r="AF809">
        <v>-2.0230855318054899</v>
      </c>
      <c r="AG809">
        <v>-1.0592838399986999</v>
      </c>
      <c r="AH809">
        <v>37.029549534503403</v>
      </c>
      <c r="AI809">
        <v>91.6361430782638</v>
      </c>
      <c r="AJ809">
        <v>93.127208913362395</v>
      </c>
      <c r="AK809">
        <v>37.099898868472998</v>
      </c>
      <c r="AL809">
        <v>91.806355504382907</v>
      </c>
      <c r="AM809">
        <v>92.783810927480005</v>
      </c>
      <c r="AN809">
        <v>1.00000004355005</v>
      </c>
    </row>
    <row r="810" spans="1:40" x14ac:dyDescent="0.25">
      <c r="A810" t="str">
        <f>"20190305135808335"</f>
        <v>20190305135808335</v>
      </c>
      <c r="B810" t="str">
        <f>"1551765488329345"</f>
        <v>1551765488329345</v>
      </c>
      <c r="C810" t="s">
        <v>40</v>
      </c>
      <c r="D810">
        <v>3.9021059999999999</v>
      </c>
      <c r="E810">
        <v>0.4983764</v>
      </c>
      <c r="F810" t="s">
        <v>42</v>
      </c>
      <c r="G810">
        <v>-259.73469999999998</v>
      </c>
      <c r="H810" s="1">
        <v>-1.10066899999999E-7</v>
      </c>
      <c r="I810">
        <v>369.53769999999997</v>
      </c>
      <c r="J810">
        <v>-294.92450000000002</v>
      </c>
      <c r="K810">
        <v>1.0592839999999999</v>
      </c>
      <c r="L810">
        <v>367.88459999999998</v>
      </c>
      <c r="M810">
        <v>0.99989939999999999</v>
      </c>
      <c r="N810">
        <v>-1.180148E-2</v>
      </c>
      <c r="O810">
        <v>-7.8707059999999999E-3</v>
      </c>
      <c r="P810">
        <v>0.99820509999999996</v>
      </c>
      <c r="Q810">
        <v>-4.3774390000000003E-2</v>
      </c>
      <c r="R810">
        <v>4.0873859999999998E-2</v>
      </c>
      <c r="S810">
        <v>2.9956670000000001</v>
      </c>
      <c r="T810">
        <v>-8.9786889999999994E-2</v>
      </c>
      <c r="U810">
        <v>0.14001459999999999</v>
      </c>
      <c r="V810">
        <v>-4.8731200000000002E-2</v>
      </c>
      <c r="W810">
        <v>-3.1993750000000001E-2</v>
      </c>
      <c r="X810">
        <v>0.99829939999999995</v>
      </c>
      <c r="Y810">
        <v>-5.4513949999999999E-2</v>
      </c>
      <c r="Z810">
        <v>1.281192E-3</v>
      </c>
      <c r="AA810">
        <v>0.99851219999999996</v>
      </c>
      <c r="AB810">
        <v>33</v>
      </c>
      <c r="AC810">
        <v>35.189799999999998</v>
      </c>
      <c r="AD810">
        <v>-1.0592841100668999</v>
      </c>
      <c r="AE810">
        <v>1.65309999999999</v>
      </c>
      <c r="AF810">
        <v>-1.9282932036323199</v>
      </c>
      <c r="AG810">
        <v>-1.0592841100668999</v>
      </c>
      <c r="AH810">
        <v>35.143922991068202</v>
      </c>
      <c r="AI810">
        <v>91.723856174083195</v>
      </c>
      <c r="AJ810">
        <v>93.140582528381202</v>
      </c>
      <c r="AK810">
        <v>35.212721006862701</v>
      </c>
      <c r="AL810">
        <v>91.833419697860194</v>
      </c>
      <c r="AM810">
        <v>92.794630112604807</v>
      </c>
      <c r="AN810">
        <v>1.00000001096643</v>
      </c>
    </row>
    <row r="811" spans="1:40" x14ac:dyDescent="0.25">
      <c r="A811" t="str">
        <f>"20190305135808345"</f>
        <v>20190305135808345</v>
      </c>
      <c r="B811" t="str">
        <f>"1551765488339105"</f>
        <v>1551765488339105</v>
      </c>
      <c r="C811" t="s">
        <v>40</v>
      </c>
      <c r="D811">
        <v>3.8930210000000001</v>
      </c>
      <c r="E811">
        <v>0.49866359999999899</v>
      </c>
      <c r="F811" t="s">
        <v>42</v>
      </c>
      <c r="G811">
        <v>-260.0446</v>
      </c>
      <c r="H811" s="1">
        <v>-4.27429E-6</v>
      </c>
      <c r="I811">
        <v>369.49700000000001</v>
      </c>
      <c r="J811">
        <v>-294.76690000000002</v>
      </c>
      <c r="K811">
        <v>1.059285</v>
      </c>
      <c r="L811">
        <v>367.88339999999999</v>
      </c>
      <c r="M811">
        <v>0.99989939999999999</v>
      </c>
      <c r="N811">
        <v>-1.180167E-2</v>
      </c>
      <c r="O811">
        <v>-7.8714289999999992E-3</v>
      </c>
      <c r="P811">
        <v>0.99818870000000004</v>
      </c>
      <c r="Q811">
        <v>-4.4048579999999997E-2</v>
      </c>
      <c r="R811">
        <v>4.0978390000000003E-2</v>
      </c>
      <c r="S811">
        <v>2.9957280000000002</v>
      </c>
      <c r="T811">
        <v>-9.0978980000000001E-2</v>
      </c>
      <c r="U811">
        <v>0.1384888</v>
      </c>
      <c r="V811">
        <v>-4.8835980000000001E-2</v>
      </c>
      <c r="W811">
        <v>-3.2267879999999999E-2</v>
      </c>
      <c r="X811">
        <v>0.99828550000000005</v>
      </c>
      <c r="Y811">
        <v>-5.4005709999999998E-2</v>
      </c>
      <c r="Z811">
        <v>1.2844460000000001E-3</v>
      </c>
      <c r="AA811">
        <v>0.99853979999999998</v>
      </c>
      <c r="AB811">
        <v>33</v>
      </c>
      <c r="AC811">
        <v>34.722299999999997</v>
      </c>
      <c r="AD811">
        <v>-1.05928927429</v>
      </c>
      <c r="AE811">
        <v>1.61359999999996</v>
      </c>
      <c r="AF811">
        <v>-1.88513242956557</v>
      </c>
      <c r="AG811">
        <v>-1.05928927429</v>
      </c>
      <c r="AH811">
        <v>34.676318040376998</v>
      </c>
      <c r="AI811">
        <v>91.747144311310905</v>
      </c>
      <c r="AJ811">
        <v>93.111746623328003</v>
      </c>
      <c r="AK811">
        <v>34.743673537508997</v>
      </c>
      <c r="AL811">
        <v>91.849134223570005</v>
      </c>
      <c r="AM811">
        <v>92.800668398584705</v>
      </c>
      <c r="AN811">
        <v>1.0000000542662499</v>
      </c>
    </row>
    <row r="812" spans="1:40" x14ac:dyDescent="0.25">
      <c r="A812" t="str">
        <f>"20190305135808356"</f>
        <v>20190305135808356</v>
      </c>
      <c r="B812" t="str">
        <f>"1551765488349842"</f>
        <v>1551765488349842</v>
      </c>
      <c r="C812" t="s">
        <v>40</v>
      </c>
      <c r="D812">
        <v>3.9145989999999999</v>
      </c>
      <c r="E812">
        <v>0.49888949999999999</v>
      </c>
      <c r="F812" t="s">
        <v>42</v>
      </c>
      <c r="G812">
        <v>-260.12509999999997</v>
      </c>
      <c r="H812" s="1">
        <v>-4.2458839999999999E-6</v>
      </c>
      <c r="I812">
        <v>369.46260000000001</v>
      </c>
      <c r="J812">
        <v>-294.59710000000001</v>
      </c>
      <c r="K812">
        <v>1.0592870000000001</v>
      </c>
      <c r="L812">
        <v>367.88209999999998</v>
      </c>
      <c r="M812">
        <v>0.99989950000000005</v>
      </c>
      <c r="N812">
        <v>-1.1801880000000001E-2</v>
      </c>
      <c r="O812">
        <v>-7.8722719999999996E-3</v>
      </c>
      <c r="P812">
        <v>0.99826349999999997</v>
      </c>
      <c r="Q812">
        <v>-4.2897240000000003E-2</v>
      </c>
      <c r="R812">
        <v>4.0372650000000003E-2</v>
      </c>
      <c r="S812">
        <v>2.9957889999999998</v>
      </c>
      <c r="T812">
        <v>-9.1606259999999995E-2</v>
      </c>
      <c r="U812">
        <v>0.1365662</v>
      </c>
      <c r="V812">
        <v>-4.8231280000000001E-2</v>
      </c>
      <c r="W812">
        <v>-3.1115440000000001E-2</v>
      </c>
      <c r="X812">
        <v>0.99835149999999995</v>
      </c>
      <c r="Y812">
        <v>-5.3366089999999998E-2</v>
      </c>
      <c r="Z812">
        <v>1.278199E-3</v>
      </c>
      <c r="AA812">
        <v>0.99857419999999997</v>
      </c>
      <c r="AB812">
        <v>33</v>
      </c>
      <c r="AC812">
        <v>34.472000000000001</v>
      </c>
      <c r="AD812">
        <v>-1.059291245884</v>
      </c>
      <c r="AE812">
        <v>1.58050000000002</v>
      </c>
      <c r="AF812">
        <v>-1.85009950838177</v>
      </c>
      <c r="AG812">
        <v>-1.059291245884</v>
      </c>
      <c r="AH812">
        <v>34.426049268328001</v>
      </c>
      <c r="AI812">
        <v>91.759899927174402</v>
      </c>
      <c r="AJ812">
        <v>93.076188595836001</v>
      </c>
      <c r="AK812">
        <v>34.491996671110101</v>
      </c>
      <c r="AL812">
        <v>91.783071059282094</v>
      </c>
      <c r="AM812">
        <v>92.765861400156197</v>
      </c>
      <c r="AN812">
        <v>1.0000000722645299</v>
      </c>
    </row>
    <row r="813" spans="1:40" x14ac:dyDescent="0.25">
      <c r="A813" t="str">
        <f>"20190305135808369"</f>
        <v>20190305135808369</v>
      </c>
      <c r="B813" t="str">
        <f>"1551765488359602"</f>
        <v>1551765488359602</v>
      </c>
      <c r="C813" t="s">
        <v>40</v>
      </c>
      <c r="D813">
        <v>3.9336660000000001</v>
      </c>
      <c r="E813">
        <v>0.49914439999999999</v>
      </c>
      <c r="F813" t="s">
        <v>42</v>
      </c>
      <c r="G813">
        <v>-258.57029999999997</v>
      </c>
      <c r="H813" s="1">
        <v>-6.2018570000000002E-7</v>
      </c>
      <c r="I813">
        <v>369.47800000000001</v>
      </c>
      <c r="J813">
        <v>-294.4205</v>
      </c>
      <c r="K813">
        <v>1.059291</v>
      </c>
      <c r="L813">
        <v>367.88060000000002</v>
      </c>
      <c r="M813">
        <v>0.99989930000000005</v>
      </c>
      <c r="N813">
        <v>-1.1802089999999999E-2</v>
      </c>
      <c r="O813">
        <v>-7.8722800000000006E-3</v>
      </c>
      <c r="P813">
        <v>0.99839789999999995</v>
      </c>
      <c r="Q813">
        <v>-4.0457760000000002E-2</v>
      </c>
      <c r="R813">
        <v>3.9555750000000001E-2</v>
      </c>
      <c r="S813">
        <v>2.9960629999999999</v>
      </c>
      <c r="T813">
        <v>-8.8092450000000003E-2</v>
      </c>
      <c r="U813">
        <v>0.132720899999999</v>
      </c>
      <c r="V813">
        <v>-4.741592E-2</v>
      </c>
      <c r="W813">
        <v>-2.867424E-2</v>
      </c>
      <c r="X813">
        <v>0.99846360000000001</v>
      </c>
      <c r="Y813">
        <v>-5.2086069999999998E-2</v>
      </c>
      <c r="Z813">
        <v>1.211272E-3</v>
      </c>
      <c r="AA813">
        <v>0.99864180000000002</v>
      </c>
      <c r="AB813">
        <v>33</v>
      </c>
      <c r="AC813">
        <v>35.850200000000001</v>
      </c>
      <c r="AD813">
        <v>-1.0592916201856999</v>
      </c>
      <c r="AE813">
        <v>1.5973999999999899</v>
      </c>
      <c r="AF813">
        <v>-1.8779566480236101</v>
      </c>
      <c r="AG813">
        <v>-1.0592916201856999</v>
      </c>
      <c r="AH813">
        <v>35.805314381134103</v>
      </c>
      <c r="AI813">
        <v>91.692262904471804</v>
      </c>
      <c r="AJ813">
        <v>93.002361225941002</v>
      </c>
      <c r="AK813">
        <v>35.870173652218398</v>
      </c>
      <c r="AL813">
        <v>91.643138118674599</v>
      </c>
      <c r="AM813">
        <v>92.718869875811905</v>
      </c>
      <c r="AN813">
        <v>1.0000000210169899</v>
      </c>
    </row>
    <row r="814" spans="1:40" x14ac:dyDescent="0.25">
      <c r="A814" t="str">
        <f>"20190305135808380"</f>
        <v>20190305135808380</v>
      </c>
      <c r="B814" t="str">
        <f>"1551765488369362"</f>
        <v>1551765488369362</v>
      </c>
      <c r="C814" t="s">
        <v>40</v>
      </c>
      <c r="D814">
        <v>3.9239609999999998</v>
      </c>
      <c r="E814">
        <v>0.49914439999999999</v>
      </c>
      <c r="F814" t="s">
        <v>42</v>
      </c>
      <c r="G814">
        <v>-255.08860000000001</v>
      </c>
      <c r="H814" s="1">
        <v>-2.0991879999999998E-6</v>
      </c>
      <c r="I814">
        <v>369.56060000000002</v>
      </c>
      <c r="J814">
        <v>-294.25700000000001</v>
      </c>
      <c r="K814">
        <v>1.0592950000000001</v>
      </c>
      <c r="L814">
        <v>367.87939999999998</v>
      </c>
      <c r="M814">
        <v>0.99989939999999999</v>
      </c>
      <c r="N814">
        <v>-1.180228E-2</v>
      </c>
      <c r="O814">
        <v>-7.8726439999999998E-3</v>
      </c>
      <c r="P814">
        <v>0.9985079</v>
      </c>
      <c r="Q814">
        <v>-3.8185950000000003E-2</v>
      </c>
      <c r="R814">
        <v>3.9034979999999997E-2</v>
      </c>
      <c r="S814">
        <v>2.9964599999999999</v>
      </c>
      <c r="T814">
        <v>-8.0700869999999994E-2</v>
      </c>
      <c r="U814">
        <v>0.12799070000000001</v>
      </c>
      <c r="V814">
        <v>-4.6896090000000001E-2</v>
      </c>
      <c r="W814">
        <v>-2.6401009999999999E-2</v>
      </c>
      <c r="X814">
        <v>0.99855079999999996</v>
      </c>
      <c r="Y814">
        <v>-5.0512559999999998E-2</v>
      </c>
      <c r="Z814">
        <v>1.0971119999999999E-3</v>
      </c>
      <c r="AA814">
        <v>0.99872289999999997</v>
      </c>
      <c r="AB814">
        <v>33</v>
      </c>
      <c r="AC814">
        <v>39.168399999999899</v>
      </c>
      <c r="AD814">
        <v>-1.059297099188</v>
      </c>
      <c r="AE814">
        <v>1.68120000000004</v>
      </c>
      <c r="AF814">
        <v>-1.9880767925081799</v>
      </c>
      <c r="AG814">
        <v>-1.059297099188</v>
      </c>
      <c r="AH814">
        <v>39.125385330315297</v>
      </c>
      <c r="AI814">
        <v>91.548873808786993</v>
      </c>
      <c r="AJ814">
        <v>92.908866574540298</v>
      </c>
      <c r="AK814">
        <v>39.190181639320201</v>
      </c>
      <c r="AL814">
        <v>91.512842260512102</v>
      </c>
      <c r="AM814">
        <v>92.688871883644694</v>
      </c>
      <c r="AN814">
        <v>0.99999997838347299</v>
      </c>
    </row>
    <row r="815" spans="1:40" x14ac:dyDescent="0.25">
      <c r="A815" t="str">
        <f>"20190305135808390"</f>
        <v>20190305135808390</v>
      </c>
      <c r="B815" t="str">
        <f>"1551765488379121"</f>
        <v>1551765488379121</v>
      </c>
      <c r="C815" t="s">
        <v>40</v>
      </c>
      <c r="D815">
        <v>3.9243410000000001</v>
      </c>
      <c r="E815">
        <v>0.5000078</v>
      </c>
      <c r="F815" t="s">
        <v>42</v>
      </c>
      <c r="G815">
        <v>-251.28659999999999</v>
      </c>
      <c r="H815" s="1">
        <v>-3.739854E-6</v>
      </c>
      <c r="I815">
        <v>369.68970000000002</v>
      </c>
      <c r="J815">
        <v>-294.09379999999999</v>
      </c>
      <c r="K815">
        <v>1.059307</v>
      </c>
      <c r="L815">
        <v>367.87810000000002</v>
      </c>
      <c r="M815">
        <v>0.99989939999999999</v>
      </c>
      <c r="N815">
        <v>-1.1802490000000001E-2</v>
      </c>
      <c r="O815">
        <v>-7.8726490000000007E-3</v>
      </c>
      <c r="P815">
        <v>0.99858990000000003</v>
      </c>
      <c r="Q815">
        <v>-3.6081540000000002E-2</v>
      </c>
      <c r="R815">
        <v>3.8941490000000002E-2</v>
      </c>
      <c r="S815">
        <v>2.9967039999999998</v>
      </c>
      <c r="T815">
        <v>-7.3874120000000001E-2</v>
      </c>
      <c r="U815">
        <v>0.12625120000000001</v>
      </c>
      <c r="V815">
        <v>-4.6803360000000002E-2</v>
      </c>
      <c r="W815">
        <v>-2.4295529999999999E-2</v>
      </c>
      <c r="X815">
        <v>0.99860859999999996</v>
      </c>
      <c r="Y815">
        <v>-4.9934550000000001E-2</v>
      </c>
      <c r="Z815">
        <v>1.0111020000000001E-3</v>
      </c>
      <c r="AA815">
        <v>0.99875199999999997</v>
      </c>
      <c r="AB815">
        <v>33</v>
      </c>
      <c r="AC815">
        <v>42.807200000000002</v>
      </c>
      <c r="AD815">
        <v>-1.059310739854</v>
      </c>
      <c r="AE815">
        <v>1.8115999999999901</v>
      </c>
      <c r="AF815">
        <v>-2.14726080643814</v>
      </c>
      <c r="AG815">
        <v>-1.059310739854</v>
      </c>
      <c r="AH815">
        <v>42.765468722674399</v>
      </c>
      <c r="AI815">
        <v>91.417155293929596</v>
      </c>
      <c r="AJ815">
        <v>92.874416058115202</v>
      </c>
      <c r="AK815">
        <v>42.832443115989498</v>
      </c>
      <c r="AL815">
        <v>91.392168338354793</v>
      </c>
      <c r="AM815">
        <v>92.6834077228647</v>
      </c>
      <c r="AN815">
        <v>0.99999998163961401</v>
      </c>
    </row>
    <row r="816" spans="1:40" x14ac:dyDescent="0.25">
      <c r="A816" t="str">
        <f>"20190305135808402"</f>
        <v>20190305135808402</v>
      </c>
      <c r="B816" t="str">
        <f>"1551765488399617"</f>
        <v>1551765488399617</v>
      </c>
      <c r="C816" t="s">
        <v>40</v>
      </c>
      <c r="D816">
        <v>3.9750209999999999</v>
      </c>
      <c r="E816">
        <v>0.50117270000000003</v>
      </c>
      <c r="F816" t="s">
        <v>42</v>
      </c>
      <c r="G816">
        <v>-245.18969999999999</v>
      </c>
      <c r="H816" s="1">
        <v>-2.3090630000000001E-6</v>
      </c>
      <c r="I816">
        <v>369.82209999999998</v>
      </c>
      <c r="J816">
        <v>-293.93650000000002</v>
      </c>
      <c r="K816">
        <v>1.0593269999999999</v>
      </c>
      <c r="L816">
        <v>367.87689999999998</v>
      </c>
      <c r="M816">
        <v>0.99989930000000005</v>
      </c>
      <c r="N816">
        <v>-1.1802679999999999E-2</v>
      </c>
      <c r="O816">
        <v>-7.8726549999999992E-3</v>
      </c>
      <c r="P816">
        <v>0.99863109999999999</v>
      </c>
      <c r="Q816">
        <v>-3.4076450000000001E-2</v>
      </c>
      <c r="R816">
        <v>3.9683700000000002E-2</v>
      </c>
      <c r="S816">
        <v>2.997223</v>
      </c>
      <c r="T816">
        <v>-6.4922690000000005E-2</v>
      </c>
      <c r="U816">
        <v>0.1191406</v>
      </c>
      <c r="V816">
        <v>-4.7546030000000003E-2</v>
      </c>
      <c r="W816">
        <v>-2.2289920000000001E-2</v>
      </c>
      <c r="X816">
        <v>0.99862030000000002</v>
      </c>
      <c r="Y816">
        <v>-4.7567129999999999E-2</v>
      </c>
      <c r="Z816">
        <v>8.7336219999999999E-4</v>
      </c>
      <c r="AA816">
        <v>0.99886770000000003</v>
      </c>
      <c r="AB816">
        <v>33</v>
      </c>
      <c r="AC816">
        <v>48.7468</v>
      </c>
      <c r="AD816">
        <v>-1.0593293090629901</v>
      </c>
      <c r="AE816">
        <v>1.9452</v>
      </c>
      <c r="AF816">
        <v>-2.3278356353403198</v>
      </c>
      <c r="AG816">
        <v>-1.0593293090629901</v>
      </c>
      <c r="AH816">
        <v>48.707008978978898</v>
      </c>
      <c r="AI816">
        <v>91.244510098957903</v>
      </c>
      <c r="AJ816">
        <v>92.736233451891593</v>
      </c>
      <c r="AK816">
        <v>48.774109125729098</v>
      </c>
      <c r="AL816">
        <v>91.277224139114594</v>
      </c>
      <c r="AM816">
        <v>92.725892095690895</v>
      </c>
      <c r="AN816">
        <v>0.99999998453722805</v>
      </c>
    </row>
    <row r="817" spans="1:40" x14ac:dyDescent="0.25">
      <c r="A817" t="str">
        <f>"20190305135808412"</f>
        <v>20190305135808412</v>
      </c>
      <c r="B817" t="str">
        <f>"1551765488409377"</f>
        <v>1551765488409377</v>
      </c>
      <c r="C817" t="s">
        <v>40</v>
      </c>
      <c r="D817">
        <v>3.97864</v>
      </c>
      <c r="E817">
        <v>0.50117270000000003</v>
      </c>
      <c r="F817" t="s">
        <v>42</v>
      </c>
      <c r="G817">
        <v>-239.45599999999999</v>
      </c>
      <c r="H817" s="1">
        <v>-2.9475119999999997E-7</v>
      </c>
      <c r="I817">
        <v>369.9135</v>
      </c>
      <c r="J817">
        <v>-293.78309999999999</v>
      </c>
      <c r="K817">
        <v>1.0593429999999999</v>
      </c>
      <c r="L817">
        <v>367.87569999999999</v>
      </c>
      <c r="M817">
        <v>0.99989939999999999</v>
      </c>
      <c r="N817">
        <v>-1.180289E-2</v>
      </c>
      <c r="O817">
        <v>-7.8726590000000006E-3</v>
      </c>
      <c r="P817">
        <v>0.99866469999999896</v>
      </c>
      <c r="Q817">
        <v>-3.1525440000000002E-2</v>
      </c>
      <c r="R817">
        <v>4.0927360000000003E-2</v>
      </c>
      <c r="S817">
        <v>2.997681</v>
      </c>
      <c r="T817">
        <v>-5.828726E-2</v>
      </c>
      <c r="U817">
        <v>0.11206049999999999</v>
      </c>
      <c r="V817">
        <v>-4.8789520000000003E-2</v>
      </c>
      <c r="W817">
        <v>-1.9738530000000001E-2</v>
      </c>
      <c r="X817">
        <v>0.998614</v>
      </c>
      <c r="Y817">
        <v>-4.5208930000000001E-2</v>
      </c>
      <c r="Z817">
        <v>7.6639869999999997E-4</v>
      </c>
      <c r="AA817">
        <v>0.99897720000000001</v>
      </c>
      <c r="AB817">
        <v>33</v>
      </c>
      <c r="AC817">
        <v>54.327100000000002</v>
      </c>
      <c r="AD817">
        <v>-1.05934329475119</v>
      </c>
      <c r="AE817">
        <v>2.0377999999999998</v>
      </c>
      <c r="AF817">
        <v>-2.46452958756861</v>
      </c>
      <c r="AG817">
        <v>-1.05934329475119</v>
      </c>
      <c r="AH817">
        <v>54.2887592265512</v>
      </c>
      <c r="AI817">
        <v>91.116727961927296</v>
      </c>
      <c r="AJ817">
        <v>92.599253749204195</v>
      </c>
      <c r="AK817">
        <v>54.354995103141903</v>
      </c>
      <c r="AL817">
        <v>91.131007942327599</v>
      </c>
      <c r="AM817">
        <v>92.797089265567493</v>
      </c>
      <c r="AN817">
        <v>0.99999997391219497</v>
      </c>
    </row>
    <row r="818" spans="1:40" x14ac:dyDescent="0.25">
      <c r="A818" t="str">
        <f>"20190305135808424"</f>
        <v>20190305135808424</v>
      </c>
      <c r="B818" t="str">
        <f>"1551765488419137"</f>
        <v>1551765488419137</v>
      </c>
      <c r="C818" t="s">
        <v>40</v>
      </c>
      <c r="D818">
        <v>3.9690219999999998</v>
      </c>
      <c r="E818">
        <v>0.52566569999999901</v>
      </c>
      <c r="F818" t="s">
        <v>42</v>
      </c>
      <c r="G818">
        <v>-231.06190000000001</v>
      </c>
      <c r="H818" s="1">
        <v>-3.9984779999999997E-6</v>
      </c>
      <c r="I818">
        <v>370.29950000000002</v>
      </c>
      <c r="J818">
        <v>-293.61450000000002</v>
      </c>
      <c r="K818">
        <v>1.0593619999999999</v>
      </c>
      <c r="L818">
        <v>367.87439999999998</v>
      </c>
      <c r="M818">
        <v>0.99989939999999999</v>
      </c>
      <c r="N818">
        <v>-1.180313E-2</v>
      </c>
      <c r="O818">
        <v>-7.8725429999999992E-3</v>
      </c>
      <c r="P818">
        <v>0.99869920000000001</v>
      </c>
      <c r="Q818">
        <v>-2.896429E-2</v>
      </c>
      <c r="R818">
        <v>4.1965669999999997E-2</v>
      </c>
      <c r="S818">
        <v>2.9976500000000001</v>
      </c>
      <c r="T818">
        <v>-5.062962E-2</v>
      </c>
      <c r="U818">
        <v>0.11584469999999999</v>
      </c>
      <c r="V818">
        <v>-4.9828009999999999E-2</v>
      </c>
      <c r="W818">
        <v>-1.7176960000000002E-2</v>
      </c>
      <c r="X818">
        <v>0.99861009999999995</v>
      </c>
      <c r="Y818">
        <v>-4.6471030000000003E-2</v>
      </c>
      <c r="Z818">
        <v>7.0669089999999895E-4</v>
      </c>
      <c r="AA818">
        <v>0.99891940000000001</v>
      </c>
      <c r="AB818">
        <v>33</v>
      </c>
      <c r="AC818">
        <v>62.552599999999998</v>
      </c>
      <c r="AD818">
        <v>-1.0593659984779999</v>
      </c>
      <c r="AE818">
        <v>2.42510000000004</v>
      </c>
      <c r="AF818">
        <v>-2.9166718639060898</v>
      </c>
      <c r="AG818">
        <v>-1.0593659984779999</v>
      </c>
      <c r="AH818">
        <v>62.513665331607598</v>
      </c>
      <c r="AI818">
        <v>90.969795226350996</v>
      </c>
      <c r="AJ818">
        <v>92.671286129512893</v>
      </c>
      <c r="AK818">
        <v>62.590634956618501</v>
      </c>
      <c r="AL818">
        <v>90.984215710286406</v>
      </c>
      <c r="AM818">
        <v>92.856539156689493</v>
      </c>
      <c r="AN818">
        <v>1.0000000051786999</v>
      </c>
    </row>
    <row r="819" spans="1:40" x14ac:dyDescent="0.25">
      <c r="A819" t="str">
        <f>"20190305135808436"</f>
        <v>20190305135808436</v>
      </c>
      <c r="B819" t="str">
        <f>"1551765488429874"</f>
        <v>1551765488429874</v>
      </c>
      <c r="C819" t="s">
        <v>40</v>
      </c>
      <c r="D819">
        <v>3.965957</v>
      </c>
      <c r="E819">
        <v>0.52546059999999895</v>
      </c>
      <c r="F819" t="s">
        <v>50</v>
      </c>
      <c r="G819">
        <v>-205.68379999999999</v>
      </c>
      <c r="H819" s="1">
        <v>-4.1541090000000002E-6</v>
      </c>
      <c r="I819">
        <v>365.64449999999999</v>
      </c>
      <c r="J819">
        <v>-293.42790000000002</v>
      </c>
      <c r="K819">
        <v>1.0593760000000001</v>
      </c>
      <c r="L819">
        <v>367.87290000000002</v>
      </c>
      <c r="M819">
        <v>0.99989939999999999</v>
      </c>
      <c r="N819">
        <v>-1.180339E-2</v>
      </c>
      <c r="O819">
        <v>-7.8723079999999997E-3</v>
      </c>
      <c r="P819">
        <v>0.99874439999999998</v>
      </c>
      <c r="Q819">
        <v>-2.683483E-2</v>
      </c>
      <c r="R819">
        <v>4.2304939999999999E-2</v>
      </c>
      <c r="S819">
        <v>3.0060730000000002</v>
      </c>
      <c r="T819">
        <v>-3.6216379999999999E-2</v>
      </c>
      <c r="U819">
        <v>-7.6232910000000001E-2</v>
      </c>
      <c r="V819">
        <v>-5.0167339999999998E-2</v>
      </c>
      <c r="W819">
        <v>-1.5046850000000001E-2</v>
      </c>
      <c r="X819">
        <v>0.9986275</v>
      </c>
      <c r="Y819">
        <v>1.7477860000000001E-2</v>
      </c>
      <c r="Z819">
        <v>-2.0652959999999999E-4</v>
      </c>
      <c r="AA819">
        <v>0.99984720000000005</v>
      </c>
      <c r="AB819">
        <v>33</v>
      </c>
      <c r="AC819">
        <v>87.744100000000003</v>
      </c>
      <c r="AD819">
        <v>-1.059380154109</v>
      </c>
      <c r="AE819">
        <v>-2.2284000000000201</v>
      </c>
      <c r="AF819">
        <v>1.5373103223764599</v>
      </c>
      <c r="AG819">
        <v>-1.059380154109</v>
      </c>
      <c r="AH819">
        <v>87.746142058189207</v>
      </c>
      <c r="AI819">
        <v>90.691605913091294</v>
      </c>
      <c r="AJ819">
        <v>88.996281993876906</v>
      </c>
      <c r="AK819">
        <v>87.766001705866302</v>
      </c>
      <c r="AL819">
        <v>90.862153512041502</v>
      </c>
      <c r="AM819">
        <v>92.875909685204704</v>
      </c>
      <c r="AN819">
        <v>1.00000002672692</v>
      </c>
    </row>
    <row r="820" spans="1:40" x14ac:dyDescent="0.25">
      <c r="A820" t="str">
        <f>"20190305135808449"</f>
        <v>20190305135808449</v>
      </c>
      <c r="B820" t="str">
        <f>"1551765488439634"</f>
        <v>1551765488439634</v>
      </c>
      <c r="C820" t="s">
        <v>40</v>
      </c>
      <c r="D820">
        <v>3.9732219999999998</v>
      </c>
      <c r="E820">
        <v>0.52509189999999994</v>
      </c>
      <c r="F820" t="s">
        <v>42</v>
      </c>
      <c r="G820">
        <v>-212.0752</v>
      </c>
      <c r="H820" s="1">
        <v>-4.0476120000000003E-6</v>
      </c>
      <c r="I820">
        <v>365.86419999999998</v>
      </c>
      <c r="J820">
        <v>-293.245</v>
      </c>
      <c r="K820">
        <v>1.0593939999999999</v>
      </c>
      <c r="L820">
        <v>367.87150000000003</v>
      </c>
      <c r="M820">
        <v>0.99989930000000005</v>
      </c>
      <c r="N820">
        <v>-1.1803650000000001E-2</v>
      </c>
      <c r="O820">
        <v>-7.8721910000000006E-3</v>
      </c>
      <c r="P820">
        <v>0.99880749999999996</v>
      </c>
      <c r="Q820">
        <v>-2.489069E-2</v>
      </c>
      <c r="R820">
        <v>4.2000660000000002E-2</v>
      </c>
      <c r="S820">
        <v>3.0058590000000001</v>
      </c>
      <c r="T820">
        <v>-3.9142490000000002E-2</v>
      </c>
      <c r="U820">
        <v>-7.421875E-2</v>
      </c>
      <c r="V820">
        <v>-4.9862990000000003E-2</v>
      </c>
      <c r="W820">
        <v>-1.310182E-2</v>
      </c>
      <c r="X820">
        <v>0.99867010000000001</v>
      </c>
      <c r="Y820">
        <v>1.6810019999999998E-2</v>
      </c>
      <c r="Z820">
        <v>-1.99089E-4</v>
      </c>
      <c r="AA820">
        <v>0.99985869999999999</v>
      </c>
      <c r="AB820">
        <v>33</v>
      </c>
      <c r="AC820">
        <v>81.169799999999995</v>
      </c>
      <c r="AD820">
        <v>-1.059398047612</v>
      </c>
      <c r="AE820">
        <v>-2.0073000000000398</v>
      </c>
      <c r="AF820">
        <v>1.36797619051098</v>
      </c>
      <c r="AG820">
        <v>-1.059398047612</v>
      </c>
      <c r="AH820">
        <v>81.169269129960497</v>
      </c>
      <c r="AI820">
        <v>90.747659480703206</v>
      </c>
      <c r="AJ820">
        <v>89.034464108843693</v>
      </c>
      <c r="AK820">
        <v>81.187708023893904</v>
      </c>
      <c r="AL820">
        <v>90.7507004892216</v>
      </c>
      <c r="AM820">
        <v>92.858369708539797</v>
      </c>
      <c r="AN820">
        <v>0.99999997204653002</v>
      </c>
    </row>
    <row r="821" spans="1:40" x14ac:dyDescent="0.25">
      <c r="A821" t="str">
        <f>"20190305135808462"</f>
        <v>20190305135808462</v>
      </c>
      <c r="B821" t="str">
        <f>"1551765488459153"</f>
        <v>1551765488459153</v>
      </c>
      <c r="C821" t="s">
        <v>40</v>
      </c>
      <c r="D821">
        <v>3.892201</v>
      </c>
      <c r="E821">
        <v>0.5249547</v>
      </c>
      <c r="F821" t="s">
        <v>50</v>
      </c>
      <c r="G821">
        <v>-192.8828</v>
      </c>
      <c r="H821" s="1">
        <v>-6.9444209999999999E-6</v>
      </c>
      <c r="I821">
        <v>365.47280000000001</v>
      </c>
      <c r="J821">
        <v>-293.05450000000002</v>
      </c>
      <c r="K821">
        <v>1.0593969999999999</v>
      </c>
      <c r="L821">
        <v>367.87</v>
      </c>
      <c r="M821">
        <v>0.99989939999999999</v>
      </c>
      <c r="N821">
        <v>-1.1803930000000001E-2</v>
      </c>
      <c r="O821">
        <v>-7.8721929999999996E-3</v>
      </c>
      <c r="P821">
        <v>0.99884439999999997</v>
      </c>
      <c r="Q821">
        <v>-2.3572989999999999E-2</v>
      </c>
      <c r="R821">
        <v>4.1887569999999999E-2</v>
      </c>
      <c r="S821">
        <v>3.0058289999999999</v>
      </c>
      <c r="T821">
        <v>-3.1728859999999998E-2</v>
      </c>
      <c r="U821">
        <v>-7.1838379999999993E-2</v>
      </c>
      <c r="V821">
        <v>-4.9750469999999998E-2</v>
      </c>
      <c r="W821">
        <v>-1.1783480000000001E-2</v>
      </c>
      <c r="X821">
        <v>0.99869220000000003</v>
      </c>
      <c r="Y821">
        <v>1.6019760000000001E-2</v>
      </c>
      <c r="Z821">
        <v>-1.8894199999999999E-4</v>
      </c>
      <c r="AA821">
        <v>0.99987170000000003</v>
      </c>
      <c r="AB821">
        <v>33</v>
      </c>
      <c r="AC821">
        <v>100.1717</v>
      </c>
      <c r="AD821">
        <v>-1.0594039444209999</v>
      </c>
      <c r="AE821">
        <v>-2.39719999999999</v>
      </c>
      <c r="AF821">
        <v>1.6083200700385101</v>
      </c>
      <c r="AG821">
        <v>-1.0594039444209999</v>
      </c>
      <c r="AH821">
        <v>100.17626993541499</v>
      </c>
      <c r="AI821">
        <v>90.605825028306697</v>
      </c>
      <c r="AJ821">
        <v>89.080200970906901</v>
      </c>
      <c r="AK821">
        <v>100.19478074400099</v>
      </c>
      <c r="AL821">
        <v>90.675159273313994</v>
      </c>
      <c r="AM821">
        <v>92.851867213332497</v>
      </c>
      <c r="AN821">
        <v>1.0000000350034799</v>
      </c>
    </row>
    <row r="822" spans="1:40" x14ac:dyDescent="0.25">
      <c r="A822" t="str">
        <f>"20190305135808472"</f>
        <v>20190305135808472</v>
      </c>
      <c r="B822" t="str">
        <f>"1551765488469890"</f>
        <v>1551765488469890</v>
      </c>
      <c r="C822" t="s">
        <v>40</v>
      </c>
      <c r="D822">
        <v>3.882965</v>
      </c>
      <c r="E822">
        <v>0.52840290000000001</v>
      </c>
      <c r="F822" t="s">
        <v>50</v>
      </c>
      <c r="G822">
        <v>-195.1473</v>
      </c>
      <c r="H822" s="1">
        <v>-7.7414899999999996E-6</v>
      </c>
      <c r="I822">
        <v>365.54680000000002</v>
      </c>
      <c r="J822">
        <v>-292.87990000000002</v>
      </c>
      <c r="K822">
        <v>1.059404</v>
      </c>
      <c r="L822">
        <v>367.86860000000001</v>
      </c>
      <c r="M822">
        <v>0.99989939999999999</v>
      </c>
      <c r="N822">
        <v>-1.1804210000000001E-2</v>
      </c>
      <c r="O822">
        <v>-7.8719569999999902E-3</v>
      </c>
      <c r="P822">
        <v>0.99886839999999999</v>
      </c>
      <c r="Q822">
        <v>-2.338993E-2</v>
      </c>
      <c r="R822">
        <v>4.1413569999999997E-2</v>
      </c>
      <c r="S822">
        <v>3.0057070000000001</v>
      </c>
      <c r="T822">
        <v>-3.252327E-2</v>
      </c>
      <c r="U822">
        <v>-7.1319579999999994E-2</v>
      </c>
      <c r="V822">
        <v>-4.9276739999999999E-2</v>
      </c>
      <c r="W822">
        <v>-1.159983E-2</v>
      </c>
      <c r="X822">
        <v>0.99871779999999999</v>
      </c>
      <c r="Y822">
        <v>1.5848419999999998E-2</v>
      </c>
      <c r="Z822">
        <v>-1.870447E-4</v>
      </c>
      <c r="AA822">
        <v>0.99987440000000005</v>
      </c>
      <c r="AB822">
        <v>33</v>
      </c>
      <c r="AC822">
        <v>97.732600000000005</v>
      </c>
      <c r="AD822">
        <v>-1.0594117414899999</v>
      </c>
      <c r="AE822">
        <v>-2.3217999999999899</v>
      </c>
      <c r="AF822">
        <v>1.55214538561813</v>
      </c>
      <c r="AG822">
        <v>-1.0594117414899999</v>
      </c>
      <c r="AH822">
        <v>97.736371896965693</v>
      </c>
      <c r="AI822">
        <v>90.620954013516098</v>
      </c>
      <c r="AJ822">
        <v>89.090165688558699</v>
      </c>
      <c r="AK822">
        <v>97.754436728560194</v>
      </c>
      <c r="AL822">
        <v>90.664636208706497</v>
      </c>
      <c r="AM822">
        <v>92.824683292135205</v>
      </c>
      <c r="AN822">
        <v>0.99999999859894795</v>
      </c>
    </row>
    <row r="823" spans="1:40" x14ac:dyDescent="0.25">
      <c r="A823" t="str">
        <f>"20190305135808484"</f>
        <v>20190305135808484</v>
      </c>
      <c r="B823" t="str">
        <f>"1551765488479650"</f>
        <v>1551765488479650</v>
      </c>
      <c r="C823" t="s">
        <v>40</v>
      </c>
      <c r="D823">
        <v>3.9015059999999999</v>
      </c>
      <c r="E823">
        <v>0.52840290000000001</v>
      </c>
      <c r="F823" t="s">
        <v>44</v>
      </c>
      <c r="G823">
        <v>-158.19499999999999</v>
      </c>
      <c r="H823">
        <v>4.2752990000000004</v>
      </c>
      <c r="I823">
        <v>363.5795</v>
      </c>
      <c r="J823">
        <v>-292.71460000000002</v>
      </c>
      <c r="K823">
        <v>1.0594030000000001</v>
      </c>
      <c r="L823">
        <v>367.8673</v>
      </c>
      <c r="M823">
        <v>0.99989930000000005</v>
      </c>
      <c r="N823">
        <v>-1.1804479999999999E-2</v>
      </c>
      <c r="O823">
        <v>-7.8718399999999997E-3</v>
      </c>
      <c r="P823">
        <v>0.99890089999999998</v>
      </c>
      <c r="Q823">
        <v>-2.2846200000000001E-2</v>
      </c>
      <c r="R823">
        <v>4.092225E-2</v>
      </c>
      <c r="S823">
        <v>3.009064</v>
      </c>
      <c r="T823">
        <v>7.1849819999999995E-2</v>
      </c>
      <c r="U823">
        <v>-9.5825199999999999E-2</v>
      </c>
      <c r="V823">
        <v>-4.8785090000000003E-2</v>
      </c>
      <c r="W823">
        <v>-1.105546E-2</v>
      </c>
      <c r="X823">
        <v>0.99874810000000003</v>
      </c>
      <c r="Y823">
        <v>2.396156E-2</v>
      </c>
      <c r="Z823">
        <v>-1.3628340000000001E-4</v>
      </c>
      <c r="AA823">
        <v>0.99971290000000002</v>
      </c>
      <c r="AB823">
        <v>33</v>
      </c>
      <c r="AC823">
        <v>134.5196</v>
      </c>
      <c r="AD823">
        <v>3.2158959999999901</v>
      </c>
      <c r="AE823">
        <v>-4.2877999999999998</v>
      </c>
      <c r="AF823">
        <v>3.2268342013135398</v>
      </c>
      <c r="AG823">
        <v>3.2158959999999901</v>
      </c>
      <c r="AH823">
        <v>134.47241085224201</v>
      </c>
      <c r="AI823">
        <v>88.630431657244301</v>
      </c>
      <c r="AJ823">
        <v>88.625379694155001</v>
      </c>
      <c r="AK823">
        <v>134.549558626031</v>
      </c>
      <c r="AL823">
        <v>90.6334441103903</v>
      </c>
      <c r="AM823">
        <v>92.796460768543596</v>
      </c>
      <c r="AN823">
        <v>0.99999998772786403</v>
      </c>
    </row>
    <row r="824" spans="1:40" x14ac:dyDescent="0.25">
      <c r="A824" t="str">
        <f>"20190305135808496"</f>
        <v>20190305135808496</v>
      </c>
      <c r="B824" t="str">
        <f>"1551765488489410"</f>
        <v>1551765488489410</v>
      </c>
      <c r="C824" t="s">
        <v>40</v>
      </c>
      <c r="D824">
        <v>3.9174039999999999</v>
      </c>
      <c r="E824">
        <v>0.53206969999999898</v>
      </c>
      <c r="F824" t="s">
        <v>44</v>
      </c>
      <c r="G824">
        <v>-158.19499999999999</v>
      </c>
      <c r="H824">
        <v>4.3444599999999998</v>
      </c>
      <c r="I824">
        <v>363.50700000000001</v>
      </c>
      <c r="J824">
        <v>-292.53579999999999</v>
      </c>
      <c r="K824">
        <v>1.0594059999999901</v>
      </c>
      <c r="L824">
        <v>367.86590000000001</v>
      </c>
      <c r="M824">
        <v>0.99989930000000005</v>
      </c>
      <c r="N824">
        <v>-1.1804769999999999E-2</v>
      </c>
      <c r="O824">
        <v>-7.8716040000000008E-3</v>
      </c>
      <c r="P824">
        <v>0.99891589999999997</v>
      </c>
      <c r="Q824">
        <v>-2.208193E-2</v>
      </c>
      <c r="R824">
        <v>4.098094E-2</v>
      </c>
      <c r="S824">
        <v>3.008972</v>
      </c>
      <c r="T824">
        <v>7.3482989999999998E-2</v>
      </c>
      <c r="U824">
        <v>-9.7534179999999998E-2</v>
      </c>
      <c r="V824">
        <v>-4.8843579999999998E-2</v>
      </c>
      <c r="W824">
        <v>-1.0290779999999999E-2</v>
      </c>
      <c r="X824">
        <v>0.99875340000000001</v>
      </c>
      <c r="Y824">
        <v>2.4529800000000001E-2</v>
      </c>
      <c r="Z824">
        <v>-1.304697E-4</v>
      </c>
      <c r="AA824">
        <v>0.99969909999999995</v>
      </c>
      <c r="AB824">
        <v>33</v>
      </c>
      <c r="AC824">
        <v>134.3408</v>
      </c>
      <c r="AD824">
        <v>3.2850540000000001</v>
      </c>
      <c r="AE824">
        <v>-4.3589000000000597</v>
      </c>
      <c r="AF824">
        <v>3.2992429014170699</v>
      </c>
      <c r="AG824">
        <v>3.2850540000000001</v>
      </c>
      <c r="AH824">
        <v>134.290735769371</v>
      </c>
      <c r="AI824">
        <v>88.599118137290205</v>
      </c>
      <c r="AJ824">
        <v>88.592645469820198</v>
      </c>
      <c r="AK824">
        <v>134.37141919688301</v>
      </c>
      <c r="AL824">
        <v>90.589628684067904</v>
      </c>
      <c r="AM824">
        <v>92.7997933690786</v>
      </c>
      <c r="AN824">
        <v>0.99999997473589197</v>
      </c>
    </row>
    <row r="825" spans="1:40" x14ac:dyDescent="0.25">
      <c r="A825" t="str">
        <f>"20190305135808506"</f>
        <v>20190305135808506</v>
      </c>
      <c r="B825" t="str">
        <f>"1551765488499170"</f>
        <v>1551765488499170</v>
      </c>
      <c r="C825" t="s">
        <v>40</v>
      </c>
      <c r="D825">
        <v>3.9086400000000001</v>
      </c>
      <c r="E825">
        <v>0.53255450000000004</v>
      </c>
      <c r="F825" t="s">
        <v>44</v>
      </c>
      <c r="G825">
        <v>-158.19499999999999</v>
      </c>
      <c r="H825">
        <v>4.13558</v>
      </c>
      <c r="I825">
        <v>362.22019999999998</v>
      </c>
      <c r="J825">
        <v>-292.38380000000001</v>
      </c>
      <c r="K825">
        <v>1.0594110000000001</v>
      </c>
      <c r="L825">
        <v>367.86470000000003</v>
      </c>
      <c r="M825">
        <v>0.99989939999999999</v>
      </c>
      <c r="N825">
        <v>-1.1805029999999999E-2</v>
      </c>
      <c r="O825">
        <v>-7.8716050000000003E-3</v>
      </c>
      <c r="P825">
        <v>0.99893810000000005</v>
      </c>
      <c r="Q825">
        <v>-2.125927E-2</v>
      </c>
      <c r="R825">
        <v>4.0876759999999998E-2</v>
      </c>
      <c r="S825">
        <v>3.009979</v>
      </c>
      <c r="T825">
        <v>6.8925260000000002E-2</v>
      </c>
      <c r="U825">
        <v>-0.12649540000000001</v>
      </c>
      <c r="V825">
        <v>-4.8740169999999999E-2</v>
      </c>
      <c r="W825">
        <v>-9.4676450000000002E-3</v>
      </c>
      <c r="X825">
        <v>0.99876659999999995</v>
      </c>
      <c r="Y825">
        <v>3.412217E-2</v>
      </c>
      <c r="Z825" s="1">
        <v>-8.4070369999999999E-5</v>
      </c>
      <c r="AA825">
        <v>0.99941769999999996</v>
      </c>
      <c r="AB825">
        <v>33</v>
      </c>
      <c r="AC825">
        <v>134.18879999999999</v>
      </c>
      <c r="AD825">
        <v>3.0761689999999899</v>
      </c>
      <c r="AE825">
        <v>-5.6445000000000496</v>
      </c>
      <c r="AF825">
        <v>4.5855647897824801</v>
      </c>
      <c r="AG825">
        <v>3.0761689999999899</v>
      </c>
      <c r="AH825">
        <v>134.15869808441201</v>
      </c>
      <c r="AI825">
        <v>88.687242698029706</v>
      </c>
      <c r="AJ825">
        <v>88.042383618317004</v>
      </c>
      <c r="AK825">
        <v>134.27228489849301</v>
      </c>
      <c r="AL825">
        <v>90.542464215090007</v>
      </c>
      <c r="AM825">
        <v>92.793838275466797</v>
      </c>
      <c r="AN825">
        <v>0.99999998087451702</v>
      </c>
    </row>
    <row r="826" spans="1:40" x14ac:dyDescent="0.25">
      <c r="A826" t="str">
        <f>"20190305135808516"</f>
        <v>20190305135808516</v>
      </c>
      <c r="B826" t="str">
        <f>"1551765488509906"</f>
        <v>1551765488509906</v>
      </c>
      <c r="C826" t="s">
        <v>40</v>
      </c>
      <c r="D826">
        <v>3.990329</v>
      </c>
      <c r="E826">
        <v>0.53255450000000004</v>
      </c>
      <c r="F826" t="s">
        <v>44</v>
      </c>
      <c r="G826">
        <v>-158.19499999999999</v>
      </c>
      <c r="H826">
        <v>4.2795990000000002</v>
      </c>
      <c r="I826">
        <v>362.03500000000003</v>
      </c>
      <c r="J826">
        <v>-292.22309999999999</v>
      </c>
      <c r="K826">
        <v>1.0594220000000001</v>
      </c>
      <c r="L826">
        <v>367.86340000000001</v>
      </c>
      <c r="M826">
        <v>0.99989939999999999</v>
      </c>
      <c r="N826">
        <v>-1.1805299999999999E-2</v>
      </c>
      <c r="O826">
        <v>-7.8714879999999994E-3</v>
      </c>
      <c r="P826">
        <v>0.99894959999999999</v>
      </c>
      <c r="Q826">
        <v>-2.075422E-2</v>
      </c>
      <c r="R826">
        <v>4.085184E-2</v>
      </c>
      <c r="S826">
        <v>3.01004</v>
      </c>
      <c r="T826">
        <v>7.2235229999999997E-2</v>
      </c>
      <c r="U826">
        <v>-0.13076779999999999</v>
      </c>
      <c r="V826">
        <v>-4.8714670000000002E-2</v>
      </c>
      <c r="W826">
        <v>-8.9622279999999992E-3</v>
      </c>
      <c r="X826">
        <v>0.99877249999999995</v>
      </c>
      <c r="Y826">
        <v>3.5536829999999998E-2</v>
      </c>
      <c r="Z826" s="1">
        <v>-6.5381519999999904E-5</v>
      </c>
      <c r="AA826">
        <v>0.99936840000000005</v>
      </c>
      <c r="AB826">
        <v>33</v>
      </c>
      <c r="AC826">
        <v>134.02809999999999</v>
      </c>
      <c r="AD826">
        <v>3.2201770000000001</v>
      </c>
      <c r="AE826">
        <v>-5.8283999999999798</v>
      </c>
      <c r="AF826">
        <v>4.77039683702061</v>
      </c>
      <c r="AG826">
        <v>3.2201770000000001</v>
      </c>
      <c r="AH826">
        <v>133.99262658937201</v>
      </c>
      <c r="AI826">
        <v>88.624175836845893</v>
      </c>
      <c r="AJ826">
        <v>87.961020534957896</v>
      </c>
      <c r="AK826">
        <v>134.116181746324</v>
      </c>
      <c r="AL826">
        <v>90.513504727353606</v>
      </c>
      <c r="AM826">
        <v>92.792362433280502</v>
      </c>
      <c r="AN826">
        <v>0.99999997368009097</v>
      </c>
    </row>
    <row r="827" spans="1:40" x14ac:dyDescent="0.25">
      <c r="A827" t="str">
        <f>"20190305135808528"</f>
        <v>20190305135808528</v>
      </c>
      <c r="B827" t="str">
        <f>"1551765488519666"</f>
        <v>1551765488519666</v>
      </c>
      <c r="C827" t="s">
        <v>40</v>
      </c>
      <c r="D827">
        <v>4.0136070000000004</v>
      </c>
      <c r="E827">
        <v>0.52322460000000004</v>
      </c>
      <c r="F827" t="s">
        <v>44</v>
      </c>
      <c r="G827">
        <v>-158.19499999999999</v>
      </c>
      <c r="H827">
        <v>4.3451360000000001</v>
      </c>
      <c r="I827">
        <v>362.04070000000002</v>
      </c>
      <c r="J827">
        <v>-292.06380000000001</v>
      </c>
      <c r="K827">
        <v>1.0594300000000001</v>
      </c>
      <c r="L827">
        <v>367.8621</v>
      </c>
      <c r="M827">
        <v>0.99989939999999999</v>
      </c>
      <c r="N827">
        <v>-1.180558E-2</v>
      </c>
      <c r="O827">
        <v>-7.8713710000000003E-3</v>
      </c>
      <c r="P827">
        <v>0.99899550000000004</v>
      </c>
      <c r="Q827">
        <v>-1.950344E-2</v>
      </c>
      <c r="R827">
        <v>4.0342160000000002E-2</v>
      </c>
      <c r="S827">
        <v>3.01004</v>
      </c>
      <c r="T827">
        <v>7.3793410000000004E-2</v>
      </c>
      <c r="U827">
        <v>-0.13076779999999999</v>
      </c>
      <c r="V827">
        <v>-4.8205110000000002E-2</v>
      </c>
      <c r="W827">
        <v>-7.7106730000000004E-3</v>
      </c>
      <c r="X827">
        <v>0.99880769999999997</v>
      </c>
      <c r="Y827">
        <v>3.5536749999999999E-2</v>
      </c>
      <c r="Z827" s="1">
        <v>-6.0266699999999997E-5</v>
      </c>
      <c r="AA827">
        <v>0.99936840000000005</v>
      </c>
      <c r="AB827">
        <v>33</v>
      </c>
      <c r="AC827">
        <v>133.86879999999999</v>
      </c>
      <c r="AD827">
        <v>3.2857059999999998</v>
      </c>
      <c r="AE827">
        <v>-5.8213999999999801</v>
      </c>
      <c r="AF827">
        <v>4.7645504372922201</v>
      </c>
      <c r="AG827">
        <v>3.2857059999999998</v>
      </c>
      <c r="AH827">
        <v>133.83000822374399</v>
      </c>
      <c r="AI827">
        <v>88.594484467782905</v>
      </c>
      <c r="AJ827">
        <v>87.961044852027996</v>
      </c>
      <c r="AK827">
        <v>133.95509660313601</v>
      </c>
      <c r="AL827">
        <v>90.4417933960261</v>
      </c>
      <c r="AM827">
        <v>92.763102338367005</v>
      </c>
      <c r="AN827">
        <v>1.00000000434375</v>
      </c>
    </row>
    <row r="828" spans="1:40" x14ac:dyDescent="0.25">
      <c r="A828" t="str">
        <f>"20190305135808538"</f>
        <v>20190305135808538</v>
      </c>
      <c r="B828" t="str">
        <f>"1551765488529426"</f>
        <v>1551765488529426</v>
      </c>
      <c r="C828" t="s">
        <v>40</v>
      </c>
      <c r="D828">
        <v>4.0117240000000001</v>
      </c>
      <c r="E828">
        <v>0.52134990000000003</v>
      </c>
      <c r="F828" t="s">
        <v>42</v>
      </c>
      <c r="G828">
        <v>-229.6885</v>
      </c>
      <c r="H828" s="1">
        <v>-9.1252819999999996E-7</v>
      </c>
      <c r="I828">
        <v>366.53289999999998</v>
      </c>
      <c r="J828">
        <v>-291.91039999999998</v>
      </c>
      <c r="K828">
        <v>1.0594399999999999</v>
      </c>
      <c r="L828">
        <v>367.86090000000002</v>
      </c>
      <c r="M828">
        <v>0.99989930000000005</v>
      </c>
      <c r="N828">
        <v>-1.180586E-2</v>
      </c>
      <c r="O828">
        <v>-7.8711330000000006E-3</v>
      </c>
      <c r="P828">
        <v>0.99904389999999998</v>
      </c>
      <c r="Q828">
        <v>-1.8109E-2</v>
      </c>
      <c r="R828">
        <v>3.9790909999999999E-2</v>
      </c>
      <c r="S828">
        <v>3.0046080000000002</v>
      </c>
      <c r="T828">
        <v>-5.1032540000000001E-2</v>
      </c>
      <c r="U828">
        <v>-6.4025879999999993E-2</v>
      </c>
      <c r="V828">
        <v>-4.7654519999999999E-2</v>
      </c>
      <c r="W828">
        <v>-6.3154459999999997E-3</v>
      </c>
      <c r="X828">
        <v>0.99884390000000001</v>
      </c>
      <c r="Y828">
        <v>1.3430660000000001E-2</v>
      </c>
      <c r="Z828">
        <v>-1.52597E-4</v>
      </c>
      <c r="AA828">
        <v>0.99990979999999996</v>
      </c>
      <c r="AB828">
        <v>33</v>
      </c>
      <c r="AC828">
        <v>62.221899999999899</v>
      </c>
      <c r="AD828">
        <v>-1.0594409125281901</v>
      </c>
      <c r="AE828">
        <v>-1.32800000000003</v>
      </c>
      <c r="AF828">
        <v>0.83792504270651202</v>
      </c>
      <c r="AG828">
        <v>-1.0594409125281901</v>
      </c>
      <c r="AH828">
        <v>62.212397884373701</v>
      </c>
      <c r="AI828">
        <v>90.9755309979966</v>
      </c>
      <c r="AJ828">
        <v>89.228342463284903</v>
      </c>
      <c r="AK828">
        <v>62.227059901203397</v>
      </c>
      <c r="AL828">
        <v>90.3618508115418</v>
      </c>
      <c r="AM828">
        <v>92.731491913483396</v>
      </c>
      <c r="AN828">
        <v>0.999999987350909</v>
      </c>
    </row>
    <row r="829" spans="1:40" x14ac:dyDescent="0.25">
      <c r="A829" t="str">
        <f>"20190305135808547"</f>
        <v>20190305135808547</v>
      </c>
      <c r="B829" t="str">
        <f>"1551765488539186"</f>
        <v>1551765488539186</v>
      </c>
      <c r="C829" t="s">
        <v>40</v>
      </c>
      <c r="D829">
        <v>3.924188</v>
      </c>
      <c r="E829">
        <v>0.52442319999999998</v>
      </c>
      <c r="F829" t="s">
        <v>50</v>
      </c>
      <c r="G829">
        <v>-206.35059999999999</v>
      </c>
      <c r="H829" s="1">
        <v>-4.2899000000000002E-6</v>
      </c>
      <c r="I829">
        <v>366.43290000000002</v>
      </c>
      <c r="J829">
        <v>-291.7568</v>
      </c>
      <c r="K829">
        <v>1.0594440000000001</v>
      </c>
      <c r="L829">
        <v>367.85969999999998</v>
      </c>
      <c r="M829">
        <v>0.99989939999999999</v>
      </c>
      <c r="N829">
        <v>-1.180613E-2</v>
      </c>
      <c r="O829">
        <v>-7.8705349999999997E-3</v>
      </c>
      <c r="P829">
        <v>0.99911000000000005</v>
      </c>
      <c r="Q829">
        <v>-1.5989429999999999E-2</v>
      </c>
      <c r="R829">
        <v>3.9037040000000002E-2</v>
      </c>
      <c r="S829">
        <v>3.0042110000000002</v>
      </c>
      <c r="T829">
        <v>-3.7199620000000003E-2</v>
      </c>
      <c r="U829">
        <v>-5.0140379999999998E-2</v>
      </c>
      <c r="V829">
        <v>-4.6899650000000001E-2</v>
      </c>
      <c r="W829">
        <v>-4.1949600000000002E-3</v>
      </c>
      <c r="X829">
        <v>0.99889079999999997</v>
      </c>
      <c r="Y829">
        <v>8.8158850000000007E-3</v>
      </c>
      <c r="Z829">
        <v>-1.02101E-4</v>
      </c>
      <c r="AA829">
        <v>0.99996110000000005</v>
      </c>
      <c r="AB829">
        <v>33</v>
      </c>
      <c r="AC829">
        <v>85.406199999999998</v>
      </c>
      <c r="AD829">
        <v>-1.0594482899</v>
      </c>
      <c r="AE829">
        <v>-1.4267999999999501</v>
      </c>
      <c r="AF829">
        <v>0.75440045622543805</v>
      </c>
      <c r="AG829">
        <v>-1.0594482899</v>
      </c>
      <c r="AH829">
        <v>85.401646899694299</v>
      </c>
      <c r="AI829">
        <v>90.710717373185602</v>
      </c>
      <c r="AJ829">
        <v>89.493887535596699</v>
      </c>
      <c r="AK829">
        <v>85.411549827335406</v>
      </c>
      <c r="AL829">
        <v>90.240354207553096</v>
      </c>
      <c r="AM829">
        <v>92.6881617449</v>
      </c>
      <c r="AN829">
        <v>1.0000000025920801</v>
      </c>
    </row>
    <row r="830" spans="1:40" x14ac:dyDescent="0.25">
      <c r="A830" t="str">
        <f>"20190305135808558"</f>
        <v>20190305135808558</v>
      </c>
      <c r="B830" t="str">
        <f>"1551765488549922"</f>
        <v>1551765488549922</v>
      </c>
      <c r="C830" t="s">
        <v>40</v>
      </c>
      <c r="D830">
        <v>3.7202109999999999</v>
      </c>
      <c r="E830">
        <v>0.5317267</v>
      </c>
      <c r="F830" t="s">
        <v>44</v>
      </c>
      <c r="G830">
        <v>-158.19499999999999</v>
      </c>
      <c r="H830">
        <v>1.644191</v>
      </c>
      <c r="I830">
        <v>364.51440000000002</v>
      </c>
      <c r="J830">
        <v>-291.61660000000001</v>
      </c>
      <c r="K830">
        <v>1.059442</v>
      </c>
      <c r="L830">
        <v>367.85860000000002</v>
      </c>
      <c r="M830">
        <v>0.99989930000000005</v>
      </c>
      <c r="N830">
        <v>-1.180638E-2</v>
      </c>
      <c r="O830">
        <v>-7.8698180000000006E-3</v>
      </c>
      <c r="P830">
        <v>0.99916579999999999</v>
      </c>
      <c r="Q830">
        <v>-1.399366E-2</v>
      </c>
      <c r="R830">
        <v>3.836581E-2</v>
      </c>
      <c r="S830">
        <v>3.0058289999999999</v>
      </c>
      <c r="T830">
        <v>1.316178E-2</v>
      </c>
      <c r="U830">
        <v>-7.5286870000000006E-2</v>
      </c>
      <c r="V830">
        <v>-4.6228810000000002E-2</v>
      </c>
      <c r="W830">
        <v>-2.1984169999999998E-3</v>
      </c>
      <c r="X830">
        <v>0.9989285</v>
      </c>
      <c r="Y830">
        <v>1.7171740000000001E-2</v>
      </c>
      <c r="Z830">
        <v>-1.9115469999999999E-4</v>
      </c>
      <c r="AA830">
        <v>0.99985250000000003</v>
      </c>
      <c r="AB830">
        <v>33</v>
      </c>
      <c r="AC830">
        <v>133.42160000000001</v>
      </c>
      <c r="AD830">
        <v>0.58474899999999996</v>
      </c>
      <c r="AE830">
        <v>-3.3441999999999998</v>
      </c>
      <c r="AF830">
        <v>2.2939754570819102</v>
      </c>
      <c r="AG830">
        <v>0.58474899999999996</v>
      </c>
      <c r="AH830">
        <v>133.44122621479099</v>
      </c>
      <c r="AI830">
        <v>89.748964492854498</v>
      </c>
      <c r="AJ830">
        <v>89.015130702335099</v>
      </c>
      <c r="AK830">
        <v>133.46222352597599</v>
      </c>
      <c r="AL830">
        <v>90.125960111879706</v>
      </c>
      <c r="AM830">
        <v>92.649666339165705</v>
      </c>
      <c r="AN830">
        <v>1.0000000420117801</v>
      </c>
    </row>
    <row r="831" spans="1:40" x14ac:dyDescent="0.25">
      <c r="A831" t="str">
        <f>"20190305135808569"</f>
        <v>20190305135808569</v>
      </c>
      <c r="B831" t="str">
        <f>"1551765488559682"</f>
        <v>1551765488559682</v>
      </c>
      <c r="C831" t="s">
        <v>40</v>
      </c>
      <c r="D831">
        <v>4.0127790000000001</v>
      </c>
      <c r="E831">
        <v>0.52860929999999995</v>
      </c>
      <c r="F831" t="s">
        <v>44</v>
      </c>
      <c r="G831">
        <v>-158.19499999999999</v>
      </c>
      <c r="H831">
        <v>3.4624510000000002</v>
      </c>
      <c r="I831">
        <v>361.91570000000002</v>
      </c>
      <c r="J831">
        <v>-291.4436</v>
      </c>
      <c r="K831">
        <v>1.0594399999999999</v>
      </c>
      <c r="L831">
        <v>367.85719999999998</v>
      </c>
      <c r="M831">
        <v>0.99989939999999999</v>
      </c>
      <c r="N831">
        <v>-1.180671E-2</v>
      </c>
      <c r="O831">
        <v>-7.8675410000000005E-3</v>
      </c>
      <c r="P831">
        <v>0.99921289999999996</v>
      </c>
      <c r="Q831">
        <v>-1.2797970000000001E-2</v>
      </c>
      <c r="R831">
        <v>3.755319E-2</v>
      </c>
      <c r="S831">
        <v>3.0084529999999998</v>
      </c>
      <c r="T831">
        <v>5.4186110000000003E-2</v>
      </c>
      <c r="U831">
        <v>-0.1340027</v>
      </c>
      <c r="V831">
        <v>-4.5414360000000001E-2</v>
      </c>
      <c r="W831">
        <v>-1.0019860000000001E-3</v>
      </c>
      <c r="X831">
        <v>0.99896770000000001</v>
      </c>
      <c r="Y831">
        <v>3.6637719999999999E-2</v>
      </c>
      <c r="Z831">
        <v>-1.2110490000000001E-4</v>
      </c>
      <c r="AA831">
        <v>0.99932860000000001</v>
      </c>
      <c r="AB831">
        <v>33</v>
      </c>
      <c r="AC831">
        <v>133.24860000000001</v>
      </c>
      <c r="AD831">
        <v>2.4030109999999998</v>
      </c>
      <c r="AE831">
        <v>-5.9414999999999596</v>
      </c>
      <c r="AF831">
        <v>4.8913166134542303</v>
      </c>
      <c r="AG831">
        <v>2.4030109999999998</v>
      </c>
      <c r="AH831">
        <v>133.24797387833101</v>
      </c>
      <c r="AI831">
        <v>88.967527827195099</v>
      </c>
      <c r="AJ831">
        <v>87.897708974317496</v>
      </c>
      <c r="AK831">
        <v>133.359371559555</v>
      </c>
      <c r="AL831">
        <v>90.057409580440194</v>
      </c>
      <c r="AM831">
        <v>92.602947821837503</v>
      </c>
      <c r="AN831">
        <v>0.99999996685672099</v>
      </c>
    </row>
    <row r="832" spans="1:40" x14ac:dyDescent="0.25">
      <c r="A832" t="str">
        <f>"20190305135808583"</f>
        <v>20190305135808583</v>
      </c>
      <c r="B832" t="str">
        <f>"1551765488579202"</f>
        <v>1551765488579202</v>
      </c>
      <c r="C832" t="s">
        <v>40</v>
      </c>
      <c r="D832">
        <v>3.6726939999999999</v>
      </c>
      <c r="E832">
        <v>0.53776080000000004</v>
      </c>
      <c r="F832" t="s">
        <v>44</v>
      </c>
      <c r="G832">
        <v>-158.19499999999999</v>
      </c>
      <c r="H832">
        <v>2.358784</v>
      </c>
      <c r="I832">
        <v>362.86180000000002</v>
      </c>
      <c r="J832">
        <v>-291.26</v>
      </c>
      <c r="K832">
        <v>1.0594300000000001</v>
      </c>
      <c r="L832">
        <v>367.85579999999999</v>
      </c>
      <c r="M832">
        <v>0.99989950000000005</v>
      </c>
      <c r="N832">
        <v>-1.1807049999999999E-2</v>
      </c>
      <c r="O832">
        <v>-7.8641860000000004E-3</v>
      </c>
      <c r="P832">
        <v>0.99922820000000001</v>
      </c>
      <c r="Q832">
        <v>-1.3662260000000001E-2</v>
      </c>
      <c r="R832">
        <v>3.6832650000000002E-2</v>
      </c>
      <c r="S832">
        <v>3.0069889999999999</v>
      </c>
      <c r="T832">
        <v>2.932394E-2</v>
      </c>
      <c r="U832">
        <v>-0.1127319</v>
      </c>
      <c r="V832">
        <v>-4.4689769999999997E-2</v>
      </c>
      <c r="W832">
        <v>-1.8657979999999999E-3</v>
      </c>
      <c r="X832">
        <v>0.99899919999999998</v>
      </c>
      <c r="Y832">
        <v>2.9605409999999999E-2</v>
      </c>
      <c r="Z832">
        <v>-2.000235E-4</v>
      </c>
      <c r="AA832">
        <v>0.9995617</v>
      </c>
      <c r="AB832">
        <v>33</v>
      </c>
      <c r="AC832">
        <v>133.065</v>
      </c>
      <c r="AD832">
        <v>1.2993539999999999</v>
      </c>
      <c r="AE832">
        <v>-4.9939999999999696</v>
      </c>
      <c r="AF832">
        <v>3.9469490087369099</v>
      </c>
      <c r="AG832">
        <v>1.2993539999999999</v>
      </c>
      <c r="AH832">
        <v>133.087488875171</v>
      </c>
      <c r="AI832">
        <v>89.440875914923595</v>
      </c>
      <c r="AJ832">
        <v>88.301288443073105</v>
      </c>
      <c r="AK832">
        <v>133.15234290989201</v>
      </c>
      <c r="AL832">
        <v>90.106902409730196</v>
      </c>
      <c r="AM832">
        <v>92.561392668263395</v>
      </c>
      <c r="AN832">
        <v>1.00000002917273</v>
      </c>
    </row>
    <row r="833" spans="1:40" x14ac:dyDescent="0.25">
      <c r="A833" t="str">
        <f>"20190305135808594"</f>
        <v>20190305135808594</v>
      </c>
      <c r="B833" t="str">
        <f>"1551765488589938"</f>
        <v>1551765488589938</v>
      </c>
      <c r="C833" t="s">
        <v>40</v>
      </c>
      <c r="D833">
        <v>3.6810360000000002</v>
      </c>
      <c r="E833">
        <v>0.54056090000000001</v>
      </c>
      <c r="F833" t="s">
        <v>44</v>
      </c>
      <c r="G833">
        <v>-158.19499999999999</v>
      </c>
      <c r="H833">
        <v>4.5296029999999998</v>
      </c>
      <c r="I833">
        <v>359.64170000000001</v>
      </c>
      <c r="J833">
        <v>-291.0795</v>
      </c>
      <c r="K833">
        <v>1.059431</v>
      </c>
      <c r="L833">
        <v>367.85430000000002</v>
      </c>
      <c r="M833">
        <v>0.99989950000000005</v>
      </c>
      <c r="N833">
        <v>-1.1807379999999999E-2</v>
      </c>
      <c r="O833">
        <v>-7.8587919999999999E-3</v>
      </c>
      <c r="P833">
        <v>0.99925980000000003</v>
      </c>
      <c r="Q833">
        <v>-1.396148E-2</v>
      </c>
      <c r="R833">
        <v>3.5854579999999997E-2</v>
      </c>
      <c r="S833">
        <v>3.0102229999999999</v>
      </c>
      <c r="T833">
        <v>7.8504920000000006E-2</v>
      </c>
      <c r="U833">
        <v>-0.1858215</v>
      </c>
      <c r="V833">
        <v>-4.3706990000000001E-2</v>
      </c>
      <c r="W833">
        <v>-2.1644630000000002E-3</v>
      </c>
      <c r="X833">
        <v>0.99904199999999999</v>
      </c>
      <c r="Y833">
        <v>5.3762230000000001E-2</v>
      </c>
      <c r="Z833" s="1">
        <v>8.5121719999999902E-5</v>
      </c>
      <c r="AA833">
        <v>0.99855380000000005</v>
      </c>
      <c r="AB833">
        <v>33</v>
      </c>
      <c r="AC833">
        <v>132.8845</v>
      </c>
      <c r="AD833">
        <v>3.4701719999999998</v>
      </c>
      <c r="AE833">
        <v>-8.2126000000000001</v>
      </c>
      <c r="AF833">
        <v>7.1630957054588196</v>
      </c>
      <c r="AG833">
        <v>3.4701719999999998</v>
      </c>
      <c r="AH833">
        <v>132.854685773272</v>
      </c>
      <c r="AI833">
        <v>88.505940235194302</v>
      </c>
      <c r="AJ833">
        <v>86.913784807548197</v>
      </c>
      <c r="AK833">
        <v>133.09289825422701</v>
      </c>
      <c r="AL833">
        <v>90.124014697620197</v>
      </c>
      <c r="AM833">
        <v>92.505030045067102</v>
      </c>
      <c r="AN833">
        <v>0.99999995181946799</v>
      </c>
    </row>
    <row r="834" spans="1:40" x14ac:dyDescent="0.25">
      <c r="A834" t="str">
        <f>"20190305135808607"</f>
        <v>20190305135808607</v>
      </c>
      <c r="B834" t="str">
        <f>"1551765488599698"</f>
        <v>1551765488599698</v>
      </c>
      <c r="C834" t="s">
        <v>40</v>
      </c>
      <c r="D834">
        <v>3.7002359999999999</v>
      </c>
      <c r="E834">
        <v>0.54265099999999999</v>
      </c>
      <c r="F834" t="s">
        <v>44</v>
      </c>
      <c r="G834">
        <v>-158.19499999999999</v>
      </c>
      <c r="H834">
        <v>5.1907540000000001</v>
      </c>
      <c r="I834">
        <v>358.56270000000001</v>
      </c>
      <c r="J834">
        <v>-290.90390000000002</v>
      </c>
      <c r="K834">
        <v>1.0594330000000001</v>
      </c>
      <c r="L834">
        <v>367.85300000000001</v>
      </c>
      <c r="M834">
        <v>0.99989950000000005</v>
      </c>
      <c r="N834">
        <v>-1.1807710000000001E-2</v>
      </c>
      <c r="O834">
        <v>-7.8504070000000002E-3</v>
      </c>
      <c r="P834">
        <v>0.99929849999999998</v>
      </c>
      <c r="Q834">
        <v>-1.407338E-2</v>
      </c>
      <c r="R834">
        <v>3.4708919999999997E-2</v>
      </c>
      <c r="S834">
        <v>3.0110779999999999</v>
      </c>
      <c r="T834">
        <v>9.361506E-2</v>
      </c>
      <c r="U834">
        <v>-0.2105408</v>
      </c>
      <c r="V834">
        <v>-4.2553639999999997E-2</v>
      </c>
      <c r="W834">
        <v>-2.2758000000000001E-3</v>
      </c>
      <c r="X834">
        <v>0.99909159999999997</v>
      </c>
      <c r="Y834">
        <v>6.1906559999999999E-2</v>
      </c>
      <c r="Z834">
        <v>2.5868179999999997E-4</v>
      </c>
      <c r="AA834">
        <v>0.99808189999999997</v>
      </c>
      <c r="AB834">
        <v>33</v>
      </c>
      <c r="AC834">
        <v>132.7089</v>
      </c>
      <c r="AD834">
        <v>4.1313209999999998</v>
      </c>
      <c r="AE834">
        <v>-9.2903000000000002</v>
      </c>
      <c r="AF834">
        <v>8.2401754225980408</v>
      </c>
      <c r="AG834">
        <v>4.1313209999999998</v>
      </c>
      <c r="AH834">
        <v>132.649821005456</v>
      </c>
      <c r="AI834">
        <v>88.2195542135766</v>
      </c>
      <c r="AJ834">
        <v>86.445367351392505</v>
      </c>
      <c r="AK834">
        <v>132.969708268386</v>
      </c>
      <c r="AL834">
        <v>90.130393846482406</v>
      </c>
      <c r="AM834">
        <v>92.438886711243498</v>
      </c>
      <c r="AN834">
        <v>1.00000000836672</v>
      </c>
    </row>
    <row r="835" spans="1:40" x14ac:dyDescent="0.25">
      <c r="A835" t="str">
        <f>"20190305135808619"</f>
        <v>20190305135808619</v>
      </c>
      <c r="B835" t="str">
        <f>"1551765488609459"</f>
        <v>1551765488609459</v>
      </c>
      <c r="C835" t="s">
        <v>40</v>
      </c>
      <c r="D835">
        <v>3.688596</v>
      </c>
      <c r="E835">
        <v>0.54448469999999904</v>
      </c>
      <c r="F835" t="s">
        <v>44</v>
      </c>
      <c r="G835">
        <v>-158.19499999999999</v>
      </c>
      <c r="H835">
        <v>5.7085889999999999</v>
      </c>
      <c r="I835">
        <v>357.68770000000001</v>
      </c>
      <c r="J835">
        <v>-290.71519999999998</v>
      </c>
      <c r="K835">
        <v>1.059436</v>
      </c>
      <c r="L835">
        <v>367.85140000000001</v>
      </c>
      <c r="M835">
        <v>0.99989950000000005</v>
      </c>
      <c r="N835">
        <v>-1.180806E-2</v>
      </c>
      <c r="O835">
        <v>-7.8397450000000004E-3</v>
      </c>
      <c r="P835">
        <v>0.99935410000000002</v>
      </c>
      <c r="Q835">
        <v>-1.321406E-2</v>
      </c>
      <c r="R835">
        <v>3.341686E-2</v>
      </c>
      <c r="S835">
        <v>3.0115970000000001</v>
      </c>
      <c r="T835">
        <v>0.1055064</v>
      </c>
      <c r="U835">
        <v>-0.23068240000000001</v>
      </c>
      <c r="V835">
        <v>-4.1250710000000003E-2</v>
      </c>
      <c r="W835">
        <v>-1.41581E-3</v>
      </c>
      <c r="X835">
        <v>0.99914780000000003</v>
      </c>
      <c r="Y835">
        <v>6.8535490000000004E-2</v>
      </c>
      <c r="Z835">
        <v>4.265157E-4</v>
      </c>
      <c r="AA835">
        <v>0.9976486</v>
      </c>
      <c r="AB835">
        <v>33</v>
      </c>
      <c r="AC835">
        <v>132.52019999999999</v>
      </c>
      <c r="AD835">
        <v>4.6491530000000001</v>
      </c>
      <c r="AE835">
        <v>-10.1637</v>
      </c>
      <c r="AF835">
        <v>9.1132396693088396</v>
      </c>
      <c r="AG835">
        <v>4.6491530000000001</v>
      </c>
      <c r="AH835">
        <v>132.433768482125</v>
      </c>
      <c r="AI835">
        <v>87.994168582171895</v>
      </c>
      <c r="AJ835">
        <v>86.063478899066894</v>
      </c>
      <c r="AK835">
        <v>132.828343343071</v>
      </c>
      <c r="AL835">
        <v>90.081119966646895</v>
      </c>
      <c r="AM835">
        <v>92.364164821033995</v>
      </c>
      <c r="AN835">
        <v>0.99999997591914902</v>
      </c>
    </row>
    <row r="836" spans="1:40" x14ac:dyDescent="0.25">
      <c r="A836" t="str">
        <f>"20190305135808631"</f>
        <v>20190305135808631</v>
      </c>
      <c r="B836" t="str">
        <f>"1551765488619218"</f>
        <v>1551765488619218</v>
      </c>
      <c r="C836" t="s">
        <v>40</v>
      </c>
      <c r="D836">
        <v>3.9471829999999999</v>
      </c>
      <c r="E836">
        <v>0.5429136</v>
      </c>
      <c r="F836" t="s">
        <v>44</v>
      </c>
      <c r="G836">
        <v>-158.19499999999999</v>
      </c>
      <c r="H836">
        <v>6.2609339999999998</v>
      </c>
      <c r="I836">
        <v>356.90249999999997</v>
      </c>
      <c r="J836">
        <v>-290.52730000000003</v>
      </c>
      <c r="K836">
        <v>1.0594460000000001</v>
      </c>
      <c r="L836">
        <v>367.85</v>
      </c>
      <c r="M836">
        <v>0.9998996</v>
      </c>
      <c r="N836">
        <v>-1.180842E-2</v>
      </c>
      <c r="O836">
        <v>-7.8227439999999995E-3</v>
      </c>
      <c r="P836">
        <v>0.99939880000000003</v>
      </c>
      <c r="Q836">
        <v>-1.243502E-2</v>
      </c>
      <c r="R836">
        <v>3.2364950000000003E-2</v>
      </c>
      <c r="S836">
        <v>3.0118100000000001</v>
      </c>
      <c r="T836">
        <v>0.1182173</v>
      </c>
      <c r="U836">
        <v>-0.24884029999999999</v>
      </c>
      <c r="V836">
        <v>-4.0182559999999999E-2</v>
      </c>
      <c r="W836">
        <v>-6.3635410000000003E-4</v>
      </c>
      <c r="X836">
        <v>0.99919219999999997</v>
      </c>
      <c r="Y836">
        <v>7.4512099999999998E-2</v>
      </c>
      <c r="Z836">
        <v>6.1991640000000001E-4</v>
      </c>
      <c r="AA836">
        <v>0.99721990000000005</v>
      </c>
      <c r="AB836">
        <v>33</v>
      </c>
      <c r="AC836">
        <v>132.3323</v>
      </c>
      <c r="AD836">
        <v>5.2014880000000003</v>
      </c>
      <c r="AE836">
        <v>-10.9475</v>
      </c>
      <c r="AF836">
        <v>9.8967047121210996</v>
      </c>
      <c r="AG836">
        <v>5.2014880000000003</v>
      </c>
      <c r="AH836">
        <v>132.211020548688</v>
      </c>
      <c r="AI836">
        <v>87.753292409791001</v>
      </c>
      <c r="AJ836">
        <v>85.719087160974297</v>
      </c>
      <c r="AK836">
        <v>132.68290845507801</v>
      </c>
      <c r="AL836">
        <v>90.036460404923503</v>
      </c>
      <c r="AM836">
        <v>92.302911466167203</v>
      </c>
      <c r="AN836">
        <v>1.00000004780776</v>
      </c>
    </row>
    <row r="837" spans="1:40" x14ac:dyDescent="0.25">
      <c r="A837" t="str">
        <f>"20190305135808648"</f>
        <v>20190305135808648</v>
      </c>
      <c r="B837" t="str">
        <f>"1551765488639714"</f>
        <v>1551765488639714</v>
      </c>
      <c r="C837" t="s">
        <v>40</v>
      </c>
      <c r="D837">
        <v>3.9196680000000002</v>
      </c>
      <c r="E837">
        <v>0.5429988</v>
      </c>
      <c r="F837" t="s">
        <v>44</v>
      </c>
      <c r="G837">
        <v>-158.19499999999999</v>
      </c>
      <c r="H837">
        <v>6.1775510000000002</v>
      </c>
      <c r="I837">
        <v>357.30119999999999</v>
      </c>
      <c r="J837">
        <v>-290.2826</v>
      </c>
      <c r="K837">
        <v>1.0594749999999999</v>
      </c>
      <c r="L837">
        <v>367.84809999999999</v>
      </c>
      <c r="M837">
        <v>0.99990000000000001</v>
      </c>
      <c r="N837">
        <v>-1.1808910000000001E-2</v>
      </c>
      <c r="O837">
        <v>-7.7946200000000004E-3</v>
      </c>
      <c r="P837">
        <v>0.99945729999999999</v>
      </c>
      <c r="Q837">
        <v>-1.165106E-2</v>
      </c>
      <c r="R837">
        <v>3.0817810000000001E-2</v>
      </c>
      <c r="S837">
        <v>3.0110169999999998</v>
      </c>
      <c r="T837">
        <v>0.1164565</v>
      </c>
      <c r="U837">
        <v>-0.24002080000000001</v>
      </c>
      <c r="V837">
        <v>-3.8607839999999997E-2</v>
      </c>
      <c r="W837">
        <v>1.4812150000000001E-4</v>
      </c>
      <c r="X837">
        <v>0.99925439999999999</v>
      </c>
      <c r="Y837">
        <v>7.1662169999999997E-2</v>
      </c>
      <c r="Z837">
        <v>5.6648019999999905E-4</v>
      </c>
      <c r="AA837">
        <v>0.9974288</v>
      </c>
      <c r="AB837">
        <v>33</v>
      </c>
      <c r="AC837">
        <v>132.08760000000001</v>
      </c>
      <c r="AD837">
        <v>5.1180760000000003</v>
      </c>
      <c r="AE837">
        <v>-10.5468999999999</v>
      </c>
      <c r="AF837">
        <v>9.5027584011429305</v>
      </c>
      <c r="AG837">
        <v>5.1180760000000003</v>
      </c>
      <c r="AH837">
        <v>131.96892193348799</v>
      </c>
      <c r="AI837">
        <v>87.784773175310804</v>
      </c>
      <c r="AJ837">
        <v>85.881380092388696</v>
      </c>
      <c r="AK837">
        <v>132.409567159852</v>
      </c>
      <c r="AL837">
        <v>89.991513262922595</v>
      </c>
      <c r="AM837">
        <v>92.212616282449304</v>
      </c>
      <c r="AN837">
        <v>0.99999997158440102</v>
      </c>
    </row>
    <row r="838" spans="1:40" x14ac:dyDescent="0.25">
      <c r="A838" t="str">
        <f>"20190305135808668"</f>
        <v>20190305135808668</v>
      </c>
      <c r="B838" t="str">
        <f>"1551765488659233"</f>
        <v>1551765488659233</v>
      </c>
      <c r="C838" t="s">
        <v>40</v>
      </c>
      <c r="D838">
        <v>3.9264760000000001</v>
      </c>
      <c r="E838">
        <v>0.54095760000000004</v>
      </c>
      <c r="F838" t="s">
        <v>44</v>
      </c>
      <c r="G838">
        <v>-158.19499999999999</v>
      </c>
      <c r="H838">
        <v>6.4678190000000004</v>
      </c>
      <c r="I838">
        <v>357.0883</v>
      </c>
      <c r="J838">
        <v>-289.9717</v>
      </c>
      <c r="K838">
        <v>1.059512</v>
      </c>
      <c r="L838">
        <v>367.84570000000002</v>
      </c>
      <c r="M838">
        <v>0.99990029999999996</v>
      </c>
      <c r="N838">
        <v>-1.180953E-2</v>
      </c>
      <c r="O838">
        <v>-7.7447389999999996E-3</v>
      </c>
      <c r="P838">
        <v>0.9994693</v>
      </c>
      <c r="Q838">
        <v>-1.1179639999999999E-2</v>
      </c>
      <c r="R838">
        <v>3.0597450000000002E-2</v>
      </c>
      <c r="S838">
        <v>3.0105900000000001</v>
      </c>
      <c r="T838">
        <v>0.1232709</v>
      </c>
      <c r="U838">
        <v>-0.24523929999999999</v>
      </c>
      <c r="V838">
        <v>-3.833814E-2</v>
      </c>
      <c r="W838">
        <v>6.1971339999999995E-4</v>
      </c>
      <c r="X838">
        <v>0.99926470000000001</v>
      </c>
      <c r="Y838">
        <v>7.3435120000000007E-2</v>
      </c>
      <c r="Z838">
        <v>6.5813679999999998E-4</v>
      </c>
      <c r="AA838">
        <v>0.99729979999999996</v>
      </c>
      <c r="AB838">
        <v>33</v>
      </c>
      <c r="AC838">
        <v>131.77670000000001</v>
      </c>
      <c r="AD838">
        <v>5.4083069999999998</v>
      </c>
      <c r="AE838">
        <v>-10.757400000000001</v>
      </c>
      <c r="AF838">
        <v>9.7201657679707907</v>
      </c>
      <c r="AG838">
        <v>5.4083069999999998</v>
      </c>
      <c r="AH838">
        <v>131.63580677616</v>
      </c>
      <c r="AI838">
        <v>87.653685212404397</v>
      </c>
      <c r="AJ838">
        <v>85.776866732953806</v>
      </c>
      <c r="AK838">
        <v>132.10494704125799</v>
      </c>
      <c r="AL838">
        <v>89.964493037843994</v>
      </c>
      <c r="AM838">
        <v>92.197152345242301</v>
      </c>
      <c r="AN838">
        <v>1.0000000688447199</v>
      </c>
    </row>
    <row r="839" spans="1:40" x14ac:dyDescent="0.25">
      <c r="A839" t="str">
        <f>"20190305135808681"</f>
        <v>20190305135808681</v>
      </c>
      <c r="B839" t="str">
        <f>"1551765488669970"</f>
        <v>1551765488669970</v>
      </c>
      <c r="C839" t="s">
        <v>40</v>
      </c>
      <c r="D839">
        <v>3.9328090000000002</v>
      </c>
      <c r="E839">
        <v>0.54002260000000002</v>
      </c>
      <c r="F839" t="s">
        <v>44</v>
      </c>
      <c r="G839">
        <v>-158.19499999999999</v>
      </c>
      <c r="H839">
        <v>6.0009600000000001</v>
      </c>
      <c r="I839">
        <v>357.76499999999999</v>
      </c>
      <c r="J839">
        <v>-289.7987</v>
      </c>
      <c r="K839">
        <v>1.059537</v>
      </c>
      <c r="L839">
        <v>367.84440000000001</v>
      </c>
      <c r="M839">
        <v>0.99990080000000003</v>
      </c>
      <c r="N839">
        <v>-1.180987E-2</v>
      </c>
      <c r="O839">
        <v>-7.7096980000000001E-3</v>
      </c>
      <c r="P839">
        <v>0.99945499999999998</v>
      </c>
      <c r="Q839">
        <v>-1.085649E-2</v>
      </c>
      <c r="R839">
        <v>3.1180340000000001E-2</v>
      </c>
      <c r="S839">
        <v>3.0099490000000002</v>
      </c>
      <c r="T839">
        <v>0.112870899999999</v>
      </c>
      <c r="U839">
        <v>-0.23025509999999999</v>
      </c>
      <c r="V839">
        <v>-3.8885620000000003E-2</v>
      </c>
      <c r="W839">
        <v>9.4157850000000005E-4</v>
      </c>
      <c r="X839">
        <v>0.9992432</v>
      </c>
      <c r="Y839">
        <v>6.8561689999999995E-2</v>
      </c>
      <c r="Z839">
        <v>4.9818119999999995E-4</v>
      </c>
      <c r="AA839">
        <v>0.9976467</v>
      </c>
      <c r="AB839">
        <v>33</v>
      </c>
      <c r="AC839">
        <v>131.6037</v>
      </c>
      <c r="AD839">
        <v>4.9414230000000003</v>
      </c>
      <c r="AE839">
        <v>-10.0794</v>
      </c>
      <c r="AF839">
        <v>9.0517181192967495</v>
      </c>
      <c r="AG839">
        <v>4.9414230000000003</v>
      </c>
      <c r="AH839">
        <v>131.493200262697</v>
      </c>
      <c r="AI839">
        <v>87.852953434476902</v>
      </c>
      <c r="AJ839">
        <v>86.062090132632704</v>
      </c>
      <c r="AK839">
        <v>131.896978651908</v>
      </c>
      <c r="AL839">
        <v>89.946051516569995</v>
      </c>
      <c r="AM839">
        <v>92.228544820822904</v>
      </c>
      <c r="AN839">
        <v>0.99999997537954699</v>
      </c>
    </row>
    <row r="840" spans="1:40" x14ac:dyDescent="0.25">
      <c r="A840" t="str">
        <f>"20190305135808691"</f>
        <v>20190305135808691</v>
      </c>
      <c r="B840" t="str">
        <f>"1551765488689490"</f>
        <v>1551765488689490</v>
      </c>
      <c r="C840" t="s">
        <v>40</v>
      </c>
      <c r="D840">
        <v>4.1259940000000004</v>
      </c>
      <c r="E840">
        <v>0.53881990000000002</v>
      </c>
      <c r="F840" t="s">
        <v>44</v>
      </c>
      <c r="G840">
        <v>-158.19499999999999</v>
      </c>
      <c r="H840">
        <v>5.7998890000000003</v>
      </c>
      <c r="I840">
        <v>358.17380000000003</v>
      </c>
      <c r="J840">
        <v>-289.63490000000002</v>
      </c>
      <c r="K840">
        <v>1.059566</v>
      </c>
      <c r="L840">
        <v>367.84309999999999</v>
      </c>
      <c r="M840">
        <v>0.99990080000000003</v>
      </c>
      <c r="N840">
        <v>-1.18102E-2</v>
      </c>
      <c r="O840">
        <v>-7.6671339999999999E-3</v>
      </c>
      <c r="P840">
        <v>0.99945030000000001</v>
      </c>
      <c r="Q840">
        <v>-1.003682E-2</v>
      </c>
      <c r="R840">
        <v>3.1595730000000002E-2</v>
      </c>
      <c r="S840">
        <v>3.0097049999999999</v>
      </c>
      <c r="T840">
        <v>0.1084112</v>
      </c>
      <c r="U840">
        <v>-0.22116089999999999</v>
      </c>
      <c r="V840">
        <v>-3.9258649999999999E-2</v>
      </c>
      <c r="W840">
        <v>1.760784E-3</v>
      </c>
      <c r="X840">
        <v>0.99922750000000005</v>
      </c>
      <c r="Y840">
        <v>6.5616140000000003E-2</v>
      </c>
      <c r="Z840">
        <v>4.2561150000000001E-4</v>
      </c>
      <c r="AA840">
        <v>0.99784490000000003</v>
      </c>
      <c r="AB840">
        <v>33</v>
      </c>
      <c r="AC840">
        <v>131.43989999999999</v>
      </c>
      <c r="AD840">
        <v>4.7403230000000001</v>
      </c>
      <c r="AE840">
        <v>-9.6692999999999607</v>
      </c>
      <c r="AF840">
        <v>8.6499879983076404</v>
      </c>
      <c r="AG840">
        <v>4.7403230000000001</v>
      </c>
      <c r="AH840">
        <v>131.34026844542601</v>
      </c>
      <c r="AI840">
        <v>87.937446687365906</v>
      </c>
      <c r="AJ840">
        <v>86.231977360480201</v>
      </c>
      <c r="AK840">
        <v>131.710132753072</v>
      </c>
      <c r="AL840">
        <v>89.899114452944204</v>
      </c>
      <c r="AM840">
        <v>92.249936713973696</v>
      </c>
      <c r="AN840">
        <v>0.99999996935818303</v>
      </c>
    </row>
    <row r="841" spans="1:40" x14ac:dyDescent="0.25">
      <c r="A841" t="str">
        <f>"20190305135808704"</f>
        <v>20190305135808704</v>
      </c>
      <c r="B841" t="str">
        <f>"1551765488699251"</f>
        <v>1551765488699251</v>
      </c>
      <c r="C841" t="s">
        <v>40</v>
      </c>
      <c r="D841">
        <v>3.898936</v>
      </c>
      <c r="E841">
        <v>0.53810159999999996</v>
      </c>
      <c r="F841" t="s">
        <v>44</v>
      </c>
      <c r="G841">
        <v>-158.19499999999999</v>
      </c>
      <c r="H841">
        <v>5.5173129999999997</v>
      </c>
      <c r="I841">
        <v>358.66180000000003</v>
      </c>
      <c r="J841">
        <v>-289.46530000000001</v>
      </c>
      <c r="K841">
        <v>1.059598</v>
      </c>
      <c r="L841">
        <v>367.84179999999998</v>
      </c>
      <c r="M841">
        <v>0.99990129999999999</v>
      </c>
      <c r="N841">
        <v>-1.181054E-2</v>
      </c>
      <c r="O841">
        <v>-7.6165619999999899E-3</v>
      </c>
      <c r="P841">
        <v>0.99944999999999995</v>
      </c>
      <c r="Q841">
        <v>-7.5984269999999996E-3</v>
      </c>
      <c r="R841">
        <v>3.2281890000000001E-2</v>
      </c>
      <c r="S841">
        <v>3.0093079999999999</v>
      </c>
      <c r="T841">
        <v>0.10206170000000001</v>
      </c>
      <c r="U841">
        <v>-0.21020510000000001</v>
      </c>
      <c r="V841">
        <v>-3.9894430000000002E-2</v>
      </c>
      <c r="W841">
        <v>4.1983639999999996E-3</v>
      </c>
      <c r="X841">
        <v>0.9991951</v>
      </c>
      <c r="Y841">
        <v>6.2066080000000003E-2</v>
      </c>
      <c r="Z841">
        <v>3.3613829999999998E-4</v>
      </c>
      <c r="AA841">
        <v>0.99807199999999996</v>
      </c>
      <c r="AB841">
        <v>33</v>
      </c>
      <c r="AC841">
        <v>131.27029999999999</v>
      </c>
      <c r="AD841">
        <v>4.4577149999999897</v>
      </c>
      <c r="AE841">
        <v>-9.1799999999999393</v>
      </c>
      <c r="AF841">
        <v>8.1704595819993209</v>
      </c>
      <c r="AG841">
        <v>4.4577149999999897</v>
      </c>
      <c r="AH841">
        <v>131.185873902693</v>
      </c>
      <c r="AI841">
        <v>88.057590686736702</v>
      </c>
      <c r="AJ841">
        <v>86.436133348490699</v>
      </c>
      <c r="AK841">
        <v>131.51563079883499</v>
      </c>
      <c r="AL841">
        <v>89.759450760044103</v>
      </c>
      <c r="AM841">
        <v>92.2864093443565</v>
      </c>
      <c r="AN841">
        <v>1.0000000198346499</v>
      </c>
    </row>
    <row r="842" spans="1:40" x14ac:dyDescent="0.25">
      <c r="A842" t="str">
        <f>"20190305135808714"</f>
        <v>20190305135808714</v>
      </c>
      <c r="B842" t="str">
        <f>"1551765488709010"</f>
        <v>1551765488709010</v>
      </c>
      <c r="C842" t="s">
        <v>40</v>
      </c>
      <c r="D842">
        <v>3.9125969999999999</v>
      </c>
      <c r="E842">
        <v>0.53749639999999999</v>
      </c>
      <c r="F842" t="s">
        <v>44</v>
      </c>
      <c r="G842">
        <v>-158.19499999999999</v>
      </c>
      <c r="H842">
        <v>5.6674610000000003</v>
      </c>
      <c r="I842">
        <v>359.01229999999998</v>
      </c>
      <c r="J842">
        <v>-289.29349999999999</v>
      </c>
      <c r="K842">
        <v>1.0596289999999999</v>
      </c>
      <c r="L842">
        <v>367.84059999999999</v>
      </c>
      <c r="M842">
        <v>0.9999017</v>
      </c>
      <c r="N842">
        <v>-1.1810879999999999E-2</v>
      </c>
      <c r="O842">
        <v>-7.556671E-3</v>
      </c>
      <c r="P842">
        <v>0.99945890000000004</v>
      </c>
      <c r="Q842">
        <v>-4.6322530000000002E-3</v>
      </c>
      <c r="R842">
        <v>3.2565879999999998E-2</v>
      </c>
      <c r="S842">
        <v>3.0090029999999999</v>
      </c>
      <c r="T842">
        <v>0.1056243</v>
      </c>
      <c r="U842">
        <v>-0.20239260000000001</v>
      </c>
      <c r="V842">
        <v>-4.0119599999999998E-2</v>
      </c>
      <c r="W842">
        <v>7.1632889999999998E-3</v>
      </c>
      <c r="X842">
        <v>0.99916919999999998</v>
      </c>
      <c r="Y842">
        <v>5.9552720000000003E-2</v>
      </c>
      <c r="Z842">
        <v>3.3758369999999999E-4</v>
      </c>
      <c r="AA842">
        <v>0.99822509999999998</v>
      </c>
      <c r="AB842">
        <v>33</v>
      </c>
      <c r="AC842">
        <v>131.0985</v>
      </c>
      <c r="AD842">
        <v>4.6078320000000001</v>
      </c>
      <c r="AE842">
        <v>-8.8283000000000094</v>
      </c>
      <c r="AF842">
        <v>7.8276841164366999</v>
      </c>
      <c r="AG842">
        <v>4.6078320000000001</v>
      </c>
      <c r="AH842">
        <v>131.00036991648</v>
      </c>
      <c r="AI842">
        <v>87.989081623562697</v>
      </c>
      <c r="AJ842">
        <v>86.580462852312195</v>
      </c>
      <c r="AK842">
        <v>131.314895090471</v>
      </c>
      <c r="AL842">
        <v>89.589570259744207</v>
      </c>
      <c r="AM842">
        <v>92.299359898896199</v>
      </c>
      <c r="AN842">
        <v>0.999999992621048</v>
      </c>
    </row>
    <row r="843" spans="1:40" x14ac:dyDescent="0.25">
      <c r="A843" t="str">
        <f>"20190305135808725"</f>
        <v>20190305135808725</v>
      </c>
      <c r="B843" t="str">
        <f>"1551765488719746"</f>
        <v>1551765488719746</v>
      </c>
      <c r="C843" t="s">
        <v>40</v>
      </c>
      <c r="D843">
        <v>3.9927519999999999</v>
      </c>
      <c r="E843">
        <v>0.53661009999999998</v>
      </c>
      <c r="F843" t="s">
        <v>44</v>
      </c>
      <c r="G843">
        <v>-158.19499999999999</v>
      </c>
      <c r="H843">
        <v>5.9090930000000004</v>
      </c>
      <c r="I843">
        <v>359.26729999999998</v>
      </c>
      <c r="J843">
        <v>-289.13560000000001</v>
      </c>
      <c r="K843">
        <v>1.059666</v>
      </c>
      <c r="L843">
        <v>367.83940000000001</v>
      </c>
      <c r="M843">
        <v>0.99990219999999996</v>
      </c>
      <c r="N843">
        <v>-1.1811189999999999E-2</v>
      </c>
      <c r="O843">
        <v>-7.4910489999999996E-3</v>
      </c>
      <c r="P843">
        <v>0.99946040000000003</v>
      </c>
      <c r="Q843">
        <v>-4.2077150000000002E-4</v>
      </c>
      <c r="R843">
        <v>3.2850249999999998E-2</v>
      </c>
      <c r="S843">
        <v>3.0085449999999998</v>
      </c>
      <c r="T843">
        <v>0.1112911</v>
      </c>
      <c r="U843">
        <v>-0.1967468</v>
      </c>
      <c r="V843">
        <v>-4.0339090000000001E-2</v>
      </c>
      <c r="W843">
        <v>1.1373579999999999E-2</v>
      </c>
      <c r="X843">
        <v>0.99912129999999999</v>
      </c>
      <c r="Y843">
        <v>5.776133E-2</v>
      </c>
      <c r="Z843">
        <v>3.6021950000000001E-4</v>
      </c>
      <c r="AA843">
        <v>0.99833039999999995</v>
      </c>
      <c r="AB843">
        <v>33</v>
      </c>
      <c r="AC843">
        <v>130.94059999999999</v>
      </c>
      <c r="AD843">
        <v>4.8494269999999897</v>
      </c>
      <c r="AE843">
        <v>-8.5721000000000291</v>
      </c>
      <c r="AF843">
        <v>7.5805553544040096</v>
      </c>
      <c r="AG843">
        <v>4.8494269999999897</v>
      </c>
      <c r="AH843">
        <v>130.82247170603799</v>
      </c>
      <c r="AI843">
        <v>87.880640236857701</v>
      </c>
      <c r="AJ843">
        <v>86.683683745696996</v>
      </c>
      <c r="AK843">
        <v>131.13161657276501</v>
      </c>
      <c r="AL843">
        <v>89.348327808738105</v>
      </c>
      <c r="AM843">
        <v>92.312036554009097</v>
      </c>
      <c r="AN843">
        <v>0.99999998630886699</v>
      </c>
    </row>
    <row r="844" spans="1:40" x14ac:dyDescent="0.25">
      <c r="A844" t="str">
        <f>"20190305135808737"</f>
        <v>20190305135808737</v>
      </c>
      <c r="B844" t="str">
        <f>"1551765488729507"</f>
        <v>1551765488729507</v>
      </c>
      <c r="C844" t="s">
        <v>40</v>
      </c>
      <c r="D844">
        <v>4.1206800000000001</v>
      </c>
      <c r="E844">
        <v>0.53661009999999998</v>
      </c>
      <c r="F844" t="s">
        <v>44</v>
      </c>
      <c r="G844">
        <v>-158.19499999999999</v>
      </c>
      <c r="H844">
        <v>6.2677319999999996</v>
      </c>
      <c r="I844">
        <v>359.61329999999998</v>
      </c>
      <c r="J844">
        <v>-288.95909999999998</v>
      </c>
      <c r="K844">
        <v>1.0596969999999999</v>
      </c>
      <c r="L844">
        <v>367.83819999999997</v>
      </c>
      <c r="M844">
        <v>0.99990279999999998</v>
      </c>
      <c r="N844">
        <v>-1.1811550000000001E-2</v>
      </c>
      <c r="O844">
        <v>-7.4119269999999996E-3</v>
      </c>
      <c r="P844">
        <v>0.99945390000000001</v>
      </c>
      <c r="Q844">
        <v>3.4412850000000001E-3</v>
      </c>
      <c r="R844">
        <v>3.2864730000000002E-2</v>
      </c>
      <c r="S844">
        <v>3.0078740000000002</v>
      </c>
      <c r="T844">
        <v>0.1196378</v>
      </c>
      <c r="U844">
        <v>-0.18896479999999999</v>
      </c>
      <c r="V844">
        <v>-4.0275560000000002E-2</v>
      </c>
      <c r="W844">
        <v>1.523418E-2</v>
      </c>
      <c r="X844">
        <v>0.99907250000000003</v>
      </c>
      <c r="Y844">
        <v>5.5279469999999997E-2</v>
      </c>
      <c r="Z844">
        <v>3.8915370000000001E-4</v>
      </c>
      <c r="AA844">
        <v>0.99847079999999999</v>
      </c>
      <c r="AB844">
        <v>33</v>
      </c>
      <c r="AC844">
        <v>130.76409999999899</v>
      </c>
      <c r="AD844">
        <v>5.2080349999999997</v>
      </c>
      <c r="AE844">
        <v>-8.2248999999999892</v>
      </c>
      <c r="AF844">
        <v>7.2439470841074201</v>
      </c>
      <c r="AG844">
        <v>5.2080349999999997</v>
      </c>
      <c r="AH844">
        <v>130.61510286980501</v>
      </c>
      <c r="AI844">
        <v>87.720146446401102</v>
      </c>
      <c r="AJ844">
        <v>86.825613352225901</v>
      </c>
      <c r="AK844">
        <v>130.91945422895799</v>
      </c>
      <c r="AL844">
        <v>89.127112042820201</v>
      </c>
      <c r="AM844">
        <v>92.308511904154798</v>
      </c>
      <c r="AN844">
        <v>1.0000000306149099</v>
      </c>
    </row>
    <row r="845" spans="1:40" x14ac:dyDescent="0.25">
      <c r="A845" t="str">
        <f>"20190305135808748"</f>
        <v>20190305135808748</v>
      </c>
      <c r="B845" t="str">
        <f>"1551765488739266"</f>
        <v>1551765488739266</v>
      </c>
      <c r="C845" t="s">
        <v>40</v>
      </c>
      <c r="D845">
        <v>3.9683120000000001</v>
      </c>
      <c r="E845">
        <v>0.48645620000000001</v>
      </c>
      <c r="F845" t="s">
        <v>44</v>
      </c>
      <c r="G845">
        <v>-159.87809999999999</v>
      </c>
      <c r="H845">
        <v>6.6740890000000004</v>
      </c>
      <c r="I845">
        <v>359.71850000000001</v>
      </c>
      <c r="J845">
        <v>-288.80619999999999</v>
      </c>
      <c r="K845">
        <v>1.0597289999999999</v>
      </c>
      <c r="L845">
        <v>367.83710000000002</v>
      </c>
      <c r="M845">
        <v>0.9999036</v>
      </c>
      <c r="N845">
        <v>-1.181189E-2</v>
      </c>
      <c r="O845">
        <v>-7.3281609999999997E-3</v>
      </c>
      <c r="P845">
        <v>0.99944690000000003</v>
      </c>
      <c r="Q845">
        <v>6.7154370000000003E-3</v>
      </c>
      <c r="R845">
        <v>3.2576679999999997E-2</v>
      </c>
      <c r="S845">
        <v>3.0074459999999998</v>
      </c>
      <c r="T845">
        <v>0.13081119999999999</v>
      </c>
      <c r="U845">
        <v>-0.1891785</v>
      </c>
      <c r="V845">
        <v>-3.9905099999999999E-2</v>
      </c>
      <c r="W845">
        <v>1.8506729999999999E-2</v>
      </c>
      <c r="X845">
        <v>0.99903209999999998</v>
      </c>
      <c r="Y845">
        <v>5.5436560000000003E-2</v>
      </c>
      <c r="Z845">
        <v>4.7132890000000001E-4</v>
      </c>
      <c r="AA845">
        <v>0.99846210000000002</v>
      </c>
      <c r="AB845">
        <v>33</v>
      </c>
      <c r="AC845">
        <v>128.9281</v>
      </c>
      <c r="AD845">
        <v>5.6143599999999996</v>
      </c>
      <c r="AE845">
        <v>-8.1186000000000096</v>
      </c>
      <c r="AF845">
        <v>7.15998658275781</v>
      </c>
      <c r="AG845">
        <v>5.6143599999999996</v>
      </c>
      <c r="AH845">
        <v>128.74096983335099</v>
      </c>
      <c r="AI845">
        <v>87.506776251262707</v>
      </c>
      <c r="AJ845">
        <v>86.816748923807197</v>
      </c>
      <c r="AK845">
        <v>129.06209265197401</v>
      </c>
      <c r="AL845">
        <v>88.939581968552901</v>
      </c>
      <c r="AM845">
        <v>92.287392957872896</v>
      </c>
      <c r="AN845">
        <v>1.00000002644585</v>
      </c>
    </row>
    <row r="846" spans="1:40" x14ac:dyDescent="0.25">
      <c r="A846" t="str">
        <f>"20190305135808758"</f>
        <v>20190305135808758</v>
      </c>
      <c r="B846" t="str">
        <f>"1551765488749026"</f>
        <v>1551765488749026</v>
      </c>
      <c r="C846" t="s">
        <v>40</v>
      </c>
      <c r="D846">
        <v>3.9968189999999999</v>
      </c>
      <c r="E846">
        <v>0.47908400000000001</v>
      </c>
      <c r="F846" t="s">
        <v>44</v>
      </c>
      <c r="G846">
        <v>-158.19499999999999</v>
      </c>
      <c r="H846">
        <v>1.9671559999999999</v>
      </c>
      <c r="I846">
        <v>376.80770000000001</v>
      </c>
      <c r="J846">
        <v>-288.64510000000001</v>
      </c>
      <c r="K846">
        <v>1.059752</v>
      </c>
      <c r="L846">
        <v>367.83600000000001</v>
      </c>
      <c r="M846">
        <v>0.99990409999999996</v>
      </c>
      <c r="N846">
        <v>-1.181224E-2</v>
      </c>
      <c r="O846">
        <v>-7.2378249999999998E-3</v>
      </c>
      <c r="P846">
        <v>0.99943519999999997</v>
      </c>
      <c r="Q846">
        <v>8.9313880000000002E-3</v>
      </c>
      <c r="R846">
        <v>3.2401230000000003E-2</v>
      </c>
      <c r="S846">
        <v>2.994812</v>
      </c>
      <c r="T846">
        <v>2.080858E-2</v>
      </c>
      <c r="U846">
        <v>0.2056885</v>
      </c>
      <c r="V846">
        <v>-3.96409E-2</v>
      </c>
      <c r="W846">
        <v>2.0721690000000001E-2</v>
      </c>
      <c r="X846">
        <v>0.99899910000000003</v>
      </c>
      <c r="Y846">
        <v>-7.5739719999999996E-2</v>
      </c>
      <c r="Z846" s="1">
        <v>4.9428139999999998E-5</v>
      </c>
      <c r="AA846">
        <v>0.9971276</v>
      </c>
      <c r="AB846">
        <v>33</v>
      </c>
      <c r="AC846">
        <v>130.45009999999999</v>
      </c>
      <c r="AD846">
        <v>0.90740399999999999</v>
      </c>
      <c r="AE846">
        <v>8.9716999999999896</v>
      </c>
      <c r="AF846">
        <v>-9.9152282892726102</v>
      </c>
      <c r="AG846">
        <v>0.90740399999999999</v>
      </c>
      <c r="AH846">
        <v>130.37546392546901</v>
      </c>
      <c r="AI846">
        <v>89.602380052550302</v>
      </c>
      <c r="AJ846">
        <v>94.349048821061203</v>
      </c>
      <c r="AK846">
        <v>130.755102110124</v>
      </c>
      <c r="AL846">
        <v>88.8126496306311</v>
      </c>
      <c r="AM846">
        <v>92.272339705987093</v>
      </c>
      <c r="AN846">
        <v>0.99999999559503805</v>
      </c>
    </row>
    <row r="847" spans="1:40" x14ac:dyDescent="0.25">
      <c r="A847" t="str">
        <f>"20190305135808769"</f>
        <v>20190305135808769</v>
      </c>
      <c r="B847" t="str">
        <f>"1551765488759762"</f>
        <v>1551765488759762</v>
      </c>
      <c r="C847" t="s">
        <v>40</v>
      </c>
      <c r="D847">
        <v>3.973185</v>
      </c>
      <c r="E847">
        <v>0.4763829</v>
      </c>
      <c r="F847" t="s">
        <v>44</v>
      </c>
      <c r="G847">
        <v>-158.19499999999999</v>
      </c>
      <c r="H847">
        <v>2.2275680000000002</v>
      </c>
      <c r="I847">
        <v>379.34199999999998</v>
      </c>
      <c r="J847">
        <v>-288.47859999999997</v>
      </c>
      <c r="K847">
        <v>1.0597780000000001</v>
      </c>
      <c r="L847">
        <v>367.8349</v>
      </c>
      <c r="M847">
        <v>0.99990489999999999</v>
      </c>
      <c r="N847">
        <v>-1.1812619999999999E-2</v>
      </c>
      <c r="O847">
        <v>-7.127446E-3</v>
      </c>
      <c r="P847">
        <v>0.9994383</v>
      </c>
      <c r="Q847">
        <v>9.9019069999999997E-3</v>
      </c>
      <c r="R847">
        <v>3.2016349999999999E-2</v>
      </c>
      <c r="S847">
        <v>2.9928590000000002</v>
      </c>
      <c r="T847">
        <v>2.679467E-2</v>
      </c>
      <c r="U847">
        <v>0.26397710000000002</v>
      </c>
      <c r="V847">
        <v>-3.9147059999999997E-2</v>
      </c>
      <c r="W847">
        <v>2.169136E-2</v>
      </c>
      <c r="X847">
        <v>0.99899800000000005</v>
      </c>
      <c r="Y847">
        <v>-9.4959059999999998E-2</v>
      </c>
      <c r="Z847" s="1">
        <v>-1.0000190000000001E-5</v>
      </c>
      <c r="AA847">
        <v>0.99548119999999995</v>
      </c>
      <c r="AB847">
        <v>33</v>
      </c>
      <c r="AC847">
        <v>130.28359999999901</v>
      </c>
      <c r="AD847">
        <v>1.1677899999999899</v>
      </c>
      <c r="AE847">
        <v>11.5070999999999</v>
      </c>
      <c r="AF847">
        <v>-12.434470427060701</v>
      </c>
      <c r="AG847">
        <v>1.1677899999999899</v>
      </c>
      <c r="AH847">
        <v>130.18788954323699</v>
      </c>
      <c r="AI847">
        <v>89.488396728914495</v>
      </c>
      <c r="AJ847">
        <v>95.455868763521195</v>
      </c>
      <c r="AK847">
        <v>130.78557402101899</v>
      </c>
      <c r="AL847">
        <v>88.757079145356997</v>
      </c>
      <c r="AM847">
        <v>92.244062852690803</v>
      </c>
      <c r="AN847">
        <v>1.0000000057046401</v>
      </c>
    </row>
    <row r="848" spans="1:40" x14ac:dyDescent="0.25">
      <c r="A848" t="str">
        <f>"20190305135808781"</f>
        <v>20190305135808781</v>
      </c>
      <c r="B848" t="str">
        <f>"1551765488769522"</f>
        <v>1551765488769522</v>
      </c>
      <c r="C848" t="s">
        <v>40</v>
      </c>
      <c r="D848">
        <v>3.967778</v>
      </c>
      <c r="E848">
        <v>0.47516890000000001</v>
      </c>
      <c r="F848" t="s">
        <v>44</v>
      </c>
      <c r="G848">
        <v>-158.19499999999999</v>
      </c>
      <c r="H848">
        <v>3.3813439999999999</v>
      </c>
      <c r="I848">
        <v>380.23829999999998</v>
      </c>
      <c r="J848">
        <v>-288.31380000000001</v>
      </c>
      <c r="K848">
        <v>1.059812</v>
      </c>
      <c r="L848">
        <v>367.8338</v>
      </c>
      <c r="M848">
        <v>0.99990559999999995</v>
      </c>
      <c r="N848">
        <v>-1.1812980000000001E-2</v>
      </c>
      <c r="O848">
        <v>-7.0143319999999999E-3</v>
      </c>
      <c r="P848">
        <v>0.9994577</v>
      </c>
      <c r="Q848">
        <v>9.2620480000000002E-3</v>
      </c>
      <c r="R848">
        <v>3.1598769999999998E-2</v>
      </c>
      <c r="S848">
        <v>2.992035</v>
      </c>
      <c r="T848">
        <v>5.3318020000000001E-2</v>
      </c>
      <c r="U848">
        <v>0.28485110000000002</v>
      </c>
      <c r="V848">
        <v>-3.8616909999999997E-2</v>
      </c>
      <c r="W848">
        <v>2.1050630000000001E-2</v>
      </c>
      <c r="X848">
        <v>0.99903229999999998</v>
      </c>
      <c r="Y848">
        <v>-0.10174709999999999</v>
      </c>
      <c r="Z848">
        <v>-5.0946140000000003E-4</v>
      </c>
      <c r="AA848">
        <v>0.99481019999999998</v>
      </c>
      <c r="AB848">
        <v>33</v>
      </c>
      <c r="AC848">
        <v>130.11879999999999</v>
      </c>
      <c r="AD848">
        <v>2.3215319999999999</v>
      </c>
      <c r="AE848">
        <v>12.404499999999899</v>
      </c>
      <c r="AF848">
        <v>-13.3127553673473</v>
      </c>
      <c r="AG848">
        <v>2.3215319999999999</v>
      </c>
      <c r="AH848">
        <v>129.98757769455</v>
      </c>
      <c r="AI848">
        <v>88.982149531210496</v>
      </c>
      <c r="AJ848">
        <v>95.847593289474503</v>
      </c>
      <c r="AK848">
        <v>130.68813764529099</v>
      </c>
      <c r="AL848">
        <v>88.793798608420104</v>
      </c>
      <c r="AM848">
        <v>92.213627091682994</v>
      </c>
      <c r="AN848">
        <v>0.99999996560231696</v>
      </c>
    </row>
    <row r="849" spans="1:40" x14ac:dyDescent="0.25">
      <c r="A849" t="str">
        <f>"20190305135808791"</f>
        <v>20190305135808791</v>
      </c>
      <c r="B849" t="str">
        <f>"1551765488779282"</f>
        <v>1551765488779282</v>
      </c>
      <c r="C849" t="s">
        <v>40</v>
      </c>
      <c r="D849">
        <v>3.8984510000000001</v>
      </c>
      <c r="E849">
        <v>0.47440290000000002</v>
      </c>
      <c r="F849" t="s">
        <v>44</v>
      </c>
      <c r="G849">
        <v>-158.19499999999999</v>
      </c>
      <c r="H849">
        <v>3.9713729999999998</v>
      </c>
      <c r="I849">
        <v>380.6157</v>
      </c>
      <c r="J849">
        <v>-288.15039999999999</v>
      </c>
      <c r="K849">
        <v>1.0598369999999999</v>
      </c>
      <c r="L849">
        <v>367.83280000000002</v>
      </c>
      <c r="M849">
        <v>0.99990670000000004</v>
      </c>
      <c r="N849">
        <v>-1.1813280000000001E-2</v>
      </c>
      <c r="O849">
        <v>-6.8906219999999999E-3</v>
      </c>
      <c r="P849">
        <v>0.99946330000000005</v>
      </c>
      <c r="Q849">
        <v>8.6204339999999997E-3</v>
      </c>
      <c r="R849">
        <v>3.1609779999999997E-2</v>
      </c>
      <c r="S849">
        <v>2.99173</v>
      </c>
      <c r="T849">
        <v>6.694543E-2</v>
      </c>
      <c r="U849">
        <v>0.29388429999999999</v>
      </c>
      <c r="V849">
        <v>-3.8504999999999998E-2</v>
      </c>
      <c r="W849">
        <v>2.0407990000000001E-2</v>
      </c>
      <c r="X849">
        <v>0.99904999999999999</v>
      </c>
      <c r="Y849">
        <v>-0.10460129999999999</v>
      </c>
      <c r="Z849">
        <v>-7.8298470000000005E-4</v>
      </c>
      <c r="AA849">
        <v>0.99451389999999995</v>
      </c>
      <c r="AB849">
        <v>33</v>
      </c>
      <c r="AC849">
        <v>129.9554</v>
      </c>
      <c r="AD849">
        <v>2.9115359999999999</v>
      </c>
      <c r="AE849">
        <v>12.7828999999999</v>
      </c>
      <c r="AF849">
        <v>-13.671335821177999</v>
      </c>
      <c r="AG849">
        <v>2.9115359999999999</v>
      </c>
      <c r="AH849">
        <v>129.79969818528201</v>
      </c>
      <c r="AI849">
        <v>88.722080789913605</v>
      </c>
      <c r="AJ849">
        <v>96.012590118614696</v>
      </c>
      <c r="AK849">
        <v>130.55015937946999</v>
      </c>
      <c r="AL849">
        <v>88.830627137614002</v>
      </c>
      <c r="AM849">
        <v>92.207179391660205</v>
      </c>
      <c r="AN849">
        <v>1.00000001179042</v>
      </c>
    </row>
    <row r="850" spans="1:40" x14ac:dyDescent="0.25">
      <c r="A850" t="str">
        <f>"20190305135808803"</f>
        <v>20190305135808803</v>
      </c>
      <c r="B850" t="str">
        <f>"1551765488799779"</f>
        <v>1551765488799779</v>
      </c>
      <c r="C850" t="s">
        <v>40</v>
      </c>
      <c r="D850">
        <v>3.9091010000000002</v>
      </c>
      <c r="E850">
        <v>0.47336460000000002</v>
      </c>
      <c r="F850" t="s">
        <v>44</v>
      </c>
      <c r="G850">
        <v>-158.19499999999999</v>
      </c>
      <c r="H850">
        <v>4.1290279999999999</v>
      </c>
      <c r="I850">
        <v>380.8725</v>
      </c>
      <c r="J850">
        <v>-287.97719999999998</v>
      </c>
      <c r="K850">
        <v>1.0598590000000001</v>
      </c>
      <c r="L850">
        <v>367.83170000000001</v>
      </c>
      <c r="M850">
        <v>0.99990760000000001</v>
      </c>
      <c r="N850">
        <v>-1.181363E-2</v>
      </c>
      <c r="O850">
        <v>-6.7526060000000004E-3</v>
      </c>
      <c r="P850">
        <v>0.99944489999999997</v>
      </c>
      <c r="Q850">
        <v>9.1937359999999992E-3</v>
      </c>
      <c r="R850">
        <v>3.203015E-2</v>
      </c>
      <c r="S850">
        <v>2.9915470000000002</v>
      </c>
      <c r="T850">
        <v>7.0654030000000007E-2</v>
      </c>
      <c r="U850">
        <v>0.30017090000000002</v>
      </c>
      <c r="V850">
        <v>-3.8788459999999997E-2</v>
      </c>
      <c r="W850">
        <v>2.0980080000000002E-2</v>
      </c>
      <c r="X850">
        <v>0.9990272</v>
      </c>
      <c r="Y850">
        <v>-0.1065366</v>
      </c>
      <c r="Z850">
        <v>-8.6245449999999997E-4</v>
      </c>
      <c r="AA850">
        <v>0.99430839999999998</v>
      </c>
      <c r="AB850">
        <v>33</v>
      </c>
      <c r="AC850">
        <v>129.78219999999999</v>
      </c>
      <c r="AD850">
        <v>3.069169</v>
      </c>
      <c r="AE850">
        <v>13.0407999999999</v>
      </c>
      <c r="AF850">
        <v>-13.909230623531601</v>
      </c>
      <c r="AG850">
        <v>3.069169</v>
      </c>
      <c r="AH850">
        <v>129.61940920627501</v>
      </c>
      <c r="AI850">
        <v>88.651325952255903</v>
      </c>
      <c r="AJ850">
        <v>96.124871577654503</v>
      </c>
      <c r="AK850">
        <v>130.39968457735199</v>
      </c>
      <c r="AL850">
        <v>88.797841792970203</v>
      </c>
      <c r="AM850">
        <v>92.223462299036797</v>
      </c>
      <c r="AN850">
        <v>1.0000000273628999</v>
      </c>
    </row>
    <row r="851" spans="1:40" x14ac:dyDescent="0.25">
      <c r="A851" t="str">
        <f>"20190305135808814"</f>
        <v>20190305135808814</v>
      </c>
      <c r="B851" t="str">
        <f>"1551765488809538"</f>
        <v>1551765488809538</v>
      </c>
      <c r="C851" t="s">
        <v>40</v>
      </c>
      <c r="D851">
        <v>3.9402360000000001</v>
      </c>
      <c r="E851">
        <v>0.47287820000000003</v>
      </c>
      <c r="F851" t="s">
        <v>44</v>
      </c>
      <c r="G851">
        <v>-158.19499999999999</v>
      </c>
      <c r="H851">
        <v>4.3158459999999996</v>
      </c>
      <c r="I851">
        <v>381.26400000000001</v>
      </c>
      <c r="J851">
        <v>-287.81650000000002</v>
      </c>
      <c r="K851">
        <v>1.0598799999999999</v>
      </c>
      <c r="L851">
        <v>367.83069999999998</v>
      </c>
      <c r="M851">
        <v>0.99990840000000003</v>
      </c>
      <c r="N851">
        <v>-1.181399E-2</v>
      </c>
      <c r="O851">
        <v>-6.6167609999999996E-3</v>
      </c>
      <c r="P851">
        <v>0.9994094</v>
      </c>
      <c r="Q851">
        <v>1.0225639999999999E-2</v>
      </c>
      <c r="R851">
        <v>3.2814820000000001E-2</v>
      </c>
      <c r="S851">
        <v>2.9910580000000002</v>
      </c>
      <c r="T851">
        <v>7.504189E-2</v>
      </c>
      <c r="U851">
        <v>0.30957030000000002</v>
      </c>
      <c r="V851">
        <v>-3.9438309999999997E-2</v>
      </c>
      <c r="W851">
        <v>2.201028E-2</v>
      </c>
      <c r="X851">
        <v>0.99897959999999997</v>
      </c>
      <c r="Y851">
        <v>-0.1095061</v>
      </c>
      <c r="Z851">
        <v>-9.6465410000000004E-4</v>
      </c>
      <c r="AA851">
        <v>0.99398569999999997</v>
      </c>
      <c r="AB851">
        <v>33</v>
      </c>
      <c r="AC851">
        <v>129.6215</v>
      </c>
      <c r="AD851">
        <v>3.2559659999999999</v>
      </c>
      <c r="AE851">
        <v>13.433299999999999</v>
      </c>
      <c r="AF851">
        <v>-14.2818245829021</v>
      </c>
      <c r="AG851">
        <v>3.2559659999999999</v>
      </c>
      <c r="AH851">
        <v>129.448961007733</v>
      </c>
      <c r="AI851">
        <v>88.567857425166395</v>
      </c>
      <c r="AJ851">
        <v>96.295857250713198</v>
      </c>
      <c r="AK851">
        <v>130.27511402409701</v>
      </c>
      <c r="AL851">
        <v>88.738802051012101</v>
      </c>
      <c r="AM851">
        <v>92.260782781210096</v>
      </c>
      <c r="AN851">
        <v>1.0000000369687401</v>
      </c>
    </row>
    <row r="852" spans="1:40" x14ac:dyDescent="0.25">
      <c r="A852" t="str">
        <f>"20190305135808826"</f>
        <v>20190305135808826</v>
      </c>
      <c r="B852" t="str">
        <f>"1551765488819298"</f>
        <v>1551765488819298</v>
      </c>
      <c r="C852" t="s">
        <v>40</v>
      </c>
      <c r="D852">
        <v>3.9492029999999998</v>
      </c>
      <c r="E852">
        <v>0.47245949999999998</v>
      </c>
      <c r="F852" t="s">
        <v>44</v>
      </c>
      <c r="G852">
        <v>-158.19499999999999</v>
      </c>
      <c r="H852">
        <v>4.2465659999999996</v>
      </c>
      <c r="I852">
        <v>381.5247</v>
      </c>
      <c r="J852">
        <v>-287.64530000000002</v>
      </c>
      <c r="K852">
        <v>1.0598970000000001</v>
      </c>
      <c r="L852">
        <v>367.8297</v>
      </c>
      <c r="M852">
        <v>0.99990950000000001</v>
      </c>
      <c r="N852">
        <v>-1.1814369999999999E-2</v>
      </c>
      <c r="O852">
        <v>-6.4629199999999996E-3</v>
      </c>
      <c r="P852">
        <v>0.99935169999999995</v>
      </c>
      <c r="Q852">
        <v>1.186128E-2</v>
      </c>
      <c r="R852">
        <v>3.3995879999999999E-2</v>
      </c>
      <c r="S852">
        <v>2.9906619999999999</v>
      </c>
      <c r="T852">
        <v>7.3526019999999997E-2</v>
      </c>
      <c r="U852">
        <v>0.31594850000000002</v>
      </c>
      <c r="V852">
        <v>-4.0466639999999998E-2</v>
      </c>
      <c r="W852">
        <v>2.3643500000000001E-2</v>
      </c>
      <c r="X852">
        <v>0.99890109999999999</v>
      </c>
      <c r="Y852">
        <v>-0.11146440000000001</v>
      </c>
      <c r="Z852">
        <v>-9.4040249999999997E-4</v>
      </c>
      <c r="AA852">
        <v>0.99376799999999998</v>
      </c>
      <c r="AB852">
        <v>33</v>
      </c>
      <c r="AC852">
        <v>129.4503</v>
      </c>
      <c r="AD852">
        <v>3.1866690000000002</v>
      </c>
      <c r="AE852">
        <v>13.694999999999901</v>
      </c>
      <c r="AF852">
        <v>-14.5226958725861</v>
      </c>
      <c r="AG852">
        <v>3.1866690000000002</v>
      </c>
      <c r="AH852">
        <v>129.28160357709601</v>
      </c>
      <c r="AI852">
        <v>88.596821217438801</v>
      </c>
      <c r="AJ852">
        <v>96.409383918889503</v>
      </c>
      <c r="AK852">
        <v>130.13376417436299</v>
      </c>
      <c r="AL852">
        <v>88.645200972344796</v>
      </c>
      <c r="AM852">
        <v>92.319849838095195</v>
      </c>
      <c r="AN852">
        <v>0.99999998581317395</v>
      </c>
    </row>
    <row r="853" spans="1:40" x14ac:dyDescent="0.25">
      <c r="A853" t="str">
        <f>"20190305135808837"</f>
        <v>20190305135808837</v>
      </c>
      <c r="B853" t="str">
        <f>"1551765488830035"</f>
        <v>1551765488830035</v>
      </c>
      <c r="C853" t="s">
        <v>40</v>
      </c>
      <c r="D853">
        <v>3.9376720000000001</v>
      </c>
      <c r="E853">
        <v>0.47234979999999999</v>
      </c>
      <c r="F853" t="s">
        <v>44</v>
      </c>
      <c r="G853">
        <v>-158.19499999999999</v>
      </c>
      <c r="H853">
        <v>4.221902</v>
      </c>
      <c r="I853">
        <v>381.791</v>
      </c>
      <c r="J853">
        <v>-287.4708</v>
      </c>
      <c r="K853">
        <v>1.059909</v>
      </c>
      <c r="L853">
        <v>367.82870000000003</v>
      </c>
      <c r="M853">
        <v>0.99991039999999998</v>
      </c>
      <c r="N853">
        <v>-1.1814740000000001E-2</v>
      </c>
      <c r="O853">
        <v>-6.3014560000000004E-3</v>
      </c>
      <c r="P853">
        <v>0.99931760000000003</v>
      </c>
      <c r="Q853">
        <v>1.295321E-2</v>
      </c>
      <c r="R853">
        <v>3.4591549999999999E-2</v>
      </c>
      <c r="S853">
        <v>2.9900820000000001</v>
      </c>
      <c r="T853">
        <v>7.3038939999999997E-2</v>
      </c>
      <c r="U853">
        <v>0.32247920000000002</v>
      </c>
      <c r="V853">
        <v>-4.090187E-2</v>
      </c>
      <c r="W853">
        <v>2.473419E-2</v>
      </c>
      <c r="X853">
        <v>0.99885699999999999</v>
      </c>
      <c r="Y853">
        <v>-0.11347</v>
      </c>
      <c r="Z853">
        <v>-9.3702339999999996E-4</v>
      </c>
      <c r="AA853">
        <v>0.99354100000000001</v>
      </c>
      <c r="AB853">
        <v>33</v>
      </c>
      <c r="AC853">
        <v>129.2758</v>
      </c>
      <c r="AD853">
        <v>3.1619929999999998</v>
      </c>
      <c r="AE853">
        <v>13.9622999999999</v>
      </c>
      <c r="AF853">
        <v>-14.767972171129401</v>
      </c>
      <c r="AG853">
        <v>3.1619929999999998</v>
      </c>
      <c r="AH853">
        <v>129.10889438376199</v>
      </c>
      <c r="AI853">
        <v>88.606140398764694</v>
      </c>
      <c r="AJ853">
        <v>96.5253518549967</v>
      </c>
      <c r="AK853">
        <v>129.98922190234401</v>
      </c>
      <c r="AL853">
        <v>88.582690799794804</v>
      </c>
      <c r="AM853">
        <v>92.344876176849695</v>
      </c>
      <c r="AN853">
        <v>1.00000002478672</v>
      </c>
    </row>
    <row r="854" spans="1:40" x14ac:dyDescent="0.25">
      <c r="A854" t="str">
        <f>"20190305135808850"</f>
        <v>20190305135808850</v>
      </c>
      <c r="B854" t="str">
        <f>"1551765488839795"</f>
        <v>1551765488839795</v>
      </c>
      <c r="C854" t="s">
        <v>40</v>
      </c>
      <c r="D854">
        <v>3.9501740000000001</v>
      </c>
      <c r="E854">
        <v>0.47225450000000002</v>
      </c>
      <c r="F854" t="s">
        <v>44</v>
      </c>
      <c r="G854">
        <v>-158.19499999999999</v>
      </c>
      <c r="H854">
        <v>4.1505219999999996</v>
      </c>
      <c r="I854">
        <v>381.89350000000002</v>
      </c>
      <c r="J854">
        <v>-287.28930000000003</v>
      </c>
      <c r="K854">
        <v>1.059909</v>
      </c>
      <c r="L854">
        <v>367.82780000000002</v>
      </c>
      <c r="M854">
        <v>0.99991140000000001</v>
      </c>
      <c r="N854">
        <v>-1.181514E-2</v>
      </c>
      <c r="O854">
        <v>-6.1227249999999999E-3</v>
      </c>
      <c r="P854">
        <v>0.99930129999999995</v>
      </c>
      <c r="Q854">
        <v>1.379595E-2</v>
      </c>
      <c r="R854">
        <v>3.4738110000000003E-2</v>
      </c>
      <c r="S854">
        <v>2.989868</v>
      </c>
      <c r="T854">
        <v>7.148111E-2</v>
      </c>
      <c r="U854">
        <v>0.32528689999999999</v>
      </c>
      <c r="V854">
        <v>-4.087147E-2</v>
      </c>
      <c r="W854">
        <v>2.557601E-2</v>
      </c>
      <c r="X854">
        <v>0.99883699999999997</v>
      </c>
      <c r="Y854">
        <v>-0.1142233</v>
      </c>
      <c r="Z854">
        <v>-9.0241569999999997E-4</v>
      </c>
      <c r="AA854">
        <v>0.99345470000000002</v>
      </c>
      <c r="AB854">
        <v>33</v>
      </c>
      <c r="AC854">
        <v>129.0943</v>
      </c>
      <c r="AD854">
        <v>3.0906129999999998</v>
      </c>
      <c r="AE854">
        <v>14.0656999999999</v>
      </c>
      <c r="AF854">
        <v>-14.8474902992238</v>
      </c>
      <c r="AG854">
        <v>3.0906129999999998</v>
      </c>
      <c r="AH854">
        <v>128.932721535968</v>
      </c>
      <c r="AI854">
        <v>88.635852440731497</v>
      </c>
      <c r="AJ854">
        <v>96.569067638960107</v>
      </c>
      <c r="AK854">
        <v>129.82159504324699</v>
      </c>
      <c r="AL854">
        <v>88.534442734628499</v>
      </c>
      <c r="AM854">
        <v>92.343182173890298</v>
      </c>
      <c r="AN854">
        <v>0.99999998095824005</v>
      </c>
    </row>
    <row r="855" spans="1:40" x14ac:dyDescent="0.25">
      <c r="A855" t="str">
        <f>"20190305135808864"</f>
        <v>20190305135808864</v>
      </c>
      <c r="B855" t="str">
        <f>"1551765488859314"</f>
        <v>1551765488859314</v>
      </c>
      <c r="C855" t="s">
        <v>40</v>
      </c>
      <c r="D855">
        <v>3.9407760000000001</v>
      </c>
      <c r="E855">
        <v>0.47216720000000001</v>
      </c>
      <c r="F855" t="s">
        <v>44</v>
      </c>
      <c r="G855">
        <v>-158.19499999999999</v>
      </c>
      <c r="H855">
        <v>4.0199059999999998</v>
      </c>
      <c r="I855">
        <v>381.92320000000001</v>
      </c>
      <c r="J855">
        <v>-287.08580000000001</v>
      </c>
      <c r="K855">
        <v>1.0599019999999999</v>
      </c>
      <c r="L855">
        <v>367.82679999999999</v>
      </c>
      <c r="M855">
        <v>0.99991269999999999</v>
      </c>
      <c r="N855">
        <v>-1.1815579999999999E-2</v>
      </c>
      <c r="O855">
        <v>-5.9184819999999897E-3</v>
      </c>
      <c r="P855">
        <v>0.99930509999999995</v>
      </c>
      <c r="Q855">
        <v>1.4506299999999899E-2</v>
      </c>
      <c r="R855">
        <v>3.4339080000000001E-2</v>
      </c>
      <c r="S855">
        <v>2.9898069999999999</v>
      </c>
      <c r="T855">
        <v>6.8555119999999997E-2</v>
      </c>
      <c r="U855">
        <v>0.32644649999999997</v>
      </c>
      <c r="V855">
        <v>-4.026917E-2</v>
      </c>
      <c r="W855">
        <v>2.628579E-2</v>
      </c>
      <c r="X855">
        <v>0.99884309999999998</v>
      </c>
      <c r="Y855">
        <v>-0.1144056</v>
      </c>
      <c r="Z855">
        <v>-8.3463530000000001E-4</v>
      </c>
      <c r="AA855">
        <v>0.99343380000000003</v>
      </c>
      <c r="AB855">
        <v>33</v>
      </c>
      <c r="AC855">
        <v>128.89080000000001</v>
      </c>
      <c r="AD855">
        <v>2.9600040000000001</v>
      </c>
      <c r="AE855">
        <v>14.096399999999999</v>
      </c>
      <c r="AF855">
        <v>-14.8513041837963</v>
      </c>
      <c r="AG855">
        <v>2.9600040000000001</v>
      </c>
      <c r="AH855">
        <v>128.73801312578601</v>
      </c>
      <c r="AI855">
        <v>88.691535736088994</v>
      </c>
      <c r="AJ855">
        <v>96.580591030766598</v>
      </c>
      <c r="AK855">
        <v>129.62561044490701</v>
      </c>
      <c r="AL855">
        <v>88.493761749495306</v>
      </c>
      <c r="AM855">
        <v>92.308675567161998</v>
      </c>
      <c r="AN855">
        <v>1.0000000436130101</v>
      </c>
    </row>
    <row r="856" spans="1:40" x14ac:dyDescent="0.25">
      <c r="A856" t="str">
        <f>"20190305135808876"</f>
        <v>20190305135808876</v>
      </c>
      <c r="B856" t="str">
        <f>"1551765488869075"</f>
        <v>1551765488869075</v>
      </c>
      <c r="C856" t="s">
        <v>40</v>
      </c>
      <c r="D856">
        <v>3.951648</v>
      </c>
      <c r="E856">
        <v>0.47210239999999998</v>
      </c>
      <c r="F856" t="s">
        <v>44</v>
      </c>
      <c r="G856">
        <v>-158.19499999999999</v>
      </c>
      <c r="H856">
        <v>3.7289650000000001</v>
      </c>
      <c r="I856">
        <v>381.8571</v>
      </c>
      <c r="J856">
        <v>-286.87729999999999</v>
      </c>
      <c r="K856">
        <v>1.0598970000000001</v>
      </c>
      <c r="L856">
        <v>367.82569999999998</v>
      </c>
      <c r="M856">
        <v>0.99991390000000002</v>
      </c>
      <c r="N856">
        <v>-1.181601E-2</v>
      </c>
      <c r="O856">
        <v>-5.703769E-3</v>
      </c>
      <c r="P856">
        <v>0.99933760000000005</v>
      </c>
      <c r="Q856">
        <v>1.3427639999999999E-2</v>
      </c>
      <c r="R856">
        <v>3.3828900000000002E-2</v>
      </c>
      <c r="S856">
        <v>2.98996</v>
      </c>
      <c r="T856">
        <v>6.1917899999999998E-2</v>
      </c>
      <c r="U856">
        <v>0.32546999999999998</v>
      </c>
      <c r="V856">
        <v>-3.9544879999999998E-2</v>
      </c>
      <c r="W856">
        <v>2.5207540000000001E-2</v>
      </c>
      <c r="X856">
        <v>0.9988998</v>
      </c>
      <c r="Y856">
        <v>-0.11387070000000001</v>
      </c>
      <c r="Z856">
        <v>-6.8562050000000002E-4</v>
      </c>
      <c r="AA856">
        <v>0.99349529999999997</v>
      </c>
      <c r="AB856">
        <v>33</v>
      </c>
      <c r="AC856">
        <v>128.6823</v>
      </c>
      <c r="AD856">
        <v>2.6690680000000002</v>
      </c>
      <c r="AE856">
        <v>14.0314</v>
      </c>
      <c r="AF856">
        <v>-14.758922249089601</v>
      </c>
      <c r="AG856">
        <v>2.6690680000000002</v>
      </c>
      <c r="AH856">
        <v>128.54551710002099</v>
      </c>
      <c r="AI856">
        <v>88.818265480094993</v>
      </c>
      <c r="AJ856">
        <v>96.549721045195994</v>
      </c>
      <c r="AK856">
        <v>129.41754006491999</v>
      </c>
      <c r="AL856">
        <v>88.555561367918401</v>
      </c>
      <c r="AM856">
        <v>92.267066399962403</v>
      </c>
      <c r="AN856">
        <v>1.0000000140235501</v>
      </c>
    </row>
    <row r="857" spans="1:40" x14ac:dyDescent="0.25">
      <c r="A857" t="str">
        <f>"20190305135808888"</f>
        <v>20190305135808888</v>
      </c>
      <c r="B857" t="str">
        <f>"1551765488879810"</f>
        <v>1551765488879810</v>
      </c>
      <c r="C857" t="s">
        <v>40</v>
      </c>
      <c r="D857">
        <v>3.981538</v>
      </c>
      <c r="E857">
        <v>0.47186080000000002</v>
      </c>
      <c r="F857" t="s">
        <v>44</v>
      </c>
      <c r="G857">
        <v>-158.19499999999999</v>
      </c>
      <c r="H857">
        <v>3.428817</v>
      </c>
      <c r="I857">
        <v>381.78449999999998</v>
      </c>
      <c r="J857">
        <v>-286.70670000000001</v>
      </c>
      <c r="K857">
        <v>1.059882</v>
      </c>
      <c r="L857">
        <v>367.82490000000001</v>
      </c>
      <c r="M857">
        <v>0.999915</v>
      </c>
      <c r="N857">
        <v>-1.181638E-2</v>
      </c>
      <c r="O857">
        <v>-5.524513E-3</v>
      </c>
      <c r="P857">
        <v>0.99937609999999999</v>
      </c>
      <c r="Q857">
        <v>1.118297E-2</v>
      </c>
      <c r="R857">
        <v>3.3505849999999997E-2</v>
      </c>
      <c r="S857">
        <v>2.9902950000000001</v>
      </c>
      <c r="T857">
        <v>5.5050490000000001E-2</v>
      </c>
      <c r="U857">
        <v>0.32437129999999997</v>
      </c>
      <c r="V857">
        <v>-3.9041619999999999E-2</v>
      </c>
      <c r="W857">
        <v>2.296372E-2</v>
      </c>
      <c r="X857">
        <v>0.99897369999999996</v>
      </c>
      <c r="Y857">
        <v>-0.11332390000000001</v>
      </c>
      <c r="Z857">
        <v>-5.3493559999999896E-4</v>
      </c>
      <c r="AA857">
        <v>0.99355789999999999</v>
      </c>
      <c r="AB857">
        <v>33</v>
      </c>
      <c r="AC857">
        <v>128.51169999999999</v>
      </c>
      <c r="AD857">
        <v>2.368935</v>
      </c>
      <c r="AE857">
        <v>13.959599999999901</v>
      </c>
      <c r="AF857">
        <v>-14.6644761653933</v>
      </c>
      <c r="AG857">
        <v>2.368935</v>
      </c>
      <c r="AH857">
        <v>128.389495494074</v>
      </c>
      <c r="AI857">
        <v>88.9497732405965</v>
      </c>
      <c r="AJ857">
        <v>96.516009342807195</v>
      </c>
      <c r="AK857">
        <v>129.245971958365</v>
      </c>
      <c r="AL857">
        <v>88.684160119540707</v>
      </c>
      <c r="AM857">
        <v>92.238079157722893</v>
      </c>
      <c r="AN857">
        <v>1.00000001691007</v>
      </c>
    </row>
    <row r="858" spans="1:40" x14ac:dyDescent="0.25">
      <c r="A858" t="str">
        <f>"20190305135808901"</f>
        <v>20190305135808901</v>
      </c>
      <c r="B858" t="str">
        <f>"1551765488889571"</f>
        <v>1551765488889571</v>
      </c>
      <c r="C858" t="s">
        <v>40</v>
      </c>
      <c r="D858">
        <v>3.9590450000000001</v>
      </c>
      <c r="E858">
        <v>0.47171689999999999</v>
      </c>
      <c r="F858" t="s">
        <v>44</v>
      </c>
      <c r="G858">
        <v>-158.19499999999999</v>
      </c>
      <c r="H858">
        <v>2.988572</v>
      </c>
      <c r="I858">
        <v>381.80489999999998</v>
      </c>
      <c r="J858">
        <v>-286.53739999999999</v>
      </c>
      <c r="K858">
        <v>1.0598700000000001</v>
      </c>
      <c r="L858">
        <v>367.82420000000002</v>
      </c>
      <c r="M858">
        <v>0.99991609999999997</v>
      </c>
      <c r="N858">
        <v>-1.1816739999999999E-2</v>
      </c>
      <c r="O858">
        <v>-5.34586E-3</v>
      </c>
      <c r="P858">
        <v>0.99940289999999998</v>
      </c>
      <c r="Q858">
        <v>8.4341209999999993E-3</v>
      </c>
      <c r="R858">
        <v>3.3510400000000003E-2</v>
      </c>
      <c r="S858">
        <v>2.9905089999999999</v>
      </c>
      <c r="T858">
        <v>4.488325E-2</v>
      </c>
      <c r="U858">
        <v>0.32531739999999998</v>
      </c>
      <c r="V858">
        <v>-3.886672E-2</v>
      </c>
      <c r="W858">
        <v>2.021539E-2</v>
      </c>
      <c r="X858">
        <v>0.99903989999999998</v>
      </c>
      <c r="Y858">
        <v>-0.1134541</v>
      </c>
      <c r="Z858">
        <v>-3.194839E-4</v>
      </c>
      <c r="AA858">
        <v>0.99354319999999896</v>
      </c>
      <c r="AB858">
        <v>33</v>
      </c>
      <c r="AC858">
        <v>128.3424</v>
      </c>
      <c r="AD858">
        <v>1.9287019999999999</v>
      </c>
      <c r="AE858">
        <v>13.980699999999899</v>
      </c>
      <c r="AF858">
        <v>-14.663375805100801</v>
      </c>
      <c r="AG858">
        <v>1.9287019999999999</v>
      </c>
      <c r="AH858">
        <v>128.237201027548</v>
      </c>
      <c r="AI858">
        <v>89.143907633053402</v>
      </c>
      <c r="AJ858">
        <v>96.5231957951395</v>
      </c>
      <c r="AK858">
        <v>129.08723487930999</v>
      </c>
      <c r="AL858">
        <v>88.841664571347593</v>
      </c>
      <c r="AM858">
        <v>92.227915569962605</v>
      </c>
      <c r="AN858">
        <v>1.00000000285421</v>
      </c>
    </row>
    <row r="859" spans="1:40" x14ac:dyDescent="0.25">
      <c r="A859" t="str">
        <f>"20190305135808911"</f>
        <v>20190305135808911</v>
      </c>
      <c r="B859" t="str">
        <f>"1551765488899330"</f>
        <v>1551765488899330</v>
      </c>
      <c r="C859" t="s">
        <v>40</v>
      </c>
      <c r="D859">
        <v>3.9379040000000001</v>
      </c>
      <c r="E859">
        <v>0.47166019999999997</v>
      </c>
      <c r="F859" t="s">
        <v>44</v>
      </c>
      <c r="G859">
        <v>-158.19499999999999</v>
      </c>
      <c r="H859">
        <v>2.5570430000000002</v>
      </c>
      <c r="I859">
        <v>381.82459999999998</v>
      </c>
      <c r="J859">
        <v>-286.36489999999998</v>
      </c>
      <c r="K859">
        <v>1.0598529999999999</v>
      </c>
      <c r="L859">
        <v>367.82339999999999</v>
      </c>
      <c r="M859">
        <v>0.9999169</v>
      </c>
      <c r="N859">
        <v>-1.181711E-2</v>
      </c>
      <c r="O859">
        <v>-5.1619810000000004E-3</v>
      </c>
      <c r="P859">
        <v>0.99940300000000004</v>
      </c>
      <c r="Q859">
        <v>6.3363200000000003E-3</v>
      </c>
      <c r="R859">
        <v>3.3966330000000003E-2</v>
      </c>
      <c r="S859">
        <v>2.9906009999999998</v>
      </c>
      <c r="T859">
        <v>3.4888740000000001E-2</v>
      </c>
      <c r="U859">
        <v>0.32623289999999999</v>
      </c>
      <c r="V859">
        <v>-3.9137459999999999E-2</v>
      </c>
      <c r="W859">
        <v>1.811722E-2</v>
      </c>
      <c r="X859">
        <v>0.9990696</v>
      </c>
      <c r="Y859">
        <v>-0.11357200000000001</v>
      </c>
      <c r="Z859">
        <v>-1.082949E-4</v>
      </c>
      <c r="AA859">
        <v>0.99352969999999896</v>
      </c>
      <c r="AB859">
        <v>33</v>
      </c>
      <c r="AC859">
        <v>128.16989999999899</v>
      </c>
      <c r="AD859">
        <v>1.49719</v>
      </c>
      <c r="AE859">
        <v>14.0011999999999</v>
      </c>
      <c r="AF859">
        <v>-14.660693292122</v>
      </c>
      <c r="AG859">
        <v>1.49719</v>
      </c>
      <c r="AH859">
        <v>128.078642600846</v>
      </c>
      <c r="AI859">
        <v>89.334609483886695</v>
      </c>
      <c r="AJ859">
        <v>96.530017135419001</v>
      </c>
      <c r="AK859">
        <v>128.92368361234901</v>
      </c>
      <c r="AL859">
        <v>88.961902983281604</v>
      </c>
      <c r="AM859">
        <v>92.243352484630293</v>
      </c>
      <c r="AN859">
        <v>1.0000000200399699</v>
      </c>
    </row>
    <row r="860" spans="1:40" x14ac:dyDescent="0.25">
      <c r="A860" t="str">
        <f>"20190305135808926"</f>
        <v>20190305135808926</v>
      </c>
      <c r="B860" t="str">
        <f>"1551765488919826"</f>
        <v>1551765488919826</v>
      </c>
      <c r="C860" t="s">
        <v>40</v>
      </c>
      <c r="D860">
        <v>3.9735710000000002</v>
      </c>
      <c r="E860">
        <v>0.4715048</v>
      </c>
      <c r="F860" t="s">
        <v>44</v>
      </c>
      <c r="G860">
        <v>-158.19499999999999</v>
      </c>
      <c r="H860">
        <v>2.2057310000000001</v>
      </c>
      <c r="I860">
        <v>381.87880000000001</v>
      </c>
      <c r="J860">
        <v>-286.1472</v>
      </c>
      <c r="K860">
        <v>1.0598379999999901</v>
      </c>
      <c r="L860">
        <v>367.82249999999999</v>
      </c>
      <c r="M860">
        <v>0.99991810000000003</v>
      </c>
      <c r="N860">
        <v>-1.1817569999999999E-2</v>
      </c>
      <c r="O860">
        <v>-4.9291070000000003E-3</v>
      </c>
      <c r="P860">
        <v>0.99930450000000004</v>
      </c>
      <c r="Q860">
        <v>1.894249E-3</v>
      </c>
      <c r="R860">
        <v>3.7245590000000002E-2</v>
      </c>
      <c r="S860">
        <v>2.9904790000000001</v>
      </c>
      <c r="T860">
        <v>2.6737810000000001E-2</v>
      </c>
      <c r="U860">
        <v>0.32794190000000001</v>
      </c>
      <c r="V860">
        <v>-4.2181070000000001E-2</v>
      </c>
      <c r="W860">
        <v>1.367223E-2</v>
      </c>
      <c r="X860">
        <v>0.99901640000000003</v>
      </c>
      <c r="Y860">
        <v>-0.1139077</v>
      </c>
      <c r="Z860" s="1">
        <v>6.5382689999999999E-5</v>
      </c>
      <c r="AA860">
        <v>0.99349140000000002</v>
      </c>
      <c r="AB860">
        <v>33</v>
      </c>
      <c r="AC860">
        <v>127.9522</v>
      </c>
      <c r="AD860">
        <v>1.1458930000000001</v>
      </c>
      <c r="AE860">
        <v>14.0563</v>
      </c>
      <c r="AF860">
        <v>-14.6856995000491</v>
      </c>
      <c r="AG860">
        <v>1.1458930000000001</v>
      </c>
      <c r="AH860">
        <v>127.87122215466199</v>
      </c>
      <c r="AI860">
        <v>89.489921557457393</v>
      </c>
      <c r="AJ860">
        <v>96.551576810448196</v>
      </c>
      <c r="AK860">
        <v>128.71686873094799</v>
      </c>
      <c r="AL860">
        <v>89.216614493317195</v>
      </c>
      <c r="AM860">
        <v>92.417740730236204</v>
      </c>
      <c r="AN860">
        <v>0.99999997000423801</v>
      </c>
    </row>
    <row r="861" spans="1:40" x14ac:dyDescent="0.25">
      <c r="A861" t="str">
        <f>"20190305135808937"</f>
        <v>20190305135808937</v>
      </c>
      <c r="B861" t="str">
        <f>"1551765488929587"</f>
        <v>1551765488929587</v>
      </c>
      <c r="C861" t="s">
        <v>40</v>
      </c>
      <c r="D861">
        <v>3.978488</v>
      </c>
      <c r="E861">
        <v>0.4714237</v>
      </c>
      <c r="F861" t="s">
        <v>44</v>
      </c>
      <c r="G861">
        <v>-166.66040000000001</v>
      </c>
      <c r="H861">
        <v>1.399734</v>
      </c>
      <c r="I861">
        <v>381.38529999999997</v>
      </c>
      <c r="J861">
        <v>-285.97669999999999</v>
      </c>
      <c r="K861">
        <v>1.0598379999999901</v>
      </c>
      <c r="L861">
        <v>367.82190000000003</v>
      </c>
      <c r="M861">
        <v>0.99991909999999895</v>
      </c>
      <c r="N861">
        <v>-1.1817950000000001E-2</v>
      </c>
      <c r="O861">
        <v>-4.7465609999999998E-3</v>
      </c>
      <c r="P861">
        <v>0.99921000000000004</v>
      </c>
      <c r="Q861">
        <v>9.9332629999999999E-4</v>
      </c>
      <c r="R861">
        <v>3.9731200000000001E-2</v>
      </c>
      <c r="S861">
        <v>2.9894409999999998</v>
      </c>
      <c r="T861">
        <v>8.5060599999999993E-3</v>
      </c>
      <c r="U861">
        <v>0.33932499999999999</v>
      </c>
      <c r="V861">
        <v>-4.4482819999999999E-2</v>
      </c>
      <c r="W861">
        <v>1.2768699999999999E-2</v>
      </c>
      <c r="X861">
        <v>0.9989285</v>
      </c>
      <c r="Y861">
        <v>-0.1174999</v>
      </c>
      <c r="Z861">
        <v>4.6053970000000001E-4</v>
      </c>
      <c r="AA861">
        <v>0.99307279999999998</v>
      </c>
      <c r="AB861">
        <v>33</v>
      </c>
      <c r="AC861">
        <v>119.316299999999</v>
      </c>
      <c r="AD861">
        <v>0.33989599999999998</v>
      </c>
      <c r="AE861">
        <v>13.5633999999999</v>
      </c>
      <c r="AF861">
        <v>-14.1295155237259</v>
      </c>
      <c r="AG861">
        <v>0.33989599999999998</v>
      </c>
      <c r="AH861">
        <v>119.249616353721</v>
      </c>
      <c r="AI861">
        <v>89.837825272721602</v>
      </c>
      <c r="AJ861">
        <v>96.757293733387897</v>
      </c>
      <c r="AK861">
        <v>120.084260995085</v>
      </c>
      <c r="AL861">
        <v>89.268387465640799</v>
      </c>
      <c r="AM861">
        <v>92.549727231802606</v>
      </c>
      <c r="AN861">
        <v>0.99999995454354496</v>
      </c>
    </row>
    <row r="862" spans="1:40" x14ac:dyDescent="0.25">
      <c r="A862" t="str">
        <f>"20190305135808950"</f>
        <v>20190305135808950</v>
      </c>
      <c r="B862" t="str">
        <f>"1551765488939346"</f>
        <v>1551765488939346</v>
      </c>
      <c r="C862" t="s">
        <v>40</v>
      </c>
      <c r="D862">
        <v>3.9652949999999998</v>
      </c>
      <c r="E862">
        <v>0.47144320000000001</v>
      </c>
      <c r="F862" t="s">
        <v>44</v>
      </c>
      <c r="G862">
        <v>-169.2183</v>
      </c>
      <c r="H862">
        <v>1.1708970000000001</v>
      </c>
      <c r="I862">
        <v>381.38529999999997</v>
      </c>
      <c r="J862">
        <v>-285.79989999999998</v>
      </c>
      <c r="K862">
        <v>1.0598299999999901</v>
      </c>
      <c r="L862">
        <v>367.82130000000001</v>
      </c>
      <c r="M862">
        <v>0.99991980000000003</v>
      </c>
      <c r="N862">
        <v>-1.181832E-2</v>
      </c>
      <c r="O862">
        <v>-4.5574680000000003E-3</v>
      </c>
      <c r="P862">
        <v>0.99911019999999995</v>
      </c>
      <c r="Q862">
        <v>1.7878389999999901E-3</v>
      </c>
      <c r="R862">
        <v>4.2142930000000002E-2</v>
      </c>
      <c r="S862">
        <v>2.988556</v>
      </c>
      <c r="T862">
        <v>2.8449299999999999E-3</v>
      </c>
      <c r="U862">
        <v>0.34716799999999998</v>
      </c>
      <c r="V862">
        <v>-4.670618E-2</v>
      </c>
      <c r="W862">
        <v>1.356066E-2</v>
      </c>
      <c r="X862">
        <v>0.99881660000000005</v>
      </c>
      <c r="Y862">
        <v>-0.1199162</v>
      </c>
      <c r="Z862">
        <v>5.9611270000000001E-4</v>
      </c>
      <c r="AA862">
        <v>0.99278379999999999</v>
      </c>
      <c r="AB862">
        <v>33</v>
      </c>
      <c r="AC862">
        <v>116.581599999999</v>
      </c>
      <c r="AD862">
        <v>0.111067</v>
      </c>
      <c r="AE862">
        <v>13.563999999999901</v>
      </c>
      <c r="AF862">
        <v>-14.0952004988897</v>
      </c>
      <c r="AG862">
        <v>0.111067</v>
      </c>
      <c r="AH862">
        <v>116.518462939279</v>
      </c>
      <c r="AI862">
        <v>89.945780168459507</v>
      </c>
      <c r="AJ862">
        <v>96.897536671080999</v>
      </c>
      <c r="AK862">
        <v>117.36796504461699</v>
      </c>
      <c r="AL862">
        <v>89.223007583773594</v>
      </c>
      <c r="AM862">
        <v>92.677287316778006</v>
      </c>
      <c r="AN862">
        <v>0.99999997959269304</v>
      </c>
    </row>
    <row r="863" spans="1:40" x14ac:dyDescent="0.25">
      <c r="A863" t="str">
        <f>"20190305135808963"</f>
        <v>20190305135808963</v>
      </c>
      <c r="B863" t="str">
        <f>"1551765488959843"</f>
        <v>1551765488959843</v>
      </c>
      <c r="C863" t="s">
        <v>40</v>
      </c>
      <c r="D863">
        <v>3.9937510000000001</v>
      </c>
      <c r="E863">
        <v>0.47115489999999999</v>
      </c>
      <c r="F863" t="s">
        <v>45</v>
      </c>
      <c r="G863">
        <v>-179.94049999999999</v>
      </c>
      <c r="H863">
        <v>1.1719520000000001</v>
      </c>
      <c r="I863">
        <v>380.36090000000002</v>
      </c>
      <c r="J863">
        <v>-285.60739999999998</v>
      </c>
      <c r="K863">
        <v>1.059836</v>
      </c>
      <c r="L863">
        <v>367.82060000000001</v>
      </c>
      <c r="M863">
        <v>0.99992080000000005</v>
      </c>
      <c r="N863">
        <v>-1.181873E-2</v>
      </c>
      <c r="O863">
        <v>-4.3516900000000001E-3</v>
      </c>
      <c r="P863">
        <v>0.99901830000000003</v>
      </c>
      <c r="Q863">
        <v>2.4557300000000002E-3</v>
      </c>
      <c r="R863">
        <v>4.4236369999999997E-2</v>
      </c>
      <c r="S863">
        <v>2.9877319999999998</v>
      </c>
      <c r="T863">
        <v>3.168106E-3</v>
      </c>
      <c r="U863">
        <v>0.35391240000000002</v>
      </c>
      <c r="V863">
        <v>-4.8594079999999998E-2</v>
      </c>
      <c r="W863">
        <v>1.4226259999999999E-2</v>
      </c>
      <c r="X863">
        <v>0.99871730000000003</v>
      </c>
      <c r="Y863">
        <v>-0.1219537</v>
      </c>
      <c r="Z863">
        <v>6.0292050000000002E-4</v>
      </c>
      <c r="AA863">
        <v>0.99253559999999996</v>
      </c>
      <c r="AB863">
        <v>33</v>
      </c>
      <c r="AC863">
        <v>105.6669</v>
      </c>
      <c r="AD863">
        <v>0.11211599999999999</v>
      </c>
      <c r="AE863">
        <v>12.5403</v>
      </c>
      <c r="AF863">
        <v>-13.0000284702564</v>
      </c>
      <c r="AG863">
        <v>0.11211599999999999</v>
      </c>
      <c r="AH863">
        <v>105.611206789428</v>
      </c>
      <c r="AI863">
        <v>89.939630923218601</v>
      </c>
      <c r="AJ863">
        <v>97.017424204468099</v>
      </c>
      <c r="AK863">
        <v>106.408365788336</v>
      </c>
      <c r="AL863">
        <v>89.184867853566502</v>
      </c>
      <c r="AM863">
        <v>92.785614733631206</v>
      </c>
      <c r="AN863">
        <v>1.00000000820196</v>
      </c>
    </row>
    <row r="864" spans="1:40" x14ac:dyDescent="0.25">
      <c r="A864" t="str">
        <f>"20190305135808977"</f>
        <v>20190305135808977</v>
      </c>
      <c r="B864" t="str">
        <f>"1551765488969602"</f>
        <v>1551765488969602</v>
      </c>
      <c r="C864" t="s">
        <v>40</v>
      </c>
      <c r="D864">
        <v>4.0182820000000001</v>
      </c>
      <c r="E864">
        <v>0.47115489999999999</v>
      </c>
      <c r="F864" t="s">
        <v>44</v>
      </c>
      <c r="G864">
        <v>-169.2955</v>
      </c>
      <c r="H864">
        <v>1.23569</v>
      </c>
      <c r="I864">
        <v>381.93630000000002</v>
      </c>
      <c r="J864">
        <v>-285.3981</v>
      </c>
      <c r="K864">
        <v>1.0598430000000001</v>
      </c>
      <c r="L864">
        <v>367.81990000000002</v>
      </c>
      <c r="M864">
        <v>0.99992170000000002</v>
      </c>
      <c r="N864">
        <v>-1.181919E-2</v>
      </c>
      <c r="O864">
        <v>-4.1276809999999898E-3</v>
      </c>
      <c r="P864">
        <v>0.99894090000000002</v>
      </c>
      <c r="Q864">
        <v>4.4867470000000001E-3</v>
      </c>
      <c r="R864">
        <v>4.5794330000000001E-2</v>
      </c>
      <c r="S864">
        <v>2.9868769999999998</v>
      </c>
      <c r="T864">
        <v>4.5181509999999998E-3</v>
      </c>
      <c r="U864">
        <v>0.36248780000000003</v>
      </c>
      <c r="V864">
        <v>-4.9929260000000003E-2</v>
      </c>
      <c r="W864">
        <v>1.6255439999999999E-2</v>
      </c>
      <c r="X864">
        <v>0.99862050000000002</v>
      </c>
      <c r="Y864">
        <v>-0.12457360000000001</v>
      </c>
      <c r="Z864">
        <v>5.9019119999999996E-4</v>
      </c>
      <c r="AA864">
        <v>0.99221020000000004</v>
      </c>
      <c r="AB864">
        <v>33</v>
      </c>
      <c r="AC864">
        <v>116.1026</v>
      </c>
      <c r="AD864">
        <v>0.175846999999999</v>
      </c>
      <c r="AE864">
        <v>14.116400000000001</v>
      </c>
      <c r="AF864">
        <v>-14.5955146726838</v>
      </c>
      <c r="AG864">
        <v>0.175846999999999</v>
      </c>
      <c r="AH864">
        <v>116.043076411453</v>
      </c>
      <c r="AI864">
        <v>89.913855073875098</v>
      </c>
      <c r="AJ864">
        <v>97.168828882962302</v>
      </c>
      <c r="AK864">
        <v>116.95749464554299</v>
      </c>
      <c r="AL864">
        <v>89.068590905810794</v>
      </c>
      <c r="AM864">
        <v>92.862304211890006</v>
      </c>
      <c r="AN864">
        <v>1.0000000366769899</v>
      </c>
    </row>
    <row r="865" spans="1:40" x14ac:dyDescent="0.25">
      <c r="A865" t="str">
        <f>"20190305135808989"</f>
        <v>20190305135808989</v>
      </c>
      <c r="B865" t="str">
        <f>"1551765488979362"</f>
        <v>1551765488979362</v>
      </c>
      <c r="C865" t="s">
        <v>40</v>
      </c>
      <c r="D865">
        <v>3.8344239999999998</v>
      </c>
      <c r="E865">
        <v>0.43320799999999998</v>
      </c>
      <c r="F865" t="s">
        <v>44</v>
      </c>
      <c r="G865">
        <v>-169.2955</v>
      </c>
      <c r="H865">
        <v>1.472761</v>
      </c>
      <c r="I865">
        <v>382.10509999999999</v>
      </c>
      <c r="J865">
        <v>-285.20909999999998</v>
      </c>
      <c r="K865">
        <v>1.05985</v>
      </c>
      <c r="L865">
        <v>367.81939999999997</v>
      </c>
      <c r="M865">
        <v>0.99992250000000005</v>
      </c>
      <c r="N865">
        <v>-1.181958E-2</v>
      </c>
      <c r="O865">
        <v>-3.9263270000000003E-3</v>
      </c>
      <c r="P865">
        <v>0.99886629999999998</v>
      </c>
      <c r="Q865">
        <v>7.6562430000000001E-3</v>
      </c>
      <c r="R865">
        <v>4.6983659999999997E-2</v>
      </c>
      <c r="S865">
        <v>2.9862980000000001</v>
      </c>
      <c r="T865">
        <v>1.0622980000000001E-2</v>
      </c>
      <c r="U865">
        <v>0.36743160000000002</v>
      </c>
      <c r="V865">
        <v>-5.0919659999999999E-2</v>
      </c>
      <c r="W865">
        <v>1.942352E-2</v>
      </c>
      <c r="X865">
        <v>0.99851389999999995</v>
      </c>
      <c r="Y865">
        <v>-0.12601599999999999</v>
      </c>
      <c r="Z865">
        <v>4.6410739999999998E-4</v>
      </c>
      <c r="AA865">
        <v>0.99202809999999997</v>
      </c>
      <c r="AB865">
        <v>33</v>
      </c>
      <c r="AC865">
        <v>115.91359999999899</v>
      </c>
      <c r="AD865">
        <v>0.41291099999999997</v>
      </c>
      <c r="AE865">
        <v>14.2857</v>
      </c>
      <c r="AF865">
        <v>-14.740552080938199</v>
      </c>
      <c r="AG865">
        <v>0.41291099999999997</v>
      </c>
      <c r="AH865">
        <v>115.85516401613</v>
      </c>
      <c r="AI865">
        <v>89.7974301436291</v>
      </c>
      <c r="AJ865">
        <v>97.250931318344598</v>
      </c>
      <c r="AK865">
        <v>116.789868568936</v>
      </c>
      <c r="AL865">
        <v>88.887044343829402</v>
      </c>
      <c r="AM865">
        <v>92.919294910470896</v>
      </c>
      <c r="AN865">
        <v>1.00000004669845</v>
      </c>
    </row>
    <row r="866" spans="1:40" x14ac:dyDescent="0.25">
      <c r="A866" t="str">
        <f>"20190305135809002"</f>
        <v>20190305135809002</v>
      </c>
      <c r="B866" t="str">
        <f>"1551765488999182"</f>
        <v>1551765488999182</v>
      </c>
      <c r="C866" t="s">
        <v>40</v>
      </c>
      <c r="D866">
        <v>3.8458730000000001</v>
      </c>
      <c r="E866">
        <v>0.42435289999999998</v>
      </c>
      <c r="F866" t="s">
        <v>53</v>
      </c>
      <c r="G866">
        <v>-179.31200000000001</v>
      </c>
      <c r="H866">
        <v>3.0397509999999999</v>
      </c>
      <c r="I866">
        <v>391.87</v>
      </c>
      <c r="J866">
        <v>-285.0299</v>
      </c>
      <c r="K866">
        <v>1.0598590000000001</v>
      </c>
      <c r="L866">
        <v>367.81889999999999</v>
      </c>
      <c r="M866">
        <v>0.99992309999999995</v>
      </c>
      <c r="N866">
        <v>-1.1819959999999999E-2</v>
      </c>
      <c r="O866">
        <v>-3.735585E-3</v>
      </c>
      <c r="P866">
        <v>0.99877689999999997</v>
      </c>
      <c r="Q866">
        <v>1.106828E-2</v>
      </c>
      <c r="R866">
        <v>4.8193510000000002E-2</v>
      </c>
      <c r="S866">
        <v>2.971222</v>
      </c>
      <c r="T866">
        <v>5.5551290000000003E-2</v>
      </c>
      <c r="U866">
        <v>0.67480469999999904</v>
      </c>
      <c r="V866">
        <v>-5.1941000000000001E-2</v>
      </c>
      <c r="W866">
        <v>2.2833570000000001E-2</v>
      </c>
      <c r="X866">
        <v>0.99838910000000003</v>
      </c>
      <c r="Y866">
        <v>-0.2251003</v>
      </c>
      <c r="Z866">
        <v>-8.4306249999999995E-4</v>
      </c>
      <c r="AA866">
        <v>0.97433530000000002</v>
      </c>
      <c r="AB866">
        <v>33</v>
      </c>
      <c r="AC866">
        <v>105.7179</v>
      </c>
      <c r="AD866">
        <v>1.979892</v>
      </c>
      <c r="AE866">
        <v>24.051100000000002</v>
      </c>
      <c r="AF866">
        <v>-24.437728477036899</v>
      </c>
      <c r="AG866">
        <v>1.979892</v>
      </c>
      <c r="AH866">
        <v>105.59209815984499</v>
      </c>
      <c r="AI866">
        <v>88.9534636654043</v>
      </c>
      <c r="AJ866">
        <v>103.030839492247</v>
      </c>
      <c r="AK866">
        <v>108.401170377664</v>
      </c>
      <c r="AL866">
        <v>88.691619121314503</v>
      </c>
      <c r="AM866">
        <v>92.978116956116196</v>
      </c>
      <c r="AN866">
        <v>1.0000000171993699</v>
      </c>
    </row>
    <row r="867" spans="1:40" x14ac:dyDescent="0.25">
      <c r="A867" t="str">
        <f>"20190305135809015"</f>
        <v>20190305135809015</v>
      </c>
      <c r="B867" t="str">
        <f>"1551765489009918"</f>
        <v>1551765489009918</v>
      </c>
      <c r="C867" t="s">
        <v>40</v>
      </c>
      <c r="D867">
        <v>3.7769279999999998</v>
      </c>
      <c r="E867">
        <v>0.42276589999999997</v>
      </c>
      <c r="F867" t="s">
        <v>53</v>
      </c>
      <c r="G867">
        <v>-189.85339999999999</v>
      </c>
      <c r="H867">
        <v>3.661467</v>
      </c>
      <c r="I867">
        <v>391.87</v>
      </c>
      <c r="J867">
        <v>-284.81619999999998</v>
      </c>
      <c r="K867">
        <v>1.059882</v>
      </c>
      <c r="L867">
        <v>367.8184</v>
      </c>
      <c r="M867">
        <v>0.99992409999999998</v>
      </c>
      <c r="N867">
        <v>-1.182039E-2</v>
      </c>
      <c r="O867">
        <v>-3.5083710000000001E-3</v>
      </c>
      <c r="P867">
        <v>0.99854129999999997</v>
      </c>
      <c r="Q867">
        <v>1.6693469999999998E-2</v>
      </c>
      <c r="R867">
        <v>5.1352490000000001E-2</v>
      </c>
      <c r="S867">
        <v>2.9666139999999999</v>
      </c>
      <c r="T867">
        <v>8.1091049999999998E-2</v>
      </c>
      <c r="U867">
        <v>0.74966429999999995</v>
      </c>
      <c r="V867">
        <v>-5.4876380000000002E-2</v>
      </c>
      <c r="W867">
        <v>2.8453630000000001E-2</v>
      </c>
      <c r="X867">
        <v>0.99808759999999996</v>
      </c>
      <c r="Y867">
        <v>-0.2483486</v>
      </c>
      <c r="Z867">
        <v>-1.9856600000000002E-3</v>
      </c>
      <c r="AA867">
        <v>0.96866870000000005</v>
      </c>
      <c r="AB867">
        <v>33</v>
      </c>
      <c r="AC867">
        <v>94.962800000000001</v>
      </c>
      <c r="AD867">
        <v>2.601585</v>
      </c>
      <c r="AE867">
        <v>24.051600000000001</v>
      </c>
      <c r="AF867">
        <v>-24.367453831812998</v>
      </c>
      <c r="AG867">
        <v>2.601585</v>
      </c>
      <c r="AH867">
        <v>94.810958535289004</v>
      </c>
      <c r="AI867">
        <v>88.477665211864206</v>
      </c>
      <c r="AJ867">
        <v>104.413683528127</v>
      </c>
      <c r="AK867">
        <v>97.926803833976194</v>
      </c>
      <c r="AL867">
        <v>88.369506933299903</v>
      </c>
      <c r="AM867">
        <v>93.147040846879506</v>
      </c>
      <c r="AN867">
        <v>0.99999994170791895</v>
      </c>
    </row>
    <row r="868" spans="1:40" x14ac:dyDescent="0.25">
      <c r="A868" t="str">
        <f>"20190305135809027"</f>
        <v>20190305135809027</v>
      </c>
      <c r="B868" t="str">
        <f>"1551765489019678"</f>
        <v>1551765489019678</v>
      </c>
      <c r="C868" t="s">
        <v>40</v>
      </c>
      <c r="D868">
        <v>3.7860580000000001</v>
      </c>
      <c r="E868">
        <v>0.42178149999999998</v>
      </c>
      <c r="F868" t="s">
        <v>53</v>
      </c>
      <c r="G868">
        <v>-192.42169999999999</v>
      </c>
      <c r="H868">
        <v>4.4097309999999998</v>
      </c>
      <c r="I868">
        <v>391.87</v>
      </c>
      <c r="J868">
        <v>-284.64760000000001</v>
      </c>
      <c r="K868">
        <v>1.0598939999999999</v>
      </c>
      <c r="L868">
        <v>367.81799999999998</v>
      </c>
      <c r="M868">
        <v>0.99992460000000005</v>
      </c>
      <c r="N868">
        <v>-1.182073E-2</v>
      </c>
      <c r="O868">
        <v>-3.329439E-3</v>
      </c>
      <c r="P868">
        <v>0.99835149999999995</v>
      </c>
      <c r="Q868">
        <v>1.9639429999999999E-2</v>
      </c>
      <c r="R868">
        <v>5.3931369999999999E-2</v>
      </c>
      <c r="S868">
        <v>2.962952</v>
      </c>
      <c r="T868">
        <v>0.10742450000000001</v>
      </c>
      <c r="U868">
        <v>0.77130129999999997</v>
      </c>
      <c r="V868">
        <v>-5.72784E-2</v>
      </c>
      <c r="W868">
        <v>3.1395819999999998E-2</v>
      </c>
      <c r="X868">
        <v>0.99786450000000004</v>
      </c>
      <c r="Y868">
        <v>-0.25503330000000002</v>
      </c>
      <c r="Z868">
        <v>-3.1710340000000001E-3</v>
      </c>
      <c r="AA868">
        <v>0.96692710000000004</v>
      </c>
      <c r="AB868">
        <v>33</v>
      </c>
      <c r="AC868">
        <v>92.225899999999996</v>
      </c>
      <c r="AD868">
        <v>3.349837</v>
      </c>
      <c r="AE868">
        <v>24.0519999999999</v>
      </c>
      <c r="AF868">
        <v>-24.328895681041899</v>
      </c>
      <c r="AG868">
        <v>3.349837</v>
      </c>
      <c r="AH868">
        <v>92.031618861059599</v>
      </c>
      <c r="AI868">
        <v>87.984596722800305</v>
      </c>
      <c r="AJ868">
        <v>104.807619168374</v>
      </c>
      <c r="AK868">
        <v>95.251957686826202</v>
      </c>
      <c r="AL868">
        <v>88.200856434164294</v>
      </c>
      <c r="AM868">
        <v>93.285228910007604</v>
      </c>
      <c r="AN868">
        <v>1.00000003649014</v>
      </c>
    </row>
    <row r="869" spans="1:40" x14ac:dyDescent="0.25">
      <c r="A869" t="str">
        <f>"20190305135809037"</f>
        <v>20190305135809037</v>
      </c>
      <c r="B869" t="str">
        <f>"1551765489029438"</f>
        <v>1551765489029438</v>
      </c>
      <c r="C869" t="s">
        <v>40</v>
      </c>
      <c r="D869">
        <v>3.9269099999999999</v>
      </c>
      <c r="E869">
        <v>0.42337190000000002</v>
      </c>
      <c r="F869" t="s">
        <v>53</v>
      </c>
      <c r="G869">
        <v>-194.26310000000001</v>
      </c>
      <c r="H869">
        <v>5.0906339999999997</v>
      </c>
      <c r="I869">
        <v>391.87</v>
      </c>
      <c r="J869">
        <v>-284.49119999999999</v>
      </c>
      <c r="K869">
        <v>1.0599080000000001</v>
      </c>
      <c r="L869">
        <v>367.8177</v>
      </c>
      <c r="M869">
        <v>0.99992519999999996</v>
      </c>
      <c r="N869">
        <v>-1.182104E-2</v>
      </c>
      <c r="O869">
        <v>-3.1636199999999998E-3</v>
      </c>
      <c r="P869">
        <v>0.99815849999999995</v>
      </c>
      <c r="Q869">
        <v>2.2012250000000001E-2</v>
      </c>
      <c r="R869">
        <v>5.6525260000000001E-2</v>
      </c>
      <c r="S869">
        <v>2.9598080000000002</v>
      </c>
      <c r="T869">
        <v>0.1319939</v>
      </c>
      <c r="U869">
        <v>0.787628199999999</v>
      </c>
      <c r="V869">
        <v>-5.9706950000000002E-2</v>
      </c>
      <c r="W869">
        <v>3.376444E-2</v>
      </c>
      <c r="X869">
        <v>0.99764470000000005</v>
      </c>
      <c r="Y869">
        <v>-0.26003549999999997</v>
      </c>
      <c r="Z869">
        <v>-4.3078969999999998E-3</v>
      </c>
      <c r="AA869">
        <v>0.96558940000000004</v>
      </c>
      <c r="AB869">
        <v>33</v>
      </c>
      <c r="AC869">
        <v>90.228099999999898</v>
      </c>
      <c r="AD869">
        <v>4.0307259999999996</v>
      </c>
      <c r="AE869">
        <v>24.052299999999999</v>
      </c>
      <c r="AF869">
        <v>-24.2923844189981</v>
      </c>
      <c r="AG869">
        <v>4.0307259999999996</v>
      </c>
      <c r="AH869">
        <v>89.983889167337693</v>
      </c>
      <c r="AI869">
        <v>87.523747230008198</v>
      </c>
      <c r="AJ869">
        <v>105.107637036303</v>
      </c>
      <c r="AK869">
        <v>93.292373764028497</v>
      </c>
      <c r="AL869">
        <v>88.065072231020693</v>
      </c>
      <c r="AM869">
        <v>93.4249474142933</v>
      </c>
      <c r="AN869">
        <v>0.99999995236245198</v>
      </c>
    </row>
    <row r="870" spans="1:40" x14ac:dyDescent="0.25">
      <c r="A870" t="str">
        <f>"20190305135809049"</f>
        <v>20190305135809049</v>
      </c>
      <c r="B870" t="str">
        <f>"1551765489039198"</f>
        <v>1551765489039198</v>
      </c>
      <c r="C870" t="s">
        <v>40</v>
      </c>
      <c r="D870">
        <v>3.8874469999999999</v>
      </c>
      <c r="E870">
        <v>0.42446820000000002</v>
      </c>
      <c r="F870" t="s">
        <v>53</v>
      </c>
      <c r="G870">
        <v>-193.48589999999999</v>
      </c>
      <c r="H870">
        <v>4.6800379999999997</v>
      </c>
      <c r="I870">
        <v>391.87</v>
      </c>
      <c r="J870">
        <v>-284.3134</v>
      </c>
      <c r="K870">
        <v>1.0599339999999999</v>
      </c>
      <c r="L870">
        <v>367.81729999999999</v>
      </c>
      <c r="M870">
        <v>0.99992570000000003</v>
      </c>
      <c r="N870">
        <v>-1.1821419999999999E-2</v>
      </c>
      <c r="O870">
        <v>-2.9755060000000002E-3</v>
      </c>
      <c r="P870">
        <v>0.99796070000000003</v>
      </c>
      <c r="Q870">
        <v>2.3821459999999999E-2</v>
      </c>
      <c r="R870">
        <v>5.9219859999999999E-2</v>
      </c>
      <c r="S870">
        <v>2.958618</v>
      </c>
      <c r="T870">
        <v>0.11769159999999999</v>
      </c>
      <c r="U870">
        <v>0.78195190000000003</v>
      </c>
      <c r="V870">
        <v>-6.2215109999999997E-2</v>
      </c>
      <c r="W870">
        <v>3.5569620000000003E-2</v>
      </c>
      <c r="X870">
        <v>0.99742869999999995</v>
      </c>
      <c r="Y870">
        <v>-0.25826310000000002</v>
      </c>
      <c r="Z870">
        <v>-3.6463300000000001E-3</v>
      </c>
      <c r="AA870">
        <v>0.96606769999999997</v>
      </c>
      <c r="AB870">
        <v>33</v>
      </c>
      <c r="AC870">
        <v>90.827500000000001</v>
      </c>
      <c r="AD870">
        <v>3.620104</v>
      </c>
      <c r="AE870">
        <v>24.052700000000002</v>
      </c>
      <c r="AF870">
        <v>-24.286817102596999</v>
      </c>
      <c r="AG870">
        <v>3.620104</v>
      </c>
      <c r="AH870">
        <v>90.620999718367301</v>
      </c>
      <c r="AI870">
        <v>87.790280098775995</v>
      </c>
      <c r="AJ870">
        <v>105.002945592391</v>
      </c>
      <c r="AK870">
        <v>93.888871693625802</v>
      </c>
      <c r="AL870">
        <v>87.961580834992702</v>
      </c>
      <c r="AM870">
        <v>93.569228529698904</v>
      </c>
      <c r="AN870">
        <v>0.99999996468147201</v>
      </c>
    </row>
    <row r="871" spans="1:40" x14ac:dyDescent="0.25">
      <c r="A871" t="str">
        <f>"20190305135809063"</f>
        <v>20190305135809063</v>
      </c>
      <c r="B871" t="str">
        <f>"1551765489059693"</f>
        <v>1551765489059693</v>
      </c>
      <c r="C871" t="s">
        <v>40</v>
      </c>
      <c r="D871">
        <v>3.8275809999999999</v>
      </c>
      <c r="E871">
        <v>0.42435580000000001</v>
      </c>
      <c r="F871" t="s">
        <v>53</v>
      </c>
      <c r="G871">
        <v>-193.22989999999999</v>
      </c>
      <c r="H871">
        <v>4.4391629999999997</v>
      </c>
      <c r="I871">
        <v>391.87</v>
      </c>
      <c r="J871">
        <v>-284.12400000000002</v>
      </c>
      <c r="K871">
        <v>1.059952</v>
      </c>
      <c r="L871">
        <v>367.81700000000001</v>
      </c>
      <c r="M871">
        <v>0.99992639999999999</v>
      </c>
      <c r="N871">
        <v>-1.182182E-2</v>
      </c>
      <c r="O871">
        <v>-2.775591E-3</v>
      </c>
      <c r="P871">
        <v>0.99777930000000004</v>
      </c>
      <c r="Q871">
        <v>2.573025E-2</v>
      </c>
      <c r="R871">
        <v>6.1439960000000002E-2</v>
      </c>
      <c r="S871">
        <v>2.9571839999999998</v>
      </c>
      <c r="T871">
        <v>0.1097124</v>
      </c>
      <c r="U871">
        <v>0.78091429999999995</v>
      </c>
      <c r="V871">
        <v>-6.4236600000000005E-2</v>
      </c>
      <c r="W871">
        <v>3.7475210000000002E-2</v>
      </c>
      <c r="X871">
        <v>0.99723079999999997</v>
      </c>
      <c r="Y871">
        <v>-0.25789040000000002</v>
      </c>
      <c r="Z871">
        <v>-3.2847810000000001E-3</v>
      </c>
      <c r="AA871">
        <v>0.96616860000000004</v>
      </c>
      <c r="AB871">
        <v>33</v>
      </c>
      <c r="AC871">
        <v>90.894099999999995</v>
      </c>
      <c r="AD871">
        <v>3.3792110000000002</v>
      </c>
      <c r="AE871">
        <v>24.053000000000001</v>
      </c>
      <c r="AF871">
        <v>-24.273855043474899</v>
      </c>
      <c r="AG871">
        <v>3.3792110000000002</v>
      </c>
      <c r="AH871">
        <v>90.709813280536395</v>
      </c>
      <c r="AI871">
        <v>87.938999600002603</v>
      </c>
      <c r="AJ871">
        <v>104.98127771775501</v>
      </c>
      <c r="AK871">
        <v>93.962276106126396</v>
      </c>
      <c r="AL871">
        <v>87.8523257352538</v>
      </c>
      <c r="AM871">
        <v>93.685614442175705</v>
      </c>
      <c r="AN871">
        <v>1.00000000030637</v>
      </c>
    </row>
    <row r="872" spans="1:40" x14ac:dyDescent="0.25">
      <c r="A872" t="str">
        <f>"20190305135809076"</f>
        <v>20190305135809076</v>
      </c>
      <c r="B872" t="str">
        <f>"1551765489069454"</f>
        <v>1551765489069454</v>
      </c>
      <c r="C872" t="s">
        <v>40</v>
      </c>
      <c r="D872">
        <v>3.8557890000000001</v>
      </c>
      <c r="E872">
        <v>0.42407070000000002</v>
      </c>
      <c r="F872" t="s">
        <v>53</v>
      </c>
      <c r="G872">
        <v>-193.84549999999999</v>
      </c>
      <c r="H872">
        <v>3.9801859999999998</v>
      </c>
      <c r="I872">
        <v>391.87</v>
      </c>
      <c r="J872">
        <v>-283.92329999999998</v>
      </c>
      <c r="K872">
        <v>1.0599719999999999</v>
      </c>
      <c r="L872">
        <v>367.81659999999999</v>
      </c>
      <c r="M872">
        <v>0.99992689999999995</v>
      </c>
      <c r="N872">
        <v>-1.182223E-2</v>
      </c>
      <c r="O872">
        <v>-2.5632810000000002E-3</v>
      </c>
      <c r="P872">
        <v>0.99762390000000001</v>
      </c>
      <c r="Q872">
        <v>2.7532830000000001E-2</v>
      </c>
      <c r="R872">
        <v>6.3156489999999996E-2</v>
      </c>
      <c r="S872">
        <v>2.9557500000000001</v>
      </c>
      <c r="T872">
        <v>9.5609310000000003E-2</v>
      </c>
      <c r="U872">
        <v>0.78750609999999999</v>
      </c>
      <c r="V872">
        <v>-6.5742690000000006E-2</v>
      </c>
      <c r="W872">
        <v>3.927539E-2</v>
      </c>
      <c r="X872">
        <v>0.99706329999999999</v>
      </c>
      <c r="Y872">
        <v>-0.25984639999999998</v>
      </c>
      <c r="Z872">
        <v>-2.678195E-3</v>
      </c>
      <c r="AA872">
        <v>0.96564629999999996</v>
      </c>
      <c r="AB872">
        <v>33</v>
      </c>
      <c r="AC872">
        <v>90.077799999999996</v>
      </c>
      <c r="AD872">
        <v>2.9202140000000001</v>
      </c>
      <c r="AE872">
        <v>24.0534</v>
      </c>
      <c r="AF872">
        <v>-24.260431669919502</v>
      </c>
      <c r="AG872">
        <v>2.9202140000000001</v>
      </c>
      <c r="AH872">
        <v>89.927622701522296</v>
      </c>
      <c r="AI872">
        <v>88.204246714983896</v>
      </c>
      <c r="AJ872">
        <v>105.097681920642</v>
      </c>
      <c r="AK872">
        <v>93.1883765249936</v>
      </c>
      <c r="AL872">
        <v>87.749106839813805</v>
      </c>
      <c r="AM872">
        <v>93.772412495812404</v>
      </c>
      <c r="AN872">
        <v>0.999999940877487</v>
      </c>
    </row>
    <row r="873" spans="1:40" x14ac:dyDescent="0.25">
      <c r="A873" t="str">
        <f>"20190305135809087"</f>
        <v>20190305135809087</v>
      </c>
      <c r="B873" t="str">
        <f>"1551765489079214"</f>
        <v>1551765489079214</v>
      </c>
      <c r="C873" t="s">
        <v>40</v>
      </c>
      <c r="D873">
        <v>3.865758</v>
      </c>
      <c r="E873">
        <v>0.42502030000000002</v>
      </c>
      <c r="F873" t="s">
        <v>53</v>
      </c>
      <c r="G873">
        <v>-194.5026</v>
      </c>
      <c r="H873">
        <v>3.860954</v>
      </c>
      <c r="I873">
        <v>391.87</v>
      </c>
      <c r="J873">
        <v>-283.74059999999997</v>
      </c>
      <c r="K873">
        <v>1.0599889999999901</v>
      </c>
      <c r="L873">
        <v>367.81630000000001</v>
      </c>
      <c r="M873">
        <v>0.99992740000000002</v>
      </c>
      <c r="N873">
        <v>-1.1822610000000001E-2</v>
      </c>
      <c r="O873">
        <v>-2.3702850000000002E-3</v>
      </c>
      <c r="P873">
        <v>0.99749120000000002</v>
      </c>
      <c r="Q873">
        <v>2.9085710000000001E-2</v>
      </c>
      <c r="R873">
        <v>6.4544249999999997E-2</v>
      </c>
      <c r="S873">
        <v>2.954285</v>
      </c>
      <c r="T873">
        <v>9.2538949999999995E-2</v>
      </c>
      <c r="U873">
        <v>0.79467769999999904</v>
      </c>
      <c r="V873">
        <v>-6.6938490000000003E-2</v>
      </c>
      <c r="W873">
        <v>4.082624E-2</v>
      </c>
      <c r="X873">
        <v>0.99692150000000002</v>
      </c>
      <c r="Y873">
        <v>-0.26197199999999998</v>
      </c>
      <c r="Z873">
        <v>-2.5549269999999998E-3</v>
      </c>
      <c r="AA873">
        <v>0.96507209999999999</v>
      </c>
      <c r="AB873">
        <v>33</v>
      </c>
      <c r="AC873">
        <v>89.2379999999999</v>
      </c>
      <c r="AD873">
        <v>2.8009650000000001</v>
      </c>
      <c r="AE873">
        <v>24.0536999999999</v>
      </c>
      <c r="AF873">
        <v>-24.2429007730046</v>
      </c>
      <c r="AG873">
        <v>2.8009650000000001</v>
      </c>
      <c r="AH873">
        <v>89.098898255498199</v>
      </c>
      <c r="AI873">
        <v>88.262535072939997</v>
      </c>
      <c r="AJ873">
        <v>105.2211169478</v>
      </c>
      <c r="AK873">
        <v>92.380611132231607</v>
      </c>
      <c r="AL873">
        <v>87.660178475999302</v>
      </c>
      <c r="AM873">
        <v>93.841370386964698</v>
      </c>
      <c r="AN873">
        <v>1.00000001023913</v>
      </c>
    </row>
    <row r="874" spans="1:40" x14ac:dyDescent="0.25">
      <c r="A874" t="str">
        <f>"20190305135809099"</f>
        <v>20190305135809099</v>
      </c>
      <c r="B874" t="str">
        <f>"1551765489089950"</f>
        <v>1551765489089950</v>
      </c>
      <c r="C874" t="s">
        <v>40</v>
      </c>
      <c r="D874">
        <v>3.7449469999999998</v>
      </c>
      <c r="E874">
        <v>0.4245294</v>
      </c>
      <c r="F874" t="s">
        <v>53</v>
      </c>
      <c r="G874">
        <v>-193.92089999999999</v>
      </c>
      <c r="H874">
        <v>3.9080710000000001</v>
      </c>
      <c r="I874">
        <v>391.87</v>
      </c>
      <c r="J874">
        <v>-283.57339999999999</v>
      </c>
      <c r="K874">
        <v>1.0599989999999999</v>
      </c>
      <c r="L874">
        <v>367.81610000000001</v>
      </c>
      <c r="M874">
        <v>0.99992780000000003</v>
      </c>
      <c r="N874">
        <v>-1.182296E-2</v>
      </c>
      <c r="O874">
        <v>-2.1936199999999999E-3</v>
      </c>
      <c r="P874">
        <v>0.99737909999999996</v>
      </c>
      <c r="Q874">
        <v>3.0651950000000001E-2</v>
      </c>
      <c r="R874">
        <v>6.5540570000000006E-2</v>
      </c>
      <c r="S874">
        <v>2.9536440000000002</v>
      </c>
      <c r="T874">
        <v>9.3656660000000003E-2</v>
      </c>
      <c r="U874">
        <v>0.7909851</v>
      </c>
      <c r="V874">
        <v>-6.7759769999999997E-2</v>
      </c>
      <c r="W874">
        <v>4.2390820000000003E-2</v>
      </c>
      <c r="X874">
        <v>0.99680069999999998</v>
      </c>
      <c r="Y874">
        <v>-0.26072630000000002</v>
      </c>
      <c r="Z874">
        <v>-2.5867109999999998E-3</v>
      </c>
      <c r="AA874">
        <v>0.96540930000000003</v>
      </c>
      <c r="AB874">
        <v>33</v>
      </c>
      <c r="AC874">
        <v>89.652500000000003</v>
      </c>
      <c r="AD874">
        <v>2.8480720000000002</v>
      </c>
      <c r="AE874">
        <v>24.053899999999999</v>
      </c>
      <c r="AF874">
        <v>-24.227710663750901</v>
      </c>
      <c r="AG874">
        <v>2.8480720000000002</v>
      </c>
      <c r="AH874">
        <v>89.515243114062102</v>
      </c>
      <c r="AI874">
        <v>88.240906693829899</v>
      </c>
      <c r="AJ874">
        <v>105.144525794451</v>
      </c>
      <c r="AK874">
        <v>92.779697282828295</v>
      </c>
      <c r="AL874">
        <v>87.570456916712601</v>
      </c>
      <c r="AM874">
        <v>93.888826900650102</v>
      </c>
      <c r="AN874">
        <v>1.0000000017855999</v>
      </c>
    </row>
    <row r="875" spans="1:40" x14ac:dyDescent="0.25">
      <c r="A875" t="str">
        <f>"20190305135809109"</f>
        <v>20190305135809109</v>
      </c>
      <c r="B875" t="str">
        <f>"1551765489099710"</f>
        <v>1551765489099710</v>
      </c>
      <c r="C875" t="s">
        <v>40</v>
      </c>
      <c r="D875">
        <v>3.7347939999999999</v>
      </c>
      <c r="E875">
        <v>0.42420219999999997</v>
      </c>
      <c r="F875" t="s">
        <v>53</v>
      </c>
      <c r="G875">
        <v>-194.5513</v>
      </c>
      <c r="H875">
        <v>3.9059569999999999</v>
      </c>
      <c r="I875">
        <v>391.87</v>
      </c>
      <c r="J875">
        <v>-283.4119</v>
      </c>
      <c r="K875">
        <v>1.060006</v>
      </c>
      <c r="L875">
        <v>367.8159</v>
      </c>
      <c r="M875">
        <v>0.99992809999999999</v>
      </c>
      <c r="N875">
        <v>-1.182329E-2</v>
      </c>
      <c r="O875">
        <v>-2.0230360000000002E-3</v>
      </c>
      <c r="P875">
        <v>0.99734109999999998</v>
      </c>
      <c r="Q875">
        <v>3.082379E-2</v>
      </c>
      <c r="R875">
        <v>6.6038540000000007E-2</v>
      </c>
      <c r="S875">
        <v>2.9525760000000001</v>
      </c>
      <c r="T875">
        <v>9.439111E-2</v>
      </c>
      <c r="U875">
        <v>0.79779049999999996</v>
      </c>
      <c r="V875">
        <v>-6.8087239999999993E-2</v>
      </c>
      <c r="W875">
        <v>4.2561849999999998E-2</v>
      </c>
      <c r="X875">
        <v>0.99677110000000002</v>
      </c>
      <c r="Y875">
        <v>-0.26272139999999999</v>
      </c>
      <c r="Z875">
        <v>-2.630767E-3</v>
      </c>
      <c r="AA875">
        <v>0.96486810000000001</v>
      </c>
      <c r="AB875">
        <v>33</v>
      </c>
      <c r="AC875">
        <v>88.860600000000005</v>
      </c>
      <c r="AD875">
        <v>2.8459509999999999</v>
      </c>
      <c r="AE875">
        <v>24.054099999999998</v>
      </c>
      <c r="AF875">
        <v>-24.210693176097401</v>
      </c>
      <c r="AG875">
        <v>2.8459509999999999</v>
      </c>
      <c r="AH875">
        <v>88.726955393727906</v>
      </c>
      <c r="AI875">
        <v>88.227601109316694</v>
      </c>
      <c r="AJ875">
        <v>105.26259103364499</v>
      </c>
      <c r="AK875">
        <v>92.014834209501799</v>
      </c>
      <c r="AL875">
        <v>87.560648774203997</v>
      </c>
      <c r="AM875">
        <v>93.907678452814807</v>
      </c>
      <c r="AN875">
        <v>1.00000000456072</v>
      </c>
    </row>
    <row r="876" spans="1:40" x14ac:dyDescent="0.25">
      <c r="A876" t="str">
        <f>"20190305135809120"</f>
        <v>20190305135809120</v>
      </c>
      <c r="B876" t="str">
        <f>"1551765489109470"</f>
        <v>1551765489109470</v>
      </c>
      <c r="C876" t="s">
        <v>40</v>
      </c>
      <c r="D876">
        <v>3.8840279999999998</v>
      </c>
      <c r="E876">
        <v>0.42502570000000001</v>
      </c>
      <c r="F876" t="s">
        <v>53</v>
      </c>
      <c r="G876">
        <v>-194.83840000000001</v>
      </c>
      <c r="H876">
        <v>3.7943259999999999</v>
      </c>
      <c r="I876">
        <v>391.87</v>
      </c>
      <c r="J876">
        <v>-283.26139999999998</v>
      </c>
      <c r="K876">
        <v>1.060006</v>
      </c>
      <c r="L876">
        <v>367.81580000000002</v>
      </c>
      <c r="M876">
        <v>0.9999285</v>
      </c>
      <c r="N876">
        <v>-1.18236E-2</v>
      </c>
      <c r="O876">
        <v>-1.8640149999999999E-3</v>
      </c>
      <c r="P876">
        <v>0.99734590000000001</v>
      </c>
      <c r="Q876">
        <v>3.008665E-2</v>
      </c>
      <c r="R876">
        <v>6.6305149999999993E-2</v>
      </c>
      <c r="S876">
        <v>2.9520569999999999</v>
      </c>
      <c r="T876">
        <v>9.1131809999999994E-2</v>
      </c>
      <c r="U876">
        <v>0.80169679999999999</v>
      </c>
      <c r="V876">
        <v>-6.8195350000000002E-2</v>
      </c>
      <c r="W876">
        <v>4.1825790000000002E-2</v>
      </c>
      <c r="X876">
        <v>0.99679490000000004</v>
      </c>
      <c r="Y876">
        <v>-0.26380670000000001</v>
      </c>
      <c r="Z876">
        <v>-2.4891800000000001E-3</v>
      </c>
      <c r="AA876">
        <v>0.9645724</v>
      </c>
      <c r="AB876">
        <v>33</v>
      </c>
      <c r="AC876">
        <v>88.422999999999902</v>
      </c>
      <c r="AD876">
        <v>2.7343199999999999</v>
      </c>
      <c r="AE876">
        <v>24.054199999999899</v>
      </c>
      <c r="AF876">
        <v>-24.1974472169357</v>
      </c>
      <c r="AG876">
        <v>2.7343199999999999</v>
      </c>
      <c r="AH876">
        <v>88.299388161080003</v>
      </c>
      <c r="AI876">
        <v>88.289349292847405</v>
      </c>
      <c r="AJ876">
        <v>105.32503129027999</v>
      </c>
      <c r="AK876">
        <v>91.595714459246693</v>
      </c>
      <c r="AL876">
        <v>87.602859576611806</v>
      </c>
      <c r="AM876">
        <v>93.9137706992028</v>
      </c>
      <c r="AN876">
        <v>1.00000003756837</v>
      </c>
    </row>
    <row r="877" spans="1:40" x14ac:dyDescent="0.25">
      <c r="A877" t="str">
        <f>"20190305135809130"</f>
        <v>20190305135809130</v>
      </c>
      <c r="B877" t="str">
        <f>"1551765489119230"</f>
        <v>1551765489119230</v>
      </c>
      <c r="C877" t="s">
        <v>40</v>
      </c>
      <c r="D877">
        <v>3.9080300000000001</v>
      </c>
      <c r="E877">
        <v>0.42566540000000003</v>
      </c>
      <c r="F877" t="s">
        <v>53</v>
      </c>
      <c r="G877">
        <v>-193.99600000000001</v>
      </c>
      <c r="H877">
        <v>3.6779440000000001</v>
      </c>
      <c r="I877">
        <v>391.87</v>
      </c>
      <c r="J877">
        <v>-283.09660000000002</v>
      </c>
      <c r="K877">
        <v>1.059998</v>
      </c>
      <c r="L877">
        <v>367.81569999999999</v>
      </c>
      <c r="M877">
        <v>0.9999287</v>
      </c>
      <c r="N877">
        <v>-1.182391E-2</v>
      </c>
      <c r="O877">
        <v>-1.689975E-3</v>
      </c>
      <c r="P877">
        <v>0.99736460000000005</v>
      </c>
      <c r="Q877">
        <v>2.831374E-2</v>
      </c>
      <c r="R877">
        <v>6.6800819999999997E-2</v>
      </c>
      <c r="S877">
        <v>2.9524539999999999</v>
      </c>
      <c r="T877">
        <v>8.658826E-2</v>
      </c>
      <c r="U877">
        <v>0.79559329999999995</v>
      </c>
      <c r="V877">
        <v>-6.8515450000000006E-2</v>
      </c>
      <c r="W877">
        <v>4.005297E-2</v>
      </c>
      <c r="X877">
        <v>0.99684569999999995</v>
      </c>
      <c r="Y877">
        <v>-0.26175700000000002</v>
      </c>
      <c r="Z877">
        <v>-2.2637909999999998E-3</v>
      </c>
      <c r="AA877">
        <v>0.96513119999999997</v>
      </c>
      <c r="AB877">
        <v>33</v>
      </c>
      <c r="AC877">
        <v>89.1006</v>
      </c>
      <c r="AD877">
        <v>2.6179459999999999</v>
      </c>
      <c r="AE877">
        <v>24.054300000000001</v>
      </c>
      <c r="AF877">
        <v>-24.185393138200698</v>
      </c>
      <c r="AG877">
        <v>2.6179459999999999</v>
      </c>
      <c r="AH877">
        <v>88.988214229364303</v>
      </c>
      <c r="AI877">
        <v>88.373855034414007</v>
      </c>
      <c r="AJ877">
        <v>105.204695007034</v>
      </c>
      <c r="AK877">
        <v>92.253396437418402</v>
      </c>
      <c r="AL877">
        <v>87.704519783004898</v>
      </c>
      <c r="AM877">
        <v>93.931884177419803</v>
      </c>
      <c r="AN877">
        <v>0.99999997845150601</v>
      </c>
    </row>
    <row r="878" spans="1:40" x14ac:dyDescent="0.25">
      <c r="A878" t="str">
        <f>"20190305135809142"</f>
        <v>20190305135809142</v>
      </c>
      <c r="B878" t="str">
        <f>"1551765489139726"</f>
        <v>1551765489139726</v>
      </c>
      <c r="C878" t="s">
        <v>40</v>
      </c>
      <c r="D878">
        <v>3.8872909999999998</v>
      </c>
      <c r="E878">
        <v>0.4266663</v>
      </c>
      <c r="F878" t="s">
        <v>53</v>
      </c>
      <c r="G878">
        <v>-193.44880000000001</v>
      </c>
      <c r="H878">
        <v>3.4683290000000002</v>
      </c>
      <c r="I878">
        <v>391.87</v>
      </c>
      <c r="J878">
        <v>-282.93340000000001</v>
      </c>
      <c r="K878">
        <v>1.059987</v>
      </c>
      <c r="L878">
        <v>367.81560000000002</v>
      </c>
      <c r="M878">
        <v>0.99992899999999996</v>
      </c>
      <c r="N878">
        <v>-1.182421E-2</v>
      </c>
      <c r="O878">
        <v>-1.517366E-3</v>
      </c>
      <c r="P878">
        <v>0.99743099999999996</v>
      </c>
      <c r="Q878">
        <v>2.5473510000000001E-2</v>
      </c>
      <c r="R878">
        <v>6.6953899999999997E-2</v>
      </c>
      <c r="S878">
        <v>2.9525760000000001</v>
      </c>
      <c r="T878">
        <v>7.9319000000000001E-2</v>
      </c>
      <c r="U878">
        <v>0.7922363</v>
      </c>
      <c r="V878">
        <v>-6.8494920000000001E-2</v>
      </c>
      <c r="W878">
        <v>3.7214570000000002E-2</v>
      </c>
      <c r="X878">
        <v>0.99695710000000004</v>
      </c>
      <c r="Y878">
        <v>-0.26057049999999998</v>
      </c>
      <c r="Z878">
        <v>-1.928803E-3</v>
      </c>
      <c r="AA878">
        <v>0.96545289999999995</v>
      </c>
      <c r="AB878">
        <v>33</v>
      </c>
      <c r="AC878">
        <v>89.4846</v>
      </c>
      <c r="AD878">
        <v>2.40834199999999</v>
      </c>
      <c r="AE878">
        <v>24.054399999999902</v>
      </c>
      <c r="AF878">
        <v>-24.173832704987099</v>
      </c>
      <c r="AG878">
        <v>2.40834199999999</v>
      </c>
      <c r="AH878">
        <v>89.387611726885694</v>
      </c>
      <c r="AI878">
        <v>88.510165575402596</v>
      </c>
      <c r="AJ878">
        <v>105.13297832421701</v>
      </c>
      <c r="AK878">
        <v>92.630013651484106</v>
      </c>
      <c r="AL878">
        <v>87.867269664349394</v>
      </c>
      <c r="AM878">
        <v>93.930271878628204</v>
      </c>
      <c r="AN878">
        <v>0.99999996876325004</v>
      </c>
    </row>
    <row r="879" spans="1:40" x14ac:dyDescent="0.25">
      <c r="A879" t="str">
        <f>"20190305135809152"</f>
        <v>20190305135809152</v>
      </c>
      <c r="B879" t="str">
        <f>"1551765489149486"</f>
        <v>1551765489149486</v>
      </c>
      <c r="C879" t="s">
        <v>40</v>
      </c>
      <c r="D879">
        <v>3.8961399999999999</v>
      </c>
      <c r="E879">
        <v>0.42694470000000001</v>
      </c>
      <c r="F879" t="s">
        <v>53</v>
      </c>
      <c r="G879">
        <v>-192.35990000000001</v>
      </c>
      <c r="H879">
        <v>3.0291790000000001</v>
      </c>
      <c r="I879">
        <v>391.87</v>
      </c>
      <c r="J879">
        <v>-282.77600000000001</v>
      </c>
      <c r="K879">
        <v>1.0599719999999999</v>
      </c>
      <c r="L879">
        <v>367.81549999999999</v>
      </c>
      <c r="M879">
        <v>0.99992919999999996</v>
      </c>
      <c r="N879">
        <v>-1.182451E-2</v>
      </c>
      <c r="O879">
        <v>-1.3508369999999999E-3</v>
      </c>
      <c r="P879">
        <v>0.99749239999999995</v>
      </c>
      <c r="Q879">
        <v>2.345529E-2</v>
      </c>
      <c r="R879">
        <v>6.677524E-2</v>
      </c>
      <c r="S879">
        <v>2.9533999999999998</v>
      </c>
      <c r="T879">
        <v>6.4210890000000007E-2</v>
      </c>
      <c r="U879">
        <v>0.78436280000000003</v>
      </c>
      <c r="V879">
        <v>-6.8149070000000006E-2</v>
      </c>
      <c r="W879">
        <v>3.5197440000000003E-2</v>
      </c>
      <c r="X879">
        <v>0.99705410000000005</v>
      </c>
      <c r="Y879">
        <v>-0.25796180000000002</v>
      </c>
      <c r="Z879">
        <v>-1.2494520000000001E-3</v>
      </c>
      <c r="AA879">
        <v>0.96615430000000002</v>
      </c>
      <c r="AB879">
        <v>33</v>
      </c>
      <c r="AC879">
        <v>90.4161</v>
      </c>
      <c r="AD879">
        <v>1.9692069999999999</v>
      </c>
      <c r="AE879">
        <v>24.054500000000001</v>
      </c>
      <c r="AF879">
        <v>-24.165918797358099</v>
      </c>
      <c r="AG879">
        <v>1.9692069999999999</v>
      </c>
      <c r="AH879">
        <v>90.343500464062004</v>
      </c>
      <c r="AI879">
        <v>88.793724269328905</v>
      </c>
      <c r="AJ879">
        <v>104.975411854105</v>
      </c>
      <c r="AK879">
        <v>93.540459073223104</v>
      </c>
      <c r="AL879">
        <v>87.982918646039195</v>
      </c>
      <c r="AM879">
        <v>93.910109305164298</v>
      </c>
      <c r="AN879">
        <v>1.00000001692561</v>
      </c>
    </row>
    <row r="880" spans="1:40" x14ac:dyDescent="0.25">
      <c r="A880" t="str">
        <f>"20190305135809164"</f>
        <v>20190305135809164</v>
      </c>
      <c r="B880" t="str">
        <f>"1551765489159246"</f>
        <v>1551765489159246</v>
      </c>
      <c r="C880" t="s">
        <v>40</v>
      </c>
      <c r="D880">
        <v>3.92116</v>
      </c>
      <c r="E880">
        <v>0.42720140000000001</v>
      </c>
      <c r="F880" t="s">
        <v>53</v>
      </c>
      <c r="G880">
        <v>-191.85380000000001</v>
      </c>
      <c r="H880">
        <v>2.782673</v>
      </c>
      <c r="I880">
        <v>391.87</v>
      </c>
      <c r="J880">
        <v>-282.62389999999999</v>
      </c>
      <c r="K880">
        <v>1.059957</v>
      </c>
      <c r="L880">
        <v>367.81540000000001</v>
      </c>
      <c r="M880">
        <v>0.99992950000000003</v>
      </c>
      <c r="N880">
        <v>-1.18248E-2</v>
      </c>
      <c r="O880">
        <v>-1.190029E-3</v>
      </c>
      <c r="P880">
        <v>0.99754529999999997</v>
      </c>
      <c r="Q880">
        <v>2.2255279999999999E-2</v>
      </c>
      <c r="R880">
        <v>6.6394019999999998E-2</v>
      </c>
      <c r="S880">
        <v>2.9539179999999998</v>
      </c>
      <c r="T880">
        <v>5.596781E-2</v>
      </c>
      <c r="U880">
        <v>0.78149409999999997</v>
      </c>
      <c r="V880">
        <v>-6.7606079999999999E-2</v>
      </c>
      <c r="W880">
        <v>3.3998920000000002E-2</v>
      </c>
      <c r="X880">
        <v>0.99713269999999998</v>
      </c>
      <c r="Y880">
        <v>-0.25689719999999999</v>
      </c>
      <c r="Z880">
        <v>-8.8368429999999905E-4</v>
      </c>
      <c r="AA880">
        <v>0.96643840000000003</v>
      </c>
      <c r="AB880">
        <v>33</v>
      </c>
      <c r="AC880">
        <v>90.770099999999999</v>
      </c>
      <c r="AD880">
        <v>1.7227159999999999</v>
      </c>
      <c r="AE880">
        <v>24.054599999999901</v>
      </c>
      <c r="AF880">
        <v>-24.154480069245899</v>
      </c>
      <c r="AG880">
        <v>1.7227159999999999</v>
      </c>
      <c r="AH880">
        <v>90.710878190409602</v>
      </c>
      <c r="AI880">
        <v>88.948636890649198</v>
      </c>
      <c r="AJ880">
        <v>104.910724232031</v>
      </c>
      <c r="AK880">
        <v>93.887539534847605</v>
      </c>
      <c r="AL880">
        <v>88.051630017577196</v>
      </c>
      <c r="AM880">
        <v>93.878745460158498</v>
      </c>
      <c r="AN880">
        <v>1.0000000650117</v>
      </c>
    </row>
    <row r="881" spans="1:40" x14ac:dyDescent="0.25">
      <c r="A881" t="str">
        <f>"20190305135809173"</f>
        <v>20190305135809173</v>
      </c>
      <c r="B881" t="str">
        <f>"1551765489169982"</f>
        <v>1551765489169982</v>
      </c>
      <c r="C881" t="s">
        <v>40</v>
      </c>
      <c r="D881">
        <v>3.8848199999999999</v>
      </c>
      <c r="E881">
        <v>0.42741990000000002</v>
      </c>
      <c r="F881" t="s">
        <v>53</v>
      </c>
      <c r="G881">
        <v>-191.33879999999999</v>
      </c>
      <c r="H881">
        <v>2.590487</v>
      </c>
      <c r="I881">
        <v>391.87</v>
      </c>
      <c r="J881">
        <v>-282.46600000000001</v>
      </c>
      <c r="K881">
        <v>1.059944</v>
      </c>
      <c r="L881">
        <v>367.81540000000001</v>
      </c>
      <c r="M881">
        <v>0.99992950000000003</v>
      </c>
      <c r="N881">
        <v>-1.182512E-2</v>
      </c>
      <c r="O881">
        <v>-1.0232590000000001E-3</v>
      </c>
      <c r="P881">
        <v>0.99761900000000003</v>
      </c>
      <c r="Q881">
        <v>2.1412509999999999E-2</v>
      </c>
      <c r="R881">
        <v>6.556083E-2</v>
      </c>
      <c r="S881">
        <v>2.9544679999999999</v>
      </c>
      <c r="T881">
        <v>4.9535990000000002E-2</v>
      </c>
      <c r="U881">
        <v>0.7785339</v>
      </c>
      <c r="V881">
        <v>-6.6606100000000001E-2</v>
      </c>
      <c r="W881">
        <v>3.315825E-2</v>
      </c>
      <c r="X881">
        <v>0.99722829999999996</v>
      </c>
      <c r="Y881">
        <v>-0.25579239999999998</v>
      </c>
      <c r="Z881">
        <v>-5.9915710000000004E-4</v>
      </c>
      <c r="AA881">
        <v>0.96673149999999997</v>
      </c>
      <c r="AB881">
        <v>33</v>
      </c>
      <c r="AC881">
        <v>91.127200000000002</v>
      </c>
      <c r="AD881">
        <v>1.530543</v>
      </c>
      <c r="AE881">
        <v>24.054599999999901</v>
      </c>
      <c r="AF881">
        <v>-24.141474089122401</v>
      </c>
      <c r="AG881">
        <v>1.530543</v>
      </c>
      <c r="AH881">
        <v>91.078517328392493</v>
      </c>
      <c r="AI881">
        <v>89.069385563993606</v>
      </c>
      <c r="AJ881">
        <v>104.84555808287401</v>
      </c>
      <c r="AK881">
        <v>94.236137716955099</v>
      </c>
      <c r="AL881">
        <v>88.099824031061701</v>
      </c>
      <c r="AM881">
        <v>93.821179877779699</v>
      </c>
      <c r="AN881">
        <v>1.00000006221057</v>
      </c>
    </row>
    <row r="882" spans="1:40" x14ac:dyDescent="0.25">
      <c r="A882" t="str">
        <f>"20190305135809182"</f>
        <v>20190305135809182</v>
      </c>
      <c r="B882" t="str">
        <f>"1551765489179742"</f>
        <v>1551765489179742</v>
      </c>
      <c r="C882" t="s">
        <v>40</v>
      </c>
      <c r="D882">
        <v>3.8855559999999998</v>
      </c>
      <c r="E882">
        <v>0.42765130000000001</v>
      </c>
      <c r="F882" t="s">
        <v>53</v>
      </c>
      <c r="G882">
        <v>-190.6189</v>
      </c>
      <c r="H882">
        <v>2.461687</v>
      </c>
      <c r="I882">
        <v>391.87</v>
      </c>
      <c r="J882">
        <v>-282.32799999999997</v>
      </c>
      <c r="K882">
        <v>1.0599240000000001</v>
      </c>
      <c r="L882">
        <v>367.81540000000001</v>
      </c>
      <c r="M882">
        <v>0.99992970000000003</v>
      </c>
      <c r="N882">
        <v>-1.18254E-2</v>
      </c>
      <c r="O882">
        <v>-8.7770929999999995E-4</v>
      </c>
      <c r="P882">
        <v>0.99770219999999998</v>
      </c>
      <c r="Q882">
        <v>2.0515970000000001E-2</v>
      </c>
      <c r="R882">
        <v>6.4571480000000001E-2</v>
      </c>
      <c r="S882">
        <v>2.955292</v>
      </c>
      <c r="T882">
        <v>4.5102719999999999E-2</v>
      </c>
      <c r="U882">
        <v>0.77398679999999997</v>
      </c>
      <c r="V882">
        <v>-6.5471009999999996E-2</v>
      </c>
      <c r="W882">
        <v>3.2264180000000003E-2</v>
      </c>
      <c r="X882">
        <v>0.99733280000000002</v>
      </c>
      <c r="Y882">
        <v>-0.25419710000000001</v>
      </c>
      <c r="Z882">
        <v>-4.0285780000000001E-4</v>
      </c>
      <c r="AA882">
        <v>0.96715240000000002</v>
      </c>
      <c r="AB882">
        <v>33</v>
      </c>
      <c r="AC882">
        <v>91.709099999999907</v>
      </c>
      <c r="AD882">
        <v>1.4017630000000001</v>
      </c>
      <c r="AE882">
        <v>24.054599999999901</v>
      </c>
      <c r="AF882">
        <v>-24.129815770833599</v>
      </c>
      <c r="AG882">
        <v>1.4017630000000001</v>
      </c>
      <c r="AH882">
        <v>91.667912619347405</v>
      </c>
      <c r="AI882">
        <v>89.152771833659997</v>
      </c>
      <c r="AJ882">
        <v>104.74746810123899</v>
      </c>
      <c r="AK882">
        <v>94.800944893133007</v>
      </c>
      <c r="AL882">
        <v>88.151077914427802</v>
      </c>
      <c r="AM882">
        <v>93.755855556359606</v>
      </c>
      <c r="AN882">
        <v>1.0000000722086599</v>
      </c>
    </row>
    <row r="883" spans="1:40" x14ac:dyDescent="0.25">
      <c r="A883" t="str">
        <f>"20190305135809194"</f>
        <v>20190305135809194</v>
      </c>
      <c r="B883" t="str">
        <f>"1551765489189501"</f>
        <v>1551765489189501</v>
      </c>
      <c r="C883" t="s">
        <v>40</v>
      </c>
      <c r="D883">
        <v>3.8967079999999998</v>
      </c>
      <c r="E883">
        <v>0.4278091</v>
      </c>
      <c r="F883" t="s">
        <v>53</v>
      </c>
      <c r="G883">
        <v>-189.87819999999999</v>
      </c>
      <c r="H883">
        <v>2.3343769999999999</v>
      </c>
      <c r="I883">
        <v>391.87</v>
      </c>
      <c r="J883">
        <v>-282.1592</v>
      </c>
      <c r="K883">
        <v>1.0599080000000001</v>
      </c>
      <c r="L883">
        <v>367.81549999999999</v>
      </c>
      <c r="M883">
        <v>0.99992999999999999</v>
      </c>
      <c r="N883">
        <v>-1.1825749999999999E-2</v>
      </c>
      <c r="O883">
        <v>-6.9926009999999998E-4</v>
      </c>
      <c r="P883">
        <v>0.99776069999999994</v>
      </c>
      <c r="Q883">
        <v>1.951814E-2</v>
      </c>
      <c r="R883">
        <v>6.3977530000000005E-2</v>
      </c>
      <c r="S883">
        <v>2.9562680000000001</v>
      </c>
      <c r="T883">
        <v>4.0753129999999999E-2</v>
      </c>
      <c r="U883">
        <v>0.76919559999999998</v>
      </c>
      <c r="V883">
        <v>-6.4698850000000002E-2</v>
      </c>
      <c r="W883">
        <v>3.1268089999999998E-2</v>
      </c>
      <c r="X883">
        <v>0.99741480000000005</v>
      </c>
      <c r="Y883">
        <v>-0.25248130000000002</v>
      </c>
      <c r="Z883">
        <v>-2.1191269999999999E-4</v>
      </c>
      <c r="AA883">
        <v>0.96760170000000001</v>
      </c>
      <c r="AB883">
        <v>33</v>
      </c>
      <c r="AC883">
        <v>92.281000000000006</v>
      </c>
      <c r="AD883">
        <v>1.2744690000000001</v>
      </c>
      <c r="AE883">
        <v>24.054500000000001</v>
      </c>
      <c r="AF883">
        <v>-24.114720122786299</v>
      </c>
      <c r="AG883">
        <v>1.2744690000000001</v>
      </c>
      <c r="AH883">
        <v>92.247680362538105</v>
      </c>
      <c r="AI883">
        <v>89.234197935617402</v>
      </c>
      <c r="AJ883">
        <v>104.650009494011</v>
      </c>
      <c r="AK883">
        <v>95.3560618424507</v>
      </c>
      <c r="AL883">
        <v>88.2081782796852</v>
      </c>
      <c r="AM883">
        <v>93.711379554473794</v>
      </c>
      <c r="AN883">
        <v>0.999999958951304</v>
      </c>
    </row>
    <row r="884" spans="1:40" x14ac:dyDescent="0.25">
      <c r="A884" t="str">
        <f>"20190305135809206"</f>
        <v>20190305135809206</v>
      </c>
      <c r="B884" t="str">
        <f>"1551765489199262"</f>
        <v>1551765489199262</v>
      </c>
      <c r="C884" t="s">
        <v>40</v>
      </c>
      <c r="D884">
        <v>3.9075139999999999</v>
      </c>
      <c r="E884">
        <v>0.4279946</v>
      </c>
      <c r="F884" t="s">
        <v>53</v>
      </c>
      <c r="G884">
        <v>-189.3176</v>
      </c>
      <c r="H884">
        <v>2.193241</v>
      </c>
      <c r="I884">
        <v>391.87</v>
      </c>
      <c r="J884">
        <v>-281.98759999999999</v>
      </c>
      <c r="K884">
        <v>1.059895</v>
      </c>
      <c r="L884">
        <v>367.81549999999999</v>
      </c>
      <c r="M884">
        <v>0.99992999999999999</v>
      </c>
      <c r="N884">
        <v>-1.1826110000000001E-2</v>
      </c>
      <c r="O884">
        <v>-5.1783069999999996E-4</v>
      </c>
      <c r="P884">
        <v>0.99781050000000004</v>
      </c>
      <c r="Q884">
        <v>1.7879530000000001E-2</v>
      </c>
      <c r="R884">
        <v>6.3678990000000005E-2</v>
      </c>
      <c r="S884">
        <v>2.956909</v>
      </c>
      <c r="T884">
        <v>3.6095500000000003E-2</v>
      </c>
      <c r="U884">
        <v>0.7661133</v>
      </c>
      <c r="V884">
        <v>-6.4217869999999996E-2</v>
      </c>
      <c r="W884">
        <v>2.9630920000000002E-2</v>
      </c>
      <c r="X884">
        <v>0.99749589999999999</v>
      </c>
      <c r="Y884">
        <v>-0.25131219999999999</v>
      </c>
      <c r="Z884" s="1">
        <v>-1.097121E-5</v>
      </c>
      <c r="AA884">
        <v>0.96790609999999999</v>
      </c>
      <c r="AB884">
        <v>33</v>
      </c>
      <c r="AC884">
        <v>92.67</v>
      </c>
      <c r="AD884">
        <v>1.133346</v>
      </c>
      <c r="AE884">
        <v>24.054500000000001</v>
      </c>
      <c r="AF884">
        <v>-24.0991105088418</v>
      </c>
      <c r="AG884">
        <v>1.133346</v>
      </c>
      <c r="AH884">
        <v>92.644548336623501</v>
      </c>
      <c r="AI884">
        <v>89.3216910555076</v>
      </c>
      <c r="AJ884">
        <v>104.580893988593</v>
      </c>
      <c r="AK884">
        <v>95.734340426881701</v>
      </c>
      <c r="AL884">
        <v>88.302024808383194</v>
      </c>
      <c r="AM884">
        <v>93.683566229658396</v>
      </c>
      <c r="AN884">
        <v>0.99999999838209597</v>
      </c>
    </row>
    <row r="885" spans="1:40" x14ac:dyDescent="0.25">
      <c r="A885" t="str">
        <f>"20190305135809216"</f>
        <v>20190305135809216</v>
      </c>
      <c r="B885" t="str">
        <f>"1551765489209023"</f>
        <v>1551765489209023</v>
      </c>
      <c r="C885" t="s">
        <v>40</v>
      </c>
      <c r="D885">
        <v>3.8683839999999998</v>
      </c>
      <c r="E885">
        <v>0.42834</v>
      </c>
      <c r="F885" t="s">
        <v>53</v>
      </c>
      <c r="G885">
        <v>-188.8321</v>
      </c>
      <c r="H885">
        <v>2.015593</v>
      </c>
      <c r="I885">
        <v>391.87</v>
      </c>
      <c r="J885">
        <v>-281.81319999999999</v>
      </c>
      <c r="K885">
        <v>1.05989</v>
      </c>
      <c r="L885">
        <v>367.81549999999999</v>
      </c>
      <c r="M885">
        <v>0.99993010000000004</v>
      </c>
      <c r="N885">
        <v>-1.182647E-2</v>
      </c>
      <c r="O885">
        <v>-3.3330199999999903E-4</v>
      </c>
      <c r="P885">
        <v>0.99784360000000005</v>
      </c>
      <c r="Q885">
        <v>1.5751310000000001E-2</v>
      </c>
      <c r="R885">
        <v>6.3718819999999995E-2</v>
      </c>
      <c r="S885">
        <v>2.9573360000000002</v>
      </c>
      <c r="T885">
        <v>3.0339720000000001E-2</v>
      </c>
      <c r="U885">
        <v>0.76364140000000003</v>
      </c>
      <c r="V885">
        <v>-6.4071929999999999E-2</v>
      </c>
      <c r="W885">
        <v>2.7503670000000001E-2</v>
      </c>
      <c r="X885">
        <v>0.99756619999999996</v>
      </c>
      <c r="Y885">
        <v>-0.2503435</v>
      </c>
      <c r="Z885">
        <v>2.336262E-4</v>
      </c>
      <c r="AA885">
        <v>0.96815709999999999</v>
      </c>
      <c r="AB885">
        <v>33</v>
      </c>
      <c r="AC885">
        <v>92.981099999999998</v>
      </c>
      <c r="AD885">
        <v>0.95570299999999997</v>
      </c>
      <c r="AE885">
        <v>24.054500000000001</v>
      </c>
      <c r="AF885">
        <v>-24.083106912383901</v>
      </c>
      <c r="AG885">
        <v>0.95570299999999997</v>
      </c>
      <c r="AH885">
        <v>92.9638716047629</v>
      </c>
      <c r="AI885">
        <v>89.429819772745503</v>
      </c>
      <c r="AJ885">
        <v>104.52369124691199</v>
      </c>
      <c r="AK885">
        <v>96.0374449395878</v>
      </c>
      <c r="AL885">
        <v>88.423957035286406</v>
      </c>
      <c r="AM885">
        <v>93.674959725979093</v>
      </c>
      <c r="AN885">
        <v>0.99999999372991599</v>
      </c>
    </row>
    <row r="886" spans="1:40" x14ac:dyDescent="0.25">
      <c r="A886" t="str">
        <f>"20190305135809228"</f>
        <v>20190305135809228</v>
      </c>
      <c r="B886" t="str">
        <f>"1551765489219758"</f>
        <v>1551765489219758</v>
      </c>
      <c r="C886" t="s">
        <v>40</v>
      </c>
      <c r="D886">
        <v>3.9071020000000001</v>
      </c>
      <c r="E886">
        <v>0.42877860000000001</v>
      </c>
      <c r="F886" t="s">
        <v>53</v>
      </c>
      <c r="G886">
        <v>-188.32239999999999</v>
      </c>
      <c r="H886">
        <v>1.7436240000000001</v>
      </c>
      <c r="I886">
        <v>391.87</v>
      </c>
      <c r="J886">
        <v>-281.65429999999998</v>
      </c>
      <c r="K886">
        <v>1.0598799999999999</v>
      </c>
      <c r="L886">
        <v>367.81569999999999</v>
      </c>
      <c r="M886">
        <v>0.99993010000000004</v>
      </c>
      <c r="N886">
        <v>-1.182677E-2</v>
      </c>
      <c r="O886">
        <v>-1.652236E-4</v>
      </c>
      <c r="P886">
        <v>0.99782969999999904</v>
      </c>
      <c r="Q886">
        <v>1.508761E-2</v>
      </c>
      <c r="R886">
        <v>6.409434E-2</v>
      </c>
      <c r="S886">
        <v>2.9575499999999999</v>
      </c>
      <c r="T886">
        <v>2.1629570000000001E-2</v>
      </c>
      <c r="U886">
        <v>0.76095579999999996</v>
      </c>
      <c r="V886">
        <v>-6.4278589999999997E-2</v>
      </c>
      <c r="W886">
        <v>2.6840630000000001E-2</v>
      </c>
      <c r="X886">
        <v>0.99757099999999999</v>
      </c>
      <c r="Y886">
        <v>-0.24934120000000001</v>
      </c>
      <c r="Z886">
        <v>5.9786759999999996E-4</v>
      </c>
      <c r="AA886">
        <v>0.96841549999999998</v>
      </c>
      <c r="AB886">
        <v>33</v>
      </c>
      <c r="AC886">
        <v>93.331900000000005</v>
      </c>
      <c r="AD886">
        <v>0.68374400000000002</v>
      </c>
      <c r="AE886">
        <v>24.054300000000001</v>
      </c>
      <c r="AF886">
        <v>-24.0685100974999</v>
      </c>
      <c r="AG886">
        <v>0.68374400000000002</v>
      </c>
      <c r="AH886">
        <v>93.323227476607101</v>
      </c>
      <c r="AI886">
        <v>89.593523294500102</v>
      </c>
      <c r="AJ886">
        <v>104.46171511627399</v>
      </c>
      <c r="AK886">
        <v>96.379383017435501</v>
      </c>
      <c r="AL886">
        <v>88.4619605150925</v>
      </c>
      <c r="AM886">
        <v>93.686762748318202</v>
      </c>
      <c r="AN886">
        <v>1.0000000282960899</v>
      </c>
    </row>
    <row r="887" spans="1:40" x14ac:dyDescent="0.25">
      <c r="A887" t="str">
        <f>"20190305135809239"</f>
        <v>20190305135809239</v>
      </c>
      <c r="B887" t="str">
        <f>"1551765489229517"</f>
        <v>1551765489229517</v>
      </c>
      <c r="C887" t="s">
        <v>40</v>
      </c>
      <c r="D887">
        <v>3.882069</v>
      </c>
      <c r="E887">
        <v>0.42902590000000002</v>
      </c>
      <c r="F887" t="s">
        <v>53</v>
      </c>
      <c r="G887">
        <v>-187.84440000000001</v>
      </c>
      <c r="H887">
        <v>1.5950740000000001</v>
      </c>
      <c r="I887">
        <v>391.87</v>
      </c>
      <c r="J887">
        <v>-281.49040000000002</v>
      </c>
      <c r="K887">
        <v>1.0598719999999999</v>
      </c>
      <c r="L887">
        <v>367.81580000000002</v>
      </c>
      <c r="M887">
        <v>0.99993010000000004</v>
      </c>
      <c r="N887">
        <v>-1.182708E-2</v>
      </c>
      <c r="O887" s="1">
        <v>8.0399950000000006E-6</v>
      </c>
      <c r="P887">
        <v>0.99782709999999997</v>
      </c>
      <c r="Q887">
        <v>1.383644E-2</v>
      </c>
      <c r="R887">
        <v>6.4417150000000006E-2</v>
      </c>
      <c r="S887">
        <v>2.9575499999999999</v>
      </c>
      <c r="T887">
        <v>1.6872999999999999E-2</v>
      </c>
      <c r="U887">
        <v>0.75836179999999997</v>
      </c>
      <c r="V887">
        <v>-6.4428150000000003E-2</v>
      </c>
      <c r="W887">
        <v>2.5589839999999999E-2</v>
      </c>
      <c r="X887">
        <v>0.99759419999999999</v>
      </c>
      <c r="Y887">
        <v>-0.2483765</v>
      </c>
      <c r="Z887">
        <v>7.9512530000000004E-4</v>
      </c>
      <c r="AA887">
        <v>0.96866319999999995</v>
      </c>
      <c r="AB887">
        <v>33</v>
      </c>
      <c r="AC887">
        <v>93.646000000000001</v>
      </c>
      <c r="AD887">
        <v>0.53520199999999996</v>
      </c>
      <c r="AE887">
        <v>24.054199999999899</v>
      </c>
      <c r="AF887">
        <v>-24.0527100247051</v>
      </c>
      <c r="AG887">
        <v>0.53520199999999996</v>
      </c>
      <c r="AH887">
        <v>93.643324044352596</v>
      </c>
      <c r="AI887">
        <v>89.682834640478504</v>
      </c>
      <c r="AJ887">
        <v>104.405275586353</v>
      </c>
      <c r="AK887">
        <v>96.684494303838505</v>
      </c>
      <c r="AL887">
        <v>88.533650112960501</v>
      </c>
      <c r="AM887">
        <v>93.695231470607695</v>
      </c>
      <c r="AN887">
        <v>1.0000000071486399</v>
      </c>
    </row>
    <row r="888" spans="1:40" x14ac:dyDescent="0.25">
      <c r="A888" t="str">
        <f>"20190305135809250"</f>
        <v>20190305135809250</v>
      </c>
      <c r="B888" t="str">
        <f>"1551765489239279"</f>
        <v>1551765489239279</v>
      </c>
      <c r="C888" t="s">
        <v>40</v>
      </c>
      <c r="D888">
        <v>3.8708650000000002</v>
      </c>
      <c r="E888">
        <v>0.42924469999999998</v>
      </c>
      <c r="F888" t="s">
        <v>53</v>
      </c>
      <c r="G888">
        <v>-187.56190000000001</v>
      </c>
      <c r="H888">
        <v>1.391157</v>
      </c>
      <c r="I888">
        <v>391.87</v>
      </c>
      <c r="J888">
        <v>-281.31119999999999</v>
      </c>
      <c r="K888">
        <v>1.05986</v>
      </c>
      <c r="L888">
        <v>367.81599999999997</v>
      </c>
      <c r="M888">
        <v>0.99993010000000004</v>
      </c>
      <c r="N888">
        <v>-1.182743E-2</v>
      </c>
      <c r="O888">
        <v>1.9787059999999999E-4</v>
      </c>
      <c r="P888">
        <v>0.99782000000000004</v>
      </c>
      <c r="Q888">
        <v>1.2678719999999999E-2</v>
      </c>
      <c r="R888">
        <v>6.4765210000000004E-2</v>
      </c>
      <c r="S888">
        <v>2.9574889999999998</v>
      </c>
      <c r="T888">
        <v>1.0431050000000001E-2</v>
      </c>
      <c r="U888">
        <v>0.75738530000000004</v>
      </c>
      <c r="V888">
        <v>-6.4585589999999998E-2</v>
      </c>
      <c r="W888">
        <v>2.4431959999999999E-2</v>
      </c>
      <c r="X888">
        <v>0.99761299999999997</v>
      </c>
      <c r="Y888">
        <v>-0.24789649999999999</v>
      </c>
      <c r="Z888">
        <v>1.0620779999999999E-3</v>
      </c>
      <c r="AA888">
        <v>0.96878589999999998</v>
      </c>
      <c r="AB888">
        <v>33</v>
      </c>
      <c r="AC888">
        <v>93.749299999999906</v>
      </c>
      <c r="AD888">
        <v>0.33129699999999901</v>
      </c>
      <c r="AE888">
        <v>24.053999999999998</v>
      </c>
      <c r="AF888">
        <v>-24.035166386480199</v>
      </c>
      <c r="AG888">
        <v>0.33129699999999901</v>
      </c>
      <c r="AH888">
        <v>93.752959589112507</v>
      </c>
      <c r="AI888">
        <v>89.803875851749595</v>
      </c>
      <c r="AJ888">
        <v>104.379069851265</v>
      </c>
      <c r="AK888">
        <v>96.785414255691194</v>
      </c>
      <c r="AL888">
        <v>88.600012444759301</v>
      </c>
      <c r="AM888">
        <v>93.704166609466895</v>
      </c>
      <c r="AN888">
        <v>0.99999995843704403</v>
      </c>
    </row>
    <row r="889" spans="1:40" x14ac:dyDescent="0.25">
      <c r="A889" t="str">
        <f>"20190305135809263"</f>
        <v>20190305135809263</v>
      </c>
      <c r="B889" t="str">
        <f>"1551765489259774"</f>
        <v>1551765489259774</v>
      </c>
      <c r="C889" t="s">
        <v>40</v>
      </c>
      <c r="D889">
        <v>3.892604</v>
      </c>
      <c r="E889">
        <v>0.42958859999999899</v>
      </c>
      <c r="F889" t="s">
        <v>53</v>
      </c>
      <c r="G889">
        <v>-187.27260000000001</v>
      </c>
      <c r="H889">
        <v>1.1841010000000001</v>
      </c>
      <c r="I889">
        <v>391.87</v>
      </c>
      <c r="J889">
        <v>-281.12799999999999</v>
      </c>
      <c r="K889">
        <v>1.0599190000000001</v>
      </c>
      <c r="L889">
        <v>367.81630000000001</v>
      </c>
      <c r="M889">
        <v>0.9999268</v>
      </c>
      <c r="N889">
        <v>-1.209729E-2</v>
      </c>
      <c r="O889">
        <v>3.7980810000000001E-4</v>
      </c>
      <c r="P889">
        <v>0.99779609999999996</v>
      </c>
      <c r="Q889">
        <v>1.15064E-2</v>
      </c>
      <c r="R889">
        <v>6.5350530000000004E-2</v>
      </c>
      <c r="S889">
        <v>2.9573969999999998</v>
      </c>
      <c r="T889">
        <v>3.9072040000000001E-3</v>
      </c>
      <c r="U889">
        <v>0.75646969999999902</v>
      </c>
      <c r="V889">
        <v>-6.4988470000000007E-2</v>
      </c>
      <c r="W889">
        <v>2.352957E-2</v>
      </c>
      <c r="X889">
        <v>0.99760850000000001</v>
      </c>
      <c r="Y889">
        <v>-0.2474441</v>
      </c>
      <c r="Z889">
        <v>1.364613E-3</v>
      </c>
      <c r="AA889">
        <v>0.96890120000000002</v>
      </c>
      <c r="AB889">
        <v>33</v>
      </c>
      <c r="AC889">
        <v>93.855399999999904</v>
      </c>
      <c r="AD889">
        <v>0.124182</v>
      </c>
      <c r="AE889">
        <v>24.0536999999999</v>
      </c>
      <c r="AF889">
        <v>-24.018009161130799</v>
      </c>
      <c r="AG889">
        <v>0.124182</v>
      </c>
      <c r="AH889">
        <v>93.864375492108707</v>
      </c>
      <c r="AI889">
        <v>89.926564050853798</v>
      </c>
      <c r="AJ889">
        <v>104.35287959559101</v>
      </c>
      <c r="AK889">
        <v>96.888601867076503</v>
      </c>
      <c r="AL889">
        <v>88.651730422644803</v>
      </c>
      <c r="AM889">
        <v>93.727224753482204</v>
      </c>
      <c r="AN889">
        <v>0.99999993058478498</v>
      </c>
    </row>
    <row r="890" spans="1:40" x14ac:dyDescent="0.25">
      <c r="A890" t="str">
        <f>"20190305135809277"</f>
        <v>20190305135809277</v>
      </c>
      <c r="B890" t="str">
        <f>"1551765489269534"</f>
        <v>1551765489269534</v>
      </c>
      <c r="C890" t="s">
        <v>40</v>
      </c>
      <c r="D890">
        <v>3.921646</v>
      </c>
      <c r="E890">
        <v>0.42975999999999998</v>
      </c>
      <c r="F890" t="s">
        <v>53</v>
      </c>
      <c r="G890">
        <v>-186.96420000000001</v>
      </c>
      <c r="H890">
        <v>0.96263310000000002</v>
      </c>
      <c r="I890">
        <v>391.87</v>
      </c>
      <c r="J890">
        <v>-280.92489999999998</v>
      </c>
      <c r="K890">
        <v>1.06009</v>
      </c>
      <c r="L890">
        <v>367.81650000000002</v>
      </c>
      <c r="M890">
        <v>0.99991799999999997</v>
      </c>
      <c r="N890">
        <v>-1.2791510000000001E-2</v>
      </c>
      <c r="O890">
        <v>5.6385140000000001E-4</v>
      </c>
      <c r="P890">
        <v>0.99779479999999998</v>
      </c>
      <c r="Q890">
        <v>9.4233939999999999E-3</v>
      </c>
      <c r="R890">
        <v>6.5703910000000004E-2</v>
      </c>
      <c r="S890">
        <v>2.9571839999999998</v>
      </c>
      <c r="T890">
        <v>-3.0553339999999998E-3</v>
      </c>
      <c r="U890">
        <v>0.75540160000000001</v>
      </c>
      <c r="V890">
        <v>-6.5156539999999999E-2</v>
      </c>
      <c r="W890">
        <v>2.214137E-2</v>
      </c>
      <c r="X890">
        <v>0.9976294</v>
      </c>
      <c r="Y890">
        <v>-0.24695049999999999</v>
      </c>
      <c r="Z890">
        <v>1.7365480000000001E-3</v>
      </c>
      <c r="AA890">
        <v>0.96902659999999996</v>
      </c>
      <c r="AB890">
        <v>33</v>
      </c>
      <c r="AC890">
        <v>93.960699999999903</v>
      </c>
      <c r="AD890">
        <v>-9.7456899999999902E-2</v>
      </c>
      <c r="AE890">
        <v>24.0534999999999</v>
      </c>
      <c r="AF890">
        <v>-24.000487735409902</v>
      </c>
      <c r="AG890">
        <v>-9.7456899999999902E-2</v>
      </c>
      <c r="AH890">
        <v>93.974153891037901</v>
      </c>
      <c r="AI890">
        <v>90.057571255168199</v>
      </c>
      <c r="AJ890">
        <v>104.326776247361</v>
      </c>
      <c r="AK890">
        <v>96.990589795718805</v>
      </c>
      <c r="AL890">
        <v>88.731289291804103</v>
      </c>
      <c r="AM890">
        <v>93.736758579838806</v>
      </c>
      <c r="AN890">
        <v>1.0000000173573</v>
      </c>
    </row>
    <row r="891" spans="1:40" x14ac:dyDescent="0.25">
      <c r="A891" t="str">
        <f>"20190305135809290"</f>
        <v>20190305135809290</v>
      </c>
      <c r="B891" t="str">
        <f>"1551765489279294"</f>
        <v>1551765489279294</v>
      </c>
      <c r="C891" t="s">
        <v>40</v>
      </c>
      <c r="D891">
        <v>3.8633329999999999</v>
      </c>
      <c r="E891">
        <v>0.42999029999999999</v>
      </c>
      <c r="F891" t="s">
        <v>53</v>
      </c>
      <c r="G891">
        <v>-186.6936</v>
      </c>
      <c r="H891">
        <v>0.70460129999999999</v>
      </c>
      <c r="I891">
        <v>391.87</v>
      </c>
      <c r="J891">
        <v>-280.73739999999998</v>
      </c>
      <c r="K891">
        <v>1.060457</v>
      </c>
      <c r="L891">
        <v>367.8168</v>
      </c>
      <c r="M891">
        <v>0.99990769999999995</v>
      </c>
      <c r="N891">
        <v>-1.35809E-2</v>
      </c>
      <c r="O891">
        <v>7.3196310000000001E-4</v>
      </c>
      <c r="P891">
        <v>0.99777090000000002</v>
      </c>
      <c r="Q891">
        <v>7.5519979999999999E-3</v>
      </c>
      <c r="R891">
        <v>6.6306519999999994E-2</v>
      </c>
      <c r="S891">
        <v>2.9570620000000001</v>
      </c>
      <c r="T891">
        <v>-1.1155719999999999E-2</v>
      </c>
      <c r="U891">
        <v>0.75482179999999999</v>
      </c>
      <c r="V891">
        <v>-6.5590019999999999E-2</v>
      </c>
      <c r="W891">
        <v>2.1059209999999998E-2</v>
      </c>
      <c r="X891">
        <v>0.99762439999999997</v>
      </c>
      <c r="Y891">
        <v>-0.24661259999999999</v>
      </c>
      <c r="Z891">
        <v>2.1660490000000002E-3</v>
      </c>
      <c r="AA891">
        <v>0.96911170000000002</v>
      </c>
      <c r="AB891">
        <v>33</v>
      </c>
      <c r="AC891">
        <v>94.043799999999905</v>
      </c>
      <c r="AD891">
        <v>-0.355855699999999</v>
      </c>
      <c r="AE891">
        <v>24.0532</v>
      </c>
      <c r="AF891">
        <v>-23.984028305887701</v>
      </c>
      <c r="AG891">
        <v>-0.355855699999999</v>
      </c>
      <c r="AH891">
        <v>94.0601184001451</v>
      </c>
      <c r="AI891">
        <v>90.210044169369795</v>
      </c>
      <c r="AJ891">
        <v>104.304807231666</v>
      </c>
      <c r="AK891">
        <v>97.070418359591699</v>
      </c>
      <c r="AL891">
        <v>88.793306933788998</v>
      </c>
      <c r="AM891">
        <v>93.761566525244007</v>
      </c>
      <c r="AN891">
        <v>0.999999992262392</v>
      </c>
    </row>
    <row r="892" spans="1:40" x14ac:dyDescent="0.25">
      <c r="A892" t="str">
        <f>"20190305135809301"</f>
        <v>20190305135809301</v>
      </c>
      <c r="B892" t="str">
        <f>"1551765489299791"</f>
        <v>1551765489299791</v>
      </c>
      <c r="C892" t="s">
        <v>40</v>
      </c>
      <c r="D892">
        <v>3.9123049999999999</v>
      </c>
      <c r="E892">
        <v>0.43035620000000002</v>
      </c>
      <c r="F892" t="s">
        <v>53</v>
      </c>
      <c r="G892">
        <v>-186.52</v>
      </c>
      <c r="H892">
        <v>0.54591940000000005</v>
      </c>
      <c r="I892">
        <v>391.87</v>
      </c>
      <c r="J892">
        <v>-280.57089999999999</v>
      </c>
      <c r="K892">
        <v>1.060791</v>
      </c>
      <c r="L892">
        <v>367.81709999999998</v>
      </c>
      <c r="M892">
        <v>0.99990120000000005</v>
      </c>
      <c r="N892">
        <v>-1.403888E-2</v>
      </c>
      <c r="O892">
        <v>8.8451190000000002E-4</v>
      </c>
      <c r="P892">
        <v>0.99774160000000001</v>
      </c>
      <c r="Q892">
        <v>5.7455060000000001E-3</v>
      </c>
      <c r="R892">
        <v>6.6927399999999901E-2</v>
      </c>
      <c r="S892">
        <v>2.9566650000000001</v>
      </c>
      <c r="T892">
        <v>-1.6146899999999999E-2</v>
      </c>
      <c r="U892">
        <v>0.75482179999999999</v>
      </c>
      <c r="V892">
        <v>-6.6058019999999995E-2</v>
      </c>
      <c r="W892">
        <v>1.9710519999999999E-2</v>
      </c>
      <c r="X892">
        <v>0.99762110000000004</v>
      </c>
      <c r="Y892">
        <v>-0.24649099999999999</v>
      </c>
      <c r="Z892">
        <v>2.4275780000000001E-3</v>
      </c>
      <c r="AA892">
        <v>0.96914199999999995</v>
      </c>
      <c r="AB892">
        <v>33</v>
      </c>
      <c r="AC892">
        <v>94.050899999999899</v>
      </c>
      <c r="AD892">
        <v>-0.51487159999999998</v>
      </c>
      <c r="AE892">
        <v>24.052900000000001</v>
      </c>
      <c r="AF892">
        <v>-23.969019032226999</v>
      </c>
      <c r="AG892">
        <v>-0.51487159999999998</v>
      </c>
      <c r="AH892">
        <v>94.069494272550699</v>
      </c>
      <c r="AI892">
        <v>90.303885132416198</v>
      </c>
      <c r="AJ892">
        <v>104.29485580927</v>
      </c>
      <c r="AK892">
        <v>97.076509613939095</v>
      </c>
      <c r="AL892">
        <v>88.870597268801205</v>
      </c>
      <c r="AM892">
        <v>93.788340790084504</v>
      </c>
      <c r="AN892">
        <v>1.0000000128851001</v>
      </c>
    </row>
    <row r="893" spans="1:40" x14ac:dyDescent="0.25">
      <c r="A893" t="str">
        <f>"20190305135809312"</f>
        <v>20190305135809312</v>
      </c>
      <c r="B893" t="str">
        <f>"1551765489309550"</f>
        <v>1551765489309550</v>
      </c>
      <c r="C893" t="s">
        <v>40</v>
      </c>
      <c r="D893">
        <v>4.0687490000000004</v>
      </c>
      <c r="E893">
        <v>0.43035620000000002</v>
      </c>
      <c r="F893" t="s">
        <v>53</v>
      </c>
      <c r="G893">
        <v>-186.21940000000001</v>
      </c>
      <c r="H893">
        <v>0.35541529999999999</v>
      </c>
      <c r="I893">
        <v>391.87</v>
      </c>
      <c r="J893">
        <v>-280.40879999999999</v>
      </c>
      <c r="K893">
        <v>1.0611079999999999</v>
      </c>
      <c r="L893">
        <v>367.81740000000002</v>
      </c>
      <c r="M893">
        <v>0.99990279999999998</v>
      </c>
      <c r="N893">
        <v>-1.391186E-2</v>
      </c>
      <c r="O893">
        <v>1.0404629999999999E-3</v>
      </c>
      <c r="P893">
        <v>0.99771739999999998</v>
      </c>
      <c r="Q893">
        <v>4.6958420000000004E-3</v>
      </c>
      <c r="R893">
        <v>6.7367750000000004E-2</v>
      </c>
      <c r="S893">
        <v>2.9563600000000001</v>
      </c>
      <c r="T893">
        <v>-2.2101880000000001E-2</v>
      </c>
      <c r="U893">
        <v>0.7536621</v>
      </c>
      <c r="V893">
        <v>-6.6342079999999998E-2</v>
      </c>
      <c r="W893">
        <v>1.8532949999999999E-2</v>
      </c>
      <c r="X893">
        <v>0.99762479999999998</v>
      </c>
      <c r="Y893">
        <v>-0.24600050000000001</v>
      </c>
      <c r="Z893">
        <v>2.6499100000000001E-3</v>
      </c>
      <c r="AA893">
        <v>0.96926610000000002</v>
      </c>
      <c r="AB893">
        <v>33</v>
      </c>
      <c r="AC893">
        <v>94.189399999999907</v>
      </c>
      <c r="AD893">
        <v>-0.70569269999999995</v>
      </c>
      <c r="AE893">
        <v>24.052599999999899</v>
      </c>
      <c r="AF893">
        <v>-23.953314634624899</v>
      </c>
      <c r="AG893">
        <v>-0.70569269999999995</v>
      </c>
      <c r="AH893">
        <v>94.2094126480266</v>
      </c>
      <c r="AI893">
        <v>90.415942874086397</v>
      </c>
      <c r="AJ893">
        <v>104.265522862859</v>
      </c>
      <c r="AK893">
        <v>97.209427092532195</v>
      </c>
      <c r="AL893">
        <v>88.938079378648396</v>
      </c>
      <c r="AM893">
        <v>93.804569447272598</v>
      </c>
      <c r="AN893">
        <v>0.99999999169473397</v>
      </c>
    </row>
    <row r="894" spans="1:40" x14ac:dyDescent="0.25">
      <c r="A894" t="str">
        <f>"20190305135809323"</f>
        <v>20190305135809323</v>
      </c>
      <c r="B894" t="str">
        <f>"1551765489319310"</f>
        <v>1551765489319310</v>
      </c>
      <c r="C894" t="s">
        <v>40</v>
      </c>
      <c r="D894">
        <v>4.0885720000000001</v>
      </c>
      <c r="E894">
        <v>0.45574130000000002</v>
      </c>
      <c r="F894" t="s">
        <v>53</v>
      </c>
      <c r="G894">
        <v>-186.2379</v>
      </c>
      <c r="H894">
        <v>0.26014710000000002</v>
      </c>
      <c r="I894">
        <v>391.87</v>
      </c>
      <c r="J894">
        <v>-280.25619999999998</v>
      </c>
      <c r="K894">
        <v>1.06141</v>
      </c>
      <c r="L894">
        <v>367.8177</v>
      </c>
      <c r="M894">
        <v>0.99990889999999999</v>
      </c>
      <c r="N894">
        <v>-1.3455389999999999E-2</v>
      </c>
      <c r="O894">
        <v>1.183555E-3</v>
      </c>
      <c r="P894">
        <v>0.99770150000000002</v>
      </c>
      <c r="Q894">
        <v>4.1429589999999999E-3</v>
      </c>
      <c r="R894">
        <v>6.7637870000000003E-2</v>
      </c>
      <c r="S894">
        <v>2.955994</v>
      </c>
      <c r="T894">
        <v>-2.5142069999999999E-2</v>
      </c>
      <c r="U894">
        <v>0.75500489999999998</v>
      </c>
      <c r="V894">
        <v>-6.6468890000000003E-2</v>
      </c>
      <c r="W894">
        <v>1.7523179999999999E-2</v>
      </c>
      <c r="X894">
        <v>0.99763460000000004</v>
      </c>
      <c r="Y894">
        <v>-0.24630079999999999</v>
      </c>
      <c r="Z894">
        <v>2.7200190000000002E-3</v>
      </c>
      <c r="AA894">
        <v>0.96918959999999998</v>
      </c>
      <c r="AB894">
        <v>33</v>
      </c>
      <c r="AC894">
        <v>94.018299999999897</v>
      </c>
      <c r="AD894">
        <v>-0.8012629</v>
      </c>
      <c r="AE894">
        <v>24.052299999999999</v>
      </c>
      <c r="AF894">
        <v>-23.939365314092601</v>
      </c>
      <c r="AG894">
        <v>-0.8012629</v>
      </c>
      <c r="AH894">
        <v>94.040293201141495</v>
      </c>
      <c r="AI894">
        <v>90.473084939536605</v>
      </c>
      <c r="AJ894">
        <v>104.282146356882</v>
      </c>
      <c r="AK894">
        <v>97.042835795504104</v>
      </c>
      <c r="AL894">
        <v>88.995944338436502</v>
      </c>
      <c r="AM894">
        <v>93.811782963146101</v>
      </c>
      <c r="AN894">
        <v>0.99999998514615196</v>
      </c>
    </row>
    <row r="895" spans="1:40" x14ac:dyDescent="0.25">
      <c r="A895" t="str">
        <f>"20190305135809333"</f>
        <v>20190305135809333</v>
      </c>
      <c r="B895" t="str">
        <f>"1551765489329070"</f>
        <v>1551765489329070</v>
      </c>
      <c r="C895" t="s">
        <v>40</v>
      </c>
      <c r="D895">
        <v>4.0390309999999996</v>
      </c>
      <c r="E895">
        <v>0.46526699999999999</v>
      </c>
      <c r="F895" t="s">
        <v>54</v>
      </c>
      <c r="G895">
        <v>184.33510000000001</v>
      </c>
      <c r="H895">
        <v>-0.1</v>
      </c>
      <c r="I895">
        <v>454.5659</v>
      </c>
      <c r="J895">
        <v>-280.08920000000001</v>
      </c>
      <c r="K895">
        <v>1.061752</v>
      </c>
      <c r="L895">
        <v>367.81810000000002</v>
      </c>
      <c r="M895">
        <v>0.99992049999999999</v>
      </c>
      <c r="N895">
        <v>-1.2547930000000001E-2</v>
      </c>
      <c r="O895">
        <v>1.3356939999999999E-3</v>
      </c>
      <c r="P895">
        <v>0.99768869999999998</v>
      </c>
      <c r="Q895">
        <v>3.5058540000000001E-3</v>
      </c>
      <c r="R895">
        <v>6.7860399999999904E-2</v>
      </c>
      <c r="S895">
        <v>2.9693909999999999</v>
      </c>
      <c r="T895">
        <v>-7.4230429999999998E-3</v>
      </c>
      <c r="U895">
        <v>0.55444340000000003</v>
      </c>
      <c r="V895">
        <v>-6.6539089999999995E-2</v>
      </c>
      <c r="W895">
        <v>1.597939E-2</v>
      </c>
      <c r="X895">
        <v>0.99765590000000004</v>
      </c>
      <c r="Y895">
        <v>-0.1822307</v>
      </c>
      <c r="Z895">
        <v>1.3922909999999999E-3</v>
      </c>
      <c r="AA895">
        <v>0.98325479999999998</v>
      </c>
      <c r="AB895">
        <v>33</v>
      </c>
      <c r="AC895">
        <v>464.42430000000002</v>
      </c>
      <c r="AD895">
        <v>-1.1617519999999999</v>
      </c>
      <c r="AE895">
        <v>86.747799999999899</v>
      </c>
      <c r="AF895">
        <v>-86.126824322931597</v>
      </c>
      <c r="AG895">
        <v>-1.1617519999999999</v>
      </c>
      <c r="AH895">
        <v>464.53695445727402</v>
      </c>
      <c r="AI895">
        <v>90.140888652605298</v>
      </c>
      <c r="AJ895">
        <v>100.503575933009</v>
      </c>
      <c r="AK895">
        <v>472.455036582427</v>
      </c>
      <c r="AL895">
        <v>89.084409465834995</v>
      </c>
      <c r="AM895">
        <v>93.815715599957798</v>
      </c>
      <c r="AN895">
        <v>1.0000000431038001</v>
      </c>
    </row>
    <row r="896" spans="1:40" x14ac:dyDescent="0.25">
      <c r="A896" t="str">
        <f>"20190305135809345"</f>
        <v>20190305135809345</v>
      </c>
      <c r="B896" t="str">
        <f>"1551765489339806"</f>
        <v>1551765489339806</v>
      </c>
      <c r="C896" t="s">
        <v>40</v>
      </c>
      <c r="D896">
        <v>4.019781</v>
      </c>
      <c r="E896">
        <v>0.47145979999999998</v>
      </c>
      <c r="F896" t="s">
        <v>54</v>
      </c>
      <c r="G896">
        <v>-19.039149999999999</v>
      </c>
      <c r="H896">
        <v>-0.1</v>
      </c>
      <c r="I896">
        <v>409.86009999999999</v>
      </c>
      <c r="J896">
        <v>-279.92540000000002</v>
      </c>
      <c r="K896">
        <v>1.0621860000000001</v>
      </c>
      <c r="L896">
        <v>367.81849999999997</v>
      </c>
      <c r="M896">
        <v>0.99993220000000005</v>
      </c>
      <c r="N896">
        <v>-1.155371E-2</v>
      </c>
      <c r="O896">
        <v>1.485281E-3</v>
      </c>
      <c r="P896">
        <v>0.99768699999999999</v>
      </c>
      <c r="Q896">
        <v>3.5683120000000001E-3</v>
      </c>
      <c r="R896">
        <v>6.788305E-2</v>
      </c>
      <c r="S896">
        <v>2.9744570000000001</v>
      </c>
      <c r="T896">
        <v>-1.3237240000000001E-2</v>
      </c>
      <c r="U896">
        <v>0.47903440000000003</v>
      </c>
      <c r="V896">
        <v>-6.6411609999999996E-2</v>
      </c>
      <c r="W896">
        <v>1.504919E-2</v>
      </c>
      <c r="X896">
        <v>0.99767879999999998</v>
      </c>
      <c r="Y896">
        <v>-0.15752840000000001</v>
      </c>
      <c r="Z896">
        <v>1.274655E-3</v>
      </c>
      <c r="AA896">
        <v>0.98751369999999905</v>
      </c>
      <c r="AB896">
        <v>33</v>
      </c>
      <c r="AC896">
        <v>260.88625000000002</v>
      </c>
      <c r="AD896">
        <v>-1.1621859999999999</v>
      </c>
      <c r="AE896">
        <v>42.041600000000003</v>
      </c>
      <c r="AF896">
        <v>-41.6532327028754</v>
      </c>
      <c r="AG896">
        <v>-1.1621859999999999</v>
      </c>
      <c r="AH896">
        <v>260.94336263028401</v>
      </c>
      <c r="AI896">
        <v>90.251991302609497</v>
      </c>
      <c r="AJ896">
        <v>99.069357872736703</v>
      </c>
      <c r="AK896">
        <v>264.249467306366</v>
      </c>
      <c r="AL896">
        <v>89.137712363823496</v>
      </c>
      <c r="AM896">
        <v>93.808339574503904</v>
      </c>
      <c r="AN896">
        <v>0.99999998401594403</v>
      </c>
    </row>
    <row r="897" spans="1:40" x14ac:dyDescent="0.25">
      <c r="A897" t="str">
        <f>"20190305135809356"</f>
        <v>20190305135809356</v>
      </c>
      <c r="B897" t="str">
        <f>"1551765489349566"</f>
        <v>1551765489349566</v>
      </c>
      <c r="C897" t="s">
        <v>40</v>
      </c>
      <c r="D897">
        <v>4.032489</v>
      </c>
      <c r="E897">
        <v>0.47545090000000001</v>
      </c>
      <c r="F897" t="s">
        <v>44</v>
      </c>
      <c r="G897">
        <v>-169.2955</v>
      </c>
      <c r="H897">
        <v>0.61446190000000001</v>
      </c>
      <c r="I897">
        <v>383.78660000000002</v>
      </c>
      <c r="J897">
        <v>-279.76510000000002</v>
      </c>
      <c r="K897">
        <v>1.062654</v>
      </c>
      <c r="L897">
        <v>367.81889999999999</v>
      </c>
      <c r="M897">
        <v>0.99994340000000004</v>
      </c>
      <c r="N897">
        <v>-1.052668E-2</v>
      </c>
      <c r="O897">
        <v>1.631565E-3</v>
      </c>
      <c r="P897">
        <v>0.99768809999999997</v>
      </c>
      <c r="Q897">
        <v>4.9311889999999999E-3</v>
      </c>
      <c r="R897">
        <v>6.7781899999999895E-2</v>
      </c>
      <c r="S897">
        <v>2.977814</v>
      </c>
      <c r="T897">
        <v>-1.2048959999999999E-2</v>
      </c>
      <c r="U897">
        <v>0.42980960000000001</v>
      </c>
      <c r="V897">
        <v>-6.6164849999999997E-2</v>
      </c>
      <c r="W897">
        <v>1.538723E-2</v>
      </c>
      <c r="X897">
        <v>0.99769010000000002</v>
      </c>
      <c r="Y897">
        <v>-0.14123769999999999</v>
      </c>
      <c r="Z897">
        <v>1.0420329999999999E-3</v>
      </c>
      <c r="AA897">
        <v>0.98997520000000006</v>
      </c>
      <c r="AB897">
        <v>33</v>
      </c>
      <c r="AC897">
        <v>110.4696</v>
      </c>
      <c r="AD897">
        <v>-0.44819209999999898</v>
      </c>
      <c r="AE897">
        <v>15.967700000000001</v>
      </c>
      <c r="AF897">
        <v>-15.787175903064901</v>
      </c>
      <c r="AG897">
        <v>-0.44819209999999898</v>
      </c>
      <c r="AH897">
        <v>110.493725169599</v>
      </c>
      <c r="AI897">
        <v>90.230069272966006</v>
      </c>
      <c r="AJ897">
        <v>98.131300632170493</v>
      </c>
      <c r="AK897">
        <v>111.61675098751</v>
      </c>
      <c r="AL897">
        <v>89.118341908649001</v>
      </c>
      <c r="AM897">
        <v>93.794187810501299</v>
      </c>
      <c r="AN897">
        <v>1.0000000449302999</v>
      </c>
    </row>
    <row r="898" spans="1:40" x14ac:dyDescent="0.25">
      <c r="A898" t="str">
        <f>"20190305135809368"</f>
        <v>20190305135809368</v>
      </c>
      <c r="B898" t="str">
        <f>"1551765489359327"</f>
        <v>1551765489359327</v>
      </c>
      <c r="C898" t="s">
        <v>40</v>
      </c>
      <c r="D898">
        <v>3.9956589999999998</v>
      </c>
      <c r="E898">
        <v>0.47791630000000002</v>
      </c>
      <c r="F898" t="s">
        <v>44</v>
      </c>
      <c r="G898">
        <v>-169.2955</v>
      </c>
      <c r="H898">
        <v>0.79086299999999998</v>
      </c>
      <c r="I898">
        <v>382.56209999999999</v>
      </c>
      <c r="J898">
        <v>-279.58499999999998</v>
      </c>
      <c r="K898">
        <v>1.063334</v>
      </c>
      <c r="L898">
        <v>367.81939999999997</v>
      </c>
      <c r="M898">
        <v>0.9999538</v>
      </c>
      <c r="N898">
        <v>-9.4505309999999999E-3</v>
      </c>
      <c r="O898">
        <v>1.801878E-3</v>
      </c>
      <c r="P898">
        <v>0.99770300000000001</v>
      </c>
      <c r="Q898">
        <v>6.9933699999999996E-3</v>
      </c>
      <c r="R898">
        <v>6.7380239999999994E-2</v>
      </c>
      <c r="S898">
        <v>2.9799799999999999</v>
      </c>
      <c r="T898">
        <v>-7.3293450000000001E-3</v>
      </c>
      <c r="U898">
        <v>0.39770509999999998</v>
      </c>
      <c r="V898">
        <v>-6.5593860000000004E-2</v>
      </c>
      <c r="W898">
        <v>1.6377969999999999E-2</v>
      </c>
      <c r="X898">
        <v>0.99771200000000004</v>
      </c>
      <c r="Y898">
        <v>-0.1304979</v>
      </c>
      <c r="Z898">
        <v>7.9169229999999998E-4</v>
      </c>
      <c r="AA898">
        <v>0.99144829999999995</v>
      </c>
      <c r="AB898">
        <v>33</v>
      </c>
      <c r="AC898">
        <v>110.28949999999899</v>
      </c>
      <c r="AD898">
        <v>-0.27247100000000002</v>
      </c>
      <c r="AE898">
        <v>14.742699999999999</v>
      </c>
      <c r="AF898">
        <v>-14.5438517733709</v>
      </c>
      <c r="AG898">
        <v>-0.27247100000000002</v>
      </c>
      <c r="AH898">
        <v>110.315225193887</v>
      </c>
      <c r="AI898">
        <v>90.140302261033</v>
      </c>
      <c r="AJ898">
        <v>97.510504921500001</v>
      </c>
      <c r="AK898">
        <v>111.270152217158</v>
      </c>
      <c r="AL898">
        <v>89.061569497864895</v>
      </c>
      <c r="AM898">
        <v>93.761456775768096</v>
      </c>
      <c r="AN898">
        <v>1.00000001365751</v>
      </c>
    </row>
    <row r="899" spans="1:40" x14ac:dyDescent="0.25">
      <c r="A899" t="str">
        <f>"20190305135809378"</f>
        <v>20190305135809378</v>
      </c>
      <c r="B899" t="str">
        <f>"1551765489369087"</f>
        <v>1551765489369087</v>
      </c>
      <c r="C899" t="s">
        <v>40</v>
      </c>
      <c r="D899">
        <v>4.0230129999999997</v>
      </c>
      <c r="E899">
        <v>0.47914089999999998</v>
      </c>
      <c r="F899" t="s">
        <v>45</v>
      </c>
      <c r="G899">
        <v>-180.0145</v>
      </c>
      <c r="H899">
        <v>1.136717</v>
      </c>
      <c r="I899">
        <v>380.4074</v>
      </c>
      <c r="J899">
        <v>-279.42579999999998</v>
      </c>
      <c r="K899">
        <v>1.0639689999999999</v>
      </c>
      <c r="L899">
        <v>367.81990000000002</v>
      </c>
      <c r="M899">
        <v>0.99996180000000001</v>
      </c>
      <c r="N899">
        <v>-8.5192140000000006E-3</v>
      </c>
      <c r="O899">
        <v>1.9538929999999999E-3</v>
      </c>
      <c r="P899">
        <v>0.99773750000000005</v>
      </c>
      <c r="Q899">
        <v>8.4253479999999992E-3</v>
      </c>
      <c r="R899">
        <v>6.6700930000000005E-2</v>
      </c>
      <c r="S899">
        <v>2.9814449999999999</v>
      </c>
      <c r="T899">
        <v>2.20119999999999E-3</v>
      </c>
      <c r="U899">
        <v>0.3769226</v>
      </c>
      <c r="V899">
        <v>-6.476266E-2</v>
      </c>
      <c r="W899">
        <v>1.6882399999999999E-2</v>
      </c>
      <c r="X899">
        <v>0.99775789999999998</v>
      </c>
      <c r="Y899">
        <v>-0.1234861</v>
      </c>
      <c r="Z899">
        <v>5.0070919999999997E-4</v>
      </c>
      <c r="AA899">
        <v>0.99234619999999996</v>
      </c>
      <c r="AB899">
        <v>33</v>
      </c>
      <c r="AC899">
        <v>99.411299999999898</v>
      </c>
      <c r="AD899">
        <v>7.2747999999999993E-2</v>
      </c>
      <c r="AE899">
        <v>12.587499999999901</v>
      </c>
      <c r="AF899">
        <v>-12.3932233459904</v>
      </c>
      <c r="AG899">
        <v>7.2747999999999993E-2</v>
      </c>
      <c r="AH899">
        <v>99.435653336727</v>
      </c>
      <c r="AI899">
        <v>89.9584037441291</v>
      </c>
      <c r="AJ899">
        <v>97.104458639631403</v>
      </c>
      <c r="AK899">
        <v>100.20502198830501</v>
      </c>
      <c r="AL899">
        <v>89.032663798839096</v>
      </c>
      <c r="AM899">
        <v>93.713755785226795</v>
      </c>
      <c r="AN899">
        <v>1.00000002228622</v>
      </c>
    </row>
    <row r="900" spans="1:40" x14ac:dyDescent="0.25">
      <c r="A900" t="str">
        <f>"20190305135809389"</f>
        <v>20190305135809389</v>
      </c>
      <c r="B900" t="str">
        <f>"1551765489379822"</f>
        <v>1551765489379822</v>
      </c>
      <c r="C900" t="s">
        <v>40</v>
      </c>
      <c r="D900">
        <v>4.039269</v>
      </c>
      <c r="E900">
        <v>0.4801453</v>
      </c>
      <c r="F900" t="s">
        <v>44</v>
      </c>
      <c r="G900">
        <v>-168.7825</v>
      </c>
      <c r="H900">
        <v>1.6018399999999999</v>
      </c>
      <c r="I900">
        <v>381.38529999999997</v>
      </c>
      <c r="J900">
        <v>-279.2595</v>
      </c>
      <c r="K900">
        <v>1.064729</v>
      </c>
      <c r="L900">
        <v>367.82040000000001</v>
      </c>
      <c r="M900">
        <v>0.99996890000000005</v>
      </c>
      <c r="N900">
        <v>-7.6122129999999996E-3</v>
      </c>
      <c r="O900">
        <v>2.118839E-3</v>
      </c>
      <c r="P900">
        <v>0.99778739999999999</v>
      </c>
      <c r="Q900">
        <v>1.058051E-2</v>
      </c>
      <c r="R900">
        <v>6.5639710000000004E-2</v>
      </c>
      <c r="S900">
        <v>2.982208</v>
      </c>
      <c r="T900">
        <v>1.449978E-2</v>
      </c>
      <c r="U900">
        <v>0.36563109999999999</v>
      </c>
      <c r="V900">
        <v>-6.3537060000000006E-2</v>
      </c>
      <c r="W900">
        <v>1.8136289999999999E-2</v>
      </c>
      <c r="X900">
        <v>0.99781470000000005</v>
      </c>
      <c r="Y900">
        <v>-0.1195905</v>
      </c>
      <c r="Z900">
        <v>1.9356540000000001E-4</v>
      </c>
      <c r="AA900">
        <v>0.99282329999999996</v>
      </c>
      <c r="AB900">
        <v>33</v>
      </c>
      <c r="AC900">
        <v>110.477</v>
      </c>
      <c r="AD900">
        <v>0.53711099999999901</v>
      </c>
      <c r="AE900">
        <v>13.5648999999999</v>
      </c>
      <c r="AF900">
        <v>-13.330469410867799</v>
      </c>
      <c r="AG900">
        <v>0.53711099999999901</v>
      </c>
      <c r="AH900">
        <v>110.502921545067</v>
      </c>
      <c r="AI900">
        <v>89.723514574004398</v>
      </c>
      <c r="AJ900">
        <v>96.878611234699804</v>
      </c>
      <c r="AK900">
        <v>111.30537081801501</v>
      </c>
      <c r="AL900">
        <v>88.960810182831196</v>
      </c>
      <c r="AM900">
        <v>93.643459165334605</v>
      </c>
      <c r="AN900">
        <v>1.00000002927224</v>
      </c>
    </row>
    <row r="901" spans="1:40" x14ac:dyDescent="0.25">
      <c r="A901" t="str">
        <f>"20190305135809401"</f>
        <v>20190305135809401</v>
      </c>
      <c r="B901" t="str">
        <f>"1551765489389583"</f>
        <v>1551765489389583</v>
      </c>
      <c r="C901" t="s">
        <v>40</v>
      </c>
      <c r="D901">
        <v>4.0470009999999998</v>
      </c>
      <c r="E901">
        <v>0.48089670000000001</v>
      </c>
      <c r="F901" t="s">
        <v>44</v>
      </c>
      <c r="G901">
        <v>-158.19499999999999</v>
      </c>
      <c r="H901">
        <v>2.1124589999999999</v>
      </c>
      <c r="I901">
        <v>382.22210000000001</v>
      </c>
      <c r="J901">
        <v>-279.09910000000002</v>
      </c>
      <c r="K901">
        <v>1.0654680000000001</v>
      </c>
      <c r="L901">
        <v>367.82080000000002</v>
      </c>
      <c r="M901">
        <v>0.99997469999999999</v>
      </c>
      <c r="N901">
        <v>-6.7472419999999996E-3</v>
      </c>
      <c r="O901">
        <v>2.277856E-3</v>
      </c>
      <c r="P901">
        <v>0.99782470000000001</v>
      </c>
      <c r="Q901">
        <v>1.244645E-2</v>
      </c>
      <c r="R901">
        <v>6.4738680000000007E-2</v>
      </c>
      <c r="S901">
        <v>2.9830320000000001</v>
      </c>
      <c r="T901">
        <v>2.5818230000000001E-2</v>
      </c>
      <c r="U901">
        <v>0.35485840000000002</v>
      </c>
      <c r="V901">
        <v>-6.2477199999999997E-2</v>
      </c>
      <c r="W901">
        <v>1.9142240000000001E-2</v>
      </c>
      <c r="X901">
        <v>0.99786280000000005</v>
      </c>
      <c r="Y901">
        <v>-0.1158632</v>
      </c>
      <c r="Z901" s="1">
        <v>-7.241126E-5</v>
      </c>
      <c r="AA901">
        <v>0.99326519999999996</v>
      </c>
      <c r="AB901">
        <v>33</v>
      </c>
      <c r="AC901">
        <v>120.9041</v>
      </c>
      <c r="AD901">
        <v>1.04699099999999</v>
      </c>
      <c r="AE901">
        <v>14.4012999999999</v>
      </c>
      <c r="AF901">
        <v>-14.1248098511462</v>
      </c>
      <c r="AG901">
        <v>1.04699099999999</v>
      </c>
      <c r="AH901">
        <v>120.927649642242</v>
      </c>
      <c r="AI901">
        <v>89.507295279578202</v>
      </c>
      <c r="AJ901">
        <v>96.662176972546803</v>
      </c>
      <c r="AK901">
        <v>121.754272579988</v>
      </c>
      <c r="AL901">
        <v>88.903163442263605</v>
      </c>
      <c r="AM901">
        <v>93.582670115733293</v>
      </c>
      <c r="AN901">
        <v>0.99999999674794804</v>
      </c>
    </row>
    <row r="902" spans="1:40" x14ac:dyDescent="0.25">
      <c r="A902" t="str">
        <f>"20190305135809412"</f>
        <v>20190305135809412</v>
      </c>
      <c r="B902" t="str">
        <f>"1551765489409102"</f>
        <v>1551765489409102</v>
      </c>
      <c r="C902" t="s">
        <v>40</v>
      </c>
      <c r="D902">
        <v>4.0379040000000002</v>
      </c>
      <c r="E902">
        <v>0.48179300000000003</v>
      </c>
      <c r="F902" t="s">
        <v>44</v>
      </c>
      <c r="G902">
        <v>-158.19499999999999</v>
      </c>
      <c r="H902">
        <v>2.4738259999999999</v>
      </c>
      <c r="I902">
        <v>381.85059999999999</v>
      </c>
      <c r="J902">
        <v>-278.93639999999999</v>
      </c>
      <c r="K902">
        <v>1.06624599999999</v>
      </c>
      <c r="L902">
        <v>367.82139999999998</v>
      </c>
      <c r="M902">
        <v>0.99997959999999997</v>
      </c>
      <c r="N902">
        <v>-5.8956219999999997E-3</v>
      </c>
      <c r="O902">
        <v>2.4388159999999999E-3</v>
      </c>
      <c r="P902">
        <v>0.99791439999999998</v>
      </c>
      <c r="Q902">
        <v>1.318885E-2</v>
      </c>
      <c r="R902">
        <v>6.3189449999999994E-2</v>
      </c>
      <c r="S902">
        <v>2.9836429999999998</v>
      </c>
      <c r="T902">
        <v>3.4757259999999998E-2</v>
      </c>
      <c r="U902">
        <v>0.34622190000000003</v>
      </c>
      <c r="V902">
        <v>-6.0766670000000002E-2</v>
      </c>
      <c r="W902">
        <v>1.9038309999999999E-2</v>
      </c>
      <c r="X902">
        <v>0.99797040000000004</v>
      </c>
      <c r="Y902">
        <v>-0.1128403</v>
      </c>
      <c r="Z902">
        <v>-2.7863749999999999E-4</v>
      </c>
      <c r="AA902">
        <v>0.99361310000000003</v>
      </c>
      <c r="AB902">
        <v>33</v>
      </c>
      <c r="AC902">
        <v>120.7414</v>
      </c>
      <c r="AD902">
        <v>1.4075799999999901</v>
      </c>
      <c r="AE902">
        <v>14.029199999999999</v>
      </c>
      <c r="AF902">
        <v>-13.732845593341301</v>
      </c>
      <c r="AG902">
        <v>1.4075799999999901</v>
      </c>
      <c r="AH902">
        <v>120.75906306562899</v>
      </c>
      <c r="AI902">
        <v>89.336461202181297</v>
      </c>
      <c r="AJ902">
        <v>96.487863091088499</v>
      </c>
      <c r="AK902">
        <v>121.545562000575</v>
      </c>
      <c r="AL902">
        <v>88.909119262312799</v>
      </c>
      <c r="AM902">
        <v>93.484452406463305</v>
      </c>
      <c r="AN902">
        <v>0.99999998235335197</v>
      </c>
    </row>
    <row r="903" spans="1:40" x14ac:dyDescent="0.25">
      <c r="A903" t="str">
        <f>"20190305135809422"</f>
        <v>20190305135809422</v>
      </c>
      <c r="B903" t="str">
        <f>"1551765489419838"</f>
        <v>1551765489419838</v>
      </c>
      <c r="C903" t="s">
        <v>40</v>
      </c>
      <c r="D903">
        <v>4.0527850000000001</v>
      </c>
      <c r="E903">
        <v>0.48204799999999998</v>
      </c>
      <c r="F903" t="s">
        <v>44</v>
      </c>
      <c r="G903">
        <v>-158.19499999999999</v>
      </c>
      <c r="H903">
        <v>2.793374</v>
      </c>
      <c r="I903">
        <v>381.36540000000002</v>
      </c>
      <c r="J903">
        <v>-278.78129999999999</v>
      </c>
      <c r="K903">
        <v>1.0669869999999999</v>
      </c>
      <c r="L903">
        <v>367.82190000000003</v>
      </c>
      <c r="M903">
        <v>0.99998379999999998</v>
      </c>
      <c r="N903">
        <v>-5.1001579999999996E-3</v>
      </c>
      <c r="O903">
        <v>2.5865110000000001E-3</v>
      </c>
      <c r="P903">
        <v>0.99801490000000004</v>
      </c>
      <c r="Q903">
        <v>1.4029669999999999E-2</v>
      </c>
      <c r="R903">
        <v>6.1395909999999998E-2</v>
      </c>
      <c r="S903">
        <v>2.984467</v>
      </c>
      <c r="T903">
        <v>4.2693019999999998E-2</v>
      </c>
      <c r="U903">
        <v>0.33477780000000001</v>
      </c>
      <c r="V903">
        <v>-5.8824469999999997E-2</v>
      </c>
      <c r="W903">
        <v>1.908837E-2</v>
      </c>
      <c r="X903">
        <v>0.99808580000000002</v>
      </c>
      <c r="Y903">
        <v>-0.1088969</v>
      </c>
      <c r="Z903">
        <v>-4.4780930000000002E-4</v>
      </c>
      <c r="AA903">
        <v>0.99405290000000002</v>
      </c>
      <c r="AB903">
        <v>33</v>
      </c>
      <c r="AC903">
        <v>120.58629999999999</v>
      </c>
      <c r="AD903">
        <v>1.7263869999999999</v>
      </c>
      <c r="AE903">
        <v>13.5434999999999</v>
      </c>
      <c r="AF903">
        <v>-13.228875211346701</v>
      </c>
      <c r="AG903">
        <v>1.7263869999999999</v>
      </c>
      <c r="AH903">
        <v>120.596517303612</v>
      </c>
      <c r="AI903">
        <v>89.184733943800296</v>
      </c>
      <c r="AJ903">
        <v>96.260050520631395</v>
      </c>
      <c r="AK903">
        <v>121.332203215764</v>
      </c>
      <c r="AL903">
        <v>88.906250505252302</v>
      </c>
      <c r="AM903">
        <v>93.3729560176847</v>
      </c>
      <c r="AN903">
        <v>0.99999997415083797</v>
      </c>
    </row>
    <row r="904" spans="1:40" x14ac:dyDescent="0.25">
      <c r="A904" t="str">
        <f>"20190305135809433"</f>
        <v>20190305135809433</v>
      </c>
      <c r="B904" t="str">
        <f>"1551765489429598"</f>
        <v>1551765489429598</v>
      </c>
      <c r="C904" t="s">
        <v>40</v>
      </c>
      <c r="D904">
        <v>4.0438980000000004</v>
      </c>
      <c r="E904">
        <v>0.48236580000000001</v>
      </c>
      <c r="F904" t="s">
        <v>44</v>
      </c>
      <c r="G904">
        <v>-158.19499999999999</v>
      </c>
      <c r="H904">
        <v>2.9969570000000001</v>
      </c>
      <c r="I904">
        <v>381.04079999999999</v>
      </c>
      <c r="J904">
        <v>-278.61340000000001</v>
      </c>
      <c r="K904">
        <v>1.0677939999999999</v>
      </c>
      <c r="L904">
        <v>367.82240000000002</v>
      </c>
      <c r="M904">
        <v>0.99998719999999996</v>
      </c>
      <c r="N904">
        <v>-4.2630519999999998E-3</v>
      </c>
      <c r="O904">
        <v>2.738407E-3</v>
      </c>
      <c r="P904">
        <v>0.99812100000000004</v>
      </c>
      <c r="Q904">
        <v>1.4276519999999999E-2</v>
      </c>
      <c r="R904">
        <v>5.9587519999999998E-2</v>
      </c>
      <c r="S904">
        <v>2.9851679999999998</v>
      </c>
      <c r="T904">
        <v>4.7779439999999999E-2</v>
      </c>
      <c r="U904">
        <v>0.32723999999999998</v>
      </c>
      <c r="V904">
        <v>-5.6863219999999999E-2</v>
      </c>
      <c r="W904">
        <v>1.8503390000000002E-2</v>
      </c>
      <c r="X904">
        <v>0.9982105</v>
      </c>
      <c r="Y904">
        <v>-0.1062374</v>
      </c>
      <c r="Z904">
        <v>-5.6513569999999897E-4</v>
      </c>
      <c r="AA904">
        <v>0.99434069999999997</v>
      </c>
      <c r="AB904">
        <v>33</v>
      </c>
      <c r="AC904">
        <v>120.41840000000001</v>
      </c>
      <c r="AD904">
        <v>1.929163</v>
      </c>
      <c r="AE904">
        <v>13.2183999999999</v>
      </c>
      <c r="AF904">
        <v>-12.885325136740301</v>
      </c>
      <c r="AG904">
        <v>1.929163</v>
      </c>
      <c r="AH904">
        <v>120.423606672345</v>
      </c>
      <c r="AI904">
        <v>89.087419457593199</v>
      </c>
      <c r="AJ904">
        <v>96.107410862265695</v>
      </c>
      <c r="AK904">
        <v>121.126373336841</v>
      </c>
      <c r="AL904">
        <v>88.939773343060907</v>
      </c>
      <c r="AM904">
        <v>93.260339612696001</v>
      </c>
      <c r="AN904">
        <v>1.0000000017702499</v>
      </c>
    </row>
    <row r="905" spans="1:40" x14ac:dyDescent="0.25">
      <c r="A905" t="str">
        <f>"20190305135809444"</f>
        <v>20190305135809444</v>
      </c>
      <c r="B905" t="str">
        <f>"1551765489439358"</f>
        <v>1551765489439358</v>
      </c>
      <c r="C905" t="s">
        <v>40</v>
      </c>
      <c r="D905">
        <v>4.0763559999999996</v>
      </c>
      <c r="E905">
        <v>0.48254809999999998</v>
      </c>
      <c r="F905" t="s">
        <v>44</v>
      </c>
      <c r="G905">
        <v>-158.19499999999999</v>
      </c>
      <c r="H905">
        <v>3.0790459999999999</v>
      </c>
      <c r="I905">
        <v>380.71129999999999</v>
      </c>
      <c r="J905">
        <v>-278.46409999999997</v>
      </c>
      <c r="K905">
        <v>1.068562</v>
      </c>
      <c r="L905">
        <v>367.8229</v>
      </c>
      <c r="M905">
        <v>0.99998900000000002</v>
      </c>
      <c r="N905">
        <v>-3.7471470000000002E-3</v>
      </c>
      <c r="O905">
        <v>2.8700370000000002E-3</v>
      </c>
      <c r="P905">
        <v>0.99825319999999995</v>
      </c>
      <c r="Q905">
        <v>1.374833E-2</v>
      </c>
      <c r="R905">
        <v>5.7461409999999997E-2</v>
      </c>
      <c r="S905">
        <v>2.985779</v>
      </c>
      <c r="T905">
        <v>4.9871209999999999E-2</v>
      </c>
      <c r="U905">
        <v>0.31958009999999998</v>
      </c>
      <c r="V905">
        <v>-5.4604600000000003E-2</v>
      </c>
      <c r="W905">
        <v>1.7463099999999999E-2</v>
      </c>
      <c r="X905">
        <v>0.99835529999999995</v>
      </c>
      <c r="Y905">
        <v>-0.1035615</v>
      </c>
      <c r="Z905">
        <v>-6.0925390000000001E-4</v>
      </c>
      <c r="AA905">
        <v>0.99462289999999998</v>
      </c>
      <c r="AB905">
        <v>33</v>
      </c>
      <c r="AC905">
        <v>120.269099999999</v>
      </c>
      <c r="AD905">
        <v>2.0104839999999999</v>
      </c>
      <c r="AE905">
        <v>12.888399999999899</v>
      </c>
      <c r="AF905">
        <v>-12.5397034281277</v>
      </c>
      <c r="AG905">
        <v>2.0104839999999999</v>
      </c>
      <c r="AH905">
        <v>120.272367418013</v>
      </c>
      <c r="AI905">
        <v>89.047489751517006</v>
      </c>
      <c r="AJ905">
        <v>95.952203349467297</v>
      </c>
      <c r="AK905">
        <v>120.941012780253</v>
      </c>
      <c r="AL905">
        <v>88.999387174194794</v>
      </c>
      <c r="AM905">
        <v>93.130647943399296</v>
      </c>
      <c r="AN905">
        <v>0.99999996362042898</v>
      </c>
    </row>
    <row r="906" spans="1:40" x14ac:dyDescent="0.25">
      <c r="A906" t="str">
        <f>"20190305135809455"</f>
        <v>20190305135809455</v>
      </c>
      <c r="B906" t="str">
        <f>"1551765489449118"</f>
        <v>1551765489449118</v>
      </c>
      <c r="C906" t="s">
        <v>40</v>
      </c>
      <c r="D906">
        <v>4.0557790000000002</v>
      </c>
      <c r="E906">
        <v>0.4826841</v>
      </c>
      <c r="F906" t="s">
        <v>44</v>
      </c>
      <c r="G906">
        <v>-158.19499999999999</v>
      </c>
      <c r="H906">
        <v>3.0678510000000001</v>
      </c>
      <c r="I906">
        <v>380.37759999999997</v>
      </c>
      <c r="J906">
        <v>-278.28629999999998</v>
      </c>
      <c r="K906">
        <v>1.069523</v>
      </c>
      <c r="L906">
        <v>367.82350000000002</v>
      </c>
      <c r="M906">
        <v>0.99999000000000005</v>
      </c>
      <c r="N906">
        <v>-3.3349870000000002E-3</v>
      </c>
      <c r="O906">
        <v>3.0243319999999998E-3</v>
      </c>
      <c r="P906">
        <v>0.99838950000000004</v>
      </c>
      <c r="Q906">
        <v>1.2848149999999999E-2</v>
      </c>
      <c r="R906">
        <v>5.5258479999999999E-2</v>
      </c>
      <c r="S906">
        <v>2.9866329999999999</v>
      </c>
      <c r="T906">
        <v>4.9650310000000003E-2</v>
      </c>
      <c r="U906">
        <v>0.31176759999999998</v>
      </c>
      <c r="V906">
        <v>-5.2246290000000001E-2</v>
      </c>
      <c r="W906">
        <v>1.6155320000000001E-2</v>
      </c>
      <c r="X906">
        <v>0.99850360000000005</v>
      </c>
      <c r="Y906">
        <v>-0.10080459999999999</v>
      </c>
      <c r="Z906">
        <v>-6.0681949999999896E-4</v>
      </c>
      <c r="AA906">
        <v>0.99490610000000002</v>
      </c>
      <c r="AB906">
        <v>33</v>
      </c>
      <c r="AC906">
        <v>120.0913</v>
      </c>
      <c r="AD906">
        <v>1.9983280000000001</v>
      </c>
      <c r="AE906">
        <v>12.554099999999901</v>
      </c>
      <c r="AF906">
        <v>-12.187506509649801</v>
      </c>
      <c r="AG906">
        <v>1.9983280000000001</v>
      </c>
      <c r="AH906">
        <v>120.095824648822</v>
      </c>
      <c r="AI906">
        <v>89.0515881410834</v>
      </c>
      <c r="AJ906">
        <v>95.794624998506706</v>
      </c>
      <c r="AK906">
        <v>120.729183413949</v>
      </c>
      <c r="AL906">
        <v>89.074328128653505</v>
      </c>
      <c r="AM906">
        <v>92.995246555035294</v>
      </c>
      <c r="AN906">
        <v>1.0000000541980101</v>
      </c>
    </row>
    <row r="907" spans="1:40" x14ac:dyDescent="0.25">
      <c r="A907" t="str">
        <f>"20190305135809469"</f>
        <v>20190305135809469</v>
      </c>
      <c r="B907" t="str">
        <f>"1551765489459853"</f>
        <v>1551765489459853</v>
      </c>
      <c r="C907" t="s">
        <v>40</v>
      </c>
      <c r="D907">
        <v>4.0550509999999997</v>
      </c>
      <c r="E907">
        <v>0.48276859999999999</v>
      </c>
      <c r="F907" t="s">
        <v>44</v>
      </c>
      <c r="G907">
        <v>-158.19499999999999</v>
      </c>
      <c r="H907">
        <v>3.0004729999999999</v>
      </c>
      <c r="I907">
        <v>380.05220000000003</v>
      </c>
      <c r="J907">
        <v>-278.09289999999999</v>
      </c>
      <c r="K907">
        <v>1.0708169999999999</v>
      </c>
      <c r="L907">
        <v>367.82420000000002</v>
      </c>
      <c r="M907">
        <v>0.99998940000000003</v>
      </c>
      <c r="N907">
        <v>-3.3307480000000001E-3</v>
      </c>
      <c r="O907">
        <v>3.1823540000000001E-3</v>
      </c>
      <c r="P907">
        <v>0.99853219999999998</v>
      </c>
      <c r="Q907">
        <v>1.2246160000000001E-2</v>
      </c>
      <c r="R907">
        <v>5.2763450000000003E-2</v>
      </c>
      <c r="S907">
        <v>2.9873959999999999</v>
      </c>
      <c r="T907">
        <v>4.8036580000000002E-2</v>
      </c>
      <c r="U907">
        <v>0.3041992</v>
      </c>
      <c r="V907">
        <v>-4.9592200000000003E-2</v>
      </c>
      <c r="W907">
        <v>1.55522E-2</v>
      </c>
      <c r="X907">
        <v>0.99864850000000005</v>
      </c>
      <c r="Y907">
        <v>-9.8127850000000003E-2</v>
      </c>
      <c r="Z907">
        <v>-5.6139479999999995E-4</v>
      </c>
      <c r="AA907">
        <v>0.99517359999999999</v>
      </c>
      <c r="AB907">
        <v>33</v>
      </c>
      <c r="AC907">
        <v>119.89790000000001</v>
      </c>
      <c r="AD907">
        <v>1.929656</v>
      </c>
      <c r="AE907">
        <v>12.228</v>
      </c>
      <c r="AF907">
        <v>-11.8433422996742</v>
      </c>
      <c r="AG907">
        <v>1.929656</v>
      </c>
      <c r="AH907">
        <v>119.905468472972</v>
      </c>
      <c r="AI907">
        <v>89.082474390659897</v>
      </c>
      <c r="AJ907">
        <v>95.640940739354903</v>
      </c>
      <c r="AK907">
        <v>120.504397010351</v>
      </c>
      <c r="AL907">
        <v>89.108888690404399</v>
      </c>
      <c r="AM907">
        <v>92.842933736259695</v>
      </c>
      <c r="AN907">
        <v>1.0000000418889601</v>
      </c>
    </row>
    <row r="908" spans="1:40" x14ac:dyDescent="0.25">
      <c r="A908" t="str">
        <f>"20190305135809483"</f>
        <v>20190305135809483</v>
      </c>
      <c r="B908" t="str">
        <f>"1551765489479374"</f>
        <v>1551765489479374</v>
      </c>
      <c r="C908" t="s">
        <v>40</v>
      </c>
      <c r="D908">
        <v>4.3769150000000003</v>
      </c>
      <c r="E908">
        <v>0.48306860000000001</v>
      </c>
      <c r="F908" t="s">
        <v>44</v>
      </c>
      <c r="G908">
        <v>-158.19499999999999</v>
      </c>
      <c r="H908">
        <v>2.933135</v>
      </c>
      <c r="I908">
        <v>379.70420000000001</v>
      </c>
      <c r="J908">
        <v>-277.89819999999997</v>
      </c>
      <c r="K908">
        <v>1.07223</v>
      </c>
      <c r="L908">
        <v>367.82490000000001</v>
      </c>
      <c r="M908">
        <v>0.99998869999999895</v>
      </c>
      <c r="N908">
        <v>-3.4289500000000001E-3</v>
      </c>
      <c r="O908">
        <v>3.333141E-3</v>
      </c>
      <c r="P908">
        <v>0.9986469</v>
      </c>
      <c r="Q908">
        <v>1.147043E-2</v>
      </c>
      <c r="R908">
        <v>5.0725230000000003E-2</v>
      </c>
      <c r="S908">
        <v>2.9881899999999999</v>
      </c>
      <c r="T908">
        <v>4.6416279999999997E-2</v>
      </c>
      <c r="U908">
        <v>0.2960815</v>
      </c>
      <c r="V908">
        <v>-4.7402069999999998E-2</v>
      </c>
      <c r="W908">
        <v>1.487755E-2</v>
      </c>
      <c r="X908">
        <v>0.99876509999999996</v>
      </c>
      <c r="Y908">
        <v>-9.5275380000000007E-2</v>
      </c>
      <c r="Z908">
        <v>-5.1131859999999996E-4</v>
      </c>
      <c r="AA908">
        <v>0.99545079999999997</v>
      </c>
      <c r="AB908">
        <v>33</v>
      </c>
      <c r="AC908">
        <v>119.703199999999</v>
      </c>
      <c r="AD908">
        <v>1.860905</v>
      </c>
      <c r="AE908">
        <v>11.879300000000001</v>
      </c>
      <c r="AF908">
        <v>-11.4774972694232</v>
      </c>
      <c r="AG908">
        <v>1.860905</v>
      </c>
      <c r="AH908">
        <v>119.71348071880099</v>
      </c>
      <c r="AI908">
        <v>89.113492882032503</v>
      </c>
      <c r="AJ908">
        <v>95.476478284365498</v>
      </c>
      <c r="AK908">
        <v>120.276819781699</v>
      </c>
      <c r="AL908">
        <v>89.147547736037396</v>
      </c>
      <c r="AM908">
        <v>92.717257612480694</v>
      </c>
      <c r="AN908">
        <v>1.00000001135614</v>
      </c>
    </row>
    <row r="909" spans="1:40" x14ac:dyDescent="0.25">
      <c r="A909" t="str">
        <f>"20190305135809496"</f>
        <v>20190305135809496</v>
      </c>
      <c r="B909" t="str">
        <f>"1551765489489135"</f>
        <v>1551765489489135</v>
      </c>
      <c r="C909" t="s">
        <v>40</v>
      </c>
      <c r="D909">
        <v>4.2290970000000003</v>
      </c>
      <c r="E909">
        <v>0.52183900000000005</v>
      </c>
      <c r="F909" t="s">
        <v>44</v>
      </c>
      <c r="G909">
        <v>-158.19499999999999</v>
      </c>
      <c r="H909">
        <v>2.884757</v>
      </c>
      <c r="I909">
        <v>379.33679999999998</v>
      </c>
      <c r="J909">
        <v>-277.68259999999998</v>
      </c>
      <c r="K909">
        <v>1.0739320000000001</v>
      </c>
      <c r="L909">
        <v>367.82569999999998</v>
      </c>
      <c r="M909">
        <v>0.99998750000000003</v>
      </c>
      <c r="N909">
        <v>-3.5729479999999998E-3</v>
      </c>
      <c r="O909">
        <v>3.4858350000000001E-3</v>
      </c>
      <c r="P909">
        <v>0.99886070000000005</v>
      </c>
      <c r="Q909">
        <v>1.140979E-2</v>
      </c>
      <c r="R909">
        <v>4.6335179999999997E-2</v>
      </c>
      <c r="S909">
        <v>2.9889220000000001</v>
      </c>
      <c r="T909">
        <v>4.525995E-2</v>
      </c>
      <c r="U909">
        <v>0.28744509999999901</v>
      </c>
      <c r="V909">
        <v>-4.2858609999999998E-2</v>
      </c>
      <c r="W909">
        <v>1.4963850000000001E-2</v>
      </c>
      <c r="X909">
        <v>0.99896910000000005</v>
      </c>
      <c r="Y909">
        <v>-9.2250670000000007E-2</v>
      </c>
      <c r="Z909">
        <v>-4.665348E-4</v>
      </c>
      <c r="AA909">
        <v>0.9957357</v>
      </c>
      <c r="AB909">
        <v>33</v>
      </c>
      <c r="AC909">
        <v>119.4876</v>
      </c>
      <c r="AD909">
        <v>1.8108249999999999</v>
      </c>
      <c r="AE909">
        <v>11.511100000000001</v>
      </c>
      <c r="AF909">
        <v>-11.091989239754</v>
      </c>
      <c r="AG909">
        <v>1.8108249999999999</v>
      </c>
      <c r="AH909">
        <v>119.49980675799701</v>
      </c>
      <c r="AI909">
        <v>89.1355574799869</v>
      </c>
      <c r="AJ909">
        <v>95.3030078280037</v>
      </c>
      <c r="AK909">
        <v>120.027143295481</v>
      </c>
      <c r="AL909">
        <v>89.142602567240999</v>
      </c>
      <c r="AM909">
        <v>92.456645038904895</v>
      </c>
      <c r="AN909">
        <v>1.0000000200063801</v>
      </c>
    </row>
    <row r="910" spans="1:40" x14ac:dyDescent="0.25">
      <c r="A910" t="str">
        <f>"20190305135809509"</f>
        <v>20190305135809509</v>
      </c>
      <c r="B910" t="str">
        <f>"1551765489499870"</f>
        <v>1551765489499870</v>
      </c>
      <c r="C910" t="s">
        <v>40</v>
      </c>
      <c r="D910">
        <v>4.1022619999999996</v>
      </c>
      <c r="E910">
        <v>0.52183900000000005</v>
      </c>
      <c r="F910" t="s">
        <v>44</v>
      </c>
      <c r="G910">
        <v>-158.19499999999999</v>
      </c>
      <c r="H910">
        <v>4.968</v>
      </c>
      <c r="I910">
        <v>366.54250000000002</v>
      </c>
      <c r="J910">
        <v>-277.50049999999999</v>
      </c>
      <c r="K910">
        <v>1.0754349999999999</v>
      </c>
      <c r="L910">
        <v>367.8263</v>
      </c>
      <c r="M910">
        <v>0.99998739999999997</v>
      </c>
      <c r="N910">
        <v>-3.5307400000000001E-3</v>
      </c>
      <c r="O910">
        <v>3.5988489999999999E-3</v>
      </c>
      <c r="P910">
        <v>0.99894229999999995</v>
      </c>
      <c r="Q910">
        <v>1.1394329999999999E-2</v>
      </c>
      <c r="R910">
        <v>4.4551210000000001E-2</v>
      </c>
      <c r="S910">
        <v>3.0037229999999999</v>
      </c>
      <c r="T910">
        <v>9.7892640000000003E-2</v>
      </c>
      <c r="U910">
        <v>-3.225708E-2</v>
      </c>
      <c r="V910">
        <v>-4.096176E-2</v>
      </c>
      <c r="W910">
        <v>1.4907109999999999E-2</v>
      </c>
      <c r="X910">
        <v>0.99904950000000003</v>
      </c>
      <c r="Y910">
        <v>1.4327879999999999E-2</v>
      </c>
      <c r="Z910">
        <v>3.3806279999999998E-4</v>
      </c>
      <c r="AA910">
        <v>0.99989729999999999</v>
      </c>
      <c r="AB910">
        <v>33</v>
      </c>
      <c r="AC910">
        <v>119.30549999999999</v>
      </c>
      <c r="AD910">
        <v>3.8925649999999998</v>
      </c>
      <c r="AE910">
        <v>-1.2837999999999801</v>
      </c>
      <c r="AF910">
        <v>1.7113352679207201</v>
      </c>
      <c r="AG910">
        <v>3.8925649999999998</v>
      </c>
      <c r="AH910">
        <v>119.17326039947601</v>
      </c>
      <c r="AI910">
        <v>88.129401559188395</v>
      </c>
      <c r="AJ910">
        <v>89.177285669139195</v>
      </c>
      <c r="AK910">
        <v>119.24909527925099</v>
      </c>
      <c r="AL910">
        <v>89.145853871495603</v>
      </c>
      <c r="AM910">
        <v>92.347853815998704</v>
      </c>
      <c r="AN910">
        <v>0.99999999558054897</v>
      </c>
    </row>
    <row r="911" spans="1:40" x14ac:dyDescent="0.25">
      <c r="A911" t="str">
        <f>"20190305135809521"</f>
        <v>20190305135809521</v>
      </c>
      <c r="B911" t="str">
        <f>"1551765489509631"</f>
        <v>1551765489509631</v>
      </c>
      <c r="C911" t="s">
        <v>40</v>
      </c>
      <c r="D911">
        <v>4.0682289999999997</v>
      </c>
      <c r="E911">
        <v>0.57240819999999903</v>
      </c>
      <c r="F911" t="s">
        <v>44</v>
      </c>
      <c r="G911">
        <v>-158.19499999999999</v>
      </c>
      <c r="H911">
        <v>4.9596609999999997</v>
      </c>
      <c r="I911">
        <v>366.31970000000001</v>
      </c>
      <c r="J911">
        <v>-277.32979999999998</v>
      </c>
      <c r="K911">
        <v>1.0768679999999999</v>
      </c>
      <c r="L911">
        <v>367.827</v>
      </c>
      <c r="M911">
        <v>0.99998719999999996</v>
      </c>
      <c r="N911">
        <v>-3.4761760000000001E-3</v>
      </c>
      <c r="O911">
        <v>3.7007379999999999E-3</v>
      </c>
      <c r="P911">
        <v>0.99903379999999997</v>
      </c>
      <c r="Q911">
        <v>1.108961E-2</v>
      </c>
      <c r="R911">
        <v>4.2530909999999998E-2</v>
      </c>
      <c r="S911">
        <v>3.0037539999999998</v>
      </c>
      <c r="T911">
        <v>9.779525E-2</v>
      </c>
      <c r="U911">
        <v>-3.7933349999999998E-2</v>
      </c>
      <c r="V911">
        <v>-3.8839110000000003E-2</v>
      </c>
      <c r="W911">
        <v>1.4549039999999999E-2</v>
      </c>
      <c r="X911">
        <v>0.99913949999999996</v>
      </c>
      <c r="Y911">
        <v>1.63179E-2</v>
      </c>
      <c r="Z911">
        <v>3.7049700000000001E-4</v>
      </c>
      <c r="AA911">
        <v>0.99986679999999994</v>
      </c>
      <c r="AB911">
        <v>33</v>
      </c>
      <c r="AC911">
        <v>119.134799999999</v>
      </c>
      <c r="AD911">
        <v>3.8827929999999999</v>
      </c>
      <c r="AE911">
        <v>-1.5072999999999801</v>
      </c>
      <c r="AF911">
        <v>1.9461121312302301</v>
      </c>
      <c r="AG911">
        <v>3.8827929999999999</v>
      </c>
      <c r="AH911">
        <v>119.00202088748701</v>
      </c>
      <c r="AI911">
        <v>88.131468319790102</v>
      </c>
      <c r="AJ911">
        <v>89.063090928075198</v>
      </c>
      <c r="AK911">
        <v>119.08125129177201</v>
      </c>
      <c r="AL911">
        <v>89.166371955396897</v>
      </c>
      <c r="AM911">
        <v>92.226112793899404</v>
      </c>
      <c r="AN911">
        <v>0.99999994574537998</v>
      </c>
    </row>
    <row r="912" spans="1:40" x14ac:dyDescent="0.25">
      <c r="A912" t="str">
        <f>"20190305135809533"</f>
        <v>20190305135809533</v>
      </c>
      <c r="B912" t="str">
        <f>"1551765489529150"</f>
        <v>1551765489529150</v>
      </c>
      <c r="C912" t="s">
        <v>40</v>
      </c>
      <c r="D912">
        <v>4.0186250000000001</v>
      </c>
      <c r="E912">
        <v>0.57646469999999905</v>
      </c>
      <c r="F912" t="s">
        <v>55</v>
      </c>
      <c r="G912">
        <v>0</v>
      </c>
      <c r="H912">
        <v>0</v>
      </c>
      <c r="I912">
        <v>0</v>
      </c>
      <c r="J912">
        <v>-277.1465</v>
      </c>
      <c r="K912">
        <v>1.0784659999999999</v>
      </c>
      <c r="L912">
        <v>367.82769999999999</v>
      </c>
      <c r="M912">
        <v>0.99998710000000002</v>
      </c>
      <c r="N912">
        <v>-3.412244E-3</v>
      </c>
      <c r="O912">
        <v>3.8010959999999999E-3</v>
      </c>
      <c r="P912">
        <v>0.99912820000000002</v>
      </c>
      <c r="Q912">
        <v>1.033213E-2</v>
      </c>
      <c r="R912">
        <v>4.0453719999999999E-2</v>
      </c>
      <c r="S912">
        <v>3.0204469999999999</v>
      </c>
      <c r="T912">
        <v>0.12969040000000001</v>
      </c>
      <c r="U912">
        <v>-0.44592290000000001</v>
      </c>
      <c r="V912">
        <v>-3.6660739999999997E-2</v>
      </c>
      <c r="W912">
        <v>1.372897E-2</v>
      </c>
      <c r="X912">
        <v>0.9992335</v>
      </c>
      <c r="Y912">
        <v>0.14968290000000001</v>
      </c>
      <c r="Z912">
        <v>3.1130329999999999E-3</v>
      </c>
      <c r="AA912">
        <v>0.98872919999999997</v>
      </c>
      <c r="AB912">
        <v>33</v>
      </c>
      <c r="AC912">
        <v>3.0204469999999999</v>
      </c>
      <c r="AD912">
        <v>0.12969040000000001</v>
      </c>
      <c r="AE912">
        <v>-0.44592290000000001</v>
      </c>
      <c r="AF912">
        <v>0.456576950407938</v>
      </c>
      <c r="AG912">
        <v>0.12969040000000001</v>
      </c>
      <c r="AH912">
        <v>3.0132932856828001</v>
      </c>
      <c r="AI912">
        <v>87.563322265907999</v>
      </c>
      <c r="AJ912">
        <v>81.384029103923496</v>
      </c>
      <c r="AK912">
        <v>3.05044562925436</v>
      </c>
      <c r="AL912">
        <v>89.213363281383494</v>
      </c>
      <c r="AM912">
        <v>92.101174508833196</v>
      </c>
      <c r="AN912">
        <v>1.00000004099842</v>
      </c>
    </row>
    <row r="913" spans="1:40" x14ac:dyDescent="0.25">
      <c r="A913" t="str">
        <f>"20190305135809543"</f>
        <v>20190305135809543</v>
      </c>
      <c r="B913" t="str">
        <f>"1551765489539886"</f>
        <v>1551765489539886</v>
      </c>
      <c r="C913" t="s">
        <v>40</v>
      </c>
      <c r="D913">
        <v>4.0458499999999997</v>
      </c>
      <c r="E913">
        <v>0.57678009999999902</v>
      </c>
      <c r="F913" t="s">
        <v>55</v>
      </c>
      <c r="G913">
        <v>0</v>
      </c>
      <c r="H913">
        <v>0</v>
      </c>
      <c r="I913">
        <v>0</v>
      </c>
      <c r="J913">
        <v>-276.99169999999998</v>
      </c>
      <c r="K913">
        <v>1.0798380000000001</v>
      </c>
      <c r="L913">
        <v>367.82830000000001</v>
      </c>
      <c r="M913">
        <v>0.99998659999999995</v>
      </c>
      <c r="N913">
        <v>-3.4056160000000002E-3</v>
      </c>
      <c r="O913">
        <v>3.882707E-3</v>
      </c>
      <c r="P913">
        <v>0.9992046</v>
      </c>
      <c r="Q913">
        <v>9.7456869999999994E-3</v>
      </c>
      <c r="R913">
        <v>3.8666979999999997E-2</v>
      </c>
      <c r="S913">
        <v>3.02121</v>
      </c>
      <c r="T913">
        <v>0.1041098</v>
      </c>
      <c r="U913">
        <v>-0.48574830000000002</v>
      </c>
      <c r="V913">
        <v>-3.4791759999999998E-2</v>
      </c>
      <c r="W913">
        <v>1.313631E-2</v>
      </c>
      <c r="X913">
        <v>0.99930819999999998</v>
      </c>
      <c r="Y913">
        <v>0.16248580000000001</v>
      </c>
      <c r="Z913">
        <v>2.648456E-3</v>
      </c>
      <c r="AA913">
        <v>0.98670729999999995</v>
      </c>
      <c r="AB913">
        <v>33</v>
      </c>
      <c r="AC913">
        <v>3.02121</v>
      </c>
      <c r="AD913">
        <v>0.1041098</v>
      </c>
      <c r="AE913">
        <v>-0.48574830000000002</v>
      </c>
      <c r="AF913">
        <v>0.49689999685944902</v>
      </c>
      <c r="AG913">
        <v>0.1041098</v>
      </c>
      <c r="AH913">
        <v>3.0158102640242999</v>
      </c>
      <c r="AI913">
        <v>88.049140710732004</v>
      </c>
      <c r="AJ913">
        <v>80.643722704411601</v>
      </c>
      <c r="AK913">
        <v>3.0582445955039801</v>
      </c>
      <c r="AL913">
        <v>89.247323195547295</v>
      </c>
      <c r="AM913">
        <v>91.993995604089903</v>
      </c>
      <c r="AN913">
        <v>0.99999995389577501</v>
      </c>
    </row>
    <row r="914" spans="1:40" x14ac:dyDescent="0.25">
      <c r="A914" t="str">
        <f>"20190305135809554"</f>
        <v>20190305135809554</v>
      </c>
      <c r="B914" t="str">
        <f>"1551765489549646"</f>
        <v>1551765489549646</v>
      </c>
      <c r="C914" t="s">
        <v>40</v>
      </c>
      <c r="D914">
        <v>4.0223449999999996</v>
      </c>
      <c r="E914">
        <v>0.57677659999999997</v>
      </c>
      <c r="F914" t="s">
        <v>55</v>
      </c>
      <c r="G914">
        <v>0</v>
      </c>
      <c r="H914">
        <v>0</v>
      </c>
      <c r="I914">
        <v>0</v>
      </c>
      <c r="J914">
        <v>-276.8322</v>
      </c>
      <c r="K914">
        <v>1.081269</v>
      </c>
      <c r="L914">
        <v>367.82900000000001</v>
      </c>
      <c r="M914">
        <v>0.99998629999999999</v>
      </c>
      <c r="N914">
        <v>-3.4393560000000002E-3</v>
      </c>
      <c r="O914">
        <v>3.9639580000000001E-3</v>
      </c>
      <c r="P914">
        <v>0.99928240000000002</v>
      </c>
      <c r="Q914">
        <v>9.4923820000000006E-3</v>
      </c>
      <c r="R914">
        <v>3.6674350000000001E-2</v>
      </c>
      <c r="S914">
        <v>3.0205690000000001</v>
      </c>
      <c r="T914">
        <v>9.5809580000000005E-2</v>
      </c>
      <c r="U914">
        <v>-0.49380489999999999</v>
      </c>
      <c r="V914">
        <v>-3.2718030000000002E-2</v>
      </c>
      <c r="W914">
        <v>1.291746E-2</v>
      </c>
      <c r="X914">
        <v>0.99938110000000002</v>
      </c>
      <c r="Y914">
        <v>0.1651755</v>
      </c>
      <c r="Z914">
        <v>2.454127E-3</v>
      </c>
      <c r="AA914">
        <v>0.9862611</v>
      </c>
      <c r="AB914">
        <v>33</v>
      </c>
      <c r="AC914">
        <v>3.0205690000000001</v>
      </c>
      <c r="AD914">
        <v>9.5809580000000005E-2</v>
      </c>
      <c r="AE914">
        <v>-0.49380489999999999</v>
      </c>
      <c r="AF914">
        <v>0.505279371114152</v>
      </c>
      <c r="AG914">
        <v>9.5809580000000005E-2</v>
      </c>
      <c r="AH914">
        <v>3.0156327891263399</v>
      </c>
      <c r="AI914">
        <v>88.205271234621705</v>
      </c>
      <c r="AJ914">
        <v>80.488254851406396</v>
      </c>
      <c r="AK914">
        <v>3.0591711029864301</v>
      </c>
      <c r="AL914">
        <v>89.259863443617903</v>
      </c>
      <c r="AM914">
        <v>91.875096229165393</v>
      </c>
      <c r="AN914">
        <v>0.99999995664857</v>
      </c>
    </row>
    <row r="915" spans="1:40" x14ac:dyDescent="0.25">
      <c r="A915" t="str">
        <f>"20190305135809565"</f>
        <v>20190305135809565</v>
      </c>
      <c r="B915" t="str">
        <f>"1551765489559407"</f>
        <v>1551765489559407</v>
      </c>
      <c r="C915" t="s">
        <v>40</v>
      </c>
      <c r="D915">
        <v>4.0285089999999997</v>
      </c>
      <c r="E915">
        <v>0.57657510000000001</v>
      </c>
      <c r="F915" t="s">
        <v>55</v>
      </c>
      <c r="G915">
        <v>0</v>
      </c>
      <c r="H915">
        <v>0</v>
      </c>
      <c r="I915">
        <v>0</v>
      </c>
      <c r="J915">
        <v>-276.68279999999999</v>
      </c>
      <c r="K915">
        <v>1.082619</v>
      </c>
      <c r="L915">
        <v>367.8297</v>
      </c>
      <c r="M915">
        <v>0.99998560000000003</v>
      </c>
      <c r="N915">
        <v>-3.5318400000000001E-3</v>
      </c>
      <c r="O915">
        <v>4.0386780000000004E-3</v>
      </c>
      <c r="P915">
        <v>0.99935450000000003</v>
      </c>
      <c r="Q915">
        <v>9.0724670000000007E-3</v>
      </c>
      <c r="R915">
        <v>3.476021E-2</v>
      </c>
      <c r="S915">
        <v>3.0196230000000002</v>
      </c>
      <c r="T915">
        <v>9.1740130000000003E-2</v>
      </c>
      <c r="U915">
        <v>-0.50003050000000004</v>
      </c>
      <c r="V915">
        <v>-3.0728519999999999E-2</v>
      </c>
      <c r="W915">
        <v>1.259133E-2</v>
      </c>
      <c r="X915">
        <v>0.99944849999999996</v>
      </c>
      <c r="Y915">
        <v>0.1672836</v>
      </c>
      <c r="Z915">
        <v>2.3619410000000002E-3</v>
      </c>
      <c r="AA915">
        <v>0.98590599999999995</v>
      </c>
      <c r="AB915">
        <v>33</v>
      </c>
      <c r="AC915">
        <v>3.0196230000000002</v>
      </c>
      <c r="AD915">
        <v>9.1740130000000003E-2</v>
      </c>
      <c r="AE915">
        <v>-0.50003050000000004</v>
      </c>
      <c r="AF915">
        <v>0.51176202142305505</v>
      </c>
      <c r="AG915">
        <v>9.1740130000000003E-2</v>
      </c>
      <c r="AH915">
        <v>3.01487037029128</v>
      </c>
      <c r="AI915">
        <v>88.281637702300003</v>
      </c>
      <c r="AJ915">
        <v>80.366102671130804</v>
      </c>
      <c r="AK915">
        <v>3.05937247939569</v>
      </c>
      <c r="AL915">
        <v>89.278550900036606</v>
      </c>
      <c r="AM915">
        <v>91.761031269441304</v>
      </c>
      <c r="AN915">
        <v>1.0000000438423999</v>
      </c>
    </row>
    <row r="916" spans="1:40" x14ac:dyDescent="0.25">
      <c r="A916" t="str">
        <f>"20190305135809575"</f>
        <v>20190305135809575</v>
      </c>
      <c r="B916" t="str">
        <f>"1551765489569167"</f>
        <v>1551765489569167</v>
      </c>
      <c r="C916" t="s">
        <v>40</v>
      </c>
      <c r="D916">
        <v>4.0487320000000002</v>
      </c>
      <c r="E916">
        <v>0.57630119999999996</v>
      </c>
      <c r="F916" t="s">
        <v>55</v>
      </c>
      <c r="G916">
        <v>0</v>
      </c>
      <c r="H916">
        <v>0</v>
      </c>
      <c r="I916">
        <v>0</v>
      </c>
      <c r="J916">
        <v>-276.51339999999999</v>
      </c>
      <c r="K916">
        <v>1.084152</v>
      </c>
      <c r="L916">
        <v>367.8304</v>
      </c>
      <c r="M916">
        <v>0.99998480000000001</v>
      </c>
      <c r="N916">
        <v>-3.6751750000000001E-3</v>
      </c>
      <c r="O916">
        <v>4.1224290000000004E-3</v>
      </c>
      <c r="P916">
        <v>0.99940799999999996</v>
      </c>
      <c r="Q916">
        <v>9.1289649999999993E-3</v>
      </c>
      <c r="R916">
        <v>3.3172550000000002E-2</v>
      </c>
      <c r="S916">
        <v>3.0186769999999998</v>
      </c>
      <c r="T916">
        <v>8.6418389999999998E-2</v>
      </c>
      <c r="U916">
        <v>-0.50442500000000001</v>
      </c>
      <c r="V916">
        <v>-2.9057059999999999E-2</v>
      </c>
      <c r="W916">
        <v>1.2792059999999999E-2</v>
      </c>
      <c r="X916">
        <v>0.99949589999999999</v>
      </c>
      <c r="Y916">
        <v>0.16882030000000001</v>
      </c>
      <c r="Z916">
        <v>2.2191849999999998E-3</v>
      </c>
      <c r="AA916">
        <v>0.98564430000000003</v>
      </c>
      <c r="AB916">
        <v>33</v>
      </c>
      <c r="AC916">
        <v>3.0186769999999998</v>
      </c>
      <c r="AD916">
        <v>8.6418389999999998E-2</v>
      </c>
      <c r="AE916">
        <v>-0.50442500000000001</v>
      </c>
      <c r="AF916">
        <v>0.51645331357975699</v>
      </c>
      <c r="AG916">
        <v>8.6418389999999998E-2</v>
      </c>
      <c r="AH916">
        <v>3.0141687002425801</v>
      </c>
      <c r="AI916">
        <v>88.381314585641604</v>
      </c>
      <c r="AJ916">
        <v>80.277247103269303</v>
      </c>
      <c r="AK916">
        <v>3.0593144847759199</v>
      </c>
      <c r="AL916">
        <v>89.267048961506305</v>
      </c>
      <c r="AM916">
        <v>91.665217553693594</v>
      </c>
      <c r="AN916">
        <v>1.0000000018258399</v>
      </c>
    </row>
    <row r="917" spans="1:40" x14ac:dyDescent="0.25">
      <c r="A917" t="str">
        <f>"20190305135809586"</f>
        <v>20190305135809586</v>
      </c>
      <c r="B917" t="str">
        <f>"1551765489579902"</f>
        <v>1551765489579902</v>
      </c>
      <c r="C917" t="s">
        <v>40</v>
      </c>
      <c r="D917">
        <v>4.0459040000000002</v>
      </c>
      <c r="E917">
        <v>0.57597519999999902</v>
      </c>
      <c r="F917" t="s">
        <v>55</v>
      </c>
      <c r="G917">
        <v>0</v>
      </c>
      <c r="H917">
        <v>0</v>
      </c>
      <c r="I917">
        <v>0</v>
      </c>
      <c r="J917">
        <v>-276.35989999999998</v>
      </c>
      <c r="K917">
        <v>1.085513</v>
      </c>
      <c r="L917">
        <v>367.83109999999999</v>
      </c>
      <c r="M917">
        <v>0.99998379999999998</v>
      </c>
      <c r="N917">
        <v>-3.8598650000000001E-3</v>
      </c>
      <c r="O917">
        <v>4.202524E-3</v>
      </c>
      <c r="P917">
        <v>0.99946060000000003</v>
      </c>
      <c r="Q917">
        <v>9.3988419999999993E-3</v>
      </c>
      <c r="R917">
        <v>3.1472449999999999E-2</v>
      </c>
      <c r="S917">
        <v>3.0178530000000001</v>
      </c>
      <c r="T917">
        <v>8.3763959999999998E-2</v>
      </c>
      <c r="U917">
        <v>-0.50711059999999997</v>
      </c>
      <c r="V917">
        <v>-2.7276760000000001E-2</v>
      </c>
      <c r="W917">
        <v>1.3246930000000001E-2</v>
      </c>
      <c r="X917">
        <v>0.99954019999999999</v>
      </c>
      <c r="Y917">
        <v>0.16980000000000001</v>
      </c>
      <c r="Z917">
        <v>2.141539E-3</v>
      </c>
      <c r="AA917">
        <v>0.98547620000000002</v>
      </c>
      <c r="AB917">
        <v>33</v>
      </c>
      <c r="AC917">
        <v>3.0178530000000001</v>
      </c>
      <c r="AD917">
        <v>8.3763959999999998E-2</v>
      </c>
      <c r="AE917">
        <v>-0.50711059999999997</v>
      </c>
      <c r="AF917">
        <v>0.51939965608217997</v>
      </c>
      <c r="AG917">
        <v>8.3763959999999998E-2</v>
      </c>
      <c r="AH917">
        <v>3.0134373796105698</v>
      </c>
      <c r="AI917">
        <v>88.430895216157296</v>
      </c>
      <c r="AJ917">
        <v>80.220519860691695</v>
      </c>
      <c r="AK917">
        <v>3.0590190003606401</v>
      </c>
      <c r="AL917">
        <v>89.2409846629198</v>
      </c>
      <c r="AM917">
        <v>91.563174194469198</v>
      </c>
      <c r="AN917">
        <v>1.0000000571032699</v>
      </c>
    </row>
    <row r="918" spans="1:40" x14ac:dyDescent="0.25">
      <c r="A918" t="str">
        <f>"20190305135809596"</f>
        <v>20190305135809596</v>
      </c>
      <c r="B918" t="str">
        <f>"1551765489589663"</f>
        <v>1551765489589663</v>
      </c>
      <c r="C918" t="s">
        <v>40</v>
      </c>
      <c r="D918">
        <v>3.9862540000000002</v>
      </c>
      <c r="E918">
        <v>0.57536999999999905</v>
      </c>
      <c r="F918" t="s">
        <v>55</v>
      </c>
      <c r="G918">
        <v>0</v>
      </c>
      <c r="H918">
        <v>0</v>
      </c>
      <c r="I918">
        <v>0</v>
      </c>
      <c r="J918">
        <v>-276.2</v>
      </c>
      <c r="K918">
        <v>1.086924</v>
      </c>
      <c r="L918">
        <v>367.83179999999999</v>
      </c>
      <c r="M918">
        <v>0.9999827</v>
      </c>
      <c r="N918">
        <v>-4.067335E-3</v>
      </c>
      <c r="O918">
        <v>4.2870920000000002E-3</v>
      </c>
      <c r="P918">
        <v>0.99949509999999997</v>
      </c>
      <c r="Q918">
        <v>9.7444760000000002E-3</v>
      </c>
      <c r="R918">
        <v>3.0247159999999999E-2</v>
      </c>
      <c r="S918">
        <v>3.016937</v>
      </c>
      <c r="T918">
        <v>8.1777810000000006E-2</v>
      </c>
      <c r="U918">
        <v>-0.50970459999999995</v>
      </c>
      <c r="V918">
        <v>-2.5966800000000002E-2</v>
      </c>
      <c r="W918">
        <v>1.380049E-2</v>
      </c>
      <c r="X918">
        <v>0.9995676</v>
      </c>
      <c r="Y918">
        <v>0.17075899999999999</v>
      </c>
      <c r="Z918">
        <v>2.0805440000000001E-3</v>
      </c>
      <c r="AA918">
        <v>0.98531060000000004</v>
      </c>
      <c r="AB918">
        <v>33</v>
      </c>
      <c r="AC918">
        <v>3.016937</v>
      </c>
      <c r="AD918">
        <v>8.1777810000000006E-2</v>
      </c>
      <c r="AE918">
        <v>-0.50970459999999995</v>
      </c>
      <c r="AF918">
        <v>0.52226082613848601</v>
      </c>
      <c r="AG918">
        <v>8.1777810000000006E-2</v>
      </c>
      <c r="AH918">
        <v>3.0125720520343</v>
      </c>
      <c r="AI918">
        <v>88.467899788237901</v>
      </c>
      <c r="AJ918">
        <v>80.164928067512903</v>
      </c>
      <c r="AK918">
        <v>3.05860006366072</v>
      </c>
      <c r="AL918">
        <v>89.209265112271495</v>
      </c>
      <c r="AM918">
        <v>91.488096954051002</v>
      </c>
      <c r="AN918">
        <v>1.0000000575981101</v>
      </c>
    </row>
    <row r="919" spans="1:40" x14ac:dyDescent="0.25">
      <c r="A919" t="str">
        <f>"20190305135809608"</f>
        <v>20190305135809608</v>
      </c>
      <c r="B919" t="str">
        <f>"1551765489599422"</f>
        <v>1551765489599422</v>
      </c>
      <c r="C919" t="s">
        <v>40</v>
      </c>
      <c r="D919">
        <v>4.0274089999999996</v>
      </c>
      <c r="E919">
        <v>0.57498450000000001</v>
      </c>
      <c r="F919" t="s">
        <v>55</v>
      </c>
      <c r="G919">
        <v>0</v>
      </c>
      <c r="H919">
        <v>0</v>
      </c>
      <c r="I919">
        <v>0</v>
      </c>
      <c r="J919">
        <v>-276.0317</v>
      </c>
      <c r="K919">
        <v>1.0883449999999999</v>
      </c>
      <c r="L919">
        <v>367.83269999999999</v>
      </c>
      <c r="M919">
        <v>0.99998109999999996</v>
      </c>
      <c r="N919">
        <v>-4.3257069999999998E-3</v>
      </c>
      <c r="O919">
        <v>4.3798270000000002E-3</v>
      </c>
      <c r="P919">
        <v>0.99951999999999996</v>
      </c>
      <c r="Q919">
        <v>9.9905110000000005E-3</v>
      </c>
      <c r="R919">
        <v>2.932825E-2</v>
      </c>
      <c r="S919">
        <v>3.0161129999999998</v>
      </c>
      <c r="T919">
        <v>8.1416249999999996E-2</v>
      </c>
      <c r="U919">
        <v>-0.50863649999999905</v>
      </c>
      <c r="V919">
        <v>-2.4955680000000001E-2</v>
      </c>
      <c r="W919">
        <v>1.430493E-2</v>
      </c>
      <c r="X919">
        <v>0.99958619999999998</v>
      </c>
      <c r="Y919">
        <v>0.1705564</v>
      </c>
      <c r="Z919">
        <v>2.0500990000000001E-3</v>
      </c>
      <c r="AA919">
        <v>0.98534580000000005</v>
      </c>
      <c r="AB919">
        <v>33</v>
      </c>
      <c r="AC919">
        <v>3.0161129999999998</v>
      </c>
      <c r="AD919">
        <v>8.1416249999999996E-2</v>
      </c>
      <c r="AE919">
        <v>-0.50863649999999905</v>
      </c>
      <c r="AF919">
        <v>0.52147232713207703</v>
      </c>
      <c r="AG919">
        <v>8.1416249999999996E-2</v>
      </c>
      <c r="AH919">
        <v>3.0117224630575299</v>
      </c>
      <c r="AI919">
        <v>88.474185677965096</v>
      </c>
      <c r="AJ919">
        <v>80.176771190283205</v>
      </c>
      <c r="AK919">
        <v>3.05761903909135</v>
      </c>
      <c r="AL919">
        <v>89.1803599243555</v>
      </c>
      <c r="AM919">
        <v>91.430149968940697</v>
      </c>
      <c r="AN919">
        <v>0.99999999410850304</v>
      </c>
    </row>
    <row r="920" spans="1:40" x14ac:dyDescent="0.25">
      <c r="A920" t="str">
        <f>"20190305135809619"</f>
        <v>20190305135809619</v>
      </c>
      <c r="B920" t="str">
        <f>"1551765489609183"</f>
        <v>1551765489609183</v>
      </c>
      <c r="C920" t="s">
        <v>40</v>
      </c>
      <c r="D920">
        <v>4.0607480000000002</v>
      </c>
      <c r="E920">
        <v>0.57463909999999996</v>
      </c>
      <c r="F920" t="s">
        <v>55</v>
      </c>
      <c r="G920">
        <v>0</v>
      </c>
      <c r="H920">
        <v>0</v>
      </c>
      <c r="I920">
        <v>0</v>
      </c>
      <c r="J920">
        <v>-275.85930000000002</v>
      </c>
      <c r="K920">
        <v>1.089785</v>
      </c>
      <c r="L920">
        <v>367.83350000000002</v>
      </c>
      <c r="M920">
        <v>0.99997950000000002</v>
      </c>
      <c r="N920">
        <v>-4.5983899999999999E-3</v>
      </c>
      <c r="O920">
        <v>4.4757779999999997E-3</v>
      </c>
      <c r="P920">
        <v>0.99953840000000005</v>
      </c>
      <c r="Q920">
        <v>9.9168160000000002E-3</v>
      </c>
      <c r="R920">
        <v>2.871547E-2</v>
      </c>
      <c r="S920">
        <v>3.0155940000000001</v>
      </c>
      <c r="T920">
        <v>8.2557560000000002E-2</v>
      </c>
      <c r="U920">
        <v>-0.50827029999999995</v>
      </c>
      <c r="V920">
        <v>-2.424683E-2</v>
      </c>
      <c r="W920">
        <v>1.450423E-2</v>
      </c>
      <c r="X920">
        <v>0.99960079999999996</v>
      </c>
      <c r="Y920">
        <v>0.1705612</v>
      </c>
      <c r="Z920">
        <v>2.065075E-3</v>
      </c>
      <c r="AA920">
        <v>0.98534489999999997</v>
      </c>
      <c r="AB920">
        <v>33</v>
      </c>
      <c r="AC920">
        <v>3.0155940000000001</v>
      </c>
      <c r="AD920">
        <v>8.2557560000000002E-2</v>
      </c>
      <c r="AE920">
        <v>-0.50827029999999995</v>
      </c>
      <c r="AF920">
        <v>0.52138250129309005</v>
      </c>
      <c r="AG920">
        <v>8.2557560000000002E-2</v>
      </c>
      <c r="AH920">
        <v>3.0110944096629599</v>
      </c>
      <c r="AI920">
        <v>88.452485896234805</v>
      </c>
      <c r="AJ920">
        <v>80.176421654632605</v>
      </c>
      <c r="AK920">
        <v>3.05701570281727</v>
      </c>
      <c r="AL920">
        <v>89.168939712404693</v>
      </c>
      <c r="AM920">
        <v>91.389523352955607</v>
      </c>
      <c r="AN920">
        <v>1.00000002040679</v>
      </c>
    </row>
    <row r="921" spans="1:40" x14ac:dyDescent="0.25">
      <c r="A921" t="str">
        <f>"20190305135809630"</f>
        <v>20190305135809630</v>
      </c>
      <c r="B921" t="str">
        <f>"1551765489619919"</f>
        <v>1551765489619919</v>
      </c>
      <c r="C921" t="s">
        <v>40</v>
      </c>
      <c r="D921">
        <v>4.0465150000000003</v>
      </c>
      <c r="E921">
        <v>0.57431560000000004</v>
      </c>
      <c r="F921" t="s">
        <v>55</v>
      </c>
      <c r="G921">
        <v>0</v>
      </c>
      <c r="H921">
        <v>0</v>
      </c>
      <c r="I921">
        <v>0</v>
      </c>
      <c r="J921">
        <v>-275.6979</v>
      </c>
      <c r="K921">
        <v>1.0910530000000001</v>
      </c>
      <c r="L921">
        <v>367.83429999999998</v>
      </c>
      <c r="M921">
        <v>0.99997769999999997</v>
      </c>
      <c r="N921">
        <v>-4.872866E-3</v>
      </c>
      <c r="O921">
        <v>4.5704409999999997E-3</v>
      </c>
      <c r="P921">
        <v>0.99955680000000002</v>
      </c>
      <c r="Q921">
        <v>9.7592080000000001E-3</v>
      </c>
      <c r="R921">
        <v>2.8127539999999999E-2</v>
      </c>
      <c r="S921">
        <v>3.0151370000000002</v>
      </c>
      <c r="T921">
        <v>8.1917050000000005E-2</v>
      </c>
      <c r="U921">
        <v>-0.50735470000000005</v>
      </c>
      <c r="V921">
        <v>-2.3564229999999999E-2</v>
      </c>
      <c r="W921">
        <v>1.4621520000000001E-2</v>
      </c>
      <c r="X921">
        <v>0.99961540000000004</v>
      </c>
      <c r="Y921">
        <v>0.1703896</v>
      </c>
      <c r="Z921">
        <v>2.0253519999999998E-3</v>
      </c>
      <c r="AA921">
        <v>0.98537470000000005</v>
      </c>
      <c r="AB921">
        <v>33</v>
      </c>
      <c r="AC921">
        <v>3.0151370000000002</v>
      </c>
      <c r="AD921">
        <v>8.1917050000000005E-2</v>
      </c>
      <c r="AE921">
        <v>-0.50735470000000005</v>
      </c>
      <c r="AF921">
        <v>0.52075626671432296</v>
      </c>
      <c r="AG921">
        <v>8.1917050000000005E-2</v>
      </c>
      <c r="AH921">
        <v>3.0106255930339199</v>
      </c>
      <c r="AI921">
        <v>88.464200579312703</v>
      </c>
      <c r="AJ921">
        <v>80.186493091392705</v>
      </c>
      <c r="AK921">
        <v>3.0564299360256602</v>
      </c>
      <c r="AL921">
        <v>89.162218764808003</v>
      </c>
      <c r="AM921">
        <v>91.350400284390602</v>
      </c>
      <c r="AN921">
        <v>1.0000000048498801</v>
      </c>
    </row>
    <row r="922" spans="1:40" x14ac:dyDescent="0.25">
      <c r="A922" t="str">
        <f>"20190305135809641"</f>
        <v>20190305135809641</v>
      </c>
      <c r="B922" t="str">
        <f>"1551765489629678"</f>
        <v>1551765489629678</v>
      </c>
      <c r="C922" t="s">
        <v>40</v>
      </c>
      <c r="D922">
        <v>4.0552330000000003</v>
      </c>
      <c r="E922">
        <v>0.57394979999999995</v>
      </c>
      <c r="F922" t="s">
        <v>55</v>
      </c>
      <c r="G922">
        <v>0</v>
      </c>
      <c r="H922">
        <v>0</v>
      </c>
      <c r="I922">
        <v>0</v>
      </c>
      <c r="J922">
        <v>-275.53989999999999</v>
      </c>
      <c r="K922">
        <v>1.0922620000000001</v>
      </c>
      <c r="L922">
        <v>367.83510000000001</v>
      </c>
      <c r="M922">
        <v>0.99997590000000003</v>
      </c>
      <c r="N922">
        <v>-5.1436110000000002E-3</v>
      </c>
      <c r="O922">
        <v>4.6644829999999997E-3</v>
      </c>
      <c r="P922">
        <v>0.99956400000000001</v>
      </c>
      <c r="Q922">
        <v>9.3432519999999998E-3</v>
      </c>
      <c r="R922">
        <v>2.800621E-2</v>
      </c>
      <c r="S922">
        <v>3.0148009999999998</v>
      </c>
      <c r="T922">
        <v>8.0172060000000003E-2</v>
      </c>
      <c r="U922">
        <v>-0.50650019999999996</v>
      </c>
      <c r="V922">
        <v>-2.3349310000000002E-2</v>
      </c>
      <c r="W922">
        <v>1.44761E-2</v>
      </c>
      <c r="X922">
        <v>0.99962260000000003</v>
      </c>
      <c r="Y922">
        <v>0.17023160000000001</v>
      </c>
      <c r="Z922">
        <v>1.9534040000000002E-3</v>
      </c>
      <c r="AA922">
        <v>0.98540220000000001</v>
      </c>
      <c r="AB922">
        <v>33</v>
      </c>
      <c r="AC922">
        <v>3.0148009999999998</v>
      </c>
      <c r="AD922">
        <v>8.0172060000000003E-2</v>
      </c>
      <c r="AE922">
        <v>-0.50650019999999996</v>
      </c>
      <c r="AF922">
        <v>0.52019958835118396</v>
      </c>
      <c r="AG922">
        <v>8.0172060000000003E-2</v>
      </c>
      <c r="AH922">
        <v>3.0103352042390399</v>
      </c>
      <c r="AI922">
        <v>88.496713511662307</v>
      </c>
      <c r="AJ922">
        <v>80.195852587135207</v>
      </c>
      <c r="AK922">
        <v>3.0560028162300998</v>
      </c>
      <c r="AL922">
        <v>89.170551632354204</v>
      </c>
      <c r="AM922">
        <v>91.338078682850906</v>
      </c>
      <c r="AN922">
        <v>1.00000004508972</v>
      </c>
    </row>
    <row r="923" spans="1:40" x14ac:dyDescent="0.25">
      <c r="A923" t="str">
        <f>"20190305135809652"</f>
        <v>20190305135809652</v>
      </c>
      <c r="B923" t="str">
        <f>"1551765489649199"</f>
        <v>1551765489649199</v>
      </c>
      <c r="C923" t="s">
        <v>40</v>
      </c>
      <c r="D923">
        <v>4.0391979999999998</v>
      </c>
      <c r="E923">
        <v>0.57320700000000002</v>
      </c>
      <c r="F923" t="s">
        <v>55</v>
      </c>
      <c r="G923">
        <v>0</v>
      </c>
      <c r="H923">
        <v>0</v>
      </c>
      <c r="I923">
        <v>0</v>
      </c>
      <c r="J923">
        <v>-275.37110000000001</v>
      </c>
      <c r="K923">
        <v>1.093478</v>
      </c>
      <c r="L923">
        <v>367.83600000000001</v>
      </c>
      <c r="M923">
        <v>0.99997400000000003</v>
      </c>
      <c r="N923">
        <v>-5.4390439999999996E-3</v>
      </c>
      <c r="O923">
        <v>4.7689250000000002E-3</v>
      </c>
      <c r="P923">
        <v>0.99958159999999896</v>
      </c>
      <c r="Q923">
        <v>8.7162950000000006E-3</v>
      </c>
      <c r="R923">
        <v>2.7583860000000002E-2</v>
      </c>
      <c r="S923">
        <v>3.0147089999999999</v>
      </c>
      <c r="T923">
        <v>7.7203750000000002E-2</v>
      </c>
      <c r="U923">
        <v>-0.50405880000000003</v>
      </c>
      <c r="V923">
        <v>-2.2822229999999999E-2</v>
      </c>
      <c r="W923">
        <v>1.4144250000000001E-2</v>
      </c>
      <c r="X923">
        <v>0.99963950000000001</v>
      </c>
      <c r="Y923">
        <v>0.16956779999999999</v>
      </c>
      <c r="Z923">
        <v>1.8385680000000001E-3</v>
      </c>
      <c r="AA923">
        <v>0.98551679999999997</v>
      </c>
      <c r="AB923">
        <v>33</v>
      </c>
      <c r="AC923">
        <v>3.0147089999999999</v>
      </c>
      <c r="AD923">
        <v>7.7203750000000002E-2</v>
      </c>
      <c r="AE923">
        <v>-0.50405880000000003</v>
      </c>
      <c r="AF923">
        <v>0.51809965877236097</v>
      </c>
      <c r="AG923">
        <v>7.7203750000000002E-2</v>
      </c>
      <c r="AH923">
        <v>3.0103503006122598</v>
      </c>
      <c r="AI923">
        <v>88.5521854068934</v>
      </c>
      <c r="AJ923">
        <v>80.234714266229105</v>
      </c>
      <c r="AK923">
        <v>3.0555844952857099</v>
      </c>
      <c r="AL923">
        <v>89.189567164394006</v>
      </c>
      <c r="AM923">
        <v>91.307861823507096</v>
      </c>
      <c r="AN923">
        <v>1.0000000219752401</v>
      </c>
    </row>
    <row r="924" spans="1:40" x14ac:dyDescent="0.25">
      <c r="A924" t="str">
        <f>"20190305135809663"</f>
        <v>20190305135809663</v>
      </c>
      <c r="B924" t="str">
        <f>"1551765489658958"</f>
        <v>1551765489658958</v>
      </c>
      <c r="C924" t="s">
        <v>40</v>
      </c>
      <c r="D924">
        <v>4.0583130000000001</v>
      </c>
      <c r="E924">
        <v>0.57293269999999996</v>
      </c>
      <c r="F924" t="s">
        <v>55</v>
      </c>
      <c r="G924">
        <v>0</v>
      </c>
      <c r="H924">
        <v>0</v>
      </c>
      <c r="I924">
        <v>0</v>
      </c>
      <c r="J924">
        <v>-275.21170000000001</v>
      </c>
      <c r="K924">
        <v>1.0945780000000001</v>
      </c>
      <c r="L924">
        <v>367.83690000000001</v>
      </c>
      <c r="M924">
        <v>0.99997190000000002</v>
      </c>
      <c r="N924">
        <v>-5.7170959999999996E-3</v>
      </c>
      <c r="O924">
        <v>4.8703380000000001E-3</v>
      </c>
      <c r="P924">
        <v>0.99960190000000004</v>
      </c>
      <c r="Q924">
        <v>7.7026949999999999E-3</v>
      </c>
      <c r="R924">
        <v>2.7144120000000001E-2</v>
      </c>
      <c r="S924">
        <v>3.0144039999999999</v>
      </c>
      <c r="T924">
        <v>7.4862360000000003E-2</v>
      </c>
      <c r="U924">
        <v>-0.49969479999999999</v>
      </c>
      <c r="V924">
        <v>-2.2280959999999999E-2</v>
      </c>
      <c r="W924">
        <v>1.340856E-2</v>
      </c>
      <c r="X924">
        <v>0.99966180000000004</v>
      </c>
      <c r="Y924">
        <v>0.16829930000000001</v>
      </c>
      <c r="Z924">
        <v>1.738734E-3</v>
      </c>
      <c r="AA924">
        <v>0.98573440000000001</v>
      </c>
      <c r="AB924">
        <v>33</v>
      </c>
      <c r="AC924">
        <v>3.0144039999999999</v>
      </c>
      <c r="AD924">
        <v>7.4862360000000003E-2</v>
      </c>
      <c r="AE924">
        <v>-0.49969479999999999</v>
      </c>
      <c r="AF924">
        <v>0.51406169919636202</v>
      </c>
      <c r="AG924">
        <v>7.4862360000000003E-2</v>
      </c>
      <c r="AH924">
        <v>3.0101276179480201</v>
      </c>
      <c r="AI924">
        <v>88.595661598699493</v>
      </c>
      <c r="AJ924">
        <v>80.308670889768905</v>
      </c>
      <c r="AK924">
        <v>3.05462470360253</v>
      </c>
      <c r="AL924">
        <v>89.231723059013802</v>
      </c>
      <c r="AM924">
        <v>91.276825460802002</v>
      </c>
      <c r="AN924">
        <v>0.999999972519517</v>
      </c>
    </row>
    <row r="925" spans="1:40" x14ac:dyDescent="0.25">
      <c r="A925" t="str">
        <f>"20190305135809675"</f>
        <v>20190305135809675</v>
      </c>
      <c r="B925" t="str">
        <f>"1551765489669694"</f>
        <v>1551765489669694</v>
      </c>
      <c r="C925" t="s">
        <v>40</v>
      </c>
      <c r="D925">
        <v>4.0900860000000003</v>
      </c>
      <c r="E925">
        <v>0.5726272</v>
      </c>
      <c r="F925" t="s">
        <v>55</v>
      </c>
      <c r="G925">
        <v>0</v>
      </c>
      <c r="H925">
        <v>0</v>
      </c>
      <c r="I925">
        <v>0</v>
      </c>
      <c r="J925">
        <v>-275.02190000000002</v>
      </c>
      <c r="K925">
        <v>1.0958220000000001</v>
      </c>
      <c r="L925">
        <v>367.83789999999999</v>
      </c>
      <c r="M925">
        <v>0.9999692</v>
      </c>
      <c r="N925">
        <v>-6.0469399999999998E-3</v>
      </c>
      <c r="O925">
        <v>4.9944150000000003E-3</v>
      </c>
      <c r="P925">
        <v>0.99962050000000002</v>
      </c>
      <c r="Q925">
        <v>6.2430380000000002E-3</v>
      </c>
      <c r="R925">
        <v>2.683396E-2</v>
      </c>
      <c r="S925">
        <v>3.0141909999999998</v>
      </c>
      <c r="T925">
        <v>7.1206450000000004E-2</v>
      </c>
      <c r="U925">
        <v>-0.4988708</v>
      </c>
      <c r="V925">
        <v>-2.1846069999999999E-2</v>
      </c>
      <c r="W925">
        <v>1.2278549999999999E-2</v>
      </c>
      <c r="X925">
        <v>0.99968590000000002</v>
      </c>
      <c r="Y925">
        <v>0.16817560000000001</v>
      </c>
      <c r="Z925">
        <v>1.6079880000000001E-3</v>
      </c>
      <c r="AA925">
        <v>0.98575570000000001</v>
      </c>
      <c r="AB925">
        <v>33</v>
      </c>
      <c r="AC925">
        <v>3.0141909999999998</v>
      </c>
      <c r="AD925">
        <v>7.1206450000000004E-2</v>
      </c>
      <c r="AE925">
        <v>-0.4988708</v>
      </c>
      <c r="AF925">
        <v>0.51363996461839501</v>
      </c>
      <c r="AG925">
        <v>7.1206450000000004E-2</v>
      </c>
      <c r="AH925">
        <v>3.0100267417367301</v>
      </c>
      <c r="AI925">
        <v>88.664142586160906</v>
      </c>
      <c r="AJ925">
        <v>80.316152640747006</v>
      </c>
      <c r="AK925">
        <v>3.0543669324010598</v>
      </c>
      <c r="AL925">
        <v>89.2964731972164</v>
      </c>
      <c r="AM925">
        <v>91.251881634931607</v>
      </c>
      <c r="AN925">
        <v>0.99999995611167702</v>
      </c>
    </row>
    <row r="926" spans="1:40" x14ac:dyDescent="0.25">
      <c r="A926" t="str">
        <f>"20190305135809689"</f>
        <v>20190305135809689</v>
      </c>
      <c r="B926" t="str">
        <f>"1551765489679455"</f>
        <v>1551765489679455</v>
      </c>
      <c r="C926" t="s">
        <v>40</v>
      </c>
      <c r="D926">
        <v>4.0672889999999997</v>
      </c>
      <c r="E926">
        <v>0.57231460000000001</v>
      </c>
      <c r="F926" t="s">
        <v>55</v>
      </c>
      <c r="G926">
        <v>0</v>
      </c>
      <c r="H926">
        <v>0</v>
      </c>
      <c r="I926">
        <v>0</v>
      </c>
      <c r="J926">
        <v>-274.83449999999999</v>
      </c>
      <c r="K926">
        <v>1.0969500000000001</v>
      </c>
      <c r="L926">
        <v>367.839</v>
      </c>
      <c r="M926">
        <v>0.99996680000000004</v>
      </c>
      <c r="N926">
        <v>-6.3594569999999998E-3</v>
      </c>
      <c r="O926">
        <v>5.1211870000000001E-3</v>
      </c>
      <c r="P926">
        <v>0.99963860000000004</v>
      </c>
      <c r="Q926">
        <v>4.6887830000000002E-3</v>
      </c>
      <c r="R926">
        <v>2.6478350000000001E-2</v>
      </c>
      <c r="S926">
        <v>3.0140690000000001</v>
      </c>
      <c r="T926">
        <v>6.6442130000000002E-2</v>
      </c>
      <c r="U926">
        <v>-0.49737550000000003</v>
      </c>
      <c r="V926">
        <v>-2.1363500000000001E-2</v>
      </c>
      <c r="W926">
        <v>1.103695E-2</v>
      </c>
      <c r="X926">
        <v>0.99971089999999996</v>
      </c>
      <c r="Y926">
        <v>0.16783679999999901</v>
      </c>
      <c r="Z926">
        <v>1.444416E-3</v>
      </c>
      <c r="AA926">
        <v>0.98581370000000001</v>
      </c>
      <c r="AB926">
        <v>33</v>
      </c>
      <c r="AC926">
        <v>3.0140690000000001</v>
      </c>
      <c r="AD926">
        <v>6.6442130000000002E-2</v>
      </c>
      <c r="AE926">
        <v>-0.49737550000000003</v>
      </c>
      <c r="AF926">
        <v>0.51256242773149796</v>
      </c>
      <c r="AG926">
        <v>6.6442130000000002E-2</v>
      </c>
      <c r="AH926">
        <v>3.0100583433233701</v>
      </c>
      <c r="AI926">
        <v>88.753432469881702</v>
      </c>
      <c r="AJ926">
        <v>80.336183896486801</v>
      </c>
      <c r="AK926">
        <v>3.0541096950128699</v>
      </c>
      <c r="AL926">
        <v>89.367616537635797</v>
      </c>
      <c r="AM926">
        <v>91.224206030223996</v>
      </c>
      <c r="AN926">
        <v>1.0000000484881799</v>
      </c>
    </row>
    <row r="927" spans="1:40" x14ac:dyDescent="0.25">
      <c r="A927" t="str">
        <f>"20190305135809702"</f>
        <v>20190305135809702</v>
      </c>
      <c r="B927" t="str">
        <f>"1551765489699950"</f>
        <v>1551765489699950</v>
      </c>
      <c r="C927" t="s">
        <v>40</v>
      </c>
      <c r="D927">
        <v>4.0743960000000001</v>
      </c>
      <c r="E927">
        <v>0.57193280000000002</v>
      </c>
      <c r="F927" t="s">
        <v>55</v>
      </c>
      <c r="G927">
        <v>0</v>
      </c>
      <c r="H927">
        <v>0</v>
      </c>
      <c r="I927">
        <v>0</v>
      </c>
      <c r="J927">
        <v>-274.62689999999998</v>
      </c>
      <c r="K927">
        <v>1.0981350000000001</v>
      </c>
      <c r="L927">
        <v>367.84019999999998</v>
      </c>
      <c r="M927">
        <v>0.99996379999999996</v>
      </c>
      <c r="N927">
        <v>-6.6940569999999998E-3</v>
      </c>
      <c r="O927">
        <v>5.2674030000000004E-3</v>
      </c>
      <c r="P927">
        <v>0.99964900000000001</v>
      </c>
      <c r="Q927">
        <v>2.6071309999999999E-3</v>
      </c>
      <c r="R927">
        <v>2.6367080000000001E-2</v>
      </c>
      <c r="S927">
        <v>3.0138850000000001</v>
      </c>
      <c r="T927">
        <v>6.2015889999999997E-2</v>
      </c>
      <c r="U927">
        <v>-0.49594120000000003</v>
      </c>
      <c r="V927">
        <v>-2.110598E-2</v>
      </c>
      <c r="W927">
        <v>9.2894339999999992E-3</v>
      </c>
      <c r="X927">
        <v>0.99973409999999996</v>
      </c>
      <c r="Y927">
        <v>0.16753889999999999</v>
      </c>
      <c r="Z927">
        <v>1.2901410000000001E-3</v>
      </c>
      <c r="AA927">
        <v>0.98586459999999998</v>
      </c>
      <c r="AB927">
        <v>33</v>
      </c>
      <c r="AC927">
        <v>3.0138850000000001</v>
      </c>
      <c r="AD927">
        <v>6.2015889999999997E-2</v>
      </c>
      <c r="AE927">
        <v>-0.49594120000000003</v>
      </c>
      <c r="AF927">
        <v>0.51159911963021998</v>
      </c>
      <c r="AG927">
        <v>6.2015889999999997E-2</v>
      </c>
      <c r="AH927">
        <v>3.0099899701525801</v>
      </c>
      <c r="AI927">
        <v>88.836365393119607</v>
      </c>
      <c r="AJ927">
        <v>80.353789490465203</v>
      </c>
      <c r="AK927">
        <v>3.0537876891228102</v>
      </c>
      <c r="AL927">
        <v>89.467746989644098</v>
      </c>
      <c r="AM927">
        <v>91.209425551789394</v>
      </c>
      <c r="AN927">
        <v>1.0000000133393001</v>
      </c>
    </row>
    <row r="928" spans="1:40" x14ac:dyDescent="0.25">
      <c r="A928" t="str">
        <f>"20190305135809714"</f>
        <v>20190305135809714</v>
      </c>
      <c r="B928" t="str">
        <f>"1551765489709710"</f>
        <v>1551765489709710</v>
      </c>
      <c r="C928" t="s">
        <v>40</v>
      </c>
      <c r="D928">
        <v>4.0069819999999998</v>
      </c>
      <c r="E928">
        <v>0.57157309999999995</v>
      </c>
      <c r="F928" t="s">
        <v>55</v>
      </c>
      <c r="G928">
        <v>0</v>
      </c>
      <c r="H928">
        <v>0</v>
      </c>
      <c r="I928">
        <v>0</v>
      </c>
      <c r="J928">
        <v>-274.43729999999999</v>
      </c>
      <c r="K928">
        <v>1.099129</v>
      </c>
      <c r="L928">
        <v>367.84129999999999</v>
      </c>
      <c r="M928">
        <v>0.99996110000000005</v>
      </c>
      <c r="N928">
        <v>-6.9816790000000002E-3</v>
      </c>
      <c r="O928">
        <v>5.4094719999999898E-3</v>
      </c>
      <c r="P928">
        <v>0.99965289999999996</v>
      </c>
      <c r="Q928">
        <v>1.2552329999999999E-3</v>
      </c>
      <c r="R928">
        <v>2.6323780000000001E-2</v>
      </c>
      <c r="S928">
        <v>3.013916</v>
      </c>
      <c r="T928">
        <v>5.4908869999999999E-2</v>
      </c>
      <c r="U928">
        <v>-0.4931335</v>
      </c>
      <c r="V928">
        <v>-2.0920250000000001E-2</v>
      </c>
      <c r="W928">
        <v>8.2246969999999996E-3</v>
      </c>
      <c r="X928">
        <v>0.99974730000000001</v>
      </c>
      <c r="Y928">
        <v>0.16678989999999999</v>
      </c>
      <c r="Z928">
        <v>1.058465E-3</v>
      </c>
      <c r="AA928">
        <v>0.98599190000000003</v>
      </c>
      <c r="AB928">
        <v>33</v>
      </c>
      <c r="AC928">
        <v>3.013916</v>
      </c>
      <c r="AD928">
        <v>5.4908869999999999E-2</v>
      </c>
      <c r="AE928">
        <v>-0.4931335</v>
      </c>
      <c r="AF928">
        <v>0.50926575020140896</v>
      </c>
      <c r="AG928">
        <v>5.4908869999999999E-2</v>
      </c>
      <c r="AH928">
        <v>3.01023116290638</v>
      </c>
      <c r="AI928">
        <v>88.969635905753904</v>
      </c>
      <c r="AJ928">
        <v>80.397719186436305</v>
      </c>
      <c r="AK928">
        <v>3.0534993437801101</v>
      </c>
      <c r="AL928">
        <v>89.528754253143902</v>
      </c>
      <c r="AM928">
        <v>91.198770053455505</v>
      </c>
      <c r="AN928">
        <v>0.99999998317904704</v>
      </c>
    </row>
    <row r="929" spans="1:40" x14ac:dyDescent="0.25">
      <c r="A929" t="str">
        <f>"20190305135809726"</f>
        <v>20190305135809726</v>
      </c>
      <c r="B929" t="str">
        <f>"1551765489719471"</f>
        <v>1551765489719471</v>
      </c>
      <c r="C929" t="s">
        <v>40</v>
      </c>
      <c r="D929">
        <v>4.0623089999999999</v>
      </c>
      <c r="E929">
        <v>0.5714224</v>
      </c>
      <c r="F929" t="s">
        <v>55</v>
      </c>
      <c r="G929">
        <v>0</v>
      </c>
      <c r="H929">
        <v>0</v>
      </c>
      <c r="I929">
        <v>0</v>
      </c>
      <c r="J929">
        <v>-274.27080000000001</v>
      </c>
      <c r="K929">
        <v>1.0999209999999999</v>
      </c>
      <c r="L929">
        <v>367.84230000000002</v>
      </c>
      <c r="M929">
        <v>0.99995869999999998</v>
      </c>
      <c r="N929">
        <v>-7.2154990000000002E-3</v>
      </c>
      <c r="O929">
        <v>5.5433829999999998E-3</v>
      </c>
      <c r="P929">
        <v>0.99965919999999997</v>
      </c>
      <c r="Q929">
        <v>-8.249059E-4</v>
      </c>
      <c r="R929">
        <v>2.6094260000000001E-2</v>
      </c>
      <c r="S929">
        <v>3.0138850000000001</v>
      </c>
      <c r="T929">
        <v>4.9827580000000003E-2</v>
      </c>
      <c r="U929">
        <v>-0.49023440000000001</v>
      </c>
      <c r="V929">
        <v>-2.0555839999999999E-2</v>
      </c>
      <c r="W929">
        <v>6.3784319999999999E-3</v>
      </c>
      <c r="X929">
        <v>0.9997684</v>
      </c>
      <c r="Y929">
        <v>0.16600390000000001</v>
      </c>
      <c r="Z929">
        <v>8.9113589999999904E-4</v>
      </c>
      <c r="AA929">
        <v>0.98612469999999997</v>
      </c>
      <c r="AB929">
        <v>33</v>
      </c>
      <c r="AC929">
        <v>3.0138850000000001</v>
      </c>
      <c r="AD929">
        <v>4.9827580000000003E-2</v>
      </c>
      <c r="AE929">
        <v>-0.49023440000000001</v>
      </c>
      <c r="AF929">
        <v>0.50679946689841404</v>
      </c>
      <c r="AG929">
        <v>4.9827580000000003E-2</v>
      </c>
      <c r="AH929">
        <v>3.0103194627379199</v>
      </c>
      <c r="AI929">
        <v>89.064869417736801</v>
      </c>
      <c r="AJ929">
        <v>80.443636756254904</v>
      </c>
      <c r="AK929">
        <v>3.0530888875229101</v>
      </c>
      <c r="AL929">
        <v>89.634540303102298</v>
      </c>
      <c r="AM929">
        <v>91.177869751218694</v>
      </c>
      <c r="AN929">
        <v>1.0000000402957201</v>
      </c>
    </row>
    <row r="930" spans="1:40" x14ac:dyDescent="0.25">
      <c r="A930" t="str">
        <f>"20190305135809737"</f>
        <v>20190305135809737</v>
      </c>
      <c r="B930" t="str">
        <f>"1551765489729231"</f>
        <v>1551765489729231</v>
      </c>
      <c r="C930" t="s">
        <v>40</v>
      </c>
      <c r="D930">
        <v>4.0607179999999996</v>
      </c>
      <c r="E930">
        <v>0.57129969999999997</v>
      </c>
      <c r="F930" t="s">
        <v>55</v>
      </c>
      <c r="G930">
        <v>0</v>
      </c>
      <c r="H930">
        <v>0</v>
      </c>
      <c r="I930">
        <v>0</v>
      </c>
      <c r="J930">
        <v>-274.09840000000003</v>
      </c>
      <c r="K930">
        <v>1.100716</v>
      </c>
      <c r="L930">
        <v>367.84339999999997</v>
      </c>
      <c r="M930">
        <v>0.99995610000000001</v>
      </c>
      <c r="N930">
        <v>-7.4500510000000001E-3</v>
      </c>
      <c r="O930">
        <v>5.6858459999999996E-3</v>
      </c>
      <c r="P930">
        <v>0.9996564</v>
      </c>
      <c r="Q930">
        <v>-2.4637489999999999E-3</v>
      </c>
      <c r="R930">
        <v>2.6091489999999998E-2</v>
      </c>
      <c r="S930">
        <v>3.0138850000000001</v>
      </c>
      <c r="T930">
        <v>4.3412329999999999E-2</v>
      </c>
      <c r="U930">
        <v>-0.49005130000000002</v>
      </c>
      <c r="V930">
        <v>-2.041012E-2</v>
      </c>
      <c r="W930">
        <v>4.9741710000000003E-3</v>
      </c>
      <c r="X930">
        <v>0.99977930000000004</v>
      </c>
      <c r="Y930">
        <v>0.1660906</v>
      </c>
      <c r="Z930">
        <v>6.8902449999999995E-4</v>
      </c>
      <c r="AA930">
        <v>0.9861103</v>
      </c>
      <c r="AB930">
        <v>33</v>
      </c>
      <c r="AC930">
        <v>3.0138850000000001</v>
      </c>
      <c r="AD930">
        <v>4.3412329999999999E-2</v>
      </c>
      <c r="AE930">
        <v>-0.49005130000000002</v>
      </c>
      <c r="AF930">
        <v>0.50707784152429902</v>
      </c>
      <c r="AG930">
        <v>4.3412329999999999E-2</v>
      </c>
      <c r="AH930">
        <v>3.01044133213674</v>
      </c>
      <c r="AI930">
        <v>89.185293500109495</v>
      </c>
      <c r="AJ930">
        <v>80.438864453659903</v>
      </c>
      <c r="AK930">
        <v>3.0531573136669898</v>
      </c>
      <c r="AL930">
        <v>89.714999814733602</v>
      </c>
      <c r="AM930">
        <v>91.169509432936295</v>
      </c>
      <c r="AN930">
        <v>0.99999998204202001</v>
      </c>
    </row>
    <row r="931" spans="1:40" x14ac:dyDescent="0.25">
      <c r="A931" t="str">
        <f>"20190305135809752"</f>
        <v>20190305135809752</v>
      </c>
      <c r="B931" t="str">
        <f>"1551765489749728"</f>
        <v>1551765489749728</v>
      </c>
      <c r="C931" t="s">
        <v>40</v>
      </c>
      <c r="D931">
        <v>4.0540620000000001</v>
      </c>
      <c r="E931">
        <v>0.57114010000000004</v>
      </c>
      <c r="F931" t="s">
        <v>55</v>
      </c>
      <c r="G931">
        <v>0</v>
      </c>
      <c r="H931">
        <v>0</v>
      </c>
      <c r="I931">
        <v>0</v>
      </c>
      <c r="J931">
        <v>-273.87939999999998</v>
      </c>
      <c r="K931">
        <v>1.1016010000000001</v>
      </c>
      <c r="L931">
        <v>367.84480000000002</v>
      </c>
      <c r="M931">
        <v>0.99995310000000004</v>
      </c>
      <c r="N931">
        <v>-7.707846E-3</v>
      </c>
      <c r="O931">
        <v>5.8792790000000003E-3</v>
      </c>
      <c r="P931">
        <v>0.99965820000000005</v>
      </c>
      <c r="Q931">
        <v>-5.5500360000000004E-3</v>
      </c>
      <c r="R931">
        <v>2.5546989999999999E-2</v>
      </c>
      <c r="S931">
        <v>3.0138850000000001</v>
      </c>
      <c r="T931">
        <v>3.8291569999999997E-2</v>
      </c>
      <c r="U931">
        <v>-0.48913570000000001</v>
      </c>
      <c r="V931">
        <v>-1.9670429999999999E-2</v>
      </c>
      <c r="W931">
        <v>2.1460670000000002E-3</v>
      </c>
      <c r="X931">
        <v>0.99980420000000003</v>
      </c>
      <c r="Y931">
        <v>0.16599259999999999</v>
      </c>
      <c r="Z931">
        <v>5.2290879999999896E-4</v>
      </c>
      <c r="AA931">
        <v>0.98612679999999997</v>
      </c>
      <c r="AB931">
        <v>33</v>
      </c>
      <c r="AC931">
        <v>3.0138850000000001</v>
      </c>
      <c r="AD931">
        <v>3.8291569999999997E-2</v>
      </c>
      <c r="AE931">
        <v>-0.48913570000000001</v>
      </c>
      <c r="AF931">
        <v>0.50676753901534699</v>
      </c>
      <c r="AG931">
        <v>3.8291569999999997E-2</v>
      </c>
      <c r="AH931">
        <v>3.0104835808625499</v>
      </c>
      <c r="AI931">
        <v>89.281380232217501</v>
      </c>
      <c r="AJ931">
        <v>80.444739027901704</v>
      </c>
      <c r="AK931">
        <v>3.0530789334007999</v>
      </c>
      <c r="AL931">
        <v>89.877039322103499</v>
      </c>
      <c r="AM931">
        <v>91.127107925423999</v>
      </c>
      <c r="AN931">
        <v>0.99999998487879604</v>
      </c>
    </row>
    <row r="932" spans="1:40" x14ac:dyDescent="0.25">
      <c r="A932" t="str">
        <f>"20190305135809765"</f>
        <v>20190305135809765</v>
      </c>
      <c r="B932" t="str">
        <f>"1551765489759486"</f>
        <v>1551765489759486</v>
      </c>
      <c r="C932" t="s">
        <v>40</v>
      </c>
      <c r="D932">
        <v>4.0169090000000001</v>
      </c>
      <c r="E932">
        <v>0.57117050000000003</v>
      </c>
      <c r="F932" t="s">
        <v>55</v>
      </c>
      <c r="G932">
        <v>0</v>
      </c>
      <c r="H932">
        <v>0</v>
      </c>
      <c r="I932">
        <v>0</v>
      </c>
      <c r="J932">
        <v>-273.70490000000001</v>
      </c>
      <c r="K932">
        <v>1.1022559999999999</v>
      </c>
      <c r="L932">
        <v>367.846</v>
      </c>
      <c r="M932">
        <v>0.99995060000000002</v>
      </c>
      <c r="N932">
        <v>-7.8940580000000007E-3</v>
      </c>
      <c r="O932">
        <v>6.0369959999999898E-3</v>
      </c>
      <c r="P932">
        <v>0.99966010000000005</v>
      </c>
      <c r="Q932">
        <v>-6.5587190000000002E-3</v>
      </c>
      <c r="R932">
        <v>2.5236049999999999E-2</v>
      </c>
      <c r="S932">
        <v>3.0137019999999999</v>
      </c>
      <c r="T932">
        <v>3.201938E-2</v>
      </c>
      <c r="U932">
        <v>-0.48913570000000001</v>
      </c>
      <c r="V932">
        <v>-1.9201340000000001E-2</v>
      </c>
      <c r="W932">
        <v>1.3235250000000001E-3</v>
      </c>
      <c r="X932">
        <v>0.99981469999999995</v>
      </c>
      <c r="Y932">
        <v>0.16616059999999999</v>
      </c>
      <c r="Z932">
        <v>3.2788309999999998E-4</v>
      </c>
      <c r="AA932">
        <v>0.98609860000000005</v>
      </c>
      <c r="AB932">
        <v>33</v>
      </c>
      <c r="AC932">
        <v>3.0137019999999999</v>
      </c>
      <c r="AD932">
        <v>3.201938E-2</v>
      </c>
      <c r="AE932">
        <v>-0.48913570000000001</v>
      </c>
      <c r="AF932">
        <v>0.50726526866769694</v>
      </c>
      <c r="AG932">
        <v>3.201938E-2</v>
      </c>
      <c r="AH932">
        <v>3.0103629817455602</v>
      </c>
      <c r="AI932">
        <v>89.399074114664003</v>
      </c>
      <c r="AJ932">
        <v>80.435151387464501</v>
      </c>
      <c r="AK932">
        <v>3.0529704511108702</v>
      </c>
      <c r="AL932">
        <v>89.924167576636094</v>
      </c>
      <c r="AM932">
        <v>91.100224388369199</v>
      </c>
      <c r="AN932">
        <v>0.99999993875615301</v>
      </c>
    </row>
    <row r="933" spans="1:40" x14ac:dyDescent="0.25">
      <c r="A933" t="str">
        <f>"20190305135809775"</f>
        <v>20190305135809775</v>
      </c>
      <c r="B933" t="str">
        <f>"1551765489769246"</f>
        <v>1551765489769246</v>
      </c>
      <c r="C933" t="s">
        <v>40</v>
      </c>
      <c r="D933">
        <v>4.03355</v>
      </c>
      <c r="E933">
        <v>0.57115539999999998</v>
      </c>
      <c r="F933" t="s">
        <v>55</v>
      </c>
      <c r="G933">
        <v>0</v>
      </c>
      <c r="H933">
        <v>0</v>
      </c>
      <c r="I933">
        <v>0</v>
      </c>
      <c r="J933">
        <v>-273.53410000000002</v>
      </c>
      <c r="K933">
        <v>1.1028519999999999</v>
      </c>
      <c r="L933">
        <v>367.84719999999999</v>
      </c>
      <c r="M933">
        <v>0.99994850000000002</v>
      </c>
      <c r="N933">
        <v>-8.0582610000000006E-3</v>
      </c>
      <c r="O933">
        <v>6.1943609999999998E-3</v>
      </c>
      <c r="P933">
        <v>0.99965539999999997</v>
      </c>
      <c r="Q933">
        <v>-7.5813979999999996E-3</v>
      </c>
      <c r="R933">
        <v>2.513336E-2</v>
      </c>
      <c r="S933">
        <v>3.013611</v>
      </c>
      <c r="T933">
        <v>3.0135149999999999E-2</v>
      </c>
      <c r="U933">
        <v>-0.49038700000000002</v>
      </c>
      <c r="V933">
        <v>-1.894057E-2</v>
      </c>
      <c r="W933">
        <v>4.6521810000000002E-4</v>
      </c>
      <c r="X933">
        <v>0.9998205</v>
      </c>
      <c r="Y933">
        <v>0.16672010000000001</v>
      </c>
      <c r="Z933">
        <v>2.6309290000000002E-4</v>
      </c>
      <c r="AA933">
        <v>0.9860042</v>
      </c>
      <c r="AB933">
        <v>33</v>
      </c>
      <c r="AC933">
        <v>3.013611</v>
      </c>
      <c r="AD933">
        <v>3.0135149999999999E-2</v>
      </c>
      <c r="AE933">
        <v>-0.49038700000000002</v>
      </c>
      <c r="AF933">
        <v>0.508996005456261</v>
      </c>
      <c r="AG933">
        <v>3.0135149999999999E-2</v>
      </c>
      <c r="AH933">
        <v>3.0102222087991199</v>
      </c>
      <c r="AI933">
        <v>89.4344618090891</v>
      </c>
      <c r="AJ933">
        <v>80.402682619000601</v>
      </c>
      <c r="AK933">
        <v>3.0531005235961999</v>
      </c>
      <c r="AL933">
        <v>89.973344965273299</v>
      </c>
      <c r="AM933">
        <v>91.085279739775999</v>
      </c>
      <c r="AN933">
        <v>0.99999999692002695</v>
      </c>
    </row>
    <row r="934" spans="1:40" x14ac:dyDescent="0.25">
      <c r="A934" t="str">
        <f>"20190305135809786"</f>
        <v>20190305135809786</v>
      </c>
      <c r="B934" t="str">
        <f>"1551765489779983"</f>
        <v>1551765489779983</v>
      </c>
      <c r="C934" t="s">
        <v>40</v>
      </c>
      <c r="D934">
        <v>4.0072179999999999</v>
      </c>
      <c r="E934">
        <v>0.57119259999999905</v>
      </c>
      <c r="F934" t="s">
        <v>55</v>
      </c>
      <c r="G934">
        <v>0</v>
      </c>
      <c r="H934">
        <v>0</v>
      </c>
      <c r="I934">
        <v>0</v>
      </c>
      <c r="J934">
        <v>-273.36540000000002</v>
      </c>
      <c r="K934">
        <v>1.1033809999999999</v>
      </c>
      <c r="L934">
        <v>367.84840000000003</v>
      </c>
      <c r="M934">
        <v>0.99994620000000001</v>
      </c>
      <c r="N934">
        <v>-8.1973059999999997E-3</v>
      </c>
      <c r="O934">
        <v>6.3521680000000001E-3</v>
      </c>
      <c r="P934">
        <v>0.99965539999999997</v>
      </c>
      <c r="Q934">
        <v>-8.9663880000000005E-3</v>
      </c>
      <c r="R934">
        <v>2.4676090000000001E-2</v>
      </c>
      <c r="S934">
        <v>3.0135800000000001</v>
      </c>
      <c r="T934">
        <v>2.8517250000000001E-2</v>
      </c>
      <c r="U934">
        <v>-0.49032589999999998</v>
      </c>
      <c r="V934">
        <v>-1.83246E-2</v>
      </c>
      <c r="W934">
        <v>-7.8078309999999999E-4</v>
      </c>
      <c r="X934">
        <v>0.99983180000000005</v>
      </c>
      <c r="Y934">
        <v>0.16685849999999999</v>
      </c>
      <c r="Z934">
        <v>2.073799E-4</v>
      </c>
      <c r="AA934">
        <v>0.98598079999999999</v>
      </c>
      <c r="AB934">
        <v>33</v>
      </c>
      <c r="AC934">
        <v>3.0135800000000001</v>
      </c>
      <c r="AD934">
        <v>2.8517250000000001E-2</v>
      </c>
      <c r="AE934">
        <v>-0.49032589999999998</v>
      </c>
      <c r="AF934">
        <v>0.50941497702826499</v>
      </c>
      <c r="AG934">
        <v>2.8517250000000001E-2</v>
      </c>
      <c r="AH934">
        <v>3.0101418623551801</v>
      </c>
      <c r="AI934">
        <v>89.464821046496795</v>
      </c>
      <c r="AJ934">
        <v>80.394678265594194</v>
      </c>
      <c r="AK934">
        <v>3.0530756433261499</v>
      </c>
      <c r="AL934">
        <v>90.044735580244406</v>
      </c>
      <c r="AM934">
        <v>91.049981314132296</v>
      </c>
      <c r="AN934">
        <v>1.00000001443932</v>
      </c>
    </row>
    <row r="935" spans="1:40" x14ac:dyDescent="0.25">
      <c r="A935" t="str">
        <f>"20190305135809797"</f>
        <v>20190305135809797</v>
      </c>
      <c r="B935" t="str">
        <f>"1551765489789743"</f>
        <v>1551765489789743</v>
      </c>
      <c r="C935" t="s">
        <v>40</v>
      </c>
      <c r="D935">
        <v>4.0121820000000001</v>
      </c>
      <c r="E935">
        <v>0.57121560000000005</v>
      </c>
      <c r="F935" t="s">
        <v>55</v>
      </c>
      <c r="G935">
        <v>0</v>
      </c>
      <c r="H935">
        <v>0</v>
      </c>
      <c r="I935">
        <v>0</v>
      </c>
      <c r="J935">
        <v>-273.19869999999997</v>
      </c>
      <c r="K935">
        <v>1.1038870000000001</v>
      </c>
      <c r="L935">
        <v>367.84949999999998</v>
      </c>
      <c r="M935">
        <v>0.99994419999999995</v>
      </c>
      <c r="N935">
        <v>-8.3269999999999993E-3</v>
      </c>
      <c r="O935">
        <v>6.508631E-3</v>
      </c>
      <c r="P935">
        <v>0.99964640000000005</v>
      </c>
      <c r="Q935">
        <v>-1.028741E-2</v>
      </c>
      <c r="R935">
        <v>2.452826E-2</v>
      </c>
      <c r="S935">
        <v>3.0133969999999999</v>
      </c>
      <c r="T935">
        <v>2.5797250000000001E-2</v>
      </c>
      <c r="U935">
        <v>-0.4920349</v>
      </c>
      <c r="V935">
        <v>-1.8019919999999998E-2</v>
      </c>
      <c r="W935">
        <v>-1.9721080000000002E-3</v>
      </c>
      <c r="X935">
        <v>0.99983569999999999</v>
      </c>
      <c r="Y935">
        <v>0.16756779999999999</v>
      </c>
      <c r="Z935">
        <v>1.194527E-4</v>
      </c>
      <c r="AA935">
        <v>0.98586050000000003</v>
      </c>
      <c r="AB935">
        <v>34</v>
      </c>
      <c r="AC935">
        <v>3.0133969999999999</v>
      </c>
      <c r="AD935">
        <v>2.5797250000000001E-2</v>
      </c>
      <c r="AE935">
        <v>-0.4920349</v>
      </c>
      <c r="AF935">
        <v>0.51160172473445797</v>
      </c>
      <c r="AG935">
        <v>2.5797250000000001E-2</v>
      </c>
      <c r="AH935">
        <v>3.0099157204092601</v>
      </c>
      <c r="AI935">
        <v>89.515886947683896</v>
      </c>
      <c r="AJ935">
        <v>80.353507807844096</v>
      </c>
      <c r="AK935">
        <v>3.0531941416859798</v>
      </c>
      <c r="AL935">
        <v>90.112993536481497</v>
      </c>
      <c r="AM935">
        <v>91.032523238586194</v>
      </c>
      <c r="AN935">
        <v>1.00000001686063</v>
      </c>
    </row>
    <row r="936" spans="1:40" x14ac:dyDescent="0.25">
      <c r="A936" t="str">
        <f>"20190305135809809"</f>
        <v>20190305135809809</v>
      </c>
      <c r="B936" t="str">
        <f>"1551765489799503"</f>
        <v>1551765489799503</v>
      </c>
      <c r="C936" t="s">
        <v>40</v>
      </c>
      <c r="D936">
        <v>4.0125630000000001</v>
      </c>
      <c r="E936">
        <v>0.57125909999999902</v>
      </c>
      <c r="F936" t="s">
        <v>55</v>
      </c>
      <c r="G936">
        <v>0</v>
      </c>
      <c r="H936">
        <v>0</v>
      </c>
      <c r="I936">
        <v>0</v>
      </c>
      <c r="J936">
        <v>-273.02670000000001</v>
      </c>
      <c r="K936">
        <v>1.1043400000000001</v>
      </c>
      <c r="L936">
        <v>367.85079999999999</v>
      </c>
      <c r="M936">
        <v>0.99994229999999995</v>
      </c>
      <c r="N936">
        <v>-8.4334849999999992E-3</v>
      </c>
      <c r="O936">
        <v>6.6715560000000004E-3</v>
      </c>
      <c r="P936">
        <v>0.99963709999999995</v>
      </c>
      <c r="Q936">
        <v>-1.154912E-2</v>
      </c>
      <c r="R936">
        <v>2.434126E-2</v>
      </c>
      <c r="S936">
        <v>3.0133969999999999</v>
      </c>
      <c r="T936">
        <v>2.34077E-2</v>
      </c>
      <c r="U936">
        <v>-0.49273679999999997</v>
      </c>
      <c r="V936">
        <v>-1.766945E-2</v>
      </c>
      <c r="W936">
        <v>-3.1273009999999999E-3</v>
      </c>
      <c r="X936">
        <v>0.99983900000000003</v>
      </c>
      <c r="Y936">
        <v>0.16795270000000001</v>
      </c>
      <c r="Z936" s="1">
        <v>4.2482160000000002E-5</v>
      </c>
      <c r="AA936">
        <v>0.98579510000000004</v>
      </c>
      <c r="AB936">
        <v>34</v>
      </c>
      <c r="AC936">
        <v>3.0133969999999999</v>
      </c>
      <c r="AD936">
        <v>2.34077E-2</v>
      </c>
      <c r="AE936">
        <v>-0.49273679999999997</v>
      </c>
      <c r="AF936">
        <v>0.51280045618636605</v>
      </c>
      <c r="AG936">
        <v>2.34077E-2</v>
      </c>
      <c r="AH936">
        <v>3.0098656085569102</v>
      </c>
      <c r="AI936">
        <v>89.560749392489697</v>
      </c>
      <c r="AJ936">
        <v>80.331173399908195</v>
      </c>
      <c r="AK936">
        <v>3.0533265809372399</v>
      </c>
      <c r="AL936">
        <v>90.179181439254606</v>
      </c>
      <c r="AM936">
        <v>91.012442541661002</v>
      </c>
      <c r="AN936">
        <v>1.0000000076979201</v>
      </c>
    </row>
    <row r="937" spans="1:40" x14ac:dyDescent="0.25">
      <c r="A937" t="str">
        <f>"20190305135809819"</f>
        <v>20190305135809819</v>
      </c>
      <c r="B937" t="str">
        <f>"1551765489809263"</f>
        <v>1551765489809263</v>
      </c>
      <c r="C937" t="s">
        <v>40</v>
      </c>
      <c r="D937">
        <v>4.0286609999999996</v>
      </c>
      <c r="E937">
        <v>0.57127399999999995</v>
      </c>
      <c r="F937" t="s">
        <v>55</v>
      </c>
      <c r="G937">
        <v>0</v>
      </c>
      <c r="H937">
        <v>0</v>
      </c>
      <c r="I937">
        <v>0</v>
      </c>
      <c r="J937">
        <v>-272.86020000000002</v>
      </c>
      <c r="K937">
        <v>1.1047610000000001</v>
      </c>
      <c r="L937">
        <v>367.85210000000001</v>
      </c>
      <c r="M937">
        <v>0.99994050000000001</v>
      </c>
      <c r="N937">
        <v>-8.5308629999999996E-3</v>
      </c>
      <c r="O937">
        <v>6.8296829999999996E-3</v>
      </c>
      <c r="P937">
        <v>0.9996235</v>
      </c>
      <c r="Q937">
        <v>-1.252322E-2</v>
      </c>
      <c r="R937">
        <v>2.4413870000000001E-2</v>
      </c>
      <c r="S937">
        <v>3.0133670000000001</v>
      </c>
      <c r="T937">
        <v>2.160811E-2</v>
      </c>
      <c r="U937">
        <v>-0.49365229999999999</v>
      </c>
      <c r="V937">
        <v>-1.75830999999999E-2</v>
      </c>
      <c r="W937">
        <v>-4.0041690000000001E-3</v>
      </c>
      <c r="X937">
        <v>0.99983739999999999</v>
      </c>
      <c r="Y937">
        <v>0.1684023</v>
      </c>
      <c r="Z937" s="1">
        <v>-1.6769979999999999E-5</v>
      </c>
      <c r="AA937">
        <v>0.98571839999999999</v>
      </c>
      <c r="AB937">
        <v>34</v>
      </c>
      <c r="AC937">
        <v>3.0133670000000001</v>
      </c>
      <c r="AD937">
        <v>2.160811E-2</v>
      </c>
      <c r="AE937">
        <v>-0.49365229999999999</v>
      </c>
      <c r="AF937">
        <v>0.51419612307778195</v>
      </c>
      <c r="AG937">
        <v>2.160811E-2</v>
      </c>
      <c r="AH937">
        <v>3.00977438793982</v>
      </c>
      <c r="AI937">
        <v>89.594537146034099</v>
      </c>
      <c r="AJ937">
        <v>80.305068662450694</v>
      </c>
      <c r="AK937">
        <v>3.0534581100294398</v>
      </c>
      <c r="AL937">
        <v>90.229422594337095</v>
      </c>
      <c r="AM937">
        <v>91.007497403730795</v>
      </c>
      <c r="AN937">
        <v>1.00000001260687</v>
      </c>
    </row>
    <row r="938" spans="1:40" x14ac:dyDescent="0.25">
      <c r="A938" t="str">
        <f>"20190305135809831"</f>
        <v>20190305135809831</v>
      </c>
      <c r="B938" t="str">
        <f>"1551765489819023"</f>
        <v>1551765489819023</v>
      </c>
      <c r="C938" t="s">
        <v>40</v>
      </c>
      <c r="D938">
        <v>4.0219120000000004</v>
      </c>
      <c r="E938">
        <v>0.57130619999999999</v>
      </c>
      <c r="F938" t="s">
        <v>55</v>
      </c>
      <c r="G938">
        <v>0</v>
      </c>
      <c r="H938">
        <v>0</v>
      </c>
      <c r="I938">
        <v>0</v>
      </c>
      <c r="J938">
        <v>-272.69029999999998</v>
      </c>
      <c r="K938">
        <v>1.1051439999999999</v>
      </c>
      <c r="L938">
        <v>367.85340000000002</v>
      </c>
      <c r="M938">
        <v>0.99993860000000001</v>
      </c>
      <c r="N938">
        <v>-8.6102750000000006E-3</v>
      </c>
      <c r="O938">
        <v>6.9911560000000001E-3</v>
      </c>
      <c r="P938">
        <v>0.99961489999999997</v>
      </c>
      <c r="Q938">
        <v>-1.3266180000000001E-2</v>
      </c>
      <c r="R938">
        <v>2.4379410000000001E-2</v>
      </c>
      <c r="S938">
        <v>3.0134280000000002</v>
      </c>
      <c r="T938">
        <v>1.9821640000000001E-2</v>
      </c>
      <c r="U938">
        <v>-0.49340820000000002</v>
      </c>
      <c r="V938">
        <v>-1.7387099999999999E-2</v>
      </c>
      <c r="W938">
        <v>-4.66776E-3</v>
      </c>
      <c r="X938">
        <v>0.99983789999999995</v>
      </c>
      <c r="Y938">
        <v>0.16848079999999999</v>
      </c>
      <c r="Z938" s="1">
        <v>-7.4220940000000002E-5</v>
      </c>
      <c r="AA938">
        <v>0.98570500000000005</v>
      </c>
      <c r="AB938">
        <v>34</v>
      </c>
      <c r="AC938">
        <v>3.0134280000000002</v>
      </c>
      <c r="AD938">
        <v>1.9821640000000001E-2</v>
      </c>
      <c r="AE938">
        <v>-0.49340820000000002</v>
      </c>
      <c r="AF938">
        <v>0.51444258765579198</v>
      </c>
      <c r="AG938">
        <v>1.9821640000000001E-2</v>
      </c>
      <c r="AH938">
        <v>3.0097779057360499</v>
      </c>
      <c r="AI938">
        <v>89.628063648506497</v>
      </c>
      <c r="AJ938">
        <v>80.300521062919302</v>
      </c>
      <c r="AK938">
        <v>3.0534909718653398</v>
      </c>
      <c r="AL938">
        <v>90.267443928924706</v>
      </c>
      <c r="AM938">
        <v>90.996268540527097</v>
      </c>
      <c r="AN938">
        <v>0.99999996275311798</v>
      </c>
    </row>
    <row r="939" spans="1:40" x14ac:dyDescent="0.25">
      <c r="A939" t="str">
        <f>"20190305135809843"</f>
        <v>20190305135809843</v>
      </c>
      <c r="B939" t="str">
        <f>"1551765489839520"</f>
        <v>1551765489839520</v>
      </c>
      <c r="C939" t="s">
        <v>40</v>
      </c>
      <c r="D939">
        <v>4.0481660000000002</v>
      </c>
      <c r="E939">
        <v>0.57123740000000001</v>
      </c>
      <c r="F939" t="s">
        <v>55</v>
      </c>
      <c r="G939">
        <v>0</v>
      </c>
      <c r="H939">
        <v>0</v>
      </c>
      <c r="I939">
        <v>0</v>
      </c>
      <c r="J939">
        <v>-272.52190000000002</v>
      </c>
      <c r="K939">
        <v>1.1054999999999999</v>
      </c>
      <c r="L939">
        <v>367.85469999999998</v>
      </c>
      <c r="M939">
        <v>0.99993670000000001</v>
      </c>
      <c r="N939">
        <v>-8.6812219999999902E-3</v>
      </c>
      <c r="O939">
        <v>7.1514660000000004E-3</v>
      </c>
      <c r="P939">
        <v>0.99960490000000002</v>
      </c>
      <c r="Q939">
        <v>-1.410637E-2</v>
      </c>
      <c r="R939">
        <v>2.4316540000000001E-2</v>
      </c>
      <c r="S939">
        <v>3.013458</v>
      </c>
      <c r="T939">
        <v>1.9098759999999999E-2</v>
      </c>
      <c r="U939">
        <v>-0.49356080000000002</v>
      </c>
      <c r="V939">
        <v>-1.7163910000000001E-2</v>
      </c>
      <c r="W939">
        <v>-5.4370290000000003E-3</v>
      </c>
      <c r="X939">
        <v>0.99983789999999995</v>
      </c>
      <c r="Y939">
        <v>0.168686</v>
      </c>
      <c r="Z939" s="1">
        <v>-9.9354769999999903E-5</v>
      </c>
      <c r="AA939">
        <v>0.98566989999999999</v>
      </c>
      <c r="AB939">
        <v>34</v>
      </c>
      <c r="AC939">
        <v>3.013458</v>
      </c>
      <c r="AD939">
        <v>1.9098759999999999E-2</v>
      </c>
      <c r="AE939">
        <v>-0.49356080000000002</v>
      </c>
      <c r="AF939">
        <v>0.51507948399247505</v>
      </c>
      <c r="AG939">
        <v>1.9098759999999999E-2</v>
      </c>
      <c r="AH939">
        <v>3.0097333808442799</v>
      </c>
      <c r="AI939">
        <v>89.641634971750406</v>
      </c>
      <c r="AJ939">
        <v>80.288600397115601</v>
      </c>
      <c r="AK939">
        <v>3.0535498458731398</v>
      </c>
      <c r="AL939">
        <v>90.311520351594396</v>
      </c>
      <c r="AM939">
        <v>90.983482439465504</v>
      </c>
      <c r="AN939">
        <v>0.99999999368362202</v>
      </c>
    </row>
    <row r="940" spans="1:40" x14ac:dyDescent="0.25">
      <c r="A940" t="str">
        <f>"20190305135809853"</f>
        <v>20190305135809853</v>
      </c>
      <c r="B940" t="str">
        <f>"1551765489849279"</f>
        <v>1551765489849279</v>
      </c>
      <c r="C940" t="s">
        <v>40</v>
      </c>
      <c r="D940">
        <v>4.0227629999999897</v>
      </c>
      <c r="E940">
        <v>0.57126359999999998</v>
      </c>
      <c r="F940" t="s">
        <v>55</v>
      </c>
      <c r="G940">
        <v>0</v>
      </c>
      <c r="H940">
        <v>0</v>
      </c>
      <c r="I940">
        <v>0</v>
      </c>
      <c r="J940">
        <v>-272.35910000000001</v>
      </c>
      <c r="K940">
        <v>1.105815</v>
      </c>
      <c r="L940">
        <v>367.85599999999999</v>
      </c>
      <c r="M940">
        <v>0.99993520000000002</v>
      </c>
      <c r="N940">
        <v>-8.7389419999999995E-3</v>
      </c>
      <c r="O940">
        <v>7.3064619999999997E-3</v>
      </c>
      <c r="P940">
        <v>0.99959620000000005</v>
      </c>
      <c r="Q940">
        <v>-1.4943039999999999E-2</v>
      </c>
      <c r="R940">
        <v>2.4173429999999999E-2</v>
      </c>
      <c r="S940">
        <v>3.0134280000000002</v>
      </c>
      <c r="T940">
        <v>2.0114900000000002E-2</v>
      </c>
      <c r="U940">
        <v>-0.49316409999999999</v>
      </c>
      <c r="V940">
        <v>-1.6865390000000001E-2</v>
      </c>
      <c r="W940">
        <v>-6.2159249999999997E-3</v>
      </c>
      <c r="X940">
        <v>0.99983849999999996</v>
      </c>
      <c r="Y940">
        <v>0.1687138</v>
      </c>
      <c r="Z940" s="1">
        <v>-7.083488E-5</v>
      </c>
      <c r="AA940">
        <v>0.98566509999999996</v>
      </c>
      <c r="AB940">
        <v>34</v>
      </c>
      <c r="AC940">
        <v>3.0134280000000002</v>
      </c>
      <c r="AD940">
        <v>2.0114900000000002E-2</v>
      </c>
      <c r="AE940">
        <v>-0.49316409999999999</v>
      </c>
      <c r="AF940">
        <v>0.51514691682222102</v>
      </c>
      <c r="AG940">
        <v>2.0114900000000002E-2</v>
      </c>
      <c r="AH940">
        <v>3.0096135348359598</v>
      </c>
      <c r="AI940">
        <v>89.6225556814409</v>
      </c>
      <c r="AJ940">
        <v>80.286973821696506</v>
      </c>
      <c r="AK940">
        <v>3.0534496203771302</v>
      </c>
      <c r="AL940">
        <v>90.356148543025398</v>
      </c>
      <c r="AM940">
        <v>90.966380103217702</v>
      </c>
      <c r="AN940">
        <v>1.0000000525928501</v>
      </c>
    </row>
    <row r="941" spans="1:40" x14ac:dyDescent="0.25">
      <c r="A941" t="str">
        <f>"20190305135809864"</f>
        <v>20190305135809864</v>
      </c>
      <c r="B941" t="str">
        <f>"1551765489860015"</f>
        <v>1551765489860015</v>
      </c>
      <c r="C941" t="s">
        <v>40</v>
      </c>
      <c r="D941">
        <v>4.0172800000000004</v>
      </c>
      <c r="E941">
        <v>0.57128140000000005</v>
      </c>
      <c r="F941" t="s">
        <v>55</v>
      </c>
      <c r="G941">
        <v>0</v>
      </c>
      <c r="H941">
        <v>0</v>
      </c>
      <c r="I941">
        <v>0</v>
      </c>
      <c r="J941">
        <v>-272.18729999999999</v>
      </c>
      <c r="K941">
        <v>1.1061160000000001</v>
      </c>
      <c r="L941">
        <v>367.85739999999998</v>
      </c>
      <c r="M941">
        <v>0.99993350000000003</v>
      </c>
      <c r="N941">
        <v>-8.7896769999999992E-3</v>
      </c>
      <c r="O941">
        <v>7.4702459999999998E-3</v>
      </c>
      <c r="P941">
        <v>0.99959209999999998</v>
      </c>
      <c r="Q941">
        <v>-1.544417E-2</v>
      </c>
      <c r="R941">
        <v>2.4021689999999998E-2</v>
      </c>
      <c r="S941">
        <v>3.0134280000000002</v>
      </c>
      <c r="T941">
        <v>1.931536E-2</v>
      </c>
      <c r="U941">
        <v>-0.49353029999999998</v>
      </c>
      <c r="V941">
        <v>-1.6549250000000001E-2</v>
      </c>
      <c r="W941">
        <v>-6.6662429999999996E-3</v>
      </c>
      <c r="X941">
        <v>0.99984090000000003</v>
      </c>
      <c r="Y941">
        <v>0.16899210000000001</v>
      </c>
      <c r="Z941" s="1">
        <v>-9.681983E-5</v>
      </c>
      <c r="AA941">
        <v>0.98561739999999998</v>
      </c>
      <c r="AB941">
        <v>34</v>
      </c>
      <c r="AC941">
        <v>3.0134280000000002</v>
      </c>
      <c r="AD941">
        <v>1.931536E-2</v>
      </c>
      <c r="AE941">
        <v>-0.49353029999999998</v>
      </c>
      <c r="AF941">
        <v>0.51600779904249905</v>
      </c>
      <c r="AG941">
        <v>1.931536E-2</v>
      </c>
      <c r="AH941">
        <v>3.0095365586824698</v>
      </c>
      <c r="AI941">
        <v>89.637566421112496</v>
      </c>
      <c r="AJ941">
        <v>80.270807877657504</v>
      </c>
      <c r="AK941">
        <v>3.0535139478723501</v>
      </c>
      <c r="AL941">
        <v>90.381950390969294</v>
      </c>
      <c r="AM941">
        <v>90.948266471179295</v>
      </c>
      <c r="AN941">
        <v>1.00000007089205</v>
      </c>
    </row>
    <row r="942" spans="1:40" x14ac:dyDescent="0.25">
      <c r="A942" t="str">
        <f>"20190305135809877"</f>
        <v>20190305135809877</v>
      </c>
      <c r="B942" t="str">
        <f>"1551765489869774"</f>
        <v>1551765489869774</v>
      </c>
      <c r="C942" t="s">
        <v>40</v>
      </c>
      <c r="D942">
        <v>4.0172089999999896</v>
      </c>
      <c r="E942">
        <v>0.57129010000000002</v>
      </c>
      <c r="F942" t="s">
        <v>55</v>
      </c>
      <c r="G942">
        <v>0</v>
      </c>
      <c r="H942">
        <v>0</v>
      </c>
      <c r="I942">
        <v>0</v>
      </c>
      <c r="J942">
        <v>-271.99470000000002</v>
      </c>
      <c r="K942">
        <v>1.1064369999999999</v>
      </c>
      <c r="L942">
        <v>367.85899999999998</v>
      </c>
      <c r="M942">
        <v>0.99993180000000004</v>
      </c>
      <c r="N942">
        <v>-8.8388700000000004E-3</v>
      </c>
      <c r="O942">
        <v>7.6537669999999997E-3</v>
      </c>
      <c r="P942">
        <v>0.9995889</v>
      </c>
      <c r="Q942">
        <v>-1.5987439999999999E-2</v>
      </c>
      <c r="R942">
        <v>2.379999E-2</v>
      </c>
      <c r="S942">
        <v>3.0133969999999999</v>
      </c>
      <c r="T942">
        <v>1.9184590000000001E-2</v>
      </c>
      <c r="U942">
        <v>-0.49438480000000001</v>
      </c>
      <c r="V942">
        <v>-1.6143939999999999E-2</v>
      </c>
      <c r="W942">
        <v>-7.160179E-3</v>
      </c>
      <c r="X942">
        <v>0.99984399999999996</v>
      </c>
      <c r="Y942">
        <v>0.16944670000000001</v>
      </c>
      <c r="Z942">
        <v>-1.0244279999999999E-4</v>
      </c>
      <c r="AA942">
        <v>0.98553939999999995</v>
      </c>
      <c r="AB942">
        <v>34</v>
      </c>
      <c r="AC942">
        <v>3.0133969999999999</v>
      </c>
      <c r="AD942">
        <v>1.9184590000000001E-2</v>
      </c>
      <c r="AE942">
        <v>-0.49438480000000001</v>
      </c>
      <c r="AF942">
        <v>0.51741463213025995</v>
      </c>
      <c r="AG942">
        <v>1.9184590000000001E-2</v>
      </c>
      <c r="AH942">
        <v>3.0094058973704301</v>
      </c>
      <c r="AI942">
        <v>89.640033008908006</v>
      </c>
      <c r="AJ942">
        <v>80.244375987349997</v>
      </c>
      <c r="AK942">
        <v>3.0536224071033899</v>
      </c>
      <c r="AL942">
        <v>90.410251559337297</v>
      </c>
      <c r="AM942">
        <v>90.925043562842504</v>
      </c>
      <c r="AN942">
        <v>0.999999959649017</v>
      </c>
    </row>
    <row r="943" spans="1:40" x14ac:dyDescent="0.25">
      <c r="A943" t="str">
        <f>"20190305135809900"</f>
        <v>20190305135809900</v>
      </c>
      <c r="B943" t="str">
        <f>"1551765489889294"</f>
        <v>1551765489889294</v>
      </c>
      <c r="C943" t="s">
        <v>40</v>
      </c>
      <c r="D943">
        <v>4.0793499999999998</v>
      </c>
      <c r="E943">
        <v>0.57138449999999996</v>
      </c>
      <c r="F943" t="s">
        <v>55</v>
      </c>
      <c r="G943">
        <v>0</v>
      </c>
      <c r="H943">
        <v>0</v>
      </c>
      <c r="I943">
        <v>0</v>
      </c>
      <c r="J943">
        <v>-271.6694</v>
      </c>
      <c r="K943">
        <v>1.1068880000000001</v>
      </c>
      <c r="L943">
        <v>367.86169999999998</v>
      </c>
      <c r="M943">
        <v>0.99992899999999996</v>
      </c>
      <c r="N943">
        <v>-8.8735259999999996E-3</v>
      </c>
      <c r="O943">
        <v>7.9641369999999996E-3</v>
      </c>
      <c r="P943">
        <v>0.99957929999999995</v>
      </c>
      <c r="Q943">
        <v>-1.7207050000000002E-2</v>
      </c>
      <c r="R943">
        <v>2.335243E-2</v>
      </c>
      <c r="S943">
        <v>3.013306</v>
      </c>
      <c r="T943">
        <v>1.875162E-2</v>
      </c>
      <c r="U943">
        <v>-0.49496459999999998</v>
      </c>
      <c r="V943">
        <v>-1.538527E-2</v>
      </c>
      <c r="W943">
        <v>-8.3448350000000001E-3</v>
      </c>
      <c r="X943">
        <v>0.99984680000000004</v>
      </c>
      <c r="Y943">
        <v>0.16994210000000001</v>
      </c>
      <c r="Z943">
        <v>-1.143516E-4</v>
      </c>
      <c r="AA943">
        <v>0.98545400000000005</v>
      </c>
      <c r="AB943">
        <v>34</v>
      </c>
      <c r="AC943">
        <v>3.013306</v>
      </c>
      <c r="AD943">
        <v>1.875162E-2</v>
      </c>
      <c r="AE943">
        <v>-0.49496459999999998</v>
      </c>
      <c r="AF943">
        <v>0.51892865840671898</v>
      </c>
      <c r="AG943">
        <v>1.875162E-2</v>
      </c>
      <c r="AH943">
        <v>3.00915483909397</v>
      </c>
      <c r="AI943">
        <v>89.648157860819097</v>
      </c>
      <c r="AJ943">
        <v>80.215580096154795</v>
      </c>
      <c r="AK943">
        <v>3.0536292213382898</v>
      </c>
      <c r="AL943">
        <v>90.478129383596396</v>
      </c>
      <c r="AM943">
        <v>90.881576530619796</v>
      </c>
      <c r="AN943">
        <v>0.99999998313719496</v>
      </c>
    </row>
    <row r="944" spans="1:40" x14ac:dyDescent="0.25">
      <c r="A944" t="str">
        <f>"20190305135809912"</f>
        <v>20190305135809912</v>
      </c>
      <c r="B944" t="str">
        <f>"1551765489899055"</f>
        <v>1551765489899055</v>
      </c>
      <c r="C944" t="s">
        <v>40</v>
      </c>
      <c r="D944">
        <v>4.0517760000000003</v>
      </c>
      <c r="E944">
        <v>0.57140539999999995</v>
      </c>
      <c r="F944" t="s">
        <v>55</v>
      </c>
      <c r="G944">
        <v>0</v>
      </c>
      <c r="H944">
        <v>0</v>
      </c>
      <c r="I944">
        <v>0</v>
      </c>
      <c r="J944">
        <v>-271.4665</v>
      </c>
      <c r="K944">
        <v>1.1071169999999999</v>
      </c>
      <c r="L944">
        <v>367.86349999999999</v>
      </c>
      <c r="M944">
        <v>0.99992780000000003</v>
      </c>
      <c r="N944">
        <v>-8.8348369999999999E-3</v>
      </c>
      <c r="O944">
        <v>8.1579119999999998E-3</v>
      </c>
      <c r="P944">
        <v>0.99957839999999998</v>
      </c>
      <c r="Q944">
        <v>-1.741759E-2</v>
      </c>
      <c r="R944">
        <v>2.3235470000000001E-2</v>
      </c>
      <c r="S944">
        <v>3.0131230000000002</v>
      </c>
      <c r="T944">
        <v>1.6815420000000001E-2</v>
      </c>
      <c r="U944">
        <v>-0.49703979999999998</v>
      </c>
      <c r="V944">
        <v>-1.507438E-2</v>
      </c>
      <c r="W944">
        <v>-8.5939380000000006E-3</v>
      </c>
      <c r="X944">
        <v>0.9998494</v>
      </c>
      <c r="Y944">
        <v>0.1708036</v>
      </c>
      <c r="Z944">
        <v>-1.6937739999999999E-4</v>
      </c>
      <c r="AA944">
        <v>0.98530510000000004</v>
      </c>
      <c r="AB944">
        <v>34</v>
      </c>
      <c r="AC944">
        <v>3.0131230000000002</v>
      </c>
      <c r="AD944">
        <v>1.6815420000000001E-2</v>
      </c>
      <c r="AE944">
        <v>-0.49703979999999998</v>
      </c>
      <c r="AF944">
        <v>0.52158919379722501</v>
      </c>
      <c r="AG944">
        <v>1.6815420000000001E-2</v>
      </c>
      <c r="AH944">
        <v>3.0088765341644801</v>
      </c>
      <c r="AI944">
        <v>89.684505070461896</v>
      </c>
      <c r="AJ944">
        <v>80.1655007060575</v>
      </c>
      <c r="AK944">
        <v>3.0537969878958</v>
      </c>
      <c r="AL944">
        <v>90.492402458884101</v>
      </c>
      <c r="AM944">
        <v>90.863763003310893</v>
      </c>
      <c r="AN944">
        <v>0.99999995769154504</v>
      </c>
    </row>
    <row r="945" spans="1:40" x14ac:dyDescent="0.25">
      <c r="A945" t="str">
        <f>"20190305135809925"</f>
        <v>20190305135809925</v>
      </c>
      <c r="B945" t="str">
        <f>"1551765489919550"</f>
        <v>1551765489919550</v>
      </c>
      <c r="C945" t="s">
        <v>40</v>
      </c>
      <c r="D945">
        <v>4.0862679999999996</v>
      </c>
      <c r="E945">
        <v>0.55278640000000001</v>
      </c>
      <c r="F945" t="s">
        <v>55</v>
      </c>
      <c r="G945">
        <v>0</v>
      </c>
      <c r="H945">
        <v>0</v>
      </c>
      <c r="I945">
        <v>0</v>
      </c>
      <c r="J945">
        <v>-271.28149999999999</v>
      </c>
      <c r="K945">
        <v>1.1073040000000001</v>
      </c>
      <c r="L945">
        <v>367.86520000000002</v>
      </c>
      <c r="M945">
        <v>0.99992669999999995</v>
      </c>
      <c r="N945">
        <v>-8.7774589999999996E-3</v>
      </c>
      <c r="O945">
        <v>8.3349489999999995E-3</v>
      </c>
      <c r="P945">
        <v>0.99958139999999995</v>
      </c>
      <c r="Q945">
        <v>-1.7662130000000002E-2</v>
      </c>
      <c r="R945">
        <v>2.2918839999999999E-2</v>
      </c>
      <c r="S945">
        <v>3.013153</v>
      </c>
      <c r="T945">
        <v>1.780176E-2</v>
      </c>
      <c r="U945">
        <v>-0.49752809999999997</v>
      </c>
      <c r="V945">
        <v>-1.4580890000000001E-2</v>
      </c>
      <c r="W945">
        <v>-8.8955570000000001E-3</v>
      </c>
      <c r="X945">
        <v>0.99985409999999997</v>
      </c>
      <c r="Y945">
        <v>0.1711317</v>
      </c>
      <c r="Z945">
        <v>-1.3241699999999999E-4</v>
      </c>
      <c r="AA945">
        <v>0.98524809999999996</v>
      </c>
      <c r="AB945">
        <v>34</v>
      </c>
      <c r="AC945">
        <v>3.013153</v>
      </c>
      <c r="AD945">
        <v>1.780176E-2</v>
      </c>
      <c r="AE945">
        <v>-0.49752809999999997</v>
      </c>
      <c r="AF945">
        <v>0.52260850414480897</v>
      </c>
      <c r="AG945">
        <v>1.780176E-2</v>
      </c>
      <c r="AH945">
        <v>3.00879906110027</v>
      </c>
      <c r="AI945">
        <v>89.666010242289204</v>
      </c>
      <c r="AJ945">
        <v>80.146409337839501</v>
      </c>
      <c r="AK945">
        <v>3.0539005126790602</v>
      </c>
      <c r="AL945">
        <v>90.509684606215103</v>
      </c>
      <c r="AM945">
        <v>90.8354861419174</v>
      </c>
      <c r="AN945">
        <v>0.99999997728717005</v>
      </c>
    </row>
    <row r="946" spans="1:40" x14ac:dyDescent="0.25">
      <c r="A946" t="str">
        <f>"20190305135809936"</f>
        <v>20190305135809936</v>
      </c>
      <c r="B946" t="str">
        <f>"1551765489929311"</f>
        <v>1551765489929311</v>
      </c>
      <c r="C946" t="s">
        <v>40</v>
      </c>
      <c r="D946">
        <v>4.0900280000000002</v>
      </c>
      <c r="E946">
        <v>0.54839749999999998</v>
      </c>
      <c r="F946" t="s">
        <v>44</v>
      </c>
      <c r="G946">
        <v>-169.2955</v>
      </c>
      <c r="H946">
        <v>2.9538690000000001</v>
      </c>
      <c r="I946">
        <v>356.04430000000002</v>
      </c>
      <c r="J946">
        <v>-271.10140000000001</v>
      </c>
      <c r="K946">
        <v>1.107469</v>
      </c>
      <c r="L946">
        <v>367.86689999999999</v>
      </c>
      <c r="M946">
        <v>0.99992599999999998</v>
      </c>
      <c r="N946">
        <v>-8.7041719999999996E-3</v>
      </c>
      <c r="O946">
        <v>8.5073370000000002E-3</v>
      </c>
      <c r="P946">
        <v>0.99958219999999998</v>
      </c>
      <c r="Q946">
        <v>-1.790682E-2</v>
      </c>
      <c r="R946">
        <v>2.2695150000000001E-2</v>
      </c>
      <c r="S946">
        <v>3.0102229999999999</v>
      </c>
      <c r="T946">
        <v>5.4505829999999998E-2</v>
      </c>
      <c r="U946">
        <v>-0.34890749999999998</v>
      </c>
      <c r="V946">
        <v>-1.418465E-2</v>
      </c>
      <c r="W946">
        <v>-9.2133000000000007E-3</v>
      </c>
      <c r="X946">
        <v>0.99985690000000005</v>
      </c>
      <c r="Y946">
        <v>0.12357029999999999</v>
      </c>
      <c r="Z946">
        <v>8.0261850000000001E-4</v>
      </c>
      <c r="AA946">
        <v>0.99233550000000004</v>
      </c>
      <c r="AB946">
        <v>34</v>
      </c>
      <c r="AC946">
        <v>101.80589999999999</v>
      </c>
      <c r="AD946">
        <v>1.8464</v>
      </c>
      <c r="AE946">
        <v>-11.8225999999999</v>
      </c>
      <c r="AF946">
        <v>12.6841852669879</v>
      </c>
      <c r="AG946">
        <v>1.8464</v>
      </c>
      <c r="AH946">
        <v>101.66863588017701</v>
      </c>
      <c r="AI946">
        <v>88.967570176967101</v>
      </c>
      <c r="AJ946">
        <v>82.888520013457807</v>
      </c>
      <c r="AK946">
        <v>102.473456419618</v>
      </c>
      <c r="AL946">
        <v>90.527890697734506</v>
      </c>
      <c r="AM946">
        <v>90.812782371383406</v>
      </c>
      <c r="AN946">
        <v>0.99999995483505999</v>
      </c>
    </row>
    <row r="947" spans="1:40" x14ac:dyDescent="0.25">
      <c r="A947" t="str">
        <f>"20190305135809948"</f>
        <v>20190305135809948</v>
      </c>
      <c r="B947" t="str">
        <f>"1551765489939071"</f>
        <v>1551765489939071</v>
      </c>
      <c r="C947" t="s">
        <v>40</v>
      </c>
      <c r="D947">
        <v>4.067939</v>
      </c>
      <c r="E947">
        <v>0.54611209999999999</v>
      </c>
      <c r="F947" t="s">
        <v>44</v>
      </c>
      <c r="G947">
        <v>-158.19499999999999</v>
      </c>
      <c r="H947">
        <v>2.7957230000000002</v>
      </c>
      <c r="I947">
        <v>356.07080000000002</v>
      </c>
      <c r="J947">
        <v>-270.91989999999998</v>
      </c>
      <c r="K947">
        <v>1.10759599999999</v>
      </c>
      <c r="L947">
        <v>367.86860000000001</v>
      </c>
      <c r="M947">
        <v>0.99992559999999997</v>
      </c>
      <c r="N947">
        <v>-8.5721180000000001E-3</v>
      </c>
      <c r="O947">
        <v>8.6816240000000006E-3</v>
      </c>
      <c r="P947">
        <v>0.99957819999999997</v>
      </c>
      <c r="Q947">
        <v>-1.8419339999999999E-2</v>
      </c>
      <c r="R947">
        <v>2.2452389999999999E-2</v>
      </c>
      <c r="S947">
        <v>3.0092159999999999</v>
      </c>
      <c r="T947">
        <v>4.4998169999999997E-2</v>
      </c>
      <c r="U947">
        <v>-0.31439210000000001</v>
      </c>
      <c r="V947">
        <v>-1.376692E-2</v>
      </c>
      <c r="W947">
        <v>-9.8576419999999998E-3</v>
      </c>
      <c r="X947">
        <v>0.99985670000000004</v>
      </c>
      <c r="Y947">
        <v>0.1125342</v>
      </c>
      <c r="Z947">
        <v>5.5907929999999997E-4</v>
      </c>
      <c r="AA947">
        <v>0.99364770000000002</v>
      </c>
      <c r="AB947">
        <v>34</v>
      </c>
      <c r="AC947">
        <v>112.72490000000001</v>
      </c>
      <c r="AD947">
        <v>1.6881269999999999</v>
      </c>
      <c r="AE947">
        <v>-11.797799999999899</v>
      </c>
      <c r="AF947">
        <v>12.773192881141</v>
      </c>
      <c r="AG947">
        <v>1.6881269999999999</v>
      </c>
      <c r="AH947">
        <v>112.593246062772</v>
      </c>
      <c r="AI947">
        <v>89.146494240863603</v>
      </c>
      <c r="AJ947">
        <v>83.527724922073602</v>
      </c>
      <c r="AK947">
        <v>113.32803399026599</v>
      </c>
      <c r="AL947">
        <v>90.564810395822505</v>
      </c>
      <c r="AM947">
        <v>90.788849614035001</v>
      </c>
      <c r="AN947">
        <v>1.00000006086348</v>
      </c>
    </row>
    <row r="948" spans="1:40" x14ac:dyDescent="0.25">
      <c r="A948" t="str">
        <f>"20190305135809961"</f>
        <v>20190305135809961</v>
      </c>
      <c r="B948" t="str">
        <f>"1551765489949807"</f>
        <v>1551765489949807</v>
      </c>
      <c r="C948" t="s">
        <v>40</v>
      </c>
      <c r="D948">
        <v>4.0830219999999997</v>
      </c>
      <c r="E948">
        <v>0.54510099999999995</v>
      </c>
      <c r="F948" t="s">
        <v>44</v>
      </c>
      <c r="G948">
        <v>-158.19499999999999</v>
      </c>
      <c r="H948">
        <v>2.685133</v>
      </c>
      <c r="I948">
        <v>356.73790000000002</v>
      </c>
      <c r="J948">
        <v>-270.73239999999998</v>
      </c>
      <c r="K948">
        <v>1.1077109999999999</v>
      </c>
      <c r="L948">
        <v>367.87029999999999</v>
      </c>
      <c r="M948">
        <v>0.99992550000000002</v>
      </c>
      <c r="N948">
        <v>-8.4089479999999994E-3</v>
      </c>
      <c r="O948">
        <v>8.8613879999999996E-3</v>
      </c>
      <c r="P948">
        <v>0.99957700000000005</v>
      </c>
      <c r="Q948">
        <v>-1.8733699999999999E-2</v>
      </c>
      <c r="R948">
        <v>2.224858E-2</v>
      </c>
      <c r="S948">
        <v>3.0087280000000001</v>
      </c>
      <c r="T948">
        <v>4.2108180000000002E-2</v>
      </c>
      <c r="U948">
        <v>-0.29708859999999998</v>
      </c>
      <c r="V948">
        <v>-1.3383050000000001E-2</v>
      </c>
      <c r="W948">
        <v>-1.0334919999999999E-2</v>
      </c>
      <c r="X948">
        <v>0.999857</v>
      </c>
      <c r="Y948">
        <v>0.107073</v>
      </c>
      <c r="Z948">
        <v>4.9415949999999896E-4</v>
      </c>
      <c r="AA948">
        <v>0.994251</v>
      </c>
      <c r="AB948">
        <v>34</v>
      </c>
      <c r="AC948">
        <v>112.53740000000001</v>
      </c>
      <c r="AD948">
        <v>1.5774220000000001</v>
      </c>
      <c r="AE948">
        <v>-11.132399999999899</v>
      </c>
      <c r="AF948">
        <v>12.1268760747244</v>
      </c>
      <c r="AG948">
        <v>1.5774220000000001</v>
      </c>
      <c r="AH948">
        <v>112.41245721401</v>
      </c>
      <c r="AI948">
        <v>89.200689724214996</v>
      </c>
      <c r="AJ948">
        <v>83.842834459844696</v>
      </c>
      <c r="AK948">
        <v>113.07568226807</v>
      </c>
      <c r="AL948">
        <v>90.592157858016705</v>
      </c>
      <c r="AM948">
        <v>90.766856155229107</v>
      </c>
      <c r="AN948">
        <v>0.99999996852385398</v>
      </c>
    </row>
    <row r="949" spans="1:40" x14ac:dyDescent="0.25">
      <c r="A949" t="str">
        <f>"20190305135809975"</f>
        <v>20190305135809975</v>
      </c>
      <c r="B949" t="str">
        <f>"1551765489969327"</f>
        <v>1551765489969327</v>
      </c>
      <c r="C949" t="s">
        <v>40</v>
      </c>
      <c r="D949">
        <v>4.099577</v>
      </c>
      <c r="E949">
        <v>0.54447080000000003</v>
      </c>
      <c r="F949" t="s">
        <v>44</v>
      </c>
      <c r="G949">
        <v>-158.19499999999999</v>
      </c>
      <c r="H949">
        <v>2.4716130000000001</v>
      </c>
      <c r="I949">
        <v>357.03530000000001</v>
      </c>
      <c r="J949">
        <v>-270.51179999999999</v>
      </c>
      <c r="K949">
        <v>1.1078110000000001</v>
      </c>
      <c r="L949">
        <v>367.8725</v>
      </c>
      <c r="M949">
        <v>0.99992570000000003</v>
      </c>
      <c r="N949">
        <v>-8.1432060000000001E-3</v>
      </c>
      <c r="O949">
        <v>9.0733529999999993E-3</v>
      </c>
      <c r="P949">
        <v>0.99957669999999998</v>
      </c>
      <c r="Q949">
        <v>-1.9117249999999999E-2</v>
      </c>
      <c r="R949">
        <v>2.1932589999999998E-2</v>
      </c>
      <c r="S949">
        <v>3.008362</v>
      </c>
      <c r="T949">
        <v>3.6462309999999998E-2</v>
      </c>
      <c r="U949">
        <v>-0.28964230000000002</v>
      </c>
      <c r="V949">
        <v>-1.2855180000000001E-2</v>
      </c>
      <c r="W949">
        <v>-1.098386E-2</v>
      </c>
      <c r="X949">
        <v>0.99985710000000005</v>
      </c>
      <c r="Y949">
        <v>0.1048596</v>
      </c>
      <c r="Z949">
        <v>3.8946340000000002E-4</v>
      </c>
      <c r="AA949">
        <v>0.99448700000000001</v>
      </c>
      <c r="AB949">
        <v>34</v>
      </c>
      <c r="AC949">
        <v>112.3168</v>
      </c>
      <c r="AD949">
        <v>1.363802</v>
      </c>
      <c r="AE949">
        <v>-10.8371999999999</v>
      </c>
      <c r="AF949">
        <v>11.8541459685246</v>
      </c>
      <c r="AG949">
        <v>1.363802</v>
      </c>
      <c r="AH949">
        <v>112.19745359227601</v>
      </c>
      <c r="AI949">
        <v>89.307437051587499</v>
      </c>
      <c r="AJ949">
        <v>83.968828465531701</v>
      </c>
      <c r="AK949">
        <v>112.830179141616</v>
      </c>
      <c r="AL949">
        <v>90.6293414375412</v>
      </c>
      <c r="AM949">
        <v>90.736612240314102</v>
      </c>
      <c r="AN949">
        <v>1.00000006062686</v>
      </c>
    </row>
    <row r="950" spans="1:40" x14ac:dyDescent="0.25">
      <c r="A950" t="str">
        <f>"20190305135809988"</f>
        <v>20190305135809988</v>
      </c>
      <c r="B950" t="str">
        <f>"1551765489980062"</f>
        <v>1551765489980062</v>
      </c>
      <c r="C950" t="s">
        <v>40</v>
      </c>
      <c r="D950">
        <v>4.0761000000000003</v>
      </c>
      <c r="E950">
        <v>0.54430590000000001</v>
      </c>
      <c r="F950" t="s">
        <v>44</v>
      </c>
      <c r="G950">
        <v>-158.19499999999999</v>
      </c>
      <c r="H950">
        <v>2.4055949999999999</v>
      </c>
      <c r="I950">
        <v>357.21530000000001</v>
      </c>
      <c r="J950">
        <v>-270.31479999999999</v>
      </c>
      <c r="K950">
        <v>1.107877</v>
      </c>
      <c r="L950">
        <v>367.87439999999998</v>
      </c>
      <c r="M950">
        <v>0.99992630000000005</v>
      </c>
      <c r="N950">
        <v>-7.8617110000000004E-3</v>
      </c>
      <c r="O950">
        <v>9.2621519999999992E-3</v>
      </c>
      <c r="P950">
        <v>0.99957499999999999</v>
      </c>
      <c r="Q950">
        <v>-1.9908200000000001E-2</v>
      </c>
      <c r="R950">
        <v>2.130831E-2</v>
      </c>
      <c r="S950">
        <v>3.0081790000000002</v>
      </c>
      <c r="T950">
        <v>3.476083E-2</v>
      </c>
      <c r="U950">
        <v>-0.28543089999999999</v>
      </c>
      <c r="V950">
        <v>-1.204118E-2</v>
      </c>
      <c r="W950">
        <v>-1.205576E-2</v>
      </c>
      <c r="X950">
        <v>0.99985480000000004</v>
      </c>
      <c r="Y950">
        <v>0.1036738</v>
      </c>
      <c r="Z950">
        <v>3.6862430000000001E-4</v>
      </c>
      <c r="AA950">
        <v>0.99461129999999998</v>
      </c>
      <c r="AB950">
        <v>34</v>
      </c>
      <c r="AC950">
        <v>112.1198</v>
      </c>
      <c r="AD950">
        <v>1.2977179999999999</v>
      </c>
      <c r="AE950">
        <v>-10.659099999999899</v>
      </c>
      <c r="AF950">
        <v>11.695592590580199</v>
      </c>
      <c r="AG950">
        <v>1.2977179999999999</v>
      </c>
      <c r="AH950">
        <v>112.00139108705901</v>
      </c>
      <c r="AI950">
        <v>89.339754729040706</v>
      </c>
      <c r="AJ950">
        <v>84.038572067773302</v>
      </c>
      <c r="AK950">
        <v>112.617860765904</v>
      </c>
      <c r="AL950">
        <v>90.690760916622907</v>
      </c>
      <c r="AM950">
        <v>90.689975628740001</v>
      </c>
      <c r="AN950">
        <v>0.99999997622400405</v>
      </c>
    </row>
    <row r="951" spans="1:40" x14ac:dyDescent="0.25">
      <c r="A951" t="str">
        <f>"20190305135810002"</f>
        <v>20190305135810002</v>
      </c>
      <c r="B951" t="str">
        <f>"1551765489999583"</f>
        <v>1551765489999583</v>
      </c>
      <c r="C951" t="s">
        <v>40</v>
      </c>
      <c r="D951">
        <v>4.0290239999999997</v>
      </c>
      <c r="E951">
        <v>0.54435129999999998</v>
      </c>
      <c r="F951" t="s">
        <v>44</v>
      </c>
      <c r="G951">
        <v>-158.19499999999999</v>
      </c>
      <c r="H951">
        <v>2.3345729999999998</v>
      </c>
      <c r="I951">
        <v>357.2047</v>
      </c>
      <c r="J951">
        <v>-270.1069</v>
      </c>
      <c r="K951">
        <v>1.107934</v>
      </c>
      <c r="L951">
        <v>367.87650000000002</v>
      </c>
      <c r="M951">
        <v>0.9999268</v>
      </c>
      <c r="N951">
        <v>-7.5433899999999996E-3</v>
      </c>
      <c r="O951">
        <v>9.4616479999999996E-3</v>
      </c>
      <c r="P951">
        <v>0.99958069999999999</v>
      </c>
      <c r="Q951">
        <v>-1.9998559999999999E-2</v>
      </c>
      <c r="R951">
        <v>2.093865E-2</v>
      </c>
      <c r="S951">
        <v>3.0080260000000001</v>
      </c>
      <c r="T951">
        <v>3.291297E-2</v>
      </c>
      <c r="U951">
        <v>-0.28625489999999998</v>
      </c>
      <c r="V951">
        <v>-1.147186E-2</v>
      </c>
      <c r="W951">
        <v>-1.2464009999999999E-2</v>
      </c>
      <c r="X951">
        <v>0.99985650000000004</v>
      </c>
      <c r="Y951">
        <v>0.1041473</v>
      </c>
      <c r="Z951">
        <v>3.492708E-4</v>
      </c>
      <c r="AA951">
        <v>0.99456180000000005</v>
      </c>
      <c r="AB951">
        <v>34</v>
      </c>
      <c r="AC951">
        <v>111.9119</v>
      </c>
      <c r="AD951">
        <v>1.22663899999999</v>
      </c>
      <c r="AE951">
        <v>-10.671799999999999</v>
      </c>
      <c r="AF951">
        <v>11.7288270115867</v>
      </c>
      <c r="AG951">
        <v>1.22663899999999</v>
      </c>
      <c r="AH951">
        <v>111.792605053432</v>
      </c>
      <c r="AI951">
        <v>89.374781343911295</v>
      </c>
      <c r="AJ951">
        <v>84.0106704662076</v>
      </c>
      <c r="AK951">
        <v>112.412884363567</v>
      </c>
      <c r="AL951">
        <v>90.714153669109294</v>
      </c>
      <c r="AM951">
        <v>90.657354651691094</v>
      </c>
      <c r="AN951">
        <v>0.99999998785469402</v>
      </c>
    </row>
    <row r="952" spans="1:40" x14ac:dyDescent="0.25">
      <c r="A952" t="str">
        <f>"20190305135810014"</f>
        <v>20190305135810014</v>
      </c>
      <c r="B952" t="str">
        <f>"1551765490009343"</f>
        <v>1551765490009343</v>
      </c>
      <c r="C952" t="s">
        <v>40</v>
      </c>
      <c r="D952">
        <v>4.0456640000000004</v>
      </c>
      <c r="E952">
        <v>0.54432769999999897</v>
      </c>
      <c r="F952" t="s">
        <v>44</v>
      </c>
      <c r="G952">
        <v>-158.19499999999999</v>
      </c>
      <c r="H952">
        <v>2.454888</v>
      </c>
      <c r="I952">
        <v>357.1789</v>
      </c>
      <c r="J952">
        <v>-269.91320000000002</v>
      </c>
      <c r="K952">
        <v>1.107972</v>
      </c>
      <c r="L952">
        <v>367.8784</v>
      </c>
      <c r="M952">
        <v>0.99992749999999997</v>
      </c>
      <c r="N952">
        <v>-7.2251249999999998E-3</v>
      </c>
      <c r="O952">
        <v>9.6469650000000004E-3</v>
      </c>
      <c r="P952">
        <v>0.99958179999999996</v>
      </c>
      <c r="Q952">
        <v>-2.0003190000000001E-2</v>
      </c>
      <c r="R952">
        <v>2.089299E-2</v>
      </c>
      <c r="S952">
        <v>3.0080260000000001</v>
      </c>
      <c r="T952">
        <v>3.6206479999999999E-2</v>
      </c>
      <c r="U952">
        <v>-0.28753659999999998</v>
      </c>
      <c r="V952">
        <v>-1.124058E-2</v>
      </c>
      <c r="W952">
        <v>-1.278668E-2</v>
      </c>
      <c r="X952">
        <v>0.99985500000000005</v>
      </c>
      <c r="Y952">
        <v>0.1047503</v>
      </c>
      <c r="Z952">
        <v>4.3506840000000002E-4</v>
      </c>
      <c r="AA952">
        <v>0.9944984</v>
      </c>
      <c r="AB952">
        <v>34</v>
      </c>
      <c r="AC952">
        <v>111.7182</v>
      </c>
      <c r="AD952">
        <v>1.346916</v>
      </c>
      <c r="AE952">
        <v>-10.6995</v>
      </c>
      <c r="AF952">
        <v>11.775075621899299</v>
      </c>
      <c r="AG952">
        <v>1.346916</v>
      </c>
      <c r="AH952">
        <v>111.59370736709501</v>
      </c>
      <c r="AI952">
        <v>89.312301236961403</v>
      </c>
      <c r="AJ952">
        <v>83.9765881982038</v>
      </c>
      <c r="AK952">
        <v>112.22130863853501</v>
      </c>
      <c r="AL952">
        <v>90.732642810638396</v>
      </c>
      <c r="AM952">
        <v>90.644104057694705</v>
      </c>
      <c r="AN952">
        <v>0.99999993542457699</v>
      </c>
    </row>
    <row r="953" spans="1:40" x14ac:dyDescent="0.25">
      <c r="A953" t="str">
        <f>"20190305135810025"</f>
        <v>20190305135810025</v>
      </c>
      <c r="B953" t="str">
        <f>"1551765490019103"</f>
        <v>1551765490019103</v>
      </c>
      <c r="C953" t="s">
        <v>40</v>
      </c>
      <c r="D953">
        <v>4.0915019999999904</v>
      </c>
      <c r="E953">
        <v>0.54432899999999995</v>
      </c>
      <c r="F953" t="s">
        <v>44</v>
      </c>
      <c r="G953">
        <v>-158.19499999999999</v>
      </c>
      <c r="H953">
        <v>2.522859</v>
      </c>
      <c r="I953">
        <v>357.19929999999999</v>
      </c>
      <c r="J953">
        <v>-269.74149999999997</v>
      </c>
      <c r="K953">
        <v>1.107993</v>
      </c>
      <c r="L953">
        <v>367.88029999999998</v>
      </c>
      <c r="M953">
        <v>0.99992780000000003</v>
      </c>
      <c r="N953">
        <v>-6.9378729999999998E-3</v>
      </c>
      <c r="O953">
        <v>9.8107980000000008E-3</v>
      </c>
      <c r="P953">
        <v>0.99958380000000002</v>
      </c>
      <c r="Q953">
        <v>-1.9969629999999999E-2</v>
      </c>
      <c r="R953">
        <v>2.0821639999999999E-2</v>
      </c>
      <c r="S953">
        <v>3.0080260000000001</v>
      </c>
      <c r="T953">
        <v>3.8098340000000001E-2</v>
      </c>
      <c r="U953">
        <v>-0.28753659999999998</v>
      </c>
      <c r="V953">
        <v>-1.10055E-2</v>
      </c>
      <c r="W953">
        <v>-1.304016E-2</v>
      </c>
      <c r="X953">
        <v>0.99985440000000003</v>
      </c>
      <c r="Y953">
        <v>0.1049124</v>
      </c>
      <c r="Z953">
        <v>4.8996249999999999E-4</v>
      </c>
      <c r="AA953">
        <v>0.99448130000000001</v>
      </c>
      <c r="AB953">
        <v>34</v>
      </c>
      <c r="AC953">
        <v>111.546499999999</v>
      </c>
      <c r="AD953">
        <v>1.414866</v>
      </c>
      <c r="AE953">
        <v>-10.6809999999999</v>
      </c>
      <c r="AF953">
        <v>11.772995550049799</v>
      </c>
      <c r="AG953">
        <v>1.414866</v>
      </c>
      <c r="AH953">
        <v>111.41857683823901</v>
      </c>
      <c r="AI953">
        <v>89.276487170330896</v>
      </c>
      <c r="AJ953">
        <v>83.968248055787001</v>
      </c>
      <c r="AK953">
        <v>112.047777910487</v>
      </c>
      <c r="AL953">
        <v>90.747167313118297</v>
      </c>
      <c r="AM953">
        <v>90.630635057954606</v>
      </c>
      <c r="AN953">
        <v>0.99999999400121697</v>
      </c>
    </row>
    <row r="954" spans="1:40" x14ac:dyDescent="0.25">
      <c r="A954" t="str">
        <f>"20190305135810037"</f>
        <v>20190305135810037</v>
      </c>
      <c r="B954" t="str">
        <f>"1551765490029840"</f>
        <v>1551765490029840</v>
      </c>
      <c r="C954" t="s">
        <v>40</v>
      </c>
      <c r="D954">
        <v>4.0769099999999998</v>
      </c>
      <c r="E954">
        <v>0.54436530000000005</v>
      </c>
      <c r="F954" t="s">
        <v>44</v>
      </c>
      <c r="G954">
        <v>-158.19499999999999</v>
      </c>
      <c r="H954">
        <v>2.586379</v>
      </c>
      <c r="I954">
        <v>357.22210000000001</v>
      </c>
      <c r="J954">
        <v>-269.54939999999999</v>
      </c>
      <c r="K954">
        <v>1.10802</v>
      </c>
      <c r="L954">
        <v>367.88229999999999</v>
      </c>
      <c r="M954">
        <v>0.99992820000000004</v>
      </c>
      <c r="N954">
        <v>-6.6135480000000003E-3</v>
      </c>
      <c r="O954">
        <v>9.9934780000000001E-3</v>
      </c>
      <c r="P954">
        <v>0.9995887</v>
      </c>
      <c r="Q954">
        <v>-2.0056480000000002E-2</v>
      </c>
      <c r="R954">
        <v>2.049863E-2</v>
      </c>
      <c r="S954">
        <v>3.0080260000000001</v>
      </c>
      <c r="T954">
        <v>3.9869309999999998E-2</v>
      </c>
      <c r="U954">
        <v>-0.28741460000000002</v>
      </c>
      <c r="V954">
        <v>-1.049959E-2</v>
      </c>
      <c r="W954">
        <v>-1.345097E-2</v>
      </c>
      <c r="X954">
        <v>0.99985440000000003</v>
      </c>
      <c r="Y954">
        <v>0.1050531</v>
      </c>
      <c r="Z954">
        <v>5.4449909999999997E-4</v>
      </c>
      <c r="AA954">
        <v>0.99446650000000003</v>
      </c>
      <c r="AB954">
        <v>35</v>
      </c>
      <c r="AC954">
        <v>111.3544</v>
      </c>
      <c r="AD954">
        <v>1.478359</v>
      </c>
      <c r="AE954">
        <v>-10.6601999999999</v>
      </c>
      <c r="AF954">
        <v>11.770453946866001</v>
      </c>
      <c r="AG954">
        <v>1.478359</v>
      </c>
      <c r="AH954">
        <v>111.22287863343</v>
      </c>
      <c r="AI954">
        <v>89.242705680117794</v>
      </c>
      <c r="AJ954">
        <v>83.959008335200593</v>
      </c>
      <c r="AK954">
        <v>111.853734237865</v>
      </c>
      <c r="AL954">
        <v>90.770707056436805</v>
      </c>
      <c r="AM954">
        <v>90.601647682125304</v>
      </c>
      <c r="AN954">
        <v>0.99999999559173403</v>
      </c>
    </row>
    <row r="955" spans="1:40" x14ac:dyDescent="0.25">
      <c r="A955" t="str">
        <f>"20190305135810048"</f>
        <v>20190305135810048</v>
      </c>
      <c r="B955" t="str">
        <f>"1551765490039599"</f>
        <v>1551765490039599</v>
      </c>
      <c r="C955" t="s">
        <v>40</v>
      </c>
      <c r="D955">
        <v>4.0772180000000002</v>
      </c>
      <c r="E955">
        <v>0.54439979999999999</v>
      </c>
      <c r="F955" t="s">
        <v>44</v>
      </c>
      <c r="G955">
        <v>-158.19499999999999</v>
      </c>
      <c r="H955">
        <v>2.655993</v>
      </c>
      <c r="I955">
        <v>357.20510000000002</v>
      </c>
      <c r="J955">
        <v>-269.37950000000001</v>
      </c>
      <c r="K955">
        <v>1.108039</v>
      </c>
      <c r="L955">
        <v>367.88409999999999</v>
      </c>
      <c r="M955">
        <v>0.99992840000000005</v>
      </c>
      <c r="N955">
        <v>-6.3320130000000001E-3</v>
      </c>
      <c r="O955">
        <v>1.015399E-2</v>
      </c>
      <c r="P955">
        <v>0.99959399999999998</v>
      </c>
      <c r="Q955">
        <v>-2.007954E-2</v>
      </c>
      <c r="R955">
        <v>2.0216749999999999E-2</v>
      </c>
      <c r="S955">
        <v>3.0079959999999999</v>
      </c>
      <c r="T955">
        <v>4.1817430000000003E-2</v>
      </c>
      <c r="U955">
        <v>-0.2884216</v>
      </c>
      <c r="V955">
        <v>-1.0057109999999999E-2</v>
      </c>
      <c r="W955">
        <v>-1.375523E-2</v>
      </c>
      <c r="X955">
        <v>0.99985480000000004</v>
      </c>
      <c r="Y955">
        <v>0.1055426</v>
      </c>
      <c r="Z955">
        <v>6.0197720000000003E-4</v>
      </c>
      <c r="AA955">
        <v>0.99441460000000004</v>
      </c>
      <c r="AB955">
        <v>35</v>
      </c>
      <c r="AC955">
        <v>111.1845</v>
      </c>
      <c r="AD955">
        <v>1.5479540000000001</v>
      </c>
      <c r="AE955">
        <v>-10.678999999999901</v>
      </c>
      <c r="AF955">
        <v>11.8051710604059</v>
      </c>
      <c r="AG955">
        <v>1.5479540000000001</v>
      </c>
      <c r="AH955">
        <v>111.049003032839</v>
      </c>
      <c r="AI955">
        <v>89.205858305938705</v>
      </c>
      <c r="AJ955">
        <v>83.931906998249204</v>
      </c>
      <c r="AK955">
        <v>111.68544802228701</v>
      </c>
      <c r="AL955">
        <v>90.788141490807803</v>
      </c>
      <c r="AM955">
        <v>90.576294202871907</v>
      </c>
      <c r="AN955">
        <v>0.99999998644847199</v>
      </c>
    </row>
    <row r="956" spans="1:40" x14ac:dyDescent="0.25">
      <c r="A956" t="str">
        <f>"20190305135810059"</f>
        <v>20190305135810059</v>
      </c>
      <c r="B956" t="str">
        <f>"1551765490049359"</f>
        <v>1551765490049359</v>
      </c>
      <c r="C956" t="s">
        <v>40</v>
      </c>
      <c r="D956">
        <v>4.101051</v>
      </c>
      <c r="E956">
        <v>0.54443869999999905</v>
      </c>
      <c r="F956" t="s">
        <v>44</v>
      </c>
      <c r="G956">
        <v>-158.19499999999999</v>
      </c>
      <c r="H956">
        <v>2.6654949999999999</v>
      </c>
      <c r="I956">
        <v>357.17</v>
      </c>
      <c r="J956">
        <v>-269.21089999999998</v>
      </c>
      <c r="K956">
        <v>1.1080589999999999</v>
      </c>
      <c r="L956">
        <v>367.88589999999999</v>
      </c>
      <c r="M956">
        <v>0.9999285</v>
      </c>
      <c r="N956">
        <v>-6.0542449999999998E-3</v>
      </c>
      <c r="O956">
        <v>1.03129E-2</v>
      </c>
      <c r="P956">
        <v>0.99960400000000005</v>
      </c>
      <c r="Q956">
        <v>-1.996595E-2</v>
      </c>
      <c r="R956">
        <v>1.982745E-2</v>
      </c>
      <c r="S956">
        <v>3.0079349999999998</v>
      </c>
      <c r="T956">
        <v>4.2137029999999999E-2</v>
      </c>
      <c r="U956">
        <v>-0.289856</v>
      </c>
      <c r="V956">
        <v>-9.5088010000000008E-3</v>
      </c>
      <c r="W956">
        <v>-1.3918979999999999E-2</v>
      </c>
      <c r="X956">
        <v>0.99985789999999997</v>
      </c>
      <c r="Y956">
        <v>0.106172</v>
      </c>
      <c r="Z956">
        <v>6.2618359999999998E-4</v>
      </c>
      <c r="AA956">
        <v>0.9943476</v>
      </c>
      <c r="AB956">
        <v>35</v>
      </c>
      <c r="AC956">
        <v>111.0159</v>
      </c>
      <c r="AD956">
        <v>1.557436</v>
      </c>
      <c r="AE956">
        <v>-10.7158999999999</v>
      </c>
      <c r="AF956">
        <v>11.8579347318794</v>
      </c>
      <c r="AG956">
        <v>1.557436</v>
      </c>
      <c r="AH956">
        <v>110.87786142552299</v>
      </c>
      <c r="AI956">
        <v>89.1998152815422</v>
      </c>
      <c r="AJ956">
        <v>83.895652356375805</v>
      </c>
      <c r="AK956">
        <v>111.52101316477101</v>
      </c>
      <c r="AL956">
        <v>90.7975245721166</v>
      </c>
      <c r="AM956">
        <v>90.544875168306802</v>
      </c>
      <c r="AN956">
        <v>0.99999998774655297</v>
      </c>
    </row>
    <row r="957" spans="1:40" x14ac:dyDescent="0.25">
      <c r="A957" t="str">
        <f>"20190305135810069"</f>
        <v>20190305135810069</v>
      </c>
      <c r="B957" t="str">
        <f>"1551765490059119"</f>
        <v>1551765490059119</v>
      </c>
      <c r="C957" t="s">
        <v>40</v>
      </c>
      <c r="D957">
        <v>4.1073440000000003</v>
      </c>
      <c r="E957">
        <v>0.54441439999999997</v>
      </c>
      <c r="F957" t="s">
        <v>44</v>
      </c>
      <c r="G957">
        <v>-158.19499999999999</v>
      </c>
      <c r="H957">
        <v>2.6817440000000001</v>
      </c>
      <c r="I957">
        <v>357.13690000000003</v>
      </c>
      <c r="J957">
        <v>-269.04399999999998</v>
      </c>
      <c r="K957">
        <v>1.1080730000000001</v>
      </c>
      <c r="L957">
        <v>367.88780000000003</v>
      </c>
      <c r="M957">
        <v>0.9999285</v>
      </c>
      <c r="N957">
        <v>-5.7912759999999997E-3</v>
      </c>
      <c r="O957">
        <v>1.046912E-2</v>
      </c>
      <c r="P957">
        <v>0.99960879999999996</v>
      </c>
      <c r="Q957">
        <v>-2.0196889999999999E-2</v>
      </c>
      <c r="R957">
        <v>1.9356999999999999E-2</v>
      </c>
      <c r="S957">
        <v>3.0078130000000001</v>
      </c>
      <c r="T957">
        <v>4.263902E-2</v>
      </c>
      <c r="U957">
        <v>-0.29122920000000002</v>
      </c>
      <c r="V957">
        <v>-8.8813090000000004E-3</v>
      </c>
      <c r="W957">
        <v>-1.441247E-2</v>
      </c>
      <c r="X957">
        <v>0.99985670000000004</v>
      </c>
      <c r="Y957">
        <v>0.1067805</v>
      </c>
      <c r="Z957">
        <v>6.5368290000000003E-4</v>
      </c>
      <c r="AA957">
        <v>0.99428240000000001</v>
      </c>
      <c r="AB957">
        <v>35</v>
      </c>
      <c r="AC957">
        <v>110.849</v>
      </c>
      <c r="AD957">
        <v>1.5736709999999901</v>
      </c>
      <c r="AE957">
        <v>-10.7509</v>
      </c>
      <c r="AF957">
        <v>11.908443981508301</v>
      </c>
      <c r="AG957">
        <v>1.5736709999999901</v>
      </c>
      <c r="AH957">
        <v>110.708266249114</v>
      </c>
      <c r="AI957">
        <v>89.190289919842897</v>
      </c>
      <c r="AJ957">
        <v>83.860529074580597</v>
      </c>
      <c r="AK957">
        <v>111.35801585140401</v>
      </c>
      <c r="AL957">
        <v>90.825802287003199</v>
      </c>
      <c r="AM957">
        <v>90.508921068171801</v>
      </c>
      <c r="AN957">
        <v>1.0000000087379699</v>
      </c>
    </row>
    <row r="958" spans="1:40" x14ac:dyDescent="0.25">
      <c r="A958" t="str">
        <f>"20190305135810081"</f>
        <v>20190305135810081</v>
      </c>
      <c r="B958" t="str">
        <f>"1551765490069855"</f>
        <v>1551765490069855</v>
      </c>
      <c r="C958" t="s">
        <v>40</v>
      </c>
      <c r="D958">
        <v>4.0862040000000004</v>
      </c>
      <c r="E958">
        <v>0.54438660000000005</v>
      </c>
      <c r="F958" t="s">
        <v>44</v>
      </c>
      <c r="G958">
        <v>-158.19499999999999</v>
      </c>
      <c r="H958">
        <v>2.6649569999999998</v>
      </c>
      <c r="I958">
        <v>357.10270000000003</v>
      </c>
      <c r="J958">
        <v>-268.87040000000002</v>
      </c>
      <c r="K958">
        <v>1.108087</v>
      </c>
      <c r="L958">
        <v>367.8897</v>
      </c>
      <c r="M958">
        <v>0.99992840000000005</v>
      </c>
      <c r="N958">
        <v>-5.5234250000000002E-3</v>
      </c>
      <c r="O958">
        <v>1.0631460000000001E-2</v>
      </c>
      <c r="P958">
        <v>0.99961529999999998</v>
      </c>
      <c r="Q958">
        <v>-2.0164950000000001E-2</v>
      </c>
      <c r="R958">
        <v>1.9055240000000001E-2</v>
      </c>
      <c r="S958">
        <v>3.0076900000000002</v>
      </c>
      <c r="T958">
        <v>4.2245629999999999E-2</v>
      </c>
      <c r="U958">
        <v>-0.29263309999999998</v>
      </c>
      <c r="V958">
        <v>-8.4173849999999995E-3</v>
      </c>
      <c r="W958">
        <v>-1.4648049999999999E-2</v>
      </c>
      <c r="X958">
        <v>0.99985729999999995</v>
      </c>
      <c r="Y958">
        <v>0.1074055</v>
      </c>
      <c r="Z958">
        <v>6.6271519999999999E-4</v>
      </c>
      <c r="AA958">
        <v>0.99421510000000002</v>
      </c>
      <c r="AB958">
        <v>35</v>
      </c>
      <c r="AC958">
        <v>110.6754</v>
      </c>
      <c r="AD958">
        <v>1.55686999999999</v>
      </c>
      <c r="AE958">
        <v>-10.7869999999999</v>
      </c>
      <c r="AF958">
        <v>11.9607046686367</v>
      </c>
      <c r="AG958">
        <v>1.55686999999999</v>
      </c>
      <c r="AH958">
        <v>110.532795199326</v>
      </c>
      <c r="AI958">
        <v>89.197717033488502</v>
      </c>
      <c r="AJ958">
        <v>83.824079591606505</v>
      </c>
      <c r="AK958">
        <v>111.188943312468</v>
      </c>
      <c r="AL958">
        <v>90.839301443101803</v>
      </c>
      <c r="AM958">
        <v>90.482338071670497</v>
      </c>
      <c r="AN958">
        <v>1.00000001905116</v>
      </c>
    </row>
    <row r="959" spans="1:40" x14ac:dyDescent="0.25">
      <c r="A959" t="str">
        <f>"20190305135810095"</f>
        <v>20190305135810095</v>
      </c>
      <c r="B959" t="str">
        <f>"1551765490089375"</f>
        <v>1551765490089375</v>
      </c>
      <c r="C959" t="s">
        <v>40</v>
      </c>
      <c r="D959">
        <v>4.0700099999999999</v>
      </c>
      <c r="E959">
        <v>0.54429689999999997</v>
      </c>
      <c r="F959" t="s">
        <v>44</v>
      </c>
      <c r="G959">
        <v>-158.19499999999999</v>
      </c>
      <c r="H959">
        <v>2.6799059999999999</v>
      </c>
      <c r="I959">
        <v>357.10430000000002</v>
      </c>
      <c r="J959">
        <v>-268.64229999999998</v>
      </c>
      <c r="K959">
        <v>1.1080989999999999</v>
      </c>
      <c r="L959">
        <v>367.89229999999998</v>
      </c>
      <c r="M959">
        <v>0.99992780000000003</v>
      </c>
      <c r="N959">
        <v>-5.1932239999999998E-3</v>
      </c>
      <c r="O959">
        <v>1.084266E-2</v>
      </c>
      <c r="P959">
        <v>0.99961149999999999</v>
      </c>
      <c r="Q959">
        <v>-2.047009E-2</v>
      </c>
      <c r="R959">
        <v>1.891837E-2</v>
      </c>
      <c r="S959">
        <v>3.0075989999999999</v>
      </c>
      <c r="T959">
        <v>4.2716499999999998E-2</v>
      </c>
      <c r="U959">
        <v>-0.29309079999999998</v>
      </c>
      <c r="V959">
        <v>-8.0683109999999999E-3</v>
      </c>
      <c r="W959">
        <v>-1.528319E-2</v>
      </c>
      <c r="X959">
        <v>0.99985060000000003</v>
      </c>
      <c r="Y959">
        <v>0.1077678</v>
      </c>
      <c r="Z959">
        <v>6.9276440000000004E-4</v>
      </c>
      <c r="AA959">
        <v>0.9941759</v>
      </c>
      <c r="AB959">
        <v>35</v>
      </c>
      <c r="AC959">
        <v>110.447299999999</v>
      </c>
      <c r="AD959">
        <v>1.571807</v>
      </c>
      <c r="AE959">
        <v>-10.787999999999901</v>
      </c>
      <c r="AF959">
        <v>11.982520536797701</v>
      </c>
      <c r="AG959">
        <v>1.571807</v>
      </c>
      <c r="AH959">
        <v>110.301706944613</v>
      </c>
      <c r="AI959">
        <v>89.188360942269298</v>
      </c>
      <c r="AJ959">
        <v>83.800040765651602</v>
      </c>
      <c r="AK959">
        <v>110.961785901973</v>
      </c>
      <c r="AL959">
        <v>90.875696422615306</v>
      </c>
      <c r="AM959">
        <v>90.462339207854299</v>
      </c>
      <c r="AN959">
        <v>0.99999994792966296</v>
      </c>
    </row>
    <row r="960" spans="1:40" x14ac:dyDescent="0.25">
      <c r="A960" t="str">
        <f>"20190305135810108"</f>
        <v>20190305135810108</v>
      </c>
      <c r="B960" t="str">
        <f>"1551765490099373"</f>
        <v>1551765490099373</v>
      </c>
      <c r="C960" t="s">
        <v>40</v>
      </c>
      <c r="D960">
        <v>4.1200489999999999</v>
      </c>
      <c r="E960">
        <v>0.54428880000000002</v>
      </c>
      <c r="F960" t="s">
        <v>44</v>
      </c>
      <c r="G960">
        <v>-158.19499999999999</v>
      </c>
      <c r="H960">
        <v>2.683227</v>
      </c>
      <c r="I960">
        <v>357.1515</v>
      </c>
      <c r="J960">
        <v>-268.44240000000002</v>
      </c>
      <c r="K960">
        <v>1.108114</v>
      </c>
      <c r="L960">
        <v>367.89460000000003</v>
      </c>
      <c r="M960">
        <v>0.99992720000000002</v>
      </c>
      <c r="N960">
        <v>-4.9276629999999997E-3</v>
      </c>
      <c r="O960">
        <v>1.1027199999999999E-2</v>
      </c>
      <c r="P960">
        <v>0.99960830000000001</v>
      </c>
      <c r="Q960">
        <v>-2.0779289999999999E-2</v>
      </c>
      <c r="R960">
        <v>1.8756450000000001E-2</v>
      </c>
      <c r="S960">
        <v>3.007568</v>
      </c>
      <c r="T960">
        <v>4.2894359999999999E-2</v>
      </c>
      <c r="U960">
        <v>-0.29248049999999998</v>
      </c>
      <c r="V960">
        <v>-7.7216330000000003E-3</v>
      </c>
      <c r="W960">
        <v>-1.5857739999999999E-2</v>
      </c>
      <c r="X960">
        <v>0.99984439999999997</v>
      </c>
      <c r="Y960">
        <v>0.1077521</v>
      </c>
      <c r="Z960">
        <v>7.1153570000000003E-4</v>
      </c>
      <c r="AA960">
        <v>0.99417750000000005</v>
      </c>
      <c r="AB960">
        <v>35</v>
      </c>
      <c r="AC960">
        <v>110.2474</v>
      </c>
      <c r="AD960">
        <v>1.575113</v>
      </c>
      <c r="AE960">
        <v>-10.7431</v>
      </c>
      <c r="AF960">
        <v>11.955764042276</v>
      </c>
      <c r="AG960">
        <v>1.575113</v>
      </c>
      <c r="AH960">
        <v>110.09996663565001</v>
      </c>
      <c r="AI960">
        <v>89.185160072693606</v>
      </c>
      <c r="AJ960">
        <v>83.802530448461596</v>
      </c>
      <c r="AK960">
        <v>110.75840341919201</v>
      </c>
      <c r="AL960">
        <v>90.908619697059194</v>
      </c>
      <c r="AM960">
        <v>90.442477036019994</v>
      </c>
      <c r="AN960">
        <v>0.999999957872726</v>
      </c>
    </row>
    <row r="961" spans="1:40" x14ac:dyDescent="0.25">
      <c r="A961" t="str">
        <f>"20190305135810121"</f>
        <v>20190305135810121</v>
      </c>
      <c r="B961" t="str">
        <f>"1551765490109133"</f>
        <v>1551765490109133</v>
      </c>
      <c r="C961" t="s">
        <v>40</v>
      </c>
      <c r="D961">
        <v>4.1029650000000002</v>
      </c>
      <c r="E961">
        <v>0.54431160000000001</v>
      </c>
      <c r="F961" t="s">
        <v>44</v>
      </c>
      <c r="G961">
        <v>-158.19499999999999</v>
      </c>
      <c r="H961">
        <v>2.6857839999999999</v>
      </c>
      <c r="I961">
        <v>357.16550000000001</v>
      </c>
      <c r="J961">
        <v>-268.23680000000002</v>
      </c>
      <c r="K961">
        <v>1.1081319999999999</v>
      </c>
      <c r="L961">
        <v>367.89699999999999</v>
      </c>
      <c r="M961">
        <v>0.99992619999999999</v>
      </c>
      <c r="N961">
        <v>-4.6685190000000003E-3</v>
      </c>
      <c r="O961">
        <v>1.121635E-2</v>
      </c>
      <c r="P961">
        <v>0.99958659999999999</v>
      </c>
      <c r="Q961">
        <v>-2.1906459999999999E-2</v>
      </c>
      <c r="R961">
        <v>1.8626199999999999E-2</v>
      </c>
      <c r="S961">
        <v>3.0075989999999999</v>
      </c>
      <c r="T961">
        <v>4.3041940000000001E-2</v>
      </c>
      <c r="U961">
        <v>-0.29269410000000001</v>
      </c>
      <c r="V961">
        <v>-7.4020309999999999E-3</v>
      </c>
      <c r="W961">
        <v>-1.7243939999999999E-2</v>
      </c>
      <c r="X961">
        <v>0.99982389999999999</v>
      </c>
      <c r="Y961">
        <v>0.1080089</v>
      </c>
      <c r="Z961">
        <v>7.3065740000000004E-4</v>
      </c>
      <c r="AA961">
        <v>0.99414970000000003</v>
      </c>
      <c r="AB961">
        <v>35</v>
      </c>
      <c r="AC961">
        <v>110.04179999999999</v>
      </c>
      <c r="AD961">
        <v>1.5776520000000001</v>
      </c>
      <c r="AE961">
        <v>-10.731499999999899</v>
      </c>
      <c r="AF961">
        <v>11.962670004666</v>
      </c>
      <c r="AG961">
        <v>1.5776520000000001</v>
      </c>
      <c r="AH961">
        <v>109.89213308562</v>
      </c>
      <c r="AI961">
        <v>89.182326992978503</v>
      </c>
      <c r="AJ961">
        <v>83.787342446917904</v>
      </c>
      <c r="AK961">
        <v>110.552590985382</v>
      </c>
      <c r="AL961">
        <v>90.988053967759797</v>
      </c>
      <c r="AM961">
        <v>90.424172084772806</v>
      </c>
      <c r="AN961">
        <v>0.99999998727042905</v>
      </c>
    </row>
    <row r="962" spans="1:40" x14ac:dyDescent="0.25">
      <c r="A962" t="str">
        <f>"20190305135810133"</f>
        <v>20190305135810133</v>
      </c>
      <c r="B962" t="str">
        <f>"1551765490129629"</f>
        <v>1551765490129629</v>
      </c>
      <c r="C962" t="s">
        <v>40</v>
      </c>
      <c r="D962">
        <v>4.1157370000000002</v>
      </c>
      <c r="E962">
        <v>0.54439219999999999</v>
      </c>
      <c r="F962" t="s">
        <v>44</v>
      </c>
      <c r="G962">
        <v>-158.19499999999999</v>
      </c>
      <c r="H962">
        <v>2.5821239999999999</v>
      </c>
      <c r="I962">
        <v>357.16879999999998</v>
      </c>
      <c r="J962">
        <v>-268.04289999999997</v>
      </c>
      <c r="K962">
        <v>1.1081490000000001</v>
      </c>
      <c r="L962">
        <v>367.89929999999998</v>
      </c>
      <c r="M962">
        <v>0.99992530000000002</v>
      </c>
      <c r="N962">
        <v>-4.4473430000000003E-3</v>
      </c>
      <c r="O962">
        <v>1.139364E-2</v>
      </c>
      <c r="P962">
        <v>0.99956310000000004</v>
      </c>
      <c r="Q962">
        <v>-2.2810110000000001E-2</v>
      </c>
      <c r="R962">
        <v>1.8802329999999999E-2</v>
      </c>
      <c r="S962">
        <v>3.007568</v>
      </c>
      <c r="T962">
        <v>4.0288209999999998E-2</v>
      </c>
      <c r="U962">
        <v>-0.2932129</v>
      </c>
      <c r="V962">
        <v>-7.399498E-3</v>
      </c>
      <c r="W962">
        <v>-1.8368860000000001E-2</v>
      </c>
      <c r="X962">
        <v>0.99980389999999997</v>
      </c>
      <c r="Y962">
        <v>0.1083571</v>
      </c>
      <c r="Z962">
        <v>6.8529579999999999E-4</v>
      </c>
      <c r="AA962">
        <v>0.99411179999999999</v>
      </c>
      <c r="AB962">
        <v>36</v>
      </c>
      <c r="AC962">
        <v>109.847899999999</v>
      </c>
      <c r="AD962">
        <v>1.473975</v>
      </c>
      <c r="AE962">
        <v>-10.730499999999999</v>
      </c>
      <c r="AF962">
        <v>11.9792466596752</v>
      </c>
      <c r="AG962">
        <v>1.473975</v>
      </c>
      <c r="AH962">
        <v>109.69894425971999</v>
      </c>
      <c r="AI962">
        <v>89.234737665192895</v>
      </c>
      <c r="AJ962">
        <v>83.767931128118803</v>
      </c>
      <c r="AK962">
        <v>110.36092299601</v>
      </c>
      <c r="AL962">
        <v>91.052517344138593</v>
      </c>
      <c r="AM962">
        <v>90.424035418846501</v>
      </c>
      <c r="AN962">
        <v>1.0000000030217799</v>
      </c>
    </row>
    <row r="963" spans="1:40" x14ac:dyDescent="0.25">
      <c r="A963" t="str">
        <f>"20190305135810144"</f>
        <v>20190305135810144</v>
      </c>
      <c r="B963" t="str">
        <f>"1551765490139389"</f>
        <v>1551765490139389</v>
      </c>
      <c r="C963" t="s">
        <v>40</v>
      </c>
      <c r="D963">
        <v>4.0892379999999999</v>
      </c>
      <c r="E963">
        <v>0.54434189999999905</v>
      </c>
      <c r="F963" t="s">
        <v>44</v>
      </c>
      <c r="G963">
        <v>-158.19499999999999</v>
      </c>
      <c r="H963">
        <v>2.5017589999999998</v>
      </c>
      <c r="I963">
        <v>357.17380000000003</v>
      </c>
      <c r="J963">
        <v>-267.87880000000001</v>
      </c>
      <c r="K963">
        <v>1.1081620000000001</v>
      </c>
      <c r="L963">
        <v>367.90120000000002</v>
      </c>
      <c r="M963">
        <v>0.99992440000000005</v>
      </c>
      <c r="N963">
        <v>-4.2733880000000004E-3</v>
      </c>
      <c r="O963">
        <v>1.154316E-2</v>
      </c>
      <c r="P963">
        <v>0.99955709999999998</v>
      </c>
      <c r="Q963">
        <v>-2.3340690000000001E-2</v>
      </c>
      <c r="R963">
        <v>1.846449E-2</v>
      </c>
      <c r="S963">
        <v>3.0076900000000002</v>
      </c>
      <c r="T963">
        <v>3.8160090000000001E-2</v>
      </c>
      <c r="U963">
        <v>-0.29367070000000001</v>
      </c>
      <c r="V963">
        <v>-6.9121749999999996E-3</v>
      </c>
      <c r="W963">
        <v>-1.9073110000000001E-2</v>
      </c>
      <c r="X963">
        <v>0.99979419999999997</v>
      </c>
      <c r="Y963">
        <v>0.1086526</v>
      </c>
      <c r="Z963">
        <v>6.502093E-4</v>
      </c>
      <c r="AA963">
        <v>0.99407959999999995</v>
      </c>
      <c r="AB963">
        <v>36</v>
      </c>
      <c r="AC963">
        <v>109.68380000000001</v>
      </c>
      <c r="AD963">
        <v>1.39359699999999</v>
      </c>
      <c r="AE963">
        <v>-10.7273999999999</v>
      </c>
      <c r="AF963">
        <v>11.990876925716901</v>
      </c>
      <c r="AG963">
        <v>1.39359699999999</v>
      </c>
      <c r="AH963">
        <v>109.53514810325601</v>
      </c>
      <c r="AI963">
        <v>89.275403220986803</v>
      </c>
      <c r="AJ963">
        <v>83.752673737582995</v>
      </c>
      <c r="AK963">
        <v>110.198329896819</v>
      </c>
      <c r="AL963">
        <v>91.092874971462507</v>
      </c>
      <c r="AM963">
        <v>90.396113665202193</v>
      </c>
      <c r="AN963">
        <v>1.0000000020209701</v>
      </c>
    </row>
    <row r="964" spans="1:40" x14ac:dyDescent="0.25">
      <c r="A964" t="str">
        <f>"20190305135810155"</f>
        <v>20190305135810155</v>
      </c>
      <c r="B964" t="str">
        <f>"1551765490149149"</f>
        <v>1551765490149149</v>
      </c>
      <c r="C964" t="s">
        <v>40</v>
      </c>
      <c r="D964">
        <v>4.1209559999999996</v>
      </c>
      <c r="E964">
        <v>0.54431589999999996</v>
      </c>
      <c r="F964" t="s">
        <v>44</v>
      </c>
      <c r="G964">
        <v>-158.19499999999999</v>
      </c>
      <c r="H964">
        <v>2.458027</v>
      </c>
      <c r="I964">
        <v>357.17360000000002</v>
      </c>
      <c r="J964">
        <v>-267.69150000000002</v>
      </c>
      <c r="K964">
        <v>1.1081780000000001</v>
      </c>
      <c r="L964">
        <v>367.90350000000001</v>
      </c>
      <c r="M964">
        <v>0.99992320000000001</v>
      </c>
      <c r="N964">
        <v>-4.0882970000000003E-3</v>
      </c>
      <c r="O964">
        <v>1.171415E-2</v>
      </c>
      <c r="P964">
        <v>0.99955110000000003</v>
      </c>
      <c r="Q964">
        <v>-2.3649139999999999E-2</v>
      </c>
      <c r="R964">
        <v>1.8408850000000001E-2</v>
      </c>
      <c r="S964">
        <v>3.0075989999999999</v>
      </c>
      <c r="T964">
        <v>3.7016510000000002E-2</v>
      </c>
      <c r="U964">
        <v>-0.2941589</v>
      </c>
      <c r="V964">
        <v>-6.6851829999999999E-3</v>
      </c>
      <c r="W964">
        <v>-1.9566509999999999E-2</v>
      </c>
      <c r="X964">
        <v>0.99978619999999996</v>
      </c>
      <c r="Y964">
        <v>0.1089857</v>
      </c>
      <c r="Z964">
        <v>6.3735050000000002E-4</v>
      </c>
      <c r="AA964">
        <v>0.99404309999999996</v>
      </c>
      <c r="AB964">
        <v>36</v>
      </c>
      <c r="AC964">
        <v>109.4965</v>
      </c>
      <c r="AD964">
        <v>1.3498490000000001</v>
      </c>
      <c r="AE964">
        <v>-10.729899999999899</v>
      </c>
      <c r="AF964">
        <v>12.0100248492767</v>
      </c>
      <c r="AG964">
        <v>1.3498490000000001</v>
      </c>
      <c r="AH964">
        <v>109.346834464472</v>
      </c>
      <c r="AI964">
        <v>89.296966666969794</v>
      </c>
      <c r="AJ964">
        <v>83.7320863175878</v>
      </c>
      <c r="AK964">
        <v>110.01269470658301</v>
      </c>
      <c r="AL964">
        <v>91.121149996978701</v>
      </c>
      <c r="AM964">
        <v>90.3831089714581</v>
      </c>
      <c r="AN964">
        <v>0.99999999284788099</v>
      </c>
    </row>
    <row r="965" spans="1:40" x14ac:dyDescent="0.25">
      <c r="A965" t="str">
        <f>"20190305135810167"</f>
        <v>20190305135810167</v>
      </c>
      <c r="B965" t="str">
        <f>"1551765490159885"</f>
        <v>1551765490159885</v>
      </c>
      <c r="C965" t="s">
        <v>40</v>
      </c>
      <c r="D965">
        <v>4.0948060000000002</v>
      </c>
      <c r="E965">
        <v>0.54419790000000001</v>
      </c>
      <c r="F965" t="s">
        <v>44</v>
      </c>
      <c r="G965">
        <v>-158.19499999999999</v>
      </c>
      <c r="H965">
        <v>2.4182579999999998</v>
      </c>
      <c r="I965">
        <v>357.19880000000001</v>
      </c>
      <c r="J965">
        <v>-267.50020000000001</v>
      </c>
      <c r="K965">
        <v>1.108196</v>
      </c>
      <c r="L965">
        <v>367.90589999999997</v>
      </c>
      <c r="M965">
        <v>0.99992179999999997</v>
      </c>
      <c r="N965">
        <v>-3.9222989999999998E-3</v>
      </c>
      <c r="O965">
        <v>1.1888360000000001E-2</v>
      </c>
      <c r="P965">
        <v>0.99954500000000002</v>
      </c>
      <c r="Q965">
        <v>-2.4004399999999999E-2</v>
      </c>
      <c r="R965">
        <v>1.8280060000000001E-2</v>
      </c>
      <c r="S965">
        <v>3.0076290000000001</v>
      </c>
      <c r="T965">
        <v>3.5987379999999999E-2</v>
      </c>
      <c r="U965">
        <v>-0.29403689999999999</v>
      </c>
      <c r="V965">
        <v>-6.3819130000000003E-3</v>
      </c>
      <c r="W965">
        <v>-2.0087580000000001E-2</v>
      </c>
      <c r="X965">
        <v>0.9997779</v>
      </c>
      <c r="Y965">
        <v>0.1091183</v>
      </c>
      <c r="Z965">
        <v>6.2516649999999998E-4</v>
      </c>
      <c r="AA965">
        <v>0.99402860000000004</v>
      </c>
      <c r="AB965">
        <v>36</v>
      </c>
      <c r="AC965">
        <v>109.3052</v>
      </c>
      <c r="AD965">
        <v>1.3100620000000001</v>
      </c>
      <c r="AE965">
        <v>-10.707099999999899</v>
      </c>
      <c r="AF965">
        <v>12.004104694394499</v>
      </c>
      <c r="AG965">
        <v>1.3100620000000001</v>
      </c>
      <c r="AH965">
        <v>109.15465365937</v>
      </c>
      <c r="AI965">
        <v>89.316495830305499</v>
      </c>
      <c r="AJ965">
        <v>83.724209277750205</v>
      </c>
      <c r="AK965">
        <v>109.820550023458</v>
      </c>
      <c r="AL965">
        <v>91.151010919822298</v>
      </c>
      <c r="AM965">
        <v>90.365732943067599</v>
      </c>
      <c r="AN965">
        <v>1.0000000445060999</v>
      </c>
    </row>
    <row r="966" spans="1:40" x14ac:dyDescent="0.25">
      <c r="A966" t="str">
        <f>"20190305135810179"</f>
        <v>20190305135810179</v>
      </c>
      <c r="B966" t="str">
        <f>"1551765490169645"</f>
        <v>1551765490169645</v>
      </c>
      <c r="C966" t="s">
        <v>40</v>
      </c>
      <c r="D966">
        <v>4.1552160000000002</v>
      </c>
      <c r="E966">
        <v>0.54419790000000001</v>
      </c>
      <c r="F966" t="s">
        <v>44</v>
      </c>
      <c r="G966">
        <v>-158.19499999999999</v>
      </c>
      <c r="H966">
        <v>2.3130109999999999</v>
      </c>
      <c r="I966">
        <v>357.23829999999998</v>
      </c>
      <c r="J966">
        <v>-267.31349999999998</v>
      </c>
      <c r="K966">
        <v>1.108214</v>
      </c>
      <c r="L966">
        <v>367.90820000000002</v>
      </c>
      <c r="M966">
        <v>0.99992029999999998</v>
      </c>
      <c r="N966">
        <v>-3.7692519999999998E-3</v>
      </c>
      <c r="O966">
        <v>1.2058370000000001E-2</v>
      </c>
      <c r="P966">
        <v>0.99955119999999997</v>
      </c>
      <c r="Q966">
        <v>-2.3990520000000001E-2</v>
      </c>
      <c r="R966">
        <v>1.7952280000000001E-2</v>
      </c>
      <c r="S966">
        <v>3.0075379999999998</v>
      </c>
      <c r="T966">
        <v>3.3152939999999999E-2</v>
      </c>
      <c r="U966">
        <v>-0.293518099999999</v>
      </c>
      <c r="V966">
        <v>-5.8837119999999897E-3</v>
      </c>
      <c r="W966">
        <v>-2.0226399999999999E-2</v>
      </c>
      <c r="X966">
        <v>0.9997781</v>
      </c>
      <c r="Y966">
        <v>0.10912139999999999</v>
      </c>
      <c r="Z966">
        <v>5.7180600000000001E-4</v>
      </c>
      <c r="AA966">
        <v>0.99402829999999998</v>
      </c>
      <c r="AB966">
        <v>36</v>
      </c>
      <c r="AC966">
        <v>109.118499999999</v>
      </c>
      <c r="AD966">
        <v>1.2047969999999999</v>
      </c>
      <c r="AE966">
        <v>-10.6699</v>
      </c>
      <c r="AF966">
        <v>11.9834776449815</v>
      </c>
      <c r="AG966">
        <v>1.2047969999999999</v>
      </c>
      <c r="AH966">
        <v>108.968745637992</v>
      </c>
      <c r="AI966">
        <v>89.370339140992101</v>
      </c>
      <c r="AJ966">
        <v>83.724303891429201</v>
      </c>
      <c r="AK966">
        <v>109.632307273888</v>
      </c>
      <c r="AL966">
        <v>91.158966402240594</v>
      </c>
      <c r="AM966">
        <v>90.337182794632795</v>
      </c>
      <c r="AN966">
        <v>0.999999987281734</v>
      </c>
    </row>
    <row r="967" spans="1:40" x14ac:dyDescent="0.25">
      <c r="A967" t="str">
        <f>"20190305135810192"</f>
        <v>20190305135810192</v>
      </c>
      <c r="B967" t="str">
        <f>"1551765490179406"</f>
        <v>1551765490179406</v>
      </c>
      <c r="C967" t="s">
        <v>40</v>
      </c>
      <c r="D967">
        <v>4.1652069999999997</v>
      </c>
      <c r="E967">
        <v>0.53981780000000001</v>
      </c>
      <c r="F967" t="s">
        <v>44</v>
      </c>
      <c r="G967">
        <v>-158.19499999999999</v>
      </c>
      <c r="H967">
        <v>2.3126060000000002</v>
      </c>
      <c r="I967">
        <v>357.22399999999999</v>
      </c>
      <c r="J967">
        <v>-267.0985</v>
      </c>
      <c r="K967">
        <v>1.1082379999999901</v>
      </c>
      <c r="L967">
        <v>367.91090000000003</v>
      </c>
      <c r="M967">
        <v>0.99991850000000004</v>
      </c>
      <c r="N967">
        <v>-3.629906E-3</v>
      </c>
      <c r="O967">
        <v>1.225332E-2</v>
      </c>
      <c r="P967">
        <v>0.99955919999999998</v>
      </c>
      <c r="Q967">
        <v>-2.3642179999999999E-2</v>
      </c>
      <c r="R967">
        <v>1.7962349999999998E-2</v>
      </c>
      <c r="S967">
        <v>3.0073850000000002</v>
      </c>
      <c r="T967">
        <v>3.3196330000000003E-2</v>
      </c>
      <c r="U967">
        <v>-0.29446409999999901</v>
      </c>
      <c r="V967">
        <v>-5.6987629999999999E-3</v>
      </c>
      <c r="W967">
        <v>-2.001725E-2</v>
      </c>
      <c r="X967">
        <v>0.99978339999999999</v>
      </c>
      <c r="Y967">
        <v>0.1096297</v>
      </c>
      <c r="Z967">
        <v>5.8345879999999997E-4</v>
      </c>
      <c r="AA967">
        <v>0.99397230000000003</v>
      </c>
      <c r="AB967">
        <v>36</v>
      </c>
      <c r="AC967">
        <v>108.90349999999999</v>
      </c>
      <c r="AD967">
        <v>1.2043680000000001</v>
      </c>
      <c r="AE967">
        <v>-10.6869</v>
      </c>
      <c r="AF967">
        <v>12.0190797405089</v>
      </c>
      <c r="AG967">
        <v>1.2043680000000001</v>
      </c>
      <c r="AH967">
        <v>108.75119948088199</v>
      </c>
      <c r="AI967">
        <v>89.369341902885296</v>
      </c>
      <c r="AJ967">
        <v>83.693319086746499</v>
      </c>
      <c r="AK967">
        <v>109.41998066449599</v>
      </c>
      <c r="AL967">
        <v>91.146980540964407</v>
      </c>
      <c r="AM967">
        <v>90.326582269978601</v>
      </c>
      <c r="AN967">
        <v>1.0000000065564201</v>
      </c>
    </row>
    <row r="968" spans="1:40" x14ac:dyDescent="0.25">
      <c r="A968" t="str">
        <f>"20190305135810203"</f>
        <v>20190305135810203</v>
      </c>
      <c r="B968" t="str">
        <f>"1551765490199901"</f>
        <v>1551765490199901</v>
      </c>
      <c r="C968" t="s">
        <v>40</v>
      </c>
      <c r="D968">
        <v>4.1398539999999997</v>
      </c>
      <c r="E968">
        <v>0.5394755</v>
      </c>
      <c r="F968" t="s">
        <v>43</v>
      </c>
      <c r="G968">
        <v>-163.1549</v>
      </c>
      <c r="H968">
        <v>-0.05</v>
      </c>
      <c r="I968">
        <v>358.83870000000002</v>
      </c>
      <c r="J968">
        <v>-266.90730000000002</v>
      </c>
      <c r="K968">
        <v>1.1082590000000001</v>
      </c>
      <c r="L968">
        <v>367.91340000000002</v>
      </c>
      <c r="M968">
        <v>0.99991669999999999</v>
      </c>
      <c r="N968">
        <v>-3.5240800000000002E-3</v>
      </c>
      <c r="O968">
        <v>1.242687E-2</v>
      </c>
      <c r="P968">
        <v>0.99956730000000005</v>
      </c>
      <c r="Q968">
        <v>-2.341259E-2</v>
      </c>
      <c r="R968">
        <v>1.7818150000000001E-2</v>
      </c>
      <c r="S968">
        <v>3.0052490000000001</v>
      </c>
      <c r="T968">
        <v>-3.3487320000000001E-2</v>
      </c>
      <c r="U968">
        <v>-0.26229859999999999</v>
      </c>
      <c r="V968">
        <v>-5.3812729999999998E-3</v>
      </c>
      <c r="W968">
        <v>-1.9893250000000001E-2</v>
      </c>
      <c r="X968">
        <v>0.9997876</v>
      </c>
      <c r="Y968">
        <v>9.9314349999999996E-2</v>
      </c>
      <c r="Z968">
        <v>-8.2211239999999998E-4</v>
      </c>
      <c r="AA968">
        <v>0.99505580000000005</v>
      </c>
      <c r="AB968">
        <v>36</v>
      </c>
      <c r="AC968">
        <v>103.75239999999999</v>
      </c>
      <c r="AD968">
        <v>-1.1582589999999999</v>
      </c>
      <c r="AE968">
        <v>-9.0747</v>
      </c>
      <c r="AF968">
        <v>10.362043109898</v>
      </c>
      <c r="AG968">
        <v>-1.1582589999999999</v>
      </c>
      <c r="AH968">
        <v>103.618801953675</v>
      </c>
      <c r="AI968">
        <v>90.637251822978698</v>
      </c>
      <c r="AJ968">
        <v>84.289317671210298</v>
      </c>
      <c r="AK968">
        <v>104.142064602337</v>
      </c>
      <c r="AL968">
        <v>91.139874488388898</v>
      </c>
      <c r="AM968">
        <v>90.308386755280395</v>
      </c>
      <c r="AN968">
        <v>0.999999972304211</v>
      </c>
    </row>
    <row r="969" spans="1:40" x14ac:dyDescent="0.25">
      <c r="A969" t="str">
        <f>"20190305135810215"</f>
        <v>20190305135810215</v>
      </c>
      <c r="B969" t="str">
        <f>"1551765490209661"</f>
        <v>1551765490209661</v>
      </c>
      <c r="C969" t="s">
        <v>40</v>
      </c>
      <c r="D969">
        <v>4.1244259999999997</v>
      </c>
      <c r="E969">
        <v>0.53988329999999995</v>
      </c>
      <c r="F969" t="s">
        <v>50</v>
      </c>
      <c r="G969">
        <v>-182.13310000000001</v>
      </c>
      <c r="H969" s="1">
        <v>-6.0969110000000001E-6</v>
      </c>
      <c r="I969">
        <v>360.57139999999998</v>
      </c>
      <c r="J969">
        <v>-266.7054</v>
      </c>
      <c r="K969">
        <v>1.1082829999999999</v>
      </c>
      <c r="L969">
        <v>367.91609999999997</v>
      </c>
      <c r="M969">
        <v>0.99991470000000005</v>
      </c>
      <c r="N969">
        <v>-3.4329030000000002E-3</v>
      </c>
      <c r="O969">
        <v>1.2610120000000001E-2</v>
      </c>
      <c r="P969">
        <v>0.99956449999999997</v>
      </c>
      <c r="Q969">
        <v>-2.356724E-2</v>
      </c>
      <c r="R969">
        <v>1.7773089999999998E-2</v>
      </c>
      <c r="S969">
        <v>3.0050050000000001</v>
      </c>
      <c r="T969">
        <v>-3.928483E-2</v>
      </c>
      <c r="U969">
        <v>-0.26025389999999998</v>
      </c>
      <c r="V969">
        <v>-5.1528900000000002E-3</v>
      </c>
      <c r="W969">
        <v>-2.0138940000000001E-2</v>
      </c>
      <c r="X969">
        <v>0.99978389999999995</v>
      </c>
      <c r="Y969">
        <v>9.8828959999999993E-2</v>
      </c>
      <c r="Z969">
        <v>-9.3608509999999995E-4</v>
      </c>
      <c r="AA969">
        <v>0.99510399999999999</v>
      </c>
      <c r="AB969">
        <v>36</v>
      </c>
      <c r="AC969">
        <v>84.572299999999899</v>
      </c>
      <c r="AD969">
        <v>-1.108289096911</v>
      </c>
      <c r="AE969">
        <v>-7.34469999999998</v>
      </c>
      <c r="AF969">
        <v>8.4091557297320207</v>
      </c>
      <c r="AG969">
        <v>-1.108289096911</v>
      </c>
      <c r="AH969">
        <v>84.458561814562998</v>
      </c>
      <c r="AI969">
        <v>90.748109704334894</v>
      </c>
      <c r="AJ969">
        <v>84.314058606270294</v>
      </c>
      <c r="AK969">
        <v>84.883395717852693</v>
      </c>
      <c r="AL969">
        <v>91.153954291619101</v>
      </c>
      <c r="AM969">
        <v>90.295300049459996</v>
      </c>
      <c r="AN969">
        <v>0.999999987939442</v>
      </c>
    </row>
    <row r="970" spans="1:40" x14ac:dyDescent="0.25">
      <c r="A970" t="str">
        <f>"20190305135810227"</f>
        <v>20190305135810227</v>
      </c>
      <c r="B970" t="str">
        <f>"1551765490219421"</f>
        <v>1551765490219421</v>
      </c>
      <c r="C970" t="s">
        <v>40</v>
      </c>
      <c r="D970">
        <v>4.1738369999999998</v>
      </c>
      <c r="E970">
        <v>0.53999200000000003</v>
      </c>
      <c r="F970" t="s">
        <v>50</v>
      </c>
      <c r="G970">
        <v>-179.06610000000001</v>
      </c>
      <c r="H970">
        <v>7.9987920000000004E-2</v>
      </c>
      <c r="I970">
        <v>360.23110000000003</v>
      </c>
      <c r="J970">
        <v>-266.52069999999998</v>
      </c>
      <c r="K970">
        <v>1.108304</v>
      </c>
      <c r="L970">
        <v>367.91849999999999</v>
      </c>
      <c r="M970">
        <v>0.99991269999999999</v>
      </c>
      <c r="N970">
        <v>-3.3957800000000002E-3</v>
      </c>
      <c r="O970">
        <v>1.277736E-2</v>
      </c>
      <c r="P970">
        <v>0.99957110000000005</v>
      </c>
      <c r="Q970">
        <v>-2.3417819999999999E-2</v>
      </c>
      <c r="R970">
        <v>1.7594740000000001E-2</v>
      </c>
      <c r="S970">
        <v>3.0051570000000001</v>
      </c>
      <c r="T970">
        <v>-3.5260319999999998E-2</v>
      </c>
      <c r="U970">
        <v>-0.26351930000000001</v>
      </c>
      <c r="V970">
        <v>-4.8067930000000002E-3</v>
      </c>
      <c r="W970">
        <v>-2.0026390000000002E-2</v>
      </c>
      <c r="X970">
        <v>0.99978789999999995</v>
      </c>
      <c r="Y970">
        <v>0.100066</v>
      </c>
      <c r="Z970">
        <v>-8.6248679999999895E-4</v>
      </c>
      <c r="AA970">
        <v>0.99498050000000005</v>
      </c>
      <c r="AB970">
        <v>36</v>
      </c>
      <c r="AC970">
        <v>87.4545999999999</v>
      </c>
      <c r="AD970">
        <v>-1.02831608</v>
      </c>
      <c r="AE970">
        <v>-7.6873999999999603</v>
      </c>
      <c r="AF970">
        <v>8.8030099321399202</v>
      </c>
      <c r="AG970">
        <v>-1.02831608</v>
      </c>
      <c r="AH970">
        <v>87.337253009727306</v>
      </c>
      <c r="AI970">
        <v>90.671173706969796</v>
      </c>
      <c r="AJ970">
        <v>84.244407699015696</v>
      </c>
      <c r="AK970">
        <v>87.785797149145097</v>
      </c>
      <c r="AL970">
        <v>91.147504333153407</v>
      </c>
      <c r="AM970">
        <v>90.275465256071399</v>
      </c>
      <c r="AN970">
        <v>1.00000000327089</v>
      </c>
    </row>
    <row r="971" spans="1:40" x14ac:dyDescent="0.25">
      <c r="A971" t="str">
        <f>"20190305135810238"</f>
        <v>20190305135810238</v>
      </c>
      <c r="B971" t="str">
        <f>"1551765490229182"</f>
        <v>1551765490229182</v>
      </c>
      <c r="C971" t="s">
        <v>40</v>
      </c>
      <c r="D971">
        <v>4.1742160000000004</v>
      </c>
      <c r="E971">
        <v>0.53971069999999999</v>
      </c>
      <c r="F971" t="s">
        <v>50</v>
      </c>
      <c r="G971">
        <v>-180</v>
      </c>
      <c r="H971">
        <v>3.3209900000000001E-2</v>
      </c>
      <c r="I971">
        <v>360.28739999999999</v>
      </c>
      <c r="J971">
        <v>-266.33850000000001</v>
      </c>
      <c r="K971">
        <v>1.108333</v>
      </c>
      <c r="L971">
        <v>367.92099999999999</v>
      </c>
      <c r="M971">
        <v>0.99991050000000004</v>
      </c>
      <c r="N971">
        <v>-3.3729849999999998E-3</v>
      </c>
      <c r="O971">
        <v>1.2942210000000001E-2</v>
      </c>
      <c r="P971">
        <v>0.99957010000000002</v>
      </c>
      <c r="Q971">
        <v>-2.3613200000000001E-2</v>
      </c>
      <c r="R971">
        <v>1.736944E-2</v>
      </c>
      <c r="S971">
        <v>3.0050349999999999</v>
      </c>
      <c r="T971">
        <v>-3.7340159999999997E-2</v>
      </c>
      <c r="U971">
        <v>-0.26504519999999998</v>
      </c>
      <c r="V971">
        <v>-4.4163259999999999E-3</v>
      </c>
      <c r="W971">
        <v>-2.024432E-2</v>
      </c>
      <c r="X971">
        <v>0.99978529999999999</v>
      </c>
      <c r="Y971">
        <v>0.1007338</v>
      </c>
      <c r="Z971">
        <v>-9.1179749999999995E-4</v>
      </c>
      <c r="AA971">
        <v>0.99491300000000005</v>
      </c>
      <c r="AB971">
        <v>36</v>
      </c>
      <c r="AC971">
        <v>86.338499999999996</v>
      </c>
      <c r="AD971">
        <v>-1.0751231000000001</v>
      </c>
      <c r="AE971">
        <v>-7.6336000000000004</v>
      </c>
      <c r="AF971">
        <v>8.7490319413984103</v>
      </c>
      <c r="AG971">
        <v>-1.0751231000000001</v>
      </c>
      <c r="AH971">
        <v>86.219206824025505</v>
      </c>
      <c r="AI971">
        <v>90.710771467225797</v>
      </c>
      <c r="AJ971">
        <v>84.205785438542605</v>
      </c>
      <c r="AK971">
        <v>86.668639512547202</v>
      </c>
      <c r="AL971">
        <v>91.159993348279102</v>
      </c>
      <c r="AM971">
        <v>90.253089533317905</v>
      </c>
      <c r="AN971">
        <v>0.99999999126184502</v>
      </c>
    </row>
    <row r="972" spans="1:40" x14ac:dyDescent="0.25">
      <c r="A972" t="str">
        <f>"20190305135810249"</f>
        <v>20190305135810249</v>
      </c>
      <c r="B972" t="str">
        <f>"1551765490239917"</f>
        <v>1551765490239917</v>
      </c>
      <c r="C972" t="s">
        <v>40</v>
      </c>
      <c r="D972">
        <v>4.1524159999999997</v>
      </c>
      <c r="E972">
        <v>0.54038129999999995</v>
      </c>
      <c r="F972" t="s">
        <v>50</v>
      </c>
      <c r="G972">
        <v>-181.53460000000001</v>
      </c>
      <c r="H972" s="1">
        <v>-6.1027089999999996E-6</v>
      </c>
      <c r="I972">
        <v>360.49180000000001</v>
      </c>
      <c r="J972">
        <v>-266.15210000000002</v>
      </c>
      <c r="K972">
        <v>1.1083809999999901</v>
      </c>
      <c r="L972">
        <v>367.92349999999999</v>
      </c>
      <c r="M972">
        <v>0.99990809999999997</v>
      </c>
      <c r="N972">
        <v>-3.4315970000000002E-3</v>
      </c>
      <c r="O972">
        <v>1.311064E-2</v>
      </c>
      <c r="P972">
        <v>0.99956699999999998</v>
      </c>
      <c r="Q972">
        <v>-2.3813879999999999E-2</v>
      </c>
      <c r="R972">
        <v>1.728412E-2</v>
      </c>
      <c r="S972">
        <v>3.0049440000000001</v>
      </c>
      <c r="T972">
        <v>-3.9272899999999999E-2</v>
      </c>
      <c r="U972">
        <v>-0.2632446</v>
      </c>
      <c r="V972">
        <v>-4.1626900000000001E-3</v>
      </c>
      <c r="W972">
        <v>-2.0386250000000002E-2</v>
      </c>
      <c r="X972">
        <v>0.99978350000000005</v>
      </c>
      <c r="Y972">
        <v>0.1003114</v>
      </c>
      <c r="Z972">
        <v>-9.5281610000000003E-4</v>
      </c>
      <c r="AA972">
        <v>0.9949557</v>
      </c>
      <c r="AB972">
        <v>36</v>
      </c>
      <c r="AC972">
        <v>84.617500000000007</v>
      </c>
      <c r="AD972">
        <v>-1.10838710270899</v>
      </c>
      <c r="AE972">
        <v>-7.43169999999997</v>
      </c>
      <c r="AF972">
        <v>8.5390035406412395</v>
      </c>
      <c r="AG972">
        <v>-1.10838710270899</v>
      </c>
      <c r="AH972">
        <v>84.498405151307693</v>
      </c>
      <c r="AI972">
        <v>90.747712488488204</v>
      </c>
      <c r="AJ972">
        <v>84.229553023031301</v>
      </c>
      <c r="AK972">
        <v>84.935996942115594</v>
      </c>
      <c r="AL972">
        <v>91.168127021893298</v>
      </c>
      <c r="AM972">
        <v>90.2385548373598</v>
      </c>
      <c r="AN972">
        <v>0.99999998702467396</v>
      </c>
    </row>
    <row r="973" spans="1:40" x14ac:dyDescent="0.25">
      <c r="A973" t="str">
        <f>"20190305135810261"</f>
        <v>20190305135810261</v>
      </c>
      <c r="B973" t="str">
        <f>"1551765490249678"</f>
        <v>1551765490249678</v>
      </c>
      <c r="C973" t="s">
        <v>40</v>
      </c>
      <c r="D973">
        <v>4.1141969999999999</v>
      </c>
      <c r="E973">
        <v>0.54075719999999905</v>
      </c>
      <c r="F973" t="s">
        <v>43</v>
      </c>
      <c r="G973">
        <v>-154.79949999999999</v>
      </c>
      <c r="H973">
        <v>-0.05</v>
      </c>
      <c r="I973">
        <v>357.96129999999999</v>
      </c>
      <c r="J973">
        <v>-265.97629999999998</v>
      </c>
      <c r="K973">
        <v>1.1084229999999999</v>
      </c>
      <c r="L973">
        <v>367.92590000000001</v>
      </c>
      <c r="M973">
        <v>0.99990579999999996</v>
      </c>
      <c r="N973">
        <v>-3.5088900000000002E-3</v>
      </c>
      <c r="O973">
        <v>1.326945E-2</v>
      </c>
      <c r="P973">
        <v>0.99956509999999998</v>
      </c>
      <c r="Q973">
        <v>-2.4123430000000001E-2</v>
      </c>
      <c r="R973">
        <v>1.6968E-2</v>
      </c>
      <c r="S973">
        <v>3.005188</v>
      </c>
      <c r="T973">
        <v>-3.1262400000000003E-2</v>
      </c>
      <c r="U973">
        <v>-0.26885989999999999</v>
      </c>
      <c r="V973">
        <v>-3.6873689999999998E-3</v>
      </c>
      <c r="W973">
        <v>-2.0618210000000001E-2</v>
      </c>
      <c r="X973">
        <v>0.99978060000000002</v>
      </c>
      <c r="Y973">
        <v>0.1023106</v>
      </c>
      <c r="Z973">
        <v>-8.0226329999999999E-4</v>
      </c>
      <c r="AA973">
        <v>0.99475219999999998</v>
      </c>
      <c r="AB973">
        <v>36</v>
      </c>
      <c r="AC973">
        <v>111.1768</v>
      </c>
      <c r="AD973">
        <v>-1.158423</v>
      </c>
      <c r="AE973">
        <v>-9.9646000000000097</v>
      </c>
      <c r="AF973">
        <v>11.437754856766601</v>
      </c>
      <c r="AG973">
        <v>-1.158423</v>
      </c>
      <c r="AH973">
        <v>111.02282837812101</v>
      </c>
      <c r="AI973">
        <v>90.594660899632402</v>
      </c>
      <c r="AJ973">
        <v>84.1180450412688</v>
      </c>
      <c r="AK973">
        <v>111.616453093118</v>
      </c>
      <c r="AL973">
        <v>91.181420156242396</v>
      </c>
      <c r="AM973">
        <v>90.211316086016794</v>
      </c>
      <c r="AN973">
        <v>0.999999977705052</v>
      </c>
    </row>
    <row r="974" spans="1:40" x14ac:dyDescent="0.25">
      <c r="A974" t="str">
        <f>"20190305135810273"</f>
        <v>20190305135810273</v>
      </c>
      <c r="B974" t="str">
        <f>"1551765490269197"</f>
        <v>1551765490269197</v>
      </c>
      <c r="C974" t="s">
        <v>40</v>
      </c>
      <c r="D974">
        <v>4.1371079999999996</v>
      </c>
      <c r="E974">
        <v>0.54023500000000002</v>
      </c>
      <c r="F974" t="s">
        <v>44</v>
      </c>
      <c r="G974">
        <v>-158.19499999999999</v>
      </c>
      <c r="H974">
        <v>0.2079182</v>
      </c>
      <c r="I974">
        <v>358.16309999999999</v>
      </c>
      <c r="J974">
        <v>-265.78370000000001</v>
      </c>
      <c r="K974">
        <v>1.108482</v>
      </c>
      <c r="L974">
        <v>367.92860000000002</v>
      </c>
      <c r="M974">
        <v>0.99990299999999999</v>
      </c>
      <c r="N974">
        <v>-3.6621539999999999E-3</v>
      </c>
      <c r="O974">
        <v>1.3442930000000001E-2</v>
      </c>
      <c r="P974">
        <v>0.99954189999999998</v>
      </c>
      <c r="Q974">
        <v>-2.5030609999999998E-2</v>
      </c>
      <c r="R974">
        <v>1.7021560000000002E-2</v>
      </c>
      <c r="S974">
        <v>3.00528</v>
      </c>
      <c r="T974">
        <v>-2.5106429999999999E-2</v>
      </c>
      <c r="U974">
        <v>-0.27221679999999998</v>
      </c>
      <c r="V974">
        <v>-3.566699E-3</v>
      </c>
      <c r="W974">
        <v>-2.1372169999999999E-2</v>
      </c>
      <c r="X974">
        <v>0.99976520000000002</v>
      </c>
      <c r="Y974">
        <v>0.103585</v>
      </c>
      <c r="Z974">
        <v>-6.8481740000000003E-4</v>
      </c>
      <c r="AA974">
        <v>0.99462039999999996</v>
      </c>
      <c r="AB974">
        <v>37</v>
      </c>
      <c r="AC974">
        <v>107.5887</v>
      </c>
      <c r="AD974">
        <v>-0.90056379999999903</v>
      </c>
      <c r="AE974">
        <v>-9.7655000000000296</v>
      </c>
      <c r="AF974">
        <v>11.210155528641099</v>
      </c>
      <c r="AG974">
        <v>-0.90056379999999903</v>
      </c>
      <c r="AH974">
        <v>107.440234129065</v>
      </c>
      <c r="AI974">
        <v>90.477649037128302</v>
      </c>
      <c r="AJ974">
        <v>84.043396072456702</v>
      </c>
      <c r="AK974">
        <v>108.02723041827301</v>
      </c>
      <c r="AL974">
        <v>91.224628413945197</v>
      </c>
      <c r="AM974">
        <v>90.204403926570805</v>
      </c>
      <c r="AN974">
        <v>0.999999973061652</v>
      </c>
    </row>
    <row r="975" spans="1:40" x14ac:dyDescent="0.25">
      <c r="A975" t="str">
        <f>"20190305135810284"</f>
        <v>20190305135810284</v>
      </c>
      <c r="B975" t="str">
        <f>"1551765490279933"</f>
        <v>1551765490279933</v>
      </c>
      <c r="C975" t="s">
        <v>40</v>
      </c>
      <c r="D975">
        <v>4.1485279999999998</v>
      </c>
      <c r="E975">
        <v>0.54022510000000001</v>
      </c>
      <c r="F975" t="s">
        <v>44</v>
      </c>
      <c r="G975">
        <v>-158.19499999999999</v>
      </c>
      <c r="H975">
        <v>0.32670690000000002</v>
      </c>
      <c r="I975">
        <v>358.34859999999998</v>
      </c>
      <c r="J975">
        <v>-265.60239999999999</v>
      </c>
      <c r="K975">
        <v>1.108544</v>
      </c>
      <c r="L975">
        <v>367.93119999999999</v>
      </c>
      <c r="M975">
        <v>0.99990000000000001</v>
      </c>
      <c r="N975">
        <v>-3.8539350000000002E-3</v>
      </c>
      <c r="O975">
        <v>1.3606740000000001E-2</v>
      </c>
      <c r="P975">
        <v>0.99952580000000002</v>
      </c>
      <c r="Q975">
        <v>-2.5867620000000001E-2</v>
      </c>
      <c r="R975">
        <v>1.6714779999999999E-2</v>
      </c>
      <c r="S975">
        <v>3.0053709999999998</v>
      </c>
      <c r="T975">
        <v>-2.1835569999999999E-2</v>
      </c>
      <c r="U975">
        <v>-0.26760859999999997</v>
      </c>
      <c r="V975">
        <v>-3.0961270000000002E-3</v>
      </c>
      <c r="W975">
        <v>-2.2017189999999999E-2</v>
      </c>
      <c r="X975">
        <v>0.9997528</v>
      </c>
      <c r="Y975">
        <v>0.1022334</v>
      </c>
      <c r="Z975">
        <v>-6.1439190000000003E-4</v>
      </c>
      <c r="AA975">
        <v>0.99476030000000004</v>
      </c>
      <c r="AB975">
        <v>37</v>
      </c>
      <c r="AC975">
        <v>107.4074</v>
      </c>
      <c r="AD975">
        <v>-0.78183709999999995</v>
      </c>
      <c r="AE975">
        <v>-9.58260000000001</v>
      </c>
      <c r="AF975">
        <v>11.042607796079301</v>
      </c>
      <c r="AG975">
        <v>-0.78183709999999995</v>
      </c>
      <c r="AH975">
        <v>107.26142908088001</v>
      </c>
      <c r="AI975">
        <v>90.415430455285602</v>
      </c>
      <c r="AJ975">
        <v>84.122084060203207</v>
      </c>
      <c r="AK975">
        <v>107.831185770452</v>
      </c>
      <c r="AL975">
        <v>91.261594003046596</v>
      </c>
      <c r="AM975">
        <v>90.177438305572196</v>
      </c>
      <c r="AN975">
        <v>1.0000000018828601</v>
      </c>
    </row>
    <row r="976" spans="1:40" x14ac:dyDescent="0.25">
      <c r="A976" t="str">
        <f>"20190305135810297"</f>
        <v>20190305135810297</v>
      </c>
      <c r="B976" t="str">
        <f>"1551765490289695"</f>
        <v>1551765490289695</v>
      </c>
      <c r="C976" t="s">
        <v>40</v>
      </c>
      <c r="D976">
        <v>4.1672409999999998</v>
      </c>
      <c r="E976">
        <v>0.54022939999999997</v>
      </c>
      <c r="F976" t="s">
        <v>44</v>
      </c>
      <c r="G976">
        <v>-158.19499999999999</v>
      </c>
      <c r="H976">
        <v>0.3173723</v>
      </c>
      <c r="I976">
        <v>358.33670000000001</v>
      </c>
      <c r="J976">
        <v>-265.38130000000001</v>
      </c>
      <c r="K976">
        <v>1.1086279999999999</v>
      </c>
      <c r="L976">
        <v>367.93439999999998</v>
      </c>
      <c r="M976">
        <v>0.99989609999999995</v>
      </c>
      <c r="N976">
        <v>-4.1436019999999997E-3</v>
      </c>
      <c r="O976">
        <v>1.3806850000000001E-2</v>
      </c>
      <c r="P976">
        <v>0.99950050000000001</v>
      </c>
      <c r="Q976">
        <v>-2.6766249999999998E-2</v>
      </c>
      <c r="R976">
        <v>1.6812859999999999E-2</v>
      </c>
      <c r="S976">
        <v>3.0053709999999998</v>
      </c>
      <c r="T976">
        <v>-2.213538E-2</v>
      </c>
      <c r="U976">
        <v>-0.26846310000000001</v>
      </c>
      <c r="V976">
        <v>-2.9935920000000002E-3</v>
      </c>
      <c r="W976">
        <v>-2.2626250000000001E-2</v>
      </c>
      <c r="X976">
        <v>0.9997395</v>
      </c>
      <c r="Y976">
        <v>0.10271280000000001</v>
      </c>
      <c r="Z976">
        <v>-6.351382E-4</v>
      </c>
      <c r="AA976">
        <v>0.99471089999999995</v>
      </c>
      <c r="AB976">
        <v>37</v>
      </c>
      <c r="AC976">
        <v>107.1863</v>
      </c>
      <c r="AD976">
        <v>-0.79125570000000001</v>
      </c>
      <c r="AE976">
        <v>-9.5976999999999695</v>
      </c>
      <c r="AF976">
        <v>11.076104214968501</v>
      </c>
      <c r="AG976">
        <v>-0.79125570000000001</v>
      </c>
      <c r="AH976">
        <v>107.037781174533</v>
      </c>
      <c r="AI976">
        <v>90.421290584033699</v>
      </c>
      <c r="AJ976">
        <v>84.092148066818893</v>
      </c>
      <c r="AK976">
        <v>107.612233360947</v>
      </c>
      <c r="AL976">
        <v>91.296499285595203</v>
      </c>
      <c r="AM976">
        <v>90.171564367072705</v>
      </c>
      <c r="AN976">
        <v>0.99999998832118697</v>
      </c>
    </row>
    <row r="977" spans="1:40" x14ac:dyDescent="0.25">
      <c r="A977" t="str">
        <f>"20190305135810311"</f>
        <v>20190305135810311</v>
      </c>
      <c r="B977" t="str">
        <f>"1551765490299453"</f>
        <v>1551765490299453</v>
      </c>
      <c r="C977" t="s">
        <v>40</v>
      </c>
      <c r="D977">
        <v>4.1755469999999999</v>
      </c>
      <c r="E977">
        <v>0.5401859</v>
      </c>
      <c r="F977" t="s">
        <v>44</v>
      </c>
      <c r="G977">
        <v>-158.19499999999999</v>
      </c>
      <c r="H977">
        <v>0.31404110000000002</v>
      </c>
      <c r="I977">
        <v>358.3716</v>
      </c>
      <c r="J977">
        <v>-265.15589999999997</v>
      </c>
      <c r="K977">
        <v>1.1087279999999999</v>
      </c>
      <c r="L977">
        <v>367.93770000000001</v>
      </c>
      <c r="M977">
        <v>0.99989150000000004</v>
      </c>
      <c r="N977">
        <v>-4.5458540000000002E-3</v>
      </c>
      <c r="O977">
        <v>1.401589E-2</v>
      </c>
      <c r="P977">
        <v>0.99946590000000002</v>
      </c>
      <c r="Q977">
        <v>-2.842298E-2</v>
      </c>
      <c r="R977">
        <v>1.6128279999999998E-2</v>
      </c>
      <c r="S977">
        <v>3.0053709999999998</v>
      </c>
      <c r="T977">
        <v>-2.227676E-2</v>
      </c>
      <c r="U977">
        <v>-0.26812740000000002</v>
      </c>
      <c r="V977">
        <v>-2.0996919999999998E-3</v>
      </c>
      <c r="W977">
        <v>-2.3880350000000002E-2</v>
      </c>
      <c r="X977">
        <v>0.99971259999999995</v>
      </c>
      <c r="Y977">
        <v>0.1028104</v>
      </c>
      <c r="Z977">
        <v>-6.545384E-4</v>
      </c>
      <c r="AA977">
        <v>0.99470069999999999</v>
      </c>
      <c r="AB977">
        <v>37</v>
      </c>
      <c r="AC977">
        <v>106.960899999999</v>
      </c>
      <c r="AD977">
        <v>-0.79468689999999997</v>
      </c>
      <c r="AE977">
        <v>-9.5661000000000005</v>
      </c>
      <c r="AF977">
        <v>11.0637220596213</v>
      </c>
      <c r="AG977">
        <v>-0.79468689999999997</v>
      </c>
      <c r="AH977">
        <v>106.81046531784</v>
      </c>
      <c r="AI977">
        <v>90.424013324613796</v>
      </c>
      <c r="AJ977">
        <v>84.086235594031805</v>
      </c>
      <c r="AK977">
        <v>107.384882429954</v>
      </c>
      <c r="AL977">
        <v>91.368373372330595</v>
      </c>
      <c r="AM977">
        <v>90.120337898093794</v>
      </c>
      <c r="AN977">
        <v>0.999999981210688</v>
      </c>
    </row>
    <row r="978" spans="1:40" x14ac:dyDescent="0.25">
      <c r="A978" t="str">
        <f>"20190305135810325"</f>
        <v>20190305135810325</v>
      </c>
      <c r="B978" t="str">
        <f>"1551765490319950"</f>
        <v>1551765490319950</v>
      </c>
      <c r="C978" t="s">
        <v>40</v>
      </c>
      <c r="D978">
        <v>4.1694399999999998</v>
      </c>
      <c r="E978">
        <v>0.54015299999999999</v>
      </c>
      <c r="F978" t="s">
        <v>44</v>
      </c>
      <c r="G978">
        <v>-158.19499999999999</v>
      </c>
      <c r="H978">
        <v>0.21052460000000001</v>
      </c>
      <c r="I978">
        <v>358.33940000000001</v>
      </c>
      <c r="J978">
        <v>-264.92259999999999</v>
      </c>
      <c r="K978">
        <v>1.10884</v>
      </c>
      <c r="L978">
        <v>367.94110000000001</v>
      </c>
      <c r="M978">
        <v>0.9998861</v>
      </c>
      <c r="N978">
        <v>-5.0221340000000001E-3</v>
      </c>
      <c r="O978">
        <v>1.422822E-2</v>
      </c>
      <c r="P978">
        <v>0.99943219999999999</v>
      </c>
      <c r="Q978">
        <v>-2.967173E-2</v>
      </c>
      <c r="R978">
        <v>1.595446E-2</v>
      </c>
      <c r="S978">
        <v>3.00528</v>
      </c>
      <c r="T978">
        <v>-2.5234340000000001E-2</v>
      </c>
      <c r="U978">
        <v>-0.26968379999999997</v>
      </c>
      <c r="V978">
        <v>-1.71258E-3</v>
      </c>
      <c r="W978">
        <v>-2.4652839999999999E-2</v>
      </c>
      <c r="X978">
        <v>0.99969459999999999</v>
      </c>
      <c r="Y978">
        <v>0.1035341</v>
      </c>
      <c r="Z978">
        <v>-7.4224369999999998E-4</v>
      </c>
      <c r="AA978">
        <v>0.9946256</v>
      </c>
      <c r="AB978">
        <v>37</v>
      </c>
      <c r="AC978">
        <v>106.7276</v>
      </c>
      <c r="AD978">
        <v>-0.89831539999999999</v>
      </c>
      <c r="AE978">
        <v>-9.6016999999999904</v>
      </c>
      <c r="AF978">
        <v>11.1185096904057</v>
      </c>
      <c r="AG978">
        <v>-0.89831539999999999</v>
      </c>
      <c r="AH978">
        <v>106.572689822079</v>
      </c>
      <c r="AI978">
        <v>90.480335456229795</v>
      </c>
      <c r="AJ978">
        <v>84.043995737435196</v>
      </c>
      <c r="AK978">
        <v>107.15487130413899</v>
      </c>
      <c r="AL978">
        <v>91.412646809925405</v>
      </c>
      <c r="AM978">
        <v>90.098153486164804</v>
      </c>
      <c r="AN978">
        <v>0.99999999435973996</v>
      </c>
    </row>
    <row r="979" spans="1:40" x14ac:dyDescent="0.25">
      <c r="A979" t="str">
        <f>"20190305135810338"</f>
        <v>20190305135810338</v>
      </c>
      <c r="B979" t="str">
        <f>"1551765490329710"</f>
        <v>1551765490329710</v>
      </c>
      <c r="C979" t="s">
        <v>40</v>
      </c>
      <c r="D979">
        <v>4.1420159999999999</v>
      </c>
      <c r="E979">
        <v>0.54004810000000003</v>
      </c>
      <c r="F979" t="s">
        <v>44</v>
      </c>
      <c r="G979">
        <v>-158.19499999999999</v>
      </c>
      <c r="H979">
        <v>0.22546859999999999</v>
      </c>
      <c r="I979">
        <v>358.35829999999999</v>
      </c>
      <c r="J979">
        <v>-264.7097</v>
      </c>
      <c r="K979">
        <v>1.1089439999999999</v>
      </c>
      <c r="L979">
        <v>367.9443</v>
      </c>
      <c r="M979">
        <v>0.99988089999999996</v>
      </c>
      <c r="N979">
        <v>-5.5049629999999999E-3</v>
      </c>
      <c r="O979">
        <v>1.441831E-2</v>
      </c>
      <c r="P979">
        <v>0.99940899999999999</v>
      </c>
      <c r="Q979">
        <v>-3.0574629999999998E-2</v>
      </c>
      <c r="R979">
        <v>1.5719650000000002E-2</v>
      </c>
      <c r="S979">
        <v>3.00528</v>
      </c>
      <c r="T979">
        <v>-2.4871830000000001E-2</v>
      </c>
      <c r="U979">
        <v>-0.26983639999999998</v>
      </c>
      <c r="V979">
        <v>-1.287357E-3</v>
      </c>
      <c r="W979">
        <v>-2.5072839999999999E-2</v>
      </c>
      <c r="X979">
        <v>0.99968480000000004</v>
      </c>
      <c r="Y979">
        <v>0.1037732</v>
      </c>
      <c r="Z979">
        <v>-7.5466289999999903E-4</v>
      </c>
      <c r="AA979">
        <v>0.9946007</v>
      </c>
      <c r="AB979">
        <v>37</v>
      </c>
      <c r="AC979">
        <v>106.5147</v>
      </c>
      <c r="AD979">
        <v>-0.88347540000000002</v>
      </c>
      <c r="AE979">
        <v>-9.5860000000000092</v>
      </c>
      <c r="AF979">
        <v>11.120029863743399</v>
      </c>
      <c r="AG979">
        <v>-0.88347540000000002</v>
      </c>
      <c r="AH979">
        <v>106.358153190717</v>
      </c>
      <c r="AI979">
        <v>90.473342621889998</v>
      </c>
      <c r="AJ979">
        <v>84.031258339735004</v>
      </c>
      <c r="AK979">
        <v>106.94153703352499</v>
      </c>
      <c r="AL979">
        <v>91.4367184679259</v>
      </c>
      <c r="AM979">
        <v>90.073783338561995</v>
      </c>
      <c r="AN979">
        <v>1.00000000197237</v>
      </c>
    </row>
    <row r="980" spans="1:40" x14ac:dyDescent="0.25">
      <c r="A980" t="str">
        <f>"20190305135810349"</f>
        <v>20190305135810349</v>
      </c>
      <c r="B980" t="str">
        <f>"1551765490339469"</f>
        <v>1551765490339469</v>
      </c>
      <c r="C980" t="s">
        <v>40</v>
      </c>
      <c r="D980">
        <v>4.1310880000000001</v>
      </c>
      <c r="E980">
        <v>0.54008929999999999</v>
      </c>
      <c r="F980" t="s">
        <v>44</v>
      </c>
      <c r="G980">
        <v>-158.19499999999999</v>
      </c>
      <c r="H980">
        <v>0.15267849999999999</v>
      </c>
      <c r="I980">
        <v>358.39330000000001</v>
      </c>
      <c r="J980">
        <v>-264.5197</v>
      </c>
      <c r="K980">
        <v>1.10903</v>
      </c>
      <c r="L980">
        <v>367.94729999999998</v>
      </c>
      <c r="M980">
        <v>0.99987570000000003</v>
      </c>
      <c r="N980">
        <v>-5.9803929999999996E-3</v>
      </c>
      <c r="O980">
        <v>1.458884E-2</v>
      </c>
      <c r="P980">
        <v>0.99938139999999998</v>
      </c>
      <c r="Q980">
        <v>-3.1707440000000003E-2</v>
      </c>
      <c r="R980">
        <v>1.522868E-2</v>
      </c>
      <c r="S980">
        <v>3.005188</v>
      </c>
      <c r="T980">
        <v>-2.6977419999999998E-2</v>
      </c>
      <c r="U980">
        <v>-0.26947019999999999</v>
      </c>
      <c r="V980">
        <v>-6.2618169999999998E-4</v>
      </c>
      <c r="W980">
        <v>-2.5730010000000001E-2</v>
      </c>
      <c r="X980">
        <v>0.99966869999999997</v>
      </c>
      <c r="Y980">
        <v>0.10382429999999999</v>
      </c>
      <c r="Z980">
        <v>-8.1981600000000001E-4</v>
      </c>
      <c r="AA980">
        <v>0.99459529999999996</v>
      </c>
      <c r="AB980">
        <v>37</v>
      </c>
      <c r="AC980">
        <v>106.32470000000001</v>
      </c>
      <c r="AD980">
        <v>-0.95635149999999902</v>
      </c>
      <c r="AE980">
        <v>-9.5539999999999701</v>
      </c>
      <c r="AF980">
        <v>11.1032738668953</v>
      </c>
      <c r="AG980">
        <v>-0.95635149999999902</v>
      </c>
      <c r="AH980">
        <v>106.165479602961</v>
      </c>
      <c r="AI980">
        <v>90.513313850471604</v>
      </c>
      <c r="AJ980">
        <v>84.029449378583607</v>
      </c>
      <c r="AK980">
        <v>106.748800265303</v>
      </c>
      <c r="AL980">
        <v>91.474383739956593</v>
      </c>
      <c r="AM980">
        <v>90.035889454102104</v>
      </c>
      <c r="AN980">
        <v>0.99999996763890497</v>
      </c>
    </row>
    <row r="981" spans="1:40" x14ac:dyDescent="0.25">
      <c r="A981" t="str">
        <f>"20190305135810361"</f>
        <v>20190305135810361</v>
      </c>
      <c r="B981" t="str">
        <f>"1551765490350206"</f>
        <v>1551765490350206</v>
      </c>
      <c r="C981" t="s">
        <v>40</v>
      </c>
      <c r="D981">
        <v>4.1960059999999997</v>
      </c>
      <c r="E981">
        <v>0.54013230000000001</v>
      </c>
      <c r="F981" t="s">
        <v>43</v>
      </c>
      <c r="G981">
        <v>-156.3177</v>
      </c>
      <c r="H981">
        <v>-0.05</v>
      </c>
      <c r="I981">
        <v>358.18259999999998</v>
      </c>
      <c r="J981">
        <v>-264.3288</v>
      </c>
      <c r="K981">
        <v>1.109113</v>
      </c>
      <c r="L981">
        <v>367.9502</v>
      </c>
      <c r="M981">
        <v>0.99987020000000004</v>
      </c>
      <c r="N981">
        <v>-6.4585889999999998E-3</v>
      </c>
      <c r="O981">
        <v>1.476157E-2</v>
      </c>
      <c r="P981">
        <v>0.99935469999999904</v>
      </c>
      <c r="Q981">
        <v>-3.26778E-2</v>
      </c>
      <c r="R981">
        <v>1.4916749999999999E-2</v>
      </c>
      <c r="S981">
        <v>3.0049130000000002</v>
      </c>
      <c r="T981">
        <v>-3.2187819999999999E-2</v>
      </c>
      <c r="U981">
        <v>-0.27117920000000001</v>
      </c>
      <c r="V981">
        <v>-1.40920499999999E-4</v>
      </c>
      <c r="W981">
        <v>-2.622211E-2</v>
      </c>
      <c r="X981">
        <v>0.99965610000000005</v>
      </c>
      <c r="Y981">
        <v>0.10456260000000001</v>
      </c>
      <c r="Z981">
        <v>-9.5992569999999995E-4</v>
      </c>
      <c r="AA981">
        <v>0.99451789999999995</v>
      </c>
      <c r="AB981">
        <v>37</v>
      </c>
      <c r="AC981">
        <v>108.0111</v>
      </c>
      <c r="AD981">
        <v>-1.1591129999999901</v>
      </c>
      <c r="AE981">
        <v>-9.7676000000000105</v>
      </c>
      <c r="AF981">
        <v>11.359684730596101</v>
      </c>
      <c r="AG981">
        <v>-1.1591129999999901</v>
      </c>
      <c r="AH981">
        <v>107.84282391630801</v>
      </c>
      <c r="AI981">
        <v>90.6124131563692</v>
      </c>
      <c r="AJ981">
        <v>83.986890946634205</v>
      </c>
      <c r="AK981">
        <v>108.445657591114</v>
      </c>
      <c r="AL981">
        <v>91.502588510095606</v>
      </c>
      <c r="AM981">
        <v>90.008076927498706</v>
      </c>
      <c r="AN981">
        <v>0.99999996858932405</v>
      </c>
    </row>
    <row r="982" spans="1:40" x14ac:dyDescent="0.25">
      <c r="A982" t="str">
        <f>"20190305135810374"</f>
        <v>20190305135810374</v>
      </c>
      <c r="B982" t="str">
        <f>"1551765490369725"</f>
        <v>1551765490369725</v>
      </c>
      <c r="C982" t="s">
        <v>40</v>
      </c>
      <c r="D982">
        <v>4.1904170000000001</v>
      </c>
      <c r="E982">
        <v>0.54018789999999905</v>
      </c>
      <c r="F982" t="s">
        <v>50</v>
      </c>
      <c r="G982">
        <v>-179.9761</v>
      </c>
      <c r="H982">
        <v>7.3860510000000004E-2</v>
      </c>
      <c r="I982">
        <v>360.2955</v>
      </c>
      <c r="J982">
        <v>-264.11739999999998</v>
      </c>
      <c r="K982">
        <v>1.1091949999999999</v>
      </c>
      <c r="L982">
        <v>367.95350000000002</v>
      </c>
      <c r="M982">
        <v>0.99986370000000002</v>
      </c>
      <c r="N982">
        <v>-6.9897939999999997E-3</v>
      </c>
      <c r="O982">
        <v>1.4956229999999999E-2</v>
      </c>
      <c r="P982">
        <v>0.99931680000000001</v>
      </c>
      <c r="Q982">
        <v>-3.4015770000000001E-2</v>
      </c>
      <c r="R982">
        <v>1.4469839999999999E-2</v>
      </c>
      <c r="S982">
        <v>3.004791</v>
      </c>
      <c r="T982">
        <v>-3.6877510000000002E-2</v>
      </c>
      <c r="U982">
        <v>-0.27267459999999999</v>
      </c>
      <c r="V982">
        <v>4.9993200000000002E-4</v>
      </c>
      <c r="W982">
        <v>-2.702879E-2</v>
      </c>
      <c r="X982">
        <v>0.99963449999999998</v>
      </c>
      <c r="Y982">
        <v>0.10524790000000001</v>
      </c>
      <c r="Z982">
        <v>-1.091999E-3</v>
      </c>
      <c r="AA982">
        <v>0.99444540000000003</v>
      </c>
      <c r="AB982">
        <v>37</v>
      </c>
      <c r="AC982">
        <v>84.141299999999902</v>
      </c>
      <c r="AD982">
        <v>-1.0353344900000001</v>
      </c>
      <c r="AE982">
        <v>-7.6580000000000101</v>
      </c>
      <c r="AF982">
        <v>8.9142722206123608</v>
      </c>
      <c r="AG982">
        <v>-1.0353344900000001</v>
      </c>
      <c r="AH982">
        <v>84.004736344100706</v>
      </c>
      <c r="AI982">
        <v>90.702176417029193</v>
      </c>
      <c r="AJ982">
        <v>83.942652311304201</v>
      </c>
      <c r="AK982">
        <v>84.482731341802804</v>
      </c>
      <c r="AL982">
        <v>91.548824262309097</v>
      </c>
      <c r="AM982">
        <v>89.971345535537793</v>
      </c>
      <c r="AN982">
        <v>0.99999996950555803</v>
      </c>
    </row>
    <row r="983" spans="1:40" x14ac:dyDescent="0.25">
      <c r="A983" t="str">
        <f>"20190305135810389"</f>
        <v>20190305135810389</v>
      </c>
      <c r="B983" t="str">
        <f>"1551765490379485"</f>
        <v>1551765490379485</v>
      </c>
      <c r="C983" t="s">
        <v>40</v>
      </c>
      <c r="D983">
        <v>4.1865769999999998</v>
      </c>
      <c r="E983">
        <v>0.54007950000000005</v>
      </c>
      <c r="F983" t="s">
        <v>50</v>
      </c>
      <c r="G983">
        <v>-184.39660000000001</v>
      </c>
      <c r="H983" s="1">
        <v>-6.000208E-6</v>
      </c>
      <c r="I983">
        <v>360.66669999999999</v>
      </c>
      <c r="J983">
        <v>-263.8759</v>
      </c>
      <c r="K983">
        <v>1.1092660000000001</v>
      </c>
      <c r="L983">
        <v>367.95729999999998</v>
      </c>
      <c r="M983">
        <v>0.99985610000000003</v>
      </c>
      <c r="N983">
        <v>-7.5750649999999997E-3</v>
      </c>
      <c r="O983">
        <v>1.5181129999999999E-2</v>
      </c>
      <c r="P983">
        <v>0.99928340000000004</v>
      </c>
      <c r="Q983">
        <v>-3.5395469999999998E-2</v>
      </c>
      <c r="R983">
        <v>1.341177E-2</v>
      </c>
      <c r="S983">
        <v>3.004578</v>
      </c>
      <c r="T983">
        <v>-4.1804429999999997E-2</v>
      </c>
      <c r="U983">
        <v>-0.27462769999999997</v>
      </c>
      <c r="V983">
        <v>1.782832E-3</v>
      </c>
      <c r="W983">
        <v>-2.782273E-2</v>
      </c>
      <c r="X983">
        <v>0.99961129999999998</v>
      </c>
      <c r="Y983">
        <v>0.1061156</v>
      </c>
      <c r="Z983">
        <v>-1.235505E-3</v>
      </c>
      <c r="AA983">
        <v>0.99435309999999999</v>
      </c>
      <c r="AB983">
        <v>37</v>
      </c>
      <c r="AC983">
        <v>79.479299999999995</v>
      </c>
      <c r="AD983">
        <v>-1.1092720002079901</v>
      </c>
      <c r="AE983">
        <v>-7.29059999999998</v>
      </c>
      <c r="AF983">
        <v>8.4947390579809596</v>
      </c>
      <c r="AG983">
        <v>-1.1092720002079901</v>
      </c>
      <c r="AH983">
        <v>79.344131032627899</v>
      </c>
      <c r="AI983">
        <v>90.796421655548301</v>
      </c>
      <c r="AJ983">
        <v>83.889078308276098</v>
      </c>
      <c r="AK983">
        <v>79.805276801452493</v>
      </c>
      <c r="AL983">
        <v>91.594330718030605</v>
      </c>
      <c r="AM983">
        <v>89.897811638513204</v>
      </c>
      <c r="AN983">
        <v>1.00000001694114</v>
      </c>
    </row>
    <row r="984" spans="1:40" x14ac:dyDescent="0.25">
      <c r="A984" t="str">
        <f>"20190305135810400"</f>
        <v>20190305135810400</v>
      </c>
      <c r="B984" t="str">
        <f>"1551765490390223"</f>
        <v>1551765490390223</v>
      </c>
      <c r="C984" t="s">
        <v>40</v>
      </c>
      <c r="D984">
        <v>4.1974109999999998</v>
      </c>
      <c r="E984">
        <v>0.54001409999999905</v>
      </c>
      <c r="F984" t="s">
        <v>50</v>
      </c>
      <c r="G984">
        <v>-193.83940000000001</v>
      </c>
      <c r="H984" s="1">
        <v>-7.9002350000000001E-6</v>
      </c>
      <c r="I984">
        <v>361.50299999999999</v>
      </c>
      <c r="J984">
        <v>-263.68869999999998</v>
      </c>
      <c r="K984">
        <v>1.109321</v>
      </c>
      <c r="L984">
        <v>367.96030000000002</v>
      </c>
      <c r="M984">
        <v>0.99985000000000002</v>
      </c>
      <c r="N984">
        <v>-8.0163259999999903E-3</v>
      </c>
      <c r="O984">
        <v>1.535621E-2</v>
      </c>
      <c r="P984">
        <v>0.99925540000000002</v>
      </c>
      <c r="Q984">
        <v>-3.6338280000000001E-2</v>
      </c>
      <c r="R984">
        <v>1.2976140000000001E-2</v>
      </c>
      <c r="S984">
        <v>3.004181</v>
      </c>
      <c r="T984">
        <v>-4.7581789999999999E-2</v>
      </c>
      <c r="U984">
        <v>-0.27685549999999998</v>
      </c>
      <c r="V984">
        <v>2.393086E-3</v>
      </c>
      <c r="W984">
        <v>-2.8324200000000001E-2</v>
      </c>
      <c r="X984">
        <v>0.99959589999999998</v>
      </c>
      <c r="Y984">
        <v>0.107028399999999</v>
      </c>
      <c r="Z984">
        <v>-1.3955879999999999E-3</v>
      </c>
      <c r="AA984">
        <v>0.994255</v>
      </c>
      <c r="AB984">
        <v>36</v>
      </c>
      <c r="AC984">
        <v>69.8492999999999</v>
      </c>
      <c r="AD984">
        <v>-1.109328900235</v>
      </c>
      <c r="AE984">
        <v>-6.4572999999999698</v>
      </c>
      <c r="AF984">
        <v>7.52731095663919</v>
      </c>
      <c r="AG984">
        <v>-1.109328900235</v>
      </c>
      <c r="AH984">
        <v>69.724462890121998</v>
      </c>
      <c r="AI984">
        <v>90.906244459002707</v>
      </c>
      <c r="AJ984">
        <v>83.838328364141802</v>
      </c>
      <c r="AK984">
        <v>70.138375702341605</v>
      </c>
      <c r="AL984">
        <v>91.623074228979505</v>
      </c>
      <c r="AM984">
        <v>89.862831104191798</v>
      </c>
      <c r="AN984">
        <v>0.99999997523152595</v>
      </c>
    </row>
    <row r="985" spans="1:40" x14ac:dyDescent="0.25">
      <c r="A985" t="str">
        <f>"20190305135810411"</f>
        <v>20190305135810411</v>
      </c>
      <c r="B985" t="str">
        <f>"1551765490399558"</f>
        <v>1551765490399558</v>
      </c>
      <c r="C985" t="s">
        <v>40</v>
      </c>
      <c r="D985">
        <v>4.1704420000000004</v>
      </c>
      <c r="E985">
        <v>0.53994330000000001</v>
      </c>
      <c r="F985" t="s">
        <v>50</v>
      </c>
      <c r="G985">
        <v>-199.23419999999999</v>
      </c>
      <c r="H985" s="1">
        <v>-9.7362819999999994E-6</v>
      </c>
      <c r="I985">
        <v>362.00360000000001</v>
      </c>
      <c r="J985">
        <v>-263.51190000000003</v>
      </c>
      <c r="K985">
        <v>1.109362</v>
      </c>
      <c r="L985">
        <v>367.96319999999997</v>
      </c>
      <c r="M985">
        <v>0.99984410000000001</v>
      </c>
      <c r="N985">
        <v>-8.4111419999999999E-3</v>
      </c>
      <c r="O985">
        <v>1.55213E-2</v>
      </c>
      <c r="P985">
        <v>0.99924780000000002</v>
      </c>
      <c r="Q985">
        <v>-3.6722100000000001E-2</v>
      </c>
      <c r="R985">
        <v>1.2477190000000001E-2</v>
      </c>
      <c r="S985">
        <v>3.0039669999999998</v>
      </c>
      <c r="T985">
        <v>-5.1701549999999999E-2</v>
      </c>
      <c r="U985">
        <v>-0.27761839999999999</v>
      </c>
      <c r="V985">
        <v>3.0568230000000002E-3</v>
      </c>
      <c r="W985">
        <v>-2.831295E-2</v>
      </c>
      <c r="X985">
        <v>0.99959439999999999</v>
      </c>
      <c r="Y985">
        <v>0.10744579999999999</v>
      </c>
      <c r="Z985">
        <v>-1.5118239999999999E-3</v>
      </c>
      <c r="AA985">
        <v>0.99420980000000003</v>
      </c>
      <c r="AB985">
        <v>36</v>
      </c>
      <c r="AC985">
        <v>64.277699999999996</v>
      </c>
      <c r="AD985">
        <v>-1.1093717362819999</v>
      </c>
      <c r="AE985">
        <v>-5.95959999999996</v>
      </c>
      <c r="AF985">
        <v>6.9545369329487796</v>
      </c>
      <c r="AG985">
        <v>-1.1093717362819999</v>
      </c>
      <c r="AH985">
        <v>64.158504067543205</v>
      </c>
      <c r="AI985">
        <v>90.984841128343405</v>
      </c>
      <c r="AJ985">
        <v>83.813510622312904</v>
      </c>
      <c r="AK985">
        <v>64.543860542935903</v>
      </c>
      <c r="AL985">
        <v>91.622429407962599</v>
      </c>
      <c r="AM985">
        <v>89.824786422716201</v>
      </c>
      <c r="AN985">
        <v>0.99999996590795703</v>
      </c>
    </row>
    <row r="986" spans="1:40" x14ac:dyDescent="0.25">
      <c r="A986" t="str">
        <f>"20190305135810422"</f>
        <v>20190305135810422</v>
      </c>
      <c r="B986" t="str">
        <f>"1551765490420055"</f>
        <v>1551765490420055</v>
      </c>
      <c r="C986" t="s">
        <v>40</v>
      </c>
      <c r="D986">
        <v>4.1772260000000001</v>
      </c>
      <c r="E986">
        <v>0.53987430000000003</v>
      </c>
      <c r="F986" t="s">
        <v>50</v>
      </c>
      <c r="G986">
        <v>-201.613</v>
      </c>
      <c r="H986" s="1">
        <v>-2.889728E-6</v>
      </c>
      <c r="I986">
        <v>362.22340000000003</v>
      </c>
      <c r="J986">
        <v>-263.33969999999999</v>
      </c>
      <c r="K986">
        <v>1.1093980000000001</v>
      </c>
      <c r="L986">
        <v>367.96600000000001</v>
      </c>
      <c r="M986">
        <v>0.99983849999999996</v>
      </c>
      <c r="N986">
        <v>-8.7840479999999992E-3</v>
      </c>
      <c r="O986">
        <v>1.5681219999999999E-2</v>
      </c>
      <c r="P986">
        <v>0.99923569999999995</v>
      </c>
      <c r="Q986">
        <v>-3.7277680000000001E-2</v>
      </c>
      <c r="R986">
        <v>1.176926E-2</v>
      </c>
      <c r="S986">
        <v>3.0037539999999998</v>
      </c>
      <c r="T986">
        <v>-5.383396E-2</v>
      </c>
      <c r="U986">
        <v>-0.2785339</v>
      </c>
      <c r="V986">
        <v>3.924622E-3</v>
      </c>
      <c r="W986">
        <v>-2.849525E-2</v>
      </c>
      <c r="X986">
        <v>0.99958619999999998</v>
      </c>
      <c r="Y986">
        <v>0.1079097</v>
      </c>
      <c r="Z986">
        <v>-1.5829010000000001E-3</v>
      </c>
      <c r="AA986">
        <v>0.99415949999999997</v>
      </c>
      <c r="AB986">
        <v>36</v>
      </c>
      <c r="AC986">
        <v>61.726700000000001</v>
      </c>
      <c r="AD986">
        <v>-1.1094008897280001</v>
      </c>
      <c r="AE986">
        <v>-5.7425999999999799</v>
      </c>
      <c r="AF986">
        <v>6.7077329669075203</v>
      </c>
      <c r="AG986">
        <v>-1.1094008897280001</v>
      </c>
      <c r="AH986">
        <v>61.609324841145501</v>
      </c>
      <c r="AI986">
        <v>91.025556092747394</v>
      </c>
      <c r="AJ986">
        <v>83.786380119036806</v>
      </c>
      <c r="AK986">
        <v>61.983331301820598</v>
      </c>
      <c r="AL986">
        <v>91.632878627542794</v>
      </c>
      <c r="AM986">
        <v>89.775043791784697</v>
      </c>
      <c r="AN986">
        <v>0.99999997658042195</v>
      </c>
    </row>
    <row r="987" spans="1:40" x14ac:dyDescent="0.25">
      <c r="A987" t="str">
        <f>"20190305135810434"</f>
        <v>20190305135810434</v>
      </c>
      <c r="B987" t="str">
        <f>"1551765490429815"</f>
        <v>1551765490429815</v>
      </c>
      <c r="C987" t="s">
        <v>40</v>
      </c>
      <c r="D987">
        <v>4.1781819999999996</v>
      </c>
      <c r="E987">
        <v>0.53988549999999902</v>
      </c>
      <c r="F987" t="s">
        <v>50</v>
      </c>
      <c r="G987">
        <v>-205.42339999999999</v>
      </c>
      <c r="H987" s="1">
        <v>-4.7166930000000001E-6</v>
      </c>
      <c r="I987">
        <v>362.56020000000001</v>
      </c>
      <c r="J987">
        <v>-263.14510000000001</v>
      </c>
      <c r="K987">
        <v>1.1094329999999999</v>
      </c>
      <c r="L987">
        <v>367.9692</v>
      </c>
      <c r="M987">
        <v>0.9998321</v>
      </c>
      <c r="N987">
        <v>-9.1851109999999993E-3</v>
      </c>
      <c r="O987">
        <v>1.5860849999999999E-2</v>
      </c>
      <c r="P987">
        <v>0.99921890000000002</v>
      </c>
      <c r="Q987">
        <v>-3.7907160000000002E-2</v>
      </c>
      <c r="R987">
        <v>1.1160399999999999E-2</v>
      </c>
      <c r="S987">
        <v>3.0034480000000001</v>
      </c>
      <c r="T987">
        <v>-5.7531949999999998E-2</v>
      </c>
      <c r="U987">
        <v>-0.28033449999999999</v>
      </c>
      <c r="V987">
        <v>4.7128990000000004E-3</v>
      </c>
      <c r="W987">
        <v>-2.8723430000000001E-2</v>
      </c>
      <c r="X987">
        <v>0.99957629999999997</v>
      </c>
      <c r="Y987">
        <v>0.1086847</v>
      </c>
      <c r="Z987">
        <v>-1.69673E-3</v>
      </c>
      <c r="AA987">
        <v>0.99407480000000004</v>
      </c>
      <c r="AB987">
        <v>36</v>
      </c>
      <c r="AC987">
        <v>57.721699999999998</v>
      </c>
      <c r="AD987">
        <v>-1.1094377166929901</v>
      </c>
      <c r="AE987">
        <v>-5.40899999999999</v>
      </c>
      <c r="AF987">
        <v>6.3215582914517503</v>
      </c>
      <c r="AG987">
        <v>-1.1094377166929901</v>
      </c>
      <c r="AH987">
        <v>57.607547076365599</v>
      </c>
      <c r="AI987">
        <v>91.096715335712702</v>
      </c>
      <c r="AJ987">
        <v>83.737709586670704</v>
      </c>
      <c r="AK987">
        <v>57.963975290132801</v>
      </c>
      <c r="AL987">
        <v>91.645957672263506</v>
      </c>
      <c r="AM987">
        <v>89.729858319911102</v>
      </c>
      <c r="AN987">
        <v>1.0000000131848099</v>
      </c>
    </row>
    <row r="988" spans="1:40" x14ac:dyDescent="0.25">
      <c r="A988" t="str">
        <f>"20190305135810445"</f>
        <v>20190305135810445</v>
      </c>
      <c r="B988" t="str">
        <f>"1551765490439575"</f>
        <v>1551765490439575</v>
      </c>
      <c r="C988" t="s">
        <v>40</v>
      </c>
      <c r="D988">
        <v>4.1669049999999999</v>
      </c>
      <c r="E988">
        <v>0.53993769999999996</v>
      </c>
      <c r="F988" t="s">
        <v>50</v>
      </c>
      <c r="G988">
        <v>-207.6696</v>
      </c>
      <c r="H988" s="1">
        <v>-5.5765160000000003E-6</v>
      </c>
      <c r="I988">
        <v>362.7559</v>
      </c>
      <c r="J988">
        <v>-262.96550000000002</v>
      </c>
      <c r="K988">
        <v>1.109461</v>
      </c>
      <c r="L988">
        <v>367.97230000000002</v>
      </c>
      <c r="M988">
        <v>0.99982629999999995</v>
      </c>
      <c r="N988">
        <v>-9.5351340000000007E-3</v>
      </c>
      <c r="O988">
        <v>1.6025379999999999E-2</v>
      </c>
      <c r="P988">
        <v>0.99919250000000004</v>
      </c>
      <c r="Q988">
        <v>-3.879117E-2</v>
      </c>
      <c r="R988">
        <v>1.049433E-2</v>
      </c>
      <c r="S988">
        <v>3.003174</v>
      </c>
      <c r="T988">
        <v>-6.0059550000000003E-2</v>
      </c>
      <c r="U988">
        <v>-0.28222659999999899</v>
      </c>
      <c r="V988">
        <v>5.5431909999999899E-3</v>
      </c>
      <c r="W988">
        <v>-2.925722E-2</v>
      </c>
      <c r="X988">
        <v>0.99955649999999996</v>
      </c>
      <c r="Y988">
        <v>0.10947460000000001</v>
      </c>
      <c r="Z988">
        <v>-1.7826840000000001E-3</v>
      </c>
      <c r="AA988">
        <v>0.99398799999999998</v>
      </c>
      <c r="AB988">
        <v>36</v>
      </c>
      <c r="AC988">
        <v>55.295900000000003</v>
      </c>
      <c r="AD988">
        <v>-1.1094665765159999</v>
      </c>
      <c r="AE988">
        <v>-5.2164000000000197</v>
      </c>
      <c r="AF988">
        <v>6.0994742000828799</v>
      </c>
      <c r="AG988">
        <v>-1.1094665765159999</v>
      </c>
      <c r="AH988">
        <v>55.183180778031598</v>
      </c>
      <c r="AI988">
        <v>91.144815422730503</v>
      </c>
      <c r="AJ988">
        <v>83.692620305737194</v>
      </c>
      <c r="AK988">
        <v>55.530333533869502</v>
      </c>
      <c r="AL988">
        <v>91.676554545201199</v>
      </c>
      <c r="AM988">
        <v>89.682260889172994</v>
      </c>
      <c r="AN988">
        <v>0.99999995429041899</v>
      </c>
    </row>
    <row r="989" spans="1:40" x14ac:dyDescent="0.25">
      <c r="A989" t="str">
        <f>"20190305135810457"</f>
        <v>20190305135810457</v>
      </c>
      <c r="B989" t="str">
        <f>"1551765490449335"</f>
        <v>1551765490449335</v>
      </c>
      <c r="C989" t="s">
        <v>40</v>
      </c>
      <c r="D989">
        <v>4.1680359999999999</v>
      </c>
      <c r="E989">
        <v>0.53996489999999997</v>
      </c>
      <c r="F989" t="s">
        <v>42</v>
      </c>
      <c r="G989">
        <v>-210.11869999999999</v>
      </c>
      <c r="H989" s="1">
        <v>-5.4016339999999998E-6</v>
      </c>
      <c r="I989">
        <v>362.96260000000001</v>
      </c>
      <c r="J989">
        <v>-262.76870000000002</v>
      </c>
      <c r="K989">
        <v>1.1094850000000001</v>
      </c>
      <c r="L989">
        <v>367.97550000000001</v>
      </c>
      <c r="M989">
        <v>0.99981969999999998</v>
      </c>
      <c r="N989">
        <v>-9.9063050000000007E-3</v>
      </c>
      <c r="O989">
        <v>1.620512E-2</v>
      </c>
      <c r="P989">
        <v>0.99918370000000001</v>
      </c>
      <c r="Q989">
        <v>-3.9262419999999999E-2</v>
      </c>
      <c r="R989">
        <v>9.5180100000000004E-3</v>
      </c>
      <c r="S989">
        <v>3.0029599999999999</v>
      </c>
      <c r="T989">
        <v>-6.304419E-2</v>
      </c>
      <c r="U989">
        <v>-0.28466799999999998</v>
      </c>
      <c r="V989">
        <v>6.6991189999999999E-3</v>
      </c>
      <c r="W989">
        <v>-2.9356759999999999E-2</v>
      </c>
      <c r="X989">
        <v>0.9995465</v>
      </c>
      <c r="Y989">
        <v>0.11045729999999999</v>
      </c>
      <c r="Z989">
        <v>-1.8845120000000001E-3</v>
      </c>
      <c r="AA989">
        <v>0.99387910000000002</v>
      </c>
      <c r="AB989">
        <v>36</v>
      </c>
      <c r="AC989">
        <v>52.65</v>
      </c>
      <c r="AD989">
        <v>-1.1094904016339999</v>
      </c>
      <c r="AE989">
        <v>-5.0129000000000001</v>
      </c>
      <c r="AF989">
        <v>5.8629029021010002</v>
      </c>
      <c r="AG989">
        <v>-1.1094904016339999</v>
      </c>
      <c r="AH989">
        <v>52.5387259294248</v>
      </c>
      <c r="AI989">
        <v>91.202307356275298</v>
      </c>
      <c r="AJ989">
        <v>83.6325912938279</v>
      </c>
      <c r="AK989">
        <v>52.876481744514699</v>
      </c>
      <c r="AL989">
        <v>91.682260222698304</v>
      </c>
      <c r="AM989">
        <v>89.616000357947499</v>
      </c>
      <c r="AN989">
        <v>0.99999995160765998</v>
      </c>
    </row>
    <row r="990" spans="1:40" x14ac:dyDescent="0.25">
      <c r="A990" t="str">
        <f>"20190305135810468"</f>
        <v>20190305135810468</v>
      </c>
      <c r="B990" t="str">
        <f>"1551765490460072"</f>
        <v>1551765490460072</v>
      </c>
      <c r="C990" t="s">
        <v>40</v>
      </c>
      <c r="D990">
        <v>4.1856749999999998</v>
      </c>
      <c r="E990">
        <v>0.53997050000000002</v>
      </c>
      <c r="F990" t="s">
        <v>42</v>
      </c>
      <c r="G990">
        <v>-210.44640000000001</v>
      </c>
      <c r="H990" s="1">
        <v>-5.2614799999999998E-6</v>
      </c>
      <c r="I990">
        <v>362.96039999999999</v>
      </c>
      <c r="J990">
        <v>-262.59010000000001</v>
      </c>
      <c r="K990">
        <v>1.109499</v>
      </c>
      <c r="L990">
        <v>367.97859999999997</v>
      </c>
      <c r="M990">
        <v>0.99981390000000003</v>
      </c>
      <c r="N990">
        <v>-1.0213959999999999E-2</v>
      </c>
      <c r="O990">
        <v>1.6367509999999998E-2</v>
      </c>
      <c r="P990">
        <v>0.99915929999999997</v>
      </c>
      <c r="Q990">
        <v>-4.0061489999999998E-2</v>
      </c>
      <c r="R990">
        <v>8.6977870000000002E-3</v>
      </c>
      <c r="S990">
        <v>3.0026860000000002</v>
      </c>
      <c r="T990">
        <v>-6.367159E-2</v>
      </c>
      <c r="U990">
        <v>-0.28781129999999999</v>
      </c>
      <c r="V990">
        <v>7.6815869999999897E-3</v>
      </c>
      <c r="W990">
        <v>-2.984788E-2</v>
      </c>
      <c r="X990">
        <v>0.999525</v>
      </c>
      <c r="Y990">
        <v>0.11165700000000001</v>
      </c>
      <c r="Z990">
        <v>-1.9321729999999999E-3</v>
      </c>
      <c r="AA990">
        <v>0.99374490000000004</v>
      </c>
      <c r="AB990">
        <v>36</v>
      </c>
      <c r="AC990">
        <v>52.143700000000003</v>
      </c>
      <c r="AD990">
        <v>-1.1095042614799999</v>
      </c>
      <c r="AE990">
        <v>-5.01819999999997</v>
      </c>
      <c r="AF990">
        <v>5.8684022266919698</v>
      </c>
      <c r="AG990">
        <v>-1.1095042614799999</v>
      </c>
      <c r="AH990">
        <v>52.031233816609799</v>
      </c>
      <c r="AI990">
        <v>91.213885294453206</v>
      </c>
      <c r="AJ990">
        <v>83.565023848537706</v>
      </c>
      <c r="AK990">
        <v>52.372878829401898</v>
      </c>
      <c r="AL990">
        <v>91.710411472211007</v>
      </c>
      <c r="AM990">
        <v>89.559676996170595</v>
      </c>
      <c r="AN990">
        <v>1.00000006417216</v>
      </c>
    </row>
    <row r="991" spans="1:40" x14ac:dyDescent="0.25">
      <c r="A991" t="str">
        <f>"20190305135810479"</f>
        <v>20190305135810479</v>
      </c>
      <c r="B991" t="str">
        <f>"1551765490469830"</f>
        <v>1551765490469830</v>
      </c>
      <c r="C991" t="s">
        <v>40</v>
      </c>
      <c r="D991">
        <v>4.2374999999999998</v>
      </c>
      <c r="E991">
        <v>0.5399815</v>
      </c>
      <c r="F991" t="s">
        <v>42</v>
      </c>
      <c r="G991">
        <v>-211.7559</v>
      </c>
      <c r="H991" s="1">
        <v>-4.6814510000000001E-6</v>
      </c>
      <c r="I991">
        <v>363.06330000000003</v>
      </c>
      <c r="J991">
        <v>-262.40730000000002</v>
      </c>
      <c r="K991">
        <v>1.109513</v>
      </c>
      <c r="L991">
        <v>367.98180000000002</v>
      </c>
      <c r="M991">
        <v>0.99980800000000003</v>
      </c>
      <c r="N991">
        <v>-1.052264E-2</v>
      </c>
      <c r="O991">
        <v>1.6533719999999998E-2</v>
      </c>
      <c r="P991">
        <v>0.99912540000000005</v>
      </c>
      <c r="Q991">
        <v>-4.108974E-2</v>
      </c>
      <c r="R991">
        <v>7.7483319999999897E-3</v>
      </c>
      <c r="S991">
        <v>3.0024109999999999</v>
      </c>
      <c r="T991">
        <v>-6.5530179999999993E-2</v>
      </c>
      <c r="U991">
        <v>-0.29031370000000001</v>
      </c>
      <c r="V991">
        <v>8.7970909999999999E-3</v>
      </c>
      <c r="W991">
        <v>-3.0567210000000001E-2</v>
      </c>
      <c r="X991">
        <v>0.99949399999999999</v>
      </c>
      <c r="Y991">
        <v>0.11264879999999999</v>
      </c>
      <c r="Z991">
        <v>-2.007006E-3</v>
      </c>
      <c r="AA991">
        <v>0.99363290000000004</v>
      </c>
      <c r="AB991">
        <v>36</v>
      </c>
      <c r="AC991">
        <v>50.651400000000002</v>
      </c>
      <c r="AD991">
        <v>-1.1095176814509999</v>
      </c>
      <c r="AE991">
        <v>-4.9184999999999901</v>
      </c>
      <c r="AF991">
        <v>5.7525955177486896</v>
      </c>
      <c r="AG991">
        <v>-1.1095176814509999</v>
      </c>
      <c r="AH991">
        <v>50.539126470786996</v>
      </c>
      <c r="AI991">
        <v>91.249582589303202</v>
      </c>
      <c r="AJ991">
        <v>83.506279255737894</v>
      </c>
      <c r="AK991">
        <v>50.877565675909402</v>
      </c>
      <c r="AL991">
        <v>91.751644973638804</v>
      </c>
      <c r="AM991">
        <v>89.495721663686197</v>
      </c>
      <c r="AN991">
        <v>0.999999999586623</v>
      </c>
    </row>
    <row r="992" spans="1:40" x14ac:dyDescent="0.25">
      <c r="A992" t="str">
        <f>"20190305135810491"</f>
        <v>20190305135810491</v>
      </c>
      <c r="B992" t="str">
        <f>"1551765490479592"</f>
        <v>1551765490479592</v>
      </c>
      <c r="C992" t="s">
        <v>40</v>
      </c>
      <c r="D992">
        <v>4.1608450000000001</v>
      </c>
      <c r="E992">
        <v>0.53996460000000002</v>
      </c>
      <c r="F992" t="s">
        <v>42</v>
      </c>
      <c r="G992">
        <v>-213.66970000000001</v>
      </c>
      <c r="H992" s="1">
        <v>-3.8415380000000002E-6</v>
      </c>
      <c r="I992">
        <v>363.2226</v>
      </c>
      <c r="J992">
        <v>-262.21929999999998</v>
      </c>
      <c r="K992">
        <v>1.1095219999999999</v>
      </c>
      <c r="L992">
        <v>367.98500000000001</v>
      </c>
      <c r="M992">
        <v>0.99980210000000003</v>
      </c>
      <c r="N992">
        <v>-1.08124E-2</v>
      </c>
      <c r="O992">
        <v>1.6703599999999999E-2</v>
      </c>
      <c r="P992">
        <v>0.99908719999999995</v>
      </c>
      <c r="Q992">
        <v>-4.2163010000000001E-2</v>
      </c>
      <c r="R992">
        <v>6.8770849999999998E-3</v>
      </c>
      <c r="S992">
        <v>3.002075</v>
      </c>
      <c r="T992">
        <v>-6.8342570000000005E-2</v>
      </c>
      <c r="U992">
        <v>-0.29315190000000002</v>
      </c>
      <c r="V992">
        <v>9.8378000000000007E-3</v>
      </c>
      <c r="W992">
        <v>-3.1350580000000003E-2</v>
      </c>
      <c r="X992">
        <v>0.99946000000000002</v>
      </c>
      <c r="Y992">
        <v>0.1137551</v>
      </c>
      <c r="Z992">
        <v>-2.1073929999999999E-3</v>
      </c>
      <c r="AA992">
        <v>0.99350660000000002</v>
      </c>
      <c r="AB992">
        <v>36</v>
      </c>
      <c r="AC992">
        <v>48.549599999999899</v>
      </c>
      <c r="AD992">
        <v>-1.1095258415379901</v>
      </c>
      <c r="AE992">
        <v>-4.7624000000000102</v>
      </c>
      <c r="AF992">
        <v>5.5698546394181498</v>
      </c>
      <c r="AG992">
        <v>-1.1095258415379901</v>
      </c>
      <c r="AH992">
        <v>48.4382147398602</v>
      </c>
      <c r="AI992">
        <v>91.303600682211297</v>
      </c>
      <c r="AJ992">
        <v>83.440434074157494</v>
      </c>
      <c r="AK992">
        <v>48.770021278261702</v>
      </c>
      <c r="AL992">
        <v>91.796550354252602</v>
      </c>
      <c r="AM992">
        <v>89.436049249745807</v>
      </c>
      <c r="AN992">
        <v>0.99999996638758704</v>
      </c>
    </row>
    <row r="993" spans="1:40" x14ac:dyDescent="0.25">
      <c r="A993" t="str">
        <f>"20190305135810505"</f>
        <v>20190305135810505</v>
      </c>
      <c r="B993" t="str">
        <f>"1551765490500087"</f>
        <v>1551765490500087</v>
      </c>
      <c r="C993" t="s">
        <v>40</v>
      </c>
      <c r="D993">
        <v>4.2008590000000003</v>
      </c>
      <c r="E993">
        <v>0.54007079999999996</v>
      </c>
      <c r="F993" t="s">
        <v>42</v>
      </c>
      <c r="G993">
        <v>-215.3468</v>
      </c>
      <c r="H993" s="1">
        <v>-3.2317579999999998E-6</v>
      </c>
      <c r="I993">
        <v>363.36939999999998</v>
      </c>
      <c r="J993">
        <v>-262.0034</v>
      </c>
      <c r="K993">
        <v>1.109531</v>
      </c>
      <c r="L993">
        <v>367.98880000000003</v>
      </c>
      <c r="M993">
        <v>0.99979530000000005</v>
      </c>
      <c r="N993">
        <v>-1.112805E-2</v>
      </c>
      <c r="O993">
        <v>1.689767E-2</v>
      </c>
      <c r="P993">
        <v>0.99905619999999995</v>
      </c>
      <c r="Q993">
        <v>-4.3067340000000003E-2</v>
      </c>
      <c r="R993">
        <v>5.6672340000000002E-3</v>
      </c>
      <c r="S993">
        <v>3.0018009999999999</v>
      </c>
      <c r="T993">
        <v>-7.1055889999999997E-2</v>
      </c>
      <c r="U993">
        <v>-0.2955933</v>
      </c>
      <c r="V993">
        <v>1.1241060000000001E-2</v>
      </c>
      <c r="W993">
        <v>-3.1938929999999997E-2</v>
      </c>
      <c r="X993">
        <v>0.99942660000000005</v>
      </c>
      <c r="Y993">
        <v>0.1147531</v>
      </c>
      <c r="Z993">
        <v>-2.2063709999999999E-3</v>
      </c>
      <c r="AA993">
        <v>0.99339160000000004</v>
      </c>
      <c r="AB993">
        <v>36</v>
      </c>
      <c r="AC993">
        <v>46.656599999999997</v>
      </c>
      <c r="AD993">
        <v>-1.1095342317579999</v>
      </c>
      <c r="AE993">
        <v>-4.6194000000000397</v>
      </c>
      <c r="AF993">
        <v>5.4041504880088302</v>
      </c>
      <c r="AG993">
        <v>-1.1095342317579999</v>
      </c>
      <c r="AH993">
        <v>46.545808316045701</v>
      </c>
      <c r="AI993">
        <v>91.356419421795195</v>
      </c>
      <c r="AJ993">
        <v>83.377387435309501</v>
      </c>
      <c r="AK993">
        <v>46.871613803053101</v>
      </c>
      <c r="AL993">
        <v>91.830277170625706</v>
      </c>
      <c r="AM993">
        <v>89.355592358818598</v>
      </c>
      <c r="AN993">
        <v>0.99999999273351403</v>
      </c>
    </row>
    <row r="994" spans="1:40" x14ac:dyDescent="0.25">
      <c r="A994" t="str">
        <f>"20190305135810519"</f>
        <v>20190305135810519</v>
      </c>
      <c r="B994" t="str">
        <f>"1551765490509846"</f>
        <v>1551765490509846</v>
      </c>
      <c r="C994" t="s">
        <v>40</v>
      </c>
      <c r="D994">
        <v>4.2238509999999998</v>
      </c>
      <c r="E994">
        <v>0.54007079999999996</v>
      </c>
      <c r="F994" t="s">
        <v>42</v>
      </c>
      <c r="G994">
        <v>-217.3252</v>
      </c>
      <c r="H994" s="1">
        <v>-2.5184260000000002E-6</v>
      </c>
      <c r="I994">
        <v>363.52</v>
      </c>
      <c r="J994">
        <v>-261.76990000000001</v>
      </c>
      <c r="K994">
        <v>1.109531</v>
      </c>
      <c r="L994">
        <v>367.99299999999999</v>
      </c>
      <c r="M994">
        <v>0.99978820000000002</v>
      </c>
      <c r="N994">
        <v>-1.144795E-2</v>
      </c>
      <c r="O994">
        <v>1.7106E-2</v>
      </c>
      <c r="P994">
        <v>0.99902579999999996</v>
      </c>
      <c r="Q994">
        <v>-4.3897369999999998E-2</v>
      </c>
      <c r="R994">
        <v>4.5239800000000004E-3</v>
      </c>
      <c r="S994">
        <v>3.001312</v>
      </c>
      <c r="T994">
        <v>-7.4534059999999999E-2</v>
      </c>
      <c r="U994">
        <v>-0.30020140000000001</v>
      </c>
      <c r="V994">
        <v>1.25919E-2</v>
      </c>
      <c r="W994">
        <v>-3.244884E-2</v>
      </c>
      <c r="X994">
        <v>0.99939409999999895</v>
      </c>
      <c r="Y994">
        <v>0.1164808</v>
      </c>
      <c r="Z994">
        <v>-2.3395379999999999E-3</v>
      </c>
      <c r="AA994">
        <v>0.99319020000000002</v>
      </c>
      <c r="AB994">
        <v>36</v>
      </c>
      <c r="AC994">
        <v>44.444699999999997</v>
      </c>
      <c r="AD994">
        <v>-1.109533518426</v>
      </c>
      <c r="AE994">
        <v>-4.47300000000007</v>
      </c>
      <c r="AF994">
        <v>5.2294398422132797</v>
      </c>
      <c r="AG994">
        <v>-1.109533518426</v>
      </c>
      <c r="AH994">
        <v>44.3343229731435</v>
      </c>
      <c r="AI994">
        <v>91.4237481282521</v>
      </c>
      <c r="AJ994">
        <v>83.272780359872499</v>
      </c>
      <c r="AK994">
        <v>44.655462142708103</v>
      </c>
      <c r="AL994">
        <v>91.859507953834196</v>
      </c>
      <c r="AM994">
        <v>89.278138071154302</v>
      </c>
      <c r="AN994">
        <v>1.0000000251388801</v>
      </c>
    </row>
    <row r="995" spans="1:40" x14ac:dyDescent="0.25">
      <c r="A995" t="str">
        <f>"20190305135810535"</f>
        <v>20190305135810535</v>
      </c>
      <c r="B995" t="str">
        <f>"1551765490529367"</f>
        <v>1551765490529367</v>
      </c>
      <c r="C995" t="s">
        <v>40</v>
      </c>
      <c r="D995">
        <v>4.1768210000000003</v>
      </c>
      <c r="E995">
        <v>0.56685969999999997</v>
      </c>
      <c r="F995" t="s">
        <v>42</v>
      </c>
      <c r="G995">
        <v>-218.39869999999999</v>
      </c>
      <c r="H995" s="1">
        <v>-2.1291099999999999E-6</v>
      </c>
      <c r="I995">
        <v>363.61020000000002</v>
      </c>
      <c r="J995">
        <v>-261.51499999999999</v>
      </c>
      <c r="K995">
        <v>1.109531</v>
      </c>
      <c r="L995">
        <v>367.9975</v>
      </c>
      <c r="M995">
        <v>0.99978080000000003</v>
      </c>
      <c r="N995">
        <v>-1.176145E-2</v>
      </c>
      <c r="O995">
        <v>1.732626E-2</v>
      </c>
      <c r="P995">
        <v>0.99898580000000003</v>
      </c>
      <c r="Q995">
        <v>-4.4999480000000001E-2</v>
      </c>
      <c r="R995">
        <v>1.7213160000000001E-3</v>
      </c>
      <c r="S995">
        <v>3.0009459999999999</v>
      </c>
      <c r="T995">
        <v>-7.6770899999999906E-2</v>
      </c>
      <c r="U995">
        <v>-0.3032532</v>
      </c>
      <c r="V995">
        <v>1.5613729999999999E-2</v>
      </c>
      <c r="W995">
        <v>-3.3236549999999997E-2</v>
      </c>
      <c r="X995">
        <v>0.99932560000000004</v>
      </c>
      <c r="Y995">
        <v>0.1177076</v>
      </c>
      <c r="Z995">
        <v>-2.4346060000000002E-3</v>
      </c>
      <c r="AA995">
        <v>0.99304530000000002</v>
      </c>
      <c r="AB995">
        <v>36</v>
      </c>
      <c r="AC995">
        <v>43.116300000000003</v>
      </c>
      <c r="AD995">
        <v>-1.1095331291099999</v>
      </c>
      <c r="AE995">
        <v>-4.3872999999999802</v>
      </c>
      <c r="AF995">
        <v>5.1303745765644599</v>
      </c>
      <c r="AG995">
        <v>-1.1095331291099999</v>
      </c>
      <c r="AH995">
        <v>43.005619105607998</v>
      </c>
      <c r="AI995">
        <v>91.467486773398505</v>
      </c>
      <c r="AJ995">
        <v>83.197024736548698</v>
      </c>
      <c r="AK995">
        <v>43.324762915878601</v>
      </c>
      <c r="AL995">
        <v>91.904664714501394</v>
      </c>
      <c r="AM995">
        <v>89.104868277020202</v>
      </c>
      <c r="AN995">
        <v>1.0000000558178801</v>
      </c>
    </row>
    <row r="996" spans="1:40" x14ac:dyDescent="0.25">
      <c r="A996" t="str">
        <f>"20190305135810546"</f>
        <v>20190305135810546</v>
      </c>
      <c r="B996" t="str">
        <f>"1551765490540103"</f>
        <v>1551765490540103</v>
      </c>
      <c r="C996" t="s">
        <v>40</v>
      </c>
      <c r="D996">
        <v>4.1220059999999998</v>
      </c>
      <c r="E996">
        <v>0.57504889999999997</v>
      </c>
      <c r="F996" t="s">
        <v>55</v>
      </c>
      <c r="G996">
        <v>0</v>
      </c>
      <c r="H996">
        <v>0</v>
      </c>
      <c r="I996">
        <v>0</v>
      </c>
      <c r="J996">
        <v>-261.32420000000002</v>
      </c>
      <c r="K996">
        <v>1.1095269999999999</v>
      </c>
      <c r="L996">
        <v>368.00099999999998</v>
      </c>
      <c r="M996">
        <v>0.99977550000000004</v>
      </c>
      <c r="N996">
        <v>-1.197703E-2</v>
      </c>
      <c r="O996">
        <v>1.7485870000000001E-2</v>
      </c>
      <c r="P996">
        <v>0.99895809999999996</v>
      </c>
      <c r="Q996">
        <v>-4.5638619999999998E-2</v>
      </c>
      <c r="R996">
        <v>3.407137E-4</v>
      </c>
      <c r="S996">
        <v>3.004089</v>
      </c>
      <c r="T996">
        <v>3.915071E-3</v>
      </c>
      <c r="U996">
        <v>-0.52124020000000004</v>
      </c>
      <c r="V996">
        <v>1.7152730000000001E-2</v>
      </c>
      <c r="W996">
        <v>-3.3660009999999997E-2</v>
      </c>
      <c r="X996">
        <v>0.99928609999999896</v>
      </c>
      <c r="Y996">
        <v>0.1881592</v>
      </c>
      <c r="Z996">
        <v>-7.8304830000000005E-4</v>
      </c>
      <c r="AA996">
        <v>0.98213819999999996</v>
      </c>
      <c r="AB996">
        <v>36</v>
      </c>
      <c r="AC996">
        <v>3.004089</v>
      </c>
      <c r="AD996">
        <v>3.915071E-3</v>
      </c>
      <c r="AE996">
        <v>-0.52124020000000004</v>
      </c>
      <c r="AF996">
        <v>0.57369242156524303</v>
      </c>
      <c r="AG996">
        <v>3.915071E-3</v>
      </c>
      <c r="AH996">
        <v>2.9945097121180901</v>
      </c>
      <c r="AI996">
        <v>89.926428596626195</v>
      </c>
      <c r="AJ996">
        <v>79.154606671121499</v>
      </c>
      <c r="AK996">
        <v>3.0489714230067602</v>
      </c>
      <c r="AL996">
        <v>91.928940950689295</v>
      </c>
      <c r="AM996">
        <v>89.016615429485</v>
      </c>
      <c r="AN996">
        <v>0.99999996103642996</v>
      </c>
    </row>
    <row r="997" spans="1:40" x14ac:dyDescent="0.25">
      <c r="A997" t="str">
        <f>"20190305135810557"</f>
        <v>20190305135810557</v>
      </c>
      <c r="B997" t="str">
        <f>"1551765490549863"</f>
        <v>1551765490549863</v>
      </c>
      <c r="C997" t="s">
        <v>40</v>
      </c>
      <c r="D997">
        <v>4.1458870000000001</v>
      </c>
      <c r="E997">
        <v>0.58131790000000005</v>
      </c>
      <c r="F997" t="s">
        <v>55</v>
      </c>
      <c r="G997">
        <v>0</v>
      </c>
      <c r="H997">
        <v>0</v>
      </c>
      <c r="I997">
        <v>0</v>
      </c>
      <c r="J997">
        <v>-261.1431</v>
      </c>
      <c r="K997">
        <v>1.109521</v>
      </c>
      <c r="L997">
        <v>368.0043</v>
      </c>
      <c r="M997">
        <v>0.9997703</v>
      </c>
      <c r="N997">
        <v>-1.217477E-2</v>
      </c>
      <c r="O997">
        <v>1.7635350000000001E-2</v>
      </c>
      <c r="P997">
        <v>0.9989268</v>
      </c>
      <c r="Q997">
        <v>-4.6309280000000001E-2</v>
      </c>
      <c r="R997">
        <v>-1.0322790000000001E-3</v>
      </c>
      <c r="S997">
        <v>3.0050050000000001</v>
      </c>
      <c r="T997">
        <v>3.6970139999999999E-2</v>
      </c>
      <c r="U997">
        <v>-0.58874510000000002</v>
      </c>
      <c r="V997">
        <v>1.8674139999999999E-2</v>
      </c>
      <c r="W997">
        <v>-3.4132919999999997E-2</v>
      </c>
      <c r="X997">
        <v>0.99924279999999999</v>
      </c>
      <c r="Y997">
        <v>0.2095389</v>
      </c>
      <c r="Z997">
        <v>4.1676780000000002E-4</v>
      </c>
      <c r="AA997">
        <v>0.97780020000000001</v>
      </c>
      <c r="AB997">
        <v>36</v>
      </c>
      <c r="AC997">
        <v>3.0050050000000001</v>
      </c>
      <c r="AD997">
        <v>3.6970139999999999E-2</v>
      </c>
      <c r="AE997">
        <v>-0.58874510000000002</v>
      </c>
      <c r="AF997">
        <v>0.64155825704366398</v>
      </c>
      <c r="AG997">
        <v>3.6970139999999999E-2</v>
      </c>
      <c r="AH997">
        <v>2.9937177323003801</v>
      </c>
      <c r="AI997">
        <v>89.308182616877701</v>
      </c>
      <c r="AJ997">
        <v>77.904377146084101</v>
      </c>
      <c r="AK997">
        <v>3.06191274355136</v>
      </c>
      <c r="AL997">
        <v>91.956052248279903</v>
      </c>
      <c r="AM997">
        <v>88.929364441355702</v>
      </c>
      <c r="AN997">
        <v>0.999999976542152</v>
      </c>
    </row>
    <row r="998" spans="1:40" x14ac:dyDescent="0.25">
      <c r="A998" t="str">
        <f>"20190305135810569"</f>
        <v>20190305135810569</v>
      </c>
      <c r="B998" t="str">
        <f>"1551765490559624"</f>
        <v>1551765490559624</v>
      </c>
      <c r="C998" t="s">
        <v>40</v>
      </c>
      <c r="D998">
        <v>4.1274879999999996</v>
      </c>
      <c r="E998">
        <v>0.58570679999999997</v>
      </c>
      <c r="F998" t="s">
        <v>46</v>
      </c>
      <c r="G998">
        <v>-142.2825</v>
      </c>
      <c r="H998">
        <v>3.534046</v>
      </c>
      <c r="I998">
        <v>342.64400000000001</v>
      </c>
      <c r="J998">
        <v>-260.96420000000001</v>
      </c>
      <c r="K998">
        <v>1.109513</v>
      </c>
      <c r="L998">
        <v>368.00760000000002</v>
      </c>
      <c r="M998">
        <v>0.99976600000000004</v>
      </c>
      <c r="N998">
        <v>-1.2348390000000001E-2</v>
      </c>
      <c r="O998">
        <v>1.7769299999999998E-2</v>
      </c>
      <c r="P998">
        <v>0.9988899</v>
      </c>
      <c r="Q998">
        <v>-4.7037809999999999E-2</v>
      </c>
      <c r="R998">
        <v>-2.582268E-3</v>
      </c>
      <c r="S998">
        <v>3.0054020000000001</v>
      </c>
      <c r="T998">
        <v>6.1304450000000003E-2</v>
      </c>
      <c r="U998">
        <v>-0.64123540000000001</v>
      </c>
      <c r="V998">
        <v>2.0356599999999999E-2</v>
      </c>
      <c r="W998">
        <v>-3.468806E-2</v>
      </c>
      <c r="X998">
        <v>0.99919089999999999</v>
      </c>
      <c r="Y998">
        <v>0.22598470000000001</v>
      </c>
      <c r="Z998">
        <v>1.443445E-3</v>
      </c>
      <c r="AA998">
        <v>0.97412980000000005</v>
      </c>
      <c r="AB998">
        <v>36</v>
      </c>
      <c r="AC998">
        <v>118.68170000000001</v>
      </c>
      <c r="AD998">
        <v>2.4245329999999998</v>
      </c>
      <c r="AE998">
        <v>-25.363600000000002</v>
      </c>
      <c r="AF998">
        <v>27.457687406833099</v>
      </c>
      <c r="AG998">
        <v>2.4245329999999998</v>
      </c>
      <c r="AH998">
        <v>118.165070288061</v>
      </c>
      <c r="AI998">
        <v>88.855054999995502</v>
      </c>
      <c r="AJ998">
        <v>76.918485679574005</v>
      </c>
      <c r="AK998">
        <v>121.337491296721</v>
      </c>
      <c r="AL998">
        <v>91.987878123012393</v>
      </c>
      <c r="AM998">
        <v>88.832869738516195</v>
      </c>
      <c r="AN998">
        <v>1.0000000536564599</v>
      </c>
    </row>
    <row r="999" spans="1:40" x14ac:dyDescent="0.25">
      <c r="A999" t="str">
        <f>"20190305135810580"</f>
        <v>20190305135810580</v>
      </c>
      <c r="B999" t="str">
        <f>"1551765490569384"</f>
        <v>1551765490569384</v>
      </c>
      <c r="C999" t="s">
        <v>40</v>
      </c>
      <c r="D999">
        <v>4.1082219999999996</v>
      </c>
      <c r="E999">
        <v>0.58865809999999996</v>
      </c>
      <c r="F999" t="s">
        <v>46</v>
      </c>
      <c r="G999">
        <v>-148.905</v>
      </c>
      <c r="H999">
        <v>3.880992</v>
      </c>
      <c r="I999">
        <v>342.64400000000001</v>
      </c>
      <c r="J999">
        <v>-260.78579999999999</v>
      </c>
      <c r="K999">
        <v>1.1094999999999999</v>
      </c>
      <c r="L999">
        <v>368.01089999999999</v>
      </c>
      <c r="M999">
        <v>0.99976149999999997</v>
      </c>
      <c r="N999">
        <v>-1.251741E-2</v>
      </c>
      <c r="O999">
        <v>1.7899120000000001E-2</v>
      </c>
      <c r="P999">
        <v>0.99884430000000002</v>
      </c>
      <c r="Q999">
        <v>-4.7895699999999999E-2</v>
      </c>
      <c r="R999">
        <v>-4.0155159999999898E-3</v>
      </c>
      <c r="S999">
        <v>3.005096</v>
      </c>
      <c r="T999">
        <v>7.4323059999999996E-2</v>
      </c>
      <c r="U999">
        <v>-0.6801758</v>
      </c>
      <c r="V999">
        <v>2.1918E-2</v>
      </c>
      <c r="W999">
        <v>-3.5377480000000003E-2</v>
      </c>
      <c r="X999">
        <v>0.99913359999999996</v>
      </c>
      <c r="Y999">
        <v>0.23813529999999999</v>
      </c>
      <c r="Z999">
        <v>2.05682E-3</v>
      </c>
      <c r="AA999">
        <v>0.97122989999999998</v>
      </c>
      <c r="AB999">
        <v>36</v>
      </c>
      <c r="AC999">
        <v>111.88079999999999</v>
      </c>
      <c r="AD999">
        <v>2.7714919999999998</v>
      </c>
      <c r="AE999">
        <v>-25.366899999999902</v>
      </c>
      <c r="AF999">
        <v>27.349597857548499</v>
      </c>
      <c r="AG999">
        <v>2.7714919999999998</v>
      </c>
      <c r="AH999">
        <v>111.343808198413</v>
      </c>
      <c r="AI999">
        <v>88.615273313195402</v>
      </c>
      <c r="AJ999">
        <v>76.199546009890497</v>
      </c>
      <c r="AK999">
        <v>114.687075536002</v>
      </c>
      <c r="AL999">
        <v>92.027403434482196</v>
      </c>
      <c r="AM999">
        <v>88.743303690047497</v>
      </c>
      <c r="AN999">
        <v>0.99999995773205397</v>
      </c>
    </row>
    <row r="1000" spans="1:40" x14ac:dyDescent="0.25">
      <c r="A1000" t="str">
        <f>"20190305135810591"</f>
        <v>20190305135810591</v>
      </c>
      <c r="B1000" t="str">
        <f>"1551765490589879"</f>
        <v>1551765490589879</v>
      </c>
      <c r="C1000" t="s">
        <v>40</v>
      </c>
      <c r="D1000">
        <v>4.1000120000000004</v>
      </c>
      <c r="E1000">
        <v>0.59207500000000002</v>
      </c>
      <c r="F1000" t="s">
        <v>46</v>
      </c>
      <c r="G1000">
        <v>-151.08789999999999</v>
      </c>
      <c r="H1000">
        <v>4.0911869999999997</v>
      </c>
      <c r="I1000">
        <v>342.19</v>
      </c>
      <c r="J1000">
        <v>-260.58530000000002</v>
      </c>
      <c r="K1000">
        <v>1.109483</v>
      </c>
      <c r="L1000">
        <v>368.01459999999997</v>
      </c>
      <c r="M1000">
        <v>0.99975709999999995</v>
      </c>
      <c r="N1000">
        <v>-1.2688670000000001E-2</v>
      </c>
      <c r="O1000">
        <v>1.8026250000000001E-2</v>
      </c>
      <c r="P1000">
        <v>0.99880590000000002</v>
      </c>
      <c r="Q1000">
        <v>-4.8541590000000003E-2</v>
      </c>
      <c r="R1000">
        <v>-5.5474519999999996E-3</v>
      </c>
      <c r="S1000">
        <v>3.0045470000000001</v>
      </c>
      <c r="T1000">
        <v>8.1666349999999999E-2</v>
      </c>
      <c r="U1000">
        <v>-0.70721440000000002</v>
      </c>
      <c r="V1000">
        <v>2.3574769999999998E-2</v>
      </c>
      <c r="W1000">
        <v>-3.5853019999999999E-2</v>
      </c>
      <c r="X1000">
        <v>0.99907900000000005</v>
      </c>
      <c r="Y1000">
        <v>0.2465724</v>
      </c>
      <c r="Z1000">
        <v>2.428642E-3</v>
      </c>
      <c r="AA1000">
        <v>0.96912129999999996</v>
      </c>
      <c r="AB1000">
        <v>36</v>
      </c>
      <c r="AC1000">
        <v>109.4974</v>
      </c>
      <c r="AD1000">
        <v>2.9817040000000001</v>
      </c>
      <c r="AE1000">
        <v>-25.824599999999901</v>
      </c>
      <c r="AF1000">
        <v>27.7748790800932</v>
      </c>
      <c r="AG1000">
        <v>2.9817040000000001</v>
      </c>
      <c r="AH1000">
        <v>108.93752459264201</v>
      </c>
      <c r="AI1000">
        <v>88.480740522178394</v>
      </c>
      <c r="AJ1000">
        <v>75.696517204987103</v>
      </c>
      <c r="AK1000">
        <v>112.462076857178</v>
      </c>
      <c r="AL1000">
        <v>92.054667022123397</v>
      </c>
      <c r="AM1000">
        <v>88.648270843835803</v>
      </c>
      <c r="AN1000">
        <v>1.0000000285323301</v>
      </c>
    </row>
    <row r="1001" spans="1:40" x14ac:dyDescent="0.25">
      <c r="A1001" t="str">
        <f>"20190305135810604"</f>
        <v>20190305135810604</v>
      </c>
      <c r="B1001" t="str">
        <f>"1551765490599207"</f>
        <v>1551765490599207</v>
      </c>
      <c r="C1001" t="s">
        <v>40</v>
      </c>
      <c r="D1001">
        <v>4.1375999999999999</v>
      </c>
      <c r="E1001">
        <v>0.59298989999999996</v>
      </c>
      <c r="F1001" t="s">
        <v>46</v>
      </c>
      <c r="G1001">
        <v>-156.4684</v>
      </c>
      <c r="H1001">
        <v>4.4282050000000002</v>
      </c>
      <c r="I1001">
        <v>342.43939999999998</v>
      </c>
      <c r="J1001">
        <v>-260.404</v>
      </c>
      <c r="K1001">
        <v>1.1094619999999999</v>
      </c>
      <c r="L1001">
        <v>368.01799999999997</v>
      </c>
      <c r="M1001">
        <v>0.99975320000000001</v>
      </c>
      <c r="N1001">
        <v>-1.28342E-2</v>
      </c>
      <c r="O1001">
        <v>1.8130150000000001E-2</v>
      </c>
      <c r="P1001">
        <v>0.99875720000000001</v>
      </c>
      <c r="Q1001">
        <v>-4.9332439999999998E-2</v>
      </c>
      <c r="R1001">
        <v>-7.1016019999999899E-3</v>
      </c>
      <c r="S1001">
        <v>3.004181</v>
      </c>
      <c r="T1001">
        <v>9.5758319999999994E-2</v>
      </c>
      <c r="U1001">
        <v>-0.73794559999999998</v>
      </c>
      <c r="V1001">
        <v>2.5230209999999999E-2</v>
      </c>
      <c r="W1001">
        <v>-3.6499530000000002E-2</v>
      </c>
      <c r="X1001">
        <v>0.99901519999999999</v>
      </c>
      <c r="Y1001">
        <v>0.25602849999999999</v>
      </c>
      <c r="Z1001">
        <v>3.1510739999999998E-3</v>
      </c>
      <c r="AA1001">
        <v>0.96666410000000003</v>
      </c>
      <c r="AB1001">
        <v>36</v>
      </c>
      <c r="AC1001">
        <v>103.93559999999999</v>
      </c>
      <c r="AD1001">
        <v>3.318743</v>
      </c>
      <c r="AE1001">
        <v>-25.578600000000002</v>
      </c>
      <c r="AF1001">
        <v>27.4325461793416</v>
      </c>
      <c r="AG1001">
        <v>3.318743</v>
      </c>
      <c r="AH1001">
        <v>103.355371169698</v>
      </c>
      <c r="AI1001">
        <v>88.222371025052695</v>
      </c>
      <c r="AJ1001">
        <v>75.135308946968493</v>
      </c>
      <c r="AK1001">
        <v>106.985472820415</v>
      </c>
      <c r="AL1001">
        <v>92.091733482779404</v>
      </c>
      <c r="AM1001">
        <v>88.553297961532195</v>
      </c>
      <c r="AN1001">
        <v>1.0000000745089399</v>
      </c>
    </row>
    <row r="1002" spans="1:40" x14ac:dyDescent="0.25">
      <c r="A1002" t="str">
        <f>"20190305135810613"</f>
        <v>20190305135810613</v>
      </c>
      <c r="B1002" t="str">
        <f>"1551765490609942"</f>
        <v>1551765490609942</v>
      </c>
      <c r="C1002" t="s">
        <v>40</v>
      </c>
      <c r="D1002">
        <v>4.1252800000000001</v>
      </c>
      <c r="E1002">
        <v>0.59378989999999998</v>
      </c>
      <c r="F1002" t="s">
        <v>46</v>
      </c>
      <c r="G1002">
        <v>-156.8501</v>
      </c>
      <c r="H1002">
        <v>4.5567380000000002</v>
      </c>
      <c r="I1002">
        <v>342.19</v>
      </c>
      <c r="J1002">
        <v>-260.23320000000001</v>
      </c>
      <c r="K1002">
        <v>1.10945</v>
      </c>
      <c r="L1002">
        <v>368.02120000000002</v>
      </c>
      <c r="M1002">
        <v>0.99975009999999997</v>
      </c>
      <c r="N1002">
        <v>-1.2962700000000001E-2</v>
      </c>
      <c r="O1002">
        <v>1.8217629999999999E-2</v>
      </c>
      <c r="P1002">
        <v>0.99871719999999997</v>
      </c>
      <c r="Q1002">
        <v>-4.9895330000000002E-2</v>
      </c>
      <c r="R1002">
        <v>-8.6349169999999902E-3</v>
      </c>
      <c r="S1002">
        <v>3.0033569999999998</v>
      </c>
      <c r="T1002">
        <v>9.9980949999999999E-2</v>
      </c>
      <c r="U1002">
        <v>-0.74908450000000004</v>
      </c>
      <c r="V1002">
        <v>2.6848529999999999E-2</v>
      </c>
      <c r="W1002">
        <v>-3.6935229999999999E-2</v>
      </c>
      <c r="X1002">
        <v>0.99895690000000004</v>
      </c>
      <c r="Y1002">
        <v>0.25954050000000001</v>
      </c>
      <c r="Z1002">
        <v>3.3756849999999998E-3</v>
      </c>
      <c r="AA1002">
        <v>0.96572630000000004</v>
      </c>
      <c r="AB1002">
        <v>36</v>
      </c>
      <c r="AC1002">
        <v>103.3831</v>
      </c>
      <c r="AD1002">
        <v>3.4472879999999999</v>
      </c>
      <c r="AE1002">
        <v>-25.831199999999999</v>
      </c>
      <c r="AF1002">
        <v>27.681495824689598</v>
      </c>
      <c r="AG1002">
        <v>3.4472879999999999</v>
      </c>
      <c r="AH1002">
        <v>102.787745949884</v>
      </c>
      <c r="AI1002">
        <v>88.145174314875305</v>
      </c>
      <c r="AJ1002">
        <v>74.927420533864705</v>
      </c>
      <c r="AK1002">
        <v>106.505726245612</v>
      </c>
      <c r="AL1002">
        <v>92.116714315249197</v>
      </c>
      <c r="AM1002">
        <v>88.460456885660406</v>
      </c>
      <c r="AN1002">
        <v>0.99999997141796104</v>
      </c>
    </row>
    <row r="1003" spans="1:40" x14ac:dyDescent="0.25">
      <c r="A1003" t="str">
        <f>"20190305135810625"</f>
        <v>20190305135810625</v>
      </c>
      <c r="B1003" t="str">
        <f>"1551765490619702"</f>
        <v>1551765490619702</v>
      </c>
      <c r="C1003" t="s">
        <v>40</v>
      </c>
      <c r="D1003">
        <v>4.1383590000000003</v>
      </c>
      <c r="E1003">
        <v>0.59441489999999997</v>
      </c>
      <c r="F1003" t="s">
        <v>46</v>
      </c>
      <c r="G1003">
        <v>-159.9725</v>
      </c>
      <c r="H1003">
        <v>4.5279249999999998</v>
      </c>
      <c r="I1003">
        <v>342.64389999999997</v>
      </c>
      <c r="J1003">
        <v>-260.05759999999998</v>
      </c>
      <c r="K1003">
        <v>1.109429</v>
      </c>
      <c r="L1003">
        <v>368.02449999999999</v>
      </c>
      <c r="M1003">
        <v>0.99974719999999995</v>
      </c>
      <c r="N1003">
        <v>-1.3084299999999899E-2</v>
      </c>
      <c r="O1003">
        <v>1.8291680000000001E-2</v>
      </c>
      <c r="P1003">
        <v>0.99866060000000001</v>
      </c>
      <c r="Q1003">
        <v>-5.0714139999999998E-2</v>
      </c>
      <c r="R1003">
        <v>-1.026235E-2</v>
      </c>
      <c r="S1003">
        <v>3.0024109999999999</v>
      </c>
      <c r="T1003">
        <v>0.1023699</v>
      </c>
      <c r="U1003">
        <v>-0.75994869999999903</v>
      </c>
      <c r="V1003">
        <v>2.8547070000000001E-2</v>
      </c>
      <c r="W1003">
        <v>-3.7634250000000001E-2</v>
      </c>
      <c r="X1003">
        <v>0.99888370000000004</v>
      </c>
      <c r="Y1003">
        <v>0.26296219999999998</v>
      </c>
      <c r="Z1003">
        <v>3.514311E-3</v>
      </c>
      <c r="AA1003">
        <v>0.96479970000000004</v>
      </c>
      <c r="AB1003">
        <v>36</v>
      </c>
      <c r="AC1003">
        <v>100.085099999999</v>
      </c>
      <c r="AD1003">
        <v>3.4184960000000002</v>
      </c>
      <c r="AE1003">
        <v>-25.380600000000001</v>
      </c>
      <c r="AF1003">
        <v>27.1774439085554</v>
      </c>
      <c r="AG1003">
        <v>3.4184960000000002</v>
      </c>
      <c r="AH1003">
        <v>99.494998787620901</v>
      </c>
      <c r="AI1003">
        <v>88.101671137657505</v>
      </c>
      <c r="AJ1003">
        <v>74.722133722088699</v>
      </c>
      <c r="AK1003">
        <v>103.19667802818699</v>
      </c>
      <c r="AL1003">
        <v>92.156793107166706</v>
      </c>
      <c r="AM1003">
        <v>88.362991063901603</v>
      </c>
      <c r="AN1003">
        <v>0.99999995905216799</v>
      </c>
    </row>
    <row r="1004" spans="1:40" x14ac:dyDescent="0.25">
      <c r="A1004" t="str">
        <f>"20190305135810637"</f>
        <v>20190305135810637</v>
      </c>
      <c r="B1004" t="str">
        <f>"1551765490629462"</f>
        <v>1551765490629462</v>
      </c>
      <c r="C1004" t="s">
        <v>40</v>
      </c>
      <c r="D1004">
        <v>4.1349419999999997</v>
      </c>
      <c r="E1004">
        <v>0.59486939999999999</v>
      </c>
      <c r="F1004" t="s">
        <v>46</v>
      </c>
      <c r="G1004">
        <v>-161.09530000000001</v>
      </c>
      <c r="H1004">
        <v>4.5140289999999998</v>
      </c>
      <c r="I1004">
        <v>342.64389999999997</v>
      </c>
      <c r="J1004">
        <v>-259.86669999999998</v>
      </c>
      <c r="K1004">
        <v>1.1094059999999999</v>
      </c>
      <c r="L1004">
        <v>368.02800000000002</v>
      </c>
      <c r="M1004">
        <v>0.99974419999999997</v>
      </c>
      <c r="N1004">
        <v>-1.321056E-2</v>
      </c>
      <c r="O1004">
        <v>1.8362960000000001E-2</v>
      </c>
      <c r="P1004">
        <v>0.99859489999999995</v>
      </c>
      <c r="Q1004">
        <v>-5.157714E-2</v>
      </c>
      <c r="R1004">
        <v>-1.2175750000000001E-2</v>
      </c>
      <c r="S1004">
        <v>3.0013429999999999</v>
      </c>
      <c r="T1004">
        <v>0.103255399999999</v>
      </c>
      <c r="U1004">
        <v>-0.76974489999999995</v>
      </c>
      <c r="V1004">
        <v>3.0528079999999999E-2</v>
      </c>
      <c r="W1004">
        <v>-3.8373299999999999E-2</v>
      </c>
      <c r="X1004">
        <v>0.99879709999999999</v>
      </c>
      <c r="Y1004">
        <v>0.26606550000000001</v>
      </c>
      <c r="Z1004">
        <v>3.5771399999999999E-3</v>
      </c>
      <c r="AA1004">
        <v>0.96394829999999998</v>
      </c>
      <c r="AB1004">
        <v>36</v>
      </c>
      <c r="AC1004">
        <v>98.7713999999999</v>
      </c>
      <c r="AD1004">
        <v>3.404623</v>
      </c>
      <c r="AE1004">
        <v>-25.3841</v>
      </c>
      <c r="AF1004">
        <v>27.163437587180098</v>
      </c>
      <c r="AG1004">
        <v>3.404623</v>
      </c>
      <c r="AH1004">
        <v>98.179149690074695</v>
      </c>
      <c r="AI1004">
        <v>88.085769770559907</v>
      </c>
      <c r="AJ1004">
        <v>74.534715124835401</v>
      </c>
      <c r="AK1004">
        <v>101.924429030487</v>
      </c>
      <c r="AL1004">
        <v>92.199167944672197</v>
      </c>
      <c r="AM1004">
        <v>88.249308332110701</v>
      </c>
      <c r="AN1004">
        <v>1.00000006039489</v>
      </c>
    </row>
    <row r="1005" spans="1:40" x14ac:dyDescent="0.25">
      <c r="A1005" t="str">
        <f>"20190305135810648"</f>
        <v>20190305135810648</v>
      </c>
      <c r="B1005" t="str">
        <f>"1551765490639223"</f>
        <v>1551765490639223</v>
      </c>
      <c r="C1005" t="s">
        <v>40</v>
      </c>
      <c r="D1005">
        <v>4.1258039999999996</v>
      </c>
      <c r="E1005">
        <v>0.59514149999999999</v>
      </c>
      <c r="F1005" t="s">
        <v>46</v>
      </c>
      <c r="G1005">
        <v>-162.1131</v>
      </c>
      <c r="H1005">
        <v>4.4911279999999998</v>
      </c>
      <c r="I1005">
        <v>342.64389999999997</v>
      </c>
      <c r="J1005">
        <v>-259.70100000000002</v>
      </c>
      <c r="K1005">
        <v>1.10938799999999</v>
      </c>
      <c r="L1005">
        <v>368.03109999999998</v>
      </c>
      <c r="M1005">
        <v>0.99974209999999997</v>
      </c>
      <c r="N1005">
        <v>-1.3307869999999999E-2</v>
      </c>
      <c r="O1005">
        <v>1.8406929999999998E-2</v>
      </c>
      <c r="P1005">
        <v>0.99854790000000004</v>
      </c>
      <c r="Q1005">
        <v>-5.2075740000000002E-2</v>
      </c>
      <c r="R1005">
        <v>-1.3803080000000001E-2</v>
      </c>
      <c r="S1005">
        <v>3.0001220000000002</v>
      </c>
      <c r="T1005">
        <v>0.1037874</v>
      </c>
      <c r="U1005">
        <v>-0.77905269999999904</v>
      </c>
      <c r="V1005">
        <v>3.2196450000000001E-2</v>
      </c>
      <c r="W1005">
        <v>-3.8776650000000003E-2</v>
      </c>
      <c r="X1005">
        <v>0.99872910000000004</v>
      </c>
      <c r="Y1005">
        <v>0.26900289999999999</v>
      </c>
      <c r="Z1005">
        <v>3.6235849999999999E-3</v>
      </c>
      <c r="AA1005">
        <v>0.96313260000000001</v>
      </c>
      <c r="AB1005">
        <v>36</v>
      </c>
      <c r="AC1005">
        <v>97.587899999999905</v>
      </c>
      <c r="AD1005">
        <v>3.3817400000000002</v>
      </c>
      <c r="AE1005">
        <v>-25.3872</v>
      </c>
      <c r="AF1005">
        <v>27.148815530520299</v>
      </c>
      <c r="AG1005">
        <v>3.3817400000000002</v>
      </c>
      <c r="AH1005">
        <v>96.994928551653899</v>
      </c>
      <c r="AI1005">
        <v>88.077031715680405</v>
      </c>
      <c r="AJ1005">
        <v>74.363102307359895</v>
      </c>
      <c r="AK1005">
        <v>100.779514361194</v>
      </c>
      <c r="AL1005">
        <v>92.222295482626095</v>
      </c>
      <c r="AM1005">
        <v>88.153571318088893</v>
      </c>
      <c r="AN1005">
        <v>1.00000002758231</v>
      </c>
    </row>
    <row r="1006" spans="1:40" x14ac:dyDescent="0.25">
      <c r="A1006" t="str">
        <f>"20190305135810659"</f>
        <v>20190305135810659</v>
      </c>
      <c r="B1006" t="str">
        <f>"1551765490649958"</f>
        <v>1551765490649958</v>
      </c>
      <c r="C1006" t="s">
        <v>40</v>
      </c>
      <c r="D1006">
        <v>4.1068769999999999</v>
      </c>
      <c r="E1006">
        <v>0.59551100000000001</v>
      </c>
      <c r="F1006" t="s">
        <v>46</v>
      </c>
      <c r="G1006">
        <v>-162.62880000000001</v>
      </c>
      <c r="H1006">
        <v>4.5053419999999997</v>
      </c>
      <c r="I1006">
        <v>342.60509999999999</v>
      </c>
      <c r="J1006">
        <v>-259.50729999999999</v>
      </c>
      <c r="K1006">
        <v>1.109367</v>
      </c>
      <c r="L1006">
        <v>368.03469999999999</v>
      </c>
      <c r="M1006">
        <v>0.99973979999999996</v>
      </c>
      <c r="N1006">
        <v>-1.341852E-2</v>
      </c>
      <c r="O1006">
        <v>1.8453069999999999E-2</v>
      </c>
      <c r="P1006">
        <v>0.99849909999999997</v>
      </c>
      <c r="Q1006">
        <v>-5.2549430000000001E-2</v>
      </c>
      <c r="R1006">
        <v>-1.543365E-2</v>
      </c>
      <c r="S1006">
        <v>2.998993</v>
      </c>
      <c r="T1006">
        <v>0.1049163</v>
      </c>
      <c r="U1006">
        <v>-0.78552250000000001</v>
      </c>
      <c r="V1006">
        <v>3.3869829999999997E-2</v>
      </c>
      <c r="W1006">
        <v>-3.9142259999999998E-2</v>
      </c>
      <c r="X1006">
        <v>0.99865939999999997</v>
      </c>
      <c r="Y1006">
        <v>0.27107710000000002</v>
      </c>
      <c r="Z1006">
        <v>3.6906629999999998E-3</v>
      </c>
      <c r="AA1006">
        <v>0.96255060000000003</v>
      </c>
      <c r="AB1006">
        <v>36</v>
      </c>
      <c r="AC1006">
        <v>96.878499999999903</v>
      </c>
      <c r="AD1006">
        <v>3.395975</v>
      </c>
      <c r="AE1006">
        <v>-25.429599999999901</v>
      </c>
      <c r="AF1006">
        <v>27.181888176316399</v>
      </c>
      <c r="AG1006">
        <v>3.395975</v>
      </c>
      <c r="AH1006">
        <v>96.282021650869396</v>
      </c>
      <c r="AI1006">
        <v>88.0558791416844</v>
      </c>
      <c r="AJ1006">
        <v>74.234814723041893</v>
      </c>
      <c r="AK1006">
        <v>100.10302385147401</v>
      </c>
      <c r="AL1006">
        <v>92.243259505580099</v>
      </c>
      <c r="AM1006">
        <v>88.057541170808904</v>
      </c>
      <c r="AN1006">
        <v>0.99999993955524602</v>
      </c>
    </row>
    <row r="1007" spans="1:40" x14ac:dyDescent="0.25">
      <c r="A1007" t="str">
        <f>"20190305135810672"</f>
        <v>20190305135810672</v>
      </c>
      <c r="B1007" t="str">
        <f>"1551765490669780"</f>
        <v>1551765490669780</v>
      </c>
      <c r="C1007" t="s">
        <v>40</v>
      </c>
      <c r="D1007">
        <v>4.1063039999999997</v>
      </c>
      <c r="E1007">
        <v>0.59569179999999999</v>
      </c>
      <c r="F1007" t="s">
        <v>46</v>
      </c>
      <c r="G1007">
        <v>-162.62880000000001</v>
      </c>
      <c r="H1007">
        <v>4.5270210000000004</v>
      </c>
      <c r="I1007">
        <v>342.39659999999998</v>
      </c>
      <c r="J1007">
        <v>-259.30200000000002</v>
      </c>
      <c r="K1007">
        <v>1.1093470000000001</v>
      </c>
      <c r="L1007">
        <v>368.0385</v>
      </c>
      <c r="M1007">
        <v>0.99973780000000001</v>
      </c>
      <c r="N1007">
        <v>-1.352309E-2</v>
      </c>
      <c r="O1007">
        <v>1.847969E-2</v>
      </c>
      <c r="P1007">
        <v>0.99846040000000003</v>
      </c>
      <c r="Q1007">
        <v>-5.2853240000000003E-2</v>
      </c>
      <c r="R1007">
        <v>-1.6829319999999998E-2</v>
      </c>
      <c r="S1007">
        <v>2.9977719999999999</v>
      </c>
      <c r="T1007">
        <v>0.10575469999999999</v>
      </c>
      <c r="U1007">
        <v>-0.79333500000000001</v>
      </c>
      <c r="V1007">
        <v>3.5288949999999999E-2</v>
      </c>
      <c r="W1007">
        <v>-3.9344169999999998E-2</v>
      </c>
      <c r="X1007">
        <v>0.9986024</v>
      </c>
      <c r="Y1007">
        <v>0.27354099999999998</v>
      </c>
      <c r="Z1007">
        <v>3.747153E-3</v>
      </c>
      <c r="AA1007">
        <v>0.96185299999999996</v>
      </c>
      <c r="AB1007">
        <v>36</v>
      </c>
      <c r="AC1007">
        <v>96.673199999999994</v>
      </c>
      <c r="AD1007">
        <v>3.4176739999999999</v>
      </c>
      <c r="AE1007">
        <v>-25.6419</v>
      </c>
      <c r="AF1007">
        <v>27.3921894356249</v>
      </c>
      <c r="AG1007">
        <v>3.4176739999999999</v>
      </c>
      <c r="AH1007">
        <v>96.070611812672098</v>
      </c>
      <c r="AI1007">
        <v>88.040609741190394</v>
      </c>
      <c r="AJ1007">
        <v>74.085793324309293</v>
      </c>
      <c r="AK1007">
        <v>99.957866082207701</v>
      </c>
      <c r="AL1007">
        <v>92.254836848623299</v>
      </c>
      <c r="AM1007">
        <v>87.976104526812307</v>
      </c>
      <c r="AN1007">
        <v>1.0000000134954199</v>
      </c>
    </row>
    <row r="1008" spans="1:40" x14ac:dyDescent="0.25">
      <c r="A1008" t="str">
        <f>"20190305135810684"</f>
        <v>20190305135810684</v>
      </c>
      <c r="B1008" t="str">
        <f>"1551765490679539"</f>
        <v>1551765490679539</v>
      </c>
      <c r="C1008" t="s">
        <v>40</v>
      </c>
      <c r="D1008">
        <v>4.1148879999999997</v>
      </c>
      <c r="E1008">
        <v>0.59577550000000001</v>
      </c>
      <c r="F1008" t="s">
        <v>46</v>
      </c>
      <c r="G1008">
        <v>-162.62880000000001</v>
      </c>
      <c r="H1008">
        <v>4.5376719999999997</v>
      </c>
      <c r="I1008">
        <v>342.27190000000002</v>
      </c>
      <c r="J1008">
        <v>-259.11630000000002</v>
      </c>
      <c r="K1008">
        <v>1.109329</v>
      </c>
      <c r="L1008">
        <v>368.04199999999997</v>
      </c>
      <c r="M1008">
        <v>0.99973650000000003</v>
      </c>
      <c r="N1008">
        <v>-1.3611710000000001E-2</v>
      </c>
      <c r="O1008">
        <v>1.849191E-2</v>
      </c>
      <c r="P1008">
        <v>0.9984459</v>
      </c>
      <c r="Q1008">
        <v>-5.2626369999999999E-2</v>
      </c>
      <c r="R1008">
        <v>-1.8344699999999999E-2</v>
      </c>
      <c r="S1008">
        <v>2.9967649999999999</v>
      </c>
      <c r="T1008">
        <v>0.10627449999999999</v>
      </c>
      <c r="U1008">
        <v>-0.79873660000000002</v>
      </c>
      <c r="V1008">
        <v>3.6813739999999998E-2</v>
      </c>
      <c r="W1008">
        <v>-3.9031000000000003E-2</v>
      </c>
      <c r="X1008">
        <v>0.99855970000000005</v>
      </c>
      <c r="Y1008">
        <v>0.2752501</v>
      </c>
      <c r="Z1008">
        <v>3.7814329999999998E-3</v>
      </c>
      <c r="AA1008">
        <v>0.96136520000000003</v>
      </c>
      <c r="AB1008">
        <v>36</v>
      </c>
      <c r="AC1008">
        <v>96.487499999999997</v>
      </c>
      <c r="AD1008">
        <v>3.4283429999999999</v>
      </c>
      <c r="AE1008">
        <v>-25.7700999999999</v>
      </c>
      <c r="AF1008">
        <v>27.5176684587559</v>
      </c>
      <c r="AG1008">
        <v>3.4283429999999999</v>
      </c>
      <c r="AH1008">
        <v>95.881427024183196</v>
      </c>
      <c r="AI1008">
        <v>88.031596226797603</v>
      </c>
      <c r="AJ1008">
        <v>73.986687183761603</v>
      </c>
      <c r="AK1008">
        <v>99.810939587429104</v>
      </c>
      <c r="AL1008">
        <v>92.236879604236904</v>
      </c>
      <c r="AM1008">
        <v>87.888641917694301</v>
      </c>
      <c r="AN1008">
        <v>1.00000007243893</v>
      </c>
    </row>
    <row r="1009" spans="1:40" x14ac:dyDescent="0.25">
      <c r="A1009" t="str">
        <f>"20190305135810698"</f>
        <v>20190305135810698</v>
      </c>
      <c r="B1009" t="str">
        <f>"1551765490689299"</f>
        <v>1551765490689299</v>
      </c>
      <c r="C1009" t="s">
        <v>40</v>
      </c>
      <c r="D1009">
        <v>4.1214219999999999</v>
      </c>
      <c r="E1009">
        <v>0.59597990000000001</v>
      </c>
      <c r="F1009" t="s">
        <v>46</v>
      </c>
      <c r="G1009">
        <v>-162.79689999999999</v>
      </c>
      <c r="H1009">
        <v>4.5735039999999998</v>
      </c>
      <c r="I1009">
        <v>342.18990000000002</v>
      </c>
      <c r="J1009">
        <v>-258.9008</v>
      </c>
      <c r="K1009">
        <v>1.1093139999999999</v>
      </c>
      <c r="L1009">
        <v>368.04599999999999</v>
      </c>
      <c r="M1009">
        <v>0.99973520000000005</v>
      </c>
      <c r="N1009">
        <v>-1.370791E-2</v>
      </c>
      <c r="O1009">
        <v>1.849334E-2</v>
      </c>
      <c r="P1009">
        <v>0.99844540000000004</v>
      </c>
      <c r="Q1009">
        <v>-5.2281250000000001E-2</v>
      </c>
      <c r="R1009">
        <v>-1.933588E-2</v>
      </c>
      <c r="S1009">
        <v>2.9956049999999999</v>
      </c>
      <c r="T1009">
        <v>0.1077386</v>
      </c>
      <c r="U1009">
        <v>-0.80401610000000001</v>
      </c>
      <c r="V1009">
        <v>3.7803749999999997E-2</v>
      </c>
      <c r="W1009">
        <v>-3.8592189999999998E-2</v>
      </c>
      <c r="X1009">
        <v>0.99853970000000003</v>
      </c>
      <c r="Y1009">
        <v>0.27692060000000002</v>
      </c>
      <c r="Z1009">
        <v>3.8628590000000002E-3</v>
      </c>
      <c r="AA1009">
        <v>0.96088499999999999</v>
      </c>
      <c r="AB1009">
        <v>36</v>
      </c>
      <c r="AC1009">
        <v>96.103899999999996</v>
      </c>
      <c r="AD1009">
        <v>3.4641899999999999</v>
      </c>
      <c r="AE1009">
        <v>-25.856099999999898</v>
      </c>
      <c r="AF1009">
        <v>27.595690278720799</v>
      </c>
      <c r="AG1009">
        <v>3.4641899999999999</v>
      </c>
      <c r="AH1009">
        <v>95.4935479830215</v>
      </c>
      <c r="AI1009">
        <v>88.004010442158702</v>
      </c>
      <c r="AJ1009">
        <v>73.881783212821205</v>
      </c>
      <c r="AK1009">
        <v>99.461250950814104</v>
      </c>
      <c r="AL1009">
        <v>92.211718833040393</v>
      </c>
      <c r="AM1009">
        <v>87.831872514737299</v>
      </c>
      <c r="AN1009">
        <v>1.00000000655957</v>
      </c>
    </row>
    <row r="1010" spans="1:40" x14ac:dyDescent="0.25">
      <c r="A1010" t="str">
        <f>"20190305135810715"</f>
        <v>20190305135810715</v>
      </c>
      <c r="B1010" t="str">
        <f>"1551765490709795"</f>
        <v>1551765490709795</v>
      </c>
      <c r="C1010" t="s">
        <v>40</v>
      </c>
      <c r="D1010">
        <v>4.1102610000000004</v>
      </c>
      <c r="E1010">
        <v>0.59615810000000002</v>
      </c>
      <c r="F1010" t="s">
        <v>46</v>
      </c>
      <c r="G1010">
        <v>-163.1686</v>
      </c>
      <c r="H1010">
        <v>4.5881449999999999</v>
      </c>
      <c r="I1010">
        <v>342.18990000000002</v>
      </c>
      <c r="J1010">
        <v>-258.64190000000002</v>
      </c>
      <c r="K1010">
        <v>1.109294</v>
      </c>
      <c r="L1010">
        <v>368.05079999999998</v>
      </c>
      <c r="M1010">
        <v>0.99973429999999996</v>
      </c>
      <c r="N1010">
        <v>-1.380936E-2</v>
      </c>
      <c r="O1010">
        <v>1.8460600000000001E-2</v>
      </c>
      <c r="P1010">
        <v>0.99843630000000005</v>
      </c>
      <c r="Q1010">
        <v>-5.1562219999999999E-2</v>
      </c>
      <c r="R1010">
        <v>-2.1597680000000001E-2</v>
      </c>
      <c r="S1010">
        <v>2.9947360000000001</v>
      </c>
      <c r="T1010">
        <v>0.10882650000000001</v>
      </c>
      <c r="U1010">
        <v>-0.8088379</v>
      </c>
      <c r="V1010">
        <v>4.0029429999999998E-2</v>
      </c>
      <c r="W1010">
        <v>-3.7775299999999998E-2</v>
      </c>
      <c r="X1010">
        <v>0.99848419999999904</v>
      </c>
      <c r="Y1010">
        <v>0.27839819999999998</v>
      </c>
      <c r="Z1010">
        <v>3.9206859999999996E-3</v>
      </c>
      <c r="AA1010">
        <v>0.96045769999999997</v>
      </c>
      <c r="AB1010">
        <v>36</v>
      </c>
      <c r="AC1010">
        <v>95.473299999999995</v>
      </c>
      <c r="AD1010">
        <v>3.4788510000000001</v>
      </c>
      <c r="AE1010">
        <v>-25.860899999999901</v>
      </c>
      <c r="AF1010">
        <v>27.5850327365951</v>
      </c>
      <c r="AG1010">
        <v>3.4788510000000001</v>
      </c>
      <c r="AH1010">
        <v>94.862232521254697</v>
      </c>
      <c r="AI1010">
        <v>87.983217366790996</v>
      </c>
      <c r="AJ1010">
        <v>73.786072933081101</v>
      </c>
      <c r="AK1010">
        <v>98.852817836801293</v>
      </c>
      <c r="AL1010">
        <v>92.164880310850606</v>
      </c>
      <c r="AM1010">
        <v>87.704230225404302</v>
      </c>
      <c r="AN1010">
        <v>1.0000000131029201</v>
      </c>
    </row>
    <row r="1011" spans="1:40" x14ac:dyDescent="0.25">
      <c r="A1011" t="str">
        <f>"20190305135810729"</f>
        <v>20190305135810729</v>
      </c>
      <c r="B1011" t="str">
        <f>"1551765490719555"</f>
        <v>1551765490719555</v>
      </c>
      <c r="C1011" t="s">
        <v>40</v>
      </c>
      <c r="D1011">
        <v>4.1115059999999897</v>
      </c>
      <c r="E1011">
        <v>0.59616069999999999</v>
      </c>
      <c r="F1011" t="s">
        <v>46</v>
      </c>
      <c r="G1011">
        <v>-164.0061</v>
      </c>
      <c r="H1011">
        <v>4.6246159999999996</v>
      </c>
      <c r="I1011">
        <v>342.18990000000002</v>
      </c>
      <c r="J1011">
        <v>-258.39830000000001</v>
      </c>
      <c r="K1011">
        <v>1.109272</v>
      </c>
      <c r="L1011">
        <v>368.05520000000001</v>
      </c>
      <c r="M1011">
        <v>0.99973400000000001</v>
      </c>
      <c r="N1011">
        <v>-1.389601E-2</v>
      </c>
      <c r="O1011">
        <v>1.8404810000000001E-2</v>
      </c>
      <c r="P1011">
        <v>0.99842520000000001</v>
      </c>
      <c r="Q1011">
        <v>-5.1411329999999998E-2</v>
      </c>
      <c r="R1011">
        <v>-2.2451619999999999E-2</v>
      </c>
      <c r="S1011">
        <v>2.9927220000000001</v>
      </c>
      <c r="T1011">
        <v>0.11116719999999999</v>
      </c>
      <c r="U1011">
        <v>-0.81781009999999998</v>
      </c>
      <c r="V1011">
        <v>4.0824520000000003E-2</v>
      </c>
      <c r="W1011">
        <v>-3.754126E-2</v>
      </c>
      <c r="X1011">
        <v>0.99846080000000004</v>
      </c>
      <c r="Y1011">
        <v>0.28118009999999999</v>
      </c>
      <c r="Z1011">
        <v>4.059783E-3</v>
      </c>
      <c r="AA1011">
        <v>0.95964640000000001</v>
      </c>
      <c r="AB1011">
        <v>36</v>
      </c>
      <c r="AC1011">
        <v>94.392200000000003</v>
      </c>
      <c r="AD1011">
        <v>3.5153439999999998</v>
      </c>
      <c r="AE1011">
        <v>-25.865299999999898</v>
      </c>
      <c r="AF1011">
        <v>27.562797872666302</v>
      </c>
      <c r="AG1011">
        <v>3.5153439999999998</v>
      </c>
      <c r="AH1011">
        <v>93.779133056131499</v>
      </c>
      <c r="AI1011">
        <v>87.940293226445306</v>
      </c>
      <c r="AJ1011">
        <v>73.621313121371202</v>
      </c>
      <c r="AK1011">
        <v>97.808952896794693</v>
      </c>
      <c r="AL1011">
        <v>92.151461363042799</v>
      </c>
      <c r="AM1011">
        <v>87.658625628688299</v>
      </c>
      <c r="AN1011">
        <v>0.99999997838612797</v>
      </c>
    </row>
    <row r="1012" spans="1:40" x14ac:dyDescent="0.25">
      <c r="A1012" t="str">
        <f>"20190305135810742"</f>
        <v>20190305135810742</v>
      </c>
      <c r="B1012" t="str">
        <f>"1551765490740052"</f>
        <v>1551765490740052</v>
      </c>
      <c r="C1012" t="s">
        <v>40</v>
      </c>
      <c r="D1012">
        <v>4.1011069999999998</v>
      </c>
      <c r="E1012">
        <v>0.59630620000000001</v>
      </c>
      <c r="F1012" t="s">
        <v>46</v>
      </c>
      <c r="G1012">
        <v>-164.07660000000001</v>
      </c>
      <c r="H1012">
        <v>4.6361210000000002</v>
      </c>
      <c r="I1012">
        <v>342.18990000000002</v>
      </c>
      <c r="J1012">
        <v>-258.18130000000002</v>
      </c>
      <c r="K1012">
        <v>1.1092519999999999</v>
      </c>
      <c r="L1012">
        <v>368.05919999999998</v>
      </c>
      <c r="M1012">
        <v>0.99973429999999996</v>
      </c>
      <c r="N1012">
        <v>-1.3967129999999999E-2</v>
      </c>
      <c r="O1012">
        <v>1.833802E-2</v>
      </c>
      <c r="P1012">
        <v>0.99840410000000002</v>
      </c>
      <c r="Q1012">
        <v>-5.1488279999999997E-2</v>
      </c>
      <c r="R1012">
        <v>-2.3202509999999999E-2</v>
      </c>
      <c r="S1012">
        <v>2.9920650000000002</v>
      </c>
      <c r="T1012">
        <v>0.11187859999999999</v>
      </c>
      <c r="U1012">
        <v>-0.82049559999999999</v>
      </c>
      <c r="V1012">
        <v>4.1505739999999999E-2</v>
      </c>
      <c r="W1012">
        <v>-3.7550510000000002E-2</v>
      </c>
      <c r="X1012">
        <v>0.9984324</v>
      </c>
      <c r="Y1012">
        <v>0.28196870000000002</v>
      </c>
      <c r="Z1012">
        <v>4.093742E-3</v>
      </c>
      <c r="AA1012">
        <v>0.95941480000000001</v>
      </c>
      <c r="AB1012">
        <v>36</v>
      </c>
      <c r="AC1012">
        <v>94.104699999999994</v>
      </c>
      <c r="AD1012">
        <v>3.526869</v>
      </c>
      <c r="AE1012">
        <v>-25.8692999999999</v>
      </c>
      <c r="AF1012">
        <v>27.554826794136599</v>
      </c>
      <c r="AG1012">
        <v>3.526869</v>
      </c>
      <c r="AH1012">
        <v>93.492340877119503</v>
      </c>
      <c r="AI1012">
        <v>87.927670792494993</v>
      </c>
      <c r="AJ1012">
        <v>73.578269518554606</v>
      </c>
      <c r="AK1012">
        <v>97.532174626025494</v>
      </c>
      <c r="AL1012">
        <v>92.1519916499266</v>
      </c>
      <c r="AM1012">
        <v>87.619533132836693</v>
      </c>
      <c r="AN1012">
        <v>1.0000000123119801</v>
      </c>
    </row>
    <row r="1013" spans="1:40" x14ac:dyDescent="0.25">
      <c r="A1013" t="str">
        <f>"20190305135810754"</f>
        <v>20190305135810754</v>
      </c>
      <c r="B1013" t="str">
        <f>"1551765490749811"</f>
        <v>1551765490749811</v>
      </c>
      <c r="C1013" t="s">
        <v>40</v>
      </c>
      <c r="D1013">
        <v>4.1045069999999999</v>
      </c>
      <c r="E1013">
        <v>0.59630609999999995</v>
      </c>
      <c r="F1013" t="s">
        <v>46</v>
      </c>
      <c r="G1013">
        <v>-164.25129999999999</v>
      </c>
      <c r="H1013">
        <v>4.659802</v>
      </c>
      <c r="I1013">
        <v>342.18990000000002</v>
      </c>
      <c r="J1013">
        <v>-257.98360000000002</v>
      </c>
      <c r="K1013">
        <v>1.1092340000000001</v>
      </c>
      <c r="L1013">
        <v>368.06270000000001</v>
      </c>
      <c r="M1013">
        <v>0.99973489999999998</v>
      </c>
      <c r="N1013">
        <v>-1.4026169999999999E-2</v>
      </c>
      <c r="O1013">
        <v>1.8260680000000001E-2</v>
      </c>
      <c r="P1013">
        <v>0.99836950000000002</v>
      </c>
      <c r="Q1013">
        <v>-5.1827980000000003E-2</v>
      </c>
      <c r="R1013">
        <v>-2.39259E-2</v>
      </c>
      <c r="S1013">
        <v>2.9914860000000001</v>
      </c>
      <c r="T1013">
        <v>0.1130782</v>
      </c>
      <c r="U1013">
        <v>-0.82388309999999998</v>
      </c>
      <c r="V1013">
        <v>4.2148629999999999E-2</v>
      </c>
      <c r="W1013">
        <v>-3.7834600000000003E-2</v>
      </c>
      <c r="X1013">
        <v>0.99839469999999997</v>
      </c>
      <c r="Y1013">
        <v>0.28294829999999999</v>
      </c>
      <c r="Z1013">
        <v>4.156107E-3</v>
      </c>
      <c r="AA1013">
        <v>0.95912620000000004</v>
      </c>
      <c r="AB1013">
        <v>36</v>
      </c>
      <c r="AC1013">
        <v>93.732299999999995</v>
      </c>
      <c r="AD1013">
        <v>3.5505680000000002</v>
      </c>
      <c r="AE1013">
        <v>-25.872799999999899</v>
      </c>
      <c r="AF1013">
        <v>27.543545224834201</v>
      </c>
      <c r="AG1013">
        <v>3.5505680000000002</v>
      </c>
      <c r="AH1013">
        <v>93.120009818836195</v>
      </c>
      <c r="AI1013">
        <v>87.906024520512602</v>
      </c>
      <c r="AJ1013">
        <v>73.522548792910499</v>
      </c>
      <c r="AK1013">
        <v>97.172988249488597</v>
      </c>
      <c r="AL1013">
        <v>92.168280473581703</v>
      </c>
      <c r="AM1013">
        <v>87.582613880824098</v>
      </c>
      <c r="AN1013">
        <v>0.99999997047806299</v>
      </c>
    </row>
    <row r="1014" spans="1:40" x14ac:dyDescent="0.25">
      <c r="A1014" t="str">
        <f>"20190305135810769"</f>
        <v>20190305135810769</v>
      </c>
      <c r="B1014" t="str">
        <f>"1551765490759571"</f>
        <v>1551765490759571</v>
      </c>
      <c r="C1014" t="s">
        <v>40</v>
      </c>
      <c r="D1014">
        <v>4.0763280000000002</v>
      </c>
      <c r="E1014">
        <v>0.5963851</v>
      </c>
      <c r="F1014" t="s">
        <v>46</v>
      </c>
      <c r="G1014">
        <v>-164.3349</v>
      </c>
      <c r="H1014">
        <v>4.6247040000000004</v>
      </c>
      <c r="I1014">
        <v>342.18990000000002</v>
      </c>
      <c r="J1014">
        <v>-257.7595</v>
      </c>
      <c r="K1014">
        <v>1.10921</v>
      </c>
      <c r="L1014">
        <v>368.06670000000003</v>
      </c>
      <c r="M1014">
        <v>0.99973599999999996</v>
      </c>
      <c r="N1014">
        <v>-1.408643E-2</v>
      </c>
      <c r="O1014">
        <v>1.815688E-2</v>
      </c>
      <c r="P1014">
        <v>0.99829610000000002</v>
      </c>
      <c r="Q1014">
        <v>-5.2647560000000003E-2</v>
      </c>
      <c r="R1014">
        <v>-2.5163640000000001E-2</v>
      </c>
      <c r="S1014">
        <v>2.9909520000000001</v>
      </c>
      <c r="T1014">
        <v>0.1122773</v>
      </c>
      <c r="U1014">
        <v>-0.82632450000000002</v>
      </c>
      <c r="V1014">
        <v>4.3278480000000001E-2</v>
      </c>
      <c r="W1014">
        <v>-3.8598390000000003E-2</v>
      </c>
      <c r="X1014">
        <v>0.99831720000000002</v>
      </c>
      <c r="Y1014">
        <v>0.283622599999999</v>
      </c>
      <c r="Z1014">
        <v>4.1090240000000002E-3</v>
      </c>
      <c r="AA1014">
        <v>0.95892719999999998</v>
      </c>
      <c r="AB1014">
        <v>36</v>
      </c>
      <c r="AC1014">
        <v>93.424599999999998</v>
      </c>
      <c r="AD1014">
        <v>3.5154939999999999</v>
      </c>
      <c r="AE1014">
        <v>-25.876799999999999</v>
      </c>
      <c r="AF1014">
        <v>27.532793308182601</v>
      </c>
      <c r="AG1014">
        <v>3.5154939999999999</v>
      </c>
      <c r="AH1014">
        <v>92.817246415455998</v>
      </c>
      <c r="AI1014">
        <v>87.920414911705393</v>
      </c>
      <c r="AJ1014">
        <v>73.477828878535306</v>
      </c>
      <c r="AK1014">
        <v>96.878556128601701</v>
      </c>
      <c r="AL1014">
        <v>92.212074241847205</v>
      </c>
      <c r="AM1014">
        <v>87.517700178005896</v>
      </c>
      <c r="AN1014">
        <v>1.00000004717877</v>
      </c>
    </row>
    <row r="1015" spans="1:40" x14ac:dyDescent="0.25">
      <c r="A1015" t="str">
        <f>"20190305135810781"</f>
        <v>20190305135810781</v>
      </c>
      <c r="B1015" t="str">
        <f>"1551765490769333"</f>
        <v>1551765490769333</v>
      </c>
      <c r="C1015" t="s">
        <v>40</v>
      </c>
      <c r="D1015">
        <v>4.0742940000000001</v>
      </c>
      <c r="E1015">
        <v>0.59644240000000004</v>
      </c>
      <c r="F1015" t="s">
        <v>46</v>
      </c>
      <c r="G1015">
        <v>-164.56659999999999</v>
      </c>
      <c r="H1015">
        <v>4.5436649999999998</v>
      </c>
      <c r="I1015">
        <v>342.18990000000002</v>
      </c>
      <c r="J1015">
        <v>-257.57479999999998</v>
      </c>
      <c r="K1015">
        <v>1.1091899999999999</v>
      </c>
      <c r="L1015">
        <v>368.07</v>
      </c>
      <c r="M1015">
        <v>0.99973699999999999</v>
      </c>
      <c r="N1015">
        <v>-1.4133140000000001E-2</v>
      </c>
      <c r="O1015">
        <v>1.8064239999999999E-2</v>
      </c>
      <c r="P1015">
        <v>0.99823550000000005</v>
      </c>
      <c r="Q1015">
        <v>-5.3399460000000003E-2</v>
      </c>
      <c r="R1015">
        <v>-2.5974500000000001E-2</v>
      </c>
      <c r="S1015">
        <v>2.990005</v>
      </c>
      <c r="T1015">
        <v>0.1101915</v>
      </c>
      <c r="U1015">
        <v>-0.83023069999999899</v>
      </c>
      <c r="V1015">
        <v>4.3993289999999997E-2</v>
      </c>
      <c r="W1015">
        <v>-3.9307120000000001E-2</v>
      </c>
      <c r="X1015">
        <v>0.99825819999999998</v>
      </c>
      <c r="Y1015">
        <v>0.2847808</v>
      </c>
      <c r="Z1015">
        <v>4.00206E-3</v>
      </c>
      <c r="AA1015">
        <v>0.95858429999999994</v>
      </c>
      <c r="AB1015">
        <v>36</v>
      </c>
      <c r="AC1015">
        <v>93.008200000000002</v>
      </c>
      <c r="AD1015">
        <v>3.4344749999999999</v>
      </c>
      <c r="AE1015">
        <v>-25.880099999999899</v>
      </c>
      <c r="AF1015">
        <v>27.521335884561701</v>
      </c>
      <c r="AG1015">
        <v>3.4344749999999999</v>
      </c>
      <c r="AH1015">
        <v>92.408519016780801</v>
      </c>
      <c r="AI1015">
        <v>87.959983658382399</v>
      </c>
      <c r="AJ1015">
        <v>73.415284552570398</v>
      </c>
      <c r="AK1015">
        <v>96.480847499756294</v>
      </c>
      <c r="AL1015">
        <v>92.252712547515699</v>
      </c>
      <c r="AM1015">
        <v>87.476604837533003</v>
      </c>
      <c r="AN1015">
        <v>0.99999994655747704</v>
      </c>
    </row>
    <row r="1016" spans="1:40" x14ac:dyDescent="0.25">
      <c r="A1016" t="str">
        <f>"20190305135810791"</f>
        <v>20190305135810791</v>
      </c>
      <c r="B1016" t="str">
        <f>"1551765490780068"</f>
        <v>1551765490780068</v>
      </c>
      <c r="C1016" t="s">
        <v>40</v>
      </c>
      <c r="D1016">
        <v>4.041385</v>
      </c>
      <c r="E1016">
        <v>0.59648250000000003</v>
      </c>
      <c r="F1016" t="s">
        <v>46</v>
      </c>
      <c r="G1016">
        <v>-166.33510000000001</v>
      </c>
      <c r="H1016">
        <v>4.412242</v>
      </c>
      <c r="I1016">
        <v>342.64389999999997</v>
      </c>
      <c r="J1016">
        <v>-257.39299999999997</v>
      </c>
      <c r="K1016">
        <v>1.1091740000000001</v>
      </c>
      <c r="L1016">
        <v>368.07319999999999</v>
      </c>
      <c r="M1016">
        <v>0.99973829999999997</v>
      </c>
      <c r="N1016">
        <v>-1.417439E-2</v>
      </c>
      <c r="O1016">
        <v>1.79624E-2</v>
      </c>
      <c r="P1016">
        <v>0.99818320000000005</v>
      </c>
      <c r="Q1016">
        <v>-5.4018200000000002E-2</v>
      </c>
      <c r="R1016">
        <v>-2.6698820000000002E-2</v>
      </c>
      <c r="S1016">
        <v>2.9894099999999999</v>
      </c>
      <c r="T1016">
        <v>0.1082225</v>
      </c>
      <c r="U1016">
        <v>-0.83306880000000005</v>
      </c>
      <c r="V1016">
        <v>4.4612829999999999E-2</v>
      </c>
      <c r="W1016">
        <v>-3.988775E-2</v>
      </c>
      <c r="X1016">
        <v>0.99820770000000003</v>
      </c>
      <c r="Y1016">
        <v>0.28558250000000002</v>
      </c>
      <c r="Z1016">
        <v>3.8967170000000001E-3</v>
      </c>
      <c r="AA1016">
        <v>0.95834620000000004</v>
      </c>
      <c r="AB1016">
        <v>36</v>
      </c>
      <c r="AC1016">
        <v>91.057899999999904</v>
      </c>
      <c r="AD1016">
        <v>3.3030680000000001</v>
      </c>
      <c r="AE1016">
        <v>-25.429300000000001</v>
      </c>
      <c r="AF1016">
        <v>27.027987782122999</v>
      </c>
      <c r="AG1016">
        <v>3.3030680000000001</v>
      </c>
      <c r="AH1016">
        <v>90.475950938872501</v>
      </c>
      <c r="AI1016">
        <v>87.996598043646699</v>
      </c>
      <c r="AJ1016">
        <v>73.367474362124497</v>
      </c>
      <c r="AK1016">
        <v>94.484496506339497</v>
      </c>
      <c r="AL1016">
        <v>92.286006245528398</v>
      </c>
      <c r="AM1016">
        <v>87.440986491073602</v>
      </c>
      <c r="AN1016">
        <v>0.99999997476998004</v>
      </c>
    </row>
    <row r="1017" spans="1:40" x14ac:dyDescent="0.25">
      <c r="A1017" t="str">
        <f>"20190305135810803"</f>
        <v>20190305135810803</v>
      </c>
      <c r="B1017" t="str">
        <f>"1551765490799182"</f>
        <v>1551765490799182</v>
      </c>
      <c r="C1017" t="s">
        <v>40</v>
      </c>
      <c r="D1017">
        <v>4.0071510000000004</v>
      </c>
      <c r="E1017">
        <v>0.59660740000000001</v>
      </c>
      <c r="F1017" t="s">
        <v>46</v>
      </c>
      <c r="G1017">
        <v>-166.4314</v>
      </c>
      <c r="H1017">
        <v>4.3509180000000001</v>
      </c>
      <c r="I1017">
        <v>342.64389999999997</v>
      </c>
      <c r="J1017">
        <v>-257.21949999999998</v>
      </c>
      <c r="K1017">
        <v>1.1091580000000001</v>
      </c>
      <c r="L1017">
        <v>368.07619999999997</v>
      </c>
      <c r="M1017">
        <v>0.9997395</v>
      </c>
      <c r="N1017">
        <v>-1.421156E-2</v>
      </c>
      <c r="O1017">
        <v>1.7860919999999999E-2</v>
      </c>
      <c r="P1017">
        <v>0.99812809999999996</v>
      </c>
      <c r="Q1017">
        <v>-5.4541359999999997E-2</v>
      </c>
      <c r="R1017">
        <v>-2.76694E-2</v>
      </c>
      <c r="S1017">
        <v>2.9888759999999999</v>
      </c>
      <c r="T1017">
        <v>0.10651960000000001</v>
      </c>
      <c r="U1017">
        <v>-0.83557130000000002</v>
      </c>
      <c r="V1017">
        <v>4.5479529999999997E-2</v>
      </c>
      <c r="W1017">
        <v>-4.0376820000000001E-2</v>
      </c>
      <c r="X1017">
        <v>0.99814899999999995</v>
      </c>
      <c r="Y1017">
        <v>0.2862787</v>
      </c>
      <c r="Z1017">
        <v>3.804445E-3</v>
      </c>
      <c r="AA1017">
        <v>0.95813879999999996</v>
      </c>
      <c r="AB1017">
        <v>36</v>
      </c>
      <c r="AC1017">
        <v>90.7881</v>
      </c>
      <c r="AD1017">
        <v>3.24175999999999</v>
      </c>
      <c r="AE1017">
        <v>-25.432300000000001</v>
      </c>
      <c r="AF1017">
        <v>27.018023963245898</v>
      </c>
      <c r="AG1017">
        <v>3.24175999999999</v>
      </c>
      <c r="AH1017">
        <v>90.212674071685697</v>
      </c>
      <c r="AI1017">
        <v>88.0284316414279</v>
      </c>
      <c r="AJ1017">
        <v>73.3274334713538</v>
      </c>
      <c r="AK1017">
        <v>94.227433319285097</v>
      </c>
      <c r="AL1017">
        <v>92.314050310684706</v>
      </c>
      <c r="AM1017">
        <v>87.3911869817249</v>
      </c>
      <c r="AN1017">
        <v>1.00000005072166</v>
      </c>
    </row>
    <row r="1018" spans="1:40" x14ac:dyDescent="0.25">
      <c r="A1018" t="str">
        <f>"20190305135810814"</f>
        <v>20190305135810814</v>
      </c>
      <c r="B1018" t="str">
        <f>"1551765490809917"</f>
        <v>1551765490809917</v>
      </c>
      <c r="C1018" t="s">
        <v>40</v>
      </c>
      <c r="D1018">
        <v>4.0066709999999999</v>
      </c>
      <c r="E1018">
        <v>0.59665159999999995</v>
      </c>
      <c r="F1018" t="s">
        <v>46</v>
      </c>
      <c r="G1018">
        <v>-166.7062</v>
      </c>
      <c r="H1018">
        <v>4.325285</v>
      </c>
      <c r="I1018">
        <v>342.64389999999997</v>
      </c>
      <c r="J1018">
        <v>-257.0335</v>
      </c>
      <c r="K1018">
        <v>1.1091489999999999</v>
      </c>
      <c r="L1018">
        <v>368.07940000000002</v>
      </c>
      <c r="M1018">
        <v>0.99974099999999999</v>
      </c>
      <c r="N1018">
        <v>-1.424832E-2</v>
      </c>
      <c r="O1018">
        <v>1.774624E-2</v>
      </c>
      <c r="P1018">
        <v>0.99805619999999995</v>
      </c>
      <c r="Q1018">
        <v>-5.5447049999999998E-2</v>
      </c>
      <c r="R1018">
        <v>-2.8444850000000001E-2</v>
      </c>
      <c r="S1018">
        <v>2.9881289999999998</v>
      </c>
      <c r="T1018">
        <v>0.10617459999999999</v>
      </c>
      <c r="U1018">
        <v>-0.839599599999999</v>
      </c>
      <c r="V1018">
        <v>4.6137339999999999E-2</v>
      </c>
      <c r="W1018">
        <v>-4.1248809999999997E-2</v>
      </c>
      <c r="X1018">
        <v>0.9980831</v>
      </c>
      <c r="Y1018">
        <v>0.2874292</v>
      </c>
      <c r="Z1018">
        <v>3.7875320000000001E-3</v>
      </c>
      <c r="AA1018">
        <v>0.95779440000000005</v>
      </c>
      <c r="AB1018">
        <v>36</v>
      </c>
      <c r="AC1018">
        <v>90.327299999999994</v>
      </c>
      <c r="AD1018">
        <v>3.2161360000000001</v>
      </c>
      <c r="AE1018">
        <v>-25.435500000000001</v>
      </c>
      <c r="AF1018">
        <v>27.002908678764101</v>
      </c>
      <c r="AG1018">
        <v>3.2161360000000001</v>
      </c>
      <c r="AH1018">
        <v>89.756214483952405</v>
      </c>
      <c r="AI1018">
        <v>88.0347965505715</v>
      </c>
      <c r="AJ1018">
        <v>73.256231464061898</v>
      </c>
      <c r="AK1018">
        <v>93.785279475904204</v>
      </c>
      <c r="AL1018">
        <v>92.364053446811397</v>
      </c>
      <c r="AM1018">
        <v>87.353332225150993</v>
      </c>
      <c r="AN1018">
        <v>0.99999999648714999</v>
      </c>
    </row>
    <row r="1019" spans="1:40" x14ac:dyDescent="0.25">
      <c r="A1019" t="str">
        <f>"20190305135810826"</f>
        <v>20190305135810826</v>
      </c>
      <c r="B1019" t="str">
        <f>"1551765490819677"</f>
        <v>1551765490819677</v>
      </c>
      <c r="C1019" t="s">
        <v>40</v>
      </c>
      <c r="D1019">
        <v>4.0106129999999904</v>
      </c>
      <c r="E1019">
        <v>0.5966958</v>
      </c>
      <c r="F1019" t="s">
        <v>46</v>
      </c>
      <c r="G1019">
        <v>-166.79</v>
      </c>
      <c r="H1019">
        <v>4.2476430000000001</v>
      </c>
      <c r="I1019">
        <v>342.64389999999997</v>
      </c>
      <c r="J1019">
        <v>-256.85570000000001</v>
      </c>
      <c r="K1019">
        <v>1.10914</v>
      </c>
      <c r="L1019">
        <v>368.08249999999998</v>
      </c>
      <c r="M1019">
        <v>0.99974260000000004</v>
      </c>
      <c r="N1019">
        <v>-1.428021E-2</v>
      </c>
      <c r="O1019">
        <v>1.7631359999999999E-2</v>
      </c>
      <c r="P1019">
        <v>0.9979652</v>
      </c>
      <c r="Q1019">
        <v>-5.6596510000000003E-2</v>
      </c>
      <c r="R1019">
        <v>-2.9371270000000001E-2</v>
      </c>
      <c r="S1019">
        <v>2.9876100000000001</v>
      </c>
      <c r="T1019">
        <v>0.1039035</v>
      </c>
      <c r="U1019">
        <v>-0.84207149999999997</v>
      </c>
      <c r="V1019">
        <v>4.6945550000000003E-2</v>
      </c>
      <c r="W1019">
        <v>-4.2369450000000003E-2</v>
      </c>
      <c r="X1019">
        <v>0.99799850000000001</v>
      </c>
      <c r="Y1019">
        <v>0.288103</v>
      </c>
      <c r="Z1019">
        <v>3.6642620000000002E-3</v>
      </c>
      <c r="AA1019">
        <v>0.95759240000000001</v>
      </c>
      <c r="AB1019">
        <v>36</v>
      </c>
      <c r="AC1019">
        <v>90.065700000000007</v>
      </c>
      <c r="AD1019">
        <v>3.138503</v>
      </c>
      <c r="AE1019">
        <v>-25.438600000000001</v>
      </c>
      <c r="AF1019">
        <v>26.992432249559599</v>
      </c>
      <c r="AG1019">
        <v>3.138503</v>
      </c>
      <c r="AH1019">
        <v>89.5024807924013</v>
      </c>
      <c r="AI1019">
        <v>88.077155650598101</v>
      </c>
      <c r="AJ1019">
        <v>73.217578492676907</v>
      </c>
      <c r="AK1019">
        <v>93.5368145054248</v>
      </c>
      <c r="AL1019">
        <v>92.428317501709301</v>
      </c>
      <c r="AM1019">
        <v>87.306808989870703</v>
      </c>
      <c r="AN1019">
        <v>1.0000000304801699</v>
      </c>
    </row>
    <row r="1020" spans="1:40" x14ac:dyDescent="0.25">
      <c r="A1020" t="str">
        <f>"20190305135810836"</f>
        <v>20190305135810836</v>
      </c>
      <c r="B1020" t="str">
        <f>"1551765490829437"</f>
        <v>1551765490829437</v>
      </c>
      <c r="C1020" t="s">
        <v>40</v>
      </c>
      <c r="D1020">
        <v>3.989614</v>
      </c>
      <c r="E1020">
        <v>0.59675319999999898</v>
      </c>
      <c r="F1020" t="s">
        <v>46</v>
      </c>
      <c r="G1020">
        <v>-166.95689999999999</v>
      </c>
      <c r="H1020">
        <v>4.1254790000000003</v>
      </c>
      <c r="I1020">
        <v>342.64389999999997</v>
      </c>
      <c r="J1020">
        <v>-256.68369999999999</v>
      </c>
      <c r="K1020">
        <v>1.109129</v>
      </c>
      <c r="L1020">
        <v>368.08539999999999</v>
      </c>
      <c r="M1020">
        <v>0.99974419999999997</v>
      </c>
      <c r="N1020">
        <v>-1.4309570000000001E-2</v>
      </c>
      <c r="O1020">
        <v>1.7518019999999999E-2</v>
      </c>
      <c r="P1020">
        <v>0.99789649999999996</v>
      </c>
      <c r="Q1020">
        <v>-5.7414489999999999E-2</v>
      </c>
      <c r="R1020">
        <v>-3.010548E-2</v>
      </c>
      <c r="S1020">
        <v>2.9869539999999999</v>
      </c>
      <c r="T1020">
        <v>0.1002203</v>
      </c>
      <c r="U1020">
        <v>-0.84521480000000004</v>
      </c>
      <c r="V1020">
        <v>4.756407E-2</v>
      </c>
      <c r="W1020">
        <v>-4.3160560000000001E-2</v>
      </c>
      <c r="X1020">
        <v>0.99793529999999997</v>
      </c>
      <c r="Y1020">
        <v>0.28899229999999998</v>
      </c>
      <c r="Z1020">
        <v>3.467988E-3</v>
      </c>
      <c r="AA1020">
        <v>0.95732519999999999</v>
      </c>
      <c r="AB1020">
        <v>36</v>
      </c>
      <c r="AC1020">
        <v>89.726799999999997</v>
      </c>
      <c r="AD1020">
        <v>3.0163500000000001</v>
      </c>
      <c r="AE1020">
        <v>-25.441500000000001</v>
      </c>
      <c r="AF1020">
        <v>26.981369117389999</v>
      </c>
      <c r="AG1020">
        <v>3.0163500000000001</v>
      </c>
      <c r="AH1020">
        <v>89.174021203295993</v>
      </c>
      <c r="AI1020">
        <v>88.145645249952693</v>
      </c>
      <c r="AJ1020">
        <v>73.165768142495693</v>
      </c>
      <c r="AK1020">
        <v>93.215335135036796</v>
      </c>
      <c r="AL1020">
        <v>92.473686299681304</v>
      </c>
      <c r="AM1020">
        <v>87.271206222351694</v>
      </c>
      <c r="AN1020">
        <v>1.00000001884028</v>
      </c>
    </row>
    <row r="1021" spans="1:40" x14ac:dyDescent="0.25">
      <c r="A1021" t="str">
        <f>"20190305135810847"</f>
        <v>20190305135810847</v>
      </c>
      <c r="B1021" t="str">
        <f>"1551765490839197"</f>
        <v>1551765490839197</v>
      </c>
      <c r="C1021" t="s">
        <v>40</v>
      </c>
      <c r="D1021">
        <v>3.9851109999999998</v>
      </c>
      <c r="E1021">
        <v>0.59675940000000005</v>
      </c>
      <c r="F1021" t="s">
        <v>46</v>
      </c>
      <c r="G1021">
        <v>-167.0615</v>
      </c>
      <c r="H1021">
        <v>4.0683740000000004</v>
      </c>
      <c r="I1021">
        <v>342.64389999999997</v>
      </c>
      <c r="J1021">
        <v>-256.51119999999997</v>
      </c>
      <c r="K1021">
        <v>1.109119</v>
      </c>
      <c r="L1021">
        <v>368.0883</v>
      </c>
      <c r="M1021">
        <v>0.99974600000000002</v>
      </c>
      <c r="N1021">
        <v>-1.4335759999999999E-2</v>
      </c>
      <c r="O1021">
        <v>1.7400209999999999E-2</v>
      </c>
      <c r="P1021">
        <v>0.99782700000000002</v>
      </c>
      <c r="Q1021">
        <v>-5.8261790000000001E-2</v>
      </c>
      <c r="R1021">
        <v>-3.0781320000000001E-2</v>
      </c>
      <c r="S1021">
        <v>2.98645</v>
      </c>
      <c r="T1021">
        <v>9.8610039999999996E-2</v>
      </c>
      <c r="U1021">
        <v>-0.84777829999999998</v>
      </c>
      <c r="V1021">
        <v>4.8119750000000003E-2</v>
      </c>
      <c r="W1021">
        <v>-4.3983849999999998E-2</v>
      </c>
      <c r="X1021">
        <v>0.99787269999999995</v>
      </c>
      <c r="Y1021">
        <v>0.28968640000000001</v>
      </c>
      <c r="Z1021">
        <v>3.3796630000000002E-3</v>
      </c>
      <c r="AA1021">
        <v>0.95711570000000001</v>
      </c>
      <c r="AB1021">
        <v>36</v>
      </c>
      <c r="AC1021">
        <v>89.449699999999893</v>
      </c>
      <c r="AD1021">
        <v>2.9592550000000002</v>
      </c>
      <c r="AE1021">
        <v>-25.444400000000002</v>
      </c>
      <c r="AF1021">
        <v>26.969842046172499</v>
      </c>
      <c r="AG1021">
        <v>2.9592550000000002</v>
      </c>
      <c r="AH1021">
        <v>88.903352729262906</v>
      </c>
      <c r="AI1021">
        <v>88.175586994938897</v>
      </c>
      <c r="AJ1021">
        <v>73.124229934321704</v>
      </c>
      <c r="AK1021">
        <v>92.951254411407803</v>
      </c>
      <c r="AL1021">
        <v>92.520902213145902</v>
      </c>
      <c r="AM1021">
        <v>87.239202474388307</v>
      </c>
      <c r="AN1021">
        <v>1.0000000074030799</v>
      </c>
    </row>
    <row r="1022" spans="1:40" x14ac:dyDescent="0.25">
      <c r="A1022" t="str">
        <f>"20190305135810858"</f>
        <v>20190305135810858</v>
      </c>
      <c r="B1022" t="str">
        <f>"1551765490849933"</f>
        <v>1551765490849933</v>
      </c>
      <c r="C1022" t="s">
        <v>40</v>
      </c>
      <c r="D1022">
        <v>3.9903279999999999</v>
      </c>
      <c r="E1022">
        <v>0.59683599999999903</v>
      </c>
      <c r="F1022" t="s">
        <v>46</v>
      </c>
      <c r="G1022">
        <v>-167.12139999999999</v>
      </c>
      <c r="H1022">
        <v>3.9962270000000002</v>
      </c>
      <c r="I1022">
        <v>342.64389999999997</v>
      </c>
      <c r="J1022">
        <v>-256.33190000000002</v>
      </c>
      <c r="K1022">
        <v>1.1091120000000001</v>
      </c>
      <c r="L1022">
        <v>368.09129999999999</v>
      </c>
      <c r="M1022">
        <v>0.99974770000000002</v>
      </c>
      <c r="N1022">
        <v>-1.436221E-2</v>
      </c>
      <c r="O1022">
        <v>1.7277219999999999E-2</v>
      </c>
      <c r="P1022">
        <v>0.99776050000000005</v>
      </c>
      <c r="Q1022">
        <v>-5.9108569999999999E-2</v>
      </c>
      <c r="R1022">
        <v>-3.1309190000000001E-2</v>
      </c>
      <c r="S1022">
        <v>2.9859770000000001</v>
      </c>
      <c r="T1022">
        <v>9.6441269999999996E-2</v>
      </c>
      <c r="U1022">
        <v>-0.84994509999999901</v>
      </c>
      <c r="V1022">
        <v>4.852277E-2</v>
      </c>
      <c r="W1022">
        <v>-4.4806190000000003E-2</v>
      </c>
      <c r="X1022">
        <v>0.99781660000000005</v>
      </c>
      <c r="Y1022">
        <v>0.29025649999999997</v>
      </c>
      <c r="Z1022">
        <v>3.2600390000000002E-3</v>
      </c>
      <c r="AA1022">
        <v>0.95694330000000005</v>
      </c>
      <c r="AB1022">
        <v>36</v>
      </c>
      <c r="AC1022">
        <v>89.210499999999996</v>
      </c>
      <c r="AD1022">
        <v>2.8871150000000001</v>
      </c>
      <c r="AE1022">
        <v>-25.447399999999998</v>
      </c>
      <c r="AF1022">
        <v>26.958957987231599</v>
      </c>
      <c r="AG1022">
        <v>2.8871150000000001</v>
      </c>
      <c r="AH1022">
        <v>88.671592879845093</v>
      </c>
      <c r="AI1022">
        <v>88.215716142573498</v>
      </c>
      <c r="AJ1022">
        <v>73.089075717586695</v>
      </c>
      <c r="AK1022">
        <v>92.724172860314795</v>
      </c>
      <c r="AL1022">
        <v>92.568065317596606</v>
      </c>
      <c r="AM1022">
        <v>87.215959766930894</v>
      </c>
      <c r="AN1022">
        <v>1.0000000105531699</v>
      </c>
    </row>
    <row r="1023" spans="1:40" x14ac:dyDescent="0.25">
      <c r="A1023" t="str">
        <f>"20190305135810870"</f>
        <v>20190305135810870</v>
      </c>
      <c r="B1023" t="str">
        <f>"1551765490859694"</f>
        <v>1551765490859694</v>
      </c>
      <c r="C1023" t="s">
        <v>40</v>
      </c>
      <c r="D1023">
        <v>3.9494349999999998</v>
      </c>
      <c r="E1023">
        <v>0.59689559999999997</v>
      </c>
      <c r="F1023" t="s">
        <v>46</v>
      </c>
      <c r="G1023">
        <v>-167.15979999999999</v>
      </c>
      <c r="H1023">
        <v>3.9438469999999999</v>
      </c>
      <c r="I1023">
        <v>342.64389999999997</v>
      </c>
      <c r="J1023">
        <v>-256.14640000000003</v>
      </c>
      <c r="K1023">
        <v>1.1091089999999999</v>
      </c>
      <c r="L1023">
        <v>368.09440000000001</v>
      </c>
      <c r="M1023">
        <v>0.99974949999999996</v>
      </c>
      <c r="N1023">
        <v>-1.438615E-2</v>
      </c>
      <c r="O1023">
        <v>1.7148440000000001E-2</v>
      </c>
      <c r="P1023">
        <v>0.99768009999999996</v>
      </c>
      <c r="Q1023">
        <v>-6.01586E-2</v>
      </c>
      <c r="R1023">
        <v>-3.1868519999999997E-2</v>
      </c>
      <c r="S1023">
        <v>2.9856259999999999</v>
      </c>
      <c r="T1023">
        <v>9.4911690000000007E-2</v>
      </c>
      <c r="U1023">
        <v>-0.85202029999999995</v>
      </c>
      <c r="V1023">
        <v>4.8951189999999999E-2</v>
      </c>
      <c r="W1023">
        <v>-4.5834279999999998E-2</v>
      </c>
      <c r="X1023">
        <v>0.997749</v>
      </c>
      <c r="Y1023">
        <v>0.29078189999999998</v>
      </c>
      <c r="Z1023">
        <v>3.173773E-3</v>
      </c>
      <c r="AA1023">
        <v>0.95678410000000003</v>
      </c>
      <c r="AB1023">
        <v>35</v>
      </c>
      <c r="AC1023">
        <v>88.986599999999996</v>
      </c>
      <c r="AD1023">
        <v>2.8347380000000002</v>
      </c>
      <c r="AE1023">
        <v>-25.450500000000002</v>
      </c>
      <c r="AF1023">
        <v>26.947617613714101</v>
      </c>
      <c r="AG1023">
        <v>2.8347380000000002</v>
      </c>
      <c r="AH1023">
        <v>88.454055539881196</v>
      </c>
      <c r="AI1023">
        <v>88.244062574270998</v>
      </c>
      <c r="AJ1023">
        <v>73.056589610549693</v>
      </c>
      <c r="AK1023">
        <v>92.511241349556997</v>
      </c>
      <c r="AL1023">
        <v>92.6270310636869</v>
      </c>
      <c r="AM1023">
        <v>87.191227962634102</v>
      </c>
      <c r="AN1023">
        <v>1.00000003361326</v>
      </c>
    </row>
    <row r="1024" spans="1:40" x14ac:dyDescent="0.25">
      <c r="A1024" t="str">
        <f>"20190305135810882"</f>
        <v>20190305135810882</v>
      </c>
      <c r="B1024" t="str">
        <f>"1551765490879213"</f>
        <v>1551765490879213</v>
      </c>
      <c r="C1024" t="s">
        <v>40</v>
      </c>
      <c r="D1024">
        <v>3.9406780000000001</v>
      </c>
      <c r="E1024">
        <v>0.59711610000000004</v>
      </c>
      <c r="F1024" t="s">
        <v>46</v>
      </c>
      <c r="G1024">
        <v>-167.14830000000001</v>
      </c>
      <c r="H1024">
        <v>3.8596089999999998</v>
      </c>
      <c r="I1024">
        <v>342.64389999999997</v>
      </c>
      <c r="J1024">
        <v>-255.96619999999999</v>
      </c>
      <c r="K1024">
        <v>1.109102</v>
      </c>
      <c r="L1024">
        <v>368.09739999999999</v>
      </c>
      <c r="M1024">
        <v>0.99975130000000001</v>
      </c>
      <c r="N1024">
        <v>-1.440838E-2</v>
      </c>
      <c r="O1024">
        <v>1.702385E-2</v>
      </c>
      <c r="P1024">
        <v>0.99761940000000005</v>
      </c>
      <c r="Q1024">
        <v>-6.0868079999999998E-2</v>
      </c>
      <c r="R1024">
        <v>-3.241103E-2</v>
      </c>
      <c r="S1024">
        <v>2.985306</v>
      </c>
      <c r="T1024">
        <v>9.2261549999999998E-2</v>
      </c>
      <c r="U1024">
        <v>-0.85369869999999903</v>
      </c>
      <c r="V1024">
        <v>4.936749E-2</v>
      </c>
      <c r="W1024">
        <v>-4.6523229999999999E-2</v>
      </c>
      <c r="X1024">
        <v>0.99769660000000004</v>
      </c>
      <c r="Y1024">
        <v>0.29119349999999999</v>
      </c>
      <c r="Z1024">
        <v>3.0271410000000001E-3</v>
      </c>
      <c r="AA1024">
        <v>0.95665940000000005</v>
      </c>
      <c r="AB1024">
        <v>35</v>
      </c>
      <c r="AC1024">
        <v>88.817899999999895</v>
      </c>
      <c r="AD1024">
        <v>2.7505069999999998</v>
      </c>
      <c r="AE1024">
        <v>-25.453499999999998</v>
      </c>
      <c r="AF1024">
        <v>26.938116808610499</v>
      </c>
      <c r="AG1024">
        <v>2.7505069999999998</v>
      </c>
      <c r="AH1024">
        <v>88.293416503904595</v>
      </c>
      <c r="AI1024">
        <v>88.293321549243302</v>
      </c>
      <c r="AJ1024">
        <v>73.033173757594298</v>
      </c>
      <c r="AK1024">
        <v>92.3523406518934</v>
      </c>
      <c r="AL1024">
        <v>92.666547148606696</v>
      </c>
      <c r="AM1024">
        <v>87.167231280550098</v>
      </c>
      <c r="AN1024">
        <v>1.00000003282504</v>
      </c>
    </row>
    <row r="1025" spans="1:40" x14ac:dyDescent="0.25">
      <c r="A1025" t="str">
        <f>"20190305135810891"</f>
        <v>20190305135810891</v>
      </c>
      <c r="B1025" t="str">
        <f>"1551765490889949"</f>
        <v>1551765490889949</v>
      </c>
      <c r="C1025" t="s">
        <v>40</v>
      </c>
      <c r="D1025">
        <v>3.9541710000000001</v>
      </c>
      <c r="E1025">
        <v>0.59717759999999998</v>
      </c>
      <c r="F1025" t="s">
        <v>46</v>
      </c>
      <c r="G1025">
        <v>-167.29640000000001</v>
      </c>
      <c r="H1025">
        <v>3.829736</v>
      </c>
      <c r="I1025">
        <v>342.64389999999997</v>
      </c>
      <c r="J1025">
        <v>-255.79730000000001</v>
      </c>
      <c r="K1025">
        <v>1.1091</v>
      </c>
      <c r="L1025">
        <v>368.10019999999997</v>
      </c>
      <c r="M1025">
        <v>0.99975290000000006</v>
      </c>
      <c r="N1025">
        <v>-1.4427239999999999E-2</v>
      </c>
      <c r="O1025">
        <v>1.6907479999999999E-2</v>
      </c>
      <c r="P1025">
        <v>0.99753800000000004</v>
      </c>
      <c r="Q1025">
        <v>-6.1794460000000002E-2</v>
      </c>
      <c r="R1025">
        <v>-3.3160330000000002E-2</v>
      </c>
      <c r="S1025">
        <v>2.9848940000000002</v>
      </c>
      <c r="T1025">
        <v>9.1585040000000006E-2</v>
      </c>
      <c r="U1025">
        <v>-0.85684199999999999</v>
      </c>
      <c r="V1025">
        <v>4.9998279999999999E-2</v>
      </c>
      <c r="W1025">
        <v>-4.7432710000000003E-2</v>
      </c>
      <c r="X1025">
        <v>0.99762229999999996</v>
      </c>
      <c r="Y1025">
        <v>0.29204950000000002</v>
      </c>
      <c r="Z1025">
        <v>2.9895949999999998E-3</v>
      </c>
      <c r="AA1025">
        <v>0.95639850000000004</v>
      </c>
      <c r="AB1025">
        <v>35</v>
      </c>
      <c r="AC1025">
        <v>88.500900000000001</v>
      </c>
      <c r="AD1025">
        <v>2.7206359999999998</v>
      </c>
      <c r="AE1025">
        <v>-25.456299999999999</v>
      </c>
      <c r="AF1025">
        <v>26.9256423806805</v>
      </c>
      <c r="AG1025">
        <v>2.7206359999999998</v>
      </c>
      <c r="AH1025">
        <v>87.981008923871002</v>
      </c>
      <c r="AI1025">
        <v>88.306300185880602</v>
      </c>
      <c r="AJ1025">
        <v>72.983832764779095</v>
      </c>
      <c r="AK1025">
        <v>92.049171691651097</v>
      </c>
      <c r="AL1025">
        <v>92.718714276713399</v>
      </c>
      <c r="AM1025">
        <v>87.130882534241906</v>
      </c>
      <c r="AN1025">
        <v>0.99999997171909505</v>
      </c>
    </row>
    <row r="1026" spans="1:40" x14ac:dyDescent="0.25">
      <c r="A1026" t="str">
        <f>"20190305135810906"</f>
        <v>20190305135810906</v>
      </c>
      <c r="B1026" t="str">
        <f>"1551765490899231"</f>
        <v>1551765490899231</v>
      </c>
      <c r="C1026" t="s">
        <v>40</v>
      </c>
      <c r="D1026">
        <v>3.952013</v>
      </c>
      <c r="E1026">
        <v>0.59720039999999996</v>
      </c>
      <c r="F1026" t="s">
        <v>46</v>
      </c>
      <c r="G1026">
        <v>-167.43299999999999</v>
      </c>
      <c r="H1026">
        <v>3.7493240000000001</v>
      </c>
      <c r="I1026">
        <v>342.64389999999997</v>
      </c>
      <c r="J1026">
        <v>-255.5943</v>
      </c>
      <c r="K1026">
        <v>1.1090990000000001</v>
      </c>
      <c r="L1026">
        <v>368.1035</v>
      </c>
      <c r="M1026">
        <v>0.99975499999999995</v>
      </c>
      <c r="N1026">
        <v>-1.444815E-2</v>
      </c>
      <c r="O1026">
        <v>1.676971E-2</v>
      </c>
      <c r="P1026">
        <v>0.99748930000000002</v>
      </c>
      <c r="Q1026">
        <v>-6.2309280000000002E-2</v>
      </c>
      <c r="R1026">
        <v>-3.3658479999999998E-2</v>
      </c>
      <c r="S1026">
        <v>2.9843440000000001</v>
      </c>
      <c r="T1026">
        <v>8.9169029999999996E-2</v>
      </c>
      <c r="U1026">
        <v>-0.85974119999999998</v>
      </c>
      <c r="V1026">
        <v>5.0357409999999998E-2</v>
      </c>
      <c r="W1026">
        <v>-4.7927900000000002E-2</v>
      </c>
      <c r="X1026">
        <v>0.99758060000000004</v>
      </c>
      <c r="Y1026">
        <v>0.29282799999999998</v>
      </c>
      <c r="Z1026">
        <v>2.8572250000000001E-3</v>
      </c>
      <c r="AA1026">
        <v>0.95616080000000003</v>
      </c>
      <c r="AB1026">
        <v>35</v>
      </c>
      <c r="AC1026">
        <v>88.161299999999997</v>
      </c>
      <c r="AD1026">
        <v>2.640225</v>
      </c>
      <c r="AE1026">
        <v>-25.459599999999998</v>
      </c>
      <c r="AF1026">
        <v>26.9123341295135</v>
      </c>
      <c r="AG1026">
        <v>2.640225</v>
      </c>
      <c r="AH1026">
        <v>87.649347049132302</v>
      </c>
      <c r="AI1026">
        <v>88.350579939104193</v>
      </c>
      <c r="AJ1026">
        <v>72.931133467710197</v>
      </c>
      <c r="AK1026">
        <v>91.725964451121698</v>
      </c>
      <c r="AL1026">
        <v>92.747118795141802</v>
      </c>
      <c r="AM1026">
        <v>87.110188319702402</v>
      </c>
      <c r="AN1026">
        <v>1.00000000291833</v>
      </c>
    </row>
    <row r="1027" spans="1:40" x14ac:dyDescent="0.25">
      <c r="A1027" t="str">
        <f>"20190305135810920"</f>
        <v>20190305135810920</v>
      </c>
      <c r="B1027" t="str">
        <f>"1551765490909967"</f>
        <v>1551765490909967</v>
      </c>
      <c r="C1027" t="s">
        <v>40</v>
      </c>
      <c r="D1027">
        <v>3.9561220000000001</v>
      </c>
      <c r="E1027">
        <v>0.59724370000000004</v>
      </c>
      <c r="F1027" t="s">
        <v>46</v>
      </c>
      <c r="G1027">
        <v>-167.39009999999999</v>
      </c>
      <c r="H1027">
        <v>3.6926779999999999</v>
      </c>
      <c r="I1027">
        <v>342.64389999999997</v>
      </c>
      <c r="J1027">
        <v>-255.36969999999999</v>
      </c>
      <c r="K1027">
        <v>1.109103</v>
      </c>
      <c r="L1027">
        <v>368.1071</v>
      </c>
      <c r="M1027">
        <v>0.99975720000000001</v>
      </c>
      <c r="N1027">
        <v>-1.446948E-2</v>
      </c>
      <c r="O1027">
        <v>1.661955E-2</v>
      </c>
      <c r="P1027">
        <v>0.99742330000000001</v>
      </c>
      <c r="Q1027">
        <v>-6.28885E-2</v>
      </c>
      <c r="R1027">
        <v>-3.452409E-2</v>
      </c>
      <c r="S1027">
        <v>2.9839479999999998</v>
      </c>
      <c r="T1027">
        <v>8.7402579999999994E-2</v>
      </c>
      <c r="U1027">
        <v>-0.8612976</v>
      </c>
      <c r="V1027">
        <v>5.1071709999999999E-2</v>
      </c>
      <c r="W1027">
        <v>-4.8487500000000003E-2</v>
      </c>
      <c r="X1027">
        <v>0.99751719999999999</v>
      </c>
      <c r="Y1027">
        <v>0.29318270000000002</v>
      </c>
      <c r="Z1027">
        <v>2.7559160000000002E-3</v>
      </c>
      <c r="AA1027">
        <v>0.95605249999999997</v>
      </c>
      <c r="AB1027">
        <v>35</v>
      </c>
      <c r="AC1027">
        <v>87.979600000000005</v>
      </c>
      <c r="AD1027">
        <v>2.5835750000000002</v>
      </c>
      <c r="AE1027">
        <v>-25.463200000000001</v>
      </c>
      <c r="AF1027">
        <v>26.900612349139699</v>
      </c>
      <c r="AG1027">
        <v>2.5835750000000002</v>
      </c>
      <c r="AH1027">
        <v>87.4746124456763</v>
      </c>
      <c r="AI1027">
        <v>88.382946906570595</v>
      </c>
      <c r="AJ1027">
        <v>72.906039083271196</v>
      </c>
      <c r="AK1027">
        <v>91.553949270692797</v>
      </c>
      <c r="AL1027">
        <v>92.779218952612396</v>
      </c>
      <c r="AM1027">
        <v>87.069082498289703</v>
      </c>
      <c r="AN1027">
        <v>0.99999996075720599</v>
      </c>
    </row>
    <row r="1028" spans="1:40" x14ac:dyDescent="0.25">
      <c r="A1028" t="str">
        <f>"20190305135810936"</f>
        <v>20190305135810936</v>
      </c>
      <c r="B1028" t="str">
        <f>"1551765490929488"</f>
        <v>1551765490929488</v>
      </c>
      <c r="C1028" t="s">
        <v>40</v>
      </c>
      <c r="D1028">
        <v>3.963695</v>
      </c>
      <c r="E1028">
        <v>0.59729779999999999</v>
      </c>
      <c r="F1028" t="s">
        <v>46</v>
      </c>
      <c r="G1028">
        <v>-167.4752</v>
      </c>
      <c r="H1028">
        <v>3.6517439999999999</v>
      </c>
      <c r="I1028">
        <v>342.64389999999997</v>
      </c>
      <c r="J1028">
        <v>-255.10380000000001</v>
      </c>
      <c r="K1028">
        <v>1.1091089999999999</v>
      </c>
      <c r="L1028">
        <v>368.1114</v>
      </c>
      <c r="M1028">
        <v>0.99975970000000003</v>
      </c>
      <c r="N1028">
        <v>-1.449158E-2</v>
      </c>
      <c r="O1028">
        <v>1.6448669999999999E-2</v>
      </c>
      <c r="P1028">
        <v>0.99735890000000005</v>
      </c>
      <c r="Q1028">
        <v>-6.3451339999999995E-2</v>
      </c>
      <c r="R1028">
        <v>-3.534371E-2</v>
      </c>
      <c r="S1028">
        <v>2.9832610000000002</v>
      </c>
      <c r="T1028">
        <v>8.6300970000000005E-2</v>
      </c>
      <c r="U1028">
        <v>-0.86425779999999996</v>
      </c>
      <c r="V1028">
        <v>5.1719479999999998E-2</v>
      </c>
      <c r="W1028">
        <v>-4.9029639999999999E-2</v>
      </c>
      <c r="X1028">
        <v>0.99745740000000005</v>
      </c>
      <c r="Y1028">
        <v>0.29395569999999999</v>
      </c>
      <c r="Z1028">
        <v>2.6919940000000001E-3</v>
      </c>
      <c r="AA1028">
        <v>0.95581530000000003</v>
      </c>
      <c r="AB1028">
        <v>35</v>
      </c>
      <c r="AC1028">
        <v>87.628600000000006</v>
      </c>
      <c r="AD1028">
        <v>2.54263499999999</v>
      </c>
      <c r="AE1028">
        <v>-25.467500000000001</v>
      </c>
      <c r="AF1028">
        <v>26.884707015366001</v>
      </c>
      <c r="AG1028">
        <v>2.54263499999999</v>
      </c>
      <c r="AH1028">
        <v>87.130147935380094</v>
      </c>
      <c r="AI1028">
        <v>88.402733582308699</v>
      </c>
      <c r="AJ1028">
        <v>72.851969623458004</v>
      </c>
      <c r="AK1028">
        <v>91.219050330983606</v>
      </c>
      <c r="AL1028">
        <v>92.810318061980993</v>
      </c>
      <c r="AM1028">
        <v>87.0317965236258</v>
      </c>
      <c r="AN1028">
        <v>1.0000000375123701</v>
      </c>
    </row>
    <row r="1029" spans="1:40" x14ac:dyDescent="0.25">
      <c r="A1029" t="str">
        <f>"20190305135810950"</f>
        <v>20190305135810950</v>
      </c>
      <c r="B1029" t="str">
        <f>"1551765490939247"</f>
        <v>1551765490939247</v>
      </c>
      <c r="C1029" t="s">
        <v>40</v>
      </c>
      <c r="D1029">
        <v>3.9374159999999998</v>
      </c>
      <c r="E1029">
        <v>0.59739600000000004</v>
      </c>
      <c r="F1029" t="s">
        <v>46</v>
      </c>
      <c r="G1029">
        <v>-167.50649999999999</v>
      </c>
      <c r="H1029">
        <v>3.627586</v>
      </c>
      <c r="I1029">
        <v>342.64389999999997</v>
      </c>
      <c r="J1029">
        <v>-254.8845</v>
      </c>
      <c r="K1029">
        <v>1.109119</v>
      </c>
      <c r="L1029">
        <v>368.11489999999998</v>
      </c>
      <c r="M1029">
        <v>0.99976180000000003</v>
      </c>
      <c r="N1029">
        <v>-1.4507610000000001E-2</v>
      </c>
      <c r="O1029">
        <v>1.6312150000000001E-2</v>
      </c>
      <c r="P1029">
        <v>0.99724040000000003</v>
      </c>
      <c r="Q1029">
        <v>-6.4268569999999997E-2</v>
      </c>
      <c r="R1029">
        <v>-3.7164000000000003E-2</v>
      </c>
      <c r="S1029">
        <v>2.9826510000000002</v>
      </c>
      <c r="T1029">
        <v>8.5753199999999905E-2</v>
      </c>
      <c r="U1029">
        <v>-0.86715699999999996</v>
      </c>
      <c r="V1029">
        <v>5.3401369999999997E-2</v>
      </c>
      <c r="W1029">
        <v>-4.9833570000000001E-2</v>
      </c>
      <c r="X1029">
        <v>0.99732889999999996</v>
      </c>
      <c r="Y1029">
        <v>0.29473539999999998</v>
      </c>
      <c r="Z1029">
        <v>2.6598540000000001E-3</v>
      </c>
      <c r="AA1029">
        <v>0.95557519999999996</v>
      </c>
      <c r="AB1029">
        <v>35</v>
      </c>
      <c r="AC1029">
        <v>87.378</v>
      </c>
      <c r="AD1029">
        <v>2.5184669999999998</v>
      </c>
      <c r="AE1029">
        <v>-25.471</v>
      </c>
      <c r="AF1029">
        <v>26.8725074135677</v>
      </c>
      <c r="AG1029">
        <v>2.5184669999999998</v>
      </c>
      <c r="AH1029">
        <v>86.884315459239104</v>
      </c>
      <c r="AI1029">
        <v>88.413761481711404</v>
      </c>
      <c r="AJ1029">
        <v>72.8136500640544</v>
      </c>
      <c r="AK1029">
        <v>90.979990127186298</v>
      </c>
      <c r="AL1029">
        <v>92.856436306860999</v>
      </c>
      <c r="AM1029">
        <v>86.935059125183301</v>
      </c>
      <c r="AN1029">
        <v>1.00000001289601</v>
      </c>
    </row>
    <row r="1030" spans="1:40" x14ac:dyDescent="0.25">
      <c r="A1030" t="str">
        <f>"20190305135810971"</f>
        <v>20190305135810971</v>
      </c>
      <c r="B1030" t="str">
        <f>"1551765490959743"</f>
        <v>1551765490959743</v>
      </c>
      <c r="C1030" t="s">
        <v>40</v>
      </c>
      <c r="D1030">
        <v>3.9437289999999998</v>
      </c>
      <c r="E1030">
        <v>0.59761070000000005</v>
      </c>
      <c r="F1030" t="s">
        <v>46</v>
      </c>
      <c r="G1030">
        <v>-167.9776</v>
      </c>
      <c r="H1030">
        <v>3.543482</v>
      </c>
      <c r="I1030">
        <v>342.64389999999997</v>
      </c>
      <c r="J1030">
        <v>-254.56549999999999</v>
      </c>
      <c r="K1030">
        <v>1.109132</v>
      </c>
      <c r="L1030">
        <v>368.1198</v>
      </c>
      <c r="M1030">
        <v>0.9997644</v>
      </c>
      <c r="N1030">
        <v>-1.452848E-2</v>
      </c>
      <c r="O1030">
        <v>1.6122000000000001E-2</v>
      </c>
      <c r="P1030">
        <v>0.99719820000000003</v>
      </c>
      <c r="Q1030">
        <v>-6.3717060000000006E-2</v>
      </c>
      <c r="R1030">
        <v>-3.9192680000000001E-2</v>
      </c>
      <c r="S1030">
        <v>2.981125</v>
      </c>
      <c r="T1030">
        <v>8.3504919999999996E-2</v>
      </c>
      <c r="U1030">
        <v>-0.87371829999999995</v>
      </c>
      <c r="V1030">
        <v>5.524014E-2</v>
      </c>
      <c r="W1030">
        <v>-4.9262609999999998E-2</v>
      </c>
      <c r="X1030">
        <v>0.99725710000000001</v>
      </c>
      <c r="Y1030">
        <v>0.29662680000000002</v>
      </c>
      <c r="Z1030">
        <v>2.540343E-3</v>
      </c>
      <c r="AA1030">
        <v>0.95499009999999995</v>
      </c>
      <c r="AB1030">
        <v>35</v>
      </c>
      <c r="AC1030">
        <v>86.587899999999905</v>
      </c>
      <c r="AD1030">
        <v>2.4343499999999998</v>
      </c>
      <c r="AE1030">
        <v>-25.475899999999999</v>
      </c>
      <c r="AF1030">
        <v>26.849174732537399</v>
      </c>
      <c r="AG1030">
        <v>2.4343499999999998</v>
      </c>
      <c r="AH1030">
        <v>86.103243397333799</v>
      </c>
      <c r="AI1030">
        <v>88.453923865577295</v>
      </c>
      <c r="AJ1030">
        <v>72.681197261907897</v>
      </c>
      <c r="AK1030">
        <v>90.225122705825896</v>
      </c>
      <c r="AL1030">
        <v>92.823682512907197</v>
      </c>
      <c r="AM1030">
        <v>86.8295078941496</v>
      </c>
      <c r="AN1030">
        <v>1.0000000006558201</v>
      </c>
    </row>
    <row r="1031" spans="1:40" x14ac:dyDescent="0.25">
      <c r="A1031" t="str">
        <f>"20190305135810987"</f>
        <v>20190305135810987</v>
      </c>
      <c r="B1031" t="str">
        <f>"1551765490979264"</f>
        <v>1551765490979264</v>
      </c>
      <c r="C1031" t="s">
        <v>40</v>
      </c>
      <c r="D1031">
        <v>3.9719790000000001</v>
      </c>
      <c r="E1031">
        <v>0.59778009999999904</v>
      </c>
      <c r="F1031" t="s">
        <v>46</v>
      </c>
      <c r="G1031">
        <v>-168.44900000000001</v>
      </c>
      <c r="H1031">
        <v>3.6165560000000001</v>
      </c>
      <c r="I1031">
        <v>342.64389999999997</v>
      </c>
      <c r="J1031">
        <v>-254.3125</v>
      </c>
      <c r="K1031">
        <v>1.109146</v>
      </c>
      <c r="L1031">
        <v>368.12380000000002</v>
      </c>
      <c r="M1031">
        <v>0.99976659999999995</v>
      </c>
      <c r="N1031">
        <v>-1.454284E-2</v>
      </c>
      <c r="O1031">
        <v>1.5979299999999998E-2</v>
      </c>
      <c r="P1031">
        <v>0.99714650000000005</v>
      </c>
      <c r="Q1031">
        <v>-6.3815449999999996E-2</v>
      </c>
      <c r="R1031">
        <v>-4.0329919999999998E-2</v>
      </c>
      <c r="S1031">
        <v>2.9793240000000001</v>
      </c>
      <c r="T1031">
        <v>8.6748240000000004E-2</v>
      </c>
      <c r="U1031">
        <v>-0.881378199999999</v>
      </c>
      <c r="V1031">
        <v>5.6234909999999999E-2</v>
      </c>
      <c r="W1031">
        <v>-4.9347340000000003E-2</v>
      </c>
      <c r="X1031">
        <v>0.99719729999999995</v>
      </c>
      <c r="Y1031">
        <v>0.29889759999999999</v>
      </c>
      <c r="Z1031">
        <v>2.7230499999999999E-3</v>
      </c>
      <c r="AA1031">
        <v>0.9542813</v>
      </c>
      <c r="AB1031">
        <v>35</v>
      </c>
      <c r="AC1031">
        <v>85.863499999999902</v>
      </c>
      <c r="AD1031">
        <v>2.5074100000000001</v>
      </c>
      <c r="AE1031">
        <v>-25.479900000000001</v>
      </c>
      <c r="AF1031">
        <v>26.827803344608501</v>
      </c>
      <c r="AG1031">
        <v>2.5074100000000001</v>
      </c>
      <c r="AH1031">
        <v>85.378425034531801</v>
      </c>
      <c r="AI1031">
        <v>88.3951308047683</v>
      </c>
      <c r="AJ1031">
        <v>72.556119444978506</v>
      </c>
      <c r="AK1031">
        <v>89.529289054377301</v>
      </c>
      <c r="AL1031">
        <v>92.828543125778694</v>
      </c>
      <c r="AM1031">
        <v>86.772339853129793</v>
      </c>
      <c r="AN1031">
        <v>0.99999999009753604</v>
      </c>
    </row>
    <row r="1032" spans="1:40" x14ac:dyDescent="0.25">
      <c r="A1032" t="str">
        <f>"20190305135811003"</f>
        <v>20190305135811003</v>
      </c>
      <c r="B1032" t="str">
        <f>"1551765491000033"</f>
        <v>1551765491000033</v>
      </c>
      <c r="C1032" t="s">
        <v>40</v>
      </c>
      <c r="D1032">
        <v>3.9756459999999998</v>
      </c>
      <c r="E1032">
        <v>0.59794449999999999</v>
      </c>
      <c r="F1032" t="s">
        <v>46</v>
      </c>
      <c r="G1032">
        <v>-168.64240000000001</v>
      </c>
      <c r="H1032">
        <v>3.6441170000000001</v>
      </c>
      <c r="I1032">
        <v>342.64389999999997</v>
      </c>
      <c r="J1032">
        <v>-254.0538</v>
      </c>
      <c r="K1032">
        <v>1.1091599999999999</v>
      </c>
      <c r="L1032">
        <v>368.12779999999998</v>
      </c>
      <c r="M1032">
        <v>0.99976849999999995</v>
      </c>
      <c r="N1032">
        <v>-1.455584E-2</v>
      </c>
      <c r="O1032">
        <v>1.5841230000000001E-2</v>
      </c>
      <c r="P1032">
        <v>0.99708300000000005</v>
      </c>
      <c r="Q1032">
        <v>-6.3950569999999998E-2</v>
      </c>
      <c r="R1032">
        <v>-4.1666179999999997E-2</v>
      </c>
      <c r="S1032">
        <v>2.9784090000000001</v>
      </c>
      <c r="T1032">
        <v>8.8131070000000006E-2</v>
      </c>
      <c r="U1032">
        <v>-0.88583369999999995</v>
      </c>
      <c r="V1032">
        <v>5.7433100000000001E-2</v>
      </c>
      <c r="W1032">
        <v>-4.9470269999999997E-2</v>
      </c>
      <c r="X1032">
        <v>0.99712290000000003</v>
      </c>
      <c r="Y1032">
        <v>0.30015429999999999</v>
      </c>
      <c r="Z1032">
        <v>2.7991689999999998E-3</v>
      </c>
      <c r="AA1032">
        <v>0.95388660000000003</v>
      </c>
      <c r="AB1032">
        <v>35</v>
      </c>
      <c r="AC1032">
        <v>85.411399999999901</v>
      </c>
      <c r="AD1032">
        <v>2.5349569999999901</v>
      </c>
      <c r="AE1032">
        <v>-25.483899999999998</v>
      </c>
      <c r="AF1032">
        <v>26.8121794112635</v>
      </c>
      <c r="AG1032">
        <v>2.5349569999999901</v>
      </c>
      <c r="AH1032">
        <v>84.928246224672407</v>
      </c>
      <c r="AI1032">
        <v>88.369604951733393</v>
      </c>
      <c r="AJ1032">
        <v>72.478889614882803</v>
      </c>
      <c r="AK1032">
        <v>89.096161413229396</v>
      </c>
      <c r="AL1032">
        <v>92.835595157149399</v>
      </c>
      <c r="AM1032">
        <v>86.703473174629707</v>
      </c>
      <c r="AN1032">
        <v>0.999999973146946</v>
      </c>
    </row>
    <row r="1033" spans="1:40" x14ac:dyDescent="0.25">
      <c r="A1033" t="str">
        <f>"20190305135811017"</f>
        <v>20190305135811017</v>
      </c>
      <c r="B1033" t="str">
        <f>"1551765491009792"</f>
        <v>1551765491009792</v>
      </c>
      <c r="C1033" t="s">
        <v>40</v>
      </c>
      <c r="D1033">
        <v>3.9503560000000002</v>
      </c>
      <c r="E1033">
        <v>0.597993</v>
      </c>
      <c r="F1033" t="s">
        <v>46</v>
      </c>
      <c r="G1033">
        <v>-168.9212</v>
      </c>
      <c r="H1033">
        <v>3.6786620000000001</v>
      </c>
      <c r="I1033">
        <v>342.64389999999997</v>
      </c>
      <c r="J1033">
        <v>-253.83320000000001</v>
      </c>
      <c r="K1033">
        <v>1.1091690000000001</v>
      </c>
      <c r="L1033">
        <v>368.13119999999998</v>
      </c>
      <c r="M1033">
        <v>0.99977020000000005</v>
      </c>
      <c r="N1033">
        <v>-1.4565710000000001E-2</v>
      </c>
      <c r="O1033">
        <v>1.5729699999999999E-2</v>
      </c>
      <c r="P1033">
        <v>0.99697080000000005</v>
      </c>
      <c r="Q1033">
        <v>-6.4067799999999994E-2</v>
      </c>
      <c r="R1033">
        <v>-4.4096049999999998E-2</v>
      </c>
      <c r="S1033">
        <v>2.9772949999999998</v>
      </c>
      <c r="T1033">
        <v>8.9861990000000003E-2</v>
      </c>
      <c r="U1033">
        <v>-0.89123539999999901</v>
      </c>
      <c r="V1033">
        <v>5.9750659999999997E-2</v>
      </c>
      <c r="W1033">
        <v>-4.9579930000000001E-2</v>
      </c>
      <c r="X1033">
        <v>0.99698129999999996</v>
      </c>
      <c r="Y1033">
        <v>0.30173</v>
      </c>
      <c r="Z1033">
        <v>2.8986559999999999E-3</v>
      </c>
      <c r="AA1033">
        <v>0.95338900000000004</v>
      </c>
      <c r="AB1033">
        <v>35</v>
      </c>
      <c r="AC1033">
        <v>84.912000000000006</v>
      </c>
      <c r="AD1033">
        <v>2.569493</v>
      </c>
      <c r="AE1033">
        <v>-25.487300000000001</v>
      </c>
      <c r="AF1033">
        <v>26.797417555222601</v>
      </c>
      <c r="AG1033">
        <v>2.569493</v>
      </c>
      <c r="AH1033">
        <v>84.429619499004701</v>
      </c>
      <c r="AI1033">
        <v>88.338457857696298</v>
      </c>
      <c r="AJ1033">
        <v>72.390896924735102</v>
      </c>
      <c r="AK1033">
        <v>88.617518192808404</v>
      </c>
      <c r="AL1033">
        <v>92.841885822419698</v>
      </c>
      <c r="AM1033">
        <v>86.570276028686195</v>
      </c>
      <c r="AN1033">
        <v>1.0000000116894601</v>
      </c>
    </row>
    <row r="1034" spans="1:40" x14ac:dyDescent="0.25">
      <c r="A1034" t="str">
        <f>"20190305135811039"</f>
        <v>20190305135811039</v>
      </c>
      <c r="B1034" t="str">
        <f>"1551765491029312"</f>
        <v>1551765491029312</v>
      </c>
      <c r="C1034" t="s">
        <v>40</v>
      </c>
      <c r="D1034">
        <v>3.9463339999999998</v>
      </c>
      <c r="E1034">
        <v>0.59816440000000004</v>
      </c>
      <c r="F1034" t="s">
        <v>46</v>
      </c>
      <c r="G1034">
        <v>-168.98320000000001</v>
      </c>
      <c r="H1034">
        <v>3.667281</v>
      </c>
      <c r="I1034">
        <v>342.4948</v>
      </c>
      <c r="J1034">
        <v>-253.49690000000001</v>
      </c>
      <c r="K1034">
        <v>1.1091839999999999</v>
      </c>
      <c r="L1034">
        <v>368.13630000000001</v>
      </c>
      <c r="M1034">
        <v>0.99977240000000001</v>
      </c>
      <c r="N1034">
        <v>-1.457849E-2</v>
      </c>
      <c r="O1034">
        <v>1.557295E-2</v>
      </c>
      <c r="P1034">
        <v>0.99674660000000004</v>
      </c>
      <c r="Q1034">
        <v>-6.5483089999999994E-2</v>
      </c>
      <c r="R1034">
        <v>-4.6990659999999997E-2</v>
      </c>
      <c r="S1034">
        <v>2.9751280000000002</v>
      </c>
      <c r="T1034">
        <v>8.9696289999999998E-2</v>
      </c>
      <c r="U1034">
        <v>-0.89889529999999995</v>
      </c>
      <c r="V1034">
        <v>6.248575E-2</v>
      </c>
      <c r="W1034">
        <v>-5.098569E-2</v>
      </c>
      <c r="X1034">
        <v>0.99674269999999998</v>
      </c>
      <c r="Y1034">
        <v>0.3040214</v>
      </c>
      <c r="Z1034">
        <v>2.8983759999999998E-3</v>
      </c>
      <c r="AA1034">
        <v>0.95266079999999997</v>
      </c>
      <c r="AB1034">
        <v>35</v>
      </c>
      <c r="AC1034">
        <v>84.5137</v>
      </c>
      <c r="AD1034">
        <v>2.5580970000000001</v>
      </c>
      <c r="AE1034">
        <v>-25.641500000000001</v>
      </c>
      <c r="AF1034">
        <v>26.9320627980327</v>
      </c>
      <c r="AG1034">
        <v>2.5580970000000001</v>
      </c>
      <c r="AH1034">
        <v>84.033592892291495</v>
      </c>
      <c r="AI1034">
        <v>88.339520644914899</v>
      </c>
      <c r="AJ1034">
        <v>72.229780428952395</v>
      </c>
      <c r="AK1034">
        <v>88.280941324874803</v>
      </c>
      <c r="AL1034">
        <v>92.922531964592807</v>
      </c>
      <c r="AM1034">
        <v>86.412824769095394</v>
      </c>
      <c r="AN1034">
        <v>1.0000000097705599</v>
      </c>
    </row>
    <row r="1035" spans="1:40" x14ac:dyDescent="0.25">
      <c r="A1035" t="str">
        <f>"20190305135811053"</f>
        <v>20190305135811053</v>
      </c>
      <c r="B1035" t="str">
        <f>"1551765491049808"</f>
        <v>1551765491049808</v>
      </c>
      <c r="C1035" t="s">
        <v>40</v>
      </c>
      <c r="D1035">
        <v>3.9613640000000001</v>
      </c>
      <c r="E1035">
        <v>0.59826469999999998</v>
      </c>
      <c r="F1035" t="s">
        <v>46</v>
      </c>
      <c r="G1035">
        <v>-168.98320000000001</v>
      </c>
      <c r="H1035">
        <v>3.5639349999999999</v>
      </c>
      <c r="I1035">
        <v>342.28899999999999</v>
      </c>
      <c r="J1035">
        <v>-253.2646</v>
      </c>
      <c r="K1035">
        <v>1.109191</v>
      </c>
      <c r="L1035">
        <v>368.13979999999998</v>
      </c>
      <c r="M1035">
        <v>0.99977380000000005</v>
      </c>
      <c r="N1035">
        <v>-1.458593E-2</v>
      </c>
      <c r="O1035">
        <v>1.5477589999999999E-2</v>
      </c>
      <c r="P1035">
        <v>0.9966081</v>
      </c>
      <c r="Q1035">
        <v>-6.6357459999999993E-2</v>
      </c>
      <c r="R1035">
        <v>-4.8672470000000002E-2</v>
      </c>
      <c r="S1035">
        <v>2.9725799999999998</v>
      </c>
      <c r="T1035">
        <v>8.6340550000000002E-2</v>
      </c>
      <c r="U1035">
        <v>-0.90911869999999995</v>
      </c>
      <c r="V1035">
        <v>6.4071240000000002E-2</v>
      </c>
      <c r="W1035">
        <v>-5.1854039999999997E-2</v>
      </c>
      <c r="X1035">
        <v>0.99659719999999996</v>
      </c>
      <c r="Y1035">
        <v>0.30716110000000002</v>
      </c>
      <c r="Z1035">
        <v>2.7299799999999999E-3</v>
      </c>
      <c r="AA1035">
        <v>0.95165359999999999</v>
      </c>
      <c r="AB1035">
        <v>35</v>
      </c>
      <c r="AC1035">
        <v>84.281399999999906</v>
      </c>
      <c r="AD1035">
        <v>2.4547439999999998</v>
      </c>
      <c r="AE1035">
        <v>-25.8507999999999</v>
      </c>
      <c r="AF1035">
        <v>27.1312781785788</v>
      </c>
      <c r="AG1035">
        <v>2.4547439999999998</v>
      </c>
      <c r="AH1035">
        <v>83.806171948427107</v>
      </c>
      <c r="AI1035">
        <v>88.403763153290996</v>
      </c>
      <c r="AJ1035">
        <v>72.061240009874794</v>
      </c>
      <c r="AK1035">
        <v>88.122678581386197</v>
      </c>
      <c r="AL1035">
        <v>92.972350771705607</v>
      </c>
      <c r="AM1035">
        <v>86.321516391127503</v>
      </c>
      <c r="AN1035">
        <v>0.999999972153649</v>
      </c>
    </row>
    <row r="1036" spans="1:40" x14ac:dyDescent="0.25">
      <c r="A1036" t="str">
        <f>"20190305135811067"</f>
        <v>20190305135811067</v>
      </c>
      <c r="B1036" t="str">
        <f>"1551765491059567"</f>
        <v>1551765491059567</v>
      </c>
      <c r="C1036" t="s">
        <v>40</v>
      </c>
      <c r="D1036">
        <v>3.9285640000000002</v>
      </c>
      <c r="E1036">
        <v>0.59828970000000004</v>
      </c>
      <c r="F1036" t="s">
        <v>46</v>
      </c>
      <c r="G1036">
        <v>-168.98320000000001</v>
      </c>
      <c r="H1036">
        <v>3.5070229999999998</v>
      </c>
      <c r="I1036">
        <v>342.18329999999997</v>
      </c>
      <c r="J1036">
        <v>-253.048</v>
      </c>
      <c r="K1036">
        <v>1.1092010000000001</v>
      </c>
      <c r="L1036">
        <v>368.1431</v>
      </c>
      <c r="M1036">
        <v>0.99977499999999997</v>
      </c>
      <c r="N1036">
        <v>-1.459211E-2</v>
      </c>
      <c r="O1036">
        <v>1.5395580000000001E-2</v>
      </c>
      <c r="P1036">
        <v>0.99645720000000004</v>
      </c>
      <c r="Q1036">
        <v>-6.7399109999999998E-2</v>
      </c>
      <c r="R1036">
        <v>-5.0301970000000001E-2</v>
      </c>
      <c r="S1036">
        <v>2.9711609999999999</v>
      </c>
      <c r="T1036">
        <v>8.4530590000000003E-2</v>
      </c>
      <c r="U1036">
        <v>-0.91503909999999999</v>
      </c>
      <c r="V1036">
        <v>6.5617419999999996E-2</v>
      </c>
      <c r="W1036">
        <v>-5.2891069999999998E-2</v>
      </c>
      <c r="X1036">
        <v>0.9964421</v>
      </c>
      <c r="Y1036">
        <v>0.30894640000000001</v>
      </c>
      <c r="Z1036">
        <v>2.6366430000000001E-3</v>
      </c>
      <c r="AA1036">
        <v>0.95107580000000003</v>
      </c>
      <c r="AB1036">
        <v>35</v>
      </c>
      <c r="AC1036">
        <v>84.064799999999906</v>
      </c>
      <c r="AD1036">
        <v>2.3978220000000001</v>
      </c>
      <c r="AE1036">
        <v>-25.959800000000001</v>
      </c>
      <c r="AF1036">
        <v>27.2308608111626</v>
      </c>
      <c r="AG1036">
        <v>2.3978220000000001</v>
      </c>
      <c r="AH1036">
        <v>83.593036389346807</v>
      </c>
      <c r="AI1036">
        <v>88.437710893239199</v>
      </c>
      <c r="AJ1036">
        <v>71.956714450091198</v>
      </c>
      <c r="AK1036">
        <v>87.949218664245393</v>
      </c>
      <c r="AL1036">
        <v>93.031849835300903</v>
      </c>
      <c r="AM1036">
        <v>86.232414421360403</v>
      </c>
      <c r="AN1036">
        <v>0.99999998487280495</v>
      </c>
    </row>
    <row r="1037" spans="1:40" x14ac:dyDescent="0.25">
      <c r="A1037" t="str">
        <f>"20190305135811082"</f>
        <v>20190305135811082</v>
      </c>
      <c r="B1037" t="str">
        <f>"1551765491080065"</f>
        <v>1551765491080065</v>
      </c>
      <c r="C1037" t="s">
        <v>40</v>
      </c>
      <c r="D1037">
        <v>3.9760779999999998</v>
      </c>
      <c r="E1037">
        <v>0.59842099999999998</v>
      </c>
      <c r="F1037" t="s">
        <v>46</v>
      </c>
      <c r="G1037">
        <v>-168.98310000000001</v>
      </c>
      <c r="H1037">
        <v>3.4169990000000001</v>
      </c>
      <c r="I1037">
        <v>342.09480000000002</v>
      </c>
      <c r="J1037">
        <v>-252.80420000000001</v>
      </c>
      <c r="K1037">
        <v>1.109213</v>
      </c>
      <c r="L1037">
        <v>368.14670000000001</v>
      </c>
      <c r="M1037">
        <v>0.99977629999999995</v>
      </c>
      <c r="N1037">
        <v>-1.459829E-2</v>
      </c>
      <c r="O1037">
        <v>1.531159E-2</v>
      </c>
      <c r="P1037">
        <v>0.99620229999999999</v>
      </c>
      <c r="Q1037">
        <v>-6.8570880000000001E-2</v>
      </c>
      <c r="R1037">
        <v>-5.3655609999999999E-2</v>
      </c>
      <c r="S1037">
        <v>2.9697269999999998</v>
      </c>
      <c r="T1037">
        <v>8.1526879999999996E-2</v>
      </c>
      <c r="U1037">
        <v>-0.92019649999999997</v>
      </c>
      <c r="V1037">
        <v>6.888408E-2</v>
      </c>
      <c r="W1037">
        <v>-5.4060339999999998E-2</v>
      </c>
      <c r="X1037">
        <v>0.99615880000000001</v>
      </c>
      <c r="Y1037">
        <v>0.31050919999999999</v>
      </c>
      <c r="Z1037">
        <v>2.474165E-3</v>
      </c>
      <c r="AA1037">
        <v>0.9505671</v>
      </c>
      <c r="AB1037">
        <v>35</v>
      </c>
      <c r="AC1037">
        <v>83.821100000000001</v>
      </c>
      <c r="AD1037">
        <v>2.3077860000000001</v>
      </c>
      <c r="AE1037">
        <v>-26.0518999999999</v>
      </c>
      <c r="AF1037">
        <v>27.313535724700301</v>
      </c>
      <c r="AG1037">
        <v>2.3077860000000001</v>
      </c>
      <c r="AH1037">
        <v>83.354714005825997</v>
      </c>
      <c r="AI1037">
        <v>88.492904275317898</v>
      </c>
      <c r="AJ1037">
        <v>71.857149849043097</v>
      </c>
      <c r="AK1037">
        <v>87.746016758593299</v>
      </c>
      <c r="AL1037">
        <v>93.098940193415203</v>
      </c>
      <c r="AM1037">
        <v>86.044311088013501</v>
      </c>
      <c r="AN1037">
        <v>0.99999994582789897</v>
      </c>
    </row>
    <row r="1038" spans="1:40" x14ac:dyDescent="0.25">
      <c r="A1038" t="str">
        <f>"20190305135811106"</f>
        <v>20190305135811106</v>
      </c>
      <c r="B1038" t="str">
        <f>"1551765491100091"</f>
        <v>1551765491100091</v>
      </c>
      <c r="C1038" t="s">
        <v>40</v>
      </c>
      <c r="D1038">
        <v>3.9894579999999999</v>
      </c>
      <c r="E1038">
        <v>0.59850009999999998</v>
      </c>
      <c r="F1038" t="s">
        <v>46</v>
      </c>
      <c r="G1038">
        <v>-168.98310000000001</v>
      </c>
      <c r="H1038">
        <v>3.3551440000000001</v>
      </c>
      <c r="I1038">
        <v>341.83519999999999</v>
      </c>
      <c r="J1038">
        <v>-252.43129999999999</v>
      </c>
      <c r="K1038">
        <v>1.109232</v>
      </c>
      <c r="L1038">
        <v>368.15230000000003</v>
      </c>
      <c r="M1038">
        <v>0.99977780000000005</v>
      </c>
      <c r="N1038">
        <v>-1.4606009999999999E-2</v>
      </c>
      <c r="O1038">
        <v>1.520754E-2</v>
      </c>
      <c r="P1038">
        <v>0.99595060000000002</v>
      </c>
      <c r="Q1038">
        <v>-6.9339029999999996E-2</v>
      </c>
      <c r="R1038">
        <v>-5.7226199999999901E-2</v>
      </c>
      <c r="S1038">
        <v>2.9667819999999998</v>
      </c>
      <c r="T1038">
        <v>7.9493170000000002E-2</v>
      </c>
      <c r="U1038">
        <v>-0.93127439999999995</v>
      </c>
      <c r="V1038">
        <v>7.2349269999999993E-2</v>
      </c>
      <c r="W1038">
        <v>-5.4822719999999998E-2</v>
      </c>
      <c r="X1038">
        <v>0.99587150000000002</v>
      </c>
      <c r="Y1038">
        <v>0.31391330000000001</v>
      </c>
      <c r="Z1038">
        <v>2.3742429999999998E-3</v>
      </c>
      <c r="AA1038">
        <v>0.94944870000000003</v>
      </c>
      <c r="AB1038">
        <v>35</v>
      </c>
      <c r="AC1038">
        <v>83.4481999999999</v>
      </c>
      <c r="AD1038">
        <v>2.2459119999999899</v>
      </c>
      <c r="AE1038">
        <v>-26.3171</v>
      </c>
      <c r="AF1038">
        <v>27.565072405411101</v>
      </c>
      <c r="AG1038">
        <v>2.2459119999999899</v>
      </c>
      <c r="AH1038">
        <v>82.983614879073897</v>
      </c>
      <c r="AI1038">
        <v>88.528705801369298</v>
      </c>
      <c r="AJ1038">
        <v>71.624808904905706</v>
      </c>
      <c r="AK1038">
        <v>87.470896164528696</v>
      </c>
      <c r="AL1038">
        <v>93.142686072508795</v>
      </c>
      <c r="AM1038">
        <v>85.844807306384894</v>
      </c>
      <c r="AN1038">
        <v>0.99999999600499001</v>
      </c>
    </row>
    <row r="1039" spans="1:40" x14ac:dyDescent="0.25">
      <c r="A1039" t="str">
        <f>"20190305135811129"</f>
        <v>20190305135811129</v>
      </c>
      <c r="B1039" t="str">
        <f>"1551765491119611"</f>
        <v>1551765491119611</v>
      </c>
      <c r="C1039" t="s">
        <v>40</v>
      </c>
      <c r="D1039">
        <v>3.975177</v>
      </c>
      <c r="E1039">
        <v>0.59858699999999998</v>
      </c>
      <c r="F1039" t="s">
        <v>46</v>
      </c>
      <c r="G1039">
        <v>-168.98310000000001</v>
      </c>
      <c r="H1039">
        <v>3.3189820000000001</v>
      </c>
      <c r="I1039">
        <v>341.62299999999999</v>
      </c>
      <c r="J1039">
        <v>-252.09280000000001</v>
      </c>
      <c r="K1039">
        <v>1.109246</v>
      </c>
      <c r="L1039">
        <v>368.15730000000002</v>
      </c>
      <c r="M1039">
        <v>0.99977859999999996</v>
      </c>
      <c r="N1039">
        <v>-1.4611549999999999E-2</v>
      </c>
      <c r="O1039">
        <v>1.5135930000000001E-2</v>
      </c>
      <c r="P1039">
        <v>0.99564109999999995</v>
      </c>
      <c r="Q1039">
        <v>-7.0333149999999997E-2</v>
      </c>
      <c r="R1039">
        <v>-6.1254419999999997E-2</v>
      </c>
      <c r="S1039">
        <v>2.9635159999999998</v>
      </c>
      <c r="T1039">
        <v>7.8475589999999998E-2</v>
      </c>
      <c r="U1039">
        <v>-0.9421387</v>
      </c>
      <c r="V1039">
        <v>7.6303609999999994E-2</v>
      </c>
      <c r="W1039">
        <v>-5.5814080000000002E-2</v>
      </c>
      <c r="X1039">
        <v>0.9955212</v>
      </c>
      <c r="Y1039">
        <v>0.31730829999999999</v>
      </c>
      <c r="Z1039">
        <v>2.3322170000000001E-3</v>
      </c>
      <c r="AA1039">
        <v>0.94831960000000004</v>
      </c>
      <c r="AB1039">
        <v>35</v>
      </c>
      <c r="AC1039">
        <v>83.109700000000004</v>
      </c>
      <c r="AD1039">
        <v>2.2097359999999999</v>
      </c>
      <c r="AE1039">
        <v>-26.534299999999899</v>
      </c>
      <c r="AF1039">
        <v>27.771520238281798</v>
      </c>
      <c r="AG1039">
        <v>2.2097359999999999</v>
      </c>
      <c r="AH1039">
        <v>82.645492905455797</v>
      </c>
      <c r="AI1039">
        <v>88.548157808949696</v>
      </c>
      <c r="AJ1039">
        <v>71.426010283884494</v>
      </c>
      <c r="AK1039">
        <v>87.2147795222848</v>
      </c>
      <c r="AL1039">
        <v>93.199574055758205</v>
      </c>
      <c r="AM1039">
        <v>85.617025889022102</v>
      </c>
      <c r="AN1039">
        <v>0.99999995603735803</v>
      </c>
    </row>
    <row r="1040" spans="1:40" x14ac:dyDescent="0.25">
      <c r="A1040" t="str">
        <f>"20190305135811150"</f>
        <v>20190305135811150</v>
      </c>
      <c r="B1040" t="str">
        <f>"1551765491139132"</f>
        <v>1551765491139132</v>
      </c>
      <c r="C1040" t="s">
        <v>40</v>
      </c>
      <c r="D1040">
        <v>3.99499</v>
      </c>
      <c r="E1040">
        <v>0.59860939999999996</v>
      </c>
      <c r="F1040" t="s">
        <v>46</v>
      </c>
      <c r="G1040">
        <v>-168.98310000000001</v>
      </c>
      <c r="H1040">
        <v>3.268939</v>
      </c>
      <c r="I1040">
        <v>341.34280000000001</v>
      </c>
      <c r="J1040">
        <v>-251.7473</v>
      </c>
      <c r="K1040">
        <v>1.109262</v>
      </c>
      <c r="L1040">
        <v>368.16239999999999</v>
      </c>
      <c r="M1040">
        <v>0.99977950000000004</v>
      </c>
      <c r="N1040">
        <v>-1.4615980000000001E-2</v>
      </c>
      <c r="O1040">
        <v>1.5083040000000001E-2</v>
      </c>
      <c r="P1040">
        <v>0.99526910000000002</v>
      </c>
      <c r="Q1040">
        <v>-7.2087189999999995E-2</v>
      </c>
      <c r="R1040">
        <v>-6.5137100000000003E-2</v>
      </c>
      <c r="S1040">
        <v>2.9598239999999998</v>
      </c>
      <c r="T1040">
        <v>7.691431E-2</v>
      </c>
      <c r="U1040">
        <v>-0.95495609999999997</v>
      </c>
      <c r="V1040">
        <v>8.0129969999999995E-2</v>
      </c>
      <c r="W1040">
        <v>-5.7566869999999999E-2</v>
      </c>
      <c r="X1040">
        <v>0.99512069999999997</v>
      </c>
      <c r="Y1040">
        <v>0.32132359999999999</v>
      </c>
      <c r="Z1040">
        <v>2.2616120000000001E-3</v>
      </c>
      <c r="AA1040">
        <v>0.9469668</v>
      </c>
      <c r="AB1040">
        <v>35</v>
      </c>
      <c r="AC1040">
        <v>82.764199999999903</v>
      </c>
      <c r="AD1040">
        <v>2.1596769999999998</v>
      </c>
      <c r="AE1040">
        <v>-26.819599999999902</v>
      </c>
      <c r="AF1040">
        <v>28.047734220965399</v>
      </c>
      <c r="AG1040">
        <v>2.1596769999999998</v>
      </c>
      <c r="AH1040">
        <v>82.299505203038905</v>
      </c>
      <c r="AI1040">
        <v>88.577132106496506</v>
      </c>
      <c r="AJ1040">
        <v>71.180850629098998</v>
      </c>
      <c r="AK1040">
        <v>86.974410928383193</v>
      </c>
      <c r="AL1040">
        <v>93.300163223955806</v>
      </c>
      <c r="AM1040">
        <v>85.396312521545397</v>
      </c>
      <c r="AN1040">
        <v>0.99999998209114305</v>
      </c>
    </row>
    <row r="1041" spans="1:40" x14ac:dyDescent="0.25">
      <c r="A1041" t="str">
        <f>"20190305135811167"</f>
        <v>20190305135811167</v>
      </c>
      <c r="B1041" t="str">
        <f>"1551765491159627"</f>
        <v>1551765491159627</v>
      </c>
      <c r="C1041" t="s">
        <v>40</v>
      </c>
      <c r="D1041">
        <v>4.0799469999999998</v>
      </c>
      <c r="E1041">
        <v>0.59861609999999998</v>
      </c>
      <c r="F1041" t="s">
        <v>46</v>
      </c>
      <c r="G1041">
        <v>-168.983</v>
      </c>
      <c r="H1041">
        <v>3.1373449999999998</v>
      </c>
      <c r="I1041">
        <v>341.10419999999999</v>
      </c>
      <c r="J1041">
        <v>-251.48419999999999</v>
      </c>
      <c r="K1041">
        <v>1.1092759999999999</v>
      </c>
      <c r="L1041">
        <v>368.16640000000001</v>
      </c>
      <c r="M1041">
        <v>0.99977990000000005</v>
      </c>
      <c r="N1041">
        <v>-1.4618569999999999E-2</v>
      </c>
      <c r="O1041">
        <v>1.5055499999999999E-2</v>
      </c>
      <c r="P1041">
        <v>0.99508050000000003</v>
      </c>
      <c r="Q1041">
        <v>-7.2952119999999995E-2</v>
      </c>
      <c r="R1041">
        <v>-6.7029829999999999E-2</v>
      </c>
      <c r="S1041">
        <v>2.9562529999999998</v>
      </c>
      <c r="T1041">
        <v>7.2441220000000001E-2</v>
      </c>
      <c r="U1041">
        <v>-0.96649169999999995</v>
      </c>
      <c r="V1041">
        <v>8.1994049999999999E-2</v>
      </c>
      <c r="W1041">
        <v>-5.8429879999999997E-2</v>
      </c>
      <c r="X1041">
        <v>0.99491850000000004</v>
      </c>
      <c r="Y1041">
        <v>0.32497969999999998</v>
      </c>
      <c r="Z1041">
        <v>2.0182690000000001E-3</v>
      </c>
      <c r="AA1041">
        <v>0.94571879999999997</v>
      </c>
      <c r="AB1041">
        <v>35</v>
      </c>
      <c r="AC1041">
        <v>82.501199999999898</v>
      </c>
      <c r="AD1041">
        <v>2.0280689999999999</v>
      </c>
      <c r="AE1041">
        <v>-27.062200000000001</v>
      </c>
      <c r="AF1041">
        <v>28.285929138553001</v>
      </c>
      <c r="AG1041">
        <v>2.0280689999999999</v>
      </c>
      <c r="AH1041">
        <v>82.039609229312006</v>
      </c>
      <c r="AI1041">
        <v>88.661212120715604</v>
      </c>
      <c r="AJ1041">
        <v>70.976635578308802</v>
      </c>
      <c r="AK1041">
        <v>86.802674691499107</v>
      </c>
      <c r="AL1041">
        <v>93.349693545453505</v>
      </c>
      <c r="AM1041">
        <v>85.288739464845307</v>
      </c>
      <c r="AN1041">
        <v>0.99999994837723205</v>
      </c>
    </row>
    <row r="1042" spans="1:40" x14ac:dyDescent="0.25">
      <c r="A1042" t="str">
        <f>"20190305135811183"</f>
        <v>20190305135811183</v>
      </c>
      <c r="B1042" t="str">
        <f>"1551765491179147"</f>
        <v>1551765491179147</v>
      </c>
      <c r="C1042" t="s">
        <v>40</v>
      </c>
      <c r="D1042">
        <v>4.1421400000000004</v>
      </c>
      <c r="E1042">
        <v>0.56639469999999903</v>
      </c>
      <c r="F1042" t="s">
        <v>46</v>
      </c>
      <c r="G1042">
        <v>-168.983</v>
      </c>
      <c r="H1042">
        <v>3.0726119999999999</v>
      </c>
      <c r="I1042">
        <v>341.0299</v>
      </c>
      <c r="J1042">
        <v>-251.24440000000001</v>
      </c>
      <c r="K1042">
        <v>1.1092869999999999</v>
      </c>
      <c r="L1042">
        <v>368.17</v>
      </c>
      <c r="M1042">
        <v>0.99978020000000001</v>
      </c>
      <c r="N1042">
        <v>-1.462052E-2</v>
      </c>
      <c r="O1042">
        <v>1.503763E-2</v>
      </c>
      <c r="P1042">
        <v>0.99469470000000004</v>
      </c>
      <c r="Q1042">
        <v>-7.4148450000000005E-2</v>
      </c>
      <c r="R1042">
        <v>-7.1308899999999995E-2</v>
      </c>
      <c r="S1042">
        <v>2.9545140000000001</v>
      </c>
      <c r="T1042">
        <v>7.0310709999999998E-2</v>
      </c>
      <c r="U1042">
        <v>-0.97180180000000005</v>
      </c>
      <c r="V1042">
        <v>8.6250389999999996E-2</v>
      </c>
      <c r="W1042">
        <v>-5.9629130000000002E-2</v>
      </c>
      <c r="X1042">
        <v>0.99448740000000002</v>
      </c>
      <c r="Y1042">
        <v>0.32666489999999998</v>
      </c>
      <c r="Z1042">
        <v>1.899967E-3</v>
      </c>
      <c r="AA1042">
        <v>0.94513829999999999</v>
      </c>
      <c r="AB1042">
        <v>35</v>
      </c>
      <c r="AC1042">
        <v>82.261399999999995</v>
      </c>
      <c r="AD1042">
        <v>1.963325</v>
      </c>
      <c r="AE1042">
        <v>-27.1401</v>
      </c>
      <c r="AF1042">
        <v>28.3596104378652</v>
      </c>
      <c r="AG1042">
        <v>1.963325</v>
      </c>
      <c r="AH1042">
        <v>81.801907680260697</v>
      </c>
      <c r="AI1042">
        <v>88.700935129019001</v>
      </c>
      <c r="AJ1042">
        <v>70.879263369545498</v>
      </c>
      <c r="AK1042">
        <v>86.600659635900001</v>
      </c>
      <c r="AL1042">
        <v>93.418525449371899</v>
      </c>
      <c r="AM1042">
        <v>85.043226762491898</v>
      </c>
      <c r="AN1042">
        <v>0.99999997583923395</v>
      </c>
    </row>
    <row r="1043" spans="1:40" x14ac:dyDescent="0.25">
      <c r="A1043" t="str">
        <f>"20190305135811206"</f>
        <v>20190305135811206</v>
      </c>
      <c r="B1043" t="str">
        <f>"1551765491199643"</f>
        <v>1551765491199643</v>
      </c>
      <c r="C1043" t="s">
        <v>40</v>
      </c>
      <c r="D1043">
        <v>4.0997599999999998</v>
      </c>
      <c r="E1043">
        <v>0.55818480000000004</v>
      </c>
      <c r="F1043" t="s">
        <v>50</v>
      </c>
      <c r="G1043">
        <v>-176.6781</v>
      </c>
      <c r="H1043">
        <v>7.9986509999999997E-2</v>
      </c>
      <c r="I1043">
        <v>349.70030000000003</v>
      </c>
      <c r="J1043">
        <v>-250.88419999999999</v>
      </c>
      <c r="K1043">
        <v>1.109302</v>
      </c>
      <c r="L1043">
        <v>368.17529999999999</v>
      </c>
      <c r="M1043">
        <v>0.99978029999999996</v>
      </c>
      <c r="N1043">
        <v>-1.4622690000000001E-2</v>
      </c>
      <c r="O1043">
        <v>1.502266E-2</v>
      </c>
      <c r="P1043">
        <v>0.99428870000000003</v>
      </c>
      <c r="Q1043">
        <v>-7.5144080000000002E-2</v>
      </c>
      <c r="R1043">
        <v>-7.5785939999999996E-2</v>
      </c>
      <c r="S1043">
        <v>2.9604029999999999</v>
      </c>
      <c r="T1043">
        <v>-4.0864940000000002E-2</v>
      </c>
      <c r="U1043">
        <v>-0.73327640000000005</v>
      </c>
      <c r="V1043">
        <v>9.0707720000000006E-2</v>
      </c>
      <c r="W1043">
        <v>-6.0627130000000001E-2</v>
      </c>
      <c r="X1043">
        <v>0.99403039999999998</v>
      </c>
      <c r="Y1043">
        <v>0.25493680000000002</v>
      </c>
      <c r="Z1043">
        <v>-3.613284E-3</v>
      </c>
      <c r="AA1043">
        <v>0.966951</v>
      </c>
      <c r="AB1043">
        <v>35</v>
      </c>
      <c r="AC1043">
        <v>74.206099999999907</v>
      </c>
      <c r="AD1043">
        <v>-1.0293154900000001</v>
      </c>
      <c r="AE1043">
        <v>-18.474999999999898</v>
      </c>
      <c r="AF1043">
        <v>19.584258655770402</v>
      </c>
      <c r="AG1043">
        <v>-1.0293154900000001</v>
      </c>
      <c r="AH1043">
        <v>73.906760922663096</v>
      </c>
      <c r="AI1043">
        <v>90.771302419428807</v>
      </c>
      <c r="AJ1043">
        <v>75.158521215752899</v>
      </c>
      <c r="AK1043">
        <v>76.464449174461194</v>
      </c>
      <c r="AL1043">
        <v>93.475810247039107</v>
      </c>
      <c r="AM1043">
        <v>84.7860593172134</v>
      </c>
      <c r="AN1043">
        <v>0.99999998774189702</v>
      </c>
    </row>
    <row r="1044" spans="1:40" x14ac:dyDescent="0.25">
      <c r="A1044" t="str">
        <f>"20190305135811221"</f>
        <v>20190305135811221</v>
      </c>
      <c r="B1044" t="str">
        <f>"1551765491209403"</f>
        <v>1551765491209403</v>
      </c>
      <c r="C1044" t="s">
        <v>40</v>
      </c>
      <c r="D1044">
        <v>4.1042329999999998</v>
      </c>
      <c r="E1044">
        <v>0.55668280000000003</v>
      </c>
      <c r="F1044" t="s">
        <v>50</v>
      </c>
      <c r="G1044">
        <v>-180</v>
      </c>
      <c r="H1044">
        <v>5.004919E-2</v>
      </c>
      <c r="I1044">
        <v>351.87279999999998</v>
      </c>
      <c r="J1044">
        <v>-250.65299999999999</v>
      </c>
      <c r="K1044">
        <v>1.109313</v>
      </c>
      <c r="L1044">
        <v>368.17880000000002</v>
      </c>
      <c r="M1044">
        <v>0.99978040000000001</v>
      </c>
      <c r="N1044">
        <v>-1.4623570000000001E-2</v>
      </c>
      <c r="O1044">
        <v>1.501688E-2</v>
      </c>
      <c r="P1044">
        <v>0.99410719999999997</v>
      </c>
      <c r="Q1044">
        <v>-7.526708E-2</v>
      </c>
      <c r="R1044">
        <v>-7.8012499999999999E-2</v>
      </c>
      <c r="S1044">
        <v>2.9619450000000001</v>
      </c>
      <c r="T1044">
        <v>-4.426157E-2</v>
      </c>
      <c r="U1044">
        <v>-0.68121339999999997</v>
      </c>
      <c r="V1044">
        <v>9.2926759999999997E-2</v>
      </c>
      <c r="W1044">
        <v>-6.0751109999999997E-2</v>
      </c>
      <c r="X1044">
        <v>0.99381790000000003</v>
      </c>
      <c r="Y1044">
        <v>0.23869679999999999</v>
      </c>
      <c r="Z1044">
        <v>-3.5333650000000001E-3</v>
      </c>
      <c r="AA1044">
        <v>0.9710877</v>
      </c>
      <c r="AB1044">
        <v>35</v>
      </c>
      <c r="AC1044">
        <v>70.652999999999906</v>
      </c>
      <c r="AD1044">
        <v>-1.05926381</v>
      </c>
      <c r="AE1044">
        <v>-16.306000000000001</v>
      </c>
      <c r="AF1044">
        <v>17.361556837954598</v>
      </c>
      <c r="AG1044">
        <v>-1.05926381</v>
      </c>
      <c r="AH1044">
        <v>70.385119362512597</v>
      </c>
      <c r="AI1044">
        <v>90.837123069275904</v>
      </c>
      <c r="AJ1044">
        <v>76.143729789314605</v>
      </c>
      <c r="AK1044">
        <v>72.502487704435694</v>
      </c>
      <c r="AL1044">
        <v>93.482926681469905</v>
      </c>
      <c r="AM1044">
        <v>84.658100882454704</v>
      </c>
      <c r="AN1044">
        <v>1.00000004922536</v>
      </c>
    </row>
    <row r="1045" spans="1:40" x14ac:dyDescent="0.25">
      <c r="A1045" t="str">
        <f>"20190305135811236"</f>
        <v>20190305135811236</v>
      </c>
      <c r="B1045" t="str">
        <f>"1551765491229899"</f>
        <v>1551765491229899</v>
      </c>
      <c r="C1045" t="s">
        <v>40</v>
      </c>
      <c r="D1045">
        <v>4.0750780000000004</v>
      </c>
      <c r="E1045">
        <v>0.5542262</v>
      </c>
      <c r="F1045" t="s">
        <v>50</v>
      </c>
      <c r="G1045">
        <v>-180</v>
      </c>
      <c r="H1045">
        <v>4.3059849999999997E-2</v>
      </c>
      <c r="I1045">
        <v>352.04989999999998</v>
      </c>
      <c r="J1045">
        <v>-250.39709999999999</v>
      </c>
      <c r="K1045">
        <v>1.109321</v>
      </c>
      <c r="L1045">
        <v>368.18259999999998</v>
      </c>
      <c r="M1045">
        <v>0.99978040000000001</v>
      </c>
      <c r="N1045">
        <v>-1.4624079999999999E-2</v>
      </c>
      <c r="O1045">
        <v>1.501418E-2</v>
      </c>
      <c r="P1045">
        <v>0.99391600000000002</v>
      </c>
      <c r="Q1045">
        <v>-7.5249060000000006E-2</v>
      </c>
      <c r="R1045">
        <v>-8.0427559999999995E-2</v>
      </c>
      <c r="S1045">
        <v>2.9613339999999999</v>
      </c>
      <c r="T1045">
        <v>-4.4690729999999998E-2</v>
      </c>
      <c r="U1045">
        <v>-0.6760254</v>
      </c>
      <c r="V1045">
        <v>9.5336809999999994E-2</v>
      </c>
      <c r="W1045">
        <v>-6.073481E-2</v>
      </c>
      <c r="X1045">
        <v>0.99359050000000004</v>
      </c>
      <c r="Y1045">
        <v>0.2371209</v>
      </c>
      <c r="Z1045">
        <v>-3.529646E-3</v>
      </c>
      <c r="AA1045">
        <v>0.97147380000000005</v>
      </c>
      <c r="AB1045">
        <v>35</v>
      </c>
      <c r="AC1045">
        <v>70.397099999999995</v>
      </c>
      <c r="AD1045">
        <v>-1.0662611500000001</v>
      </c>
      <c r="AE1045">
        <v>-16.1327</v>
      </c>
      <c r="AF1045">
        <v>17.184203277414198</v>
      </c>
      <c r="AG1045">
        <v>-1.0662611500000001</v>
      </c>
      <c r="AH1045">
        <v>70.1316317573513</v>
      </c>
      <c r="AI1045">
        <v>90.846018499497404</v>
      </c>
      <c r="AJ1045">
        <v>76.232193739158802</v>
      </c>
      <c r="AK1045">
        <v>72.214122774345299</v>
      </c>
      <c r="AL1045">
        <v>93.481991367739994</v>
      </c>
      <c r="AM1045">
        <v>84.5191452592844</v>
      </c>
      <c r="AN1045">
        <v>0.99999995308848</v>
      </c>
    </row>
    <row r="1046" spans="1:40" x14ac:dyDescent="0.25">
      <c r="A1046" t="str">
        <f>"20190305135811251"</f>
        <v>20190305135811251</v>
      </c>
      <c r="B1046" t="str">
        <f>"1551765491239661"</f>
        <v>1551765491239661</v>
      </c>
      <c r="C1046" t="s">
        <v>40</v>
      </c>
      <c r="D1046">
        <v>4.1241779999999997</v>
      </c>
      <c r="E1046">
        <v>0.55340769999999995</v>
      </c>
      <c r="F1046" t="s">
        <v>50</v>
      </c>
      <c r="G1046">
        <v>-176.11680000000001</v>
      </c>
      <c r="H1046">
        <v>7.9987100000000005E-2</v>
      </c>
      <c r="I1046">
        <v>351.54320000000001</v>
      </c>
      <c r="J1046">
        <v>-250.17859999999999</v>
      </c>
      <c r="K1046">
        <v>1.1093280000000001</v>
      </c>
      <c r="L1046">
        <v>368.1859</v>
      </c>
      <c r="M1046">
        <v>0.99978040000000001</v>
      </c>
      <c r="N1046">
        <v>-1.4624130000000001E-2</v>
      </c>
      <c r="O1046">
        <v>1.5013230000000001E-2</v>
      </c>
      <c r="P1046">
        <v>0.99351599999999995</v>
      </c>
      <c r="Q1046">
        <v>-7.5202119999999997E-2</v>
      </c>
      <c r="R1046">
        <v>-8.5267819999999994E-2</v>
      </c>
      <c r="S1046">
        <v>2.9615939999999998</v>
      </c>
      <c r="T1046">
        <v>-4.1040060000000003E-2</v>
      </c>
      <c r="U1046">
        <v>-0.66342159999999994</v>
      </c>
      <c r="V1046">
        <v>0.1001701</v>
      </c>
      <c r="W1046">
        <v>-6.0694280000000003E-2</v>
      </c>
      <c r="X1046">
        <v>0.99311740000000004</v>
      </c>
      <c r="Y1046">
        <v>0.2331732</v>
      </c>
      <c r="Z1046">
        <v>-3.3106189999999999E-3</v>
      </c>
      <c r="AA1046">
        <v>0.97242960000000001</v>
      </c>
      <c r="AB1046">
        <v>35</v>
      </c>
      <c r="AC1046">
        <v>74.061799999999906</v>
      </c>
      <c r="AD1046">
        <v>-1.0293409</v>
      </c>
      <c r="AE1046">
        <v>-16.642699999999898</v>
      </c>
      <c r="AF1046">
        <v>17.749585778759698</v>
      </c>
      <c r="AG1046">
        <v>-1.0293409</v>
      </c>
      <c r="AH1046">
        <v>73.789995163163795</v>
      </c>
      <c r="AI1046">
        <v>90.777040350329003</v>
      </c>
      <c r="AJ1046">
        <v>76.474912641888906</v>
      </c>
      <c r="AK1046">
        <v>75.901717531197505</v>
      </c>
      <c r="AL1046">
        <v>93.479664688592393</v>
      </c>
      <c r="AM1046">
        <v>84.240380139052704</v>
      </c>
      <c r="AN1046">
        <v>1.00000000737074</v>
      </c>
    </row>
    <row r="1047" spans="1:40" x14ac:dyDescent="0.25">
      <c r="A1047" t="str">
        <f>"20190305135811267"</f>
        <v>20190305135811267</v>
      </c>
      <c r="B1047" t="str">
        <f>"1551765491259179"</f>
        <v>1551765491259179</v>
      </c>
      <c r="C1047" t="s">
        <v>40</v>
      </c>
      <c r="D1047">
        <v>4.1096729999999999</v>
      </c>
      <c r="E1047">
        <v>0.551759</v>
      </c>
      <c r="F1047" t="s">
        <v>43</v>
      </c>
      <c r="G1047">
        <v>-165.01750000000001</v>
      </c>
      <c r="H1047">
        <v>-0.05</v>
      </c>
      <c r="I1047">
        <v>348.86160000000001</v>
      </c>
      <c r="J1047">
        <v>-249.9348</v>
      </c>
      <c r="K1047">
        <v>1.109332</v>
      </c>
      <c r="L1047">
        <v>368.18950000000001</v>
      </c>
      <c r="M1047">
        <v>0.99978049999999996</v>
      </c>
      <c r="N1047">
        <v>-1.4624E-2</v>
      </c>
      <c r="O1047">
        <v>1.501246E-2</v>
      </c>
      <c r="P1047">
        <v>0.99334109999999998</v>
      </c>
      <c r="Q1047">
        <v>-7.487249E-2</v>
      </c>
      <c r="R1047">
        <v>-8.756775E-2</v>
      </c>
      <c r="S1047">
        <v>2.9588930000000002</v>
      </c>
      <c r="T1047">
        <v>-4.0280459999999997E-2</v>
      </c>
      <c r="U1047">
        <v>-0.67141719999999905</v>
      </c>
      <c r="V1047">
        <v>0.1024668</v>
      </c>
      <c r="W1047">
        <v>-6.0367200000000003E-2</v>
      </c>
      <c r="X1047">
        <v>0.99290299999999998</v>
      </c>
      <c r="Y1047">
        <v>0.23586199999999999</v>
      </c>
      <c r="Z1047">
        <v>-3.316903E-3</v>
      </c>
      <c r="AA1047">
        <v>0.97178089999999995</v>
      </c>
      <c r="AB1047">
        <v>35</v>
      </c>
      <c r="AC1047">
        <v>84.917299999999898</v>
      </c>
      <c r="AD1047">
        <v>-1.159332</v>
      </c>
      <c r="AE1047">
        <v>-19.3279</v>
      </c>
      <c r="AF1047">
        <v>20.597025141833502</v>
      </c>
      <c r="AG1047">
        <v>-1.159332</v>
      </c>
      <c r="AH1047">
        <v>84.602545623653597</v>
      </c>
      <c r="AI1047">
        <v>90.7628125440594</v>
      </c>
      <c r="AJ1047">
        <v>76.317166558122196</v>
      </c>
      <c r="AK1047">
        <v>87.081411457221705</v>
      </c>
      <c r="AL1047">
        <v>93.4608899643722</v>
      </c>
      <c r="AM1047">
        <v>84.107978867299394</v>
      </c>
      <c r="AN1047">
        <v>1.0000000056735401</v>
      </c>
    </row>
    <row r="1048" spans="1:40" x14ac:dyDescent="0.25">
      <c r="A1048" t="str">
        <f>"20190305135811281"</f>
        <v>20190305135811281</v>
      </c>
      <c r="B1048" t="str">
        <f>"1551765491269915"</f>
        <v>1551765491269915</v>
      </c>
      <c r="C1048" t="s">
        <v>40</v>
      </c>
      <c r="D1048">
        <v>4.1206589999999998</v>
      </c>
      <c r="E1048">
        <v>0.5513441</v>
      </c>
      <c r="F1048" t="s">
        <v>50</v>
      </c>
      <c r="G1048">
        <v>-178.83789999999999</v>
      </c>
      <c r="H1048">
        <v>7.9987180000000005E-2</v>
      </c>
      <c r="I1048">
        <v>352.19819999999999</v>
      </c>
      <c r="J1048">
        <v>-249.71209999999999</v>
      </c>
      <c r="K1048">
        <v>1.1093379999999999</v>
      </c>
      <c r="L1048">
        <v>368.19279999999998</v>
      </c>
      <c r="M1048">
        <v>0.99978040000000001</v>
      </c>
      <c r="N1048">
        <v>-1.462368E-2</v>
      </c>
      <c r="O1048">
        <v>1.5011979999999999E-2</v>
      </c>
      <c r="P1048">
        <v>0.99312290000000003</v>
      </c>
      <c r="Q1048">
        <v>-7.490455E-2</v>
      </c>
      <c r="R1048">
        <v>-8.9979400000000001E-2</v>
      </c>
      <c r="S1048">
        <v>2.958237</v>
      </c>
      <c r="T1048">
        <v>-4.2829510000000001E-2</v>
      </c>
      <c r="U1048">
        <v>-0.66537480000000004</v>
      </c>
      <c r="V1048">
        <v>0.10487489999999999</v>
      </c>
      <c r="W1048">
        <v>-6.0402820000000003E-2</v>
      </c>
      <c r="X1048">
        <v>0.99264940000000002</v>
      </c>
      <c r="Y1048">
        <v>0.23401530000000001</v>
      </c>
      <c r="Z1048">
        <v>-3.4035089999999999E-3</v>
      </c>
      <c r="AA1048">
        <v>0.97222699999999995</v>
      </c>
      <c r="AB1048">
        <v>35</v>
      </c>
      <c r="AC1048">
        <v>70.874200000000002</v>
      </c>
      <c r="AD1048">
        <v>-1.0293508200000001</v>
      </c>
      <c r="AE1048">
        <v>-15.994599999999901</v>
      </c>
      <c r="AF1048">
        <v>17.053450209867801</v>
      </c>
      <c r="AG1048">
        <v>-1.0293508200000001</v>
      </c>
      <c r="AH1048">
        <v>70.611902696031706</v>
      </c>
      <c r="AI1048">
        <v>90.811837589439406</v>
      </c>
      <c r="AJ1048">
        <v>76.422513434410803</v>
      </c>
      <c r="AK1048">
        <v>72.649298203939495</v>
      </c>
      <c r="AL1048">
        <v>93.462934457925897</v>
      </c>
      <c r="AM1048">
        <v>83.968988299875903</v>
      </c>
      <c r="AN1048">
        <v>1.0000000383171599</v>
      </c>
    </row>
    <row r="1049" spans="1:40" x14ac:dyDescent="0.25">
      <c r="A1049" t="str">
        <f>"20190305135811296"</f>
        <v>20190305135811296</v>
      </c>
      <c r="B1049" t="str">
        <f>"1551765491289435"</f>
        <v>1551765491289435</v>
      </c>
      <c r="C1049" t="s">
        <v>40</v>
      </c>
      <c r="D1049">
        <v>4.1066659999999997</v>
      </c>
      <c r="E1049">
        <v>0.55009540000000001</v>
      </c>
      <c r="F1049" t="s">
        <v>50</v>
      </c>
      <c r="G1049">
        <v>-176.70529999999999</v>
      </c>
      <c r="H1049">
        <v>7.998711E-2</v>
      </c>
      <c r="I1049">
        <v>351.67250000000001</v>
      </c>
      <c r="J1049">
        <v>-249.48050000000001</v>
      </c>
      <c r="K1049">
        <v>1.109345</v>
      </c>
      <c r="L1049">
        <v>368.19630000000001</v>
      </c>
      <c r="M1049">
        <v>0.99978040000000001</v>
      </c>
      <c r="N1049">
        <v>-1.462311E-2</v>
      </c>
      <c r="O1049">
        <v>1.501137E-2</v>
      </c>
      <c r="P1049">
        <v>0.99263599999999996</v>
      </c>
      <c r="Q1049">
        <v>-7.5121099999999996E-2</v>
      </c>
      <c r="R1049">
        <v>-9.5030400000000001E-2</v>
      </c>
      <c r="S1049">
        <v>2.9570159999999999</v>
      </c>
      <c r="T1049">
        <v>-4.1692140000000003E-2</v>
      </c>
      <c r="U1049">
        <v>-0.66912839999999996</v>
      </c>
      <c r="V1049">
        <v>0.1099178</v>
      </c>
      <c r="W1049">
        <v>-6.0627899999999998E-2</v>
      </c>
      <c r="X1049">
        <v>0.99208989999999997</v>
      </c>
      <c r="Y1049">
        <v>0.2352764</v>
      </c>
      <c r="Z1049">
        <v>-3.372201E-3</v>
      </c>
      <c r="AA1049">
        <v>0.97192259999999997</v>
      </c>
      <c r="AB1049">
        <v>35</v>
      </c>
      <c r="AC1049">
        <v>72.775199999999998</v>
      </c>
      <c r="AD1049">
        <v>-1.02935789</v>
      </c>
      <c r="AE1049">
        <v>-16.523799999999898</v>
      </c>
      <c r="AF1049">
        <v>17.611159410507899</v>
      </c>
      <c r="AG1049">
        <v>-1.02935789</v>
      </c>
      <c r="AH1049">
        <v>72.505132335449403</v>
      </c>
      <c r="AI1049">
        <v>90.790396720121507</v>
      </c>
      <c r="AJ1049">
        <v>76.3475137604823</v>
      </c>
      <c r="AK1049">
        <v>74.620417637728707</v>
      </c>
      <c r="AL1049">
        <v>93.475854343060703</v>
      </c>
      <c r="AM1049">
        <v>83.677745499432802</v>
      </c>
      <c r="AN1049">
        <v>1.0000000173486201</v>
      </c>
    </row>
    <row r="1050" spans="1:40" x14ac:dyDescent="0.25">
      <c r="A1050" t="str">
        <f>"20190305135811319"</f>
        <v>20190305135811319</v>
      </c>
      <c r="B1050" t="str">
        <f>"1551765491309932"</f>
        <v>1551765491309932</v>
      </c>
      <c r="C1050" t="s">
        <v>40</v>
      </c>
      <c r="D1050">
        <v>4.1697030000000002</v>
      </c>
      <c r="E1050">
        <v>0.54891199999999996</v>
      </c>
      <c r="F1050" t="s">
        <v>50</v>
      </c>
      <c r="G1050">
        <v>-180</v>
      </c>
      <c r="H1050">
        <v>4.9109449999999999E-2</v>
      </c>
      <c r="I1050">
        <v>352.33960000000002</v>
      </c>
      <c r="J1050">
        <v>-249.1388</v>
      </c>
      <c r="K1050">
        <v>1.1093470000000001</v>
      </c>
      <c r="L1050">
        <v>368.20139999999998</v>
      </c>
      <c r="M1050">
        <v>0.99978040000000001</v>
      </c>
      <c r="N1050">
        <v>-1.462195E-2</v>
      </c>
      <c r="O1050">
        <v>1.500958E-2</v>
      </c>
      <c r="P1050">
        <v>0.99210010000000004</v>
      </c>
      <c r="Q1050">
        <v>-7.5375499999999998E-2</v>
      </c>
      <c r="R1050">
        <v>-0.1002812</v>
      </c>
      <c r="S1050">
        <v>2.9543149999999998</v>
      </c>
      <c r="T1050">
        <v>-4.5081259999999998E-2</v>
      </c>
      <c r="U1050">
        <v>-0.67422490000000002</v>
      </c>
      <c r="V1050">
        <v>0.1151585</v>
      </c>
      <c r="W1050">
        <v>-6.089199E-2</v>
      </c>
      <c r="X1050">
        <v>0.991479</v>
      </c>
      <c r="Y1050">
        <v>0.2370535</v>
      </c>
      <c r="Z1050">
        <v>-3.5505760000000002E-3</v>
      </c>
      <c r="AA1050">
        <v>0.97149010000000002</v>
      </c>
      <c r="AB1050">
        <v>35</v>
      </c>
      <c r="AC1050">
        <v>69.138800000000003</v>
      </c>
      <c r="AD1050">
        <v>-1.0602375500000001</v>
      </c>
      <c r="AE1050">
        <v>-15.861799999999899</v>
      </c>
      <c r="AF1050">
        <v>16.894093958994802</v>
      </c>
      <c r="AG1050">
        <v>-1.0602375500000001</v>
      </c>
      <c r="AH1050">
        <v>68.877518101437502</v>
      </c>
      <c r="AI1050">
        <v>90.856505323178993</v>
      </c>
      <c r="AJ1050">
        <v>76.218710041252905</v>
      </c>
      <c r="AK1050">
        <v>70.927054176609005</v>
      </c>
      <c r="AL1050">
        <v>93.491013790308102</v>
      </c>
      <c r="AM1050">
        <v>83.374883818482402</v>
      </c>
      <c r="AN1050">
        <v>0.99999996100470401</v>
      </c>
    </row>
    <row r="1051" spans="1:40" x14ac:dyDescent="0.25">
      <c r="A1051" t="str">
        <f>"20190305135811341"</f>
        <v>20190305135811341</v>
      </c>
      <c r="B1051" t="str">
        <f>"1551765491329451"</f>
        <v>1551765491329451</v>
      </c>
      <c r="C1051" t="s">
        <v>40</v>
      </c>
      <c r="D1051">
        <v>4.140301</v>
      </c>
      <c r="E1051">
        <v>0.54760659999999906</v>
      </c>
      <c r="F1051" t="s">
        <v>50</v>
      </c>
      <c r="G1051">
        <v>-180.30840000000001</v>
      </c>
      <c r="H1051" s="1">
        <v>-3.500048E-6</v>
      </c>
      <c r="I1051">
        <v>352.32859999999999</v>
      </c>
      <c r="J1051">
        <v>-248.79669999999999</v>
      </c>
      <c r="K1051">
        <v>1.1093489999999999</v>
      </c>
      <c r="L1051">
        <v>368.20650000000001</v>
      </c>
      <c r="M1051">
        <v>0.99978049999999996</v>
      </c>
      <c r="N1051">
        <v>-1.462041E-2</v>
      </c>
      <c r="O1051">
        <v>1.500694E-2</v>
      </c>
      <c r="P1051">
        <v>0.99154600000000004</v>
      </c>
      <c r="Q1051">
        <v>-7.6307200000000006E-2</v>
      </c>
      <c r="R1051">
        <v>-0.1049469</v>
      </c>
      <c r="S1051">
        <v>2.951492</v>
      </c>
      <c r="T1051">
        <v>-4.7569630000000002E-2</v>
      </c>
      <c r="U1051">
        <v>-0.6806335</v>
      </c>
      <c r="V1051">
        <v>0.119813</v>
      </c>
      <c r="W1051">
        <v>-6.1833939999999997E-2</v>
      </c>
      <c r="X1051">
        <v>0.990869</v>
      </c>
      <c r="Y1051">
        <v>0.23925080000000001</v>
      </c>
      <c r="Z1051">
        <v>-3.697189E-3</v>
      </c>
      <c r="AA1051">
        <v>0.9709508</v>
      </c>
      <c r="AB1051">
        <v>35</v>
      </c>
      <c r="AC1051">
        <v>68.488299999999896</v>
      </c>
      <c r="AD1051">
        <v>-1.109352500048</v>
      </c>
      <c r="AE1051">
        <v>-15.8779</v>
      </c>
      <c r="AF1051">
        <v>16.899813499503399</v>
      </c>
      <c r="AG1051">
        <v>-1.109352500048</v>
      </c>
      <c r="AH1051">
        <v>68.225294737226506</v>
      </c>
      <c r="AI1051">
        <v>90.904231682318994</v>
      </c>
      <c r="AJ1051">
        <v>76.087529180539704</v>
      </c>
      <c r="AK1051">
        <v>70.295982824545405</v>
      </c>
      <c r="AL1051">
        <v>93.545085372503195</v>
      </c>
      <c r="AM1051">
        <v>83.105432521466597</v>
      </c>
      <c r="AN1051">
        <v>0.99999998313296101</v>
      </c>
    </row>
    <row r="1052" spans="1:40" x14ac:dyDescent="0.25">
      <c r="A1052" t="str">
        <f>"20190305135811363"</f>
        <v>20190305135811363</v>
      </c>
      <c r="B1052" t="str">
        <f>"1551765491359707"</f>
        <v>1551765491359707</v>
      </c>
      <c r="C1052" t="s">
        <v>40</v>
      </c>
      <c r="D1052">
        <v>4.1566929999999997</v>
      </c>
      <c r="E1052">
        <v>0.54568509999999903</v>
      </c>
      <c r="F1052" t="s">
        <v>50</v>
      </c>
      <c r="G1052">
        <v>-184.66470000000001</v>
      </c>
      <c r="H1052" s="1">
        <v>-2.9493319999999999E-6</v>
      </c>
      <c r="I1052">
        <v>353.33030000000002</v>
      </c>
      <c r="J1052">
        <v>-248.45490000000001</v>
      </c>
      <c r="K1052">
        <v>1.1093470000000001</v>
      </c>
      <c r="L1052">
        <v>368.21159999999998</v>
      </c>
      <c r="M1052">
        <v>0.99978069999999997</v>
      </c>
      <c r="N1052">
        <v>-1.4618600000000001E-2</v>
      </c>
      <c r="O1052">
        <v>1.500347E-2</v>
      </c>
      <c r="P1052">
        <v>0.99104460000000005</v>
      </c>
      <c r="Q1052">
        <v>-7.6809849999999999E-2</v>
      </c>
      <c r="R1052">
        <v>-0.1092293</v>
      </c>
      <c r="S1052">
        <v>2.949249</v>
      </c>
      <c r="T1052">
        <v>-5.1015970000000001E-2</v>
      </c>
      <c r="U1052">
        <v>-0.68411250000000001</v>
      </c>
      <c r="V1052">
        <v>0.12408420000000001</v>
      </c>
      <c r="W1052">
        <v>-6.2346369999999998E-2</v>
      </c>
      <c r="X1052">
        <v>0.9903111</v>
      </c>
      <c r="Y1052">
        <v>0.24048910000000001</v>
      </c>
      <c r="Z1052">
        <v>-3.8735929999999998E-3</v>
      </c>
      <c r="AA1052">
        <v>0.97064410000000001</v>
      </c>
      <c r="AB1052">
        <v>35</v>
      </c>
      <c r="AC1052">
        <v>63.790199999999999</v>
      </c>
      <c r="AD1052">
        <v>-1.10934994933199</v>
      </c>
      <c r="AE1052">
        <v>-14.8812999999999</v>
      </c>
      <c r="AF1052">
        <v>15.8322600734412</v>
      </c>
      <c r="AG1052">
        <v>-1.10934994933199</v>
      </c>
      <c r="AH1052">
        <v>63.541498177304199</v>
      </c>
      <c r="AI1052">
        <v>90.970539090377002</v>
      </c>
      <c r="AJ1052">
        <v>76.008841777674803</v>
      </c>
      <c r="AK1052">
        <v>65.493611191928693</v>
      </c>
      <c r="AL1052">
        <v>93.574502088077907</v>
      </c>
      <c r="AM1052">
        <v>82.858161424392407</v>
      </c>
      <c r="AN1052">
        <v>1.00000001666251</v>
      </c>
    </row>
    <row r="1053" spans="1:40" x14ac:dyDescent="0.25">
      <c r="A1053" t="str">
        <f>"20190305135811385"</f>
        <v>20190305135811385</v>
      </c>
      <c r="B1053" t="str">
        <f>"1551765491379227"</f>
        <v>1551765491379227</v>
      </c>
      <c r="C1053" t="s">
        <v>40</v>
      </c>
      <c r="D1053">
        <v>4.1727910000000001</v>
      </c>
      <c r="E1053">
        <v>0.54477390000000003</v>
      </c>
      <c r="F1053" t="s">
        <v>50</v>
      </c>
      <c r="G1053">
        <v>-193.55500000000001</v>
      </c>
      <c r="H1053" s="1">
        <v>-4.1723830000000002E-6</v>
      </c>
      <c r="I1053">
        <v>355.51479999999998</v>
      </c>
      <c r="J1053">
        <v>-248.12029999999999</v>
      </c>
      <c r="K1053">
        <v>1.1093459999999999</v>
      </c>
      <c r="L1053">
        <v>368.21660000000003</v>
      </c>
      <c r="M1053">
        <v>0.99978080000000003</v>
      </c>
      <c r="N1053">
        <v>-1.461675E-2</v>
      </c>
      <c r="O1053">
        <v>1.499969E-2</v>
      </c>
      <c r="P1053">
        <v>0.99051509999999998</v>
      </c>
      <c r="Q1053">
        <v>-7.7372129999999997E-2</v>
      </c>
      <c r="R1053">
        <v>-0.1135504</v>
      </c>
      <c r="S1053">
        <v>2.9473569999999998</v>
      </c>
      <c r="T1053">
        <v>-5.9556600000000001E-2</v>
      </c>
      <c r="U1053">
        <v>-0.68164060000000004</v>
      </c>
      <c r="V1053">
        <v>0.12839339999999999</v>
      </c>
      <c r="W1053">
        <v>-6.2918950000000001E-2</v>
      </c>
      <c r="X1053">
        <v>0.98972539999999998</v>
      </c>
      <c r="Y1053">
        <v>0.23983260000000001</v>
      </c>
      <c r="Z1053">
        <v>-4.2502670000000003E-3</v>
      </c>
      <c r="AA1053">
        <v>0.97080500000000003</v>
      </c>
      <c r="AB1053">
        <v>34</v>
      </c>
      <c r="AC1053">
        <v>54.565299999999901</v>
      </c>
      <c r="AD1053">
        <v>-1.1093501723829999</v>
      </c>
      <c r="AE1053">
        <v>-12.7018</v>
      </c>
      <c r="AF1053">
        <v>13.5136220697526</v>
      </c>
      <c r="AG1053">
        <v>-1.1093501723829999</v>
      </c>
      <c r="AH1053">
        <v>54.347307542394802</v>
      </c>
      <c r="AI1053">
        <v>91.134826074022001</v>
      </c>
      <c r="AJ1053">
        <v>76.036416089093194</v>
      </c>
      <c r="AK1053">
        <v>56.013199126248097</v>
      </c>
      <c r="AL1053">
        <v>93.6073730544028</v>
      </c>
      <c r="AM1053">
        <v>82.608510452751204</v>
      </c>
      <c r="AN1053">
        <v>1.00000001341891</v>
      </c>
    </row>
    <row r="1054" spans="1:40" x14ac:dyDescent="0.25">
      <c r="A1054" t="str">
        <f>"20190305135811400"</f>
        <v>20190305135811400</v>
      </c>
      <c r="B1054" t="str">
        <f>"1551765491389963"</f>
        <v>1551765491389963</v>
      </c>
      <c r="C1054" t="s">
        <v>40</v>
      </c>
      <c r="D1054">
        <v>4.1948840000000001</v>
      </c>
      <c r="E1054">
        <v>0.54431770000000002</v>
      </c>
      <c r="F1054" t="s">
        <v>50</v>
      </c>
      <c r="G1054">
        <v>-195.97030000000001</v>
      </c>
      <c r="H1054" s="1">
        <v>-4.954756E-6</v>
      </c>
      <c r="I1054">
        <v>356.04469999999998</v>
      </c>
      <c r="J1054">
        <v>-247.88159999999999</v>
      </c>
      <c r="K1054">
        <v>1.1093459999999999</v>
      </c>
      <c r="L1054">
        <v>368.22019999999998</v>
      </c>
      <c r="M1054">
        <v>0.99978069999999997</v>
      </c>
      <c r="N1054">
        <v>-1.4615329999999999E-2</v>
      </c>
      <c r="O1054">
        <v>1.499721E-2</v>
      </c>
      <c r="P1054">
        <v>0.99021689999999996</v>
      </c>
      <c r="Q1054">
        <v>-7.7809909999999996E-2</v>
      </c>
      <c r="R1054">
        <v>-0.1158289</v>
      </c>
      <c r="S1054">
        <v>2.9450530000000001</v>
      </c>
      <c r="T1054">
        <v>-6.2648060000000005E-2</v>
      </c>
      <c r="U1054">
        <v>-0.68737789999999999</v>
      </c>
      <c r="V1054">
        <v>0.1306648</v>
      </c>
      <c r="W1054">
        <v>-6.33629E-2</v>
      </c>
      <c r="X1054">
        <v>0.98939969999999999</v>
      </c>
      <c r="Y1054">
        <v>0.241783</v>
      </c>
      <c r="Z1054">
        <v>-4.426676E-3</v>
      </c>
      <c r="AA1054">
        <v>0.97032019999999997</v>
      </c>
      <c r="AB1054">
        <v>34</v>
      </c>
      <c r="AC1054">
        <v>51.911299999999898</v>
      </c>
      <c r="AD1054">
        <v>-1.1093509547560001</v>
      </c>
      <c r="AE1054">
        <v>-12.1755</v>
      </c>
      <c r="AF1054">
        <v>12.9471338162696</v>
      </c>
      <c r="AG1054">
        <v>-1.1093509547560001</v>
      </c>
      <c r="AH1054">
        <v>51.700462976896802</v>
      </c>
      <c r="AI1054">
        <v>91.192412262842097</v>
      </c>
      <c r="AJ1054">
        <v>75.940793194526904</v>
      </c>
      <c r="AK1054">
        <v>53.308505940634703</v>
      </c>
      <c r="AL1054">
        <v>93.632860578745806</v>
      </c>
      <c r="AM1054">
        <v>82.476784705776296</v>
      </c>
      <c r="AN1054">
        <v>0.99999995670776898</v>
      </c>
    </row>
    <row r="1055" spans="1:40" x14ac:dyDescent="0.25">
      <c r="A1055" t="str">
        <f>"20190305135811417"</f>
        <v>20190305135811417</v>
      </c>
      <c r="B1055" t="str">
        <f>"1551765491409483"</f>
        <v>1551765491409483</v>
      </c>
      <c r="C1055" t="s">
        <v>40</v>
      </c>
      <c r="D1055">
        <v>4.1696720000000003</v>
      </c>
      <c r="E1055">
        <v>0.54344269999999995</v>
      </c>
      <c r="F1055" t="s">
        <v>50</v>
      </c>
      <c r="G1055">
        <v>-200.8766</v>
      </c>
      <c r="H1055">
        <v>7.9987909999999995E-2</v>
      </c>
      <c r="I1055">
        <v>357.19490000000002</v>
      </c>
      <c r="J1055">
        <v>-247.6157</v>
      </c>
      <c r="K1055">
        <v>1.109345</v>
      </c>
      <c r="L1055">
        <v>368.22410000000002</v>
      </c>
      <c r="M1055">
        <v>0.99978080000000003</v>
      </c>
      <c r="N1055">
        <v>-1.461353E-2</v>
      </c>
      <c r="O1055">
        <v>1.499437E-2</v>
      </c>
      <c r="P1055">
        <v>0.98992340000000001</v>
      </c>
      <c r="Q1055">
        <v>-7.8234650000000003E-2</v>
      </c>
      <c r="R1055">
        <v>-0.1180298</v>
      </c>
      <c r="S1055">
        <v>2.943832</v>
      </c>
      <c r="T1055">
        <v>-6.4466709999999997E-2</v>
      </c>
      <c r="U1055">
        <v>-0.69049069999999901</v>
      </c>
      <c r="V1055">
        <v>0.13285810000000001</v>
      </c>
      <c r="W1055">
        <v>-6.3794110000000001E-2</v>
      </c>
      <c r="X1055">
        <v>0.98907990000000001</v>
      </c>
      <c r="Y1055">
        <v>0.24283730000000001</v>
      </c>
      <c r="Z1055">
        <v>-4.5295439999999999E-3</v>
      </c>
      <c r="AA1055">
        <v>0.97005649999999999</v>
      </c>
      <c r="AB1055">
        <v>34</v>
      </c>
      <c r="AC1055">
        <v>46.739100000000001</v>
      </c>
      <c r="AD1055">
        <v>-1.02935709</v>
      </c>
      <c r="AE1055">
        <v>-11.029199999999999</v>
      </c>
      <c r="AF1055">
        <v>11.723471661183</v>
      </c>
      <c r="AG1055">
        <v>-1.02935709</v>
      </c>
      <c r="AH1055">
        <v>46.547064796744998</v>
      </c>
      <c r="AI1055">
        <v>91.228497818199799</v>
      </c>
      <c r="AJ1055">
        <v>75.863351125550906</v>
      </c>
      <c r="AK1055">
        <v>48.011754862759098</v>
      </c>
      <c r="AL1055">
        <v>93.657616999502906</v>
      </c>
      <c r="AM1055">
        <v>82.349541321259593</v>
      </c>
      <c r="AN1055">
        <v>1.0000000058951499</v>
      </c>
    </row>
    <row r="1056" spans="1:40" x14ac:dyDescent="0.25">
      <c r="A1056" t="str">
        <f>"20190305135811431"</f>
        <v>20190305135811431</v>
      </c>
      <c r="B1056" t="str">
        <f>"1551765491420219"</f>
        <v>1551765491420219</v>
      </c>
      <c r="C1056" t="s">
        <v>40</v>
      </c>
      <c r="D1056">
        <v>4.1367479999999999</v>
      </c>
      <c r="E1056">
        <v>0.54307589999999994</v>
      </c>
      <c r="F1056" t="s">
        <v>50</v>
      </c>
      <c r="G1056">
        <v>-202.1164</v>
      </c>
      <c r="H1056">
        <v>7.9987660000000002E-2</v>
      </c>
      <c r="I1056">
        <v>357.55560000000003</v>
      </c>
      <c r="J1056">
        <v>-247.40129999999999</v>
      </c>
      <c r="K1056">
        <v>1.1093379999999999</v>
      </c>
      <c r="L1056">
        <v>368.22730000000001</v>
      </c>
      <c r="M1056">
        <v>0.99978080000000003</v>
      </c>
      <c r="N1056">
        <v>-1.461195E-2</v>
      </c>
      <c r="O1056">
        <v>1.499224E-2</v>
      </c>
      <c r="P1056">
        <v>0.98879439999999996</v>
      </c>
      <c r="Q1056">
        <v>-7.9825480000000004E-2</v>
      </c>
      <c r="R1056">
        <v>-0.12615000000000001</v>
      </c>
      <c r="S1056">
        <v>2.942993</v>
      </c>
      <c r="T1056">
        <v>-6.6581009999999996E-2</v>
      </c>
      <c r="U1056">
        <v>-0.69006350000000005</v>
      </c>
      <c r="V1056">
        <v>0.14095820000000001</v>
      </c>
      <c r="W1056">
        <v>-6.5404909999999997E-2</v>
      </c>
      <c r="X1056">
        <v>0.98785270000000003</v>
      </c>
      <c r="Y1056">
        <v>0.24275820000000001</v>
      </c>
      <c r="Z1056">
        <v>-4.6254169999999997E-3</v>
      </c>
      <c r="AA1056">
        <v>0.97007580000000004</v>
      </c>
      <c r="AB1056">
        <v>34</v>
      </c>
      <c r="AC1056">
        <v>45.284899999999901</v>
      </c>
      <c r="AD1056">
        <v>-1.0293503399999999</v>
      </c>
      <c r="AE1056">
        <v>-10.6716999999999</v>
      </c>
      <c r="AF1056">
        <v>11.343942165803</v>
      </c>
      <c r="AG1056">
        <v>-1.0293503399999999</v>
      </c>
      <c r="AH1056">
        <v>45.097724507193703</v>
      </c>
      <c r="AI1056">
        <v>91.268054434331205</v>
      </c>
      <c r="AJ1056">
        <v>75.880669152258307</v>
      </c>
      <c r="AK1056">
        <v>46.513969317940202</v>
      </c>
      <c r="AL1056">
        <v>93.750102299668896</v>
      </c>
      <c r="AM1056">
        <v>81.879197749823206</v>
      </c>
      <c r="AN1056">
        <v>0.99999998664831802</v>
      </c>
    </row>
    <row r="1057" spans="1:40" x14ac:dyDescent="0.25">
      <c r="A1057" t="str">
        <f>"20190305135811452"</f>
        <v>20190305135811452</v>
      </c>
      <c r="B1057" t="str">
        <f>"1551765491439739"</f>
        <v>1551765491439739</v>
      </c>
      <c r="C1057" t="s">
        <v>40</v>
      </c>
      <c r="D1057">
        <v>4.1921210000000002</v>
      </c>
      <c r="E1057">
        <v>0.5422323</v>
      </c>
      <c r="F1057" t="s">
        <v>50</v>
      </c>
      <c r="G1057">
        <v>-205.13229999999999</v>
      </c>
      <c r="H1057">
        <v>7.9987630000000004E-2</v>
      </c>
      <c r="I1057">
        <v>357.99329999999998</v>
      </c>
      <c r="J1057">
        <v>-247.09809999999999</v>
      </c>
      <c r="K1057">
        <v>1.109334</v>
      </c>
      <c r="L1057">
        <v>368.23180000000002</v>
      </c>
      <c r="M1057">
        <v>0.99978100000000003</v>
      </c>
      <c r="N1057">
        <v>-1.460964E-2</v>
      </c>
      <c r="O1057">
        <v>1.4988019999999999E-2</v>
      </c>
      <c r="P1057">
        <v>0.98826460000000005</v>
      </c>
      <c r="Q1057">
        <v>-8.1096829999999995E-2</v>
      </c>
      <c r="R1057">
        <v>-0.12944700000000001</v>
      </c>
      <c r="S1057">
        <v>2.9374850000000001</v>
      </c>
      <c r="T1057">
        <v>-7.1534630000000002E-2</v>
      </c>
      <c r="U1057">
        <v>-0.71121219999999996</v>
      </c>
      <c r="V1057">
        <v>0.14424279999999901</v>
      </c>
      <c r="W1057">
        <v>-6.6687140000000006E-2</v>
      </c>
      <c r="X1057">
        <v>0.98729259999999996</v>
      </c>
      <c r="Y1057">
        <v>0.24974460000000001</v>
      </c>
      <c r="Z1057">
        <v>-4.9921760000000001E-3</v>
      </c>
      <c r="AA1057">
        <v>0.96829889999999996</v>
      </c>
      <c r="AB1057">
        <v>34</v>
      </c>
      <c r="AC1057">
        <v>41.965800000000002</v>
      </c>
      <c r="AD1057">
        <v>-1.0293463700000001</v>
      </c>
      <c r="AE1057">
        <v>-10.2385</v>
      </c>
      <c r="AF1057">
        <v>10.8602342263386</v>
      </c>
      <c r="AG1057">
        <v>-1.0293463700000001</v>
      </c>
      <c r="AH1057">
        <v>41.783887566007799</v>
      </c>
      <c r="AI1057">
        <v>91.365833684834101</v>
      </c>
      <c r="AJ1057">
        <v>75.430377658854297</v>
      </c>
      <c r="AK1057">
        <v>43.184459027862701</v>
      </c>
      <c r="AL1057">
        <v>93.823729691307506</v>
      </c>
      <c r="AM1057">
        <v>81.687931768721995</v>
      </c>
      <c r="AN1057">
        <v>0.99999991900398599</v>
      </c>
    </row>
    <row r="1058" spans="1:40" x14ac:dyDescent="0.25">
      <c r="A1058" t="str">
        <f>"20190305135811473"</f>
        <v>20190305135811473</v>
      </c>
      <c r="B1058" t="str">
        <f>"1551765491469996"</f>
        <v>1551765491469996</v>
      </c>
      <c r="C1058" t="s">
        <v>40</v>
      </c>
      <c r="D1058">
        <v>4.1995559999999896</v>
      </c>
      <c r="E1058">
        <v>0.54083159999999997</v>
      </c>
      <c r="F1058" t="s">
        <v>50</v>
      </c>
      <c r="G1058">
        <v>-207.81399999999999</v>
      </c>
      <c r="H1058">
        <v>7.9986989999999994E-2</v>
      </c>
      <c r="I1058">
        <v>358.6678</v>
      </c>
      <c r="J1058">
        <v>-246.75700000000001</v>
      </c>
      <c r="K1058">
        <v>1.1093329999999999</v>
      </c>
      <c r="L1058">
        <v>368.23689999999999</v>
      </c>
      <c r="M1058">
        <v>0.99978109999999998</v>
      </c>
      <c r="N1058">
        <v>-1.4606920000000001E-2</v>
      </c>
      <c r="O1058">
        <v>1.498086E-2</v>
      </c>
      <c r="P1058">
        <v>0.98787499999999995</v>
      </c>
      <c r="Q1058">
        <v>-8.228038E-2</v>
      </c>
      <c r="R1058">
        <v>-0.13165560000000001</v>
      </c>
      <c r="S1058">
        <v>2.9356990000000001</v>
      </c>
      <c r="T1058">
        <v>-7.6923130000000006E-2</v>
      </c>
      <c r="U1058">
        <v>-0.71472170000000002</v>
      </c>
      <c r="V1058">
        <v>0.14643789999999901</v>
      </c>
      <c r="W1058">
        <v>-6.7880040000000003E-2</v>
      </c>
      <c r="X1058">
        <v>0.98688819999999999</v>
      </c>
      <c r="Y1058">
        <v>0.2509499</v>
      </c>
      <c r="Z1058">
        <v>-5.2710869999999998E-3</v>
      </c>
      <c r="AA1058">
        <v>0.96798569999999995</v>
      </c>
      <c r="AB1058">
        <v>34</v>
      </c>
      <c r="AC1058">
        <v>38.942999999999898</v>
      </c>
      <c r="AD1058">
        <v>-1.02934600999999</v>
      </c>
      <c r="AE1058">
        <v>-9.5690999999999899</v>
      </c>
      <c r="AF1058">
        <v>10.1448036435976</v>
      </c>
      <c r="AG1058">
        <v>-1.02934600999999</v>
      </c>
      <c r="AH1058">
        <v>38.769715873694999</v>
      </c>
      <c r="AI1058">
        <v>91.471345609032596</v>
      </c>
      <c r="AJ1058">
        <v>75.336288956696293</v>
      </c>
      <c r="AK1058">
        <v>40.088245946941697</v>
      </c>
      <c r="AL1058">
        <v>93.892232605301103</v>
      </c>
      <c r="AM1058">
        <v>81.559837797641407</v>
      </c>
      <c r="AN1058">
        <v>1.0000000388430199</v>
      </c>
    </row>
    <row r="1059" spans="1:40" x14ac:dyDescent="0.25">
      <c r="A1059" t="str">
        <f>"20190305135811497"</f>
        <v>20190305135811497</v>
      </c>
      <c r="B1059" t="str">
        <f>"1551765491489515"</f>
        <v>1551765491489515</v>
      </c>
      <c r="C1059" t="s">
        <v>40</v>
      </c>
      <c r="D1059">
        <v>4.1723619999999997</v>
      </c>
      <c r="E1059">
        <v>0.52598049999999996</v>
      </c>
      <c r="F1059" t="s">
        <v>42</v>
      </c>
      <c r="G1059">
        <v>-211.11080000000001</v>
      </c>
      <c r="H1059">
        <v>5.5681870000000001E-2</v>
      </c>
      <c r="I1059">
        <v>359.61079999999998</v>
      </c>
      <c r="J1059">
        <v>-246.40530000000001</v>
      </c>
      <c r="K1059">
        <v>1.1093390000000001</v>
      </c>
      <c r="L1059">
        <v>368.24220000000003</v>
      </c>
      <c r="M1059">
        <v>0.99978140000000004</v>
      </c>
      <c r="N1059">
        <v>-1.4603990000000001E-2</v>
      </c>
      <c r="O1059">
        <v>1.496776E-2</v>
      </c>
      <c r="P1059">
        <v>0.9874986</v>
      </c>
      <c r="Q1059">
        <v>-8.2904779999999997E-2</v>
      </c>
      <c r="R1059">
        <v>-0.13406479999999901</v>
      </c>
      <c r="S1059">
        <v>2.934952</v>
      </c>
      <c r="T1059">
        <v>-8.6752889999999999E-2</v>
      </c>
      <c r="U1059">
        <v>-0.71023559999999997</v>
      </c>
      <c r="V1059">
        <v>0.14882790000000001</v>
      </c>
      <c r="W1059">
        <v>-6.851467E-2</v>
      </c>
      <c r="X1059">
        <v>0.98648670000000005</v>
      </c>
      <c r="Y1059">
        <v>0.2495684</v>
      </c>
      <c r="Z1059">
        <v>-5.704995E-3</v>
      </c>
      <c r="AA1059">
        <v>0.96834039999999999</v>
      </c>
      <c r="AB1059">
        <v>34</v>
      </c>
      <c r="AC1059">
        <v>35.294499999999999</v>
      </c>
      <c r="AD1059">
        <v>-1.0536571299999999</v>
      </c>
      <c r="AE1059">
        <v>-8.6314000000000402</v>
      </c>
      <c r="AF1059">
        <v>9.1510734052844995</v>
      </c>
      <c r="AG1059">
        <v>-1.0536571299999999</v>
      </c>
      <c r="AH1059">
        <v>35.131795608557503</v>
      </c>
      <c r="AI1059">
        <v>91.662435398913104</v>
      </c>
      <c r="AJ1059">
        <v>75.400112872559106</v>
      </c>
      <c r="AK1059">
        <v>36.319352974660298</v>
      </c>
      <c r="AL1059">
        <v>93.928679204969498</v>
      </c>
      <c r="AM1059">
        <v>81.420680330584403</v>
      </c>
      <c r="AN1059">
        <v>1.0000000065502499</v>
      </c>
    </row>
    <row r="1060" spans="1:40" x14ac:dyDescent="0.25">
      <c r="A1060" t="str">
        <f>"20190305135811520"</f>
        <v>20190305135811520</v>
      </c>
      <c r="B1060" t="str">
        <f>"1551765491510012"</f>
        <v>1551765491510012</v>
      </c>
      <c r="C1060" t="s">
        <v>40</v>
      </c>
      <c r="D1060">
        <v>4.2096749999999998</v>
      </c>
      <c r="E1060">
        <v>0.52617700000000001</v>
      </c>
      <c r="F1060" t="s">
        <v>42</v>
      </c>
      <c r="G1060">
        <v>-221.8425</v>
      </c>
      <c r="H1060" s="1">
        <v>-4.61620799999999E-6</v>
      </c>
      <c r="I1060">
        <v>363.22160000000002</v>
      </c>
      <c r="J1060">
        <v>-246.05420000000001</v>
      </c>
      <c r="K1060">
        <v>1.109334</v>
      </c>
      <c r="L1060">
        <v>368.24740000000003</v>
      </c>
      <c r="M1060">
        <v>0.9997817</v>
      </c>
      <c r="N1060">
        <v>-1.460095E-2</v>
      </c>
      <c r="O1060">
        <v>1.494556E-2</v>
      </c>
      <c r="P1060">
        <v>0.98717639999999995</v>
      </c>
      <c r="Q1060">
        <v>-8.329309E-2</v>
      </c>
      <c r="R1060">
        <v>-0.13617969999999999</v>
      </c>
      <c r="S1060">
        <v>2.9450989999999999</v>
      </c>
      <c r="T1060">
        <v>-0.133010299999999</v>
      </c>
      <c r="U1060">
        <v>-0.60195919999999903</v>
      </c>
      <c r="V1060">
        <v>0.15091459999999901</v>
      </c>
      <c r="W1060">
        <v>-6.8913569999999993E-2</v>
      </c>
      <c r="X1060">
        <v>0.98614179999999996</v>
      </c>
      <c r="Y1060">
        <v>0.21458830000000001</v>
      </c>
      <c r="Z1060">
        <v>-6.8296759999999998E-3</v>
      </c>
      <c r="AA1060">
        <v>0.97668069999999896</v>
      </c>
      <c r="AB1060">
        <v>34</v>
      </c>
      <c r="AC1060">
        <v>24.2117</v>
      </c>
      <c r="AD1060">
        <v>-1.1093386162079999</v>
      </c>
      <c r="AE1060">
        <v>-5.0258000000000003</v>
      </c>
      <c r="AF1060">
        <v>5.3763141868364697</v>
      </c>
      <c r="AG1060">
        <v>-1.1093386162079999</v>
      </c>
      <c r="AH1060">
        <v>24.085399609945501</v>
      </c>
      <c r="AI1060">
        <v>92.573841756278497</v>
      </c>
      <c r="AJ1060">
        <v>77.416790705262699</v>
      </c>
      <c r="AK1060">
        <v>24.703073913417199</v>
      </c>
      <c r="AL1060">
        <v>93.951588772489998</v>
      </c>
      <c r="AM1060">
        <v>81.299222252567603</v>
      </c>
      <c r="AN1060">
        <v>0.999999973165272</v>
      </c>
    </row>
    <row r="1061" spans="1:40" x14ac:dyDescent="0.25">
      <c r="A1061" t="str">
        <f>"20190305135811541"</f>
        <v>20190305135811541</v>
      </c>
      <c r="B1061" t="str">
        <f>"1551765491529530"</f>
        <v>1551765491529530</v>
      </c>
      <c r="C1061" t="s">
        <v>40</v>
      </c>
      <c r="D1061">
        <v>4.1477029999999999</v>
      </c>
      <c r="E1061">
        <v>0.52593630000000002</v>
      </c>
      <c r="F1061" t="s">
        <v>42</v>
      </c>
      <c r="G1061">
        <v>-220.69739999999999</v>
      </c>
      <c r="H1061" s="1">
        <v>-5.1472350000000004E-6</v>
      </c>
      <c r="I1061">
        <v>362.99720000000002</v>
      </c>
      <c r="J1061">
        <v>-245.72630000000001</v>
      </c>
      <c r="K1061">
        <v>1.1093299999999999</v>
      </c>
      <c r="L1061">
        <v>368.25229999999999</v>
      </c>
      <c r="M1061">
        <v>0.99978230000000001</v>
      </c>
      <c r="N1061">
        <v>-1.459804E-2</v>
      </c>
      <c r="O1061">
        <v>1.4912460000000001E-2</v>
      </c>
      <c r="P1061">
        <v>0.98688659999999995</v>
      </c>
      <c r="Q1061">
        <v>-8.3555099999999993E-2</v>
      </c>
      <c r="R1061">
        <v>-0.13810729999999999</v>
      </c>
      <c r="S1061">
        <v>2.944</v>
      </c>
      <c r="T1061">
        <v>-0.1287971</v>
      </c>
      <c r="U1061">
        <v>-0.60955809999999999</v>
      </c>
      <c r="V1061">
        <v>0.15280350000000001</v>
      </c>
      <c r="W1061">
        <v>-6.9186520000000001E-2</v>
      </c>
      <c r="X1061">
        <v>0.98583180000000004</v>
      </c>
      <c r="Y1061">
        <v>0.21705820000000001</v>
      </c>
      <c r="Z1061">
        <v>-6.7282519999999997E-3</v>
      </c>
      <c r="AA1061">
        <v>0.97613550000000004</v>
      </c>
      <c r="AB1061">
        <v>34</v>
      </c>
      <c r="AC1061">
        <v>25.0289</v>
      </c>
      <c r="AD1061">
        <v>-1.1093351472349999</v>
      </c>
      <c r="AE1061">
        <v>-5.2550999999999597</v>
      </c>
      <c r="AF1061">
        <v>5.6172288699055297</v>
      </c>
      <c r="AG1061">
        <v>-1.1093351472349999</v>
      </c>
      <c r="AH1061">
        <v>24.9008901652007</v>
      </c>
      <c r="AI1061">
        <v>92.488394076456402</v>
      </c>
      <c r="AJ1061">
        <v>77.287801724647906</v>
      </c>
      <c r="AK1061">
        <v>25.550698927136601</v>
      </c>
      <c r="AL1061">
        <v>93.967264921768404</v>
      </c>
      <c r="AM1061">
        <v>81.189291362198801</v>
      </c>
      <c r="AN1061">
        <v>1.0000000110266001</v>
      </c>
    </row>
    <row r="1062" spans="1:40" x14ac:dyDescent="0.25">
      <c r="A1062" t="str">
        <f>"20190305135811564"</f>
        <v>20190305135811564</v>
      </c>
      <c r="B1062" t="str">
        <f>"1551765491559787"</f>
        <v>1551765491559787</v>
      </c>
      <c r="C1062" t="s">
        <v>40</v>
      </c>
      <c r="D1062">
        <v>4.1890219999999996</v>
      </c>
      <c r="E1062">
        <v>0.52562240000000005</v>
      </c>
      <c r="F1062" t="s">
        <v>42</v>
      </c>
      <c r="G1062">
        <v>-220.649</v>
      </c>
      <c r="H1062" s="1">
        <v>-5.1633909999999999E-6</v>
      </c>
      <c r="I1062">
        <v>363.02330000000001</v>
      </c>
      <c r="J1062">
        <v>-245.3817</v>
      </c>
      <c r="K1062">
        <v>1.1093170000000001</v>
      </c>
      <c r="L1062">
        <v>368.25740000000002</v>
      </c>
      <c r="M1062">
        <v>0.99978299999999998</v>
      </c>
      <c r="N1062">
        <v>-1.4594879999999999E-2</v>
      </c>
      <c r="O1062">
        <v>1.486443E-2</v>
      </c>
      <c r="P1062">
        <v>0.98663900000000004</v>
      </c>
      <c r="Q1062">
        <v>-8.3482689999999998E-2</v>
      </c>
      <c r="R1062">
        <v>-0.13990920000000001</v>
      </c>
      <c r="S1062">
        <v>2.9429780000000001</v>
      </c>
      <c r="T1062">
        <v>-0.130187</v>
      </c>
      <c r="U1062">
        <v>-0.61364750000000001</v>
      </c>
      <c r="V1062">
        <v>0.1545522</v>
      </c>
      <c r="W1062">
        <v>-6.9125259999999994E-2</v>
      </c>
      <c r="X1062">
        <v>0.98556350000000004</v>
      </c>
      <c r="Y1062">
        <v>0.2183716</v>
      </c>
      <c r="Z1062">
        <v>-6.8239219999999996E-3</v>
      </c>
      <c r="AA1062">
        <v>0.97584179999999998</v>
      </c>
      <c r="AB1062">
        <v>34</v>
      </c>
      <c r="AC1062">
        <v>24.732699999999902</v>
      </c>
      <c r="AD1062">
        <v>-1.109322163391</v>
      </c>
      <c r="AE1062">
        <v>-5.2341000000000104</v>
      </c>
      <c r="AF1062">
        <v>5.5904338343641502</v>
      </c>
      <c r="AG1062">
        <v>-1.109322163391</v>
      </c>
      <c r="AH1062">
        <v>24.604780037087799</v>
      </c>
      <c r="AI1062">
        <v>92.517392854990007</v>
      </c>
      <c r="AJ1062">
        <v>77.1991918507062</v>
      </c>
      <c r="AK1062">
        <v>25.256261536341199</v>
      </c>
      <c r="AL1062">
        <v>93.963746410887595</v>
      </c>
      <c r="AM1062">
        <v>81.087682829883207</v>
      </c>
      <c r="AN1062">
        <v>1.00000004831357</v>
      </c>
    </row>
    <row r="1063" spans="1:40" x14ac:dyDescent="0.25">
      <c r="A1063" t="str">
        <f>"20190305135811586"</f>
        <v>20190305135811586</v>
      </c>
      <c r="B1063" t="str">
        <f>"1551765491579307"</f>
        <v>1551765491579307</v>
      </c>
      <c r="C1063" t="s">
        <v>40</v>
      </c>
      <c r="D1063">
        <v>4.171062</v>
      </c>
      <c r="E1063">
        <v>0.52544979999999997</v>
      </c>
      <c r="F1063" t="s">
        <v>42</v>
      </c>
      <c r="G1063">
        <v>-219.9111</v>
      </c>
      <c r="H1063" s="1">
        <v>-1.7970459999999999E-6</v>
      </c>
      <c r="I1063">
        <v>362.92399999999998</v>
      </c>
      <c r="J1063">
        <v>-245.04089999999999</v>
      </c>
      <c r="K1063">
        <v>1.1093139999999999</v>
      </c>
      <c r="L1063">
        <v>368.26229999999998</v>
      </c>
      <c r="M1063">
        <v>0.99978400000000001</v>
      </c>
      <c r="N1063">
        <v>-1.4591679999999999E-2</v>
      </c>
      <c r="O1063">
        <v>1.479915E-2</v>
      </c>
      <c r="P1063">
        <v>0.98649690000000001</v>
      </c>
      <c r="Q1063">
        <v>-8.2505200000000001E-2</v>
      </c>
      <c r="R1063">
        <v>-0.14148150000000001</v>
      </c>
      <c r="S1063">
        <v>2.9423979999999998</v>
      </c>
      <c r="T1063">
        <v>-0.12814929999999999</v>
      </c>
      <c r="U1063">
        <v>-0.61611939999999998</v>
      </c>
      <c r="V1063">
        <v>0.15605620000000001</v>
      </c>
      <c r="W1063">
        <v>-6.8158189999999994E-2</v>
      </c>
      <c r="X1063">
        <v>0.98539379999999999</v>
      </c>
      <c r="Y1063">
        <v>0.21913859999999999</v>
      </c>
      <c r="Z1063">
        <v>-6.7597600000000001E-3</v>
      </c>
      <c r="AA1063">
        <v>0.97567029999999999</v>
      </c>
      <c r="AB1063">
        <v>34</v>
      </c>
      <c r="AC1063">
        <v>25.1297999999999</v>
      </c>
      <c r="AD1063">
        <v>-1.1093157970459999</v>
      </c>
      <c r="AE1063">
        <v>-5.3382999999999399</v>
      </c>
      <c r="AF1063">
        <v>5.6990286724430801</v>
      </c>
      <c r="AG1063">
        <v>-1.1093157970459999</v>
      </c>
      <c r="AH1063">
        <v>25.0014213646146</v>
      </c>
      <c r="AI1063">
        <v>92.477095422364698</v>
      </c>
      <c r="AJ1063">
        <v>77.158939153889193</v>
      </c>
      <c r="AK1063">
        <v>25.6667212475203</v>
      </c>
      <c r="AL1063">
        <v>93.908206538661204</v>
      </c>
      <c r="AM1063">
        <v>81.000842071289398</v>
      </c>
      <c r="AN1063">
        <v>1.0000000087504699</v>
      </c>
    </row>
    <row r="1064" spans="1:40" x14ac:dyDescent="0.25">
      <c r="A1064" t="str">
        <f>"20190305135811608"</f>
        <v>20190305135811608</v>
      </c>
      <c r="B1064" t="str">
        <f>"1551765491599804"</f>
        <v>1551765491599804</v>
      </c>
      <c r="C1064" t="s">
        <v>40</v>
      </c>
      <c r="D1064">
        <v>4.1430749999999996</v>
      </c>
      <c r="E1064">
        <v>0.52546190000000004</v>
      </c>
      <c r="F1064" t="s">
        <v>42</v>
      </c>
      <c r="G1064">
        <v>-218.50299999999999</v>
      </c>
      <c r="H1064" s="1">
        <v>-2.342337E-6</v>
      </c>
      <c r="I1064">
        <v>362.67540000000002</v>
      </c>
      <c r="J1064">
        <v>-244.70580000000001</v>
      </c>
      <c r="K1064">
        <v>1.109305</v>
      </c>
      <c r="L1064">
        <v>368.2672</v>
      </c>
      <c r="M1064">
        <v>0.99978549999999999</v>
      </c>
      <c r="N1064">
        <v>-1.4588500000000001E-2</v>
      </c>
      <c r="O1064">
        <v>1.4710549999999999E-2</v>
      </c>
      <c r="P1064">
        <v>0.98634920000000004</v>
      </c>
      <c r="Q1064">
        <v>-8.258016E-2</v>
      </c>
      <c r="R1064">
        <v>-0.14246489999999901</v>
      </c>
      <c r="S1064">
        <v>2.9419559999999998</v>
      </c>
      <c r="T1064">
        <v>-0.1229768</v>
      </c>
      <c r="U1064">
        <v>-0.61935419999999997</v>
      </c>
      <c r="V1064">
        <v>0.15694739999999999</v>
      </c>
      <c r="W1064">
        <v>-6.8244830000000006E-2</v>
      </c>
      <c r="X1064">
        <v>0.98524619999999996</v>
      </c>
      <c r="Y1064">
        <v>0.22012709999999999</v>
      </c>
      <c r="Z1064">
        <v>-6.569096E-3</v>
      </c>
      <c r="AA1064">
        <v>0.97544909999999996</v>
      </c>
      <c r="AB1064">
        <v>34</v>
      </c>
      <c r="AC1064">
        <v>26.2028</v>
      </c>
      <c r="AD1064">
        <v>-1.1093073423369999</v>
      </c>
      <c r="AE1064">
        <v>-5.5917999999999699</v>
      </c>
      <c r="AF1064">
        <v>5.9664655297028997</v>
      </c>
      <c r="AG1064">
        <v>-1.1093073423369999</v>
      </c>
      <c r="AH1064">
        <v>26.073001985644801</v>
      </c>
      <c r="AI1064">
        <v>92.374932022234603</v>
      </c>
      <c r="AJ1064">
        <v>77.110542876835098</v>
      </c>
      <c r="AK1064">
        <v>26.769959025750001</v>
      </c>
      <c r="AL1064">
        <v>93.913182425897404</v>
      </c>
      <c r="AM1064">
        <v>80.948964836390005</v>
      </c>
      <c r="AN1064">
        <v>0.99999995890146298</v>
      </c>
    </row>
    <row r="1065" spans="1:40" x14ac:dyDescent="0.25">
      <c r="A1065" t="str">
        <f>"20190305135811632"</f>
        <v>20190305135811632</v>
      </c>
      <c r="B1065" t="str">
        <f>"1551765491619324"</f>
        <v>1551765491619324</v>
      </c>
      <c r="C1065" t="s">
        <v>40</v>
      </c>
      <c r="D1065">
        <v>4.1865209999999999</v>
      </c>
      <c r="E1065">
        <v>0.52527369999999995</v>
      </c>
      <c r="F1065" t="s">
        <v>42</v>
      </c>
      <c r="G1065">
        <v>-217.90010000000001</v>
      </c>
      <c r="H1065" s="1">
        <v>-2.5683960000000002E-6</v>
      </c>
      <c r="I1065">
        <v>362.59690000000001</v>
      </c>
      <c r="J1065">
        <v>-244.3597</v>
      </c>
      <c r="K1065">
        <v>1.1092740000000001</v>
      </c>
      <c r="L1065">
        <v>368.2722</v>
      </c>
      <c r="M1065">
        <v>0.99978739999999999</v>
      </c>
      <c r="N1065">
        <v>-1.458515E-2</v>
      </c>
      <c r="O1065">
        <v>1.458534E-2</v>
      </c>
      <c r="P1065">
        <v>0.98621490000000001</v>
      </c>
      <c r="Q1065">
        <v>-8.2757789999999998E-2</v>
      </c>
      <c r="R1065">
        <v>-0.1432891</v>
      </c>
      <c r="S1065">
        <v>2.9414669999999998</v>
      </c>
      <c r="T1065">
        <v>-0.1217273</v>
      </c>
      <c r="U1065">
        <v>-0.62222290000000002</v>
      </c>
      <c r="V1065">
        <v>0.15764210000000001</v>
      </c>
      <c r="W1065">
        <v>-6.843697E-2</v>
      </c>
      <c r="X1065">
        <v>0.98512200000000005</v>
      </c>
      <c r="Y1065">
        <v>0.22095190000000001</v>
      </c>
      <c r="Z1065">
        <v>-6.536544E-3</v>
      </c>
      <c r="AA1065">
        <v>0.97526279999999999</v>
      </c>
      <c r="AB1065">
        <v>34</v>
      </c>
      <c r="AC1065">
        <v>26.459599999999899</v>
      </c>
      <c r="AD1065">
        <v>-1.109276568396</v>
      </c>
      <c r="AE1065">
        <v>-5.6752999999999902</v>
      </c>
      <c r="AF1065">
        <v>6.0504929758538699</v>
      </c>
      <c r="AG1065">
        <v>-1.109276568396</v>
      </c>
      <c r="AH1065">
        <v>26.329758768569199</v>
      </c>
      <c r="AI1065">
        <v>92.351242478657099</v>
      </c>
      <c r="AJ1065">
        <v>77.058296292090304</v>
      </c>
      <c r="AK1065">
        <v>27.038771358312399</v>
      </c>
      <c r="AL1065">
        <v>93.924216863837202</v>
      </c>
      <c r="AM1065">
        <v>80.908442586831697</v>
      </c>
      <c r="AN1065">
        <v>1.0000000027195901</v>
      </c>
    </row>
    <row r="1066" spans="1:40" x14ac:dyDescent="0.25">
      <c r="A1066" t="str">
        <f>"20190305135811653"</f>
        <v>20190305135811653</v>
      </c>
      <c r="B1066" t="str">
        <f>"1551765491649580"</f>
        <v>1551765491649580</v>
      </c>
      <c r="C1066" t="s">
        <v>40</v>
      </c>
      <c r="D1066">
        <v>4.1657529999999996</v>
      </c>
      <c r="E1066">
        <v>0.52507700000000002</v>
      </c>
      <c r="F1066" t="s">
        <v>42</v>
      </c>
      <c r="G1066">
        <v>-217.45689999999999</v>
      </c>
      <c r="H1066" s="1">
        <v>-2.7256359999999999E-6</v>
      </c>
      <c r="I1066">
        <v>362.57279999999997</v>
      </c>
      <c r="J1066">
        <v>-244.03190000000001</v>
      </c>
      <c r="K1066">
        <v>1.1092500000000001</v>
      </c>
      <c r="L1066">
        <v>368.27690000000001</v>
      </c>
      <c r="M1066">
        <v>0.99978959999999995</v>
      </c>
      <c r="N1066">
        <v>-1.458196E-2</v>
      </c>
      <c r="O1066">
        <v>1.442597E-2</v>
      </c>
      <c r="P1066">
        <v>0.98605390000000004</v>
      </c>
      <c r="Q1066">
        <v>-8.2811910000000002E-2</v>
      </c>
      <c r="R1066">
        <v>-0.14436089999999999</v>
      </c>
      <c r="S1066">
        <v>2.9412229999999999</v>
      </c>
      <c r="T1066">
        <v>-0.12127449999999999</v>
      </c>
      <c r="U1066">
        <v>-0.62310790000000005</v>
      </c>
      <c r="V1066">
        <v>0.15854969999999999</v>
      </c>
      <c r="W1066">
        <v>-6.8508479999999997E-2</v>
      </c>
      <c r="X1066">
        <v>0.98497129999999999</v>
      </c>
      <c r="Y1066">
        <v>0.22109519999999999</v>
      </c>
      <c r="Z1066">
        <v>-6.5172969999999896E-3</v>
      </c>
      <c r="AA1066">
        <v>0.9752305</v>
      </c>
      <c r="AB1066">
        <v>34</v>
      </c>
      <c r="AC1066">
        <v>26.574999999999999</v>
      </c>
      <c r="AD1066">
        <v>-1.1092527256360001</v>
      </c>
      <c r="AE1066">
        <v>-5.7041000000000404</v>
      </c>
      <c r="AF1066">
        <v>6.0767961214778499</v>
      </c>
      <c r="AG1066">
        <v>-1.1092527256360001</v>
      </c>
      <c r="AH1066">
        <v>26.445891588086099</v>
      </c>
      <c r="AI1066">
        <v>92.340886039438203</v>
      </c>
      <c r="AJ1066">
        <v>77.059086098805807</v>
      </c>
      <c r="AK1066">
        <v>27.1577442840922</v>
      </c>
      <c r="AL1066">
        <v>93.9283239686185</v>
      </c>
      <c r="AM1066">
        <v>80.855605724382997</v>
      </c>
      <c r="AN1066">
        <v>0.99999994051284302</v>
      </c>
    </row>
    <row r="1067" spans="1:40" x14ac:dyDescent="0.25">
      <c r="A1067" t="str">
        <f>"20190305135811675"</f>
        <v>20190305135811675</v>
      </c>
      <c r="B1067" t="str">
        <f>"1551765491670075"</f>
        <v>1551765491670075</v>
      </c>
      <c r="C1067" t="s">
        <v>40</v>
      </c>
      <c r="D1067">
        <v>4.1718659999999996</v>
      </c>
      <c r="E1067">
        <v>0.52447339999999998</v>
      </c>
      <c r="F1067" t="s">
        <v>42</v>
      </c>
      <c r="G1067">
        <v>-217.27670000000001</v>
      </c>
      <c r="H1067" s="1">
        <v>-2.7822709999999999E-6</v>
      </c>
      <c r="I1067">
        <v>362.59039999999999</v>
      </c>
      <c r="J1067">
        <v>-243.6866</v>
      </c>
      <c r="K1067">
        <v>1.109213</v>
      </c>
      <c r="L1067">
        <v>368.28160000000003</v>
      </c>
      <c r="M1067">
        <v>0.99979280000000004</v>
      </c>
      <c r="N1067">
        <v>-1.457863E-2</v>
      </c>
      <c r="O1067">
        <v>1.420633E-2</v>
      </c>
      <c r="P1067">
        <v>0.98594910000000002</v>
      </c>
      <c r="Q1067">
        <v>-8.3128800000000003E-2</v>
      </c>
      <c r="R1067">
        <v>-0.1448932</v>
      </c>
      <c r="S1067">
        <v>2.940674</v>
      </c>
      <c r="T1067">
        <v>-0.1219182</v>
      </c>
      <c r="U1067">
        <v>-0.625</v>
      </c>
      <c r="V1067">
        <v>0.15885729999999901</v>
      </c>
      <c r="W1067">
        <v>-6.8845820000000002E-2</v>
      </c>
      <c r="X1067">
        <v>0.9848983</v>
      </c>
      <c r="Y1067">
        <v>0.22151560000000001</v>
      </c>
      <c r="Z1067">
        <v>-6.5505939999999999E-3</v>
      </c>
      <c r="AA1067">
        <v>0.97513479999999997</v>
      </c>
      <c r="AB1067">
        <v>34</v>
      </c>
      <c r="AC1067">
        <v>26.4099</v>
      </c>
      <c r="AD1067">
        <v>-1.109215782271</v>
      </c>
      <c r="AE1067">
        <v>-5.6912000000000296</v>
      </c>
      <c r="AF1067">
        <v>6.0556450696805699</v>
      </c>
      <c r="AG1067">
        <v>-1.109215782271</v>
      </c>
      <c r="AH1067">
        <v>26.2820704492818</v>
      </c>
      <c r="AI1067">
        <v>92.355059884220395</v>
      </c>
      <c r="AJ1067">
        <v>77.024940509736695</v>
      </c>
      <c r="AK1067">
        <v>26.993488547473799</v>
      </c>
      <c r="AL1067">
        <v>93.947697536995094</v>
      </c>
      <c r="AM1067">
        <v>80.837497854318201</v>
      </c>
      <c r="AN1067">
        <v>1.0000000250188199</v>
      </c>
    </row>
    <row r="1068" spans="1:40" x14ac:dyDescent="0.25">
      <c r="A1068" t="str">
        <f>"20190305135811698"</f>
        <v>20190305135811698</v>
      </c>
      <c r="B1068" t="str">
        <f>"1551765491689595"</f>
        <v>1551765491689595</v>
      </c>
      <c r="C1068" t="s">
        <v>40</v>
      </c>
      <c r="D1068">
        <v>4.1832900000000004</v>
      </c>
      <c r="E1068">
        <v>0.48580279999999998</v>
      </c>
      <c r="F1068" t="s">
        <v>42</v>
      </c>
      <c r="G1068">
        <v>-215.7227</v>
      </c>
      <c r="H1068" s="1">
        <v>-3.3687550000000001E-6</v>
      </c>
      <c r="I1068">
        <v>362.37369999999999</v>
      </c>
      <c r="J1068">
        <v>-243.35380000000001</v>
      </c>
      <c r="K1068">
        <v>1.1091690000000001</v>
      </c>
      <c r="L1068">
        <v>368.28609999999998</v>
      </c>
      <c r="M1068">
        <v>0.99979669999999998</v>
      </c>
      <c r="N1068">
        <v>-1.457551E-2</v>
      </c>
      <c r="O1068">
        <v>1.393381E-2</v>
      </c>
      <c r="P1068">
        <v>0.98595069999999996</v>
      </c>
      <c r="Q1068">
        <v>-8.3291089999999998E-2</v>
      </c>
      <c r="R1068">
        <v>-0.1447898</v>
      </c>
      <c r="S1068">
        <v>2.941589</v>
      </c>
      <c r="T1068">
        <v>-0.1166809</v>
      </c>
      <c r="U1068">
        <v>-0.62146000000000001</v>
      </c>
      <c r="V1068">
        <v>0.15847749999999999</v>
      </c>
      <c r="W1068">
        <v>-6.9028779999999998E-2</v>
      </c>
      <c r="X1068">
        <v>0.98494669999999895</v>
      </c>
      <c r="Y1068">
        <v>0.22008510000000001</v>
      </c>
      <c r="Z1068">
        <v>-6.2838819999999898E-3</v>
      </c>
      <c r="AA1068">
        <v>0.97546040000000001</v>
      </c>
      <c r="AB1068">
        <v>34</v>
      </c>
      <c r="AC1068">
        <v>27.6311</v>
      </c>
      <c r="AD1068">
        <v>-1.1091723687549999</v>
      </c>
      <c r="AE1068">
        <v>-5.9123999999999901</v>
      </c>
      <c r="AF1068">
        <v>6.2871857148476602</v>
      </c>
      <c r="AG1068">
        <v>-1.1091723687549999</v>
      </c>
      <c r="AH1068">
        <v>27.5036471280503</v>
      </c>
      <c r="AI1068">
        <v>92.251371616838099</v>
      </c>
      <c r="AJ1068">
        <v>77.1237357474498</v>
      </c>
      <c r="AK1068">
        <v>28.2348999095252</v>
      </c>
      <c r="AL1068">
        <v>93.958205286955106</v>
      </c>
      <c r="AM1068">
        <v>80.859475136836807</v>
      </c>
      <c r="AN1068">
        <v>1.0000000461577101</v>
      </c>
    </row>
    <row r="1069" spans="1:40" x14ac:dyDescent="0.25">
      <c r="A1069" t="str">
        <f>"20190305135811719"</f>
        <v>20190305135811719</v>
      </c>
      <c r="B1069" t="str">
        <f>"1551765491710091"</f>
        <v>1551765491710091</v>
      </c>
      <c r="C1069" t="s">
        <v>40</v>
      </c>
      <c r="D1069">
        <v>4.1467499999999999</v>
      </c>
      <c r="E1069">
        <v>0.48611549999999998</v>
      </c>
      <c r="F1069" t="s">
        <v>50</v>
      </c>
      <c r="G1069">
        <v>-204.84729999999999</v>
      </c>
      <c r="H1069" s="1">
        <v>-4.0696339999999996E-6</v>
      </c>
      <c r="I1069">
        <v>364.24220000000003</v>
      </c>
      <c r="J1069">
        <v>-243.01589999999999</v>
      </c>
      <c r="K1069">
        <v>1.1091139999999999</v>
      </c>
      <c r="L1069">
        <v>368.29039999999998</v>
      </c>
      <c r="M1069">
        <v>0.99980159999999996</v>
      </c>
      <c r="N1069">
        <v>-1.457234E-2</v>
      </c>
      <c r="O1069">
        <v>1.3581070000000001E-2</v>
      </c>
      <c r="P1069">
        <v>0.98593929999999996</v>
      </c>
      <c r="Q1069">
        <v>-8.3167950000000004E-2</v>
      </c>
      <c r="R1069">
        <v>-0.14493889999999901</v>
      </c>
      <c r="S1069">
        <v>2.9893800000000001</v>
      </c>
      <c r="T1069">
        <v>-8.6108450000000003E-2</v>
      </c>
      <c r="U1069">
        <v>-0.3139343</v>
      </c>
      <c r="V1069">
        <v>0.15826989999999999</v>
      </c>
      <c r="W1069">
        <v>-6.8929969999999993E-2</v>
      </c>
      <c r="X1069">
        <v>0.98498699999999995</v>
      </c>
      <c r="Y1069">
        <v>0.11786629999999999</v>
      </c>
      <c r="Z1069">
        <v>-2.7467979999999999E-3</v>
      </c>
      <c r="AA1069">
        <v>0.99302570000000001</v>
      </c>
      <c r="AB1069">
        <v>34</v>
      </c>
      <c r="AC1069">
        <v>38.168599999999998</v>
      </c>
      <c r="AD1069">
        <v>-1.1091180696339999</v>
      </c>
      <c r="AE1069">
        <v>-4.0481999999999498</v>
      </c>
      <c r="AF1069">
        <v>4.5624424068888096</v>
      </c>
      <c r="AG1069">
        <v>-1.1091180696339999</v>
      </c>
      <c r="AH1069">
        <v>38.078299079259502</v>
      </c>
      <c r="AI1069">
        <v>91.656557788765497</v>
      </c>
      <c r="AJ1069">
        <v>83.167541073636102</v>
      </c>
      <c r="AK1069">
        <v>38.366689776133903</v>
      </c>
      <c r="AL1069">
        <v>93.952530374357707</v>
      </c>
      <c r="AM1069">
        <v>80.871614374693195</v>
      </c>
      <c r="AN1069">
        <v>1.0000000460895999</v>
      </c>
    </row>
    <row r="1070" spans="1:40" x14ac:dyDescent="0.25">
      <c r="A1070" t="str">
        <f>"20190305135811742"</f>
        <v>20190305135811742</v>
      </c>
      <c r="B1070" t="str">
        <f>"1551765491739371"</f>
        <v>1551765491739371</v>
      </c>
      <c r="C1070" t="s">
        <v>40</v>
      </c>
      <c r="D1070">
        <v>4.0921969999999996</v>
      </c>
      <c r="E1070">
        <v>0.4869213</v>
      </c>
      <c r="F1070" t="s">
        <v>50</v>
      </c>
      <c r="G1070">
        <v>-203.70249999999999</v>
      </c>
      <c r="H1070" s="1">
        <v>-3.5204900000000002E-6</v>
      </c>
      <c r="I1070">
        <v>364.12090000000001</v>
      </c>
      <c r="J1070">
        <v>-242.67920000000001</v>
      </c>
      <c r="K1070">
        <v>1.1090599999999999</v>
      </c>
      <c r="L1070">
        <v>368.2946</v>
      </c>
      <c r="M1070">
        <v>0.99980740000000001</v>
      </c>
      <c r="N1070">
        <v>-1.456933E-2</v>
      </c>
      <c r="O1070">
        <v>1.315028E-2</v>
      </c>
      <c r="P1070">
        <v>0.98587670000000005</v>
      </c>
      <c r="Q1070">
        <v>-8.3723770000000003E-2</v>
      </c>
      <c r="R1070">
        <v>-0.14504300000000001</v>
      </c>
      <c r="S1070">
        <v>2.9890590000000001</v>
      </c>
      <c r="T1070">
        <v>-8.4328059999999996E-2</v>
      </c>
      <c r="U1070">
        <v>-0.31701659999999998</v>
      </c>
      <c r="V1070">
        <v>0.1579382</v>
      </c>
      <c r="W1070">
        <v>-6.9512169999999998E-2</v>
      </c>
      <c r="X1070">
        <v>0.98499930000000002</v>
      </c>
      <c r="Y1070">
        <v>0.1184645</v>
      </c>
      <c r="Z1070">
        <v>-2.7106919999999998E-3</v>
      </c>
      <c r="AA1070">
        <v>0.99295460000000002</v>
      </c>
      <c r="AB1070">
        <v>34</v>
      </c>
      <c r="AC1070">
        <v>38.976700000000001</v>
      </c>
      <c r="AD1070">
        <v>-1.1090635204899999</v>
      </c>
      <c r="AE1070">
        <v>-4.1736999999999904</v>
      </c>
      <c r="AF1070">
        <v>4.6821999332634299</v>
      </c>
      <c r="AG1070">
        <v>-1.1090635204899999</v>
      </c>
      <c r="AH1070">
        <v>38.887309308552602</v>
      </c>
      <c r="AI1070">
        <v>91.621921031900499</v>
      </c>
      <c r="AJ1070">
        <v>83.1343908499029</v>
      </c>
      <c r="AK1070">
        <v>39.183872235481999</v>
      </c>
      <c r="AL1070">
        <v>93.985968290447602</v>
      </c>
      <c r="AM1070">
        <v>80.890536267418497</v>
      </c>
      <c r="AN1070">
        <v>1.00000001889891</v>
      </c>
    </row>
    <row r="1071" spans="1:40" x14ac:dyDescent="0.25">
      <c r="A1071" t="str">
        <f>"20190305135811764"</f>
        <v>20190305135811764</v>
      </c>
      <c r="B1071" t="str">
        <f>"1551765491760843"</f>
        <v>1551765491760843</v>
      </c>
      <c r="C1071" t="s">
        <v>40</v>
      </c>
      <c r="D1071">
        <v>4.0826929999999999</v>
      </c>
      <c r="E1071">
        <v>0.4874694</v>
      </c>
      <c r="F1071" t="s">
        <v>50</v>
      </c>
      <c r="G1071">
        <v>-202.7099</v>
      </c>
      <c r="H1071" s="1">
        <v>-3.0544849999999999E-6</v>
      </c>
      <c r="I1071">
        <v>363.96960000000001</v>
      </c>
      <c r="J1071">
        <v>-242.3442</v>
      </c>
      <c r="K1071">
        <v>1.109008</v>
      </c>
      <c r="L1071">
        <v>368.29849999999999</v>
      </c>
      <c r="M1071">
        <v>0.99981390000000003</v>
      </c>
      <c r="N1071">
        <v>-1.456637E-2</v>
      </c>
      <c r="O1071">
        <v>1.265666E-2</v>
      </c>
      <c r="P1071">
        <v>0.98581560000000001</v>
      </c>
      <c r="Q1071">
        <v>-8.3521949999999998E-2</v>
      </c>
      <c r="R1071">
        <v>-0.14557419999999999</v>
      </c>
      <c r="S1071">
        <v>2.9883730000000002</v>
      </c>
      <c r="T1071">
        <v>-8.292091E-2</v>
      </c>
      <c r="U1071">
        <v>-0.32336429999999999</v>
      </c>
      <c r="V1071">
        <v>0.15797329999999901</v>
      </c>
      <c r="W1071">
        <v>-6.9335620000000001E-2</v>
      </c>
      <c r="X1071">
        <v>0.9850061</v>
      </c>
      <c r="Y1071">
        <v>0.12008439999999999</v>
      </c>
      <c r="Z1071">
        <v>-2.7046879999999998E-3</v>
      </c>
      <c r="AA1071">
        <v>0.99275999999999998</v>
      </c>
      <c r="AB1071">
        <v>34</v>
      </c>
      <c r="AC1071">
        <v>39.634300000000003</v>
      </c>
      <c r="AD1071">
        <v>-1.109011054485</v>
      </c>
      <c r="AE1071">
        <v>-4.3288999999999698</v>
      </c>
      <c r="AF1071">
        <v>4.8265098944937499</v>
      </c>
      <c r="AG1071">
        <v>-1.109011054485</v>
      </c>
      <c r="AH1071">
        <v>39.545732446567101</v>
      </c>
      <c r="AI1071">
        <v>91.5945420986193</v>
      </c>
      <c r="AJ1071">
        <v>83.041532571609693</v>
      </c>
      <c r="AK1071">
        <v>39.854611502510998</v>
      </c>
      <c r="AL1071">
        <v>93.9758283132267</v>
      </c>
      <c r="AM1071">
        <v>80.888607592137902</v>
      </c>
      <c r="AN1071">
        <v>1.00000000437544</v>
      </c>
    </row>
    <row r="1072" spans="1:40" x14ac:dyDescent="0.25">
      <c r="A1072" t="str">
        <f>"20190305135811787"</f>
        <v>20190305135811787</v>
      </c>
      <c r="B1072" t="str">
        <f>"1551765491780363"</f>
        <v>1551765491780363</v>
      </c>
      <c r="C1072" t="s">
        <v>40</v>
      </c>
      <c r="D1072">
        <v>3.7881619999999998</v>
      </c>
      <c r="E1072">
        <v>0.48767880000000002</v>
      </c>
      <c r="F1072" t="s">
        <v>50</v>
      </c>
      <c r="G1072">
        <v>-202.9436</v>
      </c>
      <c r="H1072" s="1">
        <v>-3.17621E-6</v>
      </c>
      <c r="I1072">
        <v>363.95100000000002</v>
      </c>
      <c r="J1072">
        <v>-242.0061</v>
      </c>
      <c r="K1072">
        <v>1.1089610000000001</v>
      </c>
      <c r="L1072">
        <v>368.3021</v>
      </c>
      <c r="M1072">
        <v>0.99982090000000001</v>
      </c>
      <c r="N1072">
        <v>-1.4563319999999999E-2</v>
      </c>
      <c r="O1072">
        <v>1.2093720000000001E-2</v>
      </c>
      <c r="P1072">
        <v>0.98575369999999995</v>
      </c>
      <c r="Q1072">
        <v>-8.3211679999999996E-2</v>
      </c>
      <c r="R1072">
        <v>-0.14617140000000001</v>
      </c>
      <c r="S1072">
        <v>2.9873500000000002</v>
      </c>
      <c r="T1072">
        <v>-8.4084989999999998E-2</v>
      </c>
      <c r="U1072">
        <v>-0.32962039999999998</v>
      </c>
      <c r="V1072">
        <v>0.1580067</v>
      </c>
      <c r="W1072">
        <v>-6.9049299999999994E-2</v>
      </c>
      <c r="X1072">
        <v>0.98502089999999998</v>
      </c>
      <c r="Y1072">
        <v>0.1216135</v>
      </c>
      <c r="Z1072">
        <v>-2.7583519999999999E-3</v>
      </c>
      <c r="AA1072">
        <v>0.9925737</v>
      </c>
      <c r="AB1072">
        <v>34</v>
      </c>
      <c r="AC1072">
        <v>39.0625</v>
      </c>
      <c r="AD1072">
        <v>-1.10896417621</v>
      </c>
      <c r="AE1072">
        <v>-4.3511000000000299</v>
      </c>
      <c r="AF1072">
        <v>4.8194060698559804</v>
      </c>
      <c r="AG1072">
        <v>-1.10896417621</v>
      </c>
      <c r="AH1072">
        <v>38.975987908871403</v>
      </c>
      <c r="AI1072">
        <v>91.617456781257502</v>
      </c>
      <c r="AJ1072">
        <v>82.951119139514802</v>
      </c>
      <c r="AK1072">
        <v>39.288472989959402</v>
      </c>
      <c r="AL1072">
        <v>93.9593837999751</v>
      </c>
      <c r="AM1072">
        <v>80.886848140937502</v>
      </c>
      <c r="AN1072">
        <v>1.00000004825609</v>
      </c>
    </row>
    <row r="1073" spans="1:40" x14ac:dyDescent="0.25">
      <c r="A1073" t="str">
        <f>"20190305135811808"</f>
        <v>20190305135811808</v>
      </c>
      <c r="B1073" t="str">
        <f>"1551765491790124"</f>
        <v>1551765491790124</v>
      </c>
      <c r="C1073" t="s">
        <v>40</v>
      </c>
      <c r="D1073">
        <v>4.0693390000000003</v>
      </c>
      <c r="E1073">
        <v>0.48795620000000001</v>
      </c>
      <c r="F1073" t="s">
        <v>50</v>
      </c>
      <c r="G1073">
        <v>-201.9477</v>
      </c>
      <c r="H1073" s="1">
        <v>-2.6873079999999999E-6</v>
      </c>
      <c r="I1073">
        <v>363.82920000000001</v>
      </c>
      <c r="J1073">
        <v>-241.6772</v>
      </c>
      <c r="K1073">
        <v>1.1089150000000001</v>
      </c>
      <c r="L1073">
        <v>368.30549999999999</v>
      </c>
      <c r="M1073">
        <v>0.9998281</v>
      </c>
      <c r="N1073">
        <v>-1.456032E-2</v>
      </c>
      <c r="O1073">
        <v>1.1484960000000001E-2</v>
      </c>
      <c r="P1073">
        <v>0.98556909999999998</v>
      </c>
      <c r="Q1073">
        <v>-8.376873E-2</v>
      </c>
      <c r="R1073">
        <v>-0.14709340000000001</v>
      </c>
      <c r="S1073">
        <v>2.9869539999999999</v>
      </c>
      <c r="T1073">
        <v>-8.2689760000000001E-2</v>
      </c>
      <c r="U1073">
        <v>-0.33352659999999901</v>
      </c>
      <c r="V1073">
        <v>0.1583184</v>
      </c>
      <c r="W1073">
        <v>-6.9630349999999994E-2</v>
      </c>
      <c r="X1073">
        <v>0.98492990000000002</v>
      </c>
      <c r="Y1073">
        <v>0.1223075</v>
      </c>
      <c r="Z1073">
        <v>-2.7311449999999999E-3</v>
      </c>
      <c r="AA1073">
        <v>0.9924885</v>
      </c>
      <c r="AB1073">
        <v>34</v>
      </c>
      <c r="AC1073">
        <v>39.729500000000002</v>
      </c>
      <c r="AD1073">
        <v>-1.10891768730799</v>
      </c>
      <c r="AE1073">
        <v>-4.4762999999999797</v>
      </c>
      <c r="AF1073">
        <v>4.9285532474520402</v>
      </c>
      <c r="AG1073">
        <v>-1.10891768730799</v>
      </c>
      <c r="AH1073">
        <v>39.644964788156102</v>
      </c>
      <c r="AI1073">
        <v>91.589981645769996</v>
      </c>
      <c r="AJ1073">
        <v>82.913503395704495</v>
      </c>
      <c r="AK1073">
        <v>39.965529755081803</v>
      </c>
      <c r="AL1073">
        <v>93.992756009073503</v>
      </c>
      <c r="AM1073">
        <v>80.868343755762794</v>
      </c>
      <c r="AN1073">
        <v>1.00000000466684</v>
      </c>
    </row>
    <row r="1074" spans="1:40" x14ac:dyDescent="0.25">
      <c r="A1074" t="str">
        <f>"20190305135811831"</f>
        <v>20190305135811831</v>
      </c>
      <c r="B1074" t="str">
        <f>"1551765491819403"</f>
        <v>1551765491819403</v>
      </c>
      <c r="C1074" t="s">
        <v>40</v>
      </c>
      <c r="D1074">
        <v>4.0544750000000001</v>
      </c>
      <c r="E1074">
        <v>0.4882688</v>
      </c>
      <c r="F1074" t="s">
        <v>50</v>
      </c>
      <c r="G1074">
        <v>-201.45529999999999</v>
      </c>
      <c r="H1074" s="1">
        <v>-2.417972E-6</v>
      </c>
      <c r="I1074">
        <v>363.74599999999998</v>
      </c>
      <c r="J1074">
        <v>-241.34700000000001</v>
      </c>
      <c r="K1074">
        <v>1.108867</v>
      </c>
      <c r="L1074">
        <v>368.30869999999999</v>
      </c>
      <c r="M1074">
        <v>0.99983560000000005</v>
      </c>
      <c r="N1074">
        <v>-1.455731E-2</v>
      </c>
      <c r="O1074">
        <v>1.081944E-2</v>
      </c>
      <c r="P1074">
        <v>0.98541599999999996</v>
      </c>
      <c r="Q1074">
        <v>-8.3655339999999995E-2</v>
      </c>
      <c r="R1074">
        <v>-0.14818029999999999</v>
      </c>
      <c r="S1074">
        <v>2.986389</v>
      </c>
      <c r="T1074">
        <v>-8.2334760000000007E-2</v>
      </c>
      <c r="U1074">
        <v>-0.33853149999999999</v>
      </c>
      <c r="V1074">
        <v>0.15874059999999901</v>
      </c>
      <c r="W1074">
        <v>-6.9539920000000005E-2</v>
      </c>
      <c r="X1074">
        <v>0.98486830000000003</v>
      </c>
      <c r="Y1074">
        <v>0.12331</v>
      </c>
      <c r="Z1074">
        <v>-2.7351390000000001E-3</v>
      </c>
      <c r="AA1074">
        <v>0.99236440000000004</v>
      </c>
      <c r="AB1074">
        <v>34</v>
      </c>
      <c r="AC1074">
        <v>39.8917</v>
      </c>
      <c r="AD1074">
        <v>-1.108869417972</v>
      </c>
      <c r="AE1074">
        <v>-4.5627000000000004</v>
      </c>
      <c r="AF1074">
        <v>4.9902783684656304</v>
      </c>
      <c r="AG1074">
        <v>-1.108869417972</v>
      </c>
      <c r="AH1074">
        <v>39.809630866981998</v>
      </c>
      <c r="AI1074">
        <v>91.583137840627202</v>
      </c>
      <c r="AJ1074">
        <v>82.855039503881201</v>
      </c>
      <c r="AK1074">
        <v>40.136506815444903</v>
      </c>
      <c r="AL1074">
        <v>93.987562286622506</v>
      </c>
      <c r="AM1074">
        <v>80.843840607629005</v>
      </c>
      <c r="AN1074">
        <v>0.99999997345342695</v>
      </c>
    </row>
    <row r="1075" spans="1:40" x14ac:dyDescent="0.25">
      <c r="A1075" t="str">
        <f>"20190305135811853"</f>
        <v>20190305135811853</v>
      </c>
      <c r="B1075" t="str">
        <f>"1551765491849660"</f>
        <v>1551765491849660</v>
      </c>
      <c r="C1075" t="s">
        <v>40</v>
      </c>
      <c r="D1075">
        <v>4.0497249999999996</v>
      </c>
      <c r="E1075">
        <v>0.48829319999999998</v>
      </c>
      <c r="F1075" t="s">
        <v>50</v>
      </c>
      <c r="G1075">
        <v>-200.7107</v>
      </c>
      <c r="H1075" s="1">
        <v>-2.0101349999999999E-6</v>
      </c>
      <c r="I1075">
        <v>363.6223</v>
      </c>
      <c r="J1075">
        <v>-241.00980000000001</v>
      </c>
      <c r="K1075">
        <v>1.108819</v>
      </c>
      <c r="L1075">
        <v>368.3116</v>
      </c>
      <c r="M1075">
        <v>0.99984320000000004</v>
      </c>
      <c r="N1075">
        <v>-1.4554360000000001E-2</v>
      </c>
      <c r="O1075">
        <v>1.009298E-2</v>
      </c>
      <c r="P1075">
        <v>0.98523989999999995</v>
      </c>
      <c r="Q1075">
        <v>-8.4209339999999994E-2</v>
      </c>
      <c r="R1075">
        <v>-0.14903540000000001</v>
      </c>
      <c r="S1075">
        <v>2.9857179999999999</v>
      </c>
      <c r="T1075">
        <v>-8.1473110000000001E-2</v>
      </c>
      <c r="U1075">
        <v>-0.34432980000000002</v>
      </c>
      <c r="V1075">
        <v>0.15887029999999999</v>
      </c>
      <c r="W1075">
        <v>-7.0115910000000004E-2</v>
      </c>
      <c r="X1075">
        <v>0.98480659999999998</v>
      </c>
      <c r="Y1075">
        <v>0.1245168</v>
      </c>
      <c r="Z1075">
        <v>-2.7304899999999999E-3</v>
      </c>
      <c r="AA1075">
        <v>0.99221369999999998</v>
      </c>
      <c r="AB1075">
        <v>34</v>
      </c>
      <c r="AC1075">
        <v>40.299100000000003</v>
      </c>
      <c r="AD1075">
        <v>-1.108821010135</v>
      </c>
      <c r="AE1075">
        <v>-4.6893000000000002</v>
      </c>
      <c r="AF1075">
        <v>5.0920386742624704</v>
      </c>
      <c r="AG1075">
        <v>-1.108821010135</v>
      </c>
      <c r="AH1075">
        <v>40.2196708305868</v>
      </c>
      <c r="AI1075">
        <v>91.566694276942698</v>
      </c>
      <c r="AJ1075">
        <v>82.784418442508198</v>
      </c>
      <c r="AK1075">
        <v>40.555890615463703</v>
      </c>
      <c r="AL1075">
        <v>94.020644624246998</v>
      </c>
      <c r="AM1075">
        <v>80.8359220096131</v>
      </c>
      <c r="AN1075">
        <v>1.0000000262303801</v>
      </c>
    </row>
    <row r="1076" spans="1:40" x14ac:dyDescent="0.25">
      <c r="A1076" t="str">
        <f>"20190305135811876"</f>
        <v>20190305135811876</v>
      </c>
      <c r="B1076" t="str">
        <f>"1551765491869180"</f>
        <v>1551765491869180</v>
      </c>
      <c r="C1076" t="s">
        <v>40</v>
      </c>
      <c r="D1076">
        <v>4.0486969999999998</v>
      </c>
      <c r="E1076">
        <v>0.48836400000000002</v>
      </c>
      <c r="F1076" t="s">
        <v>50</v>
      </c>
      <c r="G1076">
        <v>-202.09119999999999</v>
      </c>
      <c r="H1076" s="1">
        <v>-2.7847280000000001E-6</v>
      </c>
      <c r="I1076">
        <v>363.78219999999999</v>
      </c>
      <c r="J1076">
        <v>-240.66929999999999</v>
      </c>
      <c r="K1076">
        <v>1.108771</v>
      </c>
      <c r="L1076">
        <v>368.3143</v>
      </c>
      <c r="M1076">
        <v>0.99985069999999998</v>
      </c>
      <c r="N1076">
        <v>-1.455129E-2</v>
      </c>
      <c r="O1076">
        <v>9.3215550000000005E-3</v>
      </c>
      <c r="P1076">
        <v>0.98504899999999995</v>
      </c>
      <c r="Q1076">
        <v>-8.4949140000000006E-2</v>
      </c>
      <c r="R1076">
        <v>-0.149873799999999</v>
      </c>
      <c r="S1076">
        <v>2.9851230000000002</v>
      </c>
      <c r="T1076">
        <v>-8.5048559999999995E-2</v>
      </c>
      <c r="U1076">
        <v>-0.347412099999999</v>
      </c>
      <c r="V1076">
        <v>0.1589399</v>
      </c>
      <c r="W1076">
        <v>-7.0875759999999996E-2</v>
      </c>
      <c r="X1076">
        <v>0.98474099999999998</v>
      </c>
      <c r="Y1076">
        <v>0.12477920000000001</v>
      </c>
      <c r="Z1076">
        <v>-2.8119270000000001E-3</v>
      </c>
      <c r="AA1076">
        <v>0.99218050000000002</v>
      </c>
      <c r="AB1076">
        <v>34</v>
      </c>
      <c r="AC1076">
        <v>38.578099999999999</v>
      </c>
      <c r="AD1076">
        <v>-1.1087737847279999</v>
      </c>
      <c r="AE1076">
        <v>-4.5321000000000096</v>
      </c>
      <c r="AF1076">
        <v>4.8875666098671902</v>
      </c>
      <c r="AG1076">
        <v>-1.1087737847279999</v>
      </c>
      <c r="AH1076">
        <v>38.502800753696398</v>
      </c>
      <c r="AI1076">
        <v>91.636379227638898</v>
      </c>
      <c r="AJ1076">
        <v>82.765535281298895</v>
      </c>
      <c r="AK1076">
        <v>38.827610698450599</v>
      </c>
      <c r="AL1076">
        <v>94.064289305886604</v>
      </c>
      <c r="AM1076">
        <v>80.831375083980006</v>
      </c>
      <c r="AN1076">
        <v>1.0000000511242899</v>
      </c>
    </row>
    <row r="1077" spans="1:40" x14ac:dyDescent="0.25">
      <c r="A1077" t="str">
        <f>"20190305135811899"</f>
        <v>20190305135811899</v>
      </c>
      <c r="B1077" t="str">
        <f>"1551765491889675"</f>
        <v>1551765491889675</v>
      </c>
      <c r="C1077" t="s">
        <v>40</v>
      </c>
      <c r="D1077">
        <v>4.0346260000000003</v>
      </c>
      <c r="E1077">
        <v>0.48851460000000002</v>
      </c>
      <c r="F1077" t="s">
        <v>50</v>
      </c>
      <c r="G1077">
        <v>-203.3725</v>
      </c>
      <c r="H1077" s="1">
        <v>-3.3957750000000001E-6</v>
      </c>
      <c r="I1077">
        <v>363.93430000000001</v>
      </c>
      <c r="J1077">
        <v>-240.32390000000001</v>
      </c>
      <c r="K1077">
        <v>1.1087279999999999</v>
      </c>
      <c r="L1077">
        <v>368.31670000000003</v>
      </c>
      <c r="M1077">
        <v>0.99985800000000002</v>
      </c>
      <c r="N1077">
        <v>-1.4547849999999999E-2</v>
      </c>
      <c r="O1077">
        <v>8.5103590000000003E-3</v>
      </c>
      <c r="P1077">
        <v>0.98471339999999996</v>
      </c>
      <c r="Q1077">
        <v>-8.6313609999999999E-2</v>
      </c>
      <c r="R1077">
        <v>-0.1512946</v>
      </c>
      <c r="S1077">
        <v>2.9845579999999998</v>
      </c>
      <c r="T1077">
        <v>-8.8726159999999998E-2</v>
      </c>
      <c r="U1077">
        <v>-0.35049439999999998</v>
      </c>
      <c r="V1077">
        <v>0.15955150000000001</v>
      </c>
      <c r="W1077">
        <v>-7.2260329999999998E-2</v>
      </c>
      <c r="X1077">
        <v>0.98454140000000001</v>
      </c>
      <c r="Y1077">
        <v>0.1250009</v>
      </c>
      <c r="Z1077">
        <v>-2.8927229999999998E-3</v>
      </c>
      <c r="AA1077">
        <v>0.99215240000000005</v>
      </c>
      <c r="AB1077">
        <v>33</v>
      </c>
      <c r="AC1077">
        <v>36.9514</v>
      </c>
      <c r="AD1077">
        <v>-1.108731395775</v>
      </c>
      <c r="AE1077">
        <v>-4.3824000000000103</v>
      </c>
      <c r="AF1077">
        <v>4.6925780483017903</v>
      </c>
      <c r="AG1077">
        <v>-1.108731395775</v>
      </c>
      <c r="AH1077">
        <v>36.880019016323303</v>
      </c>
      <c r="AI1077">
        <v>91.708211841533</v>
      </c>
      <c r="AJ1077">
        <v>82.748705021728099</v>
      </c>
      <c r="AK1077">
        <v>37.1938889697185</v>
      </c>
      <c r="AL1077">
        <v>94.143823475448301</v>
      </c>
      <c r="AM1077">
        <v>80.794862985548505</v>
      </c>
      <c r="AN1077">
        <v>1.0000000023789499</v>
      </c>
    </row>
    <row r="1078" spans="1:40" x14ac:dyDescent="0.25">
      <c r="A1078" t="str">
        <f>"20190305135811920"</f>
        <v>20190305135811920</v>
      </c>
      <c r="B1078" t="str">
        <f>"1551765491909196"</f>
        <v>1551765491909196</v>
      </c>
      <c r="C1078" t="s">
        <v>40</v>
      </c>
      <c r="D1078">
        <v>4.0222790000000002</v>
      </c>
      <c r="E1078">
        <v>0.48874830000000002</v>
      </c>
      <c r="F1078" t="s">
        <v>50</v>
      </c>
      <c r="G1078">
        <v>-204.98929999999999</v>
      </c>
      <c r="H1078" s="1">
        <v>-4.1726170000000003E-6</v>
      </c>
      <c r="I1078">
        <v>364.1001</v>
      </c>
      <c r="J1078">
        <v>-239.99610000000001</v>
      </c>
      <c r="K1078">
        <v>1.1086959999999999</v>
      </c>
      <c r="L1078">
        <v>368.3186</v>
      </c>
      <c r="M1078">
        <v>0.99986450000000004</v>
      </c>
      <c r="N1078">
        <v>-1.454444E-2</v>
      </c>
      <c r="O1078">
        <v>7.7220259999999999E-3</v>
      </c>
      <c r="P1078">
        <v>0.98441520000000005</v>
      </c>
      <c r="Q1078">
        <v>-8.7083549999999996E-2</v>
      </c>
      <c r="R1078">
        <v>-0.1527867</v>
      </c>
      <c r="S1078">
        <v>2.9836580000000001</v>
      </c>
      <c r="T1078">
        <v>-9.3621369999999995E-2</v>
      </c>
      <c r="U1078">
        <v>-0.35604859999999999</v>
      </c>
      <c r="V1078">
        <v>0.16026079999999901</v>
      </c>
      <c r="W1078">
        <v>-7.3045879999999994E-2</v>
      </c>
      <c r="X1078">
        <v>0.98436820000000003</v>
      </c>
      <c r="Y1078">
        <v>0.12606609999999999</v>
      </c>
      <c r="Z1078">
        <v>-3.0202990000000002E-3</v>
      </c>
      <c r="AA1078">
        <v>0.99201729999999999</v>
      </c>
      <c r="AB1078">
        <v>33</v>
      </c>
      <c r="AC1078">
        <v>35.006799999999998</v>
      </c>
      <c r="AD1078">
        <v>-1.1087001726169901</v>
      </c>
      <c r="AE1078">
        <v>-4.2184999999999997</v>
      </c>
      <c r="AF1078">
        <v>4.4842925928590001</v>
      </c>
      <c r="AG1078">
        <v>-1.1087001726169901</v>
      </c>
      <c r="AH1078">
        <v>34.938633594396798</v>
      </c>
      <c r="AI1078">
        <v>91.802766713787804</v>
      </c>
      <c r="AJ1078">
        <v>82.686205025382193</v>
      </c>
      <c r="AK1078">
        <v>35.242676027433603</v>
      </c>
      <c r="AL1078">
        <v>94.188951493705304</v>
      </c>
      <c r="AM1078">
        <v>80.753047261372103</v>
      </c>
      <c r="AN1078">
        <v>0.99999998888642705</v>
      </c>
    </row>
    <row r="1079" spans="1:40" x14ac:dyDescent="0.25">
      <c r="A1079" t="str">
        <f>"20190305135811945"</f>
        <v>20190305135811945</v>
      </c>
      <c r="B1079" t="str">
        <f>"1551765491939451"</f>
        <v>1551765491939451</v>
      </c>
      <c r="C1079" t="s">
        <v>40</v>
      </c>
      <c r="D1079">
        <v>4.0024119999999996</v>
      </c>
      <c r="E1079">
        <v>0.48893150000000002</v>
      </c>
      <c r="F1079" t="s">
        <v>50</v>
      </c>
      <c r="G1079">
        <v>-205.72290000000001</v>
      </c>
      <c r="H1079" s="1">
        <v>-4.5026750000000001E-6</v>
      </c>
      <c r="I1079">
        <v>364.15449999999998</v>
      </c>
      <c r="J1079">
        <v>-239.65969999999999</v>
      </c>
      <c r="K1079">
        <v>1.108679</v>
      </c>
      <c r="L1079">
        <v>368.32029999999997</v>
      </c>
      <c r="M1079">
        <v>0.9998705</v>
      </c>
      <c r="N1079">
        <v>-1.4540839999999999E-2</v>
      </c>
      <c r="O1079">
        <v>6.9020130000000002E-3</v>
      </c>
      <c r="P1079">
        <v>0.98425499999999999</v>
      </c>
      <c r="Q1079">
        <v>-8.7562730000000005E-2</v>
      </c>
      <c r="R1079">
        <v>-0.15354189999999901</v>
      </c>
      <c r="S1079">
        <v>2.9827270000000001</v>
      </c>
      <c r="T1079">
        <v>-9.6488000000000004E-2</v>
      </c>
      <c r="U1079">
        <v>-0.3623962</v>
      </c>
      <c r="V1079">
        <v>0.16020519999999999</v>
      </c>
      <c r="W1079">
        <v>-7.3534539999999995E-2</v>
      </c>
      <c r="X1079">
        <v>0.98434080000000002</v>
      </c>
      <c r="Y1079">
        <v>0.12736420000000001</v>
      </c>
      <c r="Z1079">
        <v>-3.1041939999999998E-3</v>
      </c>
      <c r="AA1079">
        <v>0.99185120000000004</v>
      </c>
      <c r="AB1079">
        <v>33</v>
      </c>
      <c r="AC1079">
        <v>33.936799999999899</v>
      </c>
      <c r="AD1079">
        <v>-1.1086835026749999</v>
      </c>
      <c r="AE1079">
        <v>-4.1657999999999902</v>
      </c>
      <c r="AF1079">
        <v>4.3953363775887597</v>
      </c>
      <c r="AG1079">
        <v>-1.1086835026749999</v>
      </c>
      <c r="AH1079">
        <v>33.871622570080497</v>
      </c>
      <c r="AI1079">
        <v>91.8591554005002</v>
      </c>
      <c r="AJ1079">
        <v>82.606353504806094</v>
      </c>
      <c r="AK1079">
        <v>34.173600578681302</v>
      </c>
      <c r="AL1079">
        <v>94.217025429615305</v>
      </c>
      <c r="AM1079">
        <v>80.755947091955704</v>
      </c>
      <c r="AN1079">
        <v>0.99999992261234205</v>
      </c>
    </row>
    <row r="1080" spans="1:40" x14ac:dyDescent="0.25">
      <c r="A1080" t="str">
        <f>"20190305135811966"</f>
        <v>20190305135811966</v>
      </c>
      <c r="B1080" t="str">
        <f>"1551765491959947"</f>
        <v>1551765491959947</v>
      </c>
      <c r="C1080" t="s">
        <v>40</v>
      </c>
      <c r="D1080">
        <v>4.0105110000000002</v>
      </c>
      <c r="E1080">
        <v>0.4891182</v>
      </c>
      <c r="F1080" t="s">
        <v>50</v>
      </c>
      <c r="G1080">
        <v>-206.1087</v>
      </c>
      <c r="H1080" s="1">
        <v>-4.6729590000000003E-6</v>
      </c>
      <c r="I1080">
        <v>364.197</v>
      </c>
      <c r="J1080">
        <v>-239.3253</v>
      </c>
      <c r="K1080">
        <v>1.108662</v>
      </c>
      <c r="L1080">
        <v>368.3218</v>
      </c>
      <c r="M1080">
        <v>0.99987599999999999</v>
      </c>
      <c r="N1080">
        <v>-1.453719E-2</v>
      </c>
      <c r="O1080">
        <v>6.0820400000000004E-3</v>
      </c>
      <c r="P1080">
        <v>0.98397040000000002</v>
      </c>
      <c r="Q1080">
        <v>-8.8359099999999996E-2</v>
      </c>
      <c r="R1080">
        <v>-0.15490370000000001</v>
      </c>
      <c r="S1080">
        <v>2.98204</v>
      </c>
      <c r="T1080">
        <v>-9.8540660000000002E-2</v>
      </c>
      <c r="U1080">
        <v>-0.36648560000000002</v>
      </c>
      <c r="V1080">
        <v>0.16075610000000001</v>
      </c>
      <c r="W1080">
        <v>-7.4341359999999995E-2</v>
      </c>
      <c r="X1080">
        <v>0.98419049999999997</v>
      </c>
      <c r="Y1080">
        <v>0.12791440000000001</v>
      </c>
      <c r="Z1080">
        <v>-3.1507330000000002E-3</v>
      </c>
      <c r="AA1080">
        <v>0.9917802</v>
      </c>
      <c r="AB1080">
        <v>33</v>
      </c>
      <c r="AC1080">
        <v>33.2166</v>
      </c>
      <c r="AD1080">
        <v>-1.108666672959</v>
      </c>
      <c r="AE1080">
        <v>-4.1248000000000502</v>
      </c>
      <c r="AF1080">
        <v>4.3220280068412</v>
      </c>
      <c r="AG1080">
        <v>-1.108666672959</v>
      </c>
      <c r="AH1080">
        <v>33.154521870856001</v>
      </c>
      <c r="AI1080">
        <v>91.899164642971499</v>
      </c>
      <c r="AJ1080">
        <v>82.572797412023107</v>
      </c>
      <c r="AK1080">
        <v>33.453421175848597</v>
      </c>
      <c r="AL1080">
        <v>94.263379146268306</v>
      </c>
      <c r="AM1080">
        <v>80.723319122612907</v>
      </c>
      <c r="AN1080">
        <v>1.0000000508920499</v>
      </c>
    </row>
    <row r="1081" spans="1:40" x14ac:dyDescent="0.25">
      <c r="A1081" t="str">
        <f>"20190305135811989"</f>
        <v>20190305135811989</v>
      </c>
      <c r="B1081" t="str">
        <f>"1551765491979467"</f>
        <v>1551765491979467</v>
      </c>
      <c r="C1081" t="s">
        <v>40</v>
      </c>
      <c r="D1081">
        <v>3.9939239999999998</v>
      </c>
      <c r="E1081">
        <v>0.48925970000000002</v>
      </c>
      <c r="F1081" t="s">
        <v>50</v>
      </c>
      <c r="G1081">
        <v>-206.78989999999999</v>
      </c>
      <c r="H1081" s="1">
        <v>-4.9762739999999998E-6</v>
      </c>
      <c r="I1081">
        <v>364.2602</v>
      </c>
      <c r="J1081">
        <v>-238.989</v>
      </c>
      <c r="K1081">
        <v>1.108662</v>
      </c>
      <c r="L1081">
        <v>368.32299999999998</v>
      </c>
      <c r="M1081">
        <v>0.99988069999999896</v>
      </c>
      <c r="N1081">
        <v>-1.4533559999999999E-2</v>
      </c>
      <c r="O1081">
        <v>5.2576560000000003E-3</v>
      </c>
      <c r="P1081">
        <v>0.98376379999999997</v>
      </c>
      <c r="Q1081">
        <v>-8.8580640000000002E-2</v>
      </c>
      <c r="R1081">
        <v>-0.15608649999999999</v>
      </c>
      <c r="S1081">
        <v>2.9811550000000002</v>
      </c>
      <c r="T1081">
        <v>-0.10158499999999999</v>
      </c>
      <c r="U1081">
        <v>-0.37216189999999999</v>
      </c>
      <c r="V1081">
        <v>0.16112560000000001</v>
      </c>
      <c r="W1081">
        <v>-7.4570689999999995E-2</v>
      </c>
      <c r="X1081">
        <v>0.98411269999999995</v>
      </c>
      <c r="Y1081">
        <v>0.12898599999999999</v>
      </c>
      <c r="Z1081">
        <v>-3.2322169999999999E-3</v>
      </c>
      <c r="AA1081">
        <v>0.9916412</v>
      </c>
      <c r="AB1081">
        <v>33</v>
      </c>
      <c r="AC1081">
        <v>32.199100000000001</v>
      </c>
      <c r="AD1081">
        <v>-1.108666976274</v>
      </c>
      <c r="AE1081">
        <v>-4.0628000000000304</v>
      </c>
      <c r="AF1081">
        <v>4.2271206146241997</v>
      </c>
      <c r="AG1081">
        <v>-1.108666976274</v>
      </c>
      <c r="AH1081">
        <v>32.1397860511738</v>
      </c>
      <c r="AI1081">
        <v>91.958787666750197</v>
      </c>
      <c r="AJ1081">
        <v>82.507294194856598</v>
      </c>
      <c r="AK1081">
        <v>32.4355289546831</v>
      </c>
      <c r="AL1081">
        <v>94.276555464313802</v>
      </c>
      <c r="AM1081">
        <v>80.701646296670503</v>
      </c>
      <c r="AN1081">
        <v>1.00000002654186</v>
      </c>
    </row>
    <row r="1082" spans="1:40" x14ac:dyDescent="0.25">
      <c r="A1082" t="str">
        <f>"20190305135812010"</f>
        <v>20190305135812010</v>
      </c>
      <c r="B1082" t="str">
        <f>"1551765491999964"</f>
        <v>1551765491999964</v>
      </c>
      <c r="C1082" t="s">
        <v>40</v>
      </c>
      <c r="D1082">
        <v>3.9717150000000001</v>
      </c>
      <c r="E1082">
        <v>0.4893111</v>
      </c>
      <c r="F1082" t="s">
        <v>50</v>
      </c>
      <c r="G1082">
        <v>-206.61259999999999</v>
      </c>
      <c r="H1082" s="1">
        <v>-4.9000889999999998E-6</v>
      </c>
      <c r="I1082">
        <v>364.23129999999998</v>
      </c>
      <c r="J1082">
        <v>-238.66679999999999</v>
      </c>
      <c r="K1082">
        <v>1.108663</v>
      </c>
      <c r="L1082">
        <v>368.32389999999998</v>
      </c>
      <c r="M1082">
        <v>0.99988460000000001</v>
      </c>
      <c r="N1082">
        <v>-1.4530059999999999E-2</v>
      </c>
      <c r="O1082">
        <v>4.4693729999999996E-3</v>
      </c>
      <c r="P1082">
        <v>0.98360190000000003</v>
      </c>
      <c r="Q1082">
        <v>-8.8431599999999999E-2</v>
      </c>
      <c r="R1082">
        <v>-0.1571861</v>
      </c>
      <c r="S1082">
        <v>2.9805450000000002</v>
      </c>
      <c r="T1082">
        <v>-0.1020628</v>
      </c>
      <c r="U1082">
        <v>-0.37667850000000003</v>
      </c>
      <c r="V1082">
        <v>0.16144900000000001</v>
      </c>
      <c r="W1082">
        <v>-7.4427919999999995E-2</v>
      </c>
      <c r="X1082">
        <v>0.98407049999999996</v>
      </c>
      <c r="Y1082">
        <v>0.12970719999999999</v>
      </c>
      <c r="Z1082">
        <v>-3.2455750000000001E-3</v>
      </c>
      <c r="AA1082">
        <v>0.99154699999999996</v>
      </c>
      <c r="AB1082">
        <v>33</v>
      </c>
      <c r="AC1082">
        <v>32.054200000000002</v>
      </c>
      <c r="AD1082">
        <v>-1.1086679000889901</v>
      </c>
      <c r="AE1082">
        <v>-4.0926</v>
      </c>
      <c r="AF1082">
        <v>4.2308562869056603</v>
      </c>
      <c r="AG1082">
        <v>-1.1086679000889901</v>
      </c>
      <c r="AH1082">
        <v>31.997921996611598</v>
      </c>
      <c r="AI1082">
        <v>91.967288527143396</v>
      </c>
      <c r="AJ1082">
        <v>82.467880609573896</v>
      </c>
      <c r="AK1082">
        <v>32.295453264111003</v>
      </c>
      <c r="AL1082">
        <v>94.268352570474505</v>
      </c>
      <c r="AM1082">
        <v>80.6829176959194</v>
      </c>
      <c r="AN1082">
        <v>1.00000002192338</v>
      </c>
    </row>
    <row r="1083" spans="1:40" x14ac:dyDescent="0.25">
      <c r="A1083" t="str">
        <f>"20190305135812032"</f>
        <v>20190305135812032</v>
      </c>
      <c r="B1083" t="str">
        <f>"1551765492019484"</f>
        <v>1551765492019484</v>
      </c>
      <c r="C1083" t="s">
        <v>40</v>
      </c>
      <c r="D1083">
        <v>4.0019429999999998</v>
      </c>
      <c r="E1083">
        <v>0.48947059999999998</v>
      </c>
      <c r="F1083" t="s">
        <v>50</v>
      </c>
      <c r="G1083">
        <v>-205.7698</v>
      </c>
      <c r="H1083" s="1">
        <v>-4.531041E-6</v>
      </c>
      <c r="I1083">
        <v>364.12509999999997</v>
      </c>
      <c r="J1083">
        <v>-238.34450000000001</v>
      </c>
      <c r="K1083">
        <v>1.108668</v>
      </c>
      <c r="L1083">
        <v>368.3245</v>
      </c>
      <c r="M1083">
        <v>0.99988779999999999</v>
      </c>
      <c r="N1083">
        <v>-1.452669E-2</v>
      </c>
      <c r="O1083">
        <v>3.682725E-3</v>
      </c>
      <c r="P1083">
        <v>0.98349260000000005</v>
      </c>
      <c r="Q1083">
        <v>-8.7671379999999993E-2</v>
      </c>
      <c r="R1083">
        <v>-0.15829179999999901</v>
      </c>
      <c r="S1083">
        <v>2.9801790000000001</v>
      </c>
      <c r="T1083">
        <v>-0.10043539999999999</v>
      </c>
      <c r="U1083">
        <v>-0.38037110000000002</v>
      </c>
      <c r="V1083">
        <v>0.16178190000000001</v>
      </c>
      <c r="W1083">
        <v>-7.3672570000000007E-2</v>
      </c>
      <c r="X1083">
        <v>0.98407259999999996</v>
      </c>
      <c r="Y1083">
        <v>0.13015399999999999</v>
      </c>
      <c r="Z1083">
        <v>-3.2036090000000001E-3</v>
      </c>
      <c r="AA1083">
        <v>0.99148860000000005</v>
      </c>
      <c r="AB1083">
        <v>33</v>
      </c>
      <c r="AC1083">
        <v>32.5747</v>
      </c>
      <c r="AD1083">
        <v>-1.1086725310409999</v>
      </c>
      <c r="AE1083">
        <v>-4.1994000000000202</v>
      </c>
      <c r="AF1083">
        <v>4.3144318367287804</v>
      </c>
      <c r="AG1083">
        <v>-1.1086725310409999</v>
      </c>
      <c r="AH1083">
        <v>32.521955722935601</v>
      </c>
      <c r="AI1083">
        <v>91.935510960358698</v>
      </c>
      <c r="AJ1083">
        <v>82.443145467503001</v>
      </c>
      <c r="AK1083">
        <v>32.825616230307801</v>
      </c>
      <c r="AL1083">
        <v>94.2249553332734</v>
      </c>
      <c r="AM1083">
        <v>80.664063804561295</v>
      </c>
      <c r="AN1083">
        <v>0.99999995640438599</v>
      </c>
    </row>
    <row r="1084" spans="1:40" x14ac:dyDescent="0.25">
      <c r="A1084" t="str">
        <f>"20190305135812054"</f>
        <v>20190305135812054</v>
      </c>
      <c r="B1084" t="str">
        <f>"1551765492049741"</f>
        <v>1551765492049741</v>
      </c>
      <c r="C1084" t="s">
        <v>40</v>
      </c>
      <c r="D1084">
        <v>4.0138400000000001</v>
      </c>
      <c r="E1084">
        <v>0.48949039999999999</v>
      </c>
      <c r="F1084" t="s">
        <v>50</v>
      </c>
      <c r="G1084">
        <v>-204.6147</v>
      </c>
      <c r="H1084" s="1">
        <v>-4.0135900000000001E-6</v>
      </c>
      <c r="I1084">
        <v>363.96730000000002</v>
      </c>
      <c r="J1084">
        <v>-238.0104</v>
      </c>
      <c r="K1084">
        <v>1.1086769999999999</v>
      </c>
      <c r="L1084">
        <v>368.32490000000001</v>
      </c>
      <c r="M1084">
        <v>0.99989039999999996</v>
      </c>
      <c r="N1084">
        <v>-1.452325E-2</v>
      </c>
      <c r="O1084">
        <v>2.8686879999999999E-3</v>
      </c>
      <c r="P1084">
        <v>0.98333139999999997</v>
      </c>
      <c r="Q1084">
        <v>-8.6890350000000005E-2</v>
      </c>
      <c r="R1084">
        <v>-0.15971729999999901</v>
      </c>
      <c r="S1084">
        <v>2.9796749999999999</v>
      </c>
      <c r="T1084">
        <v>-9.7939849999999995E-2</v>
      </c>
      <c r="U1084">
        <v>-0.38491819999999999</v>
      </c>
      <c r="V1084">
        <v>0.16240769999999999</v>
      </c>
      <c r="W1084">
        <v>-7.2897139999999999E-2</v>
      </c>
      <c r="X1084">
        <v>0.98402730000000005</v>
      </c>
      <c r="Y1084">
        <v>0.13086039999999999</v>
      </c>
      <c r="Z1084">
        <v>-3.1481780000000002E-3</v>
      </c>
      <c r="AA1084">
        <v>0.99139580000000005</v>
      </c>
      <c r="AB1084">
        <v>33</v>
      </c>
      <c r="AC1084">
        <v>33.395699999999998</v>
      </c>
      <c r="AD1084">
        <v>-1.10868101359</v>
      </c>
      <c r="AE1084">
        <v>-4.3575999999999899</v>
      </c>
      <c r="AF1084">
        <v>4.4485731980128804</v>
      </c>
      <c r="AG1084">
        <v>-1.10868101359</v>
      </c>
      <c r="AH1084">
        <v>33.346923334682302</v>
      </c>
      <c r="AI1084">
        <v>91.887495353071202</v>
      </c>
      <c r="AJ1084">
        <v>82.4014456139857</v>
      </c>
      <c r="AK1084">
        <v>33.660604168332299</v>
      </c>
      <c r="AL1084">
        <v>94.180406531582307</v>
      </c>
      <c r="AM1084">
        <v>80.628166486730095</v>
      </c>
      <c r="AN1084">
        <v>0.99999999059237998</v>
      </c>
    </row>
    <row r="1085" spans="1:40" x14ac:dyDescent="0.25">
      <c r="A1085" t="str">
        <f>"20190305135812077"</f>
        <v>20190305135812077</v>
      </c>
      <c r="B1085" t="str">
        <f>"1551765492069260"</f>
        <v>1551765492069260</v>
      </c>
      <c r="C1085" t="s">
        <v>40</v>
      </c>
      <c r="D1085">
        <v>4.0527620000000004</v>
      </c>
      <c r="E1085">
        <v>0.48963610000000002</v>
      </c>
      <c r="F1085" t="s">
        <v>50</v>
      </c>
      <c r="G1085">
        <v>-203.2534</v>
      </c>
      <c r="H1085" s="1">
        <v>-3.3707000000000002E-6</v>
      </c>
      <c r="I1085">
        <v>363.77719999999999</v>
      </c>
      <c r="J1085">
        <v>-237.6798</v>
      </c>
      <c r="K1085">
        <v>1.1086819999999999</v>
      </c>
      <c r="L1085">
        <v>368.32499999999999</v>
      </c>
      <c r="M1085">
        <v>0.99989249999999996</v>
      </c>
      <c r="N1085">
        <v>-1.451975E-2</v>
      </c>
      <c r="O1085">
        <v>2.063549E-3</v>
      </c>
      <c r="P1085">
        <v>0.98303969999999896</v>
      </c>
      <c r="Q1085">
        <v>-8.6717370000000002E-2</v>
      </c>
      <c r="R1085">
        <v>-0.16159560000000001</v>
      </c>
      <c r="S1085">
        <v>2.9791409999999998</v>
      </c>
      <c r="T1085">
        <v>-9.5028879999999996E-2</v>
      </c>
      <c r="U1085">
        <v>-0.38980100000000001</v>
      </c>
      <c r="V1085">
        <v>0.16349430000000001</v>
      </c>
      <c r="W1085">
        <v>-7.2732199999999997E-2</v>
      </c>
      <c r="X1085">
        <v>0.98385959999999995</v>
      </c>
      <c r="Y1085">
        <v>0.131687</v>
      </c>
      <c r="Z1085">
        <v>-3.0870310000000001E-3</v>
      </c>
      <c r="AA1085">
        <v>0.99128649999999996</v>
      </c>
      <c r="AB1085">
        <v>33</v>
      </c>
      <c r="AC1085">
        <v>34.426400000000001</v>
      </c>
      <c r="AD1085">
        <v>-1.1086853707</v>
      </c>
      <c r="AE1085">
        <v>-4.5477999999999899</v>
      </c>
      <c r="AF1085">
        <v>4.6141349831835097</v>
      </c>
      <c r="AG1085">
        <v>-1.1086853707</v>
      </c>
      <c r="AH1085">
        <v>34.3818941803192</v>
      </c>
      <c r="AI1085">
        <v>91.830531738030103</v>
      </c>
      <c r="AJ1085">
        <v>82.356434410180995</v>
      </c>
      <c r="AK1085">
        <v>34.707838773408398</v>
      </c>
      <c r="AL1085">
        <v>94.170930823926</v>
      </c>
      <c r="AM1085">
        <v>80.565007943252695</v>
      </c>
      <c r="AN1085">
        <v>1.0000000357807399</v>
      </c>
    </row>
    <row r="1086" spans="1:40" x14ac:dyDescent="0.25">
      <c r="A1086" t="str">
        <f>"20190305135812099"</f>
        <v>20190305135812099</v>
      </c>
      <c r="B1086" t="str">
        <f>"1551765492089756"</f>
        <v>1551765492089756</v>
      </c>
      <c r="C1086" t="s">
        <v>40</v>
      </c>
      <c r="D1086">
        <v>4.0300039999999999</v>
      </c>
      <c r="E1086">
        <v>0.48961149999999998</v>
      </c>
      <c r="F1086" t="s">
        <v>50</v>
      </c>
      <c r="G1086">
        <v>-202.77979999999999</v>
      </c>
      <c r="H1086" s="1">
        <v>-3.1553929999999999E-6</v>
      </c>
      <c r="I1086">
        <v>363.67329999999998</v>
      </c>
      <c r="J1086">
        <v>-237.34309999999999</v>
      </c>
      <c r="K1086">
        <v>1.1086830000000001</v>
      </c>
      <c r="L1086">
        <v>368.32479999999998</v>
      </c>
      <c r="M1086">
        <v>0.99989399999999995</v>
      </c>
      <c r="N1086">
        <v>-1.451615E-2</v>
      </c>
      <c r="O1086">
        <v>1.244003E-3</v>
      </c>
      <c r="P1086">
        <v>0.98274249999999996</v>
      </c>
      <c r="Q1086">
        <v>-8.649047E-2</v>
      </c>
      <c r="R1086">
        <v>-0.16351379999999999</v>
      </c>
      <c r="S1086">
        <v>2.97818</v>
      </c>
      <c r="T1086">
        <v>-9.4609260000000001E-2</v>
      </c>
      <c r="U1086">
        <v>-0.39694210000000002</v>
      </c>
      <c r="V1086">
        <v>0.1646069</v>
      </c>
      <c r="W1086">
        <v>-7.2513149999999998E-2</v>
      </c>
      <c r="X1086">
        <v>0.98369019999999996</v>
      </c>
      <c r="Y1086">
        <v>0.13325139999999999</v>
      </c>
      <c r="Z1086">
        <v>-3.0998559999999998E-3</v>
      </c>
      <c r="AA1086">
        <v>0.9910774</v>
      </c>
      <c r="AB1086">
        <v>33</v>
      </c>
      <c r="AC1086">
        <v>34.563299999999998</v>
      </c>
      <c r="AD1086">
        <v>-1.1086861553929901</v>
      </c>
      <c r="AE1086">
        <v>-4.6514999999999898</v>
      </c>
      <c r="AF1086">
        <v>4.6897581711817704</v>
      </c>
      <c r="AG1086">
        <v>-1.1086861553929901</v>
      </c>
      <c r="AH1086">
        <v>34.522596646047297</v>
      </c>
      <c r="AI1086">
        <v>91.822680415171007</v>
      </c>
      <c r="AJ1086">
        <v>82.263950488945497</v>
      </c>
      <c r="AK1086">
        <v>34.8573191149435</v>
      </c>
      <c r="AL1086">
        <v>94.158347109148295</v>
      </c>
      <c r="AM1086">
        <v>80.500361745837097</v>
      </c>
      <c r="AN1086">
        <v>0.99999999901328596</v>
      </c>
    </row>
    <row r="1087" spans="1:40" x14ac:dyDescent="0.25">
      <c r="A1087" t="str">
        <f>"20190305135812114"</f>
        <v>20190305135812114</v>
      </c>
      <c r="B1087" t="str">
        <f>"1551765492109276"</f>
        <v>1551765492109276</v>
      </c>
      <c r="C1087" t="s">
        <v>40</v>
      </c>
      <c r="D1087">
        <v>4.0223930000000001</v>
      </c>
      <c r="E1087">
        <v>0.4897396</v>
      </c>
      <c r="F1087" t="s">
        <v>50</v>
      </c>
      <c r="G1087">
        <v>-202.1335</v>
      </c>
      <c r="H1087" s="1">
        <v>-2.8543060000000001E-6</v>
      </c>
      <c r="I1087">
        <v>363.56439999999998</v>
      </c>
      <c r="J1087">
        <v>-237.1301</v>
      </c>
      <c r="K1087">
        <v>1.1086879999999999</v>
      </c>
      <c r="L1087">
        <v>368.3245</v>
      </c>
      <c r="M1087">
        <v>0.99989439999999996</v>
      </c>
      <c r="N1087">
        <v>-1.451388E-2</v>
      </c>
      <c r="O1087">
        <v>7.2525839999999905E-4</v>
      </c>
      <c r="P1087">
        <v>0.98256589999999999</v>
      </c>
      <c r="Q1087">
        <v>-8.6405060000000006E-2</v>
      </c>
      <c r="R1087">
        <v>-0.16461770000000001</v>
      </c>
      <c r="S1087">
        <v>2.9774479999999999</v>
      </c>
      <c r="T1087">
        <v>-9.3754290000000004E-2</v>
      </c>
      <c r="U1087">
        <v>-0.40255740000000001</v>
      </c>
      <c r="V1087">
        <v>0.16520090000000001</v>
      </c>
      <c r="W1087">
        <v>-7.2432179999999999E-2</v>
      </c>
      <c r="X1087">
        <v>0.98359660000000004</v>
      </c>
      <c r="Y1087">
        <v>0.13460559999999999</v>
      </c>
      <c r="Z1087">
        <v>-3.1030279999999999E-3</v>
      </c>
      <c r="AA1087">
        <v>0.99089439999999995</v>
      </c>
      <c r="AB1087">
        <v>33</v>
      </c>
      <c r="AC1087">
        <v>34.996600000000001</v>
      </c>
      <c r="AD1087">
        <v>-1.1086908543059999</v>
      </c>
      <c r="AE1087">
        <v>-4.76010000000002</v>
      </c>
      <c r="AF1087">
        <v>4.7807720761540802</v>
      </c>
      <c r="AG1087">
        <v>-1.1086908543059999</v>
      </c>
      <c r="AH1087">
        <v>34.958690193517398</v>
      </c>
      <c r="AI1087">
        <v>91.799747241423404</v>
      </c>
      <c r="AJ1087">
        <v>82.212826799002798</v>
      </c>
      <c r="AK1087">
        <v>35.3014871797334</v>
      </c>
      <c r="AL1087">
        <v>94.153695572691603</v>
      </c>
      <c r="AM1087">
        <v>80.465818937251996</v>
      </c>
      <c r="AN1087">
        <v>1.00000001479596</v>
      </c>
    </row>
    <row r="1088" spans="1:40" x14ac:dyDescent="0.25">
      <c r="A1088" t="str">
        <f>"20190305135812128"</f>
        <v>20190305135812128</v>
      </c>
      <c r="B1088" t="str">
        <f>"1551765492120012"</f>
        <v>1551765492120012</v>
      </c>
      <c r="C1088" t="s">
        <v>40</v>
      </c>
      <c r="D1088">
        <v>4.0120529999999999</v>
      </c>
      <c r="E1088">
        <v>0.48980190000000001</v>
      </c>
      <c r="F1088" t="s">
        <v>50</v>
      </c>
      <c r="G1088">
        <v>-201.87010000000001</v>
      </c>
      <c r="H1088" s="1">
        <v>-2.7270380000000001E-6</v>
      </c>
      <c r="I1088">
        <v>363.50720000000001</v>
      </c>
      <c r="J1088">
        <v>-236.92060000000001</v>
      </c>
      <c r="K1088">
        <v>1.10869</v>
      </c>
      <c r="L1088">
        <v>368.32420000000002</v>
      </c>
      <c r="M1088">
        <v>0.99989470000000003</v>
      </c>
      <c r="N1088">
        <v>-1.4511659999999999E-2</v>
      </c>
      <c r="O1088">
        <v>2.149788E-4</v>
      </c>
      <c r="P1088">
        <v>0.98239799999999999</v>
      </c>
      <c r="Q1088">
        <v>-8.6518070000000002E-2</v>
      </c>
      <c r="R1088">
        <v>-0.1655566</v>
      </c>
      <c r="S1088">
        <v>2.9768520000000001</v>
      </c>
      <c r="T1088">
        <v>-9.3602179999999993E-2</v>
      </c>
      <c r="U1088">
        <v>-0.40670780000000001</v>
      </c>
      <c r="V1088">
        <v>0.16563839999999999</v>
      </c>
      <c r="W1088">
        <v>-7.2549139999999998E-2</v>
      </c>
      <c r="X1088">
        <v>0.98351440000000001</v>
      </c>
      <c r="Y1088">
        <v>0.1354823</v>
      </c>
      <c r="Z1088">
        <v>-3.1112499999999999E-3</v>
      </c>
      <c r="AA1088">
        <v>0.99077490000000001</v>
      </c>
      <c r="AB1088">
        <v>33</v>
      </c>
      <c r="AC1088">
        <v>35.0505</v>
      </c>
      <c r="AD1088">
        <v>-1.108692727038</v>
      </c>
      <c r="AE1088">
        <v>-4.8170000000000002</v>
      </c>
      <c r="AF1088">
        <v>4.81980278914744</v>
      </c>
      <c r="AG1088">
        <v>-1.108692727038</v>
      </c>
      <c r="AH1088">
        <v>35.015079003970598</v>
      </c>
      <c r="AI1088">
        <v>91.796637554349005</v>
      </c>
      <c r="AJ1088">
        <v>82.162525437737202</v>
      </c>
      <c r="AK1088">
        <v>35.362627958673599</v>
      </c>
      <c r="AL1088">
        <v>94.160414558425998</v>
      </c>
      <c r="AM1088">
        <v>80.440250809332298</v>
      </c>
      <c r="AN1088">
        <v>1.00000001613832</v>
      </c>
    </row>
    <row r="1089" spans="1:40" x14ac:dyDescent="0.25">
      <c r="A1089" t="str">
        <f>"20190305135812142"</f>
        <v>20190305135812142</v>
      </c>
      <c r="B1089" t="str">
        <f>"1551765492139532"</f>
        <v>1551765492139532</v>
      </c>
      <c r="C1089" t="s">
        <v>40</v>
      </c>
      <c r="D1089">
        <v>4.0067919999999999</v>
      </c>
      <c r="E1089">
        <v>0.48984329999999998</v>
      </c>
      <c r="F1089" t="s">
        <v>50</v>
      </c>
      <c r="G1089">
        <v>-201.81120000000001</v>
      </c>
      <c r="H1089" s="1">
        <v>-2.6981960000000002E-6</v>
      </c>
      <c r="I1089">
        <v>363.48450000000003</v>
      </c>
      <c r="J1089">
        <v>-236.71799999999999</v>
      </c>
      <c r="K1089">
        <v>1.10869</v>
      </c>
      <c r="L1089">
        <v>368.32369999999997</v>
      </c>
      <c r="M1089">
        <v>0.99989479999999997</v>
      </c>
      <c r="N1089">
        <v>-1.450952E-2</v>
      </c>
      <c r="O1089">
        <v>-2.78552E-4</v>
      </c>
      <c r="P1089">
        <v>0.98222659999999995</v>
      </c>
      <c r="Q1089">
        <v>-8.6427539999999997E-2</v>
      </c>
      <c r="R1089">
        <v>-0.1666183</v>
      </c>
      <c r="S1089">
        <v>2.9763489999999999</v>
      </c>
      <c r="T1089">
        <v>-9.398782E-2</v>
      </c>
      <c r="U1089">
        <v>-0.41027829999999899</v>
      </c>
      <c r="V1089">
        <v>0.16621549999999999</v>
      </c>
      <c r="W1089">
        <v>-7.2462810000000002E-2</v>
      </c>
      <c r="X1089">
        <v>0.98342339999999995</v>
      </c>
      <c r="Y1089">
        <v>0.1361812</v>
      </c>
      <c r="Z1089">
        <v>-3.1278249999999999E-3</v>
      </c>
      <c r="AA1089">
        <v>0.99067899999999998</v>
      </c>
      <c r="AB1089">
        <v>33</v>
      </c>
      <c r="AC1089">
        <v>34.906799999999897</v>
      </c>
      <c r="AD1089">
        <v>-1.1086926981959999</v>
      </c>
      <c r="AE1089">
        <v>-4.8391999999999404</v>
      </c>
      <c r="AF1089">
        <v>4.8247000809500404</v>
      </c>
      <c r="AG1089">
        <v>-1.1086926981959999</v>
      </c>
      <c r="AH1089">
        <v>34.873629838019497</v>
      </c>
      <c r="AI1089">
        <v>91.803749380638195</v>
      </c>
      <c r="AJ1089">
        <v>82.123238623707294</v>
      </c>
      <c r="AK1089">
        <v>35.223245001694004</v>
      </c>
      <c r="AL1089">
        <v>94.155455155070001</v>
      </c>
      <c r="AM1089">
        <v>80.406690461648495</v>
      </c>
      <c r="AN1089">
        <v>1.00000001747045</v>
      </c>
    </row>
    <row r="1090" spans="1:40" x14ac:dyDescent="0.25">
      <c r="A1090" t="str">
        <f>"20190305135812159"</f>
        <v>20190305135812159</v>
      </c>
      <c r="B1090" t="str">
        <f>"1551765492149293"</f>
        <v>1551765492149293</v>
      </c>
      <c r="C1090" t="s">
        <v>40</v>
      </c>
      <c r="D1090">
        <v>4.0012990000000004</v>
      </c>
      <c r="E1090">
        <v>0.48996070000000003</v>
      </c>
      <c r="F1090" t="s">
        <v>50</v>
      </c>
      <c r="G1090">
        <v>-201.41370000000001</v>
      </c>
      <c r="H1090" s="1">
        <v>-2.481575E-6</v>
      </c>
      <c r="I1090">
        <v>363.4144</v>
      </c>
      <c r="J1090">
        <v>-236.476</v>
      </c>
      <c r="K1090">
        <v>1.108684</v>
      </c>
      <c r="L1090">
        <v>368.32310000000001</v>
      </c>
      <c r="M1090">
        <v>0.99989439999999996</v>
      </c>
      <c r="N1090">
        <v>-1.4506959999999999E-2</v>
      </c>
      <c r="O1090">
        <v>-8.6773380000000004E-4</v>
      </c>
      <c r="P1090">
        <v>0.98183989999999999</v>
      </c>
      <c r="Q1090">
        <v>-8.6849670000000004E-2</v>
      </c>
      <c r="R1090">
        <v>-0.16866489999999901</v>
      </c>
      <c r="S1090">
        <v>2.975876</v>
      </c>
      <c r="T1090">
        <v>-9.3453999999999995E-2</v>
      </c>
      <c r="U1090">
        <v>-0.41381839999999998</v>
      </c>
      <c r="V1090">
        <v>0.167683</v>
      </c>
      <c r="W1090">
        <v>-7.2893810000000003E-2</v>
      </c>
      <c r="X1090">
        <v>0.98314239999999997</v>
      </c>
      <c r="Y1090">
        <v>0.1367757</v>
      </c>
      <c r="Z1090">
        <v>-3.1195099999999998E-3</v>
      </c>
      <c r="AA1090">
        <v>0.99059710000000001</v>
      </c>
      <c r="AB1090">
        <v>33</v>
      </c>
      <c r="AC1090">
        <v>35.062299999999901</v>
      </c>
      <c r="AD1090">
        <v>-1.1086864815749999</v>
      </c>
      <c r="AE1090">
        <v>-4.9086999999999996</v>
      </c>
      <c r="AF1090">
        <v>4.8734910959300803</v>
      </c>
      <c r="AG1090">
        <v>-1.1086864815749999</v>
      </c>
      <c r="AH1090">
        <v>35.032192930369099</v>
      </c>
      <c r="AI1090">
        <v>91.795393312258298</v>
      </c>
      <c r="AJ1090">
        <v>82.080147587814494</v>
      </c>
      <c r="AK1090">
        <v>35.386927567777597</v>
      </c>
      <c r="AL1090">
        <v>94.180215031876202</v>
      </c>
      <c r="AM1090">
        <v>80.320873273673499</v>
      </c>
      <c r="AN1090">
        <v>1.0000000373515301</v>
      </c>
    </row>
    <row r="1091" spans="1:40" x14ac:dyDescent="0.25">
      <c r="A1091" t="str">
        <f>"20190305135812178"</f>
        <v>20190305135812178</v>
      </c>
      <c r="B1091" t="str">
        <f>"1551765492169787"</f>
        <v>1551765492169787</v>
      </c>
      <c r="C1091" t="s">
        <v>40</v>
      </c>
      <c r="D1091">
        <v>4.1085719999999997</v>
      </c>
      <c r="E1091">
        <v>0.51101719999999995</v>
      </c>
      <c r="F1091" t="s">
        <v>50</v>
      </c>
      <c r="G1091">
        <v>-201.4179</v>
      </c>
      <c r="H1091" s="1">
        <v>-2.4987680000000001E-6</v>
      </c>
      <c r="I1091">
        <v>363.35919999999999</v>
      </c>
      <c r="J1091">
        <v>-236.1857</v>
      </c>
      <c r="K1091">
        <v>1.1086849999999999</v>
      </c>
      <c r="L1091">
        <v>368.32209999999998</v>
      </c>
      <c r="M1091">
        <v>0.9998937</v>
      </c>
      <c r="N1091">
        <v>-1.45038999999999E-2</v>
      </c>
      <c r="O1091">
        <v>-1.5727530000000001E-3</v>
      </c>
      <c r="P1091">
        <v>0.98149280000000005</v>
      </c>
      <c r="Q1091">
        <v>-8.6808830000000003E-2</v>
      </c>
      <c r="R1091">
        <v>-0.1706937</v>
      </c>
      <c r="S1091">
        <v>2.9748079999999999</v>
      </c>
      <c r="T1091">
        <v>-9.4076160000000006E-2</v>
      </c>
      <c r="U1091">
        <v>-0.42120360000000001</v>
      </c>
      <c r="V1091">
        <v>0.16902049999999999</v>
      </c>
      <c r="W1091">
        <v>-7.2860759999999997E-2</v>
      </c>
      <c r="X1091">
        <v>0.98291580000000001</v>
      </c>
      <c r="Y1091">
        <v>0.13853499999999999</v>
      </c>
      <c r="Z1091">
        <v>-3.162396E-3</v>
      </c>
      <c r="AA1091">
        <v>0.99035249999999997</v>
      </c>
      <c r="AB1091">
        <v>33</v>
      </c>
      <c r="AC1091">
        <v>34.767799999999902</v>
      </c>
      <c r="AD1091">
        <v>-1.108687498768</v>
      </c>
      <c r="AE1091">
        <v>-4.9628999999999897</v>
      </c>
      <c r="AF1091">
        <v>4.9033204976156197</v>
      </c>
      <c r="AG1091">
        <v>-1.108687498768</v>
      </c>
      <c r="AH1091">
        <v>34.740941774966501</v>
      </c>
      <c r="AI1091">
        <v>91.809933301622095</v>
      </c>
      <c r="AJ1091">
        <v>81.966363988736404</v>
      </c>
      <c r="AK1091">
        <v>35.10277446704</v>
      </c>
      <c r="AL1091">
        <v>94.178316326400903</v>
      </c>
      <c r="AM1091">
        <v>80.242941029560598</v>
      </c>
      <c r="AN1091">
        <v>1.00000004482883</v>
      </c>
    </row>
    <row r="1092" spans="1:40" x14ac:dyDescent="0.25">
      <c r="A1092" t="str">
        <f>"20190305135812201"</f>
        <v>20190305135812201</v>
      </c>
      <c r="B1092" t="str">
        <f>"1551765492189308"</f>
        <v>1551765492189308</v>
      </c>
      <c r="C1092" t="s">
        <v>40</v>
      </c>
      <c r="D1092">
        <v>4.0397540000000003</v>
      </c>
      <c r="E1092">
        <v>0.52290669999999995</v>
      </c>
      <c r="F1092" t="s">
        <v>50</v>
      </c>
      <c r="G1092">
        <v>-200.08410000000001</v>
      </c>
      <c r="H1092" s="1">
        <v>-2.3217909999999999E-6</v>
      </c>
      <c r="I1092">
        <v>361.05700000000002</v>
      </c>
      <c r="J1092">
        <v>-235.85990000000001</v>
      </c>
      <c r="K1092">
        <v>1.1087009999999999</v>
      </c>
      <c r="L1092">
        <v>368.32069999999999</v>
      </c>
      <c r="M1092">
        <v>0.99989209999999995</v>
      </c>
      <c r="N1092">
        <v>-1.4500399999999899E-2</v>
      </c>
      <c r="O1092">
        <v>-2.3580609999999998E-3</v>
      </c>
      <c r="P1092">
        <v>0.98109290000000005</v>
      </c>
      <c r="Q1092">
        <v>-8.7282670000000007E-2</v>
      </c>
      <c r="R1092">
        <v>-0.17273959999999999</v>
      </c>
      <c r="S1092">
        <v>2.9454799999999999</v>
      </c>
      <c r="T1092">
        <v>-9.0456369999999994E-2</v>
      </c>
      <c r="U1092">
        <v>-0.59274289999999996</v>
      </c>
      <c r="V1092">
        <v>0.1702958</v>
      </c>
      <c r="W1092">
        <v>-7.3342160000000003E-2</v>
      </c>
      <c r="X1092">
        <v>0.98265979999999997</v>
      </c>
      <c r="Y1092">
        <v>0.1948394</v>
      </c>
      <c r="Z1092">
        <v>-4.3507859999999997E-3</v>
      </c>
      <c r="AA1092">
        <v>0.98082550000000002</v>
      </c>
      <c r="AB1092">
        <v>33</v>
      </c>
      <c r="AC1092">
        <v>35.775799999999997</v>
      </c>
      <c r="AD1092">
        <v>-1.1087033217909901</v>
      </c>
      <c r="AE1092">
        <v>-7.2637000000000196</v>
      </c>
      <c r="AF1092">
        <v>7.1726934877729702</v>
      </c>
      <c r="AG1092">
        <v>-1.1087033217909901</v>
      </c>
      <c r="AH1092">
        <v>35.759846512405502</v>
      </c>
      <c r="AI1092">
        <v>91.741179230822198</v>
      </c>
      <c r="AJ1092">
        <v>78.658143131437697</v>
      </c>
      <c r="AK1092">
        <v>36.488948703903297</v>
      </c>
      <c r="AL1092">
        <v>94.205972665956395</v>
      </c>
      <c r="AM1092">
        <v>80.168241705786997</v>
      </c>
      <c r="AN1092">
        <v>1.00000000723357</v>
      </c>
    </row>
    <row r="1093" spans="1:40" x14ac:dyDescent="0.25">
      <c r="A1093" t="str">
        <f>"20190305135812214"</f>
        <v>20190305135812214</v>
      </c>
      <c r="B1093" t="str">
        <f>"1551765492209805"</f>
        <v>1551765492209805</v>
      </c>
      <c r="C1093" t="s">
        <v>40</v>
      </c>
      <c r="D1093">
        <v>4.0064769999999896</v>
      </c>
      <c r="E1093">
        <v>0.52850359999999996</v>
      </c>
      <c r="F1093" t="s">
        <v>50</v>
      </c>
      <c r="G1093">
        <v>-203.81540000000001</v>
      </c>
      <c r="H1093" s="1">
        <v>-4.32799E-6</v>
      </c>
      <c r="I1093">
        <v>360.73509999999999</v>
      </c>
      <c r="J1093">
        <v>-235.64769999999999</v>
      </c>
      <c r="K1093">
        <v>1.108706</v>
      </c>
      <c r="L1093">
        <v>368.31970000000001</v>
      </c>
      <c r="M1093">
        <v>0.99989090000000003</v>
      </c>
      <c r="N1093">
        <v>-1.449814E-2</v>
      </c>
      <c r="O1093">
        <v>-2.8621520000000002E-3</v>
      </c>
      <c r="P1093">
        <v>0.98086989999999996</v>
      </c>
      <c r="Q1093">
        <v>-8.7437639999999997E-2</v>
      </c>
      <c r="R1093">
        <v>-0.17392279999999999</v>
      </c>
      <c r="S1093">
        <v>2.9268339999999999</v>
      </c>
      <c r="T1093">
        <v>-0.1012651</v>
      </c>
      <c r="U1093">
        <v>-0.69284060000000003</v>
      </c>
      <c r="V1093">
        <v>0.170986</v>
      </c>
      <c r="W1093">
        <v>-7.3499930000000005E-2</v>
      </c>
      <c r="X1093">
        <v>0.98252819999999996</v>
      </c>
      <c r="Y1093">
        <v>0.22738269999999999</v>
      </c>
      <c r="Z1093">
        <v>-5.4936910000000002E-3</v>
      </c>
      <c r="AA1093">
        <v>0.97379000000000004</v>
      </c>
      <c r="AB1093">
        <v>33</v>
      </c>
      <c r="AC1093">
        <v>31.832299999999901</v>
      </c>
      <c r="AD1093">
        <v>-1.1087103279899999</v>
      </c>
      <c r="AE1093">
        <v>-7.5846000000000204</v>
      </c>
      <c r="AF1093">
        <v>7.4848583116199903</v>
      </c>
      <c r="AG1093">
        <v>-1.1087103279899999</v>
      </c>
      <c r="AH1093">
        <v>31.817355737518</v>
      </c>
      <c r="AI1093">
        <v>91.942736797432403</v>
      </c>
      <c r="AJ1093">
        <v>76.762173230545997</v>
      </c>
      <c r="AK1093">
        <v>32.704685729482001</v>
      </c>
      <c r="AL1093">
        <v>94.215036470783801</v>
      </c>
      <c r="AM1093">
        <v>80.127880259542195</v>
      </c>
      <c r="AN1093">
        <v>1.0000000578506201</v>
      </c>
    </row>
    <row r="1094" spans="1:40" x14ac:dyDescent="0.25">
      <c r="A1094" t="str">
        <f>"20190305135812229"</f>
        <v>20190305135812229</v>
      </c>
      <c r="B1094" t="str">
        <f>"1551765492219564"</f>
        <v>1551765492219564</v>
      </c>
      <c r="C1094" t="s">
        <v>40</v>
      </c>
      <c r="D1094">
        <v>4.0156470000000004</v>
      </c>
      <c r="E1094">
        <v>0.52941579999999999</v>
      </c>
      <c r="F1094" t="s">
        <v>50</v>
      </c>
      <c r="G1094">
        <v>-203.46520000000001</v>
      </c>
      <c r="H1094" s="1">
        <v>-4.2810339999999998E-6</v>
      </c>
      <c r="I1094">
        <v>360.15219999999999</v>
      </c>
      <c r="J1094">
        <v>-235.43870000000001</v>
      </c>
      <c r="K1094">
        <v>1.1087199999999999</v>
      </c>
      <c r="L1094">
        <v>368.3186</v>
      </c>
      <c r="M1094">
        <v>0.99988929999999998</v>
      </c>
      <c r="N1094">
        <v>-1.4495869999999999E-2</v>
      </c>
      <c r="O1094">
        <v>-3.352028E-3</v>
      </c>
      <c r="P1094">
        <v>0.98063389999999995</v>
      </c>
      <c r="Q1094">
        <v>-8.7808999999999998E-2</v>
      </c>
      <c r="R1094">
        <v>-0.17506279999999999</v>
      </c>
      <c r="S1094">
        <v>2.9182130000000002</v>
      </c>
      <c r="T1094">
        <v>-0.1005347</v>
      </c>
      <c r="U1094">
        <v>-0.74060059999999905</v>
      </c>
      <c r="V1094">
        <v>0.17164660000000001</v>
      </c>
      <c r="W1094">
        <v>-7.3873640000000004E-2</v>
      </c>
      <c r="X1094">
        <v>0.98238490000000001</v>
      </c>
      <c r="Y1094">
        <v>0.24254229999999999</v>
      </c>
      <c r="Z1094">
        <v>-5.8318939999999998E-3</v>
      </c>
      <c r="AA1094">
        <v>0.97012330000000002</v>
      </c>
      <c r="AB1094">
        <v>33</v>
      </c>
      <c r="AC1094">
        <v>31.973500000000001</v>
      </c>
      <c r="AD1094">
        <v>-1.1087242810339999</v>
      </c>
      <c r="AE1094">
        <v>-8.1664000000000101</v>
      </c>
      <c r="AF1094">
        <v>8.0500797600708598</v>
      </c>
      <c r="AG1094">
        <v>-1.1087242810339999</v>
      </c>
      <c r="AH1094">
        <v>31.964615195351499</v>
      </c>
      <c r="AI1094">
        <v>91.926458016312793</v>
      </c>
      <c r="AJ1094">
        <v>75.864389546480396</v>
      </c>
      <c r="AK1094">
        <v>32.981353493477997</v>
      </c>
      <c r="AL1094">
        <v>94.236507170817205</v>
      </c>
      <c r="AM1094">
        <v>80.089077397716196</v>
      </c>
      <c r="AN1094">
        <v>0.99999998086320896</v>
      </c>
    </row>
    <row r="1095" spans="1:40" x14ac:dyDescent="0.25">
      <c r="A1095" t="str">
        <f>"20190305135812245"</f>
        <v>20190305135812245</v>
      </c>
      <c r="B1095" t="str">
        <f>"1551765492240059"</f>
        <v>1551765492240059</v>
      </c>
      <c r="C1095" t="s">
        <v>40</v>
      </c>
      <c r="D1095">
        <v>4.0259460000000002</v>
      </c>
      <c r="E1095">
        <v>0.53073309999999996</v>
      </c>
      <c r="F1095" t="s">
        <v>50</v>
      </c>
      <c r="G1095">
        <v>-202.99799999999999</v>
      </c>
      <c r="H1095" s="1">
        <v>-4.0873959999999999E-6</v>
      </c>
      <c r="I1095">
        <v>359.96510000000001</v>
      </c>
      <c r="J1095">
        <v>-235.20660000000001</v>
      </c>
      <c r="K1095">
        <v>1.1087320000000001</v>
      </c>
      <c r="L1095">
        <v>368.31720000000001</v>
      </c>
      <c r="M1095">
        <v>0.99988750000000004</v>
      </c>
      <c r="N1095">
        <v>-1.4493320000000001E-2</v>
      </c>
      <c r="O1095">
        <v>-3.8854549999999999E-3</v>
      </c>
      <c r="P1095">
        <v>0.98026290000000005</v>
      </c>
      <c r="Q1095">
        <v>-8.8476810000000003E-2</v>
      </c>
      <c r="R1095">
        <v>-0.17679549999999999</v>
      </c>
      <c r="S1095">
        <v>2.9162750000000002</v>
      </c>
      <c r="T1095">
        <v>-9.9669339999999995E-2</v>
      </c>
      <c r="U1095">
        <v>-0.750946</v>
      </c>
      <c r="V1095">
        <v>0.17285799999999901</v>
      </c>
      <c r="W1095">
        <v>-7.4545150000000004E-2</v>
      </c>
      <c r="X1095">
        <v>0.98212180000000004</v>
      </c>
      <c r="Y1095">
        <v>0.24540819999999999</v>
      </c>
      <c r="Z1095">
        <v>-5.8577350000000002E-3</v>
      </c>
      <c r="AA1095">
        <v>0.96940210000000004</v>
      </c>
      <c r="AB1095">
        <v>33</v>
      </c>
      <c r="AC1095">
        <v>32.208599999999997</v>
      </c>
      <c r="AD1095">
        <v>-1.1087360873959999</v>
      </c>
      <c r="AE1095">
        <v>-8.3521000000000001</v>
      </c>
      <c r="AF1095">
        <v>8.2177543790131899</v>
      </c>
      <c r="AG1095">
        <v>-1.1087360873959999</v>
      </c>
      <c r="AH1095">
        <v>32.2050539295523</v>
      </c>
      <c r="AI1095">
        <v>91.910593148404402</v>
      </c>
      <c r="AJ1095">
        <v>75.685318356047802</v>
      </c>
      <c r="AK1095">
        <v>33.255469946321</v>
      </c>
      <c r="AL1095">
        <v>94.275087950549803</v>
      </c>
      <c r="AM1095">
        <v>80.017912499396601</v>
      </c>
      <c r="AN1095">
        <v>1.00000004879388</v>
      </c>
    </row>
    <row r="1096" spans="1:40" x14ac:dyDescent="0.25">
      <c r="A1096" t="str">
        <f>"20190305135812267"</f>
        <v>20190305135812267</v>
      </c>
      <c r="B1096" t="str">
        <f>"1551765492259580"</f>
        <v>1551765492259580</v>
      </c>
      <c r="C1096" t="s">
        <v>40</v>
      </c>
      <c r="D1096">
        <v>4.028238</v>
      </c>
      <c r="E1096">
        <v>0.53168919999999997</v>
      </c>
      <c r="F1096" t="s">
        <v>50</v>
      </c>
      <c r="G1096">
        <v>-202.86369999999999</v>
      </c>
      <c r="H1096" s="1">
        <v>-4.0547100000000002E-6</v>
      </c>
      <c r="I1096">
        <v>359.80779999999999</v>
      </c>
      <c r="J1096">
        <v>-234.87370000000001</v>
      </c>
      <c r="K1096">
        <v>1.1087530000000001</v>
      </c>
      <c r="L1096">
        <v>368.3152</v>
      </c>
      <c r="M1096">
        <v>0.99988449999999995</v>
      </c>
      <c r="N1096">
        <v>-1.448959E-2</v>
      </c>
      <c r="O1096">
        <v>-4.618746E-3</v>
      </c>
      <c r="P1096">
        <v>0.97982480000000005</v>
      </c>
      <c r="Q1096">
        <v>-8.924783E-2</v>
      </c>
      <c r="R1096">
        <v>-0.17882600000000001</v>
      </c>
      <c r="S1096">
        <v>2.9131469999999999</v>
      </c>
      <c r="T1096">
        <v>-9.9864480000000005E-2</v>
      </c>
      <c r="U1096">
        <v>-0.76644899999999905</v>
      </c>
      <c r="V1096">
        <v>0.1741743</v>
      </c>
      <c r="W1096">
        <v>-7.5315709999999994E-2</v>
      </c>
      <c r="X1096">
        <v>0.98183039999999999</v>
      </c>
      <c r="Y1096">
        <v>0.2497732</v>
      </c>
      <c r="Z1096">
        <v>-5.9592279999999996E-3</v>
      </c>
      <c r="AA1096">
        <v>0.96828599999999998</v>
      </c>
      <c r="AB1096">
        <v>33</v>
      </c>
      <c r="AC1096">
        <v>32.01</v>
      </c>
      <c r="AD1096">
        <v>-1.1087570547100001</v>
      </c>
      <c r="AE1096">
        <v>-8.5074000000000094</v>
      </c>
      <c r="AF1096">
        <v>8.3500903668109405</v>
      </c>
      <c r="AG1096">
        <v>-1.1087570547100001</v>
      </c>
      <c r="AH1096">
        <v>32.013081512676003</v>
      </c>
      <c r="AI1096">
        <v>91.919448451389499</v>
      </c>
      <c r="AJ1096">
        <v>75.381050242605497</v>
      </c>
      <c r="AK1096">
        <v>33.102730087977797</v>
      </c>
      <c r="AL1096">
        <v>94.319362294738099</v>
      </c>
      <c r="AM1096">
        <v>79.940521831694994</v>
      </c>
      <c r="AN1096">
        <v>1.00000003865872</v>
      </c>
    </row>
    <row r="1097" spans="1:40" x14ac:dyDescent="0.25">
      <c r="A1097" t="str">
        <f>"20190305135812281"</f>
        <v>20190305135812281</v>
      </c>
      <c r="B1097" t="str">
        <f>"1551765492269340"</f>
        <v>1551765492269340</v>
      </c>
      <c r="C1097" t="s">
        <v>40</v>
      </c>
      <c r="D1097">
        <v>4.0499729999999996</v>
      </c>
      <c r="E1097">
        <v>0.53188880000000005</v>
      </c>
      <c r="F1097" t="s">
        <v>50</v>
      </c>
      <c r="G1097">
        <v>-202.1901</v>
      </c>
      <c r="H1097" s="1">
        <v>-5.9569730000000002E-6</v>
      </c>
      <c r="I1097">
        <v>359.5566</v>
      </c>
      <c r="J1097">
        <v>-234.67679999999999</v>
      </c>
      <c r="K1097">
        <v>1.108773</v>
      </c>
      <c r="L1097">
        <v>368.31380000000001</v>
      </c>
      <c r="M1097">
        <v>0.9998823</v>
      </c>
      <c r="N1097">
        <v>-1.448734E-2</v>
      </c>
      <c r="O1097">
        <v>-5.0338989999999997E-3</v>
      </c>
      <c r="P1097">
        <v>0.97963639999999996</v>
      </c>
      <c r="Q1097">
        <v>-8.8997209999999993E-2</v>
      </c>
      <c r="R1097">
        <v>-0.17997779999999899</v>
      </c>
      <c r="S1097">
        <v>2.910431</v>
      </c>
      <c r="T1097">
        <v>-9.8733539999999995E-2</v>
      </c>
      <c r="U1097">
        <v>-0.77993769999999996</v>
      </c>
      <c r="V1097">
        <v>0.17492389999999999</v>
      </c>
      <c r="W1097">
        <v>-7.5062110000000001E-2</v>
      </c>
      <c r="X1097">
        <v>0.98171649999999999</v>
      </c>
      <c r="Y1097">
        <v>0.253783799999999</v>
      </c>
      <c r="Z1097">
        <v>-6.0038519999999996E-3</v>
      </c>
      <c r="AA1097">
        <v>0.96724239999999995</v>
      </c>
      <c r="AB1097">
        <v>33</v>
      </c>
      <c r="AC1097">
        <v>32.4866999999999</v>
      </c>
      <c r="AD1097">
        <v>-1.108778956973</v>
      </c>
      <c r="AE1097">
        <v>-8.7572000000000099</v>
      </c>
      <c r="AF1097">
        <v>8.5842149372080492</v>
      </c>
      <c r="AG1097">
        <v>-1.108778956973</v>
      </c>
      <c r="AH1097">
        <v>32.495087328984198</v>
      </c>
      <c r="AI1097">
        <v>91.889487619897395</v>
      </c>
      <c r="AJ1097">
        <v>75.202237357047593</v>
      </c>
      <c r="AK1097">
        <v>33.628095952371702</v>
      </c>
      <c r="AL1097">
        <v>94.3047910534723</v>
      </c>
      <c r="AM1097">
        <v>79.896970404273603</v>
      </c>
      <c r="AN1097">
        <v>0.99999998876055496</v>
      </c>
    </row>
    <row r="1098" spans="1:40" x14ac:dyDescent="0.25">
      <c r="A1098" t="str">
        <f>"20190305135812299"</f>
        <v>20190305135812299</v>
      </c>
      <c r="B1098" t="str">
        <f>"1551765492289836"</f>
        <v>1551765492289836</v>
      </c>
      <c r="C1098" t="s">
        <v>40</v>
      </c>
      <c r="D1098">
        <v>4.0358029999999996</v>
      </c>
      <c r="E1098">
        <v>0.53243240000000003</v>
      </c>
      <c r="F1098" t="s">
        <v>50</v>
      </c>
      <c r="G1098">
        <v>-201.5479</v>
      </c>
      <c r="H1098" s="1">
        <v>-6.1622199999999998E-6</v>
      </c>
      <c r="I1098">
        <v>359.37369999999999</v>
      </c>
      <c r="J1098">
        <v>-234.40190000000001</v>
      </c>
      <c r="K1098">
        <v>1.1088129999999901</v>
      </c>
      <c r="L1098">
        <v>368.31189999999998</v>
      </c>
      <c r="M1098">
        <v>0.99987969999999904</v>
      </c>
      <c r="N1098">
        <v>-1.4484169999999999E-2</v>
      </c>
      <c r="O1098">
        <v>-5.5800279999999999E-3</v>
      </c>
      <c r="P1098">
        <v>0.97934509999999997</v>
      </c>
      <c r="Q1098">
        <v>-8.8426199999999996E-2</v>
      </c>
      <c r="R1098">
        <v>-0.18183530000000001</v>
      </c>
      <c r="S1098">
        <v>2.9092859999999998</v>
      </c>
      <c r="T1098">
        <v>-9.7369910000000004E-2</v>
      </c>
      <c r="U1098">
        <v>-0.78509519999999899</v>
      </c>
      <c r="V1098">
        <v>0.1762542</v>
      </c>
      <c r="W1098">
        <v>-7.4485229999999999E-2</v>
      </c>
      <c r="X1098">
        <v>0.98152249999999996</v>
      </c>
      <c r="Y1098">
        <v>0.25495309999999999</v>
      </c>
      <c r="Z1098">
        <v>-5.9660490000000002E-3</v>
      </c>
      <c r="AA1098">
        <v>0.96693499999999999</v>
      </c>
      <c r="AB1098">
        <v>33</v>
      </c>
      <c r="AC1098">
        <v>32.853999999999999</v>
      </c>
      <c r="AD1098">
        <v>-1.1088191622200001</v>
      </c>
      <c r="AE1098">
        <v>-8.9381999999999895</v>
      </c>
      <c r="AF1098">
        <v>8.7454403304386101</v>
      </c>
      <c r="AG1098">
        <v>-1.1088191622200001</v>
      </c>
      <c r="AH1098">
        <v>32.868510083009603</v>
      </c>
      <c r="AI1098">
        <v>91.867223732788105</v>
      </c>
      <c r="AJ1098">
        <v>75.100315799877905</v>
      </c>
      <c r="AK1098">
        <v>34.030150772288202</v>
      </c>
      <c r="AL1098">
        <v>94.271645402714299</v>
      </c>
      <c r="AM1098">
        <v>79.819767381704096</v>
      </c>
      <c r="AN1098">
        <v>1.0000000052560201</v>
      </c>
    </row>
    <row r="1099" spans="1:40" x14ac:dyDescent="0.25">
      <c r="A1099" t="str">
        <f>"20190305135812314"</f>
        <v>20190305135812314</v>
      </c>
      <c r="B1099" t="str">
        <f>"1551765492309355"</f>
        <v>1551765492309355</v>
      </c>
      <c r="C1099" t="s">
        <v>40</v>
      </c>
      <c r="D1099">
        <v>4.0378530000000001</v>
      </c>
      <c r="E1099">
        <v>0.53282769999999902</v>
      </c>
      <c r="F1099" t="s">
        <v>50</v>
      </c>
      <c r="G1099">
        <v>-200.06809999999999</v>
      </c>
      <c r="H1099" s="1">
        <v>-6.5989170000000003E-6</v>
      </c>
      <c r="I1099">
        <v>358.92509999999999</v>
      </c>
      <c r="J1099">
        <v>-234.1902</v>
      </c>
      <c r="K1099">
        <v>1.108849</v>
      </c>
      <c r="L1099">
        <v>368.31029999999998</v>
      </c>
      <c r="M1099">
        <v>0.99987740000000003</v>
      </c>
      <c r="N1099">
        <v>-1.448169E-2</v>
      </c>
      <c r="O1099">
        <v>-5.9657390000000003E-3</v>
      </c>
      <c r="P1099">
        <v>0.97930879999999998</v>
      </c>
      <c r="Q1099">
        <v>-8.7400980000000003E-2</v>
      </c>
      <c r="R1099">
        <v>-0.1825251</v>
      </c>
      <c r="S1099">
        <v>2.9072269999999998</v>
      </c>
      <c r="T1099">
        <v>-9.3889710000000001E-2</v>
      </c>
      <c r="U1099">
        <v>-0.79483029999999999</v>
      </c>
      <c r="V1099">
        <v>0.17657310000000001</v>
      </c>
      <c r="W1099">
        <v>-7.3449120000000007E-2</v>
      </c>
      <c r="X1099">
        <v>0.98154319999999895</v>
      </c>
      <c r="Y1099">
        <v>0.25777600000000001</v>
      </c>
      <c r="Z1099">
        <v>-5.8831229999999997E-3</v>
      </c>
      <c r="AA1099">
        <v>0.96618680000000001</v>
      </c>
      <c r="AB1099">
        <v>33</v>
      </c>
      <c r="AC1099">
        <v>34.122100000000003</v>
      </c>
      <c r="AD1099">
        <v>-1.1088555989169999</v>
      </c>
      <c r="AE1099">
        <v>-9.3851999999999904</v>
      </c>
      <c r="AF1099">
        <v>9.1724429017826701</v>
      </c>
      <c r="AG1099">
        <v>-1.1088555989169999</v>
      </c>
      <c r="AH1099">
        <v>34.143966873595701</v>
      </c>
      <c r="AI1099">
        <v>91.796428650653993</v>
      </c>
      <c r="AJ1099">
        <v>74.963065445994502</v>
      </c>
      <c r="AK1099">
        <v>35.3719344027283</v>
      </c>
      <c r="AL1099">
        <v>94.212117866298101</v>
      </c>
      <c r="AM1099">
        <v>79.801944897622903</v>
      </c>
      <c r="AN1099">
        <v>0.99999994316930996</v>
      </c>
    </row>
    <row r="1100" spans="1:40" x14ac:dyDescent="0.25">
      <c r="A1100" t="str">
        <f>"20190305135812327"</f>
        <v>20190305135812327</v>
      </c>
      <c r="B1100" t="str">
        <f>"1551765492320092"</f>
        <v>1551765492320092</v>
      </c>
      <c r="C1100" t="s">
        <v>40</v>
      </c>
      <c r="D1100">
        <v>4.0228469999999996</v>
      </c>
      <c r="E1100">
        <v>0.5330068</v>
      </c>
      <c r="F1100" t="s">
        <v>50</v>
      </c>
      <c r="G1100">
        <v>-198.5932</v>
      </c>
      <c r="H1100" s="1">
        <v>-6.264543E-6</v>
      </c>
      <c r="I1100">
        <v>358.5104</v>
      </c>
      <c r="J1100">
        <v>-233.9957</v>
      </c>
      <c r="K1100">
        <v>1.1088830000000001</v>
      </c>
      <c r="L1100">
        <v>368.30869999999999</v>
      </c>
      <c r="M1100">
        <v>0.99987539999999997</v>
      </c>
      <c r="N1100">
        <v>-1.447943E-2</v>
      </c>
      <c r="O1100">
        <v>-6.2941129999999996E-3</v>
      </c>
      <c r="P1100">
        <v>0.97927690000000001</v>
      </c>
      <c r="Q1100">
        <v>-8.6060670000000006E-2</v>
      </c>
      <c r="R1100">
        <v>-0.1833322</v>
      </c>
      <c r="S1100">
        <v>2.9062039999999998</v>
      </c>
      <c r="T1100">
        <v>-9.0528849999999994E-2</v>
      </c>
      <c r="U1100">
        <v>-0.80007930000000005</v>
      </c>
      <c r="V1100">
        <v>0.17706559999999999</v>
      </c>
      <c r="W1100">
        <v>-7.2097850000000005E-2</v>
      </c>
      <c r="X1100">
        <v>0.9815547</v>
      </c>
      <c r="Y1100">
        <v>0.25917760000000001</v>
      </c>
      <c r="Z1100">
        <v>-5.7705530000000003E-3</v>
      </c>
      <c r="AA1100">
        <v>0.96581240000000002</v>
      </c>
      <c r="AB1100">
        <v>33</v>
      </c>
      <c r="AC1100">
        <v>35.402500000000003</v>
      </c>
      <c r="AD1100">
        <v>-1.108889264543</v>
      </c>
      <c r="AE1100">
        <v>-9.7982999999999798</v>
      </c>
      <c r="AF1100">
        <v>9.5665373523616992</v>
      </c>
      <c r="AG1100">
        <v>-1.108889264543</v>
      </c>
      <c r="AH1100">
        <v>35.431188788768701</v>
      </c>
      <c r="AI1100">
        <v>91.730664939001102</v>
      </c>
      <c r="AJ1100">
        <v>74.890249468044203</v>
      </c>
      <c r="AK1100">
        <v>36.716718416826403</v>
      </c>
      <c r="AL1100">
        <v>94.134489813281604</v>
      </c>
      <c r="AM1100">
        <v>79.774217025314698</v>
      </c>
      <c r="AN1100">
        <v>0.99999997788503603</v>
      </c>
    </row>
    <row r="1101" spans="1:40" x14ac:dyDescent="0.25">
      <c r="A1101" t="str">
        <f>"20190305135812342"</f>
        <v>20190305135812342</v>
      </c>
      <c r="B1101" t="str">
        <f>"1551765492339612"</f>
        <v>1551765492339612</v>
      </c>
      <c r="C1101" t="s">
        <v>40</v>
      </c>
      <c r="D1101">
        <v>4.007784</v>
      </c>
      <c r="E1101">
        <v>0.53304810000000002</v>
      </c>
      <c r="F1101" t="s">
        <v>50</v>
      </c>
      <c r="G1101">
        <v>-196.27610000000001</v>
      </c>
      <c r="H1101" s="1">
        <v>-5.6908800000000003E-6</v>
      </c>
      <c r="I1101">
        <v>357.87779999999998</v>
      </c>
      <c r="J1101">
        <v>-233.79040000000001</v>
      </c>
      <c r="K1101">
        <v>1.10893</v>
      </c>
      <c r="L1101">
        <v>368.30709999999999</v>
      </c>
      <c r="M1101">
        <v>0.99987349999999997</v>
      </c>
      <c r="N1101">
        <v>-1.447704E-2</v>
      </c>
      <c r="O1101">
        <v>-6.6159549999999998E-3</v>
      </c>
      <c r="P1101">
        <v>0.97929160000000004</v>
      </c>
      <c r="Q1101">
        <v>-8.4099339999999995E-2</v>
      </c>
      <c r="R1101">
        <v>-0.1841623</v>
      </c>
      <c r="S1101">
        <v>2.905548</v>
      </c>
      <c r="T1101">
        <v>-8.5417870000000007E-2</v>
      </c>
      <c r="U1101">
        <v>-0.80349729999999997</v>
      </c>
      <c r="V1101">
        <v>0.1775892</v>
      </c>
      <c r="W1101">
        <v>-7.0122879999999999E-2</v>
      </c>
      <c r="X1101">
        <v>0.98160320000000001</v>
      </c>
      <c r="Y1101">
        <v>0.25999369999999999</v>
      </c>
      <c r="Z1101">
        <v>-5.5710259999999998E-3</v>
      </c>
      <c r="AA1101">
        <v>0.96559419999999996</v>
      </c>
      <c r="AB1101">
        <v>33</v>
      </c>
      <c r="AC1101">
        <v>37.514299999999899</v>
      </c>
      <c r="AD1101">
        <v>-1.1089356908800001</v>
      </c>
      <c r="AE1101">
        <v>-10.4293</v>
      </c>
      <c r="AF1101">
        <v>10.1726015784719</v>
      </c>
      <c r="AG1101">
        <v>-1.1089356908800001</v>
      </c>
      <c r="AH1101">
        <v>37.552026477248702</v>
      </c>
      <c r="AI1101">
        <v>91.632678314320003</v>
      </c>
      <c r="AJ1101">
        <v>74.842717875984405</v>
      </c>
      <c r="AK1101">
        <v>38.9212827870412</v>
      </c>
      <c r="AL1101">
        <v>94.021045098055296</v>
      </c>
      <c r="AM1101">
        <v>79.745115163668103</v>
      </c>
      <c r="AN1101">
        <v>0.99999999225318703</v>
      </c>
    </row>
    <row r="1102" spans="1:40" x14ac:dyDescent="0.25">
      <c r="A1102" t="str">
        <f>"20190305135812356"</f>
        <v>20190305135812356</v>
      </c>
      <c r="B1102" t="str">
        <f>"1551765492349372"</f>
        <v>1551765492349372</v>
      </c>
      <c r="C1102" t="s">
        <v>40</v>
      </c>
      <c r="D1102">
        <v>4.0309480000000004</v>
      </c>
      <c r="E1102">
        <v>0.53314349999999999</v>
      </c>
      <c r="F1102" t="s">
        <v>50</v>
      </c>
      <c r="G1102">
        <v>-192.7544</v>
      </c>
      <c r="H1102" s="1">
        <v>-4.6501749999999999E-6</v>
      </c>
      <c r="I1102">
        <v>356.92160000000001</v>
      </c>
      <c r="J1102">
        <v>-233.57990000000001</v>
      </c>
      <c r="K1102">
        <v>1.109002</v>
      </c>
      <c r="L1102">
        <v>368.30540000000002</v>
      </c>
      <c r="M1102">
        <v>0.99987150000000002</v>
      </c>
      <c r="N1102">
        <v>-1.4474529999999999E-2</v>
      </c>
      <c r="O1102">
        <v>-6.9042819999999899E-3</v>
      </c>
      <c r="P1102">
        <v>0.9796087</v>
      </c>
      <c r="Q1102">
        <v>-7.9018379999999999E-2</v>
      </c>
      <c r="R1102">
        <v>-0.18472469999999999</v>
      </c>
      <c r="S1102">
        <v>2.9051209999999998</v>
      </c>
      <c r="T1102">
        <v>-7.8506350000000003E-2</v>
      </c>
      <c r="U1102">
        <v>-0.80603029999999998</v>
      </c>
      <c r="V1102">
        <v>0.17788019999999999</v>
      </c>
      <c r="W1102">
        <v>-6.5020839999999996E-2</v>
      </c>
      <c r="X1102">
        <v>0.98190169999999999</v>
      </c>
      <c r="Y1102">
        <v>0.2605537</v>
      </c>
      <c r="Z1102">
        <v>-5.2909910000000001E-3</v>
      </c>
      <c r="AA1102">
        <v>0.96544490000000005</v>
      </c>
      <c r="AB1102">
        <v>33</v>
      </c>
      <c r="AC1102">
        <v>40.825499999999998</v>
      </c>
      <c r="AD1102">
        <v>-1.109006650175</v>
      </c>
      <c r="AE1102">
        <v>-11.383800000000001</v>
      </c>
      <c r="AF1102">
        <v>11.0940325017015</v>
      </c>
      <c r="AG1102">
        <v>-1.109006650175</v>
      </c>
      <c r="AH1102">
        <v>40.875145602000899</v>
      </c>
      <c r="AI1102">
        <v>91.499905443157203</v>
      </c>
      <c r="AJ1102">
        <v>74.815011182089805</v>
      </c>
      <c r="AK1102">
        <v>42.368443219968697</v>
      </c>
      <c r="AL1102">
        <v>93.728049673635297</v>
      </c>
      <c r="AM1102">
        <v>79.731724866305996</v>
      </c>
      <c r="AN1102">
        <v>1.00000001182461</v>
      </c>
    </row>
    <row r="1103" spans="1:40" x14ac:dyDescent="0.25">
      <c r="A1103" t="str">
        <f>"20190305135812379"</f>
        <v>20190305135812379</v>
      </c>
      <c r="B1103" t="str">
        <f>"1551765492369868"</f>
        <v>1551765492369868</v>
      </c>
      <c r="C1103" t="s">
        <v>40</v>
      </c>
      <c r="D1103">
        <v>4.0262169999999999</v>
      </c>
      <c r="E1103">
        <v>0.53327060000000004</v>
      </c>
      <c r="F1103" t="s">
        <v>50</v>
      </c>
      <c r="G1103">
        <v>-182.06909999999999</v>
      </c>
      <c r="H1103" s="1">
        <v>-3.693819E-6</v>
      </c>
      <c r="I1103">
        <v>353.97750000000002</v>
      </c>
      <c r="J1103">
        <v>-233.2491</v>
      </c>
      <c r="K1103">
        <v>1.109108</v>
      </c>
      <c r="L1103">
        <v>368.30270000000002</v>
      </c>
      <c r="M1103">
        <v>0.99986889999999995</v>
      </c>
      <c r="N1103">
        <v>-1.447061E-2</v>
      </c>
      <c r="O1103">
        <v>-7.2717210000000001E-3</v>
      </c>
      <c r="P1103">
        <v>0.97997489999999998</v>
      </c>
      <c r="Q1103">
        <v>-7.4059509999999995E-2</v>
      </c>
      <c r="R1103">
        <v>-0.18483649999999999</v>
      </c>
      <c r="S1103">
        <v>2.9050449999999999</v>
      </c>
      <c r="T1103">
        <v>-6.2544470000000005E-2</v>
      </c>
      <c r="U1103">
        <v>-0.8080444</v>
      </c>
      <c r="V1103">
        <v>0.1776459</v>
      </c>
      <c r="W1103">
        <v>-6.0026349999999999E-2</v>
      </c>
      <c r="X1103">
        <v>0.98226210000000003</v>
      </c>
      <c r="Y1103">
        <v>0.26086880000000001</v>
      </c>
      <c r="Z1103">
        <v>-4.628376E-3</v>
      </c>
      <c r="AA1103">
        <v>0.96536319999999998</v>
      </c>
      <c r="AB1103">
        <v>33</v>
      </c>
      <c r="AC1103">
        <v>51.18</v>
      </c>
      <c r="AD1103">
        <v>-1.109111693819</v>
      </c>
      <c r="AE1103">
        <v>-14.325199999999899</v>
      </c>
      <c r="AF1103">
        <v>13.9465417500797</v>
      </c>
      <c r="AG1103">
        <v>-1.109111693819</v>
      </c>
      <c r="AH1103">
        <v>51.260502114230903</v>
      </c>
      <c r="AI1103">
        <v>91.196038495483407</v>
      </c>
      <c r="AJ1103">
        <v>74.779838051259702</v>
      </c>
      <c r="AK1103">
        <v>53.1354423387926</v>
      </c>
      <c r="AL1103">
        <v>93.441325131321904</v>
      </c>
      <c r="AM1103">
        <v>79.748645680539795</v>
      </c>
      <c r="AN1103">
        <v>1.00000003078877</v>
      </c>
    </row>
    <row r="1104" spans="1:40" x14ac:dyDescent="0.25">
      <c r="A1104" t="str">
        <f>"20190305135812402"</f>
        <v>20190305135812402</v>
      </c>
      <c r="B1104" t="str">
        <f>"1551765492389388"</f>
        <v>1551765492389388</v>
      </c>
      <c r="C1104" t="s">
        <v>40</v>
      </c>
      <c r="D1104">
        <v>4.0233059999999998</v>
      </c>
      <c r="E1104">
        <v>0.53324550000000004</v>
      </c>
      <c r="F1104" t="s">
        <v>43</v>
      </c>
      <c r="G1104">
        <v>-162.6337</v>
      </c>
      <c r="H1104">
        <v>-0.05</v>
      </c>
      <c r="I1104">
        <v>348.63420000000002</v>
      </c>
      <c r="J1104">
        <v>-232.92679999999999</v>
      </c>
      <c r="K1104">
        <v>1.1092120000000001</v>
      </c>
      <c r="L1104">
        <v>368.3</v>
      </c>
      <c r="M1104">
        <v>0.99986719999999896</v>
      </c>
      <c r="N1104">
        <v>-1.446685E-2</v>
      </c>
      <c r="O1104">
        <v>-7.5192559999999898E-3</v>
      </c>
      <c r="P1104">
        <v>0.98036089999999998</v>
      </c>
      <c r="Q1104">
        <v>-7.0096430000000001E-2</v>
      </c>
      <c r="R1104">
        <v>-0.1843342</v>
      </c>
      <c r="S1104">
        <v>2.9050600000000002</v>
      </c>
      <c r="T1104">
        <v>-4.7684789999999998E-2</v>
      </c>
      <c r="U1104">
        <v>-0.8091431</v>
      </c>
      <c r="V1104">
        <v>0.17691319999999999</v>
      </c>
      <c r="W1104">
        <v>-5.6024289999999997E-2</v>
      </c>
      <c r="X1104">
        <v>0.98263069999999997</v>
      </c>
      <c r="Y1104">
        <v>0.26100010000000001</v>
      </c>
      <c r="Z1104">
        <v>-4.0111590000000003E-3</v>
      </c>
      <c r="AA1104">
        <v>0.96533040000000003</v>
      </c>
      <c r="AB1104">
        <v>33</v>
      </c>
      <c r="AC1104">
        <v>70.293099999999896</v>
      </c>
      <c r="AD1104">
        <v>-1.1592119999999999</v>
      </c>
      <c r="AE1104">
        <v>-19.665799999999901</v>
      </c>
      <c r="AF1104">
        <v>19.131811514796201</v>
      </c>
      <c r="AG1104">
        <v>-1.1592119999999999</v>
      </c>
      <c r="AH1104">
        <v>70.421238677769296</v>
      </c>
      <c r="AI1104">
        <v>90.910084981628799</v>
      </c>
      <c r="AJ1104">
        <v>74.800921024060401</v>
      </c>
      <c r="AK1104">
        <v>72.983017484960101</v>
      </c>
      <c r="AL1104">
        <v>93.211636784730203</v>
      </c>
      <c r="AM1104">
        <v>79.793785560079101</v>
      </c>
      <c r="AN1104">
        <v>1.0000000469933601</v>
      </c>
    </row>
    <row r="1105" spans="1:40" x14ac:dyDescent="0.25">
      <c r="A1105" t="str">
        <f>"20190305135812423"</f>
        <v>20190305135812423</v>
      </c>
      <c r="B1105" t="str">
        <f>"1551765492419645"</f>
        <v>1551765492419645</v>
      </c>
      <c r="C1105" t="s">
        <v>40</v>
      </c>
      <c r="D1105">
        <v>4.0142559999999996</v>
      </c>
      <c r="E1105">
        <v>0.53342440000000002</v>
      </c>
      <c r="F1105" t="s">
        <v>43</v>
      </c>
      <c r="G1105">
        <v>-140.98169999999999</v>
      </c>
      <c r="H1105">
        <v>-0.05</v>
      </c>
      <c r="I1105">
        <v>342.74990000000003</v>
      </c>
      <c r="J1105">
        <v>-232.61170000000001</v>
      </c>
      <c r="K1105">
        <v>1.109297</v>
      </c>
      <c r="L1105">
        <v>368.29739999999998</v>
      </c>
      <c r="M1105">
        <v>0.99986600000000003</v>
      </c>
      <c r="N1105">
        <v>-1.4463210000000001E-2</v>
      </c>
      <c r="O1105">
        <v>-7.6791990000000003E-3</v>
      </c>
      <c r="P1105">
        <v>0.98057559999999999</v>
      </c>
      <c r="Q1105">
        <v>-6.9236039999999999E-2</v>
      </c>
      <c r="R1105">
        <v>-0.18351580000000001</v>
      </c>
      <c r="S1105">
        <v>2.9056549999999999</v>
      </c>
      <c r="T1105">
        <v>-3.6633489999999998E-2</v>
      </c>
      <c r="U1105">
        <v>-0.80743409999999904</v>
      </c>
      <c r="V1105">
        <v>0.1759472</v>
      </c>
      <c r="W1105">
        <v>-5.5130159999999997E-2</v>
      </c>
      <c r="X1105">
        <v>0.98285460000000002</v>
      </c>
      <c r="Y1105">
        <v>0.26028810000000002</v>
      </c>
      <c r="Z1105">
        <v>-3.5418490000000001E-3</v>
      </c>
      <c r="AA1105">
        <v>0.96552450000000001</v>
      </c>
      <c r="AB1105">
        <v>32</v>
      </c>
      <c r="AC1105">
        <v>91.63</v>
      </c>
      <c r="AD1105">
        <v>-1.159297</v>
      </c>
      <c r="AE1105">
        <v>-25.5474999999999</v>
      </c>
      <c r="AF1105">
        <v>24.8393387300485</v>
      </c>
      <c r="AG1105">
        <v>-1.159297</v>
      </c>
      <c r="AH1105">
        <v>91.809866394408303</v>
      </c>
      <c r="AI1105">
        <v>90.698339298990405</v>
      </c>
      <c r="AJ1105">
        <v>74.860953139691603</v>
      </c>
      <c r="AK1105">
        <v>95.117760094734194</v>
      </c>
      <c r="AL1105">
        <v>93.160327886972297</v>
      </c>
      <c r="AM1105">
        <v>79.850617030353504</v>
      </c>
      <c r="AN1105">
        <v>0.99999995823531196</v>
      </c>
    </row>
    <row r="1106" spans="1:40" x14ac:dyDescent="0.25">
      <c r="A1106" t="str">
        <f>"20190305135812436"</f>
        <v>20190305135812436</v>
      </c>
      <c r="B1106" t="str">
        <f>"1551765492429404"</f>
        <v>1551765492429404</v>
      </c>
      <c r="C1106" t="s">
        <v>40</v>
      </c>
      <c r="D1106">
        <v>4.0023869999999997</v>
      </c>
      <c r="E1106">
        <v>0.53348619999999902</v>
      </c>
      <c r="F1106" t="s">
        <v>43</v>
      </c>
      <c r="G1106">
        <v>-142.8717</v>
      </c>
      <c r="H1106">
        <v>-0.05</v>
      </c>
      <c r="I1106">
        <v>343.39</v>
      </c>
      <c r="J1106">
        <v>-232.41300000000001</v>
      </c>
      <c r="K1106">
        <v>1.109337</v>
      </c>
      <c r="L1106">
        <v>368.29579999999999</v>
      </c>
      <c r="M1106">
        <v>0.99986549999999996</v>
      </c>
      <c r="N1106">
        <v>-1.446092E-2</v>
      </c>
      <c r="O1106">
        <v>-7.7460799999999998E-3</v>
      </c>
      <c r="P1106">
        <v>0.98063210000000001</v>
      </c>
      <c r="Q1106">
        <v>-6.9894700000000004E-2</v>
      </c>
      <c r="R1106">
        <v>-0.18296290000000001</v>
      </c>
      <c r="S1106">
        <v>2.9058380000000001</v>
      </c>
      <c r="T1106">
        <v>-3.7538769999999999E-2</v>
      </c>
      <c r="U1106">
        <v>-0.80651859999999997</v>
      </c>
      <c r="V1106">
        <v>0.17533389999999999</v>
      </c>
      <c r="W1106">
        <v>-5.5770800000000002E-2</v>
      </c>
      <c r="X1106">
        <v>0.98292809999999997</v>
      </c>
      <c r="Y1106">
        <v>0.25992389999999999</v>
      </c>
      <c r="Z1106">
        <v>-3.5739809999999999E-3</v>
      </c>
      <c r="AA1106">
        <v>0.96562250000000005</v>
      </c>
      <c r="AB1106">
        <v>32</v>
      </c>
      <c r="AC1106">
        <v>89.541299999999893</v>
      </c>
      <c r="AD1106">
        <v>-1.1593370000000001</v>
      </c>
      <c r="AE1106">
        <v>-24.905799999999999</v>
      </c>
      <c r="AF1106">
        <v>24.207619377756298</v>
      </c>
      <c r="AG1106">
        <v>-1.1593370000000001</v>
      </c>
      <c r="AH1106">
        <v>89.717595521223501</v>
      </c>
      <c r="AI1106">
        <v>90.714779675412402</v>
      </c>
      <c r="AJ1106">
        <v>74.900027233995104</v>
      </c>
      <c r="AK1106">
        <v>92.933308583778299</v>
      </c>
      <c r="AL1106">
        <v>93.197090271654702</v>
      </c>
      <c r="AM1106">
        <v>79.886003819928405</v>
      </c>
      <c r="AN1106">
        <v>1.00000000419573</v>
      </c>
    </row>
    <row r="1107" spans="1:40" x14ac:dyDescent="0.25">
      <c r="A1107" t="str">
        <f>"20190305135812448"</f>
        <v>20190305135812448</v>
      </c>
      <c r="B1107" t="str">
        <f>"1551765492440142"</f>
        <v>1551765492440142</v>
      </c>
      <c r="C1107" t="s">
        <v>40</v>
      </c>
      <c r="D1107">
        <v>4.0404879999999999</v>
      </c>
      <c r="E1107">
        <v>0.53352709999999903</v>
      </c>
      <c r="F1107" t="s">
        <v>43</v>
      </c>
      <c r="G1107">
        <v>-150.28710000000001</v>
      </c>
      <c r="H1107">
        <v>-0.05</v>
      </c>
      <c r="I1107">
        <v>345.51429999999999</v>
      </c>
      <c r="J1107">
        <v>-232.23050000000001</v>
      </c>
      <c r="K1107">
        <v>1.10937</v>
      </c>
      <c r="L1107">
        <v>368.29430000000002</v>
      </c>
      <c r="M1107">
        <v>0.99986509999999995</v>
      </c>
      <c r="N1107">
        <v>-1.4458820000000001E-2</v>
      </c>
      <c r="O1107">
        <v>-7.7813319999999898E-3</v>
      </c>
      <c r="P1107">
        <v>0.98061129999999996</v>
      </c>
      <c r="Q1107">
        <v>-7.0760519999999993E-2</v>
      </c>
      <c r="R1107">
        <v>-0.1827404</v>
      </c>
      <c r="S1107">
        <v>2.9059140000000001</v>
      </c>
      <c r="T1107">
        <v>-4.1021589999999997E-2</v>
      </c>
      <c r="U1107">
        <v>-0.80609129999999996</v>
      </c>
      <c r="V1107">
        <v>0.17508119999999999</v>
      </c>
      <c r="W1107">
        <v>-5.6624300000000002E-2</v>
      </c>
      <c r="X1107">
        <v>0.98292429999999997</v>
      </c>
      <c r="Y1107">
        <v>0.25974540000000002</v>
      </c>
      <c r="Z1107">
        <v>-3.714874E-3</v>
      </c>
      <c r="AA1107">
        <v>0.96567000000000003</v>
      </c>
      <c r="AB1107">
        <v>32</v>
      </c>
      <c r="AC1107">
        <v>81.943399999999997</v>
      </c>
      <c r="AD1107">
        <v>-1.15937</v>
      </c>
      <c r="AE1107">
        <v>-22.78</v>
      </c>
      <c r="AF1107">
        <v>22.1375011375079</v>
      </c>
      <c r="AG1107">
        <v>-1.15937</v>
      </c>
      <c r="AH1107">
        <v>82.102939767471597</v>
      </c>
      <c r="AI1107">
        <v>90.781123589029207</v>
      </c>
      <c r="AJ1107">
        <v>74.910130108847994</v>
      </c>
      <c r="AK1107">
        <v>85.0429645171847</v>
      </c>
      <c r="AL1107">
        <v>93.246069772077306</v>
      </c>
      <c r="AM1107">
        <v>79.9002420811224</v>
      </c>
      <c r="AN1107">
        <v>0.99999995873720904</v>
      </c>
    </row>
    <row r="1108" spans="1:40" x14ac:dyDescent="0.25">
      <c r="A1108" t="str">
        <f>"20190305135812461"</f>
        <v>20190305135812461</v>
      </c>
      <c r="B1108" t="str">
        <f>"1551765492449901"</f>
        <v>1551765492449901</v>
      </c>
      <c r="C1108" t="s">
        <v>40</v>
      </c>
      <c r="D1108">
        <v>4.0244460000000002</v>
      </c>
      <c r="E1108">
        <v>0.53354299999999999</v>
      </c>
      <c r="F1108" t="s">
        <v>43</v>
      </c>
      <c r="G1108">
        <v>-157.23320000000001</v>
      </c>
      <c r="H1108">
        <v>-0.05</v>
      </c>
      <c r="I1108">
        <v>347.50479999999999</v>
      </c>
      <c r="J1108">
        <v>-232.05080000000001</v>
      </c>
      <c r="K1108">
        <v>1.1094029999999999</v>
      </c>
      <c r="L1108">
        <v>368.29289999999997</v>
      </c>
      <c r="M1108">
        <v>0.99986520000000001</v>
      </c>
      <c r="N1108">
        <v>-1.4456739999999999E-2</v>
      </c>
      <c r="O1108">
        <v>-7.8047230000000004E-3</v>
      </c>
      <c r="P1108">
        <v>0.98060939999999996</v>
      </c>
      <c r="Q1108">
        <v>-7.1471610000000005E-2</v>
      </c>
      <c r="R1108">
        <v>-0.18247540000000001</v>
      </c>
      <c r="S1108">
        <v>2.9059599999999999</v>
      </c>
      <c r="T1108">
        <v>-4.4922709999999998E-2</v>
      </c>
      <c r="U1108">
        <v>-0.80554199999999998</v>
      </c>
      <c r="V1108">
        <v>0.17479700000000001</v>
      </c>
      <c r="W1108">
        <v>-5.7324170000000001E-2</v>
      </c>
      <c r="X1108">
        <v>0.98293439999999999</v>
      </c>
      <c r="Y1108">
        <v>0.2595422</v>
      </c>
      <c r="Z1108">
        <v>-3.8723669999999998E-3</v>
      </c>
      <c r="AA1108">
        <v>0.96572400000000003</v>
      </c>
      <c r="AB1108">
        <v>32</v>
      </c>
      <c r="AC1108">
        <v>74.817599999999999</v>
      </c>
      <c r="AD1108">
        <v>-1.159403</v>
      </c>
      <c r="AE1108">
        <v>-20.788099999999901</v>
      </c>
      <c r="AF1108">
        <v>20.198972224868999</v>
      </c>
      <c r="AG1108">
        <v>-1.159403</v>
      </c>
      <c r="AH1108">
        <v>74.960872196891401</v>
      </c>
      <c r="AI1108">
        <v>90.855597405765295</v>
      </c>
      <c r="AJ1108">
        <v>74.919255145491704</v>
      </c>
      <c r="AK1108">
        <v>77.643255050107996</v>
      </c>
      <c r="AL1108">
        <v>93.286234335740005</v>
      </c>
      <c r="AM1108">
        <v>79.9164012633575</v>
      </c>
      <c r="AN1108">
        <v>1.0000000431892699</v>
      </c>
    </row>
    <row r="1109" spans="1:40" x14ac:dyDescent="0.25">
      <c r="A1109" t="str">
        <f>"20190305135812476"</f>
        <v>20190305135812476</v>
      </c>
      <c r="B1109" t="str">
        <f>"1551765492469421"</f>
        <v>1551765492469421</v>
      </c>
      <c r="C1109" t="s">
        <v>40</v>
      </c>
      <c r="D1109">
        <v>4.0214759999999998</v>
      </c>
      <c r="E1109">
        <v>0.53365430000000003</v>
      </c>
      <c r="F1109" t="s">
        <v>43</v>
      </c>
      <c r="G1109">
        <v>-162.32210000000001</v>
      </c>
      <c r="H1109">
        <v>-0.05</v>
      </c>
      <c r="I1109">
        <v>348.976</v>
      </c>
      <c r="J1109">
        <v>-231.84450000000001</v>
      </c>
      <c r="K1109">
        <v>1.1094329999999999</v>
      </c>
      <c r="L1109">
        <v>368.2912</v>
      </c>
      <c r="M1109">
        <v>0.99986509999999995</v>
      </c>
      <c r="N1109">
        <v>-1.445433E-2</v>
      </c>
      <c r="O1109">
        <v>-7.807736E-3</v>
      </c>
      <c r="P1109">
        <v>0.98063089999999997</v>
      </c>
      <c r="Q1109">
        <v>-7.1892049999999999E-2</v>
      </c>
      <c r="R1109">
        <v>-0.18219460000000001</v>
      </c>
      <c r="S1109">
        <v>2.906021</v>
      </c>
      <c r="T1109">
        <v>-4.8319460000000002E-2</v>
      </c>
      <c r="U1109">
        <v>-0.80505369999999998</v>
      </c>
      <c r="V1109">
        <v>0.17451720000000001</v>
      </c>
      <c r="W1109">
        <v>-5.7733659999999999E-2</v>
      </c>
      <c r="X1109">
        <v>0.9829601</v>
      </c>
      <c r="Y1109">
        <v>0.25937670000000002</v>
      </c>
      <c r="Z1109">
        <v>-4.0093469999999999E-3</v>
      </c>
      <c r="AA1109">
        <v>0.96576790000000001</v>
      </c>
      <c r="AB1109">
        <v>32</v>
      </c>
      <c r="AC1109">
        <v>69.522400000000005</v>
      </c>
      <c r="AD1109">
        <v>-1.1594329999999999</v>
      </c>
      <c r="AE1109">
        <v>-19.315200000000001</v>
      </c>
      <c r="AF1109">
        <v>18.766896357048701</v>
      </c>
      <c r="AG1109">
        <v>-1.1594329999999999</v>
      </c>
      <c r="AH1109">
        <v>69.6531199952409</v>
      </c>
      <c r="AI1109">
        <v>90.920815323130199</v>
      </c>
      <c r="AJ1109">
        <v>74.920672281174404</v>
      </c>
      <c r="AK1109">
        <v>72.146363794921299</v>
      </c>
      <c r="AL1109">
        <v>93.309735469992802</v>
      </c>
      <c r="AM1109">
        <v>79.932469606257101</v>
      </c>
      <c r="AN1109">
        <v>0.99999999339242196</v>
      </c>
    </row>
    <row r="1110" spans="1:40" x14ac:dyDescent="0.25">
      <c r="A1110" t="str">
        <f>"20190305135812488"</f>
        <v>20190305135812488</v>
      </c>
      <c r="B1110" t="str">
        <f>"1551765492479181"</f>
        <v>1551765492479181</v>
      </c>
      <c r="C1110" t="s">
        <v>40</v>
      </c>
      <c r="D1110">
        <v>4.0145339999999896</v>
      </c>
      <c r="E1110">
        <v>0.53369060000000001</v>
      </c>
      <c r="F1110" t="s">
        <v>50</v>
      </c>
      <c r="G1110">
        <v>-177.2406</v>
      </c>
      <c r="H1110">
        <v>7.9987559999999999E-2</v>
      </c>
      <c r="I1110">
        <v>353.15359999999998</v>
      </c>
      <c r="J1110">
        <v>-231.65039999999999</v>
      </c>
      <c r="K1110">
        <v>1.1094469999999901</v>
      </c>
      <c r="L1110">
        <v>368.28969999999998</v>
      </c>
      <c r="M1110">
        <v>0.99986520000000001</v>
      </c>
      <c r="N1110">
        <v>-1.4452059999999999E-2</v>
      </c>
      <c r="O1110">
        <v>-7.7920150000000002E-3</v>
      </c>
      <c r="P1110">
        <v>0.98048900000000005</v>
      </c>
      <c r="Q1110">
        <v>-7.3704749999999999E-2</v>
      </c>
      <c r="R1110">
        <v>-0.1822336</v>
      </c>
      <c r="S1110">
        <v>2.9056090000000001</v>
      </c>
      <c r="T1110">
        <v>-5.4779290000000001E-2</v>
      </c>
      <c r="U1110">
        <v>-0.80551149999999905</v>
      </c>
      <c r="V1110">
        <v>0.17457590000000001</v>
      </c>
      <c r="W1110">
        <v>-5.9539880000000003E-2</v>
      </c>
      <c r="X1110">
        <v>0.98284190000000005</v>
      </c>
      <c r="Y1110">
        <v>0.25955489999999998</v>
      </c>
      <c r="Z1110">
        <v>-4.2782799999999998E-3</v>
      </c>
      <c r="AA1110">
        <v>0.96571890000000005</v>
      </c>
      <c r="AB1110">
        <v>32</v>
      </c>
      <c r="AC1110">
        <v>54.409799999999898</v>
      </c>
      <c r="AD1110">
        <v>-1.0294594399999999</v>
      </c>
      <c r="AE1110">
        <v>-15.136100000000001</v>
      </c>
      <c r="AF1110">
        <v>14.706747517049999</v>
      </c>
      <c r="AG1110">
        <v>-1.0294594399999999</v>
      </c>
      <c r="AH1110">
        <v>54.507989498632497</v>
      </c>
      <c r="AI1110">
        <v>91.044635609749207</v>
      </c>
      <c r="AJ1110">
        <v>74.900623936989604</v>
      </c>
      <c r="AK1110">
        <v>56.466531046735099</v>
      </c>
      <c r="AL1110">
        <v>93.413402714724199</v>
      </c>
      <c r="AM1110">
        <v>79.927966272606298</v>
      </c>
      <c r="AN1110">
        <v>0.999999971283416</v>
      </c>
    </row>
    <row r="1111" spans="1:40" x14ac:dyDescent="0.25">
      <c r="A1111" t="str">
        <f>"20190305135812504"</f>
        <v>20190305135812504</v>
      </c>
      <c r="B1111" t="str">
        <f>"1551765492499677"</f>
        <v>1551765492499677</v>
      </c>
      <c r="C1111" t="s">
        <v>40</v>
      </c>
      <c r="D1111">
        <v>4.0461960000000001</v>
      </c>
      <c r="E1111">
        <v>0.53384909999999997</v>
      </c>
      <c r="F1111" t="s">
        <v>50</v>
      </c>
      <c r="G1111">
        <v>-180.16720000000001</v>
      </c>
      <c r="H1111" s="1">
        <v>-4.1049250000000003E-6</v>
      </c>
      <c r="I1111">
        <v>354.0059</v>
      </c>
      <c r="J1111">
        <v>-231.45099999999999</v>
      </c>
      <c r="K1111">
        <v>1.1094649999999999</v>
      </c>
      <c r="L1111">
        <v>368.28809999999999</v>
      </c>
      <c r="M1111">
        <v>0.99986549999999996</v>
      </c>
      <c r="N1111">
        <v>-1.4449740000000001E-2</v>
      </c>
      <c r="O1111">
        <v>-7.765709E-3</v>
      </c>
      <c r="P1111">
        <v>0.98039339999999997</v>
      </c>
      <c r="Q1111">
        <v>-7.4465879999999998E-2</v>
      </c>
      <c r="R1111">
        <v>-0.18243880000000001</v>
      </c>
      <c r="S1111">
        <v>2.9051819999999999</v>
      </c>
      <c r="T1111">
        <v>-6.2606099999999998E-2</v>
      </c>
      <c r="U1111">
        <v>-0.80603029999999998</v>
      </c>
      <c r="V1111">
        <v>0.1748112</v>
      </c>
      <c r="W1111">
        <v>-6.029458E-2</v>
      </c>
      <c r="X1111">
        <v>0.98275409999999996</v>
      </c>
      <c r="Y1111">
        <v>0.25975890000000001</v>
      </c>
      <c r="Z1111">
        <v>-4.6046359999999996E-3</v>
      </c>
      <c r="AA1111">
        <v>0.96566249999999998</v>
      </c>
      <c r="AB1111">
        <v>32</v>
      </c>
      <c r="AC1111">
        <v>51.2837999999999</v>
      </c>
      <c r="AD1111">
        <v>-1.1094691049249901</v>
      </c>
      <c r="AE1111">
        <v>-14.2821999999999</v>
      </c>
      <c r="AF1111">
        <v>13.8774451039525</v>
      </c>
      <c r="AG1111">
        <v>-1.1094691049249901</v>
      </c>
      <c r="AH1111">
        <v>51.370863884715099</v>
      </c>
      <c r="AI1111">
        <v>91.194435971925103</v>
      </c>
      <c r="AJ1111">
        <v>74.882824091141401</v>
      </c>
      <c r="AK1111">
        <v>53.223867395839598</v>
      </c>
      <c r="AL1111">
        <v>93.456721548827701</v>
      </c>
      <c r="AM1111">
        <v>79.913786771847498</v>
      </c>
      <c r="AN1111">
        <v>1.00000000654481</v>
      </c>
    </row>
    <row r="1112" spans="1:40" x14ac:dyDescent="0.25">
      <c r="A1112" t="str">
        <f>"20190305135812516"</f>
        <v>20190305135812516</v>
      </c>
      <c r="B1112" t="str">
        <f>"1551765492510117"</f>
        <v>1551765492510117</v>
      </c>
      <c r="C1112" t="s">
        <v>40</v>
      </c>
      <c r="D1112">
        <v>4.1133940000000004</v>
      </c>
      <c r="E1112">
        <v>0.53384909999999997</v>
      </c>
      <c r="F1112" t="s">
        <v>50</v>
      </c>
      <c r="G1112">
        <v>-185.0461</v>
      </c>
      <c r="H1112" s="1">
        <v>-3.8836639999999996E-6</v>
      </c>
      <c r="I1112">
        <v>355.37740000000002</v>
      </c>
      <c r="J1112">
        <v>-231.2406</v>
      </c>
      <c r="K1112">
        <v>1.109478</v>
      </c>
      <c r="L1112">
        <v>368.28649999999999</v>
      </c>
      <c r="M1112">
        <v>0.99986580000000003</v>
      </c>
      <c r="N1112">
        <v>-1.444728E-2</v>
      </c>
      <c r="O1112">
        <v>-7.7260690000000003E-3</v>
      </c>
      <c r="P1112">
        <v>0.98020419999999997</v>
      </c>
      <c r="Q1112">
        <v>-7.5771619999999998E-2</v>
      </c>
      <c r="R1112">
        <v>-0.18291750000000001</v>
      </c>
      <c r="S1112">
        <v>2.9043580000000002</v>
      </c>
      <c r="T1112">
        <v>-6.9438699999999895E-2</v>
      </c>
      <c r="U1112">
        <v>-0.8080444</v>
      </c>
      <c r="V1112">
        <v>0.1753335</v>
      </c>
      <c r="W1112">
        <v>-6.1595700000000003E-2</v>
      </c>
      <c r="X1112">
        <v>0.98258040000000002</v>
      </c>
      <c r="Y1112">
        <v>0.26047199999999998</v>
      </c>
      <c r="Z1112">
        <v>-4.9008039999999999E-3</v>
      </c>
      <c r="AA1112">
        <v>0.96546889999999996</v>
      </c>
      <c r="AB1112">
        <v>32</v>
      </c>
      <c r="AC1112">
        <v>46.194499999999998</v>
      </c>
      <c r="AD1112">
        <v>-1.1094818836639999</v>
      </c>
      <c r="AE1112">
        <v>-12.909099999999899</v>
      </c>
      <c r="AF1112">
        <v>12.5450631062896</v>
      </c>
      <c r="AG1112">
        <v>-1.1094818836639999</v>
      </c>
      <c r="AH1112">
        <v>46.268111687339797</v>
      </c>
      <c r="AI1112">
        <v>91.3258038592666</v>
      </c>
      <c r="AJ1112">
        <v>74.829647117156995</v>
      </c>
      <c r="AK1112">
        <v>47.951514235768599</v>
      </c>
      <c r="AL1112">
        <v>93.531408904201399</v>
      </c>
      <c r="AM1112">
        <v>79.882521368023404</v>
      </c>
      <c r="AN1112">
        <v>1.0000000544724399</v>
      </c>
    </row>
    <row r="1113" spans="1:40" x14ac:dyDescent="0.25">
      <c r="A1113" t="str">
        <f>"20190305135812530"</f>
        <v>20190305135812530</v>
      </c>
      <c r="B1113" t="str">
        <f>"1551765492519876"</f>
        <v>1551765492519876</v>
      </c>
      <c r="C1113" t="s">
        <v>40</v>
      </c>
      <c r="D1113">
        <v>4.0755589999999904</v>
      </c>
      <c r="E1113">
        <v>0.52864199999999995</v>
      </c>
      <c r="F1113" t="s">
        <v>50</v>
      </c>
      <c r="G1113">
        <v>-187.3449</v>
      </c>
      <c r="H1113" s="1">
        <v>-3.7863040000000002E-6</v>
      </c>
      <c r="I1113">
        <v>356.04730000000001</v>
      </c>
      <c r="J1113">
        <v>-231.06540000000001</v>
      </c>
      <c r="K1113">
        <v>1.109488</v>
      </c>
      <c r="L1113">
        <v>368.28519999999997</v>
      </c>
      <c r="M1113">
        <v>0.99986620000000004</v>
      </c>
      <c r="N1113">
        <v>-1.4445390000000001E-2</v>
      </c>
      <c r="O1113">
        <v>-7.6833259999999999E-3</v>
      </c>
      <c r="P1113">
        <v>0.9800238</v>
      </c>
      <c r="Q1113">
        <v>-7.6711580000000001E-2</v>
      </c>
      <c r="R1113">
        <v>-0.1834906</v>
      </c>
      <c r="S1113">
        <v>2.9038390000000001</v>
      </c>
      <c r="T1113">
        <v>-7.3395730000000006E-2</v>
      </c>
      <c r="U1113">
        <v>-0.80966190000000005</v>
      </c>
      <c r="V1113">
        <v>0.17595239999999901</v>
      </c>
      <c r="W1113">
        <v>-6.2533019999999995E-2</v>
      </c>
      <c r="X1113">
        <v>0.98241049999999996</v>
      </c>
      <c r="Y1113">
        <v>0.261046</v>
      </c>
      <c r="Z1113">
        <v>-5.076545E-3</v>
      </c>
      <c r="AA1113">
        <v>0.96531299999999998</v>
      </c>
      <c r="AB1113">
        <v>32</v>
      </c>
      <c r="AC1113">
        <v>43.720500000000001</v>
      </c>
      <c r="AD1113">
        <v>-1.1094917863039999</v>
      </c>
      <c r="AE1113">
        <v>-12.2378999999999</v>
      </c>
      <c r="AF1113">
        <v>11.894481455971199</v>
      </c>
      <c r="AG1113">
        <v>-1.1094917863039999</v>
      </c>
      <c r="AH1113">
        <v>43.7870972679248</v>
      </c>
      <c r="AI1113">
        <v>91.400729628159795</v>
      </c>
      <c r="AJ1113">
        <v>74.802692519517805</v>
      </c>
      <c r="AK1113">
        <v>45.3874382211756</v>
      </c>
      <c r="AL1113">
        <v>93.585217284048795</v>
      </c>
      <c r="AM1113">
        <v>79.845830581420401</v>
      </c>
      <c r="AN1113">
        <v>1.0000000080831599</v>
      </c>
    </row>
    <row r="1114" spans="1:40" x14ac:dyDescent="0.25">
      <c r="A1114" t="str">
        <f>"20190305135812546"</f>
        <v>20190305135812546</v>
      </c>
      <c r="B1114" t="str">
        <f>"1551765492539396"</f>
        <v>1551765492539396</v>
      </c>
      <c r="C1114" t="s">
        <v>40</v>
      </c>
      <c r="D1114">
        <v>4.1383970000000003</v>
      </c>
      <c r="E1114">
        <v>0.52957860000000001</v>
      </c>
      <c r="F1114" t="s">
        <v>42</v>
      </c>
      <c r="G1114">
        <v>-215.70949999999999</v>
      </c>
      <c r="H1114" s="1">
        <v>-2.8919760000000002E-6</v>
      </c>
      <c r="I1114">
        <v>364.1825</v>
      </c>
      <c r="J1114">
        <v>-230.84100000000001</v>
      </c>
      <c r="K1114">
        <v>1.1094980000000001</v>
      </c>
      <c r="L1114">
        <v>368.2835</v>
      </c>
      <c r="M1114">
        <v>0.99986660000000005</v>
      </c>
      <c r="N1114">
        <v>-1.444293E-2</v>
      </c>
      <c r="O1114">
        <v>-7.6238390000000003E-3</v>
      </c>
      <c r="P1114">
        <v>0.97981479999999999</v>
      </c>
      <c r="Q1114">
        <v>-7.7576339999999994E-2</v>
      </c>
      <c r="R1114">
        <v>-0.18424170000000001</v>
      </c>
      <c r="S1114">
        <v>2.8997190000000002</v>
      </c>
      <c r="T1114">
        <v>-0.2095088</v>
      </c>
      <c r="U1114">
        <v>-0.77471919999999905</v>
      </c>
      <c r="V1114">
        <v>0.17676649999999999</v>
      </c>
      <c r="W1114">
        <v>-6.3394790000000006E-2</v>
      </c>
      <c r="X1114">
        <v>0.98220909999999995</v>
      </c>
      <c r="Y1114">
        <v>0.25001820000000002</v>
      </c>
      <c r="Z1114">
        <v>-1.0272430000000001E-2</v>
      </c>
      <c r="AA1114">
        <v>0.96818660000000001</v>
      </c>
      <c r="AB1114">
        <v>32</v>
      </c>
      <c r="AC1114">
        <v>15.1314999999999</v>
      </c>
      <c r="AD1114">
        <v>-1.1095008919760001</v>
      </c>
      <c r="AE1114">
        <v>-4.1009999999999902</v>
      </c>
      <c r="AF1114">
        <v>3.9656466835907702</v>
      </c>
      <c r="AG1114">
        <v>-1.1095008919760001</v>
      </c>
      <c r="AH1114">
        <v>15.0867666750024</v>
      </c>
      <c r="AI1114">
        <v>94.068324468667896</v>
      </c>
      <c r="AJ1114">
        <v>75.272616993647802</v>
      </c>
      <c r="AK1114">
        <v>15.6386660094246</v>
      </c>
      <c r="AL1114">
        <v>93.634691244407804</v>
      </c>
      <c r="AM1114">
        <v>79.797785675068098</v>
      </c>
      <c r="AN1114">
        <v>1.0000000055221001</v>
      </c>
    </row>
    <row r="1115" spans="1:40" x14ac:dyDescent="0.25">
      <c r="A1115" t="str">
        <f>"20190305135812559"</f>
        <v>20190305135812559</v>
      </c>
      <c r="B1115" t="str">
        <f>"1551765492550132"</f>
        <v>1551765492550132</v>
      </c>
      <c r="C1115" t="s">
        <v>40</v>
      </c>
      <c r="D1115">
        <v>4.127338</v>
      </c>
      <c r="E1115">
        <v>0.5297132</v>
      </c>
      <c r="F1115" t="s">
        <v>42</v>
      </c>
      <c r="G1115">
        <v>-215.1558</v>
      </c>
      <c r="H1115" s="1">
        <v>-3.1178949999999999E-6</v>
      </c>
      <c r="I1115">
        <v>364.04160000000002</v>
      </c>
      <c r="J1115">
        <v>-230.636</v>
      </c>
      <c r="K1115">
        <v>1.1095090000000001</v>
      </c>
      <c r="L1115">
        <v>368.28199999999998</v>
      </c>
      <c r="M1115">
        <v>0.99986710000000001</v>
      </c>
      <c r="N1115">
        <v>-1.444059E-2</v>
      </c>
      <c r="O1115">
        <v>-7.5653739999999997E-3</v>
      </c>
      <c r="P1115">
        <v>0.97938040000000004</v>
      </c>
      <c r="Q1115">
        <v>-7.9217750000000003E-2</v>
      </c>
      <c r="R1115">
        <v>-0.1858455</v>
      </c>
      <c r="S1115">
        <v>2.8982239999999999</v>
      </c>
      <c r="T1115">
        <v>-0.20500599999999999</v>
      </c>
      <c r="U1115">
        <v>-0.78378300000000001</v>
      </c>
      <c r="V1115">
        <v>0.17843349999999999</v>
      </c>
      <c r="W1115">
        <v>-6.503768E-2</v>
      </c>
      <c r="X1115">
        <v>0.98180020000000001</v>
      </c>
      <c r="Y1115">
        <v>0.25304120000000002</v>
      </c>
      <c r="Z1115">
        <v>-1.0225400000000001E-2</v>
      </c>
      <c r="AA1115">
        <v>0.96740150000000003</v>
      </c>
      <c r="AB1115">
        <v>32</v>
      </c>
      <c r="AC1115">
        <v>15.4801999999999</v>
      </c>
      <c r="AD1115">
        <v>-1.109512117895</v>
      </c>
      <c r="AE1115">
        <v>-4.2403999999999602</v>
      </c>
      <c r="AF1115">
        <v>4.1035442561328299</v>
      </c>
      <c r="AG1115">
        <v>-1.109512117895</v>
      </c>
      <c r="AH1115">
        <v>15.4380701454493</v>
      </c>
      <c r="AI1115">
        <v>93.973199067019294</v>
      </c>
      <c r="AJ1115">
        <v>75.114587765003606</v>
      </c>
      <c r="AK1115">
        <v>16.0126232209969</v>
      </c>
      <c r="AL1115">
        <v>93.729016538553395</v>
      </c>
      <c r="AM1115">
        <v>79.699425806232298</v>
      </c>
      <c r="AN1115">
        <v>1.00000002323103</v>
      </c>
    </row>
    <row r="1116" spans="1:40" x14ac:dyDescent="0.25">
      <c r="A1116" t="str">
        <f>"20190305135812574"</f>
        <v>20190305135812574</v>
      </c>
      <c r="B1116" t="str">
        <f>"1551765492569652"</f>
        <v>1551765492569652</v>
      </c>
      <c r="C1116" t="s">
        <v>40</v>
      </c>
      <c r="D1116">
        <v>4.1397539999999999</v>
      </c>
      <c r="E1116">
        <v>0.52966000000000002</v>
      </c>
      <c r="F1116" t="s">
        <v>42</v>
      </c>
      <c r="G1116">
        <v>-215.0275</v>
      </c>
      <c r="H1116" s="1">
        <v>-3.1654350000000001E-6</v>
      </c>
      <c r="I1116">
        <v>364.02710000000002</v>
      </c>
      <c r="J1116">
        <v>-230.42920000000001</v>
      </c>
      <c r="K1116">
        <v>1.1095200000000001</v>
      </c>
      <c r="L1116">
        <v>368.28039999999999</v>
      </c>
      <c r="M1116">
        <v>0.99986770000000003</v>
      </c>
      <c r="N1116">
        <v>-1.4438100000000001E-2</v>
      </c>
      <c r="O1116">
        <v>-7.5018419999999999E-3</v>
      </c>
      <c r="P1116">
        <v>0.97928470000000001</v>
      </c>
      <c r="Q1116">
        <v>-7.9570589999999997E-2</v>
      </c>
      <c r="R1116">
        <v>-0.1861998</v>
      </c>
      <c r="S1116">
        <v>2.8966370000000001</v>
      </c>
      <c r="T1116">
        <v>-0.20590259999999999</v>
      </c>
      <c r="U1116">
        <v>-0.78961179999999997</v>
      </c>
      <c r="V1116">
        <v>0.1788526</v>
      </c>
      <c r="W1116">
        <v>-6.5388979999999999E-2</v>
      </c>
      <c r="X1116">
        <v>0.98170060000000003</v>
      </c>
      <c r="Y1116">
        <v>0.25503700000000001</v>
      </c>
      <c r="Z1116">
        <v>-1.0351600000000001E-2</v>
      </c>
      <c r="AA1116">
        <v>0.96687590000000001</v>
      </c>
      <c r="AB1116">
        <v>32</v>
      </c>
      <c r="AC1116">
        <v>15.4017</v>
      </c>
      <c r="AD1116">
        <v>-1.109523165435</v>
      </c>
      <c r="AE1116">
        <v>-4.2532999999999603</v>
      </c>
      <c r="AF1116">
        <v>4.1177717081205598</v>
      </c>
      <c r="AG1116">
        <v>-1.109523165435</v>
      </c>
      <c r="AH1116">
        <v>15.359117509001001</v>
      </c>
      <c r="AI1116">
        <v>93.991323170519294</v>
      </c>
      <c r="AJ1116">
        <v>74.991965263913997</v>
      </c>
      <c r="AK1116">
        <v>15.9401874565557</v>
      </c>
      <c r="AL1116">
        <v>93.749187496005206</v>
      </c>
      <c r="AM1116">
        <v>79.674726871850496</v>
      </c>
      <c r="AN1116">
        <v>1.0000000196362799</v>
      </c>
    </row>
    <row r="1117" spans="1:40" x14ac:dyDescent="0.25">
      <c r="A1117" t="str">
        <f>"20190305135812591"</f>
        <v>20190305135812591</v>
      </c>
      <c r="B1117" t="str">
        <f>"1551765492579412"</f>
        <v>1551765492579412</v>
      </c>
      <c r="C1117" t="s">
        <v>40</v>
      </c>
      <c r="D1117">
        <v>4.1255739999999896</v>
      </c>
      <c r="E1117">
        <v>0.52975450000000002</v>
      </c>
      <c r="F1117" t="s">
        <v>42</v>
      </c>
      <c r="G1117">
        <v>-214.8999</v>
      </c>
      <c r="H1117" s="1">
        <v>-3.2041610000000002E-6</v>
      </c>
      <c r="I1117">
        <v>364.04469999999998</v>
      </c>
      <c r="J1117">
        <v>-230.1961</v>
      </c>
      <c r="K1117">
        <v>1.1095330000000001</v>
      </c>
      <c r="L1117">
        <v>368.27870000000001</v>
      </c>
      <c r="M1117">
        <v>0.99986830000000004</v>
      </c>
      <c r="N1117">
        <v>-1.443528E-2</v>
      </c>
      <c r="O1117">
        <v>-7.4270150000000004E-3</v>
      </c>
      <c r="P1117">
        <v>0.97904290000000005</v>
      </c>
      <c r="Q1117">
        <v>-8.00207E-2</v>
      </c>
      <c r="R1117">
        <v>-0.1872752</v>
      </c>
      <c r="S1117">
        <v>2.896439</v>
      </c>
      <c r="T1117">
        <v>-0.20694070000000001</v>
      </c>
      <c r="U1117">
        <v>-0.7900085</v>
      </c>
      <c r="V1117">
        <v>0.1800049</v>
      </c>
      <c r="W1117">
        <v>-6.5840629999999997E-2</v>
      </c>
      <c r="X1117">
        <v>0.98145970000000005</v>
      </c>
      <c r="Y1117">
        <v>0.25524200000000002</v>
      </c>
      <c r="Z1117">
        <v>-1.040664E-2</v>
      </c>
      <c r="AA1117">
        <v>0.96682120000000005</v>
      </c>
      <c r="AB1117">
        <v>32</v>
      </c>
      <c r="AC1117">
        <v>15.296200000000001</v>
      </c>
      <c r="AD1117">
        <v>-1.109536204161</v>
      </c>
      <c r="AE1117">
        <v>-4.2340000000000302</v>
      </c>
      <c r="AF1117">
        <v>4.1002279137469202</v>
      </c>
      <c r="AG1117">
        <v>-1.109536204161</v>
      </c>
      <c r="AH1117">
        <v>15.2526854235338</v>
      </c>
      <c r="AI1117">
        <v>94.018407674280297</v>
      </c>
      <c r="AJ1117">
        <v>74.953455214228498</v>
      </c>
      <c r="AK1117">
        <v>15.8331093649445</v>
      </c>
      <c r="AL1117">
        <v>93.775121292725899</v>
      </c>
      <c r="AM1117">
        <v>79.607153539291403</v>
      </c>
      <c r="AN1117">
        <v>0.99999994765344702</v>
      </c>
    </row>
    <row r="1118" spans="1:40" x14ac:dyDescent="0.25">
      <c r="A1118" t="str">
        <f>"20190305135812606"</f>
        <v>20190305135812606</v>
      </c>
      <c r="B1118" t="str">
        <f>"1551765492599908"</f>
        <v>1551765492599908</v>
      </c>
      <c r="C1118" t="s">
        <v>40</v>
      </c>
      <c r="D1118">
        <v>4.12967</v>
      </c>
      <c r="E1118">
        <v>0.53013209999999999</v>
      </c>
      <c r="F1118" t="s">
        <v>42</v>
      </c>
      <c r="G1118">
        <v>-215.0231</v>
      </c>
      <c r="H1118" s="1">
        <v>-3.1433789999999999E-6</v>
      </c>
      <c r="I1118">
        <v>364.11559999999997</v>
      </c>
      <c r="J1118">
        <v>-229.97819999999999</v>
      </c>
      <c r="K1118">
        <v>1.1095389999999901</v>
      </c>
      <c r="L1118">
        <v>368.27719999999999</v>
      </c>
      <c r="M1118">
        <v>0.99986889999999995</v>
      </c>
      <c r="N1118">
        <v>-1.443267E-2</v>
      </c>
      <c r="O1118">
        <v>-7.3549869999999899E-3</v>
      </c>
      <c r="P1118">
        <v>0.97889099999999996</v>
      </c>
      <c r="Q1118">
        <v>-8.0483990000000005E-2</v>
      </c>
      <c r="R1118">
        <v>-0.1878698</v>
      </c>
      <c r="S1118">
        <v>2.8949579999999999</v>
      </c>
      <c r="T1118">
        <v>-0.21169460000000001</v>
      </c>
      <c r="U1118">
        <v>-0.79431149999999995</v>
      </c>
      <c r="V1118">
        <v>0.18067259999999999</v>
      </c>
      <c r="W1118">
        <v>-6.6305409999999995E-2</v>
      </c>
      <c r="X1118">
        <v>0.98130580000000001</v>
      </c>
      <c r="Y1118">
        <v>0.25673839999999998</v>
      </c>
      <c r="Z1118">
        <v>-1.0671160000000001E-2</v>
      </c>
      <c r="AA1118">
        <v>0.966422</v>
      </c>
      <c r="AB1118">
        <v>32</v>
      </c>
      <c r="AC1118">
        <v>14.9550999999999</v>
      </c>
      <c r="AD1118">
        <v>-1.10954214337899</v>
      </c>
      <c r="AE1118">
        <v>-4.1616000000000204</v>
      </c>
      <c r="AF1118">
        <v>4.0308884617532801</v>
      </c>
      <c r="AG1118">
        <v>-1.10954214337899</v>
      </c>
      <c r="AH1118">
        <v>14.909139531123699</v>
      </c>
      <c r="AI1118">
        <v>94.109121569638901</v>
      </c>
      <c r="AJ1118">
        <v>74.871010051478393</v>
      </c>
      <c r="AK1118">
        <v>15.484236730221699</v>
      </c>
      <c r="AL1118">
        <v>93.801809215730003</v>
      </c>
      <c r="AM1118">
        <v>79.567847579663393</v>
      </c>
      <c r="AN1118">
        <v>1.0000000344498301</v>
      </c>
    </row>
    <row r="1119" spans="1:40" x14ac:dyDescent="0.25">
      <c r="A1119" t="str">
        <f>"20190305135812624"</f>
        <v>20190305135812624</v>
      </c>
      <c r="B1119" t="str">
        <f>"1551765492619428"</f>
        <v>1551765492619428</v>
      </c>
      <c r="C1119" t="s">
        <v>40</v>
      </c>
      <c r="D1119">
        <v>4.1033559999999998</v>
      </c>
      <c r="E1119">
        <v>0.53044669999999905</v>
      </c>
      <c r="F1119" t="s">
        <v>42</v>
      </c>
      <c r="G1119">
        <v>-215.09540000000001</v>
      </c>
      <c r="H1119" s="1">
        <v>-3.104951E-6</v>
      </c>
      <c r="I1119">
        <v>364.16759999999999</v>
      </c>
      <c r="J1119">
        <v>-229.71260000000001</v>
      </c>
      <c r="K1119">
        <v>1.1095469999999901</v>
      </c>
      <c r="L1119">
        <v>368.27530000000002</v>
      </c>
      <c r="M1119">
        <v>0.99986960000000003</v>
      </c>
      <c r="N1119">
        <v>-1.442951E-2</v>
      </c>
      <c r="O1119">
        <v>-7.2650950000000001E-3</v>
      </c>
      <c r="P1119">
        <v>0.97876909999999895</v>
      </c>
      <c r="Q1119">
        <v>-8.07893999999999E-2</v>
      </c>
      <c r="R1119">
        <v>-0.1883727</v>
      </c>
      <c r="S1119">
        <v>2.8936000000000002</v>
      </c>
      <c r="T1119">
        <v>-0.21572150000000001</v>
      </c>
      <c r="U1119">
        <v>-0.79901119999999903</v>
      </c>
      <c r="V1119">
        <v>0.18126539999999999</v>
      </c>
      <c r="W1119">
        <v>-6.6612989999999997E-2</v>
      </c>
      <c r="X1119">
        <v>0.98117560000000004</v>
      </c>
      <c r="Y1119">
        <v>0.25836769999999998</v>
      </c>
      <c r="Z1119">
        <v>-1.091481E-2</v>
      </c>
      <c r="AA1119">
        <v>0.96598499999999998</v>
      </c>
      <c r="AB1119">
        <v>32</v>
      </c>
      <c r="AC1119">
        <v>14.617199999999899</v>
      </c>
      <c r="AD1119">
        <v>-1.1095501049509999</v>
      </c>
      <c r="AE1119">
        <v>-4.1077000000000199</v>
      </c>
      <c r="AF1119">
        <v>3.9801305793585802</v>
      </c>
      <c r="AG1119">
        <v>-1.1095501049509999</v>
      </c>
      <c r="AH1119">
        <v>14.568859812141699</v>
      </c>
      <c r="AI1119">
        <v>94.201786056516198</v>
      </c>
      <c r="AJ1119">
        <v>74.719973980922703</v>
      </c>
      <c r="AK1119">
        <v>15.1434545956324</v>
      </c>
      <c r="AL1119">
        <v>93.819471443194203</v>
      </c>
      <c r="AM1119">
        <v>79.533015940347994</v>
      </c>
      <c r="AN1119">
        <v>0.99999999685463004</v>
      </c>
    </row>
    <row r="1120" spans="1:40" x14ac:dyDescent="0.25">
      <c r="A1120" t="str">
        <f>"20190305135812641"</f>
        <v>20190305135812641</v>
      </c>
      <c r="B1120" t="str">
        <f>"1551765492630164"</f>
        <v>1551765492630164</v>
      </c>
      <c r="C1120" t="s">
        <v>40</v>
      </c>
      <c r="D1120">
        <v>4.1596419999999998</v>
      </c>
      <c r="E1120">
        <v>0.5304392</v>
      </c>
      <c r="F1120" t="s">
        <v>42</v>
      </c>
      <c r="G1120">
        <v>-215.02420000000001</v>
      </c>
      <c r="H1120" s="1">
        <v>-3.1213699999999999E-6</v>
      </c>
      <c r="I1120">
        <v>364.19690000000003</v>
      </c>
      <c r="J1120">
        <v>-229.47839999999999</v>
      </c>
      <c r="K1120">
        <v>1.109553</v>
      </c>
      <c r="L1120">
        <v>368.27370000000002</v>
      </c>
      <c r="M1120">
        <v>0.99987020000000004</v>
      </c>
      <c r="N1120">
        <v>-1.442674E-2</v>
      </c>
      <c r="O1120">
        <v>-7.185383E-3</v>
      </c>
      <c r="P1120">
        <v>0.97875719999999999</v>
      </c>
      <c r="Q1120">
        <v>-8.0805499999999905E-2</v>
      </c>
      <c r="R1120">
        <v>-0.18842819999999999</v>
      </c>
      <c r="S1120">
        <v>2.892471</v>
      </c>
      <c r="T1120">
        <v>-0.2184941</v>
      </c>
      <c r="U1120">
        <v>-0.80313109999999999</v>
      </c>
      <c r="V1120">
        <v>0.1813997</v>
      </c>
      <c r="W1120">
        <v>-6.6630499999999995E-2</v>
      </c>
      <c r="X1120">
        <v>0.98114959999999996</v>
      </c>
      <c r="Y1120">
        <v>0.25979560000000002</v>
      </c>
      <c r="Z1120">
        <v>-1.1098899999999899E-2</v>
      </c>
      <c r="AA1120">
        <v>0.96559980000000001</v>
      </c>
      <c r="AB1120">
        <v>32</v>
      </c>
      <c r="AC1120">
        <v>14.454199999999901</v>
      </c>
      <c r="AD1120">
        <v>-1.10955612137</v>
      </c>
      <c r="AE1120">
        <v>-4.0767999999999898</v>
      </c>
      <c r="AF1120">
        <v>3.9512573518597298</v>
      </c>
      <c r="AG1120">
        <v>-1.10955612137</v>
      </c>
      <c r="AH1120">
        <v>14.4044974137257</v>
      </c>
      <c r="AI1120">
        <v>94.248379066225397</v>
      </c>
      <c r="AJ1120">
        <v>74.660658963461202</v>
      </c>
      <c r="AK1120">
        <v>14.9777533425118</v>
      </c>
      <c r="AL1120">
        <v>93.820476890665603</v>
      </c>
      <c r="AM1120">
        <v>79.525161074802995</v>
      </c>
      <c r="AN1120">
        <v>1.0000000061352501</v>
      </c>
    </row>
    <row r="1121" spans="1:40" x14ac:dyDescent="0.25">
      <c r="A1121" t="str">
        <f>"20190305135812654"</f>
        <v>20190305135812654</v>
      </c>
      <c r="B1121" t="str">
        <f>"1551765492649683"</f>
        <v>1551765492649683</v>
      </c>
      <c r="C1121" t="s">
        <v>40</v>
      </c>
      <c r="D1121">
        <v>4.1293709999999999</v>
      </c>
      <c r="E1121">
        <v>0.53045620000000004</v>
      </c>
      <c r="F1121" t="s">
        <v>42</v>
      </c>
      <c r="G1121">
        <v>-214.89500000000001</v>
      </c>
      <c r="H1121" s="1">
        <v>-3.158221E-6</v>
      </c>
      <c r="I1121">
        <v>364.22359999999998</v>
      </c>
      <c r="J1121">
        <v>-229.2766</v>
      </c>
      <c r="K1121">
        <v>1.1095520000000001</v>
      </c>
      <c r="L1121">
        <v>368.27229999999997</v>
      </c>
      <c r="M1121">
        <v>0.99987079999999995</v>
      </c>
      <c r="N1121">
        <v>-1.4424370000000001E-2</v>
      </c>
      <c r="O1121">
        <v>-7.1172569999999897E-3</v>
      </c>
      <c r="P1121">
        <v>0.9788114</v>
      </c>
      <c r="Q1121">
        <v>-8.0776929999999997E-2</v>
      </c>
      <c r="R1121">
        <v>-0.18815879999999999</v>
      </c>
      <c r="S1121">
        <v>2.8922880000000002</v>
      </c>
      <c r="T1121">
        <v>-0.22005530000000001</v>
      </c>
      <c r="U1121">
        <v>-0.803253199999999</v>
      </c>
      <c r="V1121">
        <v>0.1811971</v>
      </c>
      <c r="W1121">
        <v>-6.6602590000000003E-2</v>
      </c>
      <c r="X1121">
        <v>0.98118899999999998</v>
      </c>
      <c r="Y1121">
        <v>0.25990380000000002</v>
      </c>
      <c r="Z1121">
        <v>-1.117282E-2</v>
      </c>
      <c r="AA1121">
        <v>0.96556989999999998</v>
      </c>
      <c r="AB1121">
        <v>32</v>
      </c>
      <c r="AC1121">
        <v>14.381599999999899</v>
      </c>
      <c r="AD1121">
        <v>-1.1095551582209999</v>
      </c>
      <c r="AE1121">
        <v>-4.0486999999999904</v>
      </c>
      <c r="AF1121">
        <v>3.9245844500354599</v>
      </c>
      <c r="AG1121">
        <v>-1.1095551582209999</v>
      </c>
      <c r="AH1121">
        <v>14.331016102277401</v>
      </c>
      <c r="AI1121">
        <v>94.270571462266105</v>
      </c>
      <c r="AJ1121">
        <v>74.684891551641201</v>
      </c>
      <c r="AK1121">
        <v>14.9000502777115</v>
      </c>
      <c r="AL1121">
        <v>93.818873946245105</v>
      </c>
      <c r="AM1121">
        <v>79.537012476222003</v>
      </c>
      <c r="AN1121">
        <v>1.00000007388205</v>
      </c>
    </row>
    <row r="1122" spans="1:40" x14ac:dyDescent="0.25">
      <c r="A1122" t="str">
        <f>"20190305135812668"</f>
        <v>20190305135812668</v>
      </c>
      <c r="B1122" t="str">
        <f>"1551765492659444"</f>
        <v>1551765492659444</v>
      </c>
      <c r="C1122" t="s">
        <v>40</v>
      </c>
      <c r="D1122">
        <v>4.1817080000000004</v>
      </c>
      <c r="E1122">
        <v>0.53044599999999997</v>
      </c>
      <c r="F1122" t="s">
        <v>42</v>
      </c>
      <c r="G1122">
        <v>-214.77799999999999</v>
      </c>
      <c r="H1122" s="1">
        <v>-3.1910079999999998E-6</v>
      </c>
      <c r="I1122">
        <v>364.25</v>
      </c>
      <c r="J1122">
        <v>-229.08250000000001</v>
      </c>
      <c r="K1122">
        <v>1.109558</v>
      </c>
      <c r="L1122">
        <v>368.27100000000002</v>
      </c>
      <c r="M1122">
        <v>0.99987110000000001</v>
      </c>
      <c r="N1122">
        <v>-1.44221E-2</v>
      </c>
      <c r="O1122">
        <v>-7.0522409999999999E-3</v>
      </c>
      <c r="P1122">
        <v>0.97896640000000001</v>
      </c>
      <c r="Q1122">
        <v>-8.0307669999999998E-2</v>
      </c>
      <c r="R1122">
        <v>-0.18755050000000001</v>
      </c>
      <c r="S1122">
        <v>2.892395</v>
      </c>
      <c r="T1122">
        <v>-0.22134909999999999</v>
      </c>
      <c r="U1122">
        <v>-0.80242919999999995</v>
      </c>
      <c r="V1122">
        <v>0.18065210000000001</v>
      </c>
      <c r="W1122">
        <v>-6.6132839999999998E-2</v>
      </c>
      <c r="X1122">
        <v>0.9813212</v>
      </c>
      <c r="Y1122">
        <v>0.25969370000000003</v>
      </c>
      <c r="Z1122">
        <v>-1.122072E-2</v>
      </c>
      <c r="AA1122">
        <v>0.96562579999999998</v>
      </c>
      <c r="AB1122">
        <v>32</v>
      </c>
      <c r="AC1122">
        <v>14.304500000000001</v>
      </c>
      <c r="AD1122">
        <v>-1.1095611910079901</v>
      </c>
      <c r="AE1122">
        <v>-4.0209999999999502</v>
      </c>
      <c r="AF1122">
        <v>3.89827363974358</v>
      </c>
      <c r="AG1122">
        <v>-1.1095611910079901</v>
      </c>
      <c r="AH1122">
        <v>14.253028250469001</v>
      </c>
      <c r="AI1122">
        <v>94.294253275150993</v>
      </c>
      <c r="AJ1122">
        <v>74.703417143691496</v>
      </c>
      <c r="AK1122">
        <v>14.8181131631385</v>
      </c>
      <c r="AL1122">
        <v>93.791900004888603</v>
      </c>
      <c r="AM1122">
        <v>79.569165381460195</v>
      </c>
      <c r="AN1122">
        <v>1.0000000156651501</v>
      </c>
    </row>
    <row r="1123" spans="1:40" x14ac:dyDescent="0.25">
      <c r="A1123" t="str">
        <f>"20190305135812681"</f>
        <v>20190305135812681</v>
      </c>
      <c r="B1123" t="str">
        <f>"1551765492670181"</f>
        <v>1551765492670181</v>
      </c>
      <c r="C1123" t="s">
        <v>40</v>
      </c>
      <c r="D1123">
        <v>4.185238</v>
      </c>
      <c r="E1123">
        <v>0.53045439999999999</v>
      </c>
      <c r="F1123" t="s">
        <v>42</v>
      </c>
      <c r="G1123">
        <v>-214.5478</v>
      </c>
      <c r="H1123" s="1">
        <v>-3.273719E-6</v>
      </c>
      <c r="I1123">
        <v>364.24720000000002</v>
      </c>
      <c r="J1123">
        <v>-228.89240000000001</v>
      </c>
      <c r="K1123">
        <v>1.109569</v>
      </c>
      <c r="L1123">
        <v>368.2697</v>
      </c>
      <c r="M1123">
        <v>0.99987170000000003</v>
      </c>
      <c r="N1123">
        <v>-1.4419899999999901E-2</v>
      </c>
      <c r="O1123">
        <v>-6.9891390000000001E-3</v>
      </c>
      <c r="P1123">
        <v>0.97913439999999996</v>
      </c>
      <c r="Q1123">
        <v>-7.9961359999999995E-2</v>
      </c>
      <c r="R1123">
        <v>-0.18682199999999999</v>
      </c>
      <c r="S1123">
        <v>2.8929140000000002</v>
      </c>
      <c r="T1123">
        <v>-0.22083990000000001</v>
      </c>
      <c r="U1123">
        <v>-0.80087280000000005</v>
      </c>
      <c r="V1123">
        <v>0.17998430000000001</v>
      </c>
      <c r="W1123">
        <v>-6.5785910000000003E-2</v>
      </c>
      <c r="X1123">
        <v>0.98146719999999998</v>
      </c>
      <c r="Y1123">
        <v>0.25923259999999998</v>
      </c>
      <c r="Z1123">
        <v>-1.1181379999999999E-2</v>
      </c>
      <c r="AA1123">
        <v>0.9657502</v>
      </c>
      <c r="AB1123">
        <v>32</v>
      </c>
      <c r="AC1123">
        <v>14.3446</v>
      </c>
      <c r="AD1123">
        <v>-1.1095722737189999</v>
      </c>
      <c r="AE1123">
        <v>-4.0224999999999804</v>
      </c>
      <c r="AF1123">
        <v>3.9004987639668198</v>
      </c>
      <c r="AG1123">
        <v>-1.1095722737189999</v>
      </c>
      <c r="AH1123">
        <v>14.293082267812901</v>
      </c>
      <c r="AI1123">
        <v>94.282969283720107</v>
      </c>
      <c r="AJ1123">
        <v>74.735981401933799</v>
      </c>
      <c r="AK1123">
        <v>14.8572286094271</v>
      </c>
      <c r="AL1123">
        <v>93.771979059817696</v>
      </c>
      <c r="AM1123">
        <v>79.608394676682394</v>
      </c>
      <c r="AN1123">
        <v>0.99999999943842899</v>
      </c>
    </row>
    <row r="1124" spans="1:40" x14ac:dyDescent="0.25">
      <c r="A1124" t="str">
        <f>"20190305135812701"</f>
        <v>20190305135812701</v>
      </c>
      <c r="B1124" t="str">
        <f>"1551765492689700"</f>
        <v>1551765492689700</v>
      </c>
      <c r="C1124" t="s">
        <v>40</v>
      </c>
      <c r="D1124">
        <v>4.1834509999999998</v>
      </c>
      <c r="E1124">
        <v>0.5303158</v>
      </c>
      <c r="F1124" t="s">
        <v>42</v>
      </c>
      <c r="G1124">
        <v>-214.3253</v>
      </c>
      <c r="H1124" s="1">
        <v>-3.3688470000000001E-6</v>
      </c>
      <c r="I1124">
        <v>364.2491</v>
      </c>
      <c r="J1124">
        <v>-228.60759999999999</v>
      </c>
      <c r="K1124">
        <v>1.10958</v>
      </c>
      <c r="L1124">
        <v>368.2679</v>
      </c>
      <c r="M1124">
        <v>0.99987239999999999</v>
      </c>
      <c r="N1124">
        <v>-1.4416689999999999E-2</v>
      </c>
      <c r="O1124">
        <v>-6.8963419999999998E-3</v>
      </c>
      <c r="P1124">
        <v>0.97946690000000003</v>
      </c>
      <c r="Q1124">
        <v>-7.8254229999999994E-2</v>
      </c>
      <c r="R1124">
        <v>-0.18579999999999999</v>
      </c>
      <c r="S1124">
        <v>2.8935390000000001</v>
      </c>
      <c r="T1124">
        <v>-0.22039829999999999</v>
      </c>
      <c r="U1124">
        <v>-0.79864499999999905</v>
      </c>
      <c r="V1124">
        <v>0.17905090000000001</v>
      </c>
      <c r="W1124">
        <v>-6.4076939999999999E-2</v>
      </c>
      <c r="X1124">
        <v>0.98175100000000004</v>
      </c>
      <c r="Y1124">
        <v>0.25858289999999901</v>
      </c>
      <c r="Z1124">
        <v>-1.113802E-2</v>
      </c>
      <c r="AA1124">
        <v>0.96592489999999998</v>
      </c>
      <c r="AB1124">
        <v>32</v>
      </c>
      <c r="AC1124">
        <v>14.2822999999999</v>
      </c>
      <c r="AD1124">
        <v>-1.109583368847</v>
      </c>
      <c r="AE1124">
        <v>-4.0187999999999899</v>
      </c>
      <c r="AF1124">
        <v>3.8983955244353199</v>
      </c>
      <c r="AG1124">
        <v>-1.109583368847</v>
      </c>
      <c r="AH1124">
        <v>14.230091806557301</v>
      </c>
      <c r="AI1124">
        <v>94.300744198207596</v>
      </c>
      <c r="AJ1124">
        <v>74.6794628169242</v>
      </c>
      <c r="AK1124">
        <v>14.796086500842399</v>
      </c>
      <c r="AL1124">
        <v>93.673855016093199</v>
      </c>
      <c r="AM1124">
        <v>79.664044740131004</v>
      </c>
      <c r="AN1124">
        <v>1.0000000525157799</v>
      </c>
    </row>
    <row r="1125" spans="1:40" x14ac:dyDescent="0.25">
      <c r="A1125" t="str">
        <f>"20190305135812715"</f>
        <v>20190305135812715</v>
      </c>
      <c r="B1125" t="str">
        <f>"1551765492709728"</f>
        <v>1551765492709728</v>
      </c>
      <c r="C1125" t="s">
        <v>40</v>
      </c>
      <c r="D1125">
        <v>4.155227</v>
      </c>
      <c r="E1125">
        <v>0.53440549999999998</v>
      </c>
      <c r="F1125" t="s">
        <v>42</v>
      </c>
      <c r="G1125">
        <v>-213.75980000000001</v>
      </c>
      <c r="H1125" s="1">
        <v>-3.6216740000000001E-6</v>
      </c>
      <c r="I1125">
        <v>364.19130000000001</v>
      </c>
      <c r="J1125">
        <v>-228.4066</v>
      </c>
      <c r="K1125">
        <v>1.109591</v>
      </c>
      <c r="L1125">
        <v>368.26650000000001</v>
      </c>
      <c r="M1125">
        <v>0.99987289999999995</v>
      </c>
      <c r="N1125">
        <v>-1.441453E-2</v>
      </c>
      <c r="O1125">
        <v>-6.8311049999999996E-3</v>
      </c>
      <c r="P1125">
        <v>0.97977300000000001</v>
      </c>
      <c r="Q1125">
        <v>-7.616552E-2</v>
      </c>
      <c r="R1125">
        <v>-0.1850511</v>
      </c>
      <c r="S1125">
        <v>2.8948670000000001</v>
      </c>
      <c r="T1125">
        <v>-0.2163341</v>
      </c>
      <c r="U1125">
        <v>-0.79479979999999995</v>
      </c>
      <c r="V1125">
        <v>0.17836359999999901</v>
      </c>
      <c r="W1125">
        <v>-6.1986109999999997E-2</v>
      </c>
      <c r="X1125">
        <v>0.98201020000000006</v>
      </c>
      <c r="Y1125">
        <v>0.25737090000000001</v>
      </c>
      <c r="Z1125">
        <v>-1.0917349999999999E-2</v>
      </c>
      <c r="AA1125">
        <v>0.96625099999999997</v>
      </c>
      <c r="AB1125">
        <v>32</v>
      </c>
      <c r="AC1125">
        <v>14.646799999999899</v>
      </c>
      <c r="AD1125">
        <v>-1.109594621674</v>
      </c>
      <c r="AE1125">
        <v>-4.0751999999999899</v>
      </c>
      <c r="AF1125">
        <v>3.9539788873823301</v>
      </c>
      <c r="AG1125">
        <v>-1.109594621674</v>
      </c>
      <c r="AH1125">
        <v>14.596547256407099</v>
      </c>
      <c r="AI1125">
        <v>94.196457771185607</v>
      </c>
      <c r="AJ1125">
        <v>74.843198930024002</v>
      </c>
      <c r="AK1125">
        <v>15.1632562820404</v>
      </c>
      <c r="AL1125">
        <v>93.553820973753901</v>
      </c>
      <c r="AM1125">
        <v>79.7055294588572</v>
      </c>
      <c r="AN1125">
        <v>0.999999942270964</v>
      </c>
    </row>
    <row r="1126" spans="1:40" x14ac:dyDescent="0.25">
      <c r="A1126" t="str">
        <f>"20190305135812736"</f>
        <v>20190305135812736</v>
      </c>
      <c r="B1126" t="str">
        <f>"1551765492729247"</f>
        <v>1551765492729247</v>
      </c>
      <c r="C1126" t="s">
        <v>40</v>
      </c>
      <c r="D1126">
        <v>4.1282649999999999</v>
      </c>
      <c r="E1126">
        <v>0.53426669999999998</v>
      </c>
      <c r="F1126" t="s">
        <v>42</v>
      </c>
      <c r="G1126">
        <v>-211.45429999999999</v>
      </c>
      <c r="H1126" s="1">
        <v>-4.7445890000000002E-6</v>
      </c>
      <c r="I1126">
        <v>363.4366</v>
      </c>
      <c r="J1126">
        <v>-228.12110000000001</v>
      </c>
      <c r="K1126">
        <v>1.1096200000000001</v>
      </c>
      <c r="L1126">
        <v>368.2647</v>
      </c>
      <c r="M1126">
        <v>0.99987360000000003</v>
      </c>
      <c r="N1126">
        <v>-1.4411469999999999E-2</v>
      </c>
      <c r="O1126">
        <v>-6.7395110000000001E-3</v>
      </c>
      <c r="P1126">
        <v>0.98055729999999997</v>
      </c>
      <c r="Q1126">
        <v>-7.0420159999999996E-2</v>
      </c>
      <c r="R1126">
        <v>-0.18316299999999999</v>
      </c>
      <c r="S1126">
        <v>2.891632</v>
      </c>
      <c r="T1126">
        <v>-0.18926760000000001</v>
      </c>
      <c r="U1126">
        <v>-0.82385249999999999</v>
      </c>
      <c r="V1126">
        <v>0.17655940000000001</v>
      </c>
      <c r="W1126">
        <v>-5.6233159999999997E-2</v>
      </c>
      <c r="X1126">
        <v>0.98268230000000001</v>
      </c>
      <c r="Y1126">
        <v>0.26687280000000002</v>
      </c>
      <c r="Z1126">
        <v>-1.018106E-2</v>
      </c>
      <c r="AA1126">
        <v>0.96367800000000003</v>
      </c>
      <c r="AB1126">
        <v>32</v>
      </c>
      <c r="AC1126">
        <v>16.666799999999999</v>
      </c>
      <c r="AD1126">
        <v>-1.109624744589</v>
      </c>
      <c r="AE1126">
        <v>-4.8281000000000001</v>
      </c>
      <c r="AF1126">
        <v>4.6964472846096399</v>
      </c>
      <c r="AG1126">
        <v>-1.109624744589</v>
      </c>
      <c r="AH1126">
        <v>16.630954387186001</v>
      </c>
      <c r="AI1126">
        <v>93.673881741968998</v>
      </c>
      <c r="AJ1126">
        <v>74.230748598878506</v>
      </c>
      <c r="AK1126">
        <v>17.316943379233599</v>
      </c>
      <c r="AL1126">
        <v>93.223623374222001</v>
      </c>
      <c r="AM1126">
        <v>79.814292352786296</v>
      </c>
      <c r="AN1126">
        <v>0.99999994637261602</v>
      </c>
    </row>
    <row r="1127" spans="1:40" x14ac:dyDescent="0.25">
      <c r="A1127" t="str">
        <f>"20190305135812749"</f>
        <v>20190305135812749</v>
      </c>
      <c r="B1127" t="str">
        <f>"1551765492739984"</f>
        <v>1551765492739984</v>
      </c>
      <c r="C1127" t="s">
        <v>40</v>
      </c>
      <c r="D1127">
        <v>4.1419379999999997</v>
      </c>
      <c r="E1127">
        <v>0.53449290000000005</v>
      </c>
      <c r="F1127" t="s">
        <v>42</v>
      </c>
      <c r="G1127">
        <v>-210.7578</v>
      </c>
      <c r="H1127" s="1">
        <v>-5.0573779999999999E-6</v>
      </c>
      <c r="I1127">
        <v>363.3578</v>
      </c>
      <c r="J1127">
        <v>-227.9203</v>
      </c>
      <c r="K1127">
        <v>1.109637</v>
      </c>
      <c r="L1127">
        <v>368.26339999999999</v>
      </c>
      <c r="M1127">
        <v>0.99987389999999998</v>
      </c>
      <c r="N1127">
        <v>-1.440929E-2</v>
      </c>
      <c r="O1127">
        <v>-6.6748800000000002E-3</v>
      </c>
      <c r="P1127">
        <v>0.98099530000000001</v>
      </c>
      <c r="Q1127">
        <v>-6.7491079999999995E-2</v>
      </c>
      <c r="R1127">
        <v>-0.1819161</v>
      </c>
      <c r="S1127">
        <v>2.8934630000000001</v>
      </c>
      <c r="T1127">
        <v>-0.18491009999999999</v>
      </c>
      <c r="U1127">
        <v>-0.81768799999999997</v>
      </c>
      <c r="V1127">
        <v>0.1753728</v>
      </c>
      <c r="W1127">
        <v>-5.3300529999999999E-2</v>
      </c>
      <c r="X1127">
        <v>0.98305819999999999</v>
      </c>
      <c r="Y1127">
        <v>0.2649048</v>
      </c>
      <c r="Z1127">
        <v>-9.9179320000000008E-3</v>
      </c>
      <c r="AA1127">
        <v>0.96422359999999896</v>
      </c>
      <c r="AB1127">
        <v>32</v>
      </c>
      <c r="AC1127">
        <v>17.162499999999898</v>
      </c>
      <c r="AD1127">
        <v>-1.1096420573779999</v>
      </c>
      <c r="AE1127">
        <v>-4.90559999999999</v>
      </c>
      <c r="AF1127">
        <v>4.7724777403243497</v>
      </c>
      <c r="AG1127">
        <v>-1.1096420573779999</v>
      </c>
      <c r="AH1127">
        <v>17.1286708451692</v>
      </c>
      <c r="AI1127">
        <v>93.5709503785652</v>
      </c>
      <c r="AJ1127">
        <v>74.430828169422895</v>
      </c>
      <c r="AK1127">
        <v>17.815701338974598</v>
      </c>
      <c r="AL1127">
        <v>93.055343273975197</v>
      </c>
      <c r="AM1127">
        <v>79.885117396960595</v>
      </c>
      <c r="AN1127">
        <v>0.99999999503268</v>
      </c>
    </row>
    <row r="1128" spans="1:40" x14ac:dyDescent="0.25">
      <c r="A1128" t="str">
        <f>"20190305135812764"</f>
        <v>20190305135812764</v>
      </c>
      <c r="B1128" t="str">
        <f>"1551765492759504"</f>
        <v>1551765492759504</v>
      </c>
      <c r="C1128" t="s">
        <v>40</v>
      </c>
      <c r="D1128">
        <v>4.1231540000000004</v>
      </c>
      <c r="E1128">
        <v>0.53463050000000001</v>
      </c>
      <c r="F1128" t="s">
        <v>50</v>
      </c>
      <c r="G1128">
        <v>-209.63</v>
      </c>
      <c r="H1128" s="1">
        <v>-6.177303E-6</v>
      </c>
      <c r="I1128">
        <v>363.11079999999998</v>
      </c>
      <c r="J1128">
        <v>-227.72399999999999</v>
      </c>
      <c r="K1128">
        <v>1.10965</v>
      </c>
      <c r="L1128">
        <v>368.26209999999998</v>
      </c>
      <c r="M1128">
        <v>0.99987440000000005</v>
      </c>
      <c r="N1128">
        <v>-1.4407150000000001E-2</v>
      </c>
      <c r="O1128">
        <v>-6.611919E-3</v>
      </c>
      <c r="P1128">
        <v>0.98137660000000004</v>
      </c>
      <c r="Q1128">
        <v>-6.4638119999999993E-2</v>
      </c>
      <c r="R1128">
        <v>-0.1808912</v>
      </c>
      <c r="S1128">
        <v>2.894806</v>
      </c>
      <c r="T1128">
        <v>-0.17562249999999999</v>
      </c>
      <c r="U1128">
        <v>-0.81549069999999901</v>
      </c>
      <c r="V1128">
        <v>0.17440700000000001</v>
      </c>
      <c r="W1128">
        <v>-5.0444759999999998E-2</v>
      </c>
      <c r="X1128">
        <v>0.9833807</v>
      </c>
      <c r="Y1128">
        <v>0.26422630000000003</v>
      </c>
      <c r="Z1128">
        <v>-9.4974450000000002E-3</v>
      </c>
      <c r="AA1128">
        <v>0.96441390000000005</v>
      </c>
      <c r="AB1128">
        <v>32</v>
      </c>
      <c r="AC1128">
        <v>18.094000000000001</v>
      </c>
      <c r="AD1128">
        <v>-1.109656177303</v>
      </c>
      <c r="AE1128">
        <v>-5.1512999999999902</v>
      </c>
      <c r="AF1128">
        <v>5.0140945986437302</v>
      </c>
      <c r="AG1128">
        <v>-1.109656177303</v>
      </c>
      <c r="AH1128">
        <v>18.064819447852599</v>
      </c>
      <c r="AI1128">
        <v>93.387311095350299</v>
      </c>
      <c r="AJ1128">
        <v>74.487404928309999</v>
      </c>
      <c r="AK1128">
        <v>18.780579947368199</v>
      </c>
      <c r="AL1128">
        <v>92.8914989413651</v>
      </c>
      <c r="AM1128">
        <v>79.942912323261694</v>
      </c>
      <c r="AN1128">
        <v>1.00000003829647</v>
      </c>
    </row>
    <row r="1129" spans="1:40" x14ac:dyDescent="0.25">
      <c r="A1129" t="str">
        <f>"20190305135812780"</f>
        <v>20190305135812780</v>
      </c>
      <c r="B1129" t="str">
        <f>"1551765492770239"</f>
        <v>1551765492770239</v>
      </c>
      <c r="C1129" t="s">
        <v>40</v>
      </c>
      <c r="D1129">
        <v>4.1354340000000001</v>
      </c>
      <c r="E1129">
        <v>0.53476199999999996</v>
      </c>
      <c r="F1129" t="s">
        <v>50</v>
      </c>
      <c r="G1129">
        <v>-209.04949999999999</v>
      </c>
      <c r="H1129" s="1">
        <v>-5.9982870000000001E-6</v>
      </c>
      <c r="I1129">
        <v>363.01299999999998</v>
      </c>
      <c r="J1129">
        <v>-227.49209999999999</v>
      </c>
      <c r="K1129">
        <v>1.1096619999999999</v>
      </c>
      <c r="L1129">
        <v>368.26069999999999</v>
      </c>
      <c r="M1129">
        <v>0.99987510000000002</v>
      </c>
      <c r="N1129">
        <v>-1.440463E-2</v>
      </c>
      <c r="O1129">
        <v>-6.537986E-3</v>
      </c>
      <c r="P1129">
        <v>0.98192950000000001</v>
      </c>
      <c r="Q1129">
        <v>-6.0927040000000002E-2</v>
      </c>
      <c r="R1129">
        <v>-0.1791732</v>
      </c>
      <c r="S1129">
        <v>2.8955690000000001</v>
      </c>
      <c r="T1129">
        <v>-0.1720575</v>
      </c>
      <c r="U1129">
        <v>-0.81390379999999996</v>
      </c>
      <c r="V1129">
        <v>0.17275699999999999</v>
      </c>
      <c r="W1129">
        <v>-4.6728980000000003E-2</v>
      </c>
      <c r="X1129">
        <v>0.98385540000000005</v>
      </c>
      <c r="Y1129">
        <v>0.26376250000000001</v>
      </c>
      <c r="Z1129">
        <v>-9.3306770000000008E-3</v>
      </c>
      <c r="AA1129">
        <v>0.96454249999999997</v>
      </c>
      <c r="AB1129">
        <v>32</v>
      </c>
      <c r="AC1129">
        <v>18.442599999999999</v>
      </c>
      <c r="AD1129">
        <v>-1.1096679982869999</v>
      </c>
      <c r="AE1129">
        <v>-5.2476999999999503</v>
      </c>
      <c r="AF1129">
        <v>5.1098842676546603</v>
      </c>
      <c r="AG1129">
        <v>-1.1096679982869999</v>
      </c>
      <c r="AH1129">
        <v>18.414845196554001</v>
      </c>
      <c r="AI1129">
        <v>93.323170038869904</v>
      </c>
      <c r="AJ1129">
        <v>74.491345169735595</v>
      </c>
      <c r="AK1129">
        <v>19.142852554107399</v>
      </c>
      <c r="AL1129">
        <v>92.678348642142595</v>
      </c>
      <c r="AM1129">
        <v>80.040854370937794</v>
      </c>
      <c r="AN1129">
        <v>1.000000013365</v>
      </c>
    </row>
    <row r="1130" spans="1:40" x14ac:dyDescent="0.25">
      <c r="A1130" t="str">
        <f>"20190305135812803"</f>
        <v>20190305135812803</v>
      </c>
      <c r="B1130" t="str">
        <f>"1551765492789760"</f>
        <v>1551765492789760</v>
      </c>
      <c r="C1130" t="s">
        <v>40</v>
      </c>
      <c r="D1130">
        <v>4.1134190000000004</v>
      </c>
      <c r="E1130">
        <v>0.53417669999999995</v>
      </c>
      <c r="F1130" t="s">
        <v>50</v>
      </c>
      <c r="G1130">
        <v>-208.0086</v>
      </c>
      <c r="H1130" s="1">
        <v>-5.68113399999999E-6</v>
      </c>
      <c r="I1130">
        <v>362.81259999999997</v>
      </c>
      <c r="J1130">
        <v>-227.17410000000001</v>
      </c>
      <c r="K1130">
        <v>1.109674</v>
      </c>
      <c r="L1130">
        <v>368.25869999999998</v>
      </c>
      <c r="M1130">
        <v>0.99987559999999998</v>
      </c>
      <c r="N1130">
        <v>-1.4401229999999999E-2</v>
      </c>
      <c r="O1130">
        <v>-6.4357989999999999E-3</v>
      </c>
      <c r="P1130">
        <v>0.98228490000000002</v>
      </c>
      <c r="Q1130">
        <v>-5.8513919999999997E-2</v>
      </c>
      <c r="R1130">
        <v>-0.17802499999999999</v>
      </c>
      <c r="S1130">
        <v>2.897141</v>
      </c>
      <c r="T1130">
        <v>-0.16500429999999999</v>
      </c>
      <c r="U1130">
        <v>-0.81011959999999905</v>
      </c>
      <c r="V1130">
        <v>0.17170669999999999</v>
      </c>
      <c r="W1130">
        <v>-4.4314720000000002E-2</v>
      </c>
      <c r="X1130">
        <v>0.98415090000000005</v>
      </c>
      <c r="Y1130">
        <v>0.26259749999999998</v>
      </c>
      <c r="Z1130">
        <v>-8.9916479999999997E-3</v>
      </c>
      <c r="AA1130">
        <v>0.96486360000000004</v>
      </c>
      <c r="AB1130">
        <v>32</v>
      </c>
      <c r="AC1130">
        <v>19.165500000000002</v>
      </c>
      <c r="AD1130">
        <v>-1.109679681134</v>
      </c>
      <c r="AE1130">
        <v>-5.4461000000000004</v>
      </c>
      <c r="AF1130">
        <v>5.3061697777597301</v>
      </c>
      <c r="AG1130">
        <v>-1.109679681134</v>
      </c>
      <c r="AH1130">
        <v>19.140783462549098</v>
      </c>
      <c r="AI1130">
        <v>93.197656116584099</v>
      </c>
      <c r="AJ1130">
        <v>74.505668529010904</v>
      </c>
      <c r="AK1130">
        <v>19.893627579336201</v>
      </c>
      <c r="AL1130">
        <v>92.539878215504501</v>
      </c>
      <c r="AM1130">
        <v>80.103114635604598</v>
      </c>
      <c r="AN1130">
        <v>0.99999998960218905</v>
      </c>
    </row>
    <row r="1131" spans="1:40" x14ac:dyDescent="0.25">
      <c r="A1131" t="str">
        <f>"20190305135812820"</f>
        <v>20190305135812820</v>
      </c>
      <c r="B1131" t="str">
        <f>"1551765492809786"</f>
        <v>1551765492809786</v>
      </c>
      <c r="C1131" t="s">
        <v>40</v>
      </c>
      <c r="D1131">
        <v>4.1342679999999996</v>
      </c>
      <c r="E1131">
        <v>0.53083849999999999</v>
      </c>
      <c r="F1131" t="s">
        <v>50</v>
      </c>
      <c r="G1131">
        <v>-207.07579999999999</v>
      </c>
      <c r="H1131" s="1">
        <v>-5.3864949999999997E-6</v>
      </c>
      <c r="I1131">
        <v>362.69979999999998</v>
      </c>
      <c r="J1131">
        <v>-226.92400000000001</v>
      </c>
      <c r="K1131">
        <v>1.1096870000000001</v>
      </c>
      <c r="L1131">
        <v>368.25720000000001</v>
      </c>
      <c r="M1131">
        <v>0.99987630000000005</v>
      </c>
      <c r="N1131">
        <v>-1.4398589999999999E-2</v>
      </c>
      <c r="O1131">
        <v>-6.356146E-3</v>
      </c>
      <c r="P1131">
        <v>0.98238119999999995</v>
      </c>
      <c r="Q1131">
        <v>-5.756592E-2</v>
      </c>
      <c r="R1131">
        <v>-0.17780260000000001</v>
      </c>
      <c r="S1131">
        <v>2.8992309999999999</v>
      </c>
      <c r="T1131">
        <v>-0.1600742</v>
      </c>
      <c r="U1131">
        <v>-0.80187989999999998</v>
      </c>
      <c r="V1131">
        <v>0.17156199999999999</v>
      </c>
      <c r="W1131">
        <v>-4.3368129999999998E-2</v>
      </c>
      <c r="X1131">
        <v>0.98421829999999999</v>
      </c>
      <c r="Y1131">
        <v>0.2599783</v>
      </c>
      <c r="Z1131">
        <v>-8.6933319999999998E-3</v>
      </c>
      <c r="AA1131">
        <v>0.96557530000000003</v>
      </c>
      <c r="AB1131">
        <v>32</v>
      </c>
      <c r="AC1131">
        <v>19.848199999999999</v>
      </c>
      <c r="AD1131">
        <v>-1.1096923864949999</v>
      </c>
      <c r="AE1131">
        <v>-5.5574000000000296</v>
      </c>
      <c r="AF1131">
        <v>5.4154196126441603</v>
      </c>
      <c r="AG1131">
        <v>-1.1096923864949999</v>
      </c>
      <c r="AH1131">
        <v>19.8256601618987</v>
      </c>
      <c r="AI1131">
        <v>93.090652767294998</v>
      </c>
      <c r="AJ1131">
        <v>74.722231007669507</v>
      </c>
      <c r="AK1131">
        <v>20.581909231865598</v>
      </c>
      <c r="AL1131">
        <v>92.485590406613895</v>
      </c>
      <c r="AM1131">
        <v>80.111954012768194</v>
      </c>
      <c r="AN1131">
        <v>0.99999998829929304</v>
      </c>
    </row>
    <row r="1132" spans="1:40" x14ac:dyDescent="0.25">
      <c r="A1132" t="str">
        <f>"20190305135812836"</f>
        <v>20190305135812836</v>
      </c>
      <c r="B1132" t="str">
        <f>"1551765492829306"</f>
        <v>1551765492829306</v>
      </c>
      <c r="C1132" t="s">
        <v>40</v>
      </c>
      <c r="D1132">
        <v>4.0729810000000004</v>
      </c>
      <c r="E1132">
        <v>0.52857739999999998</v>
      </c>
      <c r="F1132" t="s">
        <v>50</v>
      </c>
      <c r="G1132">
        <v>-206.32380000000001</v>
      </c>
      <c r="H1132" s="1">
        <v>-5.092005E-6</v>
      </c>
      <c r="I1132">
        <v>362.75920000000002</v>
      </c>
      <c r="J1132">
        <v>-226.7002</v>
      </c>
      <c r="K1132">
        <v>1.109702</v>
      </c>
      <c r="L1132">
        <v>368.2559</v>
      </c>
      <c r="M1132">
        <v>0.99987669999999995</v>
      </c>
      <c r="N1132">
        <v>-1.4396290000000001E-2</v>
      </c>
      <c r="O1132">
        <v>-6.2841299999999998E-3</v>
      </c>
      <c r="P1132">
        <v>0.98263780000000001</v>
      </c>
      <c r="Q1132">
        <v>-5.5566199999999899E-2</v>
      </c>
      <c r="R1132">
        <v>-0.17701989999999901</v>
      </c>
      <c r="S1132">
        <v>2.9043429999999999</v>
      </c>
      <c r="T1132">
        <v>-0.156451799999999</v>
      </c>
      <c r="U1132">
        <v>-0.77514649999999996</v>
      </c>
      <c r="V1132">
        <v>0.1708481</v>
      </c>
      <c r="W1132">
        <v>-4.1367519999999998E-2</v>
      </c>
      <c r="X1132">
        <v>0.98442859999999999</v>
      </c>
      <c r="Y1132">
        <v>0.251357</v>
      </c>
      <c r="Z1132">
        <v>-8.2476470000000003E-3</v>
      </c>
      <c r="AA1132">
        <v>0.96785929999999998</v>
      </c>
      <c r="AB1132">
        <v>32</v>
      </c>
      <c r="AC1132">
        <v>20.376399999999901</v>
      </c>
      <c r="AD1132">
        <v>-1.1097070920050001</v>
      </c>
      <c r="AE1132">
        <v>-5.4966999999999704</v>
      </c>
      <c r="AF1132">
        <v>5.3537285304290396</v>
      </c>
      <c r="AG1132">
        <v>-1.1097070920050001</v>
      </c>
      <c r="AH1132">
        <v>20.354268727518701</v>
      </c>
      <c r="AI1132">
        <v>93.018195887832405</v>
      </c>
      <c r="AJ1132">
        <v>75.263434812768693</v>
      </c>
      <c r="AK1132">
        <v>21.0758182389112</v>
      </c>
      <c r="AL1132">
        <v>92.370860814926601</v>
      </c>
      <c r="AM1132">
        <v>80.154355304453205</v>
      </c>
      <c r="AN1132">
        <v>1.00000000674126</v>
      </c>
    </row>
    <row r="1133" spans="1:40" x14ac:dyDescent="0.25">
      <c r="A1133" t="str">
        <f>"20190305135812849"</f>
        <v>20190305135812849</v>
      </c>
      <c r="B1133" t="str">
        <f>"1551765492840042"</f>
        <v>1551765492840042</v>
      </c>
      <c r="C1133" t="s">
        <v>40</v>
      </c>
      <c r="D1133">
        <v>4.0693609999999998</v>
      </c>
      <c r="E1133">
        <v>0.52771269999999904</v>
      </c>
      <c r="F1133" t="s">
        <v>50</v>
      </c>
      <c r="G1133">
        <v>-206.06120000000001</v>
      </c>
      <c r="H1133" s="1">
        <v>-4.939373E-6</v>
      </c>
      <c r="I1133">
        <v>362.89580000000001</v>
      </c>
      <c r="J1133">
        <v>-226.51220000000001</v>
      </c>
      <c r="K1133">
        <v>1.1097060000000001</v>
      </c>
      <c r="L1133">
        <v>368.25470000000001</v>
      </c>
      <c r="M1133">
        <v>0.99987709999999996</v>
      </c>
      <c r="N1133">
        <v>-1.439433E-2</v>
      </c>
      <c r="O1133">
        <v>-6.2264379999999999E-3</v>
      </c>
      <c r="P1133">
        <v>0.9827169</v>
      </c>
      <c r="Q1133">
        <v>-5.4554510000000001E-2</v>
      </c>
      <c r="R1133">
        <v>-0.17689540000000001</v>
      </c>
      <c r="S1133">
        <v>2.908096</v>
      </c>
      <c r="T1133">
        <v>-0.1563609</v>
      </c>
      <c r="U1133">
        <v>-0.75524899999999995</v>
      </c>
      <c r="V1133">
        <v>0.1707794</v>
      </c>
      <c r="W1133">
        <v>-4.0357270000000001E-2</v>
      </c>
      <c r="X1133">
        <v>0.98448250000000004</v>
      </c>
      <c r="Y1133">
        <v>0.24491450000000001</v>
      </c>
      <c r="Z1133">
        <v>-8.0245290000000007E-3</v>
      </c>
      <c r="AA1133">
        <v>0.96951149999999997</v>
      </c>
      <c r="AB1133">
        <v>32</v>
      </c>
      <c r="AC1133">
        <v>20.451000000000001</v>
      </c>
      <c r="AD1133">
        <v>-1.10971093937299</v>
      </c>
      <c r="AE1133">
        <v>-5.3589000000000002</v>
      </c>
      <c r="AF1133">
        <v>5.2170720630913596</v>
      </c>
      <c r="AG1133">
        <v>-1.10971093937299</v>
      </c>
      <c r="AH1133">
        <v>20.427691841308601</v>
      </c>
      <c r="AI1133">
        <v>93.012949990054096</v>
      </c>
      <c r="AJ1133">
        <v>75.673353609189306</v>
      </c>
      <c r="AK1133">
        <v>21.112552977883102</v>
      </c>
      <c r="AL1133">
        <v>92.312929259799901</v>
      </c>
      <c r="AM1133">
        <v>80.158765216672094</v>
      </c>
      <c r="AN1133">
        <v>1.0000000527562301</v>
      </c>
    </row>
    <row r="1134" spans="1:40" x14ac:dyDescent="0.25">
      <c r="A1134" t="str">
        <f>"20190305135812870"</f>
        <v>20190305135812870</v>
      </c>
      <c r="B1134" t="str">
        <f>"1551765492859561"</f>
        <v>1551765492859561</v>
      </c>
      <c r="C1134" t="s">
        <v>40</v>
      </c>
      <c r="D1134">
        <v>4.4675469999999997</v>
      </c>
      <c r="E1134">
        <v>0.52735639999999995</v>
      </c>
      <c r="F1134" t="s">
        <v>50</v>
      </c>
      <c r="G1134">
        <v>-206.3296</v>
      </c>
      <c r="H1134" s="1">
        <v>-5.0274199999999899E-6</v>
      </c>
      <c r="I1134">
        <v>363.0625</v>
      </c>
      <c r="J1134">
        <v>-226.22640000000001</v>
      </c>
      <c r="K1134">
        <v>1.1097049999999999</v>
      </c>
      <c r="L1134">
        <v>368.25310000000002</v>
      </c>
      <c r="M1134">
        <v>0.99987769999999998</v>
      </c>
      <c r="N1134">
        <v>-1.4391330000000001E-2</v>
      </c>
      <c r="O1134">
        <v>-6.1482069999999897E-3</v>
      </c>
      <c r="P1134">
        <v>0.98277369999999997</v>
      </c>
      <c r="Q1134">
        <v>-5.3819829999999999E-2</v>
      </c>
      <c r="R1134">
        <v>-0.17680299999999999</v>
      </c>
      <c r="S1134">
        <v>2.9091800000000001</v>
      </c>
      <c r="T1134">
        <v>-0.15995670000000001</v>
      </c>
      <c r="U1134">
        <v>-0.74841309999999905</v>
      </c>
      <c r="V1134">
        <v>0.1707632</v>
      </c>
      <c r="W1134">
        <v>-3.9627589999999997E-2</v>
      </c>
      <c r="X1134">
        <v>0.98451489999999997</v>
      </c>
      <c r="Y1134">
        <v>0.242753</v>
      </c>
      <c r="Z1134">
        <v>-8.0932009999999995E-3</v>
      </c>
      <c r="AA1134">
        <v>0.97005439999999998</v>
      </c>
      <c r="AB1134">
        <v>32</v>
      </c>
      <c r="AC1134">
        <v>19.896799999999999</v>
      </c>
      <c r="AD1134">
        <v>-1.10971002742</v>
      </c>
      <c r="AE1134">
        <v>-5.1906000000000097</v>
      </c>
      <c r="AF1134">
        <v>5.0534416872463002</v>
      </c>
      <c r="AG1134">
        <v>-1.10971002742</v>
      </c>
      <c r="AH1134">
        <v>19.8704683149499</v>
      </c>
      <c r="AI1134">
        <v>93.098070561518995</v>
      </c>
      <c r="AJ1134">
        <v>75.731079298085703</v>
      </c>
      <c r="AK1134">
        <v>20.533003683990898</v>
      </c>
      <c r="AL1134">
        <v>92.271088317667207</v>
      </c>
      <c r="AM1134">
        <v>80.159998008923196</v>
      </c>
      <c r="AN1134">
        <v>1.00000000234272</v>
      </c>
    </row>
    <row r="1135" spans="1:40" x14ac:dyDescent="0.25">
      <c r="A1135" t="str">
        <f>"20190305135812883"</f>
        <v>20190305135812883</v>
      </c>
      <c r="B1135" t="str">
        <f>"1551765492880057"</f>
        <v>1551765492880057</v>
      </c>
      <c r="C1135" t="s">
        <v>40</v>
      </c>
      <c r="D1135">
        <v>4.0689339999999996</v>
      </c>
      <c r="E1135">
        <v>0.52697689999999997</v>
      </c>
      <c r="F1135" t="s">
        <v>50</v>
      </c>
      <c r="G1135">
        <v>-206.8177</v>
      </c>
      <c r="H1135" s="1">
        <v>-5.2066770000000001E-6</v>
      </c>
      <c r="I1135">
        <v>363.27960000000002</v>
      </c>
      <c r="J1135">
        <v>-226.02109999999999</v>
      </c>
      <c r="K1135">
        <v>1.109701</v>
      </c>
      <c r="L1135">
        <v>368.2518</v>
      </c>
      <c r="M1135">
        <v>0.99987800000000004</v>
      </c>
      <c r="N1135">
        <v>-1.438917E-2</v>
      </c>
      <c r="O1135">
        <v>-6.1030449999999997E-3</v>
      </c>
      <c r="P1135">
        <v>0.9827302</v>
      </c>
      <c r="Q1135">
        <v>-5.383172E-2</v>
      </c>
      <c r="R1135">
        <v>-0.1770417</v>
      </c>
      <c r="S1135">
        <v>2.909348</v>
      </c>
      <c r="T1135">
        <v>-0.1663451</v>
      </c>
      <c r="U1135">
        <v>-0.74551389999999995</v>
      </c>
      <c r="V1135">
        <v>0.17104569999999999</v>
      </c>
      <c r="W1135">
        <v>-3.9645899999999998E-2</v>
      </c>
      <c r="X1135">
        <v>0.98446509999999998</v>
      </c>
      <c r="Y1135">
        <v>0.2418467</v>
      </c>
      <c r="Z1135">
        <v>-8.3114750000000005E-3</v>
      </c>
      <c r="AA1135">
        <v>0.97027890000000006</v>
      </c>
      <c r="AB1135">
        <v>32</v>
      </c>
      <c r="AC1135">
        <v>19.203399999999899</v>
      </c>
      <c r="AD1135">
        <v>-1.10970620667699</v>
      </c>
      <c r="AE1135">
        <v>-4.9721999999999804</v>
      </c>
      <c r="AF1135">
        <v>4.8397499229969299</v>
      </c>
      <c r="AG1135">
        <v>-1.10970620667699</v>
      </c>
      <c r="AH1135">
        <v>19.173387359672098</v>
      </c>
      <c r="AI1135">
        <v>93.211912468100095</v>
      </c>
      <c r="AJ1135">
        <v>75.833321667070194</v>
      </c>
      <c r="AK1135">
        <v>19.805893315534199</v>
      </c>
      <c r="AL1135">
        <v>92.272138276980996</v>
      </c>
      <c r="AM1135">
        <v>80.143549507929393</v>
      </c>
      <c r="AN1135">
        <v>0.99999998099665399</v>
      </c>
    </row>
    <row r="1136" spans="1:40" x14ac:dyDescent="0.25">
      <c r="A1136" t="str">
        <f>"20190305135812898"</f>
        <v>20190305135812898</v>
      </c>
      <c r="B1136" t="str">
        <f>"1551765492889818"</f>
        <v>1551765492889818</v>
      </c>
      <c r="C1136" t="s">
        <v>40</v>
      </c>
      <c r="D1136">
        <v>4.0700229999999999</v>
      </c>
      <c r="E1136">
        <v>0.52663280000000001</v>
      </c>
      <c r="F1136" t="s">
        <v>50</v>
      </c>
      <c r="G1136">
        <v>-207.61609999999999</v>
      </c>
      <c r="H1136" s="1">
        <v>-5.4351120000000002E-6</v>
      </c>
      <c r="I1136">
        <v>363.54660000000001</v>
      </c>
      <c r="J1136">
        <v>-225.81909999999999</v>
      </c>
      <c r="K1136">
        <v>1.109688</v>
      </c>
      <c r="L1136">
        <v>368.25069999999999</v>
      </c>
      <c r="M1136">
        <v>0.99987820000000005</v>
      </c>
      <c r="N1136">
        <v>-1.438704E-2</v>
      </c>
      <c r="O1136">
        <v>-6.0668639999999999E-3</v>
      </c>
      <c r="P1136">
        <v>0.98267300000000002</v>
      </c>
      <c r="Q1136">
        <v>-5.3711849999999998E-2</v>
      </c>
      <c r="R1136">
        <v>-0.177396</v>
      </c>
      <c r="S1136">
        <v>2.909119</v>
      </c>
      <c r="T1136">
        <v>-0.175402</v>
      </c>
      <c r="U1136">
        <v>-0.74371339999999997</v>
      </c>
      <c r="V1136">
        <v>0.171435</v>
      </c>
      <c r="W1136">
        <v>-3.9533550000000001E-2</v>
      </c>
      <c r="X1136">
        <v>0.98440190000000005</v>
      </c>
      <c r="Y1136">
        <v>0.24129159999999999</v>
      </c>
      <c r="Z1136">
        <v>-8.6442869999999901E-3</v>
      </c>
      <c r="AA1136">
        <v>0.9704142</v>
      </c>
      <c r="AB1136">
        <v>32</v>
      </c>
      <c r="AC1136">
        <v>18.202999999999999</v>
      </c>
      <c r="AD1136">
        <v>-1.109693435112</v>
      </c>
      <c r="AE1136">
        <v>-4.70409999999998</v>
      </c>
      <c r="AF1136">
        <v>4.5776196941821397</v>
      </c>
      <c r="AG1136">
        <v>-1.109693435112</v>
      </c>
      <c r="AH1136">
        <v>18.167914986810601</v>
      </c>
      <c r="AI1136">
        <v>93.389595399050506</v>
      </c>
      <c r="AJ1136">
        <v>75.858017109800599</v>
      </c>
      <c r="AK1136">
        <v>18.7685683138718</v>
      </c>
      <c r="AL1136">
        <v>92.265696045974707</v>
      </c>
      <c r="AM1136">
        <v>80.120935953519705</v>
      </c>
      <c r="AN1136">
        <v>0.99999998076210606</v>
      </c>
    </row>
    <row r="1137" spans="1:40" x14ac:dyDescent="0.25">
      <c r="A1137" t="str">
        <f>"20190305135812912"</f>
        <v>20190305135812912</v>
      </c>
      <c r="B1137" t="str">
        <f>"1551765492909687"</f>
        <v>1551765492909687</v>
      </c>
      <c r="C1137" t="s">
        <v>40</v>
      </c>
      <c r="D1137">
        <v>4.0635519999999996</v>
      </c>
      <c r="E1137">
        <v>0.52644269999999904</v>
      </c>
      <c r="F1137" t="s">
        <v>50</v>
      </c>
      <c r="G1137">
        <v>-207.8329</v>
      </c>
      <c r="H1137" s="1">
        <v>-5.4896370000000003E-6</v>
      </c>
      <c r="I1137">
        <v>363.66219999999998</v>
      </c>
      <c r="J1137">
        <v>-225.61789999999999</v>
      </c>
      <c r="K1137">
        <v>1.1096729999999999</v>
      </c>
      <c r="L1137">
        <v>368.24950000000001</v>
      </c>
      <c r="M1137">
        <v>0.99987820000000005</v>
      </c>
      <c r="N1137">
        <v>-1.4384920000000001E-2</v>
      </c>
      <c r="O1137">
        <v>-6.0412E-3</v>
      </c>
      <c r="P1137">
        <v>0.98262159999999998</v>
      </c>
      <c r="Q1137">
        <v>-5.43405E-2</v>
      </c>
      <c r="R1137">
        <v>-0.1774879</v>
      </c>
      <c r="S1137">
        <v>2.909119</v>
      </c>
      <c r="T1137">
        <v>-0.17948410000000001</v>
      </c>
      <c r="U1137">
        <v>-0.74215699999999996</v>
      </c>
      <c r="V1137">
        <v>0.17155109999999901</v>
      </c>
      <c r="W1137">
        <v>-4.0170240000000003E-2</v>
      </c>
      <c r="X1137">
        <v>0.98435589999999995</v>
      </c>
      <c r="Y1137">
        <v>0.24080869999999999</v>
      </c>
      <c r="Z1137">
        <v>-8.7852620000000003E-3</v>
      </c>
      <c r="AA1137">
        <v>0.97053279999999997</v>
      </c>
      <c r="AB1137">
        <v>32</v>
      </c>
      <c r="AC1137">
        <v>17.784999999999901</v>
      </c>
      <c r="AD1137">
        <v>-1.109678489637</v>
      </c>
      <c r="AE1137">
        <v>-4.5873000000000204</v>
      </c>
      <c r="AF1137">
        <v>4.4634699379529099</v>
      </c>
      <c r="AG1137">
        <v>-1.109678489637</v>
      </c>
      <c r="AH1137">
        <v>17.7476090985936</v>
      </c>
      <c r="AI1137">
        <v>93.470009512085994</v>
      </c>
      <c r="AJ1137">
        <v>75.883060168088804</v>
      </c>
      <c r="AK1137">
        <v>18.333891538728299</v>
      </c>
      <c r="AL1137">
        <v>92.302204694608506</v>
      </c>
      <c r="AM1137">
        <v>80.113924701543795</v>
      </c>
      <c r="AN1137">
        <v>0.99999998297883796</v>
      </c>
    </row>
    <row r="1138" spans="1:40" x14ac:dyDescent="0.25">
      <c r="A1138" t="str">
        <f>"20190305135812925"</f>
        <v>20190305135812925</v>
      </c>
      <c r="B1138" t="str">
        <f>"1551765492919447"</f>
        <v>1551765492919447</v>
      </c>
      <c r="C1138" t="s">
        <v>40</v>
      </c>
      <c r="D1138">
        <v>4.039974</v>
      </c>
      <c r="E1138">
        <v>0.52638479999999999</v>
      </c>
      <c r="F1138" t="s">
        <v>50</v>
      </c>
      <c r="G1138">
        <v>-208.39830000000001</v>
      </c>
      <c r="H1138" s="1">
        <v>-5.647848E-6</v>
      </c>
      <c r="I1138">
        <v>363.86079999999998</v>
      </c>
      <c r="J1138">
        <v>-225.44110000000001</v>
      </c>
      <c r="K1138">
        <v>1.109658</v>
      </c>
      <c r="L1138">
        <v>368.2484</v>
      </c>
      <c r="M1138">
        <v>0.9998785</v>
      </c>
      <c r="N1138">
        <v>-1.438305E-2</v>
      </c>
      <c r="O1138">
        <v>-6.0240900000000002E-3</v>
      </c>
      <c r="P1138">
        <v>0.9825547</v>
      </c>
      <c r="Q1138">
        <v>-5.5090109999999998E-2</v>
      </c>
      <c r="R1138">
        <v>-0.17762790000000001</v>
      </c>
      <c r="S1138">
        <v>2.9087830000000001</v>
      </c>
      <c r="T1138">
        <v>-0.18744959999999999</v>
      </c>
      <c r="U1138">
        <v>-0.74133300000000002</v>
      </c>
      <c r="V1138">
        <v>0.17170750000000001</v>
      </c>
      <c r="W1138">
        <v>-4.0927089999999999E-2</v>
      </c>
      <c r="X1138">
        <v>0.98429750000000005</v>
      </c>
      <c r="Y1138">
        <v>0.2405516</v>
      </c>
      <c r="Z1138">
        <v>-9.0843250000000007E-3</v>
      </c>
      <c r="AA1138">
        <v>0.97059390000000001</v>
      </c>
      <c r="AB1138">
        <v>32</v>
      </c>
      <c r="AC1138">
        <v>17.0428</v>
      </c>
      <c r="AD1138">
        <v>-1.109663647848</v>
      </c>
      <c r="AE1138">
        <v>-4.3876000000000204</v>
      </c>
      <c r="AF1138">
        <v>4.2678739624753002</v>
      </c>
      <c r="AG1138">
        <v>-1.109663647848</v>
      </c>
      <c r="AH1138">
        <v>17.001329953311402</v>
      </c>
      <c r="AI1138">
        <v>93.622278651683303</v>
      </c>
      <c r="AJ1138">
        <v>75.908131365019699</v>
      </c>
      <c r="AK1138">
        <v>17.563921024426499</v>
      </c>
      <c r="AL1138">
        <v>92.345604589567301</v>
      </c>
      <c r="AM1138">
        <v>80.104514333009504</v>
      </c>
      <c r="AN1138">
        <v>1.0000000303791801</v>
      </c>
    </row>
    <row r="1139" spans="1:40" x14ac:dyDescent="0.25">
      <c r="A1139" t="str">
        <f>"20190305135812939"</f>
        <v>20190305135812939</v>
      </c>
      <c r="B1139" t="str">
        <f>"1551765492930183"</f>
        <v>1551765492930183</v>
      </c>
      <c r="C1139" t="s">
        <v>40</v>
      </c>
      <c r="D1139">
        <v>4.0239969999999996</v>
      </c>
      <c r="E1139">
        <v>0.52632650000000003</v>
      </c>
      <c r="F1139" t="s">
        <v>50</v>
      </c>
      <c r="G1139">
        <v>-208.702</v>
      </c>
      <c r="H1139" s="1">
        <v>-5.7306889999999999E-6</v>
      </c>
      <c r="I1139">
        <v>363.98140000000001</v>
      </c>
      <c r="J1139">
        <v>-225.2405</v>
      </c>
      <c r="K1139">
        <v>1.109642</v>
      </c>
      <c r="L1139">
        <v>368.2473</v>
      </c>
      <c r="M1139">
        <v>0.99987859999999995</v>
      </c>
      <c r="N1139">
        <v>-1.438094E-2</v>
      </c>
      <c r="O1139">
        <v>-6.0120119999999997E-3</v>
      </c>
      <c r="P1139">
        <v>0.9825469</v>
      </c>
      <c r="Q1139">
        <v>-5.568932E-2</v>
      </c>
      <c r="R1139">
        <v>-0.17748459999999999</v>
      </c>
      <c r="S1139">
        <v>2.908417</v>
      </c>
      <c r="T1139">
        <v>-0.19280330000000001</v>
      </c>
      <c r="U1139">
        <v>-0.741394</v>
      </c>
      <c r="V1139">
        <v>0.1715749</v>
      </c>
      <c r="W1139">
        <v>-4.153362E-2</v>
      </c>
      <c r="X1139">
        <v>0.98429520000000004</v>
      </c>
      <c r="Y1139">
        <v>0.24058170000000001</v>
      </c>
      <c r="Z1139">
        <v>-9.2932210000000008E-3</v>
      </c>
      <c r="AA1139">
        <v>0.97058440000000001</v>
      </c>
      <c r="AB1139">
        <v>31</v>
      </c>
      <c r="AC1139">
        <v>16.538499999999999</v>
      </c>
      <c r="AD1139">
        <v>-1.109647730689</v>
      </c>
      <c r="AE1139">
        <v>-4.2658999999999798</v>
      </c>
      <c r="AF1139">
        <v>4.1488710183532103</v>
      </c>
      <c r="AG1139">
        <v>-1.109647730689</v>
      </c>
      <c r="AH1139">
        <v>16.494229980644601</v>
      </c>
      <c r="AI1139">
        <v>93.732836129270396</v>
      </c>
      <c r="AJ1139">
        <v>75.881027652091504</v>
      </c>
      <c r="AK1139">
        <v>17.044179988123499</v>
      </c>
      <c r="AL1139">
        <v>92.380385812014694</v>
      </c>
      <c r="AM1139">
        <v>80.111982523082801</v>
      </c>
      <c r="AN1139">
        <v>1.0000000143216701</v>
      </c>
    </row>
    <row r="1140" spans="1:40" x14ac:dyDescent="0.25">
      <c r="A1140" t="str">
        <f>"20190305135812959"</f>
        <v>20190305135812959</v>
      </c>
      <c r="B1140" t="str">
        <f>"1551765492949703"</f>
        <v>1551765492949703</v>
      </c>
      <c r="C1140" t="s">
        <v>40</v>
      </c>
      <c r="D1140">
        <v>4.025309</v>
      </c>
      <c r="E1140">
        <v>0.52634159999999997</v>
      </c>
      <c r="F1140" t="s">
        <v>50</v>
      </c>
      <c r="G1140">
        <v>-208.88659999999999</v>
      </c>
      <c r="H1140" s="1">
        <v>-5.7767680000000003E-6</v>
      </c>
      <c r="I1140">
        <v>364.08210000000003</v>
      </c>
      <c r="J1140">
        <v>-224.95849999999999</v>
      </c>
      <c r="K1140">
        <v>1.109618</v>
      </c>
      <c r="L1140">
        <v>368.24560000000002</v>
      </c>
      <c r="M1140">
        <v>0.99987859999999995</v>
      </c>
      <c r="N1140">
        <v>-1.4377910000000001E-2</v>
      </c>
      <c r="O1140">
        <v>-6.0327849999999997E-3</v>
      </c>
      <c r="P1140">
        <v>0.98252890000000004</v>
      </c>
      <c r="Q1140">
        <v>-5.67205E-2</v>
      </c>
      <c r="R1140">
        <v>-0.1772569</v>
      </c>
      <c r="S1140">
        <v>2.9083100000000002</v>
      </c>
      <c r="T1140">
        <v>-0.19733500000000001</v>
      </c>
      <c r="U1140">
        <v>-0.74072269999999996</v>
      </c>
      <c r="V1140">
        <v>0.17132449999999999</v>
      </c>
      <c r="W1140">
        <v>-4.2577719999999999E-2</v>
      </c>
      <c r="X1140">
        <v>0.98429420000000001</v>
      </c>
      <c r="Y1140">
        <v>0.24033460000000001</v>
      </c>
      <c r="Z1140">
        <v>-9.4569259999999992E-3</v>
      </c>
      <c r="AA1140">
        <v>0.97064410000000001</v>
      </c>
      <c r="AB1140">
        <v>31</v>
      </c>
      <c r="AC1140">
        <v>16.071899999999999</v>
      </c>
      <c r="AD1140">
        <v>-1.1096237767679999</v>
      </c>
      <c r="AE1140">
        <v>-4.1634999999999902</v>
      </c>
      <c r="AF1140">
        <v>4.0483721410626199</v>
      </c>
      <c r="AG1140">
        <v>-1.1096237767679999</v>
      </c>
      <c r="AH1140">
        <v>16.0251445289902</v>
      </c>
      <c r="AI1140">
        <v>93.840707022647607</v>
      </c>
      <c r="AJ1140">
        <v>75.822222684943995</v>
      </c>
      <c r="AK1140">
        <v>16.565803303598798</v>
      </c>
      <c r="AL1140">
        <v>92.440261323143105</v>
      </c>
      <c r="AM1140">
        <v>80.126119248147305</v>
      </c>
      <c r="AN1140">
        <v>1.00000000934714</v>
      </c>
    </row>
    <row r="1141" spans="1:40" x14ac:dyDescent="0.25">
      <c r="A1141" t="str">
        <f>"20190305135812981"</f>
        <v>20190305135812981</v>
      </c>
      <c r="B1141" t="str">
        <f>"1551765492970199"</f>
        <v>1551765492970199</v>
      </c>
      <c r="C1141" t="s">
        <v>40</v>
      </c>
      <c r="D1141">
        <v>4.0709479999999996</v>
      </c>
      <c r="E1141">
        <v>0.52655010000000002</v>
      </c>
      <c r="F1141" t="s">
        <v>50</v>
      </c>
      <c r="G1141">
        <v>-209.2209</v>
      </c>
      <c r="H1141" s="1">
        <v>-5.8639989999999999E-6</v>
      </c>
      <c r="I1141">
        <v>364.24009999999998</v>
      </c>
      <c r="J1141">
        <v>-224.65880000000001</v>
      </c>
      <c r="K1141">
        <v>1.1095790000000001</v>
      </c>
      <c r="L1141">
        <v>368.24369999999999</v>
      </c>
      <c r="M1141">
        <v>0.99987809999999999</v>
      </c>
      <c r="N1141">
        <v>-1.4374649999999999E-2</v>
      </c>
      <c r="O1141">
        <v>-6.1087299999999997E-3</v>
      </c>
      <c r="P1141">
        <v>0.98258509999999999</v>
      </c>
      <c r="Q1141">
        <v>-5.7072350000000001E-2</v>
      </c>
      <c r="R1141">
        <v>-0.17683209999999999</v>
      </c>
      <c r="S1141">
        <v>2.9080050000000002</v>
      </c>
      <c r="T1141">
        <v>-0.2050372</v>
      </c>
      <c r="U1141">
        <v>-0.74014279999999999</v>
      </c>
      <c r="V1141">
        <v>0.17082079999999999</v>
      </c>
      <c r="W1141">
        <v>-4.2946709999999999E-2</v>
      </c>
      <c r="X1141">
        <v>0.98436570000000001</v>
      </c>
      <c r="Y1141">
        <v>0.2400593</v>
      </c>
      <c r="Z1141">
        <v>-9.7383890000000001E-3</v>
      </c>
      <c r="AA1141">
        <v>0.97070939999999994</v>
      </c>
      <c r="AB1141">
        <v>31</v>
      </c>
      <c r="AC1141">
        <v>15.437900000000001</v>
      </c>
      <c r="AD1141">
        <v>-1.109584863999</v>
      </c>
      <c r="AE1141">
        <v>-4.0035999999999996</v>
      </c>
      <c r="AF1141">
        <v>3.8903788051883401</v>
      </c>
      <c r="AG1141">
        <v>-1.109584863999</v>
      </c>
      <c r="AH1141">
        <v>15.3875900739608</v>
      </c>
      <c r="AI1141">
        <v>93.999004287010706</v>
      </c>
      <c r="AJ1141">
        <v>75.811479012963304</v>
      </c>
      <c r="AK1141">
        <v>15.910504520678501</v>
      </c>
      <c r="AL1141">
        <v>92.461422275889007</v>
      </c>
      <c r="AM1141">
        <v>80.155281048428293</v>
      </c>
      <c r="AN1141">
        <v>0.99999999847447696</v>
      </c>
    </row>
    <row r="1142" spans="1:40" x14ac:dyDescent="0.25">
      <c r="A1142" t="str">
        <f>"20190305135812997"</f>
        <v>20190305135812997</v>
      </c>
      <c r="B1142" t="str">
        <f>"1551765492989721"</f>
        <v>1551765492989721</v>
      </c>
      <c r="C1142" t="s">
        <v>40</v>
      </c>
      <c r="D1142">
        <v>4.029865</v>
      </c>
      <c r="E1142">
        <v>0.52672559999999902</v>
      </c>
      <c r="F1142" t="s">
        <v>50</v>
      </c>
      <c r="G1142">
        <v>-209.21899999999999</v>
      </c>
      <c r="H1142" s="1">
        <v>-5.8522310000000003E-6</v>
      </c>
      <c r="I1142">
        <v>364.31139999999999</v>
      </c>
      <c r="J1142">
        <v>-224.43440000000001</v>
      </c>
      <c r="K1142">
        <v>1.1095459999999999</v>
      </c>
      <c r="L1142">
        <v>368.2423</v>
      </c>
      <c r="M1142">
        <v>0.99987760000000003</v>
      </c>
      <c r="N1142">
        <v>-1.4372309999999999E-2</v>
      </c>
      <c r="O1142">
        <v>-6.2022969999999998E-3</v>
      </c>
      <c r="P1142">
        <v>0.98261860000000001</v>
      </c>
      <c r="Q1142">
        <v>-5.715812E-2</v>
      </c>
      <c r="R1142">
        <v>-0.176618</v>
      </c>
      <c r="S1142">
        <v>2.9077449999999998</v>
      </c>
      <c r="T1142">
        <v>-0.20896670000000001</v>
      </c>
      <c r="U1142">
        <v>-0.74057010000000001</v>
      </c>
      <c r="V1142">
        <v>0.170511</v>
      </c>
      <c r="W1142">
        <v>-4.3048259999999998E-2</v>
      </c>
      <c r="X1142">
        <v>0.98441500000000004</v>
      </c>
      <c r="Y1142">
        <v>0.2400996</v>
      </c>
      <c r="Z1142">
        <v>-9.8861680000000007E-3</v>
      </c>
      <c r="AA1142">
        <v>0.9706979</v>
      </c>
      <c r="AB1142">
        <v>31</v>
      </c>
      <c r="AC1142">
        <v>15.215399999999899</v>
      </c>
      <c r="AD1142">
        <v>-1.1095518522309999</v>
      </c>
      <c r="AE1142">
        <v>-3.9308999999999998</v>
      </c>
      <c r="AF1142">
        <v>3.8174142777615701</v>
      </c>
      <c r="AG1142">
        <v>-1.1095518522309999</v>
      </c>
      <c r="AH1142">
        <v>15.163897891285</v>
      </c>
      <c r="AI1142">
        <v>94.058718288920005</v>
      </c>
      <c r="AJ1142">
        <v>75.869770662751904</v>
      </c>
      <c r="AK1142">
        <v>15.676337465689</v>
      </c>
      <c r="AL1142">
        <v>92.467245987657094</v>
      </c>
      <c r="AM1142">
        <v>80.1732695396732</v>
      </c>
      <c r="AN1142">
        <v>1.0000000230175099</v>
      </c>
    </row>
    <row r="1143" spans="1:40" x14ac:dyDescent="0.25">
      <c r="A1143" t="str">
        <f>"20190305135813013"</f>
        <v>20190305135813013</v>
      </c>
      <c r="B1143" t="str">
        <f>"1551765493009749"</f>
        <v>1551765493009749</v>
      </c>
      <c r="C1143" t="s">
        <v>40</v>
      </c>
      <c r="D1143">
        <v>4.0039920000000002</v>
      </c>
      <c r="E1143">
        <v>0.52690939999999997</v>
      </c>
      <c r="F1143" t="s">
        <v>50</v>
      </c>
      <c r="G1143">
        <v>-209.1439</v>
      </c>
      <c r="H1143" s="1">
        <v>-5.8221599999999997E-6</v>
      </c>
      <c r="I1143">
        <v>364.34280000000001</v>
      </c>
      <c r="J1143">
        <v>-224.2063</v>
      </c>
      <c r="K1143">
        <v>1.109502</v>
      </c>
      <c r="L1143">
        <v>368.24079999999998</v>
      </c>
      <c r="M1143">
        <v>0.99987669999999995</v>
      </c>
      <c r="N1143">
        <v>-1.4369979999999999E-2</v>
      </c>
      <c r="O1143">
        <v>-6.3452550000000002E-3</v>
      </c>
      <c r="P1143">
        <v>0.98266509999999996</v>
      </c>
      <c r="Q1143">
        <v>-5.679617E-2</v>
      </c>
      <c r="R1143">
        <v>-0.17647589999999999</v>
      </c>
      <c r="S1143">
        <v>2.9075009999999999</v>
      </c>
      <c r="T1143">
        <v>-0.2109809</v>
      </c>
      <c r="U1143">
        <v>-0.74148559999999997</v>
      </c>
      <c r="V1143">
        <v>0.1702234</v>
      </c>
      <c r="W1143">
        <v>-4.2705399999999998E-2</v>
      </c>
      <c r="X1143">
        <v>0.98447969999999896</v>
      </c>
      <c r="Y1143">
        <v>0.24025489999999999</v>
      </c>
      <c r="Z1143">
        <v>-9.9621620000000001E-3</v>
      </c>
      <c r="AA1143">
        <v>0.97065869999999999</v>
      </c>
      <c r="AB1143">
        <v>31</v>
      </c>
      <c r="AC1143">
        <v>15.062399999999901</v>
      </c>
      <c r="AD1143">
        <v>-1.1095078221600001</v>
      </c>
      <c r="AE1143">
        <v>-3.8979999999999602</v>
      </c>
      <c r="AF1143">
        <v>3.7830985730850801</v>
      </c>
      <c r="AG1143">
        <v>-1.1095078221600001</v>
      </c>
      <c r="AH1143">
        <v>15.010499706584101</v>
      </c>
      <c r="AI1143">
        <v>94.099615722768803</v>
      </c>
      <c r="AJ1143">
        <v>75.854331915384194</v>
      </c>
      <c r="AK1143">
        <v>15.519598701721501</v>
      </c>
      <c r="AL1143">
        <v>92.447583486029004</v>
      </c>
      <c r="AM1143">
        <v>80.190154123699998</v>
      </c>
      <c r="AN1143">
        <v>1.0000000184044</v>
      </c>
    </row>
    <row r="1144" spans="1:40" x14ac:dyDescent="0.25">
      <c r="A1144" t="str">
        <f>"20190305135813029"</f>
        <v>20190305135813029</v>
      </c>
      <c r="B1144" t="str">
        <f>"1551765493019509"</f>
        <v>1551765493019509</v>
      </c>
      <c r="C1144" t="s">
        <v>40</v>
      </c>
      <c r="D1144">
        <v>4.0949059999999999</v>
      </c>
      <c r="E1144">
        <v>0.52694680000000005</v>
      </c>
      <c r="F1144" t="s">
        <v>50</v>
      </c>
      <c r="G1144">
        <v>-208.95320000000001</v>
      </c>
      <c r="H1144" s="1">
        <v>-5.7579749999999997E-6</v>
      </c>
      <c r="I1144">
        <v>364.34519999999998</v>
      </c>
      <c r="J1144">
        <v>-223.99700000000001</v>
      </c>
      <c r="K1144">
        <v>1.109456</v>
      </c>
      <c r="L1144">
        <v>368.23930000000001</v>
      </c>
      <c r="M1144">
        <v>0.99987550000000003</v>
      </c>
      <c r="N1144">
        <v>-1.4367909999999999E-2</v>
      </c>
      <c r="O1144">
        <v>-6.5269509999999996E-3</v>
      </c>
      <c r="P1144">
        <v>0.98259560000000001</v>
      </c>
      <c r="Q1144">
        <v>-5.6420110000000002E-2</v>
      </c>
      <c r="R1144">
        <v>-0.1769819</v>
      </c>
      <c r="S1144">
        <v>2.907349</v>
      </c>
      <c r="T1144">
        <v>-0.21148120000000001</v>
      </c>
      <c r="U1144">
        <v>-0.74252320000000005</v>
      </c>
      <c r="V1144">
        <v>0.17054629999999901</v>
      </c>
      <c r="W1144">
        <v>-4.235241E-2</v>
      </c>
      <c r="X1144">
        <v>0.98443910000000001</v>
      </c>
      <c r="Y1144">
        <v>0.24041270000000001</v>
      </c>
      <c r="Z1144">
        <v>-9.9776159999999999E-3</v>
      </c>
      <c r="AA1144">
        <v>0.97061949999999997</v>
      </c>
      <c r="AB1144">
        <v>31</v>
      </c>
      <c r="AC1144">
        <v>15.043799999999999</v>
      </c>
      <c r="AD1144">
        <v>-1.1094617579749999</v>
      </c>
      <c r="AE1144">
        <v>-3.8941000000000301</v>
      </c>
      <c r="AF1144">
        <v>3.7765663124983302</v>
      </c>
      <c r="AG1144">
        <v>-1.1094617579749999</v>
      </c>
      <c r="AH1144">
        <v>14.992476955584699</v>
      </c>
      <c r="AI1144">
        <v>94.104485921408795</v>
      </c>
      <c r="AJ1144">
        <v>75.861482920995996</v>
      </c>
      <c r="AK1144">
        <v>15.5005717239347</v>
      </c>
      <c r="AL1144">
        <v>92.427340246540496</v>
      </c>
      <c r="AM1144">
        <v>80.171510759475495</v>
      </c>
      <c r="AN1144">
        <v>1.0000000543426499</v>
      </c>
    </row>
    <row r="1145" spans="1:40" x14ac:dyDescent="0.25">
      <c r="A1145" t="str">
        <f>"20190305135813049"</f>
        <v>20190305135813049</v>
      </c>
      <c r="B1145" t="str">
        <f>"1551765493040005"</f>
        <v>1551765493040005</v>
      </c>
      <c r="C1145" t="s">
        <v>40</v>
      </c>
      <c r="D1145">
        <v>4.1083550000000004</v>
      </c>
      <c r="E1145">
        <v>0.52706699999999995</v>
      </c>
      <c r="F1145" t="s">
        <v>50</v>
      </c>
      <c r="G1145">
        <v>-208.86250000000001</v>
      </c>
      <c r="H1145" s="1">
        <v>-5.7247969999999999E-6</v>
      </c>
      <c r="I1145">
        <v>364.36329999999998</v>
      </c>
      <c r="J1145">
        <v>-223.69890000000001</v>
      </c>
      <c r="K1145">
        <v>1.109372</v>
      </c>
      <c r="L1145">
        <v>368.23700000000002</v>
      </c>
      <c r="M1145">
        <v>0.99987329999999996</v>
      </c>
      <c r="N1145">
        <v>-1.436515E-2</v>
      </c>
      <c r="O1145">
        <v>-6.8767790000000004E-3</v>
      </c>
      <c r="P1145">
        <v>0.982402</v>
      </c>
      <c r="Q1145">
        <v>-5.628213E-2</v>
      </c>
      <c r="R1145">
        <v>-0.17809820000000001</v>
      </c>
      <c r="S1145">
        <v>2.9067989999999999</v>
      </c>
      <c r="T1145">
        <v>-0.21308820000000001</v>
      </c>
      <c r="U1145">
        <v>-0.74444580000000005</v>
      </c>
      <c r="V1145">
        <v>0.17131089999999999</v>
      </c>
      <c r="W1145">
        <v>-4.2254640000000003E-2</v>
      </c>
      <c r="X1145">
        <v>0.98431049999999998</v>
      </c>
      <c r="Y1145">
        <v>0.24070949999999999</v>
      </c>
      <c r="Z1145">
        <v>-1.003249E-2</v>
      </c>
      <c r="AA1145">
        <v>0.9705454</v>
      </c>
      <c r="AB1145">
        <v>31</v>
      </c>
      <c r="AC1145">
        <v>14.8363999999999</v>
      </c>
      <c r="AD1145">
        <v>-1.109377724797</v>
      </c>
      <c r="AE1145">
        <v>-3.8736999999999799</v>
      </c>
      <c r="AF1145">
        <v>3.7519323642589102</v>
      </c>
      <c r="AG1145">
        <v>-1.109377724797</v>
      </c>
      <c r="AH1145">
        <v>14.785299262714499</v>
      </c>
      <c r="AI1145">
        <v>94.159648779279195</v>
      </c>
      <c r="AJ1145">
        <v>75.761122979643503</v>
      </c>
      <c r="AK1145">
        <v>15.294207716984801</v>
      </c>
      <c r="AL1145">
        <v>92.421733503137304</v>
      </c>
      <c r="AM1145">
        <v>80.127047906795198</v>
      </c>
      <c r="AN1145">
        <v>1.0000000197352901</v>
      </c>
    </row>
    <row r="1146" spans="1:40" x14ac:dyDescent="0.25">
      <c r="A1146" t="str">
        <f>"20190305135813070"</f>
        <v>20190305135813070</v>
      </c>
      <c r="B1146" t="str">
        <f>"1551765493059525"</f>
        <v>1551765493059525</v>
      </c>
      <c r="C1146" t="s">
        <v>40</v>
      </c>
      <c r="D1146">
        <v>4.0637239999999997</v>
      </c>
      <c r="E1146">
        <v>0.5272597</v>
      </c>
      <c r="F1146" t="s">
        <v>50</v>
      </c>
      <c r="G1146">
        <v>-208.91290000000001</v>
      </c>
      <c r="H1146" s="1">
        <v>-5.7319390000000001E-6</v>
      </c>
      <c r="I1146">
        <v>364.4255</v>
      </c>
      <c r="J1146">
        <v>-223.40860000000001</v>
      </c>
      <c r="K1146">
        <v>1.1092740000000001</v>
      </c>
      <c r="L1146">
        <v>368.2346</v>
      </c>
      <c r="M1146">
        <v>0.99986989999999998</v>
      </c>
      <c r="N1146">
        <v>-1.4362710000000001E-2</v>
      </c>
      <c r="O1146">
        <v>-7.3284800000000001E-3</v>
      </c>
      <c r="P1146">
        <v>0.98193509999999995</v>
      </c>
      <c r="Q1146">
        <v>-5.7112749999999997E-2</v>
      </c>
      <c r="R1146">
        <v>-0.1803932</v>
      </c>
      <c r="S1146">
        <v>2.9054720000000001</v>
      </c>
      <c r="T1146">
        <v>-0.21799579999999999</v>
      </c>
      <c r="U1146">
        <v>-0.74896240000000003</v>
      </c>
      <c r="V1146">
        <v>0.17315429999999901</v>
      </c>
      <c r="W1146">
        <v>-4.3133699999999997E-2</v>
      </c>
      <c r="X1146">
        <v>0.98394970000000004</v>
      </c>
      <c r="Y1146">
        <v>0.24175949999999999</v>
      </c>
      <c r="Z1146">
        <v>-1.0241999999999999E-2</v>
      </c>
      <c r="AA1146">
        <v>0.97028210000000004</v>
      </c>
      <c r="AB1146">
        <v>31</v>
      </c>
      <c r="AC1146">
        <v>14.495699999999999</v>
      </c>
      <c r="AD1146">
        <v>-1.109279731939</v>
      </c>
      <c r="AE1146">
        <v>-3.8090999999999999</v>
      </c>
      <c r="AF1146">
        <v>3.6825828493263999</v>
      </c>
      <c r="AG1146">
        <v>-1.109279731939</v>
      </c>
      <c r="AH1146">
        <v>14.4441066328303</v>
      </c>
      <c r="AI1146">
        <v>94.255965704785496</v>
      </c>
      <c r="AJ1146">
        <v>75.696922546305998</v>
      </c>
      <c r="AK1146">
        <v>14.947378846688</v>
      </c>
      <c r="AL1146">
        <v>92.472146021588401</v>
      </c>
      <c r="AM1146">
        <v>80.019348183980398</v>
      </c>
      <c r="AN1146">
        <v>0.99999996990713402</v>
      </c>
    </row>
    <row r="1147" spans="1:40" x14ac:dyDescent="0.25">
      <c r="A1147" t="str">
        <f>"20190305135813084"</f>
        <v>20190305135813084</v>
      </c>
      <c r="B1147" t="str">
        <f>"1551765493080021"</f>
        <v>1551765493080021</v>
      </c>
      <c r="C1147" t="s">
        <v>40</v>
      </c>
      <c r="D1147">
        <v>4.0501630000000004</v>
      </c>
      <c r="E1147">
        <v>0.52753640000000002</v>
      </c>
      <c r="F1147" t="s">
        <v>50</v>
      </c>
      <c r="G1147">
        <v>-209.1645</v>
      </c>
      <c r="H1147" s="1">
        <v>-5.8016030000000004E-6</v>
      </c>
      <c r="I1147">
        <v>364.51870000000002</v>
      </c>
      <c r="J1147">
        <v>-223.20930000000001</v>
      </c>
      <c r="K1147">
        <v>1.1092029999999999</v>
      </c>
      <c r="L1147">
        <v>368.23270000000002</v>
      </c>
      <c r="M1147">
        <v>0.99986730000000001</v>
      </c>
      <c r="N1147">
        <v>-1.436115E-2</v>
      </c>
      <c r="O1147">
        <v>-7.7030669999999897E-3</v>
      </c>
      <c r="P1147">
        <v>0.98170469999999999</v>
      </c>
      <c r="Q1147">
        <v>-5.750135E-2</v>
      </c>
      <c r="R1147">
        <v>-0.1815215</v>
      </c>
      <c r="S1147">
        <v>2.9029389999999999</v>
      </c>
      <c r="T1147">
        <v>-0.22607160000000001</v>
      </c>
      <c r="U1147">
        <v>-0.75729369999999996</v>
      </c>
      <c r="V1147">
        <v>0.1739086</v>
      </c>
      <c r="W1147">
        <v>-4.3555190000000001E-2</v>
      </c>
      <c r="X1147">
        <v>0.98379810000000001</v>
      </c>
      <c r="Y1147">
        <v>0.24414939999999999</v>
      </c>
      <c r="Z1147">
        <v>-1.0641619999999999E-2</v>
      </c>
      <c r="AA1147">
        <v>0.96967919999999996</v>
      </c>
      <c r="AB1147">
        <v>31</v>
      </c>
      <c r="AC1147">
        <v>14.0448</v>
      </c>
      <c r="AD1147">
        <v>-1.1092088016029999</v>
      </c>
      <c r="AE1147">
        <v>-3.7139999999999902</v>
      </c>
      <c r="AF1147">
        <v>3.58479259629858</v>
      </c>
      <c r="AG1147">
        <v>-1.1092088016029999</v>
      </c>
      <c r="AH1147">
        <v>13.991430522149599</v>
      </c>
      <c r="AI1147">
        <v>94.391530034946896</v>
      </c>
      <c r="AJ1147">
        <v>75.629186794602802</v>
      </c>
      <c r="AK1147">
        <v>14.4858969408238</v>
      </c>
      <c r="AL1147">
        <v>92.496318316207905</v>
      </c>
      <c r="AM1147">
        <v>79.975236734897706</v>
      </c>
      <c r="AN1147">
        <v>0.99999997864675205</v>
      </c>
    </row>
    <row r="1148" spans="1:40" x14ac:dyDescent="0.25">
      <c r="A1148" t="str">
        <f>"20190305135813099"</f>
        <v>20190305135813099</v>
      </c>
      <c r="B1148" t="str">
        <f>"1551765493089781"</f>
        <v>1551765493089781</v>
      </c>
      <c r="C1148" t="s">
        <v>40</v>
      </c>
      <c r="D1148">
        <v>4.0105219999999999</v>
      </c>
      <c r="E1148">
        <v>0.52765649999999997</v>
      </c>
      <c r="F1148" t="s">
        <v>50</v>
      </c>
      <c r="G1148">
        <v>-209.31489999999999</v>
      </c>
      <c r="H1148" s="1">
        <v>-5.8426249999999998E-6</v>
      </c>
      <c r="I1148">
        <v>364.57830000000001</v>
      </c>
      <c r="J1148">
        <v>-223.00640000000001</v>
      </c>
      <c r="K1148">
        <v>1.1091310000000001</v>
      </c>
      <c r="L1148">
        <v>368.23079999999999</v>
      </c>
      <c r="M1148">
        <v>0.99986399999999998</v>
      </c>
      <c r="N1148">
        <v>-1.435962E-2</v>
      </c>
      <c r="O1148">
        <v>-8.132182E-3</v>
      </c>
      <c r="P1148">
        <v>0.98142680000000004</v>
      </c>
      <c r="Q1148">
        <v>-5.7705729999999997E-2</v>
      </c>
      <c r="R1148">
        <v>-0.18295330000000001</v>
      </c>
      <c r="S1148">
        <v>2.9012449999999999</v>
      </c>
      <c r="T1148">
        <v>-0.2316107</v>
      </c>
      <c r="U1148">
        <v>-0.76306149999999995</v>
      </c>
      <c r="V1148">
        <v>0.17491319999999999</v>
      </c>
      <c r="W1148">
        <v>-4.3794390000000002E-2</v>
      </c>
      <c r="X1148">
        <v>0.98360939999999997</v>
      </c>
      <c r="Y1148">
        <v>0.24563380000000001</v>
      </c>
      <c r="Z1148">
        <v>-1.089997E-2</v>
      </c>
      <c r="AA1148">
        <v>0.96930139999999998</v>
      </c>
      <c r="AB1148">
        <v>31</v>
      </c>
      <c r="AC1148">
        <v>13.6915</v>
      </c>
      <c r="AD1148">
        <v>-1.1091368426249999</v>
      </c>
      <c r="AE1148">
        <v>-3.6524999999999701</v>
      </c>
      <c r="AF1148">
        <v>3.5194640406406501</v>
      </c>
      <c r="AG1148">
        <v>-1.1091368426249999</v>
      </c>
      <c r="AH1148">
        <v>13.6372049595664</v>
      </c>
      <c r="AI1148">
        <v>94.502827747913003</v>
      </c>
      <c r="AJ1148">
        <v>75.528975824403702</v>
      </c>
      <c r="AK1148">
        <v>14.127638542171599</v>
      </c>
      <c r="AL1148">
        <v>92.510036468256899</v>
      </c>
      <c r="AM1148">
        <v>79.916617889311595</v>
      </c>
      <c r="AN1148">
        <v>1.0000000139490299</v>
      </c>
    </row>
    <row r="1149" spans="1:40" x14ac:dyDescent="0.25">
      <c r="A1149" t="str">
        <f>"20190305135813115"</f>
        <v>20190305135813115</v>
      </c>
      <c r="B1149" t="str">
        <f>"1551765493109302"</f>
        <v>1551765493109302</v>
      </c>
      <c r="C1149" t="s">
        <v>40</v>
      </c>
      <c r="D1149">
        <v>4.0608019999999998</v>
      </c>
      <c r="E1149">
        <v>0.52790049999999999</v>
      </c>
      <c r="F1149" t="s">
        <v>50</v>
      </c>
      <c r="G1149">
        <v>-209.2783</v>
      </c>
      <c r="H1149" s="1">
        <v>-5.8281129999999999E-6</v>
      </c>
      <c r="I1149">
        <v>364.59280000000001</v>
      </c>
      <c r="J1149">
        <v>-222.78</v>
      </c>
      <c r="K1149">
        <v>1.1090519999999999</v>
      </c>
      <c r="L1149">
        <v>368.22840000000002</v>
      </c>
      <c r="M1149">
        <v>0.99985919999999895</v>
      </c>
      <c r="N1149">
        <v>-1.4357969999999999E-2</v>
      </c>
      <c r="O1149">
        <v>-8.6933919999999994E-3</v>
      </c>
      <c r="P1149">
        <v>0.98090529999999998</v>
      </c>
      <c r="Q1149">
        <v>-5.8851929999999997E-2</v>
      </c>
      <c r="R1149">
        <v>-0.1853687</v>
      </c>
      <c r="S1149">
        <v>2.899734</v>
      </c>
      <c r="T1149">
        <v>-0.23427809999999999</v>
      </c>
      <c r="U1149">
        <v>-0.76843260000000002</v>
      </c>
      <c r="V1149">
        <v>0.1767716</v>
      </c>
      <c r="W1149">
        <v>-4.4982729999999999E-2</v>
      </c>
      <c r="X1149">
        <v>0.98322339999999997</v>
      </c>
      <c r="Y1149">
        <v>0.24687049999999999</v>
      </c>
      <c r="Z1149">
        <v>-1.102741E-2</v>
      </c>
      <c r="AA1149">
        <v>0.96898569999999995</v>
      </c>
      <c r="AB1149">
        <v>31</v>
      </c>
      <c r="AC1149">
        <v>13.5017</v>
      </c>
      <c r="AD1149">
        <v>-1.1090578281129999</v>
      </c>
      <c r="AE1149">
        <v>-3.6356000000000099</v>
      </c>
      <c r="AF1149">
        <v>3.4960804776758101</v>
      </c>
      <c r="AG1149">
        <v>-1.1090578281129999</v>
      </c>
      <c r="AH1149">
        <v>13.4481937228196</v>
      </c>
      <c r="AI1149">
        <v>94.563440822091906</v>
      </c>
      <c r="AJ1149">
        <v>75.427579197894801</v>
      </c>
      <c r="AK1149">
        <v>13.9393867289408</v>
      </c>
      <c r="AL1149">
        <v>92.578190680982004</v>
      </c>
      <c r="AM1149">
        <v>79.807801735437707</v>
      </c>
      <c r="AN1149">
        <v>0.99999994943618498</v>
      </c>
    </row>
    <row r="1150" spans="1:40" x14ac:dyDescent="0.25">
      <c r="A1150" t="str">
        <f>"20190305135813128"</f>
        <v>20190305135813128</v>
      </c>
      <c r="B1150" t="str">
        <f>"1551765493120037"</f>
        <v>1551765493120037</v>
      </c>
      <c r="C1150" t="s">
        <v>40</v>
      </c>
      <c r="D1150">
        <v>4.052047</v>
      </c>
      <c r="E1150">
        <v>0.52808279999999996</v>
      </c>
      <c r="F1150" t="s">
        <v>50</v>
      </c>
      <c r="G1150">
        <v>-209.42</v>
      </c>
      <c r="H1150" s="1">
        <v>-5.867772E-6</v>
      </c>
      <c r="I1150">
        <v>364.64260000000002</v>
      </c>
      <c r="J1150">
        <v>-222.5924</v>
      </c>
      <c r="K1150">
        <v>1.1089899999999999</v>
      </c>
      <c r="L1150">
        <v>368.22629999999998</v>
      </c>
      <c r="M1150">
        <v>0.99985449999999998</v>
      </c>
      <c r="N1150">
        <v>-1.435664E-2</v>
      </c>
      <c r="O1150">
        <v>-9.2103240000000006E-3</v>
      </c>
      <c r="P1150">
        <v>0.98067459999999995</v>
      </c>
      <c r="Q1150">
        <v>-5.8938749999999998E-2</v>
      </c>
      <c r="R1150">
        <v>-0.18655669999999999</v>
      </c>
      <c r="S1150">
        <v>2.897049</v>
      </c>
      <c r="T1150">
        <v>-0.24049409999999999</v>
      </c>
      <c r="U1150">
        <v>-0.77755739999999995</v>
      </c>
      <c r="V1150">
        <v>0.1774471</v>
      </c>
      <c r="W1150">
        <v>-4.5099430000000003E-2</v>
      </c>
      <c r="X1150">
        <v>0.98309639999999998</v>
      </c>
      <c r="Y1150">
        <v>0.2493882</v>
      </c>
      <c r="Z1150">
        <v>-1.135952E-2</v>
      </c>
      <c r="AA1150">
        <v>0.96833689999999994</v>
      </c>
      <c r="AB1150">
        <v>31</v>
      </c>
      <c r="AC1150">
        <v>13.1724</v>
      </c>
      <c r="AD1150">
        <v>-1.108995867772</v>
      </c>
      <c r="AE1150">
        <v>-3.5836999999999599</v>
      </c>
      <c r="AF1150">
        <v>3.4395139087147601</v>
      </c>
      <c r="AG1150">
        <v>-1.108995867772</v>
      </c>
      <c r="AH1150">
        <v>13.118276006691801</v>
      </c>
      <c r="AI1150">
        <v>94.674912790416698</v>
      </c>
      <c r="AJ1150">
        <v>75.308178700721001</v>
      </c>
      <c r="AK1150">
        <v>13.606957527335901</v>
      </c>
      <c r="AL1150">
        <v>92.5848838078103</v>
      </c>
      <c r="AM1150">
        <v>79.768381478502207</v>
      </c>
      <c r="AN1150">
        <v>0.99999998178884697</v>
      </c>
    </row>
    <row r="1151" spans="1:40" x14ac:dyDescent="0.25">
      <c r="A1151" t="str">
        <f>"20190305135813144"</f>
        <v>20190305135813144</v>
      </c>
      <c r="B1151" t="str">
        <f>"1551765493139557"</f>
        <v>1551765493139557</v>
      </c>
      <c r="C1151" t="s">
        <v>40</v>
      </c>
      <c r="D1151">
        <v>4.0800159999999996</v>
      </c>
      <c r="E1151">
        <v>0.54626009999999903</v>
      </c>
      <c r="F1151" t="s">
        <v>50</v>
      </c>
      <c r="G1151">
        <v>-209.3546</v>
      </c>
      <c r="H1151" s="1">
        <v>-5.845032E-6</v>
      </c>
      <c r="I1151">
        <v>364.64800000000002</v>
      </c>
      <c r="J1151">
        <v>-222.39019999999999</v>
      </c>
      <c r="K1151">
        <v>1.1089230000000001</v>
      </c>
      <c r="L1151">
        <v>368.22379999999998</v>
      </c>
      <c r="M1151">
        <v>0.99984890000000004</v>
      </c>
      <c r="N1151">
        <v>-1.435523E-2</v>
      </c>
      <c r="O1151">
        <v>-9.8089820000000008E-3</v>
      </c>
      <c r="P1151">
        <v>0.98036579999999995</v>
      </c>
      <c r="Q1151">
        <v>-5.9321239999999997E-2</v>
      </c>
      <c r="R1151">
        <v>-0.1880541</v>
      </c>
      <c r="S1151">
        <v>2.895645</v>
      </c>
      <c r="T1151">
        <v>-0.24258179999999999</v>
      </c>
      <c r="U1151">
        <v>-0.78271480000000004</v>
      </c>
      <c r="V1151">
        <v>0.1783517</v>
      </c>
      <c r="W1151">
        <v>-4.5514640000000002E-2</v>
      </c>
      <c r="X1151">
        <v>0.98291360000000005</v>
      </c>
      <c r="Y1151">
        <v>0.25051580000000001</v>
      </c>
      <c r="Z1151">
        <v>-1.145728E-2</v>
      </c>
      <c r="AA1151">
        <v>0.96804469999999998</v>
      </c>
      <c r="AB1151">
        <v>31</v>
      </c>
      <c r="AC1151">
        <v>13.035599999999899</v>
      </c>
      <c r="AD1151">
        <v>-1.1089288450319901</v>
      </c>
      <c r="AE1151">
        <v>-3.5757999999999499</v>
      </c>
      <c r="AF1151">
        <v>3.42469938751614</v>
      </c>
      <c r="AG1151">
        <v>-1.1089288450319901</v>
      </c>
      <c r="AH1151">
        <v>12.982673421621101</v>
      </c>
      <c r="AI1151">
        <v>94.721390539251303</v>
      </c>
      <c r="AJ1151">
        <v>75.222571272328906</v>
      </c>
      <c r="AK1151">
        <v>13.4724941362268</v>
      </c>
      <c r="AL1151">
        <v>92.608697922479607</v>
      </c>
      <c r="AM1151">
        <v>79.715460662540806</v>
      </c>
      <c r="AN1151">
        <v>1.0000000282060799</v>
      </c>
    </row>
    <row r="1152" spans="1:40" x14ac:dyDescent="0.25">
      <c r="A1152" t="str">
        <f>"20190305135813160"</f>
        <v>20190305135813160</v>
      </c>
      <c r="B1152" t="str">
        <f>"1551765493149318"</f>
        <v>1551765493149318</v>
      </c>
      <c r="C1152" t="s">
        <v>40</v>
      </c>
      <c r="D1152">
        <v>4.1317729999999999</v>
      </c>
      <c r="E1152">
        <v>0.55200369999999999</v>
      </c>
      <c r="F1152" t="s">
        <v>42</v>
      </c>
      <c r="G1152">
        <v>-211.3202</v>
      </c>
      <c r="H1152" s="1">
        <v>-4.5913369999999999E-6</v>
      </c>
      <c r="I1152">
        <v>364.62490000000003</v>
      </c>
      <c r="J1152">
        <v>-222.17400000000001</v>
      </c>
      <c r="K1152">
        <v>1.1088519999999999</v>
      </c>
      <c r="L1152">
        <v>368.221</v>
      </c>
      <c r="M1152">
        <v>0.99984189999999995</v>
      </c>
      <c r="N1152">
        <v>-1.435376E-2</v>
      </c>
      <c r="O1152">
        <v>-1.050248E-2</v>
      </c>
      <c r="P1152">
        <v>0.98003660000000004</v>
      </c>
      <c r="Q1152">
        <v>-5.9275199999999903E-2</v>
      </c>
      <c r="R1152">
        <v>-0.18977620000000001</v>
      </c>
      <c r="S1152">
        <v>2.8641200000000002</v>
      </c>
      <c r="T1152">
        <v>-0.28690900000000003</v>
      </c>
      <c r="U1152">
        <v>-0.9311218</v>
      </c>
      <c r="V1152">
        <v>0.179388299999999</v>
      </c>
      <c r="W1152">
        <v>-4.550332E-2</v>
      </c>
      <c r="X1152">
        <v>0.98272539999999997</v>
      </c>
      <c r="Y1152">
        <v>0.29764350000000001</v>
      </c>
      <c r="Z1152">
        <v>-1.5819389999999999E-2</v>
      </c>
      <c r="AA1152">
        <v>0.95454600000000001</v>
      </c>
      <c r="AB1152">
        <v>31</v>
      </c>
      <c r="AC1152">
        <v>10.8538</v>
      </c>
      <c r="AD1152">
        <v>-1.1088565913370001</v>
      </c>
      <c r="AE1152">
        <v>-3.5960999999999701</v>
      </c>
      <c r="AF1152">
        <v>3.4494564012995199</v>
      </c>
      <c r="AG1152">
        <v>-1.1088565913370001</v>
      </c>
      <c r="AH1152">
        <v>10.7894993375411</v>
      </c>
      <c r="AI1152">
        <v>95.590913899722295</v>
      </c>
      <c r="AJ1152">
        <v>72.270664255613497</v>
      </c>
      <c r="AK1152">
        <v>11.381634696273499</v>
      </c>
      <c r="AL1152">
        <v>92.6080488316246</v>
      </c>
      <c r="AM1152">
        <v>79.655034329914599</v>
      </c>
      <c r="AN1152">
        <v>0.99999996305653505</v>
      </c>
    </row>
    <row r="1153" spans="1:40" x14ac:dyDescent="0.25">
      <c r="A1153" t="str">
        <f>"20190305135813174"</f>
        <v>20190305135813174</v>
      </c>
      <c r="B1153" t="str">
        <f>"1551765493169813"</f>
        <v>1551765493169813</v>
      </c>
      <c r="C1153" t="s">
        <v>40</v>
      </c>
      <c r="D1153">
        <v>4.0453419999999998</v>
      </c>
      <c r="E1153">
        <v>0.56045500000000004</v>
      </c>
      <c r="F1153" t="s">
        <v>42</v>
      </c>
      <c r="G1153">
        <v>-210.30250000000001</v>
      </c>
      <c r="H1153" s="1">
        <v>-5.1133730000000003E-6</v>
      </c>
      <c r="I1153">
        <v>364.14319999999998</v>
      </c>
      <c r="J1153">
        <v>-221.95939999999999</v>
      </c>
      <c r="K1153">
        <v>1.108781</v>
      </c>
      <c r="L1153">
        <v>368.21800000000002</v>
      </c>
      <c r="M1153">
        <v>0.99983379999999999</v>
      </c>
      <c r="N1153">
        <v>-1.435229E-2</v>
      </c>
      <c r="O1153">
        <v>-1.125406E-2</v>
      </c>
      <c r="P1153">
        <v>0.97955890000000001</v>
      </c>
      <c r="Q1153">
        <v>-5.9880929999999999E-2</v>
      </c>
      <c r="R1153">
        <v>-0.1920393</v>
      </c>
      <c r="S1153">
        <v>2.8551030000000002</v>
      </c>
      <c r="T1153">
        <v>-0.26667960000000002</v>
      </c>
      <c r="U1153">
        <v>-0.9807129</v>
      </c>
      <c r="V1153">
        <v>0.1809106</v>
      </c>
      <c r="W1153">
        <v>-4.6144789999999998E-2</v>
      </c>
      <c r="X1153">
        <v>0.98241639999999997</v>
      </c>
      <c r="Y1153">
        <v>0.31280780000000002</v>
      </c>
      <c r="Z1153">
        <v>-1.562331E-2</v>
      </c>
      <c r="AA1153">
        <v>0.94968799999999998</v>
      </c>
      <c r="AB1153">
        <v>31</v>
      </c>
      <c r="AC1153">
        <v>11.656899999999901</v>
      </c>
      <c r="AD1153">
        <v>-1.1087861133729999</v>
      </c>
      <c r="AE1153">
        <v>-4.07480000000003</v>
      </c>
      <c r="AF1153">
        <v>3.91180261006182</v>
      </c>
      <c r="AG1153">
        <v>-1.1087861133729999</v>
      </c>
      <c r="AH1153">
        <v>11.6084330971185</v>
      </c>
      <c r="AI1153">
        <v>95.172006953797293</v>
      </c>
      <c r="AJ1153">
        <v>71.377244400186399</v>
      </c>
      <c r="AK1153">
        <v>12.2998912708841</v>
      </c>
      <c r="AL1153">
        <v>92.644840948671799</v>
      </c>
      <c r="AM1153">
        <v>79.565956618533207</v>
      </c>
      <c r="AN1153">
        <v>0.99999998491273101</v>
      </c>
    </row>
    <row r="1154" spans="1:40" x14ac:dyDescent="0.25">
      <c r="A1154" t="str">
        <f>"20190305135813188"</f>
        <v>20190305135813188</v>
      </c>
      <c r="B1154" t="str">
        <f>"1551765493179573"</f>
        <v>1551765493179573</v>
      </c>
      <c r="C1154" t="s">
        <v>40</v>
      </c>
      <c r="D1154">
        <v>4.0547300000000002</v>
      </c>
      <c r="E1154">
        <v>0.56292489999999995</v>
      </c>
      <c r="F1154" t="s">
        <v>50</v>
      </c>
      <c r="G1154">
        <v>-208.9736</v>
      </c>
      <c r="H1154" s="1">
        <v>-5.9111839999999998E-6</v>
      </c>
      <c r="I1154">
        <v>363.40800000000002</v>
      </c>
      <c r="J1154">
        <v>-221.76179999999999</v>
      </c>
      <c r="K1154">
        <v>1.10873</v>
      </c>
      <c r="L1154">
        <v>368.21510000000001</v>
      </c>
      <c r="M1154">
        <v>0.99982530000000003</v>
      </c>
      <c r="N1154">
        <v>-1.4350969999999999E-2</v>
      </c>
      <c r="O1154">
        <v>-1.1980319999999999E-2</v>
      </c>
      <c r="P1154">
        <v>0.97926659999999999</v>
      </c>
      <c r="Q1154">
        <v>-6.0402560000000001E-2</v>
      </c>
      <c r="R1154">
        <v>-0.19336120000000001</v>
      </c>
      <c r="S1154">
        <v>2.8414000000000001</v>
      </c>
      <c r="T1154">
        <v>-0.24261269999999999</v>
      </c>
      <c r="U1154">
        <v>-1.0524899999999999</v>
      </c>
      <c r="V1154">
        <v>0.18151600000000001</v>
      </c>
      <c r="W1154">
        <v>-4.6693770000000002E-2</v>
      </c>
      <c r="X1154">
        <v>0.98227880000000001</v>
      </c>
      <c r="Y1154">
        <v>0.33484459999999999</v>
      </c>
      <c r="Z1154">
        <v>-1.5476159999999999E-2</v>
      </c>
      <c r="AA1154">
        <v>0.94214620000000004</v>
      </c>
      <c r="AB1154">
        <v>31</v>
      </c>
      <c r="AC1154">
        <v>12.7881999999999</v>
      </c>
      <c r="AD1154">
        <v>-1.1087359111839901</v>
      </c>
      <c r="AE1154">
        <v>-4.8070999999999904</v>
      </c>
      <c r="AF1154">
        <v>4.6230837465458903</v>
      </c>
      <c r="AG1154">
        <v>-1.1087359111839901</v>
      </c>
      <c r="AH1154">
        <v>12.760832785909701</v>
      </c>
      <c r="AI1154">
        <v>94.670128189424801</v>
      </c>
      <c r="AJ1154">
        <v>70.085206976565502</v>
      </c>
      <c r="AK1154">
        <v>13.617674252172201</v>
      </c>
      <c r="AL1154">
        <v>92.676329079208998</v>
      </c>
      <c r="AM1154">
        <v>79.530376721480593</v>
      </c>
      <c r="AN1154">
        <v>1.0000000036711201</v>
      </c>
    </row>
    <row r="1155" spans="1:40" x14ac:dyDescent="0.25">
      <c r="A1155" t="str">
        <f>"20190305135813203"</f>
        <v>20190305135813203</v>
      </c>
      <c r="B1155" t="str">
        <f>"1551765493200069"</f>
        <v>1551765493200069</v>
      </c>
      <c r="C1155" t="s">
        <v>40</v>
      </c>
      <c r="D1155">
        <v>4.0251460000000003</v>
      </c>
      <c r="E1155">
        <v>0.56606749999999995</v>
      </c>
      <c r="F1155" t="s">
        <v>50</v>
      </c>
      <c r="G1155">
        <v>-208.3734</v>
      </c>
      <c r="H1155" s="1">
        <v>-5.7521719999999998E-6</v>
      </c>
      <c r="I1155">
        <v>363.13979999999998</v>
      </c>
      <c r="J1155">
        <v>-221.5669</v>
      </c>
      <c r="K1155">
        <v>1.1086800000000001</v>
      </c>
      <c r="L1155">
        <v>368.21199999999999</v>
      </c>
      <c r="M1155">
        <v>0.99981609999999999</v>
      </c>
      <c r="N1155">
        <v>-1.434964E-2</v>
      </c>
      <c r="O1155">
        <v>-1.27227E-2</v>
      </c>
      <c r="P1155">
        <v>0.97897100000000004</v>
      </c>
      <c r="Q1155">
        <v>-6.1146150000000003E-2</v>
      </c>
      <c r="R1155">
        <v>-0.19462080000000001</v>
      </c>
      <c r="S1155">
        <v>2.8366850000000001</v>
      </c>
      <c r="T1155">
        <v>-0.23491500000000001</v>
      </c>
      <c r="U1155">
        <v>-1.075348</v>
      </c>
      <c r="V1155">
        <v>0.18204329999999999</v>
      </c>
      <c r="W1155">
        <v>-4.7462610000000002E-2</v>
      </c>
      <c r="X1155">
        <v>0.98214440000000003</v>
      </c>
      <c r="Y1155">
        <v>0.34135219999999999</v>
      </c>
      <c r="Z1155">
        <v>-1.533497E-2</v>
      </c>
      <c r="AA1155">
        <v>0.93981029999999999</v>
      </c>
      <c r="AB1155">
        <v>31</v>
      </c>
      <c r="AC1155">
        <v>13.1935</v>
      </c>
      <c r="AD1155">
        <v>-1.1086857521719999</v>
      </c>
      <c r="AE1155">
        <v>-5.0721999999999996</v>
      </c>
      <c r="AF1155">
        <v>4.8739297403072497</v>
      </c>
      <c r="AG1155">
        <v>-1.1086857521719999</v>
      </c>
      <c r="AH1155">
        <v>13.175909748056799</v>
      </c>
      <c r="AI1155">
        <v>94.512347852839397</v>
      </c>
      <c r="AJ1155">
        <v>69.699951311681104</v>
      </c>
      <c r="AK1155">
        <v>14.0921599799129</v>
      </c>
      <c r="AL1155">
        <v>92.7204291596871</v>
      </c>
      <c r="AM1155">
        <v>79.499233247704396</v>
      </c>
      <c r="AN1155">
        <v>1.00000004243713</v>
      </c>
    </row>
    <row r="1156" spans="1:40" x14ac:dyDescent="0.25">
      <c r="A1156" t="str">
        <f>"20190305135813219"</f>
        <v>20190305135813219</v>
      </c>
      <c r="B1156" t="str">
        <f>"1551765493209359"</f>
        <v>1551765493209359</v>
      </c>
      <c r="C1156" t="s">
        <v>40</v>
      </c>
      <c r="D1156">
        <v>4.0916550000000003</v>
      </c>
      <c r="E1156">
        <v>0.5670444</v>
      </c>
      <c r="F1156" t="s">
        <v>50</v>
      </c>
      <c r="G1156">
        <v>-207.9222</v>
      </c>
      <c r="H1156" s="1">
        <v>-5.6393959999999996E-6</v>
      </c>
      <c r="I1156">
        <v>362.89479999999998</v>
      </c>
      <c r="J1156">
        <v>-221.3477</v>
      </c>
      <c r="K1156">
        <v>1.108627</v>
      </c>
      <c r="L1156">
        <v>368.20839999999998</v>
      </c>
      <c r="M1156">
        <v>0.99980480000000005</v>
      </c>
      <c r="N1156">
        <v>-1.4348110000000001E-2</v>
      </c>
      <c r="O1156">
        <v>-1.3589179999999999E-2</v>
      </c>
      <c r="P1156">
        <v>0.97856220000000005</v>
      </c>
      <c r="Q1156">
        <v>-6.2225679999999998E-2</v>
      </c>
      <c r="R1156">
        <v>-0.19632740000000001</v>
      </c>
      <c r="S1156">
        <v>2.8307950000000002</v>
      </c>
      <c r="T1156">
        <v>-0.23001460000000001</v>
      </c>
      <c r="U1156">
        <v>-1.1031489999999999</v>
      </c>
      <c r="V1156">
        <v>0.1828968</v>
      </c>
      <c r="W1156">
        <v>-4.856982E-2</v>
      </c>
      <c r="X1156">
        <v>0.98193160000000002</v>
      </c>
      <c r="Y1156">
        <v>0.34923300000000002</v>
      </c>
      <c r="Z1156">
        <v>-1.5390320000000001E-2</v>
      </c>
      <c r="AA1156">
        <v>0.93690960000000001</v>
      </c>
      <c r="AB1156">
        <v>31</v>
      </c>
      <c r="AC1156">
        <v>13.4255</v>
      </c>
      <c r="AD1156">
        <v>-1.108632639396</v>
      </c>
      <c r="AE1156">
        <v>-5.3136000000000001</v>
      </c>
      <c r="AF1156">
        <v>5.10057893203546</v>
      </c>
      <c r="AG1156">
        <v>-1.108632639396</v>
      </c>
      <c r="AH1156">
        <v>13.4173739999045</v>
      </c>
      <c r="AI1156">
        <v>94.416429236319203</v>
      </c>
      <c r="AJ1156">
        <v>69.185832979039304</v>
      </c>
      <c r="AK1156">
        <v>14.3969058073036</v>
      </c>
      <c r="AL1156">
        <v>92.783941087738995</v>
      </c>
      <c r="AM1156">
        <v>79.448868763260904</v>
      </c>
      <c r="AN1156">
        <v>0.99999996697181504</v>
      </c>
    </row>
    <row r="1157" spans="1:40" x14ac:dyDescent="0.25">
      <c r="A1157" t="str">
        <f>"20190305135813239"</f>
        <v>20190305135813239</v>
      </c>
      <c r="B1157" t="str">
        <f>"1551765493229856"</f>
        <v>1551765493229856</v>
      </c>
      <c r="C1157" t="s">
        <v>40</v>
      </c>
      <c r="D1157">
        <v>4.0381010000000002</v>
      </c>
      <c r="E1157">
        <v>0.56851799999999997</v>
      </c>
      <c r="F1157" t="s">
        <v>50</v>
      </c>
      <c r="G1157">
        <v>-207.92959999999999</v>
      </c>
      <c r="H1157" s="1">
        <v>-5.6390959999999998E-6</v>
      </c>
      <c r="I1157">
        <v>362.91250000000002</v>
      </c>
      <c r="J1157">
        <v>-221.06739999999999</v>
      </c>
      <c r="K1157">
        <v>1.108581</v>
      </c>
      <c r="L1157">
        <v>368.20339999999999</v>
      </c>
      <c r="M1157">
        <v>0.99978840000000002</v>
      </c>
      <c r="N1157">
        <v>-1.4346080000000001E-2</v>
      </c>
      <c r="O1157">
        <v>-1.474453E-2</v>
      </c>
      <c r="P1157">
        <v>0.97819659999999997</v>
      </c>
      <c r="Q1157">
        <v>-6.2754480000000001E-2</v>
      </c>
      <c r="R1157">
        <v>-0.19797439999999999</v>
      </c>
      <c r="S1157">
        <v>2.827026</v>
      </c>
      <c r="T1157">
        <v>-0.23357530000000001</v>
      </c>
      <c r="U1157">
        <v>-1.1157840000000001</v>
      </c>
      <c r="V1157">
        <v>0.18340790000000001</v>
      </c>
      <c r="W1157">
        <v>-4.9125540000000002E-2</v>
      </c>
      <c r="X1157">
        <v>0.98180869999999998</v>
      </c>
      <c r="Y1157">
        <v>0.35215809999999997</v>
      </c>
      <c r="Z1157">
        <v>-1.5654660000000001E-2</v>
      </c>
      <c r="AA1157">
        <v>0.93580960000000002</v>
      </c>
      <c r="AB1157">
        <v>31</v>
      </c>
      <c r="AC1157">
        <v>13.1378</v>
      </c>
      <c r="AD1157">
        <v>-1.108586639096</v>
      </c>
      <c r="AE1157">
        <v>-5.2908999999999597</v>
      </c>
      <c r="AF1157">
        <v>5.0655595403884899</v>
      </c>
      <c r="AG1157">
        <v>-1.108586639096</v>
      </c>
      <c r="AH1157">
        <v>13.133925325665199</v>
      </c>
      <c r="AI1157">
        <v>94.5028656345077</v>
      </c>
      <c r="AJ1157">
        <v>68.909115258277396</v>
      </c>
      <c r="AK1157">
        <v>14.1205117560856</v>
      </c>
      <c r="AL1157">
        <v>92.815819321270098</v>
      </c>
      <c r="AM1157">
        <v>79.418754248261806</v>
      </c>
      <c r="AN1157">
        <v>1.0000000499291899</v>
      </c>
    </row>
    <row r="1158" spans="1:40" x14ac:dyDescent="0.25">
      <c r="A1158" t="str">
        <f>"20190305135813253"</f>
        <v>20190305135813253</v>
      </c>
      <c r="B1158" t="str">
        <f>"1551765493249377"</f>
        <v>1551765493249377</v>
      </c>
      <c r="C1158" t="s">
        <v>40</v>
      </c>
      <c r="D1158">
        <v>4.0669599999999999</v>
      </c>
      <c r="E1158">
        <v>0.56942490000000001</v>
      </c>
      <c r="F1158" t="s">
        <v>50</v>
      </c>
      <c r="G1158">
        <v>-207.73509999999999</v>
      </c>
      <c r="H1158" s="1">
        <v>-5.5826459999999997E-6</v>
      </c>
      <c r="I1158">
        <v>362.8571</v>
      </c>
      <c r="J1158">
        <v>-220.87029999999999</v>
      </c>
      <c r="K1158">
        <v>1.1085590000000001</v>
      </c>
      <c r="L1158">
        <v>368.19959999999998</v>
      </c>
      <c r="M1158">
        <v>0.99977579999999999</v>
      </c>
      <c r="N1158">
        <v>-1.4344590000000001E-2</v>
      </c>
      <c r="O1158">
        <v>-1.558117E-2</v>
      </c>
      <c r="P1158">
        <v>0.9779544</v>
      </c>
      <c r="Q1158">
        <v>-6.2945660000000001E-2</v>
      </c>
      <c r="R1158">
        <v>-0.1991058</v>
      </c>
      <c r="S1158">
        <v>2.8227540000000002</v>
      </c>
      <c r="T1158">
        <v>-0.2347127</v>
      </c>
      <c r="U1158">
        <v>-1.1319269999999999</v>
      </c>
      <c r="V1158">
        <v>0.18371850000000001</v>
      </c>
      <c r="W1158">
        <v>-4.9332139999999997E-2</v>
      </c>
      <c r="X1158">
        <v>0.98174019999999995</v>
      </c>
      <c r="Y1158">
        <v>0.35645009999999999</v>
      </c>
      <c r="Z1158">
        <v>-1.5872509999999999E-2</v>
      </c>
      <c r="AA1158">
        <v>0.93417950000000005</v>
      </c>
      <c r="AB1158">
        <v>31</v>
      </c>
      <c r="AC1158">
        <v>13.1351999999999</v>
      </c>
      <c r="AD1158">
        <v>-1.108564582646</v>
      </c>
      <c r="AE1158">
        <v>-5.3424999999999701</v>
      </c>
      <c r="AF1158">
        <v>5.1059623716128604</v>
      </c>
      <c r="AG1158">
        <v>-1.108564582646</v>
      </c>
      <c r="AH1158">
        <v>13.1365692917792</v>
      </c>
      <c r="AI1158">
        <v>94.497350443444304</v>
      </c>
      <c r="AJ1158">
        <v>68.759737503917506</v>
      </c>
      <c r="AK1158">
        <v>14.1375110939635</v>
      </c>
      <c r="AL1158">
        <v>92.827671185780105</v>
      </c>
      <c r="AM1158">
        <v>79.400517885298299</v>
      </c>
      <c r="AN1158">
        <v>0.99999998378763399</v>
      </c>
    </row>
    <row r="1159" spans="1:40" x14ac:dyDescent="0.25">
      <c r="A1159" t="str">
        <f>"20190305135813271"</f>
        <v>20190305135813271</v>
      </c>
      <c r="B1159" t="str">
        <f>"1551765493260111"</f>
        <v>1551765493260111</v>
      </c>
      <c r="C1159" t="s">
        <v>40</v>
      </c>
      <c r="D1159">
        <v>4.0466170000000004</v>
      </c>
      <c r="E1159">
        <v>0.56984380000000001</v>
      </c>
      <c r="F1159" t="s">
        <v>50</v>
      </c>
      <c r="G1159">
        <v>-207.5506</v>
      </c>
      <c r="H1159" s="1">
        <v>-5.5292539999999997E-6</v>
      </c>
      <c r="I1159">
        <v>362.80340000000001</v>
      </c>
      <c r="J1159">
        <v>-220.61789999999999</v>
      </c>
      <c r="K1159">
        <v>1.108538</v>
      </c>
      <c r="L1159">
        <v>368.19459999999998</v>
      </c>
      <c r="M1159">
        <v>0.99975829999999999</v>
      </c>
      <c r="N1159">
        <v>-1.434243E-2</v>
      </c>
      <c r="O1159">
        <v>-1.6667930000000001E-2</v>
      </c>
      <c r="P1159">
        <v>0.97770369999999995</v>
      </c>
      <c r="Q1159">
        <v>-6.166166E-2</v>
      </c>
      <c r="R1159">
        <v>-0.20073289999999999</v>
      </c>
      <c r="S1159">
        <v>2.8199010000000002</v>
      </c>
      <c r="T1159">
        <v>-0.23469229999999999</v>
      </c>
      <c r="U1159">
        <v>-1.1424259999999999</v>
      </c>
      <c r="V1159">
        <v>0.1842829</v>
      </c>
      <c r="W1159">
        <v>-4.8065120000000003E-2</v>
      </c>
      <c r="X1159">
        <v>0.98169729999999999</v>
      </c>
      <c r="Y1159">
        <v>0.3587458</v>
      </c>
      <c r="Z1159">
        <v>-1.5913279999999998E-2</v>
      </c>
      <c r="AA1159">
        <v>0.93329969999999995</v>
      </c>
      <c r="AB1159">
        <v>31</v>
      </c>
      <c r="AC1159">
        <v>13.0672999999999</v>
      </c>
      <c r="AD1159">
        <v>-1.108543529254</v>
      </c>
      <c r="AE1159">
        <v>-5.3911999999999596</v>
      </c>
      <c r="AF1159">
        <v>5.1410070062259701</v>
      </c>
      <c r="AG1159">
        <v>-1.108543529254</v>
      </c>
      <c r="AH1159">
        <v>13.074944127675501</v>
      </c>
      <c r="AI1159">
        <v>94.511494490777494</v>
      </c>
      <c r="AJ1159">
        <v>68.535479471900103</v>
      </c>
      <c r="AK1159">
        <v>14.0930119469243</v>
      </c>
      <c r="AL1159">
        <v>92.754989957699394</v>
      </c>
      <c r="AM1159">
        <v>79.368242492279705</v>
      </c>
      <c r="AN1159">
        <v>1.0000000159101501</v>
      </c>
    </row>
    <row r="1160" spans="1:40" x14ac:dyDescent="0.25">
      <c r="A1160" t="str">
        <f>"20190305135813294"</f>
        <v>20190305135813294</v>
      </c>
      <c r="B1160" t="str">
        <f>"1551765493289392"</f>
        <v>1551765493289392</v>
      </c>
      <c r="C1160" t="s">
        <v>40</v>
      </c>
      <c r="D1160">
        <v>4.0928959999999996</v>
      </c>
      <c r="E1160">
        <v>0.5713298</v>
      </c>
      <c r="F1160" t="s">
        <v>50</v>
      </c>
      <c r="G1160">
        <v>-207.11070000000001</v>
      </c>
      <c r="H1160" s="1">
        <v>-5.4014079999999999E-6</v>
      </c>
      <c r="I1160">
        <v>362.67919999999998</v>
      </c>
      <c r="J1160">
        <v>-220.3049</v>
      </c>
      <c r="K1160">
        <v>1.1085259999999999</v>
      </c>
      <c r="L1160">
        <v>368.18790000000001</v>
      </c>
      <c r="M1160">
        <v>0.99973449999999997</v>
      </c>
      <c r="N1160">
        <v>-1.4339609999999999E-2</v>
      </c>
      <c r="O1160">
        <v>-1.804329E-2</v>
      </c>
      <c r="P1160">
        <v>0.97739980000000004</v>
      </c>
      <c r="Q1160">
        <v>-5.9962029999999999E-2</v>
      </c>
      <c r="R1160">
        <v>-0.2027177</v>
      </c>
      <c r="S1160">
        <v>2.817612</v>
      </c>
      <c r="T1160">
        <v>-0.23124339999999999</v>
      </c>
      <c r="U1160">
        <v>-1.1505129999999999</v>
      </c>
      <c r="V1160">
        <v>0.18492430000000001</v>
      </c>
      <c r="W1160">
        <v>-4.6383689999999998E-2</v>
      </c>
      <c r="X1160">
        <v>0.98165760000000002</v>
      </c>
      <c r="Y1160">
        <v>0.36005490000000001</v>
      </c>
      <c r="Z1160">
        <v>-1.5698429999999999E-2</v>
      </c>
      <c r="AA1160">
        <v>0.93279900000000004</v>
      </c>
      <c r="AB1160">
        <v>31</v>
      </c>
      <c r="AC1160">
        <v>13.194199999999899</v>
      </c>
      <c r="AD1160">
        <v>-1.1085314014079899</v>
      </c>
      <c r="AE1160">
        <v>-5.5087000000000304</v>
      </c>
      <c r="AF1160">
        <v>5.2382249168581803</v>
      </c>
      <c r="AG1160">
        <v>-1.1085314014079899</v>
      </c>
      <c r="AH1160">
        <v>13.212039535534</v>
      </c>
      <c r="AI1160">
        <v>94.459845618295503</v>
      </c>
      <c r="AJ1160">
        <v>68.372981058939104</v>
      </c>
      <c r="AK1160">
        <v>14.255729754593901</v>
      </c>
      <c r="AL1160">
        <v>92.658543426957195</v>
      </c>
      <c r="AM1160">
        <v>79.331664817132705</v>
      </c>
      <c r="AN1160">
        <v>1.00000004353313</v>
      </c>
    </row>
    <row r="1161" spans="1:40" x14ac:dyDescent="0.25">
      <c r="A1161" t="str">
        <f>"20190305135813308"</f>
        <v>20190305135813308</v>
      </c>
      <c r="B1161" t="str">
        <f>"1551765493300128"</f>
        <v>1551765493300128</v>
      </c>
      <c r="C1161" t="s">
        <v>40</v>
      </c>
      <c r="D1161">
        <v>4.0857599999999996</v>
      </c>
      <c r="E1161">
        <v>0.57167800000000002</v>
      </c>
      <c r="F1161" t="s">
        <v>50</v>
      </c>
      <c r="G1161">
        <v>-205.7379</v>
      </c>
      <c r="H1161" s="1">
        <v>-4.9550769999999998E-6</v>
      </c>
      <c r="I1161">
        <v>362.14569999999998</v>
      </c>
      <c r="J1161">
        <v>-220.1035</v>
      </c>
      <c r="K1161">
        <v>1.1085119999999999</v>
      </c>
      <c r="L1161">
        <v>368.18340000000001</v>
      </c>
      <c r="M1161">
        <v>0.99971779999999999</v>
      </c>
      <c r="N1161">
        <v>-1.433778E-2</v>
      </c>
      <c r="O1161">
        <v>-1.8946870000000001E-2</v>
      </c>
      <c r="P1161">
        <v>0.97712180000000004</v>
      </c>
      <c r="Q1161">
        <v>-5.9271160000000003E-2</v>
      </c>
      <c r="R1161">
        <v>-0.20425499999999999</v>
      </c>
      <c r="S1161">
        <v>2.814117</v>
      </c>
      <c r="T1161">
        <v>-0.21415039999999999</v>
      </c>
      <c r="U1161">
        <v>-1.1672670000000001</v>
      </c>
      <c r="V1161">
        <v>0.18557979999999999</v>
      </c>
      <c r="W1161">
        <v>-4.5706009999999998E-2</v>
      </c>
      <c r="X1161">
        <v>0.98156569999999999</v>
      </c>
      <c r="Y1161">
        <v>0.36450640000000001</v>
      </c>
      <c r="Z1161">
        <v>-1.4902230000000001E-2</v>
      </c>
      <c r="AA1161">
        <v>0.93108170000000001</v>
      </c>
      <c r="AB1161">
        <v>31</v>
      </c>
      <c r="AC1161">
        <v>14.365600000000001</v>
      </c>
      <c r="AD1161">
        <v>-1.108516955077</v>
      </c>
      <c r="AE1161">
        <v>-6.0377000000000196</v>
      </c>
      <c r="AF1161">
        <v>5.7353810193589903</v>
      </c>
      <c r="AG1161">
        <v>-1.108516955077</v>
      </c>
      <c r="AH1161">
        <v>14.4045339942656</v>
      </c>
      <c r="AI1161">
        <v>94.089523745527003</v>
      </c>
      <c r="AJ1161">
        <v>68.289284708364505</v>
      </c>
      <c r="AK1161">
        <v>15.5439378816589</v>
      </c>
      <c r="AL1161">
        <v>92.619673948456395</v>
      </c>
      <c r="AM1161">
        <v>79.293742206702206</v>
      </c>
      <c r="AN1161">
        <v>1.00000006246732</v>
      </c>
    </row>
    <row r="1162" spans="1:40" x14ac:dyDescent="0.25">
      <c r="A1162" t="str">
        <f>"20190305135813328"</f>
        <v>20190305135813328</v>
      </c>
      <c r="B1162" t="str">
        <f>"1551765493319648"</f>
        <v>1551765493319648</v>
      </c>
      <c r="C1162" t="s">
        <v>40</v>
      </c>
      <c r="D1162">
        <v>4.1235239999999997</v>
      </c>
      <c r="E1162">
        <v>0.5801946</v>
      </c>
      <c r="F1162" t="s">
        <v>50</v>
      </c>
      <c r="G1162">
        <v>-205.0215</v>
      </c>
      <c r="H1162" s="1">
        <v>-4.678984E-6</v>
      </c>
      <c r="I1162">
        <v>361.88589999999999</v>
      </c>
      <c r="J1162">
        <v>-219.83879999999999</v>
      </c>
      <c r="K1162">
        <v>1.1084959999999999</v>
      </c>
      <c r="L1162">
        <v>368.1771</v>
      </c>
      <c r="M1162">
        <v>0.99969419999999998</v>
      </c>
      <c r="N1162">
        <v>-1.433543E-2</v>
      </c>
      <c r="O1162">
        <v>-2.01566E-2</v>
      </c>
      <c r="P1162">
        <v>0.97660069999999999</v>
      </c>
      <c r="Q1162">
        <v>-5.7920289999999999E-2</v>
      </c>
      <c r="R1162">
        <v>-0.2071151</v>
      </c>
      <c r="S1162">
        <v>2.8122560000000001</v>
      </c>
      <c r="T1162">
        <v>-0.2066983</v>
      </c>
      <c r="U1162">
        <v>-1.1742549999999901</v>
      </c>
      <c r="V1162">
        <v>0.1872634</v>
      </c>
      <c r="W1162">
        <v>-4.4377739999999999E-2</v>
      </c>
      <c r="X1162">
        <v>0.98130680000000003</v>
      </c>
      <c r="Y1162">
        <v>0.36563380000000001</v>
      </c>
      <c r="Z1162">
        <v>-1.447036E-2</v>
      </c>
      <c r="AA1162">
        <v>0.93064630000000004</v>
      </c>
      <c r="AB1162">
        <v>31</v>
      </c>
      <c r="AC1162">
        <v>14.8172999999999</v>
      </c>
      <c r="AD1162">
        <v>-1.108500678984</v>
      </c>
      <c r="AE1162">
        <v>-6.2911999999999999</v>
      </c>
      <c r="AF1162">
        <v>5.9629488916998996</v>
      </c>
      <c r="AG1162">
        <v>-1.108500678984</v>
      </c>
      <c r="AH1162">
        <v>14.8705964911212</v>
      </c>
      <c r="AI1162">
        <v>93.957868726543694</v>
      </c>
      <c r="AJ1162">
        <v>68.149746716255905</v>
      </c>
      <c r="AK1162">
        <v>16.0598933135335</v>
      </c>
      <c r="AL1162">
        <v>92.543492524154104</v>
      </c>
      <c r="AM1162">
        <v>79.196106230161803</v>
      </c>
      <c r="AN1162">
        <v>1.00000000025665</v>
      </c>
    </row>
    <row r="1163" spans="1:40" x14ac:dyDescent="0.25">
      <c r="A1163" t="str">
        <f>"20190305135813342"</f>
        <v>20190305135813342</v>
      </c>
      <c r="B1163" t="str">
        <f>"1551765493330384"</f>
        <v>1551765493330384</v>
      </c>
      <c r="C1163" t="s">
        <v>40</v>
      </c>
      <c r="D1163">
        <v>4.0928240000000002</v>
      </c>
      <c r="E1163">
        <v>0.5793973</v>
      </c>
      <c r="F1163" t="s">
        <v>50</v>
      </c>
      <c r="G1163">
        <v>-193.14769999999999</v>
      </c>
      <c r="H1163" s="1">
        <v>-4.4510939999999999E-6</v>
      </c>
      <c r="I1163">
        <v>356.30700000000002</v>
      </c>
      <c r="J1163">
        <v>-219.65450000000001</v>
      </c>
      <c r="K1163">
        <v>1.1084769999999999</v>
      </c>
      <c r="L1163">
        <v>368.17250000000001</v>
      </c>
      <c r="M1163">
        <v>0.99967649999999997</v>
      </c>
      <c r="N1163">
        <v>-1.433387E-2</v>
      </c>
      <c r="O1163">
        <v>-2.101397E-2</v>
      </c>
      <c r="P1163">
        <v>0.97626710000000005</v>
      </c>
      <c r="Q1163">
        <v>-5.7367679999999997E-2</v>
      </c>
      <c r="R1163">
        <v>-0.20883389999999999</v>
      </c>
      <c r="S1163">
        <v>2.8008120000000001</v>
      </c>
      <c r="T1163">
        <v>-0.11631950000000001</v>
      </c>
      <c r="U1163">
        <v>-1.2455750000000001</v>
      </c>
      <c r="V1163">
        <v>0.18814710000000001</v>
      </c>
      <c r="W1163">
        <v>-4.3840579999999997E-2</v>
      </c>
      <c r="X1163">
        <v>0.98116190000000003</v>
      </c>
      <c r="Y1163">
        <v>0.38667259999999998</v>
      </c>
      <c r="Z1163">
        <v>-1.001811E-2</v>
      </c>
      <c r="AA1163">
        <v>0.9221627</v>
      </c>
      <c r="AB1163">
        <v>31</v>
      </c>
      <c r="AC1163">
        <v>26.506799999999998</v>
      </c>
      <c r="AD1163">
        <v>-1.108481451094</v>
      </c>
      <c r="AE1163">
        <v>-11.865500000000001</v>
      </c>
      <c r="AF1163">
        <v>11.289361843768701</v>
      </c>
      <c r="AG1163">
        <v>-1.108481451094</v>
      </c>
      <c r="AH1163">
        <v>26.711397254997699</v>
      </c>
      <c r="AI1163">
        <v>92.189046533820502</v>
      </c>
      <c r="AJ1163">
        <v>67.089032550113004</v>
      </c>
      <c r="AK1163">
        <v>29.020288855923798</v>
      </c>
      <c r="AL1163">
        <v>92.512685537464293</v>
      </c>
      <c r="AM1163">
        <v>79.144765839424196</v>
      </c>
      <c r="AN1163">
        <v>1.00000000085237</v>
      </c>
    </row>
    <row r="1164" spans="1:40" x14ac:dyDescent="0.25">
      <c r="A1164" t="str">
        <f>"20190305135813356"</f>
        <v>20190305135813356</v>
      </c>
      <c r="B1164" t="str">
        <f>"1551765493349905"</f>
        <v>1551765493349905</v>
      </c>
      <c r="C1164" t="s">
        <v>40</v>
      </c>
      <c r="D1164">
        <v>4.0449099999999998</v>
      </c>
      <c r="E1164">
        <v>0.57978209999999997</v>
      </c>
      <c r="F1164" t="s">
        <v>50</v>
      </c>
      <c r="G1164">
        <v>-199.31219999999999</v>
      </c>
      <c r="H1164" s="1">
        <v>-6.5784999999999998E-6</v>
      </c>
      <c r="I1164">
        <v>359.11279999999999</v>
      </c>
      <c r="J1164">
        <v>-219.44380000000001</v>
      </c>
      <c r="K1164">
        <v>1.108455</v>
      </c>
      <c r="L1164">
        <v>368.1671</v>
      </c>
      <c r="M1164">
        <v>0.99965490000000001</v>
      </c>
      <c r="N1164">
        <v>-1.433219E-2</v>
      </c>
      <c r="O1164">
        <v>-2.2014740000000001E-2</v>
      </c>
      <c r="P1164">
        <v>0.97583869999999895</v>
      </c>
      <c r="Q1164">
        <v>-5.710751E-2</v>
      </c>
      <c r="R1164">
        <v>-0.21089840000000001</v>
      </c>
      <c r="S1164">
        <v>2.7974549999999998</v>
      </c>
      <c r="T1164">
        <v>-0.152437299999999</v>
      </c>
      <c r="U1164">
        <v>-1.2458800000000001</v>
      </c>
      <c r="V1164">
        <v>0.18923680000000001</v>
      </c>
      <c r="W1164">
        <v>-4.3599989999999998E-2</v>
      </c>
      <c r="X1164">
        <v>0.98096309999999998</v>
      </c>
      <c r="Y1164">
        <v>0.38601930000000001</v>
      </c>
      <c r="Z1164">
        <v>-1.208744E-2</v>
      </c>
      <c r="AA1164">
        <v>0.92241150000000005</v>
      </c>
      <c r="AB1164">
        <v>31</v>
      </c>
      <c r="AC1164">
        <v>20.131599999999999</v>
      </c>
      <c r="AD1164">
        <v>-1.1084615785</v>
      </c>
      <c r="AE1164">
        <v>-9.0543000000000102</v>
      </c>
      <c r="AF1164">
        <v>8.5872140748136001</v>
      </c>
      <c r="AG1164">
        <v>-1.1084615785</v>
      </c>
      <c r="AH1164">
        <v>20.274942935103301</v>
      </c>
      <c r="AI1164">
        <v>92.881969740371304</v>
      </c>
      <c r="AJ1164">
        <v>67.045483550319403</v>
      </c>
      <c r="AK1164">
        <v>22.046365769881099</v>
      </c>
      <c r="AL1164">
        <v>92.498887393016602</v>
      </c>
      <c r="AM1164">
        <v>79.081242285627795</v>
      </c>
      <c r="AN1164">
        <v>1.00000006458192</v>
      </c>
    </row>
    <row r="1165" spans="1:40" x14ac:dyDescent="0.25">
      <c r="A1165" t="str">
        <f>"20190305135813371"</f>
        <v>20190305135813371</v>
      </c>
      <c r="B1165" t="str">
        <f>"1551765493359664"</f>
        <v>1551765493359664</v>
      </c>
      <c r="C1165" t="s">
        <v>40</v>
      </c>
      <c r="D1165">
        <v>4.0213380000000001</v>
      </c>
      <c r="E1165">
        <v>0.58027209999999996</v>
      </c>
      <c r="F1165" t="s">
        <v>50</v>
      </c>
      <c r="G1165">
        <v>-201.94200000000001</v>
      </c>
      <c r="H1165" s="1">
        <v>-3.4824739999999998E-6</v>
      </c>
      <c r="I1165">
        <v>360.29680000000002</v>
      </c>
      <c r="J1165">
        <v>-219.24440000000001</v>
      </c>
      <c r="K1165">
        <v>1.1084259999999999</v>
      </c>
      <c r="L1165">
        <v>368.1617</v>
      </c>
      <c r="M1165">
        <v>0.99963299999999999</v>
      </c>
      <c r="N1165">
        <v>-1.433068E-2</v>
      </c>
      <c r="O1165">
        <v>-2.299089E-2</v>
      </c>
      <c r="P1165">
        <v>0.97537269999999998</v>
      </c>
      <c r="Q1165">
        <v>-5.6807749999999997E-2</v>
      </c>
      <c r="R1165">
        <v>-0.2131226</v>
      </c>
      <c r="S1165">
        <v>2.792557</v>
      </c>
      <c r="T1165">
        <v>-0.176864299999999</v>
      </c>
      <c r="U1165">
        <v>-1.255768</v>
      </c>
      <c r="V1165">
        <v>0.19051180000000001</v>
      </c>
      <c r="W1165">
        <v>-4.3321970000000001E-2</v>
      </c>
      <c r="X1165">
        <v>0.9807285</v>
      </c>
      <c r="Y1165">
        <v>0.38825320000000002</v>
      </c>
      <c r="Z1165">
        <v>-1.356048E-2</v>
      </c>
      <c r="AA1165">
        <v>0.92145290000000002</v>
      </c>
      <c r="AB1165">
        <v>31</v>
      </c>
      <c r="AC1165">
        <v>17.302399999999999</v>
      </c>
      <c r="AD1165">
        <v>-1.108429482474</v>
      </c>
      <c r="AE1165">
        <v>-7.8648999999999702</v>
      </c>
      <c r="AF1165">
        <v>7.4396784032249297</v>
      </c>
      <c r="AG1165">
        <v>-1.108429482474</v>
      </c>
      <c r="AH1165">
        <v>17.419418213620101</v>
      </c>
      <c r="AI1165">
        <v>93.349026619454705</v>
      </c>
      <c r="AJ1165">
        <v>66.873103492392502</v>
      </c>
      <c r="AK1165">
        <v>18.974023336183301</v>
      </c>
      <c r="AL1165">
        <v>92.482943203617594</v>
      </c>
      <c r="AM1165">
        <v>79.006896761051905</v>
      </c>
      <c r="AN1165">
        <v>0.99999996486808396</v>
      </c>
    </row>
    <row r="1166" spans="1:40" x14ac:dyDescent="0.25">
      <c r="A1166" t="str">
        <f>"20190305135813385"</f>
        <v>20190305135813385</v>
      </c>
      <c r="B1166" t="str">
        <f>"1551765493380161"</f>
        <v>1551765493380161</v>
      </c>
      <c r="C1166" t="s">
        <v>40</v>
      </c>
      <c r="D1166">
        <v>4.0808809999999998</v>
      </c>
      <c r="E1166">
        <v>0.58060919999999905</v>
      </c>
      <c r="F1166" t="s">
        <v>50</v>
      </c>
      <c r="G1166">
        <v>-202.75460000000001</v>
      </c>
      <c r="H1166" s="1">
        <v>-3.8081789999999999E-6</v>
      </c>
      <c r="I1166">
        <v>360.6721</v>
      </c>
      <c r="J1166">
        <v>-219.0599</v>
      </c>
      <c r="K1166">
        <v>1.108393</v>
      </c>
      <c r="L1166">
        <v>368.15649999999999</v>
      </c>
      <c r="M1166">
        <v>0.99961129999999998</v>
      </c>
      <c r="N1166">
        <v>-1.4329359999999999E-2</v>
      </c>
      <c r="O1166">
        <v>-2.3919889999999999E-2</v>
      </c>
      <c r="P1166">
        <v>0.97457720000000003</v>
      </c>
      <c r="Q1166">
        <v>-5.6667509999999997E-2</v>
      </c>
      <c r="R1166">
        <v>-0.21676860000000001</v>
      </c>
      <c r="S1166">
        <v>2.7881320000000001</v>
      </c>
      <c r="T1166">
        <v>-0.18741630000000001</v>
      </c>
      <c r="U1166">
        <v>-1.266357</v>
      </c>
      <c r="V1166">
        <v>0.19326199999999999</v>
      </c>
      <c r="W1166">
        <v>-4.3213429999999997E-2</v>
      </c>
      <c r="X1166">
        <v>0.98019509999999999</v>
      </c>
      <c r="Y1166">
        <v>0.39075670000000001</v>
      </c>
      <c r="Z1166">
        <v>-1.423787E-2</v>
      </c>
      <c r="AA1166">
        <v>0.92038390000000003</v>
      </c>
      <c r="AB1166">
        <v>31</v>
      </c>
      <c r="AC1166">
        <v>16.3052999999999</v>
      </c>
      <c r="AD1166">
        <v>-1.1083968081790001</v>
      </c>
      <c r="AE1166">
        <v>-7.4843999999999902</v>
      </c>
      <c r="AF1166">
        <v>7.0652306560087101</v>
      </c>
      <c r="AG1166">
        <v>-1.1083968081790001</v>
      </c>
      <c r="AH1166">
        <v>16.417017886104301</v>
      </c>
      <c r="AI1166">
        <v>93.548707135239098</v>
      </c>
      <c r="AJ1166">
        <v>66.714881324117499</v>
      </c>
      <c r="AK1166">
        <v>17.907107638578999</v>
      </c>
      <c r="AL1166">
        <v>92.476718359400195</v>
      </c>
      <c r="AM1166">
        <v>78.846235285731396</v>
      </c>
      <c r="AN1166">
        <v>1.00000001762018</v>
      </c>
    </row>
    <row r="1167" spans="1:40" x14ac:dyDescent="0.25">
      <c r="A1167" t="str">
        <f>"20190305135813400"</f>
        <v>20190305135813400</v>
      </c>
      <c r="B1167" t="str">
        <f>"1551765493389920"</f>
        <v>1551765493389920</v>
      </c>
      <c r="C1167" t="s">
        <v>40</v>
      </c>
      <c r="D1167">
        <v>4.0740889999999998</v>
      </c>
      <c r="E1167">
        <v>0.58081079999999996</v>
      </c>
      <c r="F1167" t="s">
        <v>50</v>
      </c>
      <c r="G1167">
        <v>-203.9341</v>
      </c>
      <c r="H1167" s="1">
        <v>-4.2855489999999998E-6</v>
      </c>
      <c r="I1167">
        <v>361.19589999999999</v>
      </c>
      <c r="J1167">
        <v>-218.8494</v>
      </c>
      <c r="K1167">
        <v>1.108355</v>
      </c>
      <c r="L1167">
        <v>368.15030000000002</v>
      </c>
      <c r="M1167">
        <v>0.99958440000000004</v>
      </c>
      <c r="N1167">
        <v>-1.4327960000000001E-2</v>
      </c>
      <c r="O1167">
        <v>-2.5015659999999999E-2</v>
      </c>
      <c r="P1167">
        <v>0.97394270000000005</v>
      </c>
      <c r="Q1167">
        <v>-5.6733329999999998E-2</v>
      </c>
      <c r="R1167">
        <v>-0.219584</v>
      </c>
      <c r="S1167">
        <v>2.7817080000000001</v>
      </c>
      <c r="T1167">
        <v>-0.2038393</v>
      </c>
      <c r="U1167">
        <v>-1.28009</v>
      </c>
      <c r="V1167">
        <v>0.19501389999999999</v>
      </c>
      <c r="W1167">
        <v>-4.3310880000000003E-2</v>
      </c>
      <c r="X1167">
        <v>0.97984369999999998</v>
      </c>
      <c r="Y1167">
        <v>0.39415020000000001</v>
      </c>
      <c r="Z1167">
        <v>-1.5296540000000001E-2</v>
      </c>
      <c r="AA1167">
        <v>0.91891869999999998</v>
      </c>
      <c r="AB1167">
        <v>31</v>
      </c>
      <c r="AC1167">
        <v>14.9153</v>
      </c>
      <c r="AD1167">
        <v>-1.1083592855490001</v>
      </c>
      <c r="AE1167">
        <v>-6.9544000000000201</v>
      </c>
      <c r="AF1167">
        <v>6.5493615439444799</v>
      </c>
      <c r="AG1167">
        <v>-1.1083592855490001</v>
      </c>
      <c r="AH1167">
        <v>15.016504661131499</v>
      </c>
      <c r="AI1167">
        <v>93.870428918571207</v>
      </c>
      <c r="AJ1167">
        <v>66.4358559170809</v>
      </c>
      <c r="AK1167">
        <v>16.420049000442901</v>
      </c>
      <c r="AL1167">
        <v>92.482307196181495</v>
      </c>
      <c r="AM1167">
        <v>78.743763825832005</v>
      </c>
      <c r="AN1167">
        <v>0.99999996497463595</v>
      </c>
    </row>
    <row r="1168" spans="1:40" x14ac:dyDescent="0.25">
      <c r="A1168" t="str">
        <f>"20190305135813415"</f>
        <v>20190305135813415</v>
      </c>
      <c r="B1168" t="str">
        <f>"1551765493409439"</f>
        <v>1551765493409439</v>
      </c>
      <c r="C1168" t="s">
        <v>40</v>
      </c>
      <c r="D1168">
        <v>4.0486430000000002</v>
      </c>
      <c r="E1168">
        <v>0.5811113</v>
      </c>
      <c r="F1168" t="s">
        <v>50</v>
      </c>
      <c r="G1168">
        <v>-204.17449999999999</v>
      </c>
      <c r="H1168" s="1">
        <v>-4.3756120000000004E-6</v>
      </c>
      <c r="I1168">
        <v>361.33539999999999</v>
      </c>
      <c r="J1168">
        <v>-218.6405</v>
      </c>
      <c r="K1168">
        <v>1.1083050000000001</v>
      </c>
      <c r="L1168">
        <v>368.14400000000001</v>
      </c>
      <c r="M1168">
        <v>0.99955519999999998</v>
      </c>
      <c r="N1168">
        <v>-1.432694E-2</v>
      </c>
      <c r="O1168">
        <v>-2.6158319999999999E-2</v>
      </c>
      <c r="P1168">
        <v>0.97322299999999995</v>
      </c>
      <c r="Q1168">
        <v>-5.6616310000000003E-2</v>
      </c>
      <c r="R1168">
        <v>-0.2227826</v>
      </c>
      <c r="S1168">
        <v>2.777237</v>
      </c>
      <c r="T1168">
        <v>-0.20975830000000001</v>
      </c>
      <c r="U1168">
        <v>-1.2897339999999999</v>
      </c>
      <c r="V1168">
        <v>0.1971058</v>
      </c>
      <c r="W1168">
        <v>-4.3231079999999998E-2</v>
      </c>
      <c r="X1168">
        <v>0.97942859999999998</v>
      </c>
      <c r="Y1168">
        <v>0.39622930000000001</v>
      </c>
      <c r="Z1168">
        <v>-1.5679430000000001E-2</v>
      </c>
      <c r="AA1168">
        <v>0.91801770000000005</v>
      </c>
      <c r="AB1168">
        <v>31</v>
      </c>
      <c r="AC1168">
        <v>14.465999999999999</v>
      </c>
      <c r="AD1168">
        <v>-1.1083093756119999</v>
      </c>
      <c r="AE1168">
        <v>-6.80860000000001</v>
      </c>
      <c r="AF1168">
        <v>6.3970845082166203</v>
      </c>
      <c r="AG1168">
        <v>-1.1083093756119999</v>
      </c>
      <c r="AH1168">
        <v>14.569159053232701</v>
      </c>
      <c r="AI1168">
        <v>93.984422855218298</v>
      </c>
      <c r="AJ1168">
        <v>66.294491051223403</v>
      </c>
      <c r="AK1168">
        <v>15.9502801039896</v>
      </c>
      <c r="AL1168">
        <v>92.477730613102494</v>
      </c>
      <c r="AM1168">
        <v>78.621455445968095</v>
      </c>
      <c r="AN1168">
        <v>1.0000000025847799</v>
      </c>
    </row>
    <row r="1169" spans="1:40" x14ac:dyDescent="0.25">
      <c r="A1169" t="str">
        <f>"20190305135813429"</f>
        <v>20190305135813429</v>
      </c>
      <c r="B1169" t="str">
        <f>"1551765493420175"</f>
        <v>1551765493420175</v>
      </c>
      <c r="C1169" t="s">
        <v>40</v>
      </c>
      <c r="D1169">
        <v>4.0905040000000001</v>
      </c>
      <c r="E1169">
        <v>0.58123549999999902</v>
      </c>
      <c r="F1169" t="s">
        <v>50</v>
      </c>
      <c r="G1169">
        <v>-204.31630000000001</v>
      </c>
      <c r="H1169" s="1">
        <v>-4.4280370000000002E-6</v>
      </c>
      <c r="I1169">
        <v>361.42079999999999</v>
      </c>
      <c r="J1169">
        <v>-218.44399999999999</v>
      </c>
      <c r="K1169">
        <v>1.1082479999999999</v>
      </c>
      <c r="L1169">
        <v>368.1377</v>
      </c>
      <c r="M1169">
        <v>0.99952510000000006</v>
      </c>
      <c r="N1169">
        <v>-1.432632E-2</v>
      </c>
      <c r="O1169">
        <v>-2.7281960000000001E-2</v>
      </c>
      <c r="P1169">
        <v>0.9722151</v>
      </c>
      <c r="Q1169">
        <v>-5.7398320000000003E-2</v>
      </c>
      <c r="R1169">
        <v>-0.2269437</v>
      </c>
      <c r="S1169">
        <v>2.7722020000000001</v>
      </c>
      <c r="T1169">
        <v>-0.21449399999999999</v>
      </c>
      <c r="U1169">
        <v>-1.3011469999999901</v>
      </c>
      <c r="V1169">
        <v>0.20018440000000001</v>
      </c>
      <c r="W1169">
        <v>-4.4058430000000003E-2</v>
      </c>
      <c r="X1169">
        <v>0.9787671</v>
      </c>
      <c r="Y1169">
        <v>0.39888299999999999</v>
      </c>
      <c r="Z1169">
        <v>-1.6020550000000001E-2</v>
      </c>
      <c r="AA1169">
        <v>0.91686190000000001</v>
      </c>
      <c r="AB1169">
        <v>31</v>
      </c>
      <c r="AC1169">
        <v>14.127700000000001</v>
      </c>
      <c r="AD1169">
        <v>-1.1082524280370001</v>
      </c>
      <c r="AE1169">
        <v>-6.7169000000000096</v>
      </c>
      <c r="AF1169">
        <v>6.29732135175216</v>
      </c>
      <c r="AG1169">
        <v>-1.1082524280370001</v>
      </c>
      <c r="AH1169">
        <v>14.2342657216743</v>
      </c>
      <c r="AI1169">
        <v>94.0726650117509</v>
      </c>
      <c r="AJ1169">
        <v>66.135124804483297</v>
      </c>
      <c r="AK1169">
        <v>15.604448092986701</v>
      </c>
      <c r="AL1169">
        <v>92.525179528646305</v>
      </c>
      <c r="AM1169">
        <v>78.440878420544706</v>
      </c>
      <c r="AN1169">
        <v>0.99999998764991704</v>
      </c>
    </row>
    <row r="1170" spans="1:40" x14ac:dyDescent="0.25">
      <c r="A1170" t="str">
        <f>"20190305135813451"</f>
        <v>20190305135813451</v>
      </c>
      <c r="B1170" t="str">
        <f>"1551765493439696"</f>
        <v>1551765493439696</v>
      </c>
      <c r="C1170" t="s">
        <v>40</v>
      </c>
      <c r="D1170">
        <v>4.0385470000000003</v>
      </c>
      <c r="E1170">
        <v>0.58159300000000003</v>
      </c>
      <c r="F1170" t="s">
        <v>50</v>
      </c>
      <c r="G1170">
        <v>-204.52289999999999</v>
      </c>
      <c r="H1170" s="1">
        <v>-4.5092479999999996E-6</v>
      </c>
      <c r="I1170">
        <v>361.52339999999998</v>
      </c>
      <c r="J1170">
        <v>-218.15260000000001</v>
      </c>
      <c r="K1170">
        <v>1.108158</v>
      </c>
      <c r="L1170">
        <v>368.12790000000001</v>
      </c>
      <c r="M1170">
        <v>0.99947569999999997</v>
      </c>
      <c r="N1170">
        <v>-1.432572E-2</v>
      </c>
      <c r="O1170">
        <v>-2.9042729999999999E-2</v>
      </c>
      <c r="P1170">
        <v>0.97119999999999995</v>
      </c>
      <c r="Q1170">
        <v>-5.920363E-2</v>
      </c>
      <c r="R1170">
        <v>-0.23079440000000001</v>
      </c>
      <c r="S1170">
        <v>2.7659609999999999</v>
      </c>
      <c r="T1170">
        <v>-0.220197</v>
      </c>
      <c r="U1170">
        <v>-1.3141780000000001</v>
      </c>
      <c r="V1170">
        <v>0.20232359999999999</v>
      </c>
      <c r="W1170">
        <v>-4.5922909999999997E-2</v>
      </c>
      <c r="X1170">
        <v>0.97824140000000004</v>
      </c>
      <c r="Y1170">
        <v>0.40153050000000001</v>
      </c>
      <c r="Z1170">
        <v>-1.638419E-2</v>
      </c>
      <c r="AA1170">
        <v>0.91569909999999999</v>
      </c>
      <c r="AB1170">
        <v>31</v>
      </c>
      <c r="AC1170">
        <v>13.6297</v>
      </c>
      <c r="AD1170">
        <v>-1.1081625092479901</v>
      </c>
      <c r="AE1170">
        <v>-6.60450000000003</v>
      </c>
      <c r="AF1170">
        <v>6.17278335867839</v>
      </c>
      <c r="AG1170">
        <v>-1.1081625092479901</v>
      </c>
      <c r="AH1170">
        <v>13.7422131553438</v>
      </c>
      <c r="AI1170">
        <v>94.207052224019506</v>
      </c>
      <c r="AJ1170">
        <v>65.811142918868498</v>
      </c>
      <c r="AK1170">
        <v>15.1056181914871</v>
      </c>
      <c r="AL1170">
        <v>92.632114643666796</v>
      </c>
      <c r="AM1170">
        <v>78.314628347454999</v>
      </c>
      <c r="AN1170">
        <v>0.99999999472689405</v>
      </c>
    </row>
    <row r="1171" spans="1:40" x14ac:dyDescent="0.25">
      <c r="A1171" t="str">
        <f>"20190305135813472"</f>
        <v>20190305135813472</v>
      </c>
      <c r="B1171" t="str">
        <f>"1551765493469952"</f>
        <v>1551765493469952</v>
      </c>
      <c r="C1171" t="s">
        <v>40</v>
      </c>
      <c r="D1171">
        <v>4.0794459999999999</v>
      </c>
      <c r="E1171">
        <v>0.5821286</v>
      </c>
      <c r="F1171" t="s">
        <v>50</v>
      </c>
      <c r="G1171">
        <v>-204.82679999999999</v>
      </c>
      <c r="H1171" s="1">
        <v>-4.6203189999999999E-6</v>
      </c>
      <c r="I1171">
        <v>361.71230000000003</v>
      </c>
      <c r="J1171">
        <v>-217.85400000000001</v>
      </c>
      <c r="K1171">
        <v>1.1080540000000001</v>
      </c>
      <c r="L1171">
        <v>368.11709999999999</v>
      </c>
      <c r="M1171">
        <v>0.99941709999999995</v>
      </c>
      <c r="N1171">
        <v>-1.43257E-2</v>
      </c>
      <c r="O1171">
        <v>-3.0994460000000001E-2</v>
      </c>
      <c r="P1171">
        <v>0.97046270000000001</v>
      </c>
      <c r="Q1171">
        <v>-5.9396940000000002E-2</v>
      </c>
      <c r="R1171">
        <v>-0.2338269</v>
      </c>
      <c r="S1171">
        <v>2.759277</v>
      </c>
      <c r="T1171">
        <v>-0.22946040000000001</v>
      </c>
      <c r="U1171">
        <v>-1.32843</v>
      </c>
      <c r="V1171">
        <v>0.20345540000000001</v>
      </c>
      <c r="W1171">
        <v>-4.617744E-2</v>
      </c>
      <c r="X1171">
        <v>0.97799469999999999</v>
      </c>
      <c r="Y1171">
        <v>0.40434759999999997</v>
      </c>
      <c r="Z1171">
        <v>-1.6952160000000001E-2</v>
      </c>
      <c r="AA1171">
        <v>0.91444829999999999</v>
      </c>
      <c r="AB1171">
        <v>31</v>
      </c>
      <c r="AC1171">
        <v>13.027200000000001</v>
      </c>
      <c r="AD1171">
        <v>-1.1080586203189999</v>
      </c>
      <c r="AE1171">
        <v>-6.4047999999999599</v>
      </c>
      <c r="AF1171">
        <v>5.9631660473537904</v>
      </c>
      <c r="AG1171">
        <v>-1.1080586203189999</v>
      </c>
      <c r="AH1171">
        <v>13.1428977437689</v>
      </c>
      <c r="AI1171">
        <v>94.390304958132305</v>
      </c>
      <c r="AJ1171">
        <v>65.595360708123394</v>
      </c>
      <c r="AK1171">
        <v>14.4749060210262</v>
      </c>
      <c r="AL1171">
        <v>92.6467134943899</v>
      </c>
      <c r="AM1171">
        <v>78.248191253427905</v>
      </c>
      <c r="AN1171">
        <v>1.0000000444910999</v>
      </c>
    </row>
    <row r="1172" spans="1:40" x14ac:dyDescent="0.25">
      <c r="A1172" t="str">
        <f>"20190305135813486"</f>
        <v>20190305135813486</v>
      </c>
      <c r="B1172" t="str">
        <f>"1551765493479712"</f>
        <v>1551765493479712</v>
      </c>
      <c r="C1172" t="s">
        <v>40</v>
      </c>
      <c r="D1172">
        <v>4.0474220000000001</v>
      </c>
      <c r="E1172">
        <v>0.58230839999999995</v>
      </c>
      <c r="F1172" t="s">
        <v>50</v>
      </c>
      <c r="G1172">
        <v>-204.93989999999999</v>
      </c>
      <c r="H1172" s="1">
        <v>-4.651941E-6</v>
      </c>
      <c r="I1172">
        <v>361.82619999999997</v>
      </c>
      <c r="J1172">
        <v>-217.66909999999999</v>
      </c>
      <c r="K1172">
        <v>1.1079779999999999</v>
      </c>
      <c r="L1172">
        <v>368.11009999999999</v>
      </c>
      <c r="M1172">
        <v>0.99937600000000004</v>
      </c>
      <c r="N1172">
        <v>-1.4326149999999999E-2</v>
      </c>
      <c r="O1172">
        <v>-3.2291420000000001E-2</v>
      </c>
      <c r="P1172">
        <v>0.97000980000000003</v>
      </c>
      <c r="Q1172">
        <v>-5.8736910000000003E-2</v>
      </c>
      <c r="R1172">
        <v>-0.23586260000000001</v>
      </c>
      <c r="S1172">
        <v>2.7536619999999998</v>
      </c>
      <c r="T1172">
        <v>-0.23626920000000001</v>
      </c>
      <c r="U1172">
        <v>-1.3413999999999999</v>
      </c>
      <c r="V1172">
        <v>0.20423060000000001</v>
      </c>
      <c r="W1172">
        <v>-4.5559479999999999E-2</v>
      </c>
      <c r="X1172">
        <v>0.97786209999999996</v>
      </c>
      <c r="Y1172">
        <v>0.40729559999999998</v>
      </c>
      <c r="Z1172">
        <v>-1.7420680000000001E-2</v>
      </c>
      <c r="AA1172">
        <v>0.9131302</v>
      </c>
      <c r="AB1172">
        <v>31</v>
      </c>
      <c r="AC1172">
        <v>12.729199999999899</v>
      </c>
      <c r="AD1172">
        <v>-1.1079826519410001</v>
      </c>
      <c r="AE1172">
        <v>-6.2839000000000098</v>
      </c>
      <c r="AF1172">
        <v>5.8339964678065899</v>
      </c>
      <c r="AG1172">
        <v>-1.1079826519410001</v>
      </c>
      <c r="AH1172">
        <v>12.847233965416001</v>
      </c>
      <c r="AI1172">
        <v>94.489975055739095</v>
      </c>
      <c r="AJ1172">
        <v>65.576951454596099</v>
      </c>
      <c r="AK1172">
        <v>14.153252661685899</v>
      </c>
      <c r="AL1172">
        <v>92.611269688085201</v>
      </c>
      <c r="AM1172">
        <v>78.203112362402194</v>
      </c>
      <c r="AN1172">
        <v>1.00000004540531</v>
      </c>
    </row>
    <row r="1173" spans="1:40" x14ac:dyDescent="0.25">
      <c r="A1173" t="str">
        <f>"20190305135813500"</f>
        <v>20190305135813500</v>
      </c>
      <c r="B1173" t="str">
        <f>"1551765493489472"</f>
        <v>1551765493489472</v>
      </c>
      <c r="C1173" t="s">
        <v>40</v>
      </c>
      <c r="D1173">
        <v>4.0113339999999997</v>
      </c>
      <c r="E1173">
        <v>0.58253129999999997</v>
      </c>
      <c r="F1173" t="s">
        <v>50</v>
      </c>
      <c r="G1173">
        <v>-204.751</v>
      </c>
      <c r="H1173" s="1">
        <v>-4.5681210000000003E-6</v>
      </c>
      <c r="I1173">
        <v>361.7756</v>
      </c>
      <c r="J1173">
        <v>-217.48679999999999</v>
      </c>
      <c r="K1173">
        <v>1.107904</v>
      </c>
      <c r="L1173">
        <v>368.10289999999998</v>
      </c>
      <c r="M1173">
        <v>0.99933209999999995</v>
      </c>
      <c r="N1173">
        <v>-1.4326770000000001E-2</v>
      </c>
      <c r="O1173">
        <v>-3.3620190000000001E-2</v>
      </c>
      <c r="P1173">
        <v>0.96955559999999996</v>
      </c>
      <c r="Q1173">
        <v>-5.828796E-2</v>
      </c>
      <c r="R1173">
        <v>-0.23783380000000001</v>
      </c>
      <c r="S1173">
        <v>2.750534</v>
      </c>
      <c r="T1173">
        <v>-0.23591329999999999</v>
      </c>
      <c r="U1173">
        <v>-1.3487549999999999</v>
      </c>
      <c r="V1173">
        <v>0.2049096</v>
      </c>
      <c r="W1173">
        <v>-4.515396E-2</v>
      </c>
      <c r="X1173">
        <v>0.97773880000000002</v>
      </c>
      <c r="Y1173">
        <v>0.40846250000000001</v>
      </c>
      <c r="Z1173">
        <v>-1.7374959999999998E-2</v>
      </c>
      <c r="AA1173">
        <v>0.91260969999999997</v>
      </c>
      <c r="AB1173">
        <v>30</v>
      </c>
      <c r="AC1173">
        <v>12.735799999999999</v>
      </c>
      <c r="AD1173">
        <v>-1.1079085681209999</v>
      </c>
      <c r="AE1173">
        <v>-6.3272999999999797</v>
      </c>
      <c r="AF1173">
        <v>5.8599317243601998</v>
      </c>
      <c r="AG1173">
        <v>-1.1079085681209999</v>
      </c>
      <c r="AH1173">
        <v>12.8632723262509</v>
      </c>
      <c r="AI1173">
        <v>94.4816612590446</v>
      </c>
      <c r="AJ1173">
        <v>65.5081116848161</v>
      </c>
      <c r="AK1173">
        <v>14.178506132480001</v>
      </c>
      <c r="AL1173">
        <v>92.588011304692898</v>
      </c>
      <c r="AM1173">
        <v>78.163545574685301</v>
      </c>
      <c r="AN1173">
        <v>0.99999999265063999</v>
      </c>
    </row>
    <row r="1174" spans="1:40" x14ac:dyDescent="0.25">
      <c r="A1174" t="str">
        <f>"20190305135813513"</f>
        <v>20190305135813513</v>
      </c>
      <c r="B1174" t="str">
        <f>"1551765493509968"</f>
        <v>1551765493509968</v>
      </c>
      <c r="C1174" t="s">
        <v>40</v>
      </c>
      <c r="D1174">
        <v>4.0358919999999996</v>
      </c>
      <c r="E1174">
        <v>0.58299460000000003</v>
      </c>
      <c r="F1174" t="s">
        <v>50</v>
      </c>
      <c r="G1174">
        <v>-204.53210000000001</v>
      </c>
      <c r="H1174" s="1">
        <v>-4.4724419999999996E-6</v>
      </c>
      <c r="I1174">
        <v>361.71039999999999</v>
      </c>
      <c r="J1174">
        <v>-217.29159999999999</v>
      </c>
      <c r="K1174">
        <v>1.1078170000000001</v>
      </c>
      <c r="L1174">
        <v>368.09480000000002</v>
      </c>
      <c r="M1174">
        <v>0.99927940000000004</v>
      </c>
      <c r="N1174">
        <v>-1.4327950000000001E-2</v>
      </c>
      <c r="O1174">
        <v>-3.5147320000000003E-2</v>
      </c>
      <c r="P1174">
        <v>0.96902250000000001</v>
      </c>
      <c r="Q1174">
        <v>-5.7920630000000001E-2</v>
      </c>
      <c r="R1174">
        <v>-0.2400852</v>
      </c>
      <c r="S1174">
        <v>2.7475130000000001</v>
      </c>
      <c r="T1174">
        <v>-0.2349725</v>
      </c>
      <c r="U1174">
        <v>-1.355774</v>
      </c>
      <c r="V1174">
        <v>0.2056762</v>
      </c>
      <c r="W1174">
        <v>-4.4837790000000002E-2</v>
      </c>
      <c r="X1174">
        <v>0.97759240000000003</v>
      </c>
      <c r="Y1174">
        <v>0.40935090000000002</v>
      </c>
      <c r="Z1174">
        <v>-1.726859E-2</v>
      </c>
      <c r="AA1174">
        <v>0.91221359999999996</v>
      </c>
      <c r="AB1174">
        <v>30</v>
      </c>
      <c r="AC1174">
        <v>12.7594999999999</v>
      </c>
      <c r="AD1174">
        <v>-1.1078214724419999</v>
      </c>
      <c r="AE1174">
        <v>-6.3844000000000198</v>
      </c>
      <c r="AF1174">
        <v>5.8963976679050001</v>
      </c>
      <c r="AG1174">
        <v>-1.1078214724419999</v>
      </c>
      <c r="AH1174">
        <v>12.898270478414499</v>
      </c>
      <c r="AI1174">
        <v>94.466526052603498</v>
      </c>
      <c r="AJ1174">
        <v>65.432661686555605</v>
      </c>
      <c r="AK1174">
        <v>14.2253349769775</v>
      </c>
      <c r="AL1174">
        <v>92.569877677828501</v>
      </c>
      <c r="AM1174">
        <v>78.118790988105303</v>
      </c>
      <c r="AN1174">
        <v>1.0000000135981399</v>
      </c>
    </row>
    <row r="1175" spans="1:40" x14ac:dyDescent="0.25">
      <c r="A1175" t="str">
        <f>"20190305135813528"</f>
        <v>20190305135813528</v>
      </c>
      <c r="B1175" t="str">
        <f>"1551765493519728"</f>
        <v>1551765493519728</v>
      </c>
      <c r="C1175" t="s">
        <v>40</v>
      </c>
      <c r="D1175">
        <v>4.0263770000000001</v>
      </c>
      <c r="E1175">
        <v>0.58313879999999996</v>
      </c>
      <c r="F1175" t="s">
        <v>50</v>
      </c>
      <c r="G1175">
        <v>-204.48519999999999</v>
      </c>
      <c r="H1175" s="1">
        <v>-4.447563E-6</v>
      </c>
      <c r="I1175">
        <v>361.71600000000001</v>
      </c>
      <c r="J1175">
        <v>-217.0958</v>
      </c>
      <c r="K1175">
        <v>1.1077269999999999</v>
      </c>
      <c r="L1175">
        <v>368.08629999999999</v>
      </c>
      <c r="M1175">
        <v>0.99922140000000004</v>
      </c>
      <c r="N1175">
        <v>-1.432955E-2</v>
      </c>
      <c r="O1175">
        <v>-3.676016E-2</v>
      </c>
      <c r="P1175">
        <v>0.96844430000000004</v>
      </c>
      <c r="Q1175">
        <v>-5.7099200000000003E-2</v>
      </c>
      <c r="R1175">
        <v>-0.24260209999999999</v>
      </c>
      <c r="S1175">
        <v>2.743179</v>
      </c>
      <c r="T1175">
        <v>-0.23729990000000001</v>
      </c>
      <c r="U1175">
        <v>-1.3663639999999999</v>
      </c>
      <c r="V1175">
        <v>0.2066289</v>
      </c>
      <c r="W1175">
        <v>-4.40703E-2</v>
      </c>
      <c r="X1175">
        <v>0.97742640000000003</v>
      </c>
      <c r="Y1175">
        <v>0.41124690000000003</v>
      </c>
      <c r="Z1175">
        <v>-1.7397599999999999E-2</v>
      </c>
      <c r="AA1175">
        <v>0.91135790000000005</v>
      </c>
      <c r="AB1175">
        <v>30</v>
      </c>
      <c r="AC1175">
        <v>12.6106</v>
      </c>
      <c r="AD1175">
        <v>-1.107731447563</v>
      </c>
      <c r="AE1175">
        <v>-6.3702999999999799</v>
      </c>
      <c r="AF1175">
        <v>5.8663157145224796</v>
      </c>
      <c r="AG1175">
        <v>-1.107731447563</v>
      </c>
      <c r="AH1175">
        <v>12.757844732934499</v>
      </c>
      <c r="AI1175">
        <v>94.510568900752403</v>
      </c>
      <c r="AJ1175">
        <v>65.306069278963193</v>
      </c>
      <c r="AK1175">
        <v>14.085571740332</v>
      </c>
      <c r="AL1175">
        <v>92.525860182388399</v>
      </c>
      <c r="AM1175">
        <v>78.063362676762907</v>
      </c>
      <c r="AN1175">
        <v>1.0000000305371199</v>
      </c>
    </row>
    <row r="1176" spans="1:40" x14ac:dyDescent="0.25">
      <c r="A1176" t="str">
        <f>"20190305135813542"</f>
        <v>20190305135813542</v>
      </c>
      <c r="B1176" t="str">
        <f>"1551765493540224"</f>
        <v>1551765493540224</v>
      </c>
      <c r="C1176" t="s">
        <v>40</v>
      </c>
      <c r="D1176">
        <v>4.0622920000000002</v>
      </c>
      <c r="E1176">
        <v>0.58363430000000005</v>
      </c>
      <c r="F1176" t="s">
        <v>50</v>
      </c>
      <c r="G1176">
        <v>-204.25569999999999</v>
      </c>
      <c r="H1176" s="1">
        <v>-4.3477659999999996E-6</v>
      </c>
      <c r="I1176">
        <v>361.6454</v>
      </c>
      <c r="J1176">
        <v>-216.90719999999999</v>
      </c>
      <c r="K1176">
        <v>1.1076379999999999</v>
      </c>
      <c r="L1176">
        <v>368.07780000000002</v>
      </c>
      <c r="M1176">
        <v>0.99916039999999995</v>
      </c>
      <c r="N1176">
        <v>-1.433128E-2</v>
      </c>
      <c r="O1176">
        <v>-3.8381709999999999E-2</v>
      </c>
      <c r="P1176">
        <v>0.96791139999999998</v>
      </c>
      <c r="Q1176">
        <v>-5.6624859999999999E-2</v>
      </c>
      <c r="R1176">
        <v>-0.24482909999999999</v>
      </c>
      <c r="S1176">
        <v>2.739563</v>
      </c>
      <c r="T1176">
        <v>-0.2363471</v>
      </c>
      <c r="U1176">
        <v>-1.3742369999999999</v>
      </c>
      <c r="V1176">
        <v>0.20728160000000001</v>
      </c>
      <c r="W1176">
        <v>-4.3647829999999999E-2</v>
      </c>
      <c r="X1176">
        <v>0.97730709999999998</v>
      </c>
      <c r="Y1176">
        <v>0.412352</v>
      </c>
      <c r="Z1176">
        <v>-1.7296579999999999E-2</v>
      </c>
      <c r="AA1176">
        <v>0.91086040000000001</v>
      </c>
      <c r="AB1176">
        <v>30</v>
      </c>
      <c r="AC1176">
        <v>12.6515</v>
      </c>
      <c r="AD1176">
        <v>-1.10764234776599</v>
      </c>
      <c r="AE1176">
        <v>-6.4324000000000296</v>
      </c>
      <c r="AF1176">
        <v>5.9060517306144398</v>
      </c>
      <c r="AG1176">
        <v>-1.10764234776599</v>
      </c>
      <c r="AH1176">
        <v>12.811060392521901</v>
      </c>
      <c r="AI1176">
        <v>94.489525007531299</v>
      </c>
      <c r="AJ1176">
        <v>65.249734448642798</v>
      </c>
      <c r="AK1176">
        <v>14.1503210916255</v>
      </c>
      <c r="AL1176">
        <v>92.501631243444706</v>
      </c>
      <c r="AM1176">
        <v>78.025324341737004</v>
      </c>
      <c r="AN1176">
        <v>0.99999998123633904</v>
      </c>
    </row>
    <row r="1177" spans="1:40" x14ac:dyDescent="0.25">
      <c r="A1177" t="str">
        <f>"20190305135813561"</f>
        <v>20190305135813561</v>
      </c>
      <c r="B1177" t="str">
        <f>"1551765493549984"</f>
        <v>1551765493549984</v>
      </c>
      <c r="C1177" t="s">
        <v>40</v>
      </c>
      <c r="D1177">
        <v>4.0375809999999897</v>
      </c>
      <c r="E1177">
        <v>0.58383229999999997</v>
      </c>
      <c r="F1177" t="s">
        <v>50</v>
      </c>
      <c r="G1177">
        <v>-204.155</v>
      </c>
      <c r="H1177" s="1">
        <v>-4.3022409999999997E-6</v>
      </c>
      <c r="I1177">
        <v>361.62220000000002</v>
      </c>
      <c r="J1177">
        <v>-216.6464</v>
      </c>
      <c r="K1177">
        <v>1.1075170000000001</v>
      </c>
      <c r="L1177">
        <v>368.06529999999998</v>
      </c>
      <c r="M1177">
        <v>0.99906569999999995</v>
      </c>
      <c r="N1177">
        <v>-1.433421E-2</v>
      </c>
      <c r="O1177">
        <v>-4.0775720000000001E-2</v>
      </c>
      <c r="P1177">
        <v>0.96705350000000001</v>
      </c>
      <c r="Q1177">
        <v>-5.4987399999999999E-2</v>
      </c>
      <c r="R1177">
        <v>-0.24856439999999999</v>
      </c>
      <c r="S1177">
        <v>2.7352910000000001</v>
      </c>
      <c r="T1177">
        <v>-0.2375852</v>
      </c>
      <c r="U1177">
        <v>-1.3847050000000001</v>
      </c>
      <c r="V1177">
        <v>0.20870179999999999</v>
      </c>
      <c r="W1177">
        <v>-4.2088939999999998E-2</v>
      </c>
      <c r="X1177">
        <v>0.97707319999999998</v>
      </c>
      <c r="Y1177">
        <v>0.41350609999999999</v>
      </c>
      <c r="Z1177">
        <v>-1.7272639999999999E-2</v>
      </c>
      <c r="AA1177">
        <v>0.91033750000000002</v>
      </c>
      <c r="AB1177">
        <v>30</v>
      </c>
      <c r="AC1177">
        <v>12.491400000000001</v>
      </c>
      <c r="AD1177">
        <v>-1.107521302241</v>
      </c>
      <c r="AE1177">
        <v>-6.4430999999999496</v>
      </c>
      <c r="AF1177">
        <v>5.8917596155205096</v>
      </c>
      <c r="AG1177">
        <v>-1.107521302241</v>
      </c>
      <c r="AH1177">
        <v>12.665118792322099</v>
      </c>
      <c r="AI1177">
        <v>94.533341022045903</v>
      </c>
      <c r="AJ1177">
        <v>65.052350675864801</v>
      </c>
      <c r="AK1177">
        <v>14.0123041940156</v>
      </c>
      <c r="AL1177">
        <v>92.412231236998494</v>
      </c>
      <c r="AM1177">
        <v>77.942869941138198</v>
      </c>
      <c r="AN1177">
        <v>0.999999979175901</v>
      </c>
    </row>
    <row r="1178" spans="1:40" x14ac:dyDescent="0.25">
      <c r="A1178" t="str">
        <f>"20190305135813573"</f>
        <v>20190305135813573</v>
      </c>
      <c r="B1178" t="str">
        <f>"1551765493569505"</f>
        <v>1551765493569505</v>
      </c>
      <c r="C1178" t="s">
        <v>40</v>
      </c>
      <c r="D1178">
        <v>4.0223699999999996</v>
      </c>
      <c r="E1178">
        <v>0.58425269999999996</v>
      </c>
      <c r="F1178" t="s">
        <v>50</v>
      </c>
      <c r="G1178">
        <v>-203.71879999999999</v>
      </c>
      <c r="H1178" s="1">
        <v>-4.1206209999999999E-6</v>
      </c>
      <c r="I1178">
        <v>361.4511</v>
      </c>
      <c r="J1178">
        <v>-216.47710000000001</v>
      </c>
      <c r="K1178">
        <v>1.1074310000000001</v>
      </c>
      <c r="L1178">
        <v>368.05669999999998</v>
      </c>
      <c r="M1178">
        <v>0.99899700000000002</v>
      </c>
      <c r="N1178">
        <v>-1.433661E-2</v>
      </c>
      <c r="O1178">
        <v>-4.2419770000000002E-2</v>
      </c>
      <c r="P1178">
        <v>0.96647119999999997</v>
      </c>
      <c r="Q1178">
        <v>-5.4285350000000003E-2</v>
      </c>
      <c r="R1178">
        <v>-0.25097120000000001</v>
      </c>
      <c r="S1178">
        <v>2.7299039999999999</v>
      </c>
      <c r="T1178">
        <v>-0.23387350000000001</v>
      </c>
      <c r="U1178">
        <v>-1.396698</v>
      </c>
      <c r="V1178">
        <v>0.2095186</v>
      </c>
      <c r="W1178">
        <v>-4.1437769999999999E-2</v>
      </c>
      <c r="X1178">
        <v>0.97692619999999997</v>
      </c>
      <c r="Y1178">
        <v>0.41593839999999999</v>
      </c>
      <c r="Z1178">
        <v>-1.708227E-2</v>
      </c>
      <c r="AA1178">
        <v>0.90923229999999999</v>
      </c>
      <c r="AB1178">
        <v>30</v>
      </c>
      <c r="AC1178">
        <v>12.7583</v>
      </c>
      <c r="AD1178">
        <v>-1.107435120621</v>
      </c>
      <c r="AE1178">
        <v>-6.6055999999999804</v>
      </c>
      <c r="AF1178">
        <v>6.0226086864509103</v>
      </c>
      <c r="AG1178">
        <v>-1.107435120621</v>
      </c>
      <c r="AH1178">
        <v>12.9501049699213</v>
      </c>
      <c r="AI1178">
        <v>94.433861764388396</v>
      </c>
      <c r="AJ1178">
        <v>65.0586262731929</v>
      </c>
      <c r="AK1178">
        <v>14.3249239672844</v>
      </c>
      <c r="AL1178">
        <v>92.374889393552905</v>
      </c>
      <c r="AM1178">
        <v>77.895302939098798</v>
      </c>
      <c r="AN1178">
        <v>0.99999996638748501</v>
      </c>
    </row>
    <row r="1179" spans="1:40" x14ac:dyDescent="0.25">
      <c r="A1179" t="str">
        <f>"20190305135813587"</f>
        <v>20190305135813587</v>
      </c>
      <c r="B1179" t="str">
        <f>"1551765493580241"</f>
        <v>1551765493580241</v>
      </c>
      <c r="C1179" t="s">
        <v>40</v>
      </c>
      <c r="D1179">
        <v>4.0275949999999998</v>
      </c>
      <c r="E1179">
        <v>0.58445249999999904</v>
      </c>
      <c r="F1179" t="s">
        <v>50</v>
      </c>
      <c r="G1179">
        <v>-203.59780000000001</v>
      </c>
      <c r="H1179" s="1">
        <v>-4.0692480000000004E-6</v>
      </c>
      <c r="I1179">
        <v>361.40820000000002</v>
      </c>
      <c r="J1179">
        <v>-216.30250000000001</v>
      </c>
      <c r="K1179">
        <v>1.107342</v>
      </c>
      <c r="L1179">
        <v>368.04750000000001</v>
      </c>
      <c r="M1179">
        <v>0.99892060000000005</v>
      </c>
      <c r="N1179">
        <v>-1.433923E-2</v>
      </c>
      <c r="O1179">
        <v>-4.418354E-2</v>
      </c>
      <c r="P1179">
        <v>0.96583189999999997</v>
      </c>
      <c r="Q1179">
        <v>-5.3746769999999999E-2</v>
      </c>
      <c r="R1179">
        <v>-0.25353569999999997</v>
      </c>
      <c r="S1179">
        <v>2.7255549999999999</v>
      </c>
      <c r="T1179">
        <v>-0.2343575</v>
      </c>
      <c r="U1179">
        <v>-1.406982</v>
      </c>
      <c r="V1179">
        <v>0.2103786</v>
      </c>
      <c r="W1179">
        <v>-4.0951040000000001E-2</v>
      </c>
      <c r="X1179">
        <v>0.97676189999999996</v>
      </c>
      <c r="Y1179">
        <v>0.417626</v>
      </c>
      <c r="Z1179">
        <v>-1.7084189999999999E-2</v>
      </c>
      <c r="AA1179">
        <v>0.9084584</v>
      </c>
      <c r="AB1179">
        <v>30</v>
      </c>
      <c r="AC1179">
        <v>12.704700000000001</v>
      </c>
      <c r="AD1179">
        <v>-1.1073460692479999</v>
      </c>
      <c r="AE1179">
        <v>-6.6392999999999898</v>
      </c>
      <c r="AF1179">
        <v>6.0354036723050202</v>
      </c>
      <c r="AG1179">
        <v>-1.1073460692479999</v>
      </c>
      <c r="AH1179">
        <v>12.9086388368416</v>
      </c>
      <c r="AI1179">
        <v>94.443476700655296</v>
      </c>
      <c r="AJ1179">
        <v>64.941671026601895</v>
      </c>
      <c r="AK1179">
        <v>14.292839795672799</v>
      </c>
      <c r="AL1179">
        <v>92.346978102167398</v>
      </c>
      <c r="AM1179">
        <v>77.845107979087601</v>
      </c>
      <c r="AN1179">
        <v>0.99999997615332503</v>
      </c>
    </row>
    <row r="1180" spans="1:40" x14ac:dyDescent="0.25">
      <c r="A1180" t="str">
        <f>"20190305135813600"</f>
        <v>20190305135813600</v>
      </c>
      <c r="B1180" t="str">
        <f>"1551765493590000"</f>
        <v>1551765493590000</v>
      </c>
      <c r="C1180" t="s">
        <v>40</v>
      </c>
      <c r="D1180">
        <v>3.9995259999999999</v>
      </c>
      <c r="E1180">
        <v>0.58475059999999901</v>
      </c>
      <c r="F1180" t="s">
        <v>50</v>
      </c>
      <c r="G1180">
        <v>-203.48480000000001</v>
      </c>
      <c r="H1180" s="1">
        <v>-4.018639E-6</v>
      </c>
      <c r="I1180">
        <v>361.38010000000003</v>
      </c>
      <c r="J1180">
        <v>-216.11</v>
      </c>
      <c r="K1180">
        <v>1.107248</v>
      </c>
      <c r="L1180">
        <v>368.03710000000001</v>
      </c>
      <c r="M1180">
        <v>0.99882969999999904</v>
      </c>
      <c r="N1180">
        <v>-1.434212E-2</v>
      </c>
      <c r="O1180">
        <v>-4.619036E-2</v>
      </c>
      <c r="P1180">
        <v>0.96504409999999896</v>
      </c>
      <c r="Q1180">
        <v>-5.2946239999999999E-2</v>
      </c>
      <c r="R1180">
        <v>-0.25668429999999998</v>
      </c>
      <c r="S1180">
        <v>2.7214360000000002</v>
      </c>
      <c r="T1180">
        <v>-0.2351104</v>
      </c>
      <c r="U1180">
        <v>-1.415619</v>
      </c>
      <c r="V1180">
        <v>0.21159320000000001</v>
      </c>
      <c r="W1180">
        <v>-4.0209700000000001E-2</v>
      </c>
      <c r="X1180">
        <v>0.97653029999999996</v>
      </c>
      <c r="Y1180">
        <v>0.41862549999999998</v>
      </c>
      <c r="Z1180">
        <v>-1.705197E-2</v>
      </c>
      <c r="AA1180">
        <v>0.90799890000000005</v>
      </c>
      <c r="AB1180">
        <v>30</v>
      </c>
      <c r="AC1180">
        <v>12.6252</v>
      </c>
      <c r="AD1180">
        <v>-1.107252018639</v>
      </c>
      <c r="AE1180">
        <v>-6.6569999999999796</v>
      </c>
      <c r="AF1180">
        <v>6.0303777583236098</v>
      </c>
      <c r="AG1180">
        <v>-1.107252018639</v>
      </c>
      <c r="AH1180">
        <v>12.841955201693599</v>
      </c>
      <c r="AI1180">
        <v>94.462600255872303</v>
      </c>
      <c r="AJ1180">
        <v>64.845997221257605</v>
      </c>
      <c r="AK1180">
        <v>14.230505133099401</v>
      </c>
      <c r="AL1180">
        <v>92.304467456772201</v>
      </c>
      <c r="AM1180">
        <v>77.774225277732398</v>
      </c>
      <c r="AN1180">
        <v>0.99999996453920903</v>
      </c>
    </row>
    <row r="1181" spans="1:40" x14ac:dyDescent="0.25">
      <c r="A1181" t="str">
        <f>"20190305135813615"</f>
        <v>20190305135813615</v>
      </c>
      <c r="B1181" t="str">
        <f>"1551765493609521"</f>
        <v>1551765493609521</v>
      </c>
      <c r="C1181" t="s">
        <v>40</v>
      </c>
      <c r="D1181">
        <v>4.0328759999999999</v>
      </c>
      <c r="E1181">
        <v>0.59393689999999999</v>
      </c>
      <c r="F1181" t="s">
        <v>50</v>
      </c>
      <c r="G1181">
        <v>-203.2645</v>
      </c>
      <c r="H1181" s="1">
        <v>-3.9277130000000003E-6</v>
      </c>
      <c r="I1181">
        <v>361.2901</v>
      </c>
      <c r="J1181">
        <v>-215.91569999999999</v>
      </c>
      <c r="K1181">
        <v>1.107154</v>
      </c>
      <c r="L1181">
        <v>368.02600000000001</v>
      </c>
      <c r="M1181">
        <v>0.99872919999999998</v>
      </c>
      <c r="N1181">
        <v>-1.43451E-2</v>
      </c>
      <c r="O1181">
        <v>-4.8313330000000002E-2</v>
      </c>
      <c r="P1181">
        <v>0.96420879999999998</v>
      </c>
      <c r="Q1181">
        <v>-5.214063E-2</v>
      </c>
      <c r="R1181">
        <v>-0.25996659999999999</v>
      </c>
      <c r="S1181">
        <v>2.7163240000000002</v>
      </c>
      <c r="T1181">
        <v>-0.23414160000000001</v>
      </c>
      <c r="U1181">
        <v>-1.4267270000000001</v>
      </c>
      <c r="V1181">
        <v>0.21283260000000001</v>
      </c>
      <c r="W1181">
        <v>-3.9464220000000001E-2</v>
      </c>
      <c r="X1181">
        <v>0.97629140000000003</v>
      </c>
      <c r="Y1181">
        <v>0.42031740000000001</v>
      </c>
      <c r="Z1181">
        <v>-1.6950699999999999E-2</v>
      </c>
      <c r="AA1181">
        <v>0.90721879999999999</v>
      </c>
      <c r="AB1181">
        <v>30</v>
      </c>
      <c r="AC1181">
        <v>12.6511999999999</v>
      </c>
      <c r="AD1181">
        <v>-1.1071579277129999</v>
      </c>
      <c r="AE1181">
        <v>-6.7359000000000098</v>
      </c>
      <c r="AF1181">
        <v>6.0804649682949901</v>
      </c>
      <c r="AG1181">
        <v>-1.1071579277129999</v>
      </c>
      <c r="AH1181">
        <v>12.885004030571499</v>
      </c>
      <c r="AI1181">
        <v>94.443418665226801</v>
      </c>
      <c r="AJ1181">
        <v>64.737260562583202</v>
      </c>
      <c r="AK1181">
        <v>14.2905976703357</v>
      </c>
      <c r="AL1181">
        <v>92.261720540619805</v>
      </c>
      <c r="AM1181">
        <v>77.701868388791297</v>
      </c>
      <c r="AN1181">
        <v>1.0000000189984599</v>
      </c>
    </row>
    <row r="1182" spans="1:40" x14ac:dyDescent="0.25">
      <c r="A1182" t="str">
        <f>"20190305135813630"</f>
        <v>20190305135813630</v>
      </c>
      <c r="B1182" t="str">
        <f>"1551765493620256"</f>
        <v>1551765493620256</v>
      </c>
      <c r="C1182" t="s">
        <v>40</v>
      </c>
      <c r="D1182">
        <v>4.0536760000000003</v>
      </c>
      <c r="E1182">
        <v>0.59357919999999997</v>
      </c>
      <c r="F1182" t="s">
        <v>50</v>
      </c>
      <c r="G1182">
        <v>-205.34119999999999</v>
      </c>
      <c r="H1182" s="1">
        <v>-4.7818090000000001E-6</v>
      </c>
      <c r="I1182">
        <v>362.09379999999999</v>
      </c>
      <c r="J1182">
        <v>-215.71619999999999</v>
      </c>
      <c r="K1182">
        <v>1.107065</v>
      </c>
      <c r="L1182">
        <v>368.01400000000001</v>
      </c>
      <c r="M1182">
        <v>0.99861679999999997</v>
      </c>
      <c r="N1182">
        <v>-1.4348430000000001E-2</v>
      </c>
      <c r="O1182">
        <v>-5.0584610000000002E-2</v>
      </c>
      <c r="P1182">
        <v>0.96298490000000003</v>
      </c>
      <c r="Q1182">
        <v>-5.0993469999999999E-2</v>
      </c>
      <c r="R1182">
        <v>-0.2646888</v>
      </c>
      <c r="S1182">
        <v>2.689362</v>
      </c>
      <c r="T1182">
        <v>-0.28157959999999999</v>
      </c>
      <c r="U1182">
        <v>-1.5086980000000001</v>
      </c>
      <c r="V1182">
        <v>0.21538889999999999</v>
      </c>
      <c r="W1182">
        <v>-3.8389569999999998E-2</v>
      </c>
      <c r="X1182">
        <v>0.97577349999999996</v>
      </c>
      <c r="Y1182">
        <v>0.4425248</v>
      </c>
      <c r="Z1182">
        <v>-2.0707819999999998E-2</v>
      </c>
      <c r="AA1182">
        <v>0.89651719999999901</v>
      </c>
      <c r="AB1182">
        <v>30</v>
      </c>
      <c r="AC1182">
        <v>10.375</v>
      </c>
      <c r="AD1182">
        <v>-1.1070697818089901</v>
      </c>
      <c r="AE1182">
        <v>-5.9202000000000199</v>
      </c>
      <c r="AF1182">
        <v>5.3418670116471301</v>
      </c>
      <c r="AG1182">
        <v>-1.1070697818089901</v>
      </c>
      <c r="AH1182">
        <v>10.570424130338299</v>
      </c>
      <c r="AI1182">
        <v>95.340181601292699</v>
      </c>
      <c r="AJ1182">
        <v>63.189802546934402</v>
      </c>
      <c r="AK1182">
        <v>11.895167630897699</v>
      </c>
      <c r="AL1182">
        <v>92.200100900548804</v>
      </c>
      <c r="AM1182">
        <v>77.552333391409903</v>
      </c>
      <c r="AN1182">
        <v>1.00000003031512</v>
      </c>
    </row>
    <row r="1183" spans="1:40" x14ac:dyDescent="0.25">
      <c r="A1183" t="str">
        <f>"20190305135813647"</f>
        <v>20190305135813647</v>
      </c>
      <c r="B1183" t="str">
        <f>"1551765493639776"</f>
        <v>1551765493639776</v>
      </c>
      <c r="C1183" t="s">
        <v>40</v>
      </c>
      <c r="D1183">
        <v>4.040807</v>
      </c>
      <c r="E1183">
        <v>0.59380819999999901</v>
      </c>
      <c r="F1183" t="s">
        <v>50</v>
      </c>
      <c r="G1183">
        <v>-205.27160000000001</v>
      </c>
      <c r="H1183" s="1">
        <v>-4.7479800000000004E-6</v>
      </c>
      <c r="I1183">
        <v>362.1001</v>
      </c>
      <c r="J1183">
        <v>-215.4888</v>
      </c>
      <c r="K1183">
        <v>1.106954</v>
      </c>
      <c r="L1183">
        <v>367.99970000000002</v>
      </c>
      <c r="M1183">
        <v>0.99847719999999995</v>
      </c>
      <c r="N1183">
        <v>-1.435235E-2</v>
      </c>
      <c r="O1183">
        <v>-5.3266800000000003E-2</v>
      </c>
      <c r="P1183">
        <v>0.96179829999999999</v>
      </c>
      <c r="Q1183">
        <v>-5.1152339999999998E-2</v>
      </c>
      <c r="R1183">
        <v>-0.26893830000000002</v>
      </c>
      <c r="S1183">
        <v>2.6827390000000002</v>
      </c>
      <c r="T1183">
        <v>-0.28435519999999997</v>
      </c>
      <c r="U1183">
        <v>-1.519012</v>
      </c>
      <c r="V1183">
        <v>0.2170638</v>
      </c>
      <c r="W1183">
        <v>-3.8620460000000002E-2</v>
      </c>
      <c r="X1183">
        <v>0.97539310000000001</v>
      </c>
      <c r="Y1183">
        <v>0.44364029999999999</v>
      </c>
      <c r="Z1183">
        <v>-2.0734039999999999E-2</v>
      </c>
      <c r="AA1183">
        <v>0.89596500000000001</v>
      </c>
      <c r="AB1183">
        <v>30</v>
      </c>
      <c r="AC1183">
        <v>10.217199999999901</v>
      </c>
      <c r="AD1183">
        <v>-1.1069587479799901</v>
      </c>
      <c r="AE1183">
        <v>-5.8996000000000199</v>
      </c>
      <c r="AF1183">
        <v>5.3002704032488301</v>
      </c>
      <c r="AG1183">
        <v>-1.1069587479799901</v>
      </c>
      <c r="AH1183">
        <v>10.4252030860101</v>
      </c>
      <c r="AI1183">
        <v>95.406976414796006</v>
      </c>
      <c r="AJ1183">
        <v>63.050791999859499</v>
      </c>
      <c r="AK1183">
        <v>11.7474713620353</v>
      </c>
      <c r="AL1183">
        <v>92.213339882155793</v>
      </c>
      <c r="AM1183">
        <v>77.453853049734604</v>
      </c>
      <c r="AN1183">
        <v>0.99999996636432997</v>
      </c>
    </row>
    <row r="1184" spans="1:40" x14ac:dyDescent="0.25">
      <c r="A1184" t="str">
        <f>"20190305135813662"</f>
        <v>20190305135813662</v>
      </c>
      <c r="B1184" t="str">
        <f>"1551765493649537"</f>
        <v>1551765493649537</v>
      </c>
      <c r="C1184" t="s">
        <v>40</v>
      </c>
      <c r="D1184">
        <v>4.0811029999999997</v>
      </c>
      <c r="E1184">
        <v>0.59405450000000004</v>
      </c>
      <c r="F1184" t="s">
        <v>50</v>
      </c>
      <c r="G1184">
        <v>-204.91560000000001</v>
      </c>
      <c r="H1184" s="1">
        <v>-4.6130219999999999E-6</v>
      </c>
      <c r="I1184">
        <v>361.94659999999999</v>
      </c>
      <c r="J1184">
        <v>-215.28460000000001</v>
      </c>
      <c r="K1184">
        <v>1.1068530000000001</v>
      </c>
      <c r="L1184">
        <v>367.9864</v>
      </c>
      <c r="M1184">
        <v>0.99834120000000004</v>
      </c>
      <c r="N1184">
        <v>-1.4355990000000001E-2</v>
      </c>
      <c r="O1184">
        <v>-5.5758080000000002E-2</v>
      </c>
      <c r="P1184">
        <v>0.96020740000000004</v>
      </c>
      <c r="Q1184">
        <v>-5.2476490000000001E-2</v>
      </c>
      <c r="R1184">
        <v>-0.27431440000000001</v>
      </c>
      <c r="S1184">
        <v>2.6759029999999999</v>
      </c>
      <c r="T1184">
        <v>-0.28015319999999999</v>
      </c>
      <c r="U1184">
        <v>-1.531952</v>
      </c>
      <c r="V1184">
        <v>0.2200686</v>
      </c>
      <c r="W1184">
        <v>-4.0025350000000001E-2</v>
      </c>
      <c r="X1184">
        <v>0.9746629</v>
      </c>
      <c r="Y1184">
        <v>0.4457045</v>
      </c>
      <c r="Z1184">
        <v>-2.0421870000000002E-2</v>
      </c>
      <c r="AA1184">
        <v>0.89494719999999905</v>
      </c>
      <c r="AB1184">
        <v>30</v>
      </c>
      <c r="AC1184">
        <v>10.369</v>
      </c>
      <c r="AD1184">
        <v>-1.106857613022</v>
      </c>
      <c r="AE1184">
        <v>-6.0398000000000103</v>
      </c>
      <c r="AF1184">
        <v>5.4061902691046999</v>
      </c>
      <c r="AG1184">
        <v>-1.106857613022</v>
      </c>
      <c r="AH1184">
        <v>10.5994860307097</v>
      </c>
      <c r="AI1184">
        <v>95.314611444598597</v>
      </c>
      <c r="AJ1184">
        <v>62.976477783861597</v>
      </c>
      <c r="AK1184">
        <v>11.949942724401501</v>
      </c>
      <c r="AL1184">
        <v>92.293896404142501</v>
      </c>
      <c r="AM1184">
        <v>77.276571186378405</v>
      </c>
      <c r="AN1184">
        <v>0.99999999299249598</v>
      </c>
    </row>
    <row r="1185" spans="1:40" x14ac:dyDescent="0.25">
      <c r="A1185" t="str">
        <f>"20190305135813675"</f>
        <v>20190305135813675</v>
      </c>
      <c r="B1185" t="str">
        <f>"1551765493670033"</f>
        <v>1551765493670033</v>
      </c>
      <c r="C1185" t="s">
        <v>40</v>
      </c>
      <c r="D1185">
        <v>4.0189120000000003</v>
      </c>
      <c r="E1185">
        <v>0.59442340000000005</v>
      </c>
      <c r="F1185" t="s">
        <v>50</v>
      </c>
      <c r="G1185">
        <v>-204.96530000000001</v>
      </c>
      <c r="H1185" s="1">
        <v>-4.6276709999999996E-6</v>
      </c>
      <c r="I1185">
        <v>361.99329999999998</v>
      </c>
      <c r="J1185">
        <v>-215.08949999999999</v>
      </c>
      <c r="K1185">
        <v>1.1067549999999999</v>
      </c>
      <c r="L1185">
        <v>367.97300000000001</v>
      </c>
      <c r="M1185">
        <v>0.9982008</v>
      </c>
      <c r="N1185">
        <v>-1.4359709999999999E-2</v>
      </c>
      <c r="O1185">
        <v>-5.8216539999999997E-2</v>
      </c>
      <c r="P1185">
        <v>0.95907750000000003</v>
      </c>
      <c r="Q1185">
        <v>-5.3189019999999997E-2</v>
      </c>
      <c r="R1185">
        <v>-0.27810400000000002</v>
      </c>
      <c r="S1185">
        <v>2.6663209999999999</v>
      </c>
      <c r="T1185">
        <v>-0.28598990000000002</v>
      </c>
      <c r="U1185">
        <v>-1.548492</v>
      </c>
      <c r="V1185">
        <v>0.2215039</v>
      </c>
      <c r="W1185">
        <v>-4.07994E-2</v>
      </c>
      <c r="X1185">
        <v>0.97430559999999999</v>
      </c>
      <c r="Y1185">
        <v>0.44896000000000003</v>
      </c>
      <c r="Z1185">
        <v>-2.0770130000000001E-2</v>
      </c>
      <c r="AA1185">
        <v>0.89331039999999995</v>
      </c>
      <c r="AB1185">
        <v>30</v>
      </c>
      <c r="AC1185">
        <v>10.124199999999901</v>
      </c>
      <c r="AD1185">
        <v>-1.1067596276709999</v>
      </c>
      <c r="AE1185">
        <v>-5.9797000000000304</v>
      </c>
      <c r="AF1185">
        <v>5.3328518220558996</v>
      </c>
      <c r="AG1185">
        <v>-1.1067596276709999</v>
      </c>
      <c r="AH1185">
        <v>10.3633620241502</v>
      </c>
      <c r="AI1185">
        <v>95.424554002482097</v>
      </c>
      <c r="AJ1185">
        <v>62.770236484766301</v>
      </c>
      <c r="AK1185">
        <v>11.707412091194399</v>
      </c>
      <c r="AL1185">
        <v>92.338282480871598</v>
      </c>
      <c r="AM1185">
        <v>77.191774463316705</v>
      </c>
      <c r="AN1185">
        <v>0.99999998547346403</v>
      </c>
    </row>
    <row r="1186" spans="1:40" x14ac:dyDescent="0.25">
      <c r="A1186" t="str">
        <f>"20190305135813688"</f>
        <v>20190305135813688</v>
      </c>
      <c r="B1186" t="str">
        <f>"1551765493679792"</f>
        <v>1551765493679792</v>
      </c>
      <c r="C1186" t="s">
        <v>40</v>
      </c>
      <c r="D1186">
        <v>4.0399399999999996</v>
      </c>
      <c r="E1186">
        <v>0.59435249999999995</v>
      </c>
      <c r="F1186" t="s">
        <v>50</v>
      </c>
      <c r="G1186">
        <v>-205.01589999999999</v>
      </c>
      <c r="H1186" s="1">
        <v>-4.6389050000000001E-6</v>
      </c>
      <c r="I1186">
        <v>362.0548</v>
      </c>
      <c r="J1186">
        <v>-214.9212</v>
      </c>
      <c r="K1186">
        <v>1.106668</v>
      </c>
      <c r="L1186">
        <v>367.96100000000001</v>
      </c>
      <c r="M1186">
        <v>0.99807060000000003</v>
      </c>
      <c r="N1186">
        <v>-1.4363020000000001E-2</v>
      </c>
      <c r="O1186">
        <v>-6.0406010000000003E-2</v>
      </c>
      <c r="P1186">
        <v>0.95803059999999995</v>
      </c>
      <c r="Q1186">
        <v>-5.4085109999999999E-2</v>
      </c>
      <c r="R1186">
        <v>-0.28151730000000003</v>
      </c>
      <c r="S1186">
        <v>2.6588289999999999</v>
      </c>
      <c r="T1186">
        <v>-0.29211749999999997</v>
      </c>
      <c r="U1186">
        <v>-1.5620419999999999</v>
      </c>
      <c r="V1186">
        <v>0.22282399999999999</v>
      </c>
      <c r="W1186">
        <v>-4.1747960000000001E-2</v>
      </c>
      <c r="X1186">
        <v>0.97396430000000001</v>
      </c>
      <c r="Y1186">
        <v>0.45139600000000002</v>
      </c>
      <c r="Z1186">
        <v>-2.1100109999999998E-2</v>
      </c>
      <c r="AA1186">
        <v>0.89207420000000004</v>
      </c>
      <c r="AB1186">
        <v>30</v>
      </c>
      <c r="AC1186">
        <v>9.9053000000000093</v>
      </c>
      <c r="AD1186">
        <v>-1.1066726389049999</v>
      </c>
      <c r="AE1186">
        <v>-5.9062000000000099</v>
      </c>
      <c r="AF1186">
        <v>5.2486781782139396</v>
      </c>
      <c r="AG1186">
        <v>-1.1066726389049999</v>
      </c>
      <c r="AH1186">
        <v>10.150542767904501</v>
      </c>
      <c r="AI1186">
        <v>95.531560362897395</v>
      </c>
      <c r="AJ1186">
        <v>62.6572612161428</v>
      </c>
      <c r="AK1186">
        <v>11.4807171131083</v>
      </c>
      <c r="AL1186">
        <v>92.392677422437202</v>
      </c>
      <c r="AM1186">
        <v>77.113617020773006</v>
      </c>
      <c r="AN1186">
        <v>0.99999994240732404</v>
      </c>
    </row>
    <row r="1187" spans="1:40" x14ac:dyDescent="0.25">
      <c r="A1187" t="str">
        <f>"20190305135813702"</f>
        <v>20190305135813702</v>
      </c>
      <c r="B1187" t="str">
        <f>"1551765493699312"</f>
        <v>1551765493699312</v>
      </c>
      <c r="C1187" t="s">
        <v>40</v>
      </c>
      <c r="D1187">
        <v>4.050897</v>
      </c>
      <c r="E1187">
        <v>0.59502709999999903</v>
      </c>
      <c r="F1187" t="s">
        <v>50</v>
      </c>
      <c r="G1187">
        <v>-205.05529999999999</v>
      </c>
      <c r="H1187" s="1">
        <v>-4.6428230000000003E-6</v>
      </c>
      <c r="I1187">
        <v>362.12</v>
      </c>
      <c r="J1187">
        <v>-214.7414</v>
      </c>
      <c r="K1187">
        <v>1.1065830000000001</v>
      </c>
      <c r="L1187">
        <v>367.94779999999997</v>
      </c>
      <c r="M1187">
        <v>0.99792360000000002</v>
      </c>
      <c r="N1187">
        <v>-1.436642E-2</v>
      </c>
      <c r="O1187">
        <v>-6.2786709999999996E-2</v>
      </c>
      <c r="P1187">
        <v>0.95690770000000003</v>
      </c>
      <c r="Q1187">
        <v>-5.4978510000000001E-2</v>
      </c>
      <c r="R1187">
        <v>-0.28514010000000001</v>
      </c>
      <c r="S1187">
        <v>2.6530909999999999</v>
      </c>
      <c r="T1187">
        <v>-0.29760130000000001</v>
      </c>
      <c r="U1187">
        <v>-1.57074</v>
      </c>
      <c r="V1187">
        <v>0.22417280000000001</v>
      </c>
      <c r="W1187">
        <v>-4.2696949999999997E-2</v>
      </c>
      <c r="X1187">
        <v>0.97361359999999997</v>
      </c>
      <c r="Y1187">
        <v>0.4522081</v>
      </c>
      <c r="Z1187">
        <v>-2.1272679999999999E-2</v>
      </c>
      <c r="AA1187">
        <v>0.89165869999999903</v>
      </c>
      <c r="AB1187">
        <v>30</v>
      </c>
      <c r="AC1187">
        <v>9.6861000000000104</v>
      </c>
      <c r="AD1187">
        <v>-1.1065876428229999</v>
      </c>
      <c r="AE1187">
        <v>-5.8277999999999599</v>
      </c>
      <c r="AF1187">
        <v>5.1586434492723701</v>
      </c>
      <c r="AG1187">
        <v>-1.1065876428229999</v>
      </c>
      <c r="AH1187">
        <v>9.9376994646880892</v>
      </c>
      <c r="AI1187">
        <v>95.644227612018597</v>
      </c>
      <c r="AJ1187">
        <v>62.566248073352703</v>
      </c>
      <c r="AK1187">
        <v>11.2514003172241</v>
      </c>
      <c r="AL1187">
        <v>92.447099042722797</v>
      </c>
      <c r="AM1187">
        <v>77.033728711939901</v>
      </c>
      <c r="AN1187">
        <v>0.99999995795204999</v>
      </c>
    </row>
    <row r="1188" spans="1:40" x14ac:dyDescent="0.25">
      <c r="A1188" t="str">
        <f>"20190305135813715"</f>
        <v>20190305135813715</v>
      </c>
      <c r="B1188" t="str">
        <f>"1551765493710048"</f>
        <v>1551765493710048</v>
      </c>
      <c r="C1188" t="s">
        <v>40</v>
      </c>
      <c r="D1188">
        <v>4.0622910000000001</v>
      </c>
      <c r="E1188">
        <v>0.59542069999999903</v>
      </c>
      <c r="F1188" t="s">
        <v>50</v>
      </c>
      <c r="G1188">
        <v>-204.9409</v>
      </c>
      <c r="H1188" s="1">
        <v>-4.5977960000000002E-6</v>
      </c>
      <c r="I1188">
        <v>362.07279999999997</v>
      </c>
      <c r="J1188">
        <v>-214.55029999999999</v>
      </c>
      <c r="K1188">
        <v>1.1064929999999999</v>
      </c>
      <c r="L1188">
        <v>367.9332</v>
      </c>
      <c r="M1188">
        <v>0.99775650000000005</v>
      </c>
      <c r="N1188">
        <v>-1.4370050000000001E-2</v>
      </c>
      <c r="O1188">
        <v>-6.5386410000000006E-2</v>
      </c>
      <c r="P1188">
        <v>0.95585819999999999</v>
      </c>
      <c r="Q1188">
        <v>-5.5677900000000002E-2</v>
      </c>
      <c r="R1188">
        <v>-0.28850479999999901</v>
      </c>
      <c r="S1188">
        <v>2.6454010000000001</v>
      </c>
      <c r="T1188">
        <v>-0.29869770000000001</v>
      </c>
      <c r="U1188">
        <v>-1.585815</v>
      </c>
      <c r="V1188">
        <v>0.225049</v>
      </c>
      <c r="W1188">
        <v>-4.3449460000000002E-2</v>
      </c>
      <c r="X1188">
        <v>0.97337819999999997</v>
      </c>
      <c r="Y1188">
        <v>0.45474629999999999</v>
      </c>
      <c r="Z1188">
        <v>-2.1278450000000001E-2</v>
      </c>
      <c r="AA1188">
        <v>0.89036680000000001</v>
      </c>
      <c r="AB1188">
        <v>30</v>
      </c>
      <c r="AC1188">
        <v>9.6093999999999902</v>
      </c>
      <c r="AD1188">
        <v>-1.1064975977960001</v>
      </c>
      <c r="AE1188">
        <v>-5.8604000000000198</v>
      </c>
      <c r="AF1188">
        <v>5.1695068443670102</v>
      </c>
      <c r="AG1188">
        <v>-1.1064975977960001</v>
      </c>
      <c r="AH1188">
        <v>9.8766101086575304</v>
      </c>
      <c r="AI1188">
        <v>95.668493099377102</v>
      </c>
      <c r="AJ1188">
        <v>62.372034073238197</v>
      </c>
      <c r="AK1188">
        <v>11.2024803140341</v>
      </c>
      <c r="AL1188">
        <v>92.4902546046754</v>
      </c>
      <c r="AM1188">
        <v>76.981730812930607</v>
      </c>
      <c r="AN1188">
        <v>1.0000000141052601</v>
      </c>
    </row>
    <row r="1189" spans="1:40" x14ac:dyDescent="0.25">
      <c r="A1189" t="str">
        <f>"20190305135813729"</f>
        <v>20190305135813729</v>
      </c>
      <c r="B1189" t="str">
        <f>"1551765493719808"</f>
        <v>1551765493719808</v>
      </c>
      <c r="C1189" t="s">
        <v>40</v>
      </c>
      <c r="D1189">
        <v>4.0348689999999996</v>
      </c>
      <c r="E1189">
        <v>0.59560840000000004</v>
      </c>
      <c r="F1189" t="s">
        <v>50</v>
      </c>
      <c r="G1189">
        <v>-204.85560000000001</v>
      </c>
      <c r="H1189" s="1">
        <v>-4.5576009999999996E-6</v>
      </c>
      <c r="I1189">
        <v>362.06029999999998</v>
      </c>
      <c r="J1189">
        <v>-214.3732</v>
      </c>
      <c r="K1189">
        <v>1.106406</v>
      </c>
      <c r="L1189">
        <v>367.91910000000001</v>
      </c>
      <c r="M1189">
        <v>0.99759039999999999</v>
      </c>
      <c r="N1189">
        <v>-1.4373820000000001E-2</v>
      </c>
      <c r="O1189">
        <v>-6.7873680000000006E-2</v>
      </c>
      <c r="P1189">
        <v>0.95484449999999998</v>
      </c>
      <c r="Q1189">
        <v>-5.5905580000000003E-2</v>
      </c>
      <c r="R1189">
        <v>-0.29179959999999899</v>
      </c>
      <c r="S1189">
        <v>2.6385350000000001</v>
      </c>
      <c r="T1189">
        <v>-0.30114570000000002</v>
      </c>
      <c r="U1189">
        <v>-1.5983579999999999</v>
      </c>
      <c r="V1189">
        <v>0.225969</v>
      </c>
      <c r="W1189">
        <v>-4.3727050000000003E-2</v>
      </c>
      <c r="X1189">
        <v>0.97315260000000003</v>
      </c>
      <c r="Y1189">
        <v>0.45661439999999998</v>
      </c>
      <c r="Z1189">
        <v>-2.132713E-2</v>
      </c>
      <c r="AA1189">
        <v>0.88940909999999995</v>
      </c>
      <c r="AB1189">
        <v>30</v>
      </c>
      <c r="AC1189">
        <v>9.5175999999999803</v>
      </c>
      <c r="AD1189">
        <v>-1.1064105576009999</v>
      </c>
      <c r="AE1189">
        <v>-5.8588000000000298</v>
      </c>
      <c r="AF1189">
        <v>5.1487662017649001</v>
      </c>
      <c r="AG1189">
        <v>-1.1064105576009999</v>
      </c>
      <c r="AH1189">
        <v>9.79733081557543</v>
      </c>
      <c r="AI1189">
        <v>95.708669731732797</v>
      </c>
      <c r="AJ1189">
        <v>62.276841830521398</v>
      </c>
      <c r="AK1189">
        <v>11.1230224683865</v>
      </c>
      <c r="AL1189">
        <v>92.506174472322201</v>
      </c>
      <c r="AM1189">
        <v>76.927409805965198</v>
      </c>
      <c r="AN1189">
        <v>1.00000001337473</v>
      </c>
    </row>
    <row r="1190" spans="1:40" x14ac:dyDescent="0.25">
      <c r="A1190" t="str">
        <f>"20190305135813752"</f>
        <v>20190305135813752</v>
      </c>
      <c r="B1190" t="str">
        <f>"1551765493739328"</f>
        <v>1551765493739328</v>
      </c>
      <c r="C1190" t="s">
        <v>40</v>
      </c>
      <c r="D1190">
        <v>4.0672430000000004</v>
      </c>
      <c r="E1190">
        <v>0.5962847</v>
      </c>
      <c r="F1190" t="s">
        <v>50</v>
      </c>
      <c r="G1190">
        <v>-204.65190000000001</v>
      </c>
      <c r="H1190" s="1">
        <v>-4.4733960000000001E-6</v>
      </c>
      <c r="I1190">
        <v>361.97800000000001</v>
      </c>
      <c r="J1190">
        <v>-214.07830000000001</v>
      </c>
      <c r="K1190">
        <v>1.1062620000000001</v>
      </c>
      <c r="L1190">
        <v>367.89449999999999</v>
      </c>
      <c r="M1190">
        <v>0.99729129999999999</v>
      </c>
      <c r="N1190">
        <v>-1.4380510000000001E-2</v>
      </c>
      <c r="O1190">
        <v>-7.2135399999999905E-2</v>
      </c>
      <c r="P1190">
        <v>0.95335559999999997</v>
      </c>
      <c r="Q1190">
        <v>-5.6423220000000003E-2</v>
      </c>
      <c r="R1190">
        <v>-0.29653020000000002</v>
      </c>
      <c r="S1190">
        <v>2.6326450000000001</v>
      </c>
      <c r="T1190">
        <v>-0.29963040000000002</v>
      </c>
      <c r="U1190">
        <v>-1.6089169999999999</v>
      </c>
      <c r="V1190">
        <v>0.22661919999999999</v>
      </c>
      <c r="W1190">
        <v>-4.4320489999999997E-2</v>
      </c>
      <c r="X1190">
        <v>0.97297449999999996</v>
      </c>
      <c r="Y1190">
        <v>0.45633620000000003</v>
      </c>
      <c r="Z1190">
        <v>-2.08636E-2</v>
      </c>
      <c r="AA1190">
        <v>0.88956279999999999</v>
      </c>
      <c r="AB1190">
        <v>30</v>
      </c>
      <c r="AC1190">
        <v>9.4263999999999992</v>
      </c>
      <c r="AD1190">
        <v>-1.1062664733959999</v>
      </c>
      <c r="AE1190">
        <v>-5.9164999999999797</v>
      </c>
      <c r="AF1190">
        <v>5.1699540361509797</v>
      </c>
      <c r="AG1190">
        <v>-1.1062664733959999</v>
      </c>
      <c r="AH1190">
        <v>9.7325082900671802</v>
      </c>
      <c r="AI1190">
        <v>95.732326747918705</v>
      </c>
      <c r="AJ1190">
        <v>62.022550368372698</v>
      </c>
      <c r="AK1190">
        <v>11.0758280892356</v>
      </c>
      <c r="AL1190">
        <v>92.540209180388501</v>
      </c>
      <c r="AM1190">
        <v>76.888775498637898</v>
      </c>
      <c r="AN1190">
        <v>0.99999997264636398</v>
      </c>
    </row>
    <row r="1191" spans="1:40" x14ac:dyDescent="0.25">
      <c r="A1191" t="str">
        <f>"20190305135813767"</f>
        <v>20190305135813767</v>
      </c>
      <c r="B1191" t="str">
        <f>"1551765493759824"</f>
        <v>1551765493759824</v>
      </c>
      <c r="C1191" t="s">
        <v>40</v>
      </c>
      <c r="D1191">
        <v>4.0382829999999998</v>
      </c>
      <c r="E1191">
        <v>0.5967713</v>
      </c>
      <c r="F1191" t="s">
        <v>50</v>
      </c>
      <c r="G1191">
        <v>-204.3974</v>
      </c>
      <c r="H1191" s="1">
        <v>-4.3651279999999999E-6</v>
      </c>
      <c r="I1191">
        <v>361.8886</v>
      </c>
      <c r="J1191">
        <v>-213.86940000000001</v>
      </c>
      <c r="K1191">
        <v>1.1061589999999999</v>
      </c>
      <c r="L1191">
        <v>367.87630000000001</v>
      </c>
      <c r="M1191">
        <v>0.99705960000000005</v>
      </c>
      <c r="N1191">
        <v>-1.438591E-2</v>
      </c>
      <c r="O1191">
        <v>-7.5267909999999993E-2</v>
      </c>
      <c r="P1191">
        <v>0.95229459999999999</v>
      </c>
      <c r="Q1191">
        <v>-5.7180290000000002E-2</v>
      </c>
      <c r="R1191">
        <v>-0.29977569999999998</v>
      </c>
      <c r="S1191">
        <v>2.622925</v>
      </c>
      <c r="T1191">
        <v>-0.29972910000000003</v>
      </c>
      <c r="U1191">
        <v>-1.6272279999999999</v>
      </c>
      <c r="V1191">
        <v>0.22686290000000001</v>
      </c>
      <c r="W1191">
        <v>-4.5131079999999997E-2</v>
      </c>
      <c r="X1191">
        <v>0.97288050000000004</v>
      </c>
      <c r="Y1191">
        <v>0.45949410000000002</v>
      </c>
      <c r="Z1191">
        <v>-2.080773E-2</v>
      </c>
      <c r="AA1191">
        <v>0.88793709999999904</v>
      </c>
      <c r="AB1191">
        <v>30</v>
      </c>
      <c r="AC1191">
        <v>9.4719999999999995</v>
      </c>
      <c r="AD1191">
        <v>-1.1061633651279901</v>
      </c>
      <c r="AE1191">
        <v>-5.98770000000001</v>
      </c>
      <c r="AF1191">
        <v>5.2069621538684299</v>
      </c>
      <c r="AG1191">
        <v>-1.1061633651279901</v>
      </c>
      <c r="AH1191">
        <v>9.8003569115464995</v>
      </c>
      <c r="AI1191">
        <v>95.692144788046804</v>
      </c>
      <c r="AJ1191">
        <v>62.018143128859897</v>
      </c>
      <c r="AK1191">
        <v>11.152714819982901</v>
      </c>
      <c r="AL1191">
        <v>92.586698946597707</v>
      </c>
      <c r="AM1191">
        <v>76.873939667166496</v>
      </c>
      <c r="AN1191">
        <v>1.00000002852931</v>
      </c>
    </row>
    <row r="1192" spans="1:40" x14ac:dyDescent="0.25">
      <c r="A1192" t="str">
        <f>"20190305135813781"</f>
        <v>20190305135813781</v>
      </c>
      <c r="B1192" t="str">
        <f>"1551765493769584"</f>
        <v>1551765493769584</v>
      </c>
      <c r="C1192" t="s">
        <v>40</v>
      </c>
      <c r="D1192">
        <v>4.0151969999999997</v>
      </c>
      <c r="E1192">
        <v>0.59703240000000002</v>
      </c>
      <c r="F1192" t="s">
        <v>50</v>
      </c>
      <c r="G1192">
        <v>-204.22219999999999</v>
      </c>
      <c r="H1192" s="1">
        <v>-4.2905590000000004E-6</v>
      </c>
      <c r="I1192">
        <v>361.82740000000001</v>
      </c>
      <c r="J1192">
        <v>-213.6927</v>
      </c>
      <c r="K1192">
        <v>1.106069</v>
      </c>
      <c r="L1192">
        <v>367.8603</v>
      </c>
      <c r="M1192">
        <v>0.99685140000000005</v>
      </c>
      <c r="N1192">
        <v>-1.4390719999999999E-2</v>
      </c>
      <c r="O1192">
        <v>-7.7976649999999995E-2</v>
      </c>
      <c r="P1192">
        <v>0.95116860000000003</v>
      </c>
      <c r="Q1192">
        <v>-5.7926779999999997E-2</v>
      </c>
      <c r="R1192">
        <v>-0.30318850000000003</v>
      </c>
      <c r="S1192">
        <v>2.615936</v>
      </c>
      <c r="T1192">
        <v>-0.29994949999999998</v>
      </c>
      <c r="U1192">
        <v>-1.64022799999999</v>
      </c>
      <c r="V1192">
        <v>0.2276947</v>
      </c>
      <c r="W1192">
        <v>-4.5931689999999997E-2</v>
      </c>
      <c r="X1192">
        <v>0.97264870000000003</v>
      </c>
      <c r="Y1192">
        <v>0.4613138</v>
      </c>
      <c r="Z1192">
        <v>-2.0707449999999999E-2</v>
      </c>
      <c r="AA1192">
        <v>0.88699539999999999</v>
      </c>
      <c r="AB1192">
        <v>30</v>
      </c>
      <c r="AC1192">
        <v>9.4705000000000101</v>
      </c>
      <c r="AD1192">
        <v>-1.1060732905589901</v>
      </c>
      <c r="AE1192">
        <v>-6.0328999999999802</v>
      </c>
      <c r="AF1192">
        <v>5.2252727240979597</v>
      </c>
      <c r="AG1192">
        <v>-1.1060732905589901</v>
      </c>
      <c r="AH1192">
        <v>9.8168802371791593</v>
      </c>
      <c r="AI1192">
        <v>95.679895370159201</v>
      </c>
      <c r="AJ1192">
        <v>61.974776114221797</v>
      </c>
      <c r="AK1192">
        <v>11.175777859120499</v>
      </c>
      <c r="AL1192">
        <v>92.632618099345805</v>
      </c>
      <c r="AM1192">
        <v>76.824457921699207</v>
      </c>
      <c r="AN1192">
        <v>1.00000004508301</v>
      </c>
    </row>
    <row r="1193" spans="1:40" x14ac:dyDescent="0.25">
      <c r="A1193" t="str">
        <f>"20190305135813795"</f>
        <v>20190305135813795</v>
      </c>
      <c r="B1193" t="str">
        <f>"1551765493790080"</f>
        <v>1551765493790080</v>
      </c>
      <c r="C1193" t="s">
        <v>40</v>
      </c>
      <c r="D1193">
        <v>4.0293720000000004</v>
      </c>
      <c r="E1193">
        <v>0.60424820000000001</v>
      </c>
      <c r="F1193" t="s">
        <v>50</v>
      </c>
      <c r="G1193">
        <v>-204.0924</v>
      </c>
      <c r="H1193" s="1">
        <v>-4.2347189999999998E-6</v>
      </c>
      <c r="I1193">
        <v>361.78440000000001</v>
      </c>
      <c r="J1193">
        <v>-213.4743</v>
      </c>
      <c r="K1193">
        <v>1.1059479999999999</v>
      </c>
      <c r="L1193">
        <v>367.83969999999999</v>
      </c>
      <c r="M1193">
        <v>0.99657430000000002</v>
      </c>
      <c r="N1193">
        <v>-1.4397409999999999E-2</v>
      </c>
      <c r="O1193">
        <v>-8.1439259999999999E-2</v>
      </c>
      <c r="P1193">
        <v>0.94946770000000003</v>
      </c>
      <c r="Q1193">
        <v>-5.9367870000000003E-2</v>
      </c>
      <c r="R1193">
        <v>-0.30819930000000001</v>
      </c>
      <c r="S1193">
        <v>2.6093289999999998</v>
      </c>
      <c r="T1193">
        <v>-0.30062539999999999</v>
      </c>
      <c r="U1193">
        <v>-1.6513979999999999</v>
      </c>
      <c r="V1193">
        <v>0.22942360000000001</v>
      </c>
      <c r="W1193">
        <v>-4.7452319999999999E-2</v>
      </c>
      <c r="X1193">
        <v>0.97216930000000001</v>
      </c>
      <c r="Y1193">
        <v>0.4619588</v>
      </c>
      <c r="Z1193">
        <v>-2.0492400000000001E-2</v>
      </c>
      <c r="AA1193">
        <v>0.88666460000000002</v>
      </c>
      <c r="AB1193">
        <v>30</v>
      </c>
      <c r="AC1193">
        <v>9.3818999999999999</v>
      </c>
      <c r="AD1193">
        <v>-1.1059522347189901</v>
      </c>
      <c r="AE1193">
        <v>-6.0552999999999804</v>
      </c>
      <c r="AF1193">
        <v>5.2198430435642402</v>
      </c>
      <c r="AG1193">
        <v>-1.1059522347189901</v>
      </c>
      <c r="AH1193">
        <v>9.7482928699932891</v>
      </c>
      <c r="AI1193">
        <v>95.711452731600403</v>
      </c>
      <c r="AJ1193">
        <v>61.832630542066603</v>
      </c>
      <c r="AK1193">
        <v>11.113015145498901</v>
      </c>
      <c r="AL1193">
        <v>92.719838956617906</v>
      </c>
      <c r="AM1193">
        <v>76.721630119325795</v>
      </c>
      <c r="AN1193">
        <v>1.00000002938641</v>
      </c>
    </row>
    <row r="1194" spans="1:40" x14ac:dyDescent="0.25">
      <c r="A1194" t="str">
        <f>"20190305135813809"</f>
        <v>20190305135813809</v>
      </c>
      <c r="B1194" t="str">
        <f>"1551765493799840"</f>
        <v>1551765493799840</v>
      </c>
      <c r="C1194" t="s">
        <v>40</v>
      </c>
      <c r="D1194">
        <v>4.01213</v>
      </c>
      <c r="E1194">
        <v>0.60404969999999902</v>
      </c>
      <c r="F1194" t="s">
        <v>50</v>
      </c>
      <c r="G1194">
        <v>-203.61770000000001</v>
      </c>
      <c r="H1194" s="1">
        <v>-4.1079839999999999E-6</v>
      </c>
      <c r="I1194">
        <v>361.27870000000001</v>
      </c>
      <c r="J1194">
        <v>-213.30430000000001</v>
      </c>
      <c r="K1194">
        <v>1.1058509999999999</v>
      </c>
      <c r="L1194">
        <v>367.8229</v>
      </c>
      <c r="M1194">
        <v>0.99634219999999896</v>
      </c>
      <c r="N1194">
        <v>-1.440345E-2</v>
      </c>
      <c r="O1194">
        <v>-8.4230379999999994E-2</v>
      </c>
      <c r="P1194">
        <v>0.94825579999999998</v>
      </c>
      <c r="Q1194">
        <v>-5.9682060000000002E-2</v>
      </c>
      <c r="R1194">
        <v>-0.31184790000000001</v>
      </c>
      <c r="S1194">
        <v>2.5833439999999999</v>
      </c>
      <c r="T1194">
        <v>-0.28986200000000001</v>
      </c>
      <c r="U1194">
        <v>-1.7196039999999999</v>
      </c>
      <c r="V1194">
        <v>0.23042570000000001</v>
      </c>
      <c r="W1194">
        <v>-4.7825520000000003E-2</v>
      </c>
      <c r="X1194">
        <v>0.9719139</v>
      </c>
      <c r="Y1194">
        <v>0.47987740000000001</v>
      </c>
      <c r="Z1194">
        <v>-2.078791E-2</v>
      </c>
      <c r="AA1194">
        <v>0.87708929999999996</v>
      </c>
      <c r="AB1194">
        <v>30</v>
      </c>
      <c r="AC1194">
        <v>9.6866000000000003</v>
      </c>
      <c r="AD1194">
        <v>-1.105855107984</v>
      </c>
      <c r="AE1194">
        <v>-6.5441999999999796</v>
      </c>
      <c r="AF1194">
        <v>5.6543487480539998</v>
      </c>
      <c r="AG1194">
        <v>-1.105855107984</v>
      </c>
      <c r="AH1194">
        <v>10.1129484284894</v>
      </c>
      <c r="AI1194">
        <v>95.452062512398697</v>
      </c>
      <c r="AJ1194">
        <v>60.789584200537298</v>
      </c>
      <c r="AK1194">
        <v>11.638999149487001</v>
      </c>
      <c r="AL1194">
        <v>92.741246246668794</v>
      </c>
      <c r="AM1194">
        <v>76.662320099319103</v>
      </c>
      <c r="AN1194">
        <v>0.99999995629848404</v>
      </c>
    </row>
    <row r="1195" spans="1:40" x14ac:dyDescent="0.25">
      <c r="A1195" t="str">
        <f>"20190305135813831"</f>
        <v>20190305135813831</v>
      </c>
      <c r="B1195" t="str">
        <f>"1551765493819360"</f>
        <v>1551765493819360</v>
      </c>
      <c r="C1195" t="s">
        <v>40</v>
      </c>
      <c r="D1195">
        <v>4.0202720000000003</v>
      </c>
      <c r="E1195">
        <v>0.60450669999999995</v>
      </c>
      <c r="F1195" t="s">
        <v>50</v>
      </c>
      <c r="G1195">
        <v>-203.06209999999999</v>
      </c>
      <c r="H1195" s="1">
        <v>-3.8994089999999999E-6</v>
      </c>
      <c r="I1195">
        <v>360.95859999999999</v>
      </c>
      <c r="J1195">
        <v>-213.0198</v>
      </c>
      <c r="K1195">
        <v>1.1056820000000001</v>
      </c>
      <c r="L1195">
        <v>367.79390000000001</v>
      </c>
      <c r="M1195">
        <v>0.99592170000000002</v>
      </c>
      <c r="N1195">
        <v>-1.4414359999999999E-2</v>
      </c>
      <c r="O1195">
        <v>-8.906153E-2</v>
      </c>
      <c r="P1195">
        <v>0.94601639999999998</v>
      </c>
      <c r="Q1195">
        <v>-6.0999209999999998E-2</v>
      </c>
      <c r="R1195">
        <v>-0.31832729999999998</v>
      </c>
      <c r="S1195">
        <v>2.5779719999999999</v>
      </c>
      <c r="T1195">
        <v>-0.27834639999999999</v>
      </c>
      <c r="U1195">
        <v>-1.7277830000000001</v>
      </c>
      <c r="V1195">
        <v>0.2323334</v>
      </c>
      <c r="W1195">
        <v>-4.9254300000000001E-2</v>
      </c>
      <c r="X1195">
        <v>0.97138829999999998</v>
      </c>
      <c r="Y1195">
        <v>0.47856100000000001</v>
      </c>
      <c r="Z1195">
        <v>-1.970394E-2</v>
      </c>
      <c r="AA1195">
        <v>0.87783319999999998</v>
      </c>
      <c r="AB1195">
        <v>30</v>
      </c>
      <c r="AC1195">
        <v>9.9577000000000098</v>
      </c>
      <c r="AD1195">
        <v>-1.105685899409</v>
      </c>
      <c r="AE1195">
        <v>-6.8353000000000099</v>
      </c>
      <c r="AF1195">
        <v>5.87198060449973</v>
      </c>
      <c r="AG1195">
        <v>-1.105685899409</v>
      </c>
      <c r="AH1195">
        <v>10.439457534977601</v>
      </c>
      <c r="AI1195">
        <v>95.274195263022904</v>
      </c>
      <c r="AJ1195">
        <v>60.643139757540901</v>
      </c>
      <c r="AK1195">
        <v>12.028506605242899</v>
      </c>
      <c r="AL1195">
        <v>92.823205773952296</v>
      </c>
      <c r="AM1195">
        <v>76.548880234227596</v>
      </c>
      <c r="AN1195">
        <v>1.00000001210047</v>
      </c>
    </row>
    <row r="1196" spans="1:40" x14ac:dyDescent="0.25">
      <c r="A1196" t="str">
        <f>"20190305135813846"</f>
        <v>20190305135813846</v>
      </c>
      <c r="B1196" t="str">
        <f>"1551765493839856"</f>
        <v>1551765493839856</v>
      </c>
      <c r="C1196" t="s">
        <v>40</v>
      </c>
      <c r="D1196">
        <v>4.0360189999999996</v>
      </c>
      <c r="E1196">
        <v>0.60510540000000002</v>
      </c>
      <c r="F1196" t="s">
        <v>50</v>
      </c>
      <c r="G1196">
        <v>-202.9263</v>
      </c>
      <c r="H1196" s="1">
        <v>-3.8417430000000001E-6</v>
      </c>
      <c r="I1196">
        <v>360.91030000000001</v>
      </c>
      <c r="J1196">
        <v>-212.81319999999999</v>
      </c>
      <c r="K1196">
        <v>1.1055410000000001</v>
      </c>
      <c r="L1196">
        <v>367.77170000000001</v>
      </c>
      <c r="M1196">
        <v>0.99558619999999998</v>
      </c>
      <c r="N1196">
        <v>-1.442396E-2</v>
      </c>
      <c r="O1196">
        <v>-9.273708E-2</v>
      </c>
      <c r="P1196">
        <v>0.94450400000000001</v>
      </c>
      <c r="Q1196">
        <v>-6.1486180000000001E-2</v>
      </c>
      <c r="R1196">
        <v>-0.32269439999999999</v>
      </c>
      <c r="S1196">
        <v>2.5645449999999999</v>
      </c>
      <c r="T1196">
        <v>-0.28093050000000003</v>
      </c>
      <c r="U1196">
        <v>-1.7489619999999999</v>
      </c>
      <c r="V1196">
        <v>0.23321620000000001</v>
      </c>
      <c r="W1196">
        <v>-4.9823760000000002E-2</v>
      </c>
      <c r="X1196">
        <v>0.97114769999999995</v>
      </c>
      <c r="Y1196">
        <v>0.4823634</v>
      </c>
      <c r="Z1196">
        <v>-1.9793430000000001E-2</v>
      </c>
      <c r="AA1196">
        <v>0.87574759999999996</v>
      </c>
      <c r="AB1196">
        <v>30</v>
      </c>
      <c r="AC1196">
        <v>9.88689999999999</v>
      </c>
      <c r="AD1196">
        <v>-1.1055448417429901</v>
      </c>
      <c r="AE1196">
        <v>-6.8613999999999997</v>
      </c>
      <c r="AF1196">
        <v>5.8653497633031098</v>
      </c>
      <c r="AG1196">
        <v>-1.1055448417429901</v>
      </c>
      <c r="AH1196">
        <v>10.3929502010522</v>
      </c>
      <c r="AI1196">
        <v>95.292760027168697</v>
      </c>
      <c r="AJ1196">
        <v>60.561420713178897</v>
      </c>
      <c r="AK1196">
        <v>11.9849059706172</v>
      </c>
      <c r="AL1196">
        <v>92.855873489845607</v>
      </c>
      <c r="AM1196">
        <v>76.496415154886094</v>
      </c>
      <c r="AN1196">
        <v>1.00000002910913</v>
      </c>
    </row>
    <row r="1197" spans="1:40" x14ac:dyDescent="0.25">
      <c r="A1197" t="str">
        <f>"20190305135813862"</f>
        <v>20190305135813862</v>
      </c>
      <c r="B1197" t="str">
        <f>"1551765493849616"</f>
        <v>1551765493849616</v>
      </c>
      <c r="C1197" t="s">
        <v>40</v>
      </c>
      <c r="D1197">
        <v>4.0238769999999997</v>
      </c>
      <c r="E1197">
        <v>0.60535649999999996</v>
      </c>
      <c r="F1197" t="s">
        <v>50</v>
      </c>
      <c r="G1197">
        <v>-202.54259999999999</v>
      </c>
      <c r="H1197" s="1">
        <v>-3.7006050000000001E-6</v>
      </c>
      <c r="I1197">
        <v>360.67599999999999</v>
      </c>
      <c r="J1197">
        <v>-212.6078</v>
      </c>
      <c r="K1197">
        <v>1.105386</v>
      </c>
      <c r="L1197">
        <v>367.74880000000002</v>
      </c>
      <c r="M1197">
        <v>0.9952261</v>
      </c>
      <c r="N1197">
        <v>-1.443501E-2</v>
      </c>
      <c r="O1197">
        <v>-9.6522499999999997E-2</v>
      </c>
      <c r="P1197">
        <v>0.94294020000000001</v>
      </c>
      <c r="Q1197">
        <v>-6.1490400000000001E-2</v>
      </c>
      <c r="R1197">
        <v>-0.327235</v>
      </c>
      <c r="S1197">
        <v>2.555237</v>
      </c>
      <c r="T1197">
        <v>-0.27505079999999998</v>
      </c>
      <c r="U1197">
        <v>-1.76535</v>
      </c>
      <c r="V1197">
        <v>0.2341762</v>
      </c>
      <c r="W1197">
        <v>-4.9916559999999999E-2</v>
      </c>
      <c r="X1197">
        <v>0.97091190000000005</v>
      </c>
      <c r="Y1197">
        <v>0.48440430000000001</v>
      </c>
      <c r="Z1197">
        <v>-1.9319389999999999E-2</v>
      </c>
      <c r="AA1197">
        <v>0.87463089999999999</v>
      </c>
      <c r="AB1197">
        <v>30</v>
      </c>
      <c r="AC1197">
        <v>10.065200000000001</v>
      </c>
      <c r="AD1197">
        <v>-1.105389700605</v>
      </c>
      <c r="AE1197">
        <v>-7.0728000000000204</v>
      </c>
      <c r="AF1197">
        <v>6.0195464358194704</v>
      </c>
      <c r="AG1197">
        <v>-1.105389700605</v>
      </c>
      <c r="AH1197">
        <v>10.615240012252</v>
      </c>
      <c r="AI1197">
        <v>95.175835498701204</v>
      </c>
      <c r="AJ1197">
        <v>60.443882493551598</v>
      </c>
      <c r="AK1197">
        <v>12.2531688228354</v>
      </c>
      <c r="AL1197">
        <v>92.861197140818305</v>
      </c>
      <c r="AM1197">
        <v>76.439706323334406</v>
      </c>
      <c r="AN1197">
        <v>1.00000003658514</v>
      </c>
    </row>
    <row r="1198" spans="1:40" x14ac:dyDescent="0.25">
      <c r="A1198" t="str">
        <f>"20190305135813874"</f>
        <v>20190305135813874</v>
      </c>
      <c r="B1198" t="str">
        <f>"1551765493870113"</f>
        <v>1551765493870113</v>
      </c>
      <c r="C1198" t="s">
        <v>40</v>
      </c>
      <c r="D1198">
        <v>4.0327950000000001</v>
      </c>
      <c r="E1198">
        <v>0.60657340000000004</v>
      </c>
      <c r="F1198" t="s">
        <v>50</v>
      </c>
      <c r="G1198">
        <v>-202.31909999999999</v>
      </c>
      <c r="H1198" s="1">
        <v>-3.6146230000000001E-6</v>
      </c>
      <c r="I1198">
        <v>360.55650000000003</v>
      </c>
      <c r="J1198">
        <v>-212.42869999999999</v>
      </c>
      <c r="K1198">
        <v>1.1052360000000001</v>
      </c>
      <c r="L1198">
        <v>367.72800000000001</v>
      </c>
      <c r="M1198">
        <v>0.99488639999999995</v>
      </c>
      <c r="N1198">
        <v>-1.444633E-2</v>
      </c>
      <c r="O1198">
        <v>-9.9961480000000005E-2</v>
      </c>
      <c r="P1198">
        <v>0.94099350000000004</v>
      </c>
      <c r="Q1198">
        <v>-6.3099059999999998E-2</v>
      </c>
      <c r="R1198">
        <v>-0.33249030000000002</v>
      </c>
      <c r="S1198">
        <v>2.5460660000000002</v>
      </c>
      <c r="T1198">
        <v>-0.27354230000000002</v>
      </c>
      <c r="U1198">
        <v>-1.7798160000000001</v>
      </c>
      <c r="V1198">
        <v>0.2362108</v>
      </c>
      <c r="W1198">
        <v>-5.1626709999999999E-2</v>
      </c>
      <c r="X1198">
        <v>0.97032940000000001</v>
      </c>
      <c r="Y1198">
        <v>0.48621880000000001</v>
      </c>
      <c r="Z1198">
        <v>-1.909346E-2</v>
      </c>
      <c r="AA1198">
        <v>0.87362839999999997</v>
      </c>
      <c r="AB1198">
        <v>30</v>
      </c>
      <c r="AC1198">
        <v>10.1096</v>
      </c>
      <c r="AD1198">
        <v>-1.1052396146229999</v>
      </c>
      <c r="AE1198">
        <v>-7.1714999999999796</v>
      </c>
      <c r="AF1198">
        <v>6.0765813827019297</v>
      </c>
      <c r="AG1198">
        <v>-1.1052396146229999</v>
      </c>
      <c r="AH1198">
        <v>10.690898276220899</v>
      </c>
      <c r="AI1198">
        <v>95.135809562270197</v>
      </c>
      <c r="AJ1198">
        <v>60.386607159005798</v>
      </c>
      <c r="AK1198">
        <v>12.3467283868575</v>
      </c>
      <c r="AL1198">
        <v>92.959308164213795</v>
      </c>
      <c r="AM1198">
        <v>76.3183947776228</v>
      </c>
      <c r="AN1198">
        <v>1.00000000186321</v>
      </c>
    </row>
    <row r="1199" spans="1:40" x14ac:dyDescent="0.25">
      <c r="A1199" t="str">
        <f>"20190305135813888"</f>
        <v>20190305135813888</v>
      </c>
      <c r="B1199" t="str">
        <f>"1551765493879873"</f>
        <v>1551765493879873</v>
      </c>
      <c r="C1199" t="s">
        <v>40</v>
      </c>
      <c r="D1199">
        <v>4.0236179999999999</v>
      </c>
      <c r="E1199">
        <v>0.60714669999999904</v>
      </c>
      <c r="F1199" t="s">
        <v>50</v>
      </c>
      <c r="G1199">
        <v>-202.3724</v>
      </c>
      <c r="H1199" s="1">
        <v>-3.6389290000000002E-6</v>
      </c>
      <c r="I1199">
        <v>360.56790000000001</v>
      </c>
      <c r="J1199">
        <v>-212.25640000000001</v>
      </c>
      <c r="K1199">
        <v>1.1050799999999901</v>
      </c>
      <c r="L1199">
        <v>367.7072</v>
      </c>
      <c r="M1199">
        <v>0.99453429999999998</v>
      </c>
      <c r="N1199">
        <v>-1.4458769999999999E-2</v>
      </c>
      <c r="O1199">
        <v>-0.1034047</v>
      </c>
      <c r="P1199">
        <v>0.93945179999999995</v>
      </c>
      <c r="Q1199">
        <v>-6.3583699999999896E-2</v>
      </c>
      <c r="R1199">
        <v>-0.3367309</v>
      </c>
      <c r="S1199">
        <v>2.532349</v>
      </c>
      <c r="T1199">
        <v>-0.27831879999999998</v>
      </c>
      <c r="U1199">
        <v>-1.80304</v>
      </c>
      <c r="V1199">
        <v>0.2372068</v>
      </c>
      <c r="W1199">
        <v>-5.2198439999999999E-2</v>
      </c>
      <c r="X1199">
        <v>0.97005580000000002</v>
      </c>
      <c r="Y1199">
        <v>0.49067460000000002</v>
      </c>
      <c r="Z1199">
        <v>-1.9344799999999999E-2</v>
      </c>
      <c r="AA1199">
        <v>0.87112809999999896</v>
      </c>
      <c r="AB1199">
        <v>30</v>
      </c>
      <c r="AC1199">
        <v>9.8840000000000092</v>
      </c>
      <c r="AD1199">
        <v>-1.10508363892899</v>
      </c>
      <c r="AE1199">
        <v>-7.1392999999999898</v>
      </c>
      <c r="AF1199">
        <v>6.0293332763570104</v>
      </c>
      <c r="AG1199">
        <v>-1.10508363892899</v>
      </c>
      <c r="AH1199">
        <v>10.4832032349375</v>
      </c>
      <c r="AI1199">
        <v>95.221133312231203</v>
      </c>
      <c r="AJ1199">
        <v>60.094972610895098</v>
      </c>
      <c r="AK1199">
        <v>12.1437893456457</v>
      </c>
      <c r="AL1199">
        <v>92.992110117925805</v>
      </c>
      <c r="AM1199">
        <v>76.259158860168498</v>
      </c>
      <c r="AN1199">
        <v>0.99999999910915605</v>
      </c>
    </row>
    <row r="1200" spans="1:40" x14ac:dyDescent="0.25">
      <c r="A1200" t="str">
        <f>"20190305135813902"</f>
        <v>20190305135813902</v>
      </c>
      <c r="B1200" t="str">
        <f>"1551765493889633"</f>
        <v>1551765493889633</v>
      </c>
      <c r="C1200" t="s">
        <v>40</v>
      </c>
      <c r="D1200">
        <v>3.9818359999999999</v>
      </c>
      <c r="E1200">
        <v>0.60746040000000001</v>
      </c>
      <c r="F1200" t="s">
        <v>50</v>
      </c>
      <c r="G1200">
        <v>-202.249</v>
      </c>
      <c r="H1200" s="1">
        <v>-3.593831E-6</v>
      </c>
      <c r="I1200">
        <v>360.49130000000002</v>
      </c>
      <c r="J1200">
        <v>-212.07259999999999</v>
      </c>
      <c r="K1200">
        <v>1.104914</v>
      </c>
      <c r="L1200">
        <v>367.68439999999998</v>
      </c>
      <c r="M1200">
        <v>0.99413370000000001</v>
      </c>
      <c r="N1200">
        <v>-1.447271E-2</v>
      </c>
      <c r="O1200">
        <v>-0.1071855</v>
      </c>
      <c r="P1200">
        <v>0.93782220000000005</v>
      </c>
      <c r="Q1200">
        <v>-6.4289250000000006E-2</v>
      </c>
      <c r="R1200">
        <v>-0.34111089999999999</v>
      </c>
      <c r="S1200">
        <v>2.5225520000000001</v>
      </c>
      <c r="T1200">
        <v>-0.27855730000000001</v>
      </c>
      <c r="U1200">
        <v>-1.8189090000000001</v>
      </c>
      <c r="V1200">
        <v>0.23802039999999999</v>
      </c>
      <c r="W1200">
        <v>-5.2998290000000003E-2</v>
      </c>
      <c r="X1200">
        <v>0.96981309999999998</v>
      </c>
      <c r="Y1200">
        <v>0.49257309999999999</v>
      </c>
      <c r="Z1200">
        <v>-1.9182189999999998E-2</v>
      </c>
      <c r="AA1200">
        <v>0.87005959999999904</v>
      </c>
      <c r="AB1200">
        <v>30</v>
      </c>
      <c r="AC1200">
        <v>9.8235999999999706</v>
      </c>
      <c r="AD1200">
        <v>-1.1049175938310001</v>
      </c>
      <c r="AE1200">
        <v>-7.1930999999999496</v>
      </c>
      <c r="AF1200">
        <v>6.0487804067284499</v>
      </c>
      <c r="AG1200">
        <v>-1.1049175938310001</v>
      </c>
      <c r="AH1200">
        <v>10.451995448160201</v>
      </c>
      <c r="AI1200">
        <v>95.227796090812205</v>
      </c>
      <c r="AJ1200">
        <v>59.941168490170703</v>
      </c>
      <c r="AK1200">
        <v>12.126532733899699</v>
      </c>
      <c r="AL1200">
        <v>93.038001703921594</v>
      </c>
      <c r="AM1200">
        <v>76.210505747635494</v>
      </c>
      <c r="AN1200">
        <v>0.99999998924534605</v>
      </c>
    </row>
    <row r="1201" spans="1:40" x14ac:dyDescent="0.25">
      <c r="A1201" t="str">
        <f>"20190305135813915"</f>
        <v>20190305135813915</v>
      </c>
      <c r="B1201" t="str">
        <f>"1551765493910129"</f>
        <v>1551765493910129</v>
      </c>
      <c r="C1201" t="s">
        <v>40</v>
      </c>
      <c r="D1201">
        <v>4.0077499999999997</v>
      </c>
      <c r="E1201">
        <v>0.60823890000000003</v>
      </c>
      <c r="F1201" t="s">
        <v>50</v>
      </c>
      <c r="G1201">
        <v>-202.1292</v>
      </c>
      <c r="H1201" s="1">
        <v>-3.546835E-6</v>
      </c>
      <c r="I1201">
        <v>360.43130000000002</v>
      </c>
      <c r="J1201">
        <v>-211.8845</v>
      </c>
      <c r="K1201">
        <v>1.1047309999999999</v>
      </c>
      <c r="L1201">
        <v>367.6601</v>
      </c>
      <c r="M1201">
        <v>0.99368939999999994</v>
      </c>
      <c r="N1201">
        <v>-1.448842E-2</v>
      </c>
      <c r="O1201">
        <v>-0.11122890000000001</v>
      </c>
      <c r="P1201">
        <v>0.93609350000000002</v>
      </c>
      <c r="Q1201">
        <v>-6.4782580000000006E-2</v>
      </c>
      <c r="R1201">
        <v>-0.34573520000000002</v>
      </c>
      <c r="S1201">
        <v>2.5130159999999999</v>
      </c>
      <c r="T1201">
        <v>-0.27924870000000002</v>
      </c>
      <c r="U1201">
        <v>-1.833099</v>
      </c>
      <c r="V1201">
        <v>0.23883480000000001</v>
      </c>
      <c r="W1201">
        <v>-5.3596049999999999E-2</v>
      </c>
      <c r="X1201">
        <v>0.96958</v>
      </c>
      <c r="Y1201">
        <v>0.49381039999999998</v>
      </c>
      <c r="Z1201">
        <v>-1.8982120000000002E-2</v>
      </c>
      <c r="AA1201">
        <v>0.86936239999999998</v>
      </c>
      <c r="AB1201">
        <v>30</v>
      </c>
      <c r="AC1201">
        <v>9.7553000000000001</v>
      </c>
      <c r="AD1201">
        <v>-1.1047345468349901</v>
      </c>
      <c r="AE1201">
        <v>-7.2287999999999704</v>
      </c>
      <c r="AF1201">
        <v>6.0486751757076398</v>
      </c>
      <c r="AG1201">
        <v>-1.1047345468349901</v>
      </c>
      <c r="AH1201">
        <v>10.412687387001</v>
      </c>
      <c r="AI1201">
        <v>95.241635871702201</v>
      </c>
      <c r="AJ1201">
        <v>59.847921999151197</v>
      </c>
      <c r="AK1201">
        <v>12.0925997378398</v>
      </c>
      <c r="AL1201">
        <v>93.072299583561005</v>
      </c>
      <c r="AM1201">
        <v>76.161935741407206</v>
      </c>
      <c r="AN1201">
        <v>0.99999998733332096</v>
      </c>
    </row>
    <row r="1202" spans="1:40" x14ac:dyDescent="0.25">
      <c r="A1202" t="str">
        <f>"20190305135813930"</f>
        <v>20190305135813930</v>
      </c>
      <c r="B1202" t="str">
        <f>"1551765493919889"</f>
        <v>1551765493919889</v>
      </c>
      <c r="C1202" t="s">
        <v>40</v>
      </c>
      <c r="D1202">
        <v>3.9996130000000001</v>
      </c>
      <c r="E1202">
        <v>0.60872499999999996</v>
      </c>
      <c r="F1202" t="s">
        <v>50</v>
      </c>
      <c r="G1202">
        <v>-201.98740000000001</v>
      </c>
      <c r="H1202" s="1">
        <v>-3.4971910000000001E-6</v>
      </c>
      <c r="I1202">
        <v>360.33339999999998</v>
      </c>
      <c r="J1202">
        <v>-211.6942</v>
      </c>
      <c r="K1202">
        <v>1.1045430000000001</v>
      </c>
      <c r="L1202">
        <v>367.6345</v>
      </c>
      <c r="M1202">
        <v>0.99319820000000003</v>
      </c>
      <c r="N1202">
        <v>-1.450775E-2</v>
      </c>
      <c r="O1202">
        <v>-0.1155291</v>
      </c>
      <c r="P1202">
        <v>0.93393740000000003</v>
      </c>
      <c r="Q1202">
        <v>-6.4132419999999996E-2</v>
      </c>
      <c r="R1202">
        <v>-0.35163640000000002</v>
      </c>
      <c r="S1202">
        <v>2.5014949999999998</v>
      </c>
      <c r="T1202">
        <v>-0.27922269999999999</v>
      </c>
      <c r="U1202">
        <v>-1.851837</v>
      </c>
      <c r="V1202">
        <v>0.24073240000000001</v>
      </c>
      <c r="W1202">
        <v>-5.3072290000000001E-2</v>
      </c>
      <c r="X1202">
        <v>0.96913950000000004</v>
      </c>
      <c r="Y1202">
        <v>0.49617240000000001</v>
      </c>
      <c r="Z1202">
        <v>-1.87943E-2</v>
      </c>
      <c r="AA1202">
        <v>0.86802060000000003</v>
      </c>
      <c r="AB1202">
        <v>30</v>
      </c>
      <c r="AC1202">
        <v>9.7067999999999799</v>
      </c>
      <c r="AD1202">
        <v>-1.104546497191</v>
      </c>
      <c r="AE1202">
        <v>-7.3011000000000097</v>
      </c>
      <c r="AF1202">
        <v>6.08038300199639</v>
      </c>
      <c r="AG1202">
        <v>-1.104546497191</v>
      </c>
      <c r="AH1202">
        <v>10.3993683304183</v>
      </c>
      <c r="AI1202">
        <v>95.238819925059701</v>
      </c>
      <c r="AJ1202">
        <v>59.685697864589002</v>
      </c>
      <c r="AK1202">
        <v>12.0970220338367</v>
      </c>
      <c r="AL1202">
        <v>93.042247341252306</v>
      </c>
      <c r="AM1202">
        <v>76.050172780828902</v>
      </c>
      <c r="AN1202">
        <v>1.00000006341792</v>
      </c>
    </row>
    <row r="1203" spans="1:40" x14ac:dyDescent="0.25">
      <c r="A1203" t="str">
        <f>"20190305135813946"</f>
        <v>20190305135813946</v>
      </c>
      <c r="B1203" t="str">
        <f>"1551765493939408"</f>
        <v>1551765493939408</v>
      </c>
      <c r="C1203" t="s">
        <v>40</v>
      </c>
      <c r="D1203">
        <v>3.9599959999999998</v>
      </c>
      <c r="E1203">
        <v>0.60955669999999995</v>
      </c>
      <c r="F1203" t="s">
        <v>50</v>
      </c>
      <c r="G1203">
        <v>-201.7209</v>
      </c>
      <c r="H1203" s="1">
        <v>-3.4068850000000002E-6</v>
      </c>
      <c r="I1203">
        <v>360.13589999999999</v>
      </c>
      <c r="J1203">
        <v>-211.4999</v>
      </c>
      <c r="K1203">
        <v>1.1043339999999999</v>
      </c>
      <c r="L1203">
        <v>367.60730000000001</v>
      </c>
      <c r="M1203">
        <v>0.99265689999999995</v>
      </c>
      <c r="N1203">
        <v>-1.452934E-2</v>
      </c>
      <c r="O1203">
        <v>-0.12008820000000001</v>
      </c>
      <c r="P1203">
        <v>0.93204980000000004</v>
      </c>
      <c r="Q1203">
        <v>-6.3030169999999996E-2</v>
      </c>
      <c r="R1203">
        <v>-0.35680600000000001</v>
      </c>
      <c r="S1203">
        <v>2.4887239999999999</v>
      </c>
      <c r="T1203">
        <v>-0.2756284</v>
      </c>
      <c r="U1203">
        <v>-1.8711850000000001</v>
      </c>
      <c r="V1203">
        <v>0.2416295</v>
      </c>
      <c r="W1203">
        <v>-5.208832E-2</v>
      </c>
      <c r="X1203">
        <v>0.96896950000000004</v>
      </c>
      <c r="Y1203">
        <v>0.49868380000000001</v>
      </c>
      <c r="Z1203">
        <v>-1.8433129999999999E-2</v>
      </c>
      <c r="AA1203">
        <v>0.86658799999999903</v>
      </c>
      <c r="AB1203">
        <v>30</v>
      </c>
      <c r="AC1203">
        <v>9.7789999999999893</v>
      </c>
      <c r="AD1203">
        <v>-1.10433740688499</v>
      </c>
      <c r="AE1203">
        <v>-7.4714000000000098</v>
      </c>
      <c r="AF1203">
        <v>6.1929840372782099</v>
      </c>
      <c r="AG1203">
        <v>-1.10433740688499</v>
      </c>
      <c r="AH1203">
        <v>10.520819072213101</v>
      </c>
      <c r="AI1203">
        <v>95.168822312040902</v>
      </c>
      <c r="AJ1203">
        <v>59.517194298566601</v>
      </c>
      <c r="AK1203">
        <v>12.258068622114701</v>
      </c>
      <c r="AL1203">
        <v>92.985792258058595</v>
      </c>
      <c r="AM1203">
        <v>75.997869545074494</v>
      </c>
      <c r="AN1203">
        <v>0.99999995014045995</v>
      </c>
    </row>
    <row r="1204" spans="1:40" x14ac:dyDescent="0.25">
      <c r="A1204" t="str">
        <f>"20190305135813960"</f>
        <v>20190305135813960</v>
      </c>
      <c r="B1204" t="str">
        <f>"1551765493950145"</f>
        <v>1551765493950145</v>
      </c>
      <c r="C1204" t="s">
        <v>40</v>
      </c>
      <c r="D1204">
        <v>3.9360300000000001</v>
      </c>
      <c r="E1204">
        <v>0.60984110000000002</v>
      </c>
      <c r="F1204" t="s">
        <v>50</v>
      </c>
      <c r="G1204">
        <v>-201.51169999999999</v>
      </c>
      <c r="H1204" s="1">
        <v>-3.3365690000000002E-6</v>
      </c>
      <c r="I1204">
        <v>359.97809999999998</v>
      </c>
      <c r="J1204">
        <v>-211.2996</v>
      </c>
      <c r="K1204">
        <v>1.104106</v>
      </c>
      <c r="L1204">
        <v>367.57830000000001</v>
      </c>
      <c r="M1204">
        <v>0.9920523</v>
      </c>
      <c r="N1204">
        <v>-1.455357E-2</v>
      </c>
      <c r="O1204">
        <v>-0.1249822</v>
      </c>
      <c r="P1204">
        <v>0.92988380000000004</v>
      </c>
      <c r="Q1204">
        <v>-6.1651009999999999E-2</v>
      </c>
      <c r="R1204">
        <v>-0.36265069999999999</v>
      </c>
      <c r="S1204">
        <v>2.4761350000000002</v>
      </c>
      <c r="T1204">
        <v>-0.27377000000000001</v>
      </c>
      <c r="U1204">
        <v>-1.891327</v>
      </c>
      <c r="V1204">
        <v>0.24291070000000001</v>
      </c>
      <c r="W1204">
        <v>-5.0843230000000003E-2</v>
      </c>
      <c r="X1204">
        <v>0.96871529999999995</v>
      </c>
      <c r="Y1204">
        <v>0.50101620000000002</v>
      </c>
      <c r="Z1204">
        <v>-1.811921E-2</v>
      </c>
      <c r="AA1204">
        <v>0.86524820000000002</v>
      </c>
      <c r="AB1204">
        <v>30</v>
      </c>
      <c r="AC1204">
        <v>9.7879000000000005</v>
      </c>
      <c r="AD1204">
        <v>-1.104109336569</v>
      </c>
      <c r="AE1204">
        <v>-7.6002000000000196</v>
      </c>
      <c r="AF1204">
        <v>6.2673986062229696</v>
      </c>
      <c r="AG1204">
        <v>-1.104109336569</v>
      </c>
      <c r="AH1204">
        <v>10.5771619006705</v>
      </c>
      <c r="AI1204">
        <v>95.131657384502105</v>
      </c>
      <c r="AJ1204">
        <v>59.351533827050901</v>
      </c>
      <c r="AK1204">
        <v>12.344055111242</v>
      </c>
      <c r="AL1204">
        <v>92.914359073185295</v>
      </c>
      <c r="AM1204">
        <v>75.923022520977597</v>
      </c>
      <c r="AN1204">
        <v>0.99999998733270601</v>
      </c>
    </row>
    <row r="1205" spans="1:40" x14ac:dyDescent="0.25">
      <c r="A1205" t="str">
        <f>"20190305135813974"</f>
        <v>20190305135813974</v>
      </c>
      <c r="B1205" t="str">
        <f>"1551765493969666"</f>
        <v>1551765493969666</v>
      </c>
      <c r="C1205" t="s">
        <v>40</v>
      </c>
      <c r="D1205">
        <v>3.9661810000000002</v>
      </c>
      <c r="E1205">
        <v>0.61814269999999905</v>
      </c>
      <c r="F1205" t="s">
        <v>50</v>
      </c>
      <c r="G1205">
        <v>-201.23429999999999</v>
      </c>
      <c r="H1205" s="1">
        <v>-3.241108E-6</v>
      </c>
      <c r="I1205">
        <v>359.77910000000003</v>
      </c>
      <c r="J1205">
        <v>-211.10419999999999</v>
      </c>
      <c r="K1205">
        <v>1.1038779999999999</v>
      </c>
      <c r="L1205">
        <v>367.54860000000002</v>
      </c>
      <c r="M1205">
        <v>0.99140689999999998</v>
      </c>
      <c r="N1205">
        <v>-1.45807E-2</v>
      </c>
      <c r="O1205">
        <v>-0.12999959999999999</v>
      </c>
      <c r="P1205">
        <v>0.92761530000000003</v>
      </c>
      <c r="Q1205">
        <v>-6.0342920000000001E-2</v>
      </c>
      <c r="R1205">
        <v>-0.3686315</v>
      </c>
      <c r="S1205">
        <v>2.4637760000000002</v>
      </c>
      <c r="T1205">
        <v>-0.27026220000000001</v>
      </c>
      <c r="U1205">
        <v>-1.9090879999999999</v>
      </c>
      <c r="V1205">
        <v>0.244225</v>
      </c>
      <c r="W1205">
        <v>-4.9669909999999998E-2</v>
      </c>
      <c r="X1205">
        <v>0.96844569999999996</v>
      </c>
      <c r="Y1205">
        <v>0.50268710000000005</v>
      </c>
      <c r="Z1205">
        <v>-1.7692050000000001E-2</v>
      </c>
      <c r="AA1205">
        <v>0.86428739999999904</v>
      </c>
      <c r="AB1205">
        <v>30</v>
      </c>
      <c r="AC1205">
        <v>9.8698999999999995</v>
      </c>
      <c r="AD1205">
        <v>-1.1038812411079999</v>
      </c>
      <c r="AE1205">
        <v>-7.7694999999999901</v>
      </c>
      <c r="AF1205">
        <v>6.3711299539413604</v>
      </c>
      <c r="AG1205">
        <v>-1.1038812411079999</v>
      </c>
      <c r="AH1205">
        <v>10.7135240202073</v>
      </c>
      <c r="AI1205">
        <v>95.060910090514597</v>
      </c>
      <c r="AJ1205">
        <v>59.260851809806198</v>
      </c>
      <c r="AK1205">
        <v>12.513570538261099</v>
      </c>
      <c r="AL1205">
        <v>92.847047654868305</v>
      </c>
      <c r="AM1205">
        <v>75.846128044777004</v>
      </c>
      <c r="AN1205">
        <v>1.0000000122164401</v>
      </c>
    </row>
    <row r="1206" spans="1:40" x14ac:dyDescent="0.25">
      <c r="A1206" t="str">
        <f>"20190305135813989"</f>
        <v>20190305135813989</v>
      </c>
      <c r="B1206" t="str">
        <f>"1551765493979424"</f>
        <v>1551765493979424</v>
      </c>
      <c r="C1206" t="s">
        <v>40</v>
      </c>
      <c r="D1206">
        <v>3.9651999999999998</v>
      </c>
      <c r="E1206">
        <v>0.61870909999999901</v>
      </c>
      <c r="F1206" t="s">
        <v>50</v>
      </c>
      <c r="G1206">
        <v>-201.05350000000001</v>
      </c>
      <c r="H1206" s="1">
        <v>-6.3461190000000004E-6</v>
      </c>
      <c r="I1206">
        <v>359.32279999999997</v>
      </c>
      <c r="J1206">
        <v>-210.91640000000001</v>
      </c>
      <c r="K1206">
        <v>1.1036649999999999</v>
      </c>
      <c r="L1206">
        <v>367.5188</v>
      </c>
      <c r="M1206">
        <v>0.99073420000000001</v>
      </c>
      <c r="N1206">
        <v>-1.460885E-2</v>
      </c>
      <c r="O1206">
        <v>-0.1350277</v>
      </c>
      <c r="P1206">
        <v>0.92445549999999999</v>
      </c>
      <c r="Q1206">
        <v>-5.8116399999999999E-2</v>
      </c>
      <c r="R1206">
        <v>-0.3768357</v>
      </c>
      <c r="S1206">
        <v>2.427292</v>
      </c>
      <c r="T1206">
        <v>-0.266592</v>
      </c>
      <c r="U1206">
        <v>-1.986572</v>
      </c>
      <c r="V1206">
        <v>0.2478736</v>
      </c>
      <c r="W1206">
        <v>-4.7613990000000002E-2</v>
      </c>
      <c r="X1206">
        <v>0.96762159999999997</v>
      </c>
      <c r="Y1206">
        <v>0.52120029999999995</v>
      </c>
      <c r="Z1206">
        <v>-1.8241E-2</v>
      </c>
      <c r="AA1206">
        <v>0.85323939999999998</v>
      </c>
      <c r="AB1206">
        <v>30</v>
      </c>
      <c r="AC1206">
        <v>9.8628999999999891</v>
      </c>
      <c r="AD1206">
        <v>-1.103671346119</v>
      </c>
      <c r="AE1206">
        <v>-8.1960000000000193</v>
      </c>
      <c r="AF1206">
        <v>6.7391002417326202</v>
      </c>
      <c r="AG1206">
        <v>-1.103671346119</v>
      </c>
      <c r="AH1206">
        <v>10.799368583091701</v>
      </c>
      <c r="AI1206">
        <v>94.955233644392294</v>
      </c>
      <c r="AJ1206">
        <v>58.034713175689603</v>
      </c>
      <c r="AK1206">
        <v>12.777320701220299</v>
      </c>
      <c r="AL1206">
        <v>92.729112562428199</v>
      </c>
      <c r="AM1206">
        <v>75.6316351620803</v>
      </c>
      <c r="AN1206">
        <v>0.99999998720361905</v>
      </c>
    </row>
    <row r="1207" spans="1:40" x14ac:dyDescent="0.25">
      <c r="A1207" t="str">
        <f>"20190305135814004"</f>
        <v>20190305135814004</v>
      </c>
      <c r="B1207" t="str">
        <f>"1551765493999920"</f>
        <v>1551765493999920</v>
      </c>
      <c r="C1207" t="s">
        <v>40</v>
      </c>
      <c r="D1207">
        <v>3.9487809999999999</v>
      </c>
      <c r="E1207">
        <v>0.6191257</v>
      </c>
      <c r="F1207" t="s">
        <v>50</v>
      </c>
      <c r="G1207">
        <v>-200.85040000000001</v>
      </c>
      <c r="H1207" s="1">
        <v>-6.3655869999999999E-6</v>
      </c>
      <c r="I1207">
        <v>359.1071</v>
      </c>
      <c r="J1207">
        <v>-210.7191</v>
      </c>
      <c r="K1207">
        <v>1.103429</v>
      </c>
      <c r="L1207">
        <v>367.48649999999998</v>
      </c>
      <c r="M1207">
        <v>0.98997449999999998</v>
      </c>
      <c r="N1207">
        <v>-1.463892E-2</v>
      </c>
      <c r="O1207">
        <v>-0.14048629999999901</v>
      </c>
      <c r="P1207">
        <v>0.92130889999999999</v>
      </c>
      <c r="Q1207">
        <v>-5.7407479999999997E-2</v>
      </c>
      <c r="R1207">
        <v>-0.384571</v>
      </c>
      <c r="S1207">
        <v>2.4082180000000002</v>
      </c>
      <c r="T1207">
        <v>-0.26404610000000001</v>
      </c>
      <c r="U1207">
        <v>-2.012451</v>
      </c>
      <c r="V1207">
        <v>0.25062489999999998</v>
      </c>
      <c r="W1207">
        <v>-4.7069840000000002E-2</v>
      </c>
      <c r="X1207">
        <v>0.96693929999999995</v>
      </c>
      <c r="Y1207">
        <v>0.5252462</v>
      </c>
      <c r="Z1207">
        <v>-1.7980989999999999E-2</v>
      </c>
      <c r="AA1207">
        <v>0.85076030000000002</v>
      </c>
      <c r="AB1207">
        <v>30</v>
      </c>
      <c r="AC1207">
        <v>9.8686999999999898</v>
      </c>
      <c r="AD1207">
        <v>-1.1034353655869999</v>
      </c>
      <c r="AE1207">
        <v>-8.3793999999999702</v>
      </c>
      <c r="AF1207">
        <v>6.8598813023059604</v>
      </c>
      <c r="AG1207">
        <v>-1.1034353655869999</v>
      </c>
      <c r="AH1207">
        <v>10.8691652728878</v>
      </c>
      <c r="AI1207">
        <v>94.906877649911294</v>
      </c>
      <c r="AJ1207">
        <v>57.742653052918101</v>
      </c>
      <c r="AK1207">
        <v>12.900166464705199</v>
      </c>
      <c r="AL1207">
        <v>92.697900004138305</v>
      </c>
      <c r="AM1207">
        <v>75.469046612797797</v>
      </c>
      <c r="AN1207">
        <v>1.00000001011106</v>
      </c>
    </row>
    <row r="1208" spans="1:40" x14ac:dyDescent="0.25">
      <c r="A1208" t="str">
        <f>"20190305135814020"</f>
        <v>20190305135814020</v>
      </c>
      <c r="B1208" t="str">
        <f>"1551765494009681"</f>
        <v>1551765494009681</v>
      </c>
      <c r="C1208" t="s">
        <v>40</v>
      </c>
      <c r="D1208">
        <v>3.9596239999999998</v>
      </c>
      <c r="E1208">
        <v>0.61919880000000005</v>
      </c>
      <c r="F1208" t="s">
        <v>50</v>
      </c>
      <c r="G1208">
        <v>-200.88570000000001</v>
      </c>
      <c r="H1208" s="1">
        <v>-6.3523430000000003E-6</v>
      </c>
      <c r="I1208">
        <v>359.1103</v>
      </c>
      <c r="J1208">
        <v>-210.52520000000001</v>
      </c>
      <c r="K1208">
        <v>1.103194</v>
      </c>
      <c r="L1208">
        <v>367.45350000000002</v>
      </c>
      <c r="M1208">
        <v>0.98916930000000003</v>
      </c>
      <c r="N1208">
        <v>-1.466874E-2</v>
      </c>
      <c r="O1208">
        <v>-0.14604410000000001</v>
      </c>
      <c r="P1208">
        <v>0.91773769999999999</v>
      </c>
      <c r="Q1208">
        <v>-5.7245869999999997E-2</v>
      </c>
      <c r="R1208">
        <v>-0.3930399</v>
      </c>
      <c r="S1208">
        <v>2.3898470000000001</v>
      </c>
      <c r="T1208">
        <v>-0.2681711</v>
      </c>
      <c r="U1208">
        <v>-2.0356749999999999</v>
      </c>
      <c r="V1208">
        <v>0.25406980000000001</v>
      </c>
      <c r="W1208">
        <v>-4.7089810000000003E-2</v>
      </c>
      <c r="X1208">
        <v>0.96603890000000003</v>
      </c>
      <c r="Y1208">
        <v>0.52843619999999902</v>
      </c>
      <c r="Z1208">
        <v>-1.7959320000000001E-2</v>
      </c>
      <c r="AA1208">
        <v>0.84878310000000001</v>
      </c>
      <c r="AB1208">
        <v>29</v>
      </c>
      <c r="AC1208">
        <v>9.6394999999999893</v>
      </c>
      <c r="AD1208">
        <v>-1.1032003523430001</v>
      </c>
      <c r="AE1208">
        <v>-8.3432000000000208</v>
      </c>
      <c r="AF1208">
        <v>6.7949002593468304</v>
      </c>
      <c r="AG1208">
        <v>-1.1032003523430001</v>
      </c>
      <c r="AH1208">
        <v>10.6747948495806</v>
      </c>
      <c r="AI1208">
        <v>94.982587328089593</v>
      </c>
      <c r="AJ1208">
        <v>57.521744527600603</v>
      </c>
      <c r="AK1208">
        <v>12.7019276345173</v>
      </c>
      <c r="AL1208">
        <v>92.699045404073203</v>
      </c>
      <c r="AM1208">
        <v>75.264811214253001</v>
      </c>
      <c r="AN1208">
        <v>1.00000003489554</v>
      </c>
    </row>
    <row r="1209" spans="1:40" x14ac:dyDescent="0.25">
      <c r="A1209" t="str">
        <f>"20190305135814037"</f>
        <v>20190305135814037</v>
      </c>
      <c r="B1209" t="str">
        <f>"1551765494030176"</f>
        <v>1551765494030176</v>
      </c>
      <c r="C1209" t="s">
        <v>40</v>
      </c>
      <c r="D1209">
        <v>3.9780859999999998</v>
      </c>
      <c r="E1209">
        <v>0.61936519999999995</v>
      </c>
      <c r="F1209" t="s">
        <v>50</v>
      </c>
      <c r="G1209">
        <v>-200.79339999999999</v>
      </c>
      <c r="H1209" s="1">
        <v>-6.3583279999999997E-6</v>
      </c>
      <c r="I1209">
        <v>359.00240000000002</v>
      </c>
      <c r="J1209">
        <v>-210.29660000000001</v>
      </c>
      <c r="K1209">
        <v>1.102911</v>
      </c>
      <c r="L1209">
        <v>367.41269999999997</v>
      </c>
      <c r="M1209">
        <v>0.9881297</v>
      </c>
      <c r="N1209">
        <v>-1.4707430000000001E-2</v>
      </c>
      <c r="O1209">
        <v>-0.15291689999999999</v>
      </c>
      <c r="P1209">
        <v>0.91197839999999997</v>
      </c>
      <c r="Q1209">
        <v>-5.8716480000000001E-2</v>
      </c>
      <c r="R1209">
        <v>-0.4060144</v>
      </c>
      <c r="S1209">
        <v>2.370514</v>
      </c>
      <c r="T1209">
        <v>-0.26872299999999999</v>
      </c>
      <c r="U1209">
        <v>-2.0585629999999999</v>
      </c>
      <c r="V1209">
        <v>0.26099929999999999</v>
      </c>
      <c r="W1209">
        <v>-4.8837070000000003E-2</v>
      </c>
      <c r="X1209">
        <v>0.96410289999999998</v>
      </c>
      <c r="Y1209">
        <v>0.53063439999999995</v>
      </c>
      <c r="Z1209">
        <v>-1.762143E-2</v>
      </c>
      <c r="AA1209">
        <v>0.84741769999999905</v>
      </c>
      <c r="AB1209">
        <v>29</v>
      </c>
      <c r="AC1209">
        <v>9.5032000000000192</v>
      </c>
      <c r="AD1209">
        <v>-1.1029173583280001</v>
      </c>
      <c r="AE1209">
        <v>-8.4102999999999497</v>
      </c>
      <c r="AF1209">
        <v>6.8065956159393997</v>
      </c>
      <c r="AG1209">
        <v>-1.1029173583280001</v>
      </c>
      <c r="AH1209">
        <v>10.5975774804705</v>
      </c>
      <c r="AI1209">
        <v>95.004435316124997</v>
      </c>
      <c r="AJ1209">
        <v>57.2882410170144</v>
      </c>
      <c r="AK1209">
        <v>12.643370556651499</v>
      </c>
      <c r="AL1209">
        <v>92.799271351605995</v>
      </c>
      <c r="AM1209">
        <v>74.852127908060595</v>
      </c>
      <c r="AN1209">
        <v>1.0000000478975399</v>
      </c>
    </row>
    <row r="1210" spans="1:40" x14ac:dyDescent="0.25">
      <c r="A1210" t="str">
        <f>"20190305135814051"</f>
        <v>20190305135814051</v>
      </c>
      <c r="B1210" t="str">
        <f>"1551765494039936"</f>
        <v>1551765494039936</v>
      </c>
      <c r="C1210" t="s">
        <v>40</v>
      </c>
      <c r="D1210">
        <v>3.952356</v>
      </c>
      <c r="E1210">
        <v>0.61923499999999998</v>
      </c>
      <c r="F1210" t="s">
        <v>50</v>
      </c>
      <c r="G1210">
        <v>-200.9408</v>
      </c>
      <c r="H1210" s="1">
        <v>-6.3113019999999997E-6</v>
      </c>
      <c r="I1210">
        <v>359.04469999999998</v>
      </c>
      <c r="J1210">
        <v>-210.11429999999999</v>
      </c>
      <c r="K1210">
        <v>1.1026879999999999</v>
      </c>
      <c r="L1210">
        <v>367.37849999999997</v>
      </c>
      <c r="M1210">
        <v>0.98722980000000005</v>
      </c>
      <c r="N1210">
        <v>-1.474086E-2</v>
      </c>
      <c r="O1210">
        <v>-0.15861929999999999</v>
      </c>
      <c r="P1210">
        <v>0.90800840000000005</v>
      </c>
      <c r="Q1210">
        <v>-5.9816250000000001E-2</v>
      </c>
      <c r="R1210">
        <v>-0.41466049999999899</v>
      </c>
      <c r="S1210">
        <v>2.3400120000000002</v>
      </c>
      <c r="T1210">
        <v>-0.27585720000000002</v>
      </c>
      <c r="U1210">
        <v>-2.0929570000000002</v>
      </c>
      <c r="V1210">
        <v>0.26455440000000002</v>
      </c>
      <c r="W1210">
        <v>-5.0117219999999997E-2</v>
      </c>
      <c r="X1210">
        <v>0.96306760000000002</v>
      </c>
      <c r="Y1210">
        <v>0.53801829999999995</v>
      </c>
      <c r="Z1210">
        <v>-1.796971E-2</v>
      </c>
      <c r="AA1210">
        <v>0.84274150000000003</v>
      </c>
      <c r="AB1210">
        <v>29</v>
      </c>
      <c r="AC1210">
        <v>9.17349999999999</v>
      </c>
      <c r="AD1210">
        <v>-1.10269431130199</v>
      </c>
      <c r="AE1210">
        <v>-8.3337999999999894</v>
      </c>
      <c r="AF1210">
        <v>6.7198233797612499</v>
      </c>
      <c r="AG1210">
        <v>-1.10269431130199</v>
      </c>
      <c r="AH1210">
        <v>10.2978640046849</v>
      </c>
      <c r="AI1210">
        <v>95.124350476612193</v>
      </c>
      <c r="AJ1210">
        <v>56.873729044308</v>
      </c>
      <c r="AK1210">
        <v>12.345767050221999</v>
      </c>
      <c r="AL1210">
        <v>92.872708670009601</v>
      </c>
      <c r="AM1210">
        <v>74.639745126110597</v>
      </c>
      <c r="AN1210">
        <v>0.99999998423482395</v>
      </c>
    </row>
    <row r="1211" spans="1:40" x14ac:dyDescent="0.25">
      <c r="A1211" t="str">
        <f>"20190305135814066"</f>
        <v>20190305135814066</v>
      </c>
      <c r="B1211" t="str">
        <f>"1551765494059456"</f>
        <v>1551765494059456</v>
      </c>
      <c r="C1211" t="s">
        <v>40</v>
      </c>
      <c r="D1211">
        <v>3.9657689999999999</v>
      </c>
      <c r="E1211">
        <v>0.61894890000000002</v>
      </c>
      <c r="F1211" t="s">
        <v>50</v>
      </c>
      <c r="G1211">
        <v>-201.11760000000001</v>
      </c>
      <c r="H1211" s="1">
        <v>-6.279402E-6</v>
      </c>
      <c r="I1211">
        <v>359.18049999999999</v>
      </c>
      <c r="J1211">
        <v>-209.9196</v>
      </c>
      <c r="K1211">
        <v>1.1024389999999999</v>
      </c>
      <c r="L1211">
        <v>367.34089999999998</v>
      </c>
      <c r="M1211">
        <v>0.98620269999999999</v>
      </c>
      <c r="N1211">
        <v>-1.477697E-2</v>
      </c>
      <c r="O1211">
        <v>-0.16488149999999999</v>
      </c>
      <c r="P1211">
        <v>0.90208770000000005</v>
      </c>
      <c r="Q1211">
        <v>-6.2510120000000002E-2</v>
      </c>
      <c r="R1211">
        <v>-0.42700169999999998</v>
      </c>
      <c r="S1211">
        <v>2.319855</v>
      </c>
      <c r="T1211">
        <v>-0.28433760000000002</v>
      </c>
      <c r="U1211">
        <v>-2.1139220000000001</v>
      </c>
      <c r="V1211">
        <v>0.27151449999999999</v>
      </c>
      <c r="W1211">
        <v>-5.3078420000000001E-2</v>
      </c>
      <c r="X1211">
        <v>0.96096959999999998</v>
      </c>
      <c r="Y1211">
        <v>0.54037139999999995</v>
      </c>
      <c r="Z1211">
        <v>-1.799011E-2</v>
      </c>
      <c r="AA1211">
        <v>0.84123429999999999</v>
      </c>
      <c r="AB1211">
        <v>29</v>
      </c>
      <c r="AC1211">
        <v>8.8019999999999907</v>
      </c>
      <c r="AD1211">
        <v>-1.1024452794020001</v>
      </c>
      <c r="AE1211">
        <v>-8.1603999999999797</v>
      </c>
      <c r="AF1211">
        <v>6.5420514911131296</v>
      </c>
      <c r="AG1211">
        <v>-1.1024452794020001</v>
      </c>
      <c r="AH1211">
        <v>9.9432660984153198</v>
      </c>
      <c r="AI1211">
        <v>95.291855655399402</v>
      </c>
      <c r="AJ1211">
        <v>56.657567182712597</v>
      </c>
      <c r="AK1211">
        <v>11.9533411233155</v>
      </c>
      <c r="AL1211">
        <v>93.042599231153602</v>
      </c>
      <c r="AM1211">
        <v>74.222772950967098</v>
      </c>
      <c r="AN1211">
        <v>1.0000000072520501</v>
      </c>
    </row>
    <row r="1212" spans="1:40" x14ac:dyDescent="0.25">
      <c r="A1212" t="str">
        <f>"20190305135814087"</f>
        <v>20190305135814087</v>
      </c>
      <c r="B1212" t="str">
        <f>"1551765494079952"</f>
        <v>1551765494079952</v>
      </c>
      <c r="C1212" t="s">
        <v>40</v>
      </c>
      <c r="D1212">
        <v>3.9378860000000002</v>
      </c>
      <c r="E1212">
        <v>0.61845609999999995</v>
      </c>
      <c r="F1212" t="s">
        <v>50</v>
      </c>
      <c r="G1212">
        <v>-201.39169999999999</v>
      </c>
      <c r="H1212" s="1">
        <v>-6.2222369999999999E-6</v>
      </c>
      <c r="I1212">
        <v>359.36430000000001</v>
      </c>
      <c r="J1212">
        <v>-209.63</v>
      </c>
      <c r="K1212">
        <v>1.1020890000000001</v>
      </c>
      <c r="L1212">
        <v>367.28219999999999</v>
      </c>
      <c r="M1212">
        <v>0.98452980000000001</v>
      </c>
      <c r="N1212">
        <v>-1.483317E-2</v>
      </c>
      <c r="O1212">
        <v>-0.1745891</v>
      </c>
      <c r="P1212">
        <v>0.89417009999999897</v>
      </c>
      <c r="Q1212">
        <v>-6.4572180000000007E-2</v>
      </c>
      <c r="R1212">
        <v>-0.44304690000000002</v>
      </c>
      <c r="S1212">
        <v>2.2908330000000001</v>
      </c>
      <c r="T1212">
        <v>-0.29614889999999999</v>
      </c>
      <c r="U1212">
        <v>-2.1427610000000001</v>
      </c>
      <c r="V1212">
        <v>0.27914029999999901</v>
      </c>
      <c r="W1212">
        <v>-5.5488170000000003E-2</v>
      </c>
      <c r="X1212">
        <v>0.95864579999999999</v>
      </c>
      <c r="Y1212">
        <v>0.54290569999999905</v>
      </c>
      <c r="Z1212">
        <v>-1.7840410000000001E-2</v>
      </c>
      <c r="AA1212">
        <v>0.83960409999999996</v>
      </c>
      <c r="AB1212">
        <v>29</v>
      </c>
      <c r="AC1212">
        <v>8.2383000000000095</v>
      </c>
      <c r="AD1212">
        <v>-1.102095222237</v>
      </c>
      <c r="AE1212">
        <v>-7.9178999999999702</v>
      </c>
      <c r="AF1212">
        <v>6.2991888086623096</v>
      </c>
      <c r="AG1212">
        <v>-1.102095222237</v>
      </c>
      <c r="AH1212">
        <v>9.4067636627199498</v>
      </c>
      <c r="AI1212">
        <v>95.560160979573396</v>
      </c>
      <c r="AJ1212">
        <v>56.191969808002199</v>
      </c>
      <c r="AK1212">
        <v>11.3746031197718</v>
      </c>
      <c r="AL1212">
        <v>93.180871641813397</v>
      </c>
      <c r="AM1212">
        <v>73.765396444801198</v>
      </c>
      <c r="AN1212">
        <v>1.0000000069758299</v>
      </c>
    </row>
    <row r="1213" spans="1:40" x14ac:dyDescent="0.25">
      <c r="A1213" t="str">
        <f>"20190305135814101"</f>
        <v>20190305135814101</v>
      </c>
      <c r="B1213" t="str">
        <f>"1551765494089714"</f>
        <v>1551765494089714</v>
      </c>
      <c r="C1213" t="s">
        <v>40</v>
      </c>
      <c r="D1213">
        <v>3.9491610000000001</v>
      </c>
      <c r="E1213">
        <v>0.61835909999999905</v>
      </c>
      <c r="F1213" t="s">
        <v>50</v>
      </c>
      <c r="G1213">
        <v>-201.38200000000001</v>
      </c>
      <c r="H1213" s="1">
        <v>-6.2076109999999997E-6</v>
      </c>
      <c r="I1213">
        <v>359.29989999999998</v>
      </c>
      <c r="J1213">
        <v>-209.45320000000001</v>
      </c>
      <c r="K1213">
        <v>1.101877</v>
      </c>
      <c r="L1213">
        <v>367.2448</v>
      </c>
      <c r="M1213">
        <v>0.98342390000000002</v>
      </c>
      <c r="N1213">
        <v>-1.4868620000000001E-2</v>
      </c>
      <c r="O1213">
        <v>-0.1807105</v>
      </c>
      <c r="P1213">
        <v>0.88992739999999904</v>
      </c>
      <c r="Q1213">
        <v>-6.4853889999999997E-2</v>
      </c>
      <c r="R1213">
        <v>-0.45146809999999998</v>
      </c>
      <c r="S1213">
        <v>2.2529750000000002</v>
      </c>
      <c r="T1213">
        <v>-0.30104140000000001</v>
      </c>
      <c r="U1213">
        <v>-2.1803889999999999</v>
      </c>
      <c r="V1213">
        <v>0.28219229999999901</v>
      </c>
      <c r="W1213">
        <v>-5.5947459999999997E-2</v>
      </c>
      <c r="X1213">
        <v>0.9577251</v>
      </c>
      <c r="Y1213">
        <v>0.55183389999999999</v>
      </c>
      <c r="Z1213">
        <v>-1.814348E-2</v>
      </c>
      <c r="AA1213">
        <v>0.83375669999999902</v>
      </c>
      <c r="AB1213">
        <v>29</v>
      </c>
      <c r="AC1213">
        <v>8.0711999999999993</v>
      </c>
      <c r="AD1213">
        <v>-1.1018832076109999</v>
      </c>
      <c r="AE1213">
        <v>-7.9449000000000103</v>
      </c>
      <c r="AF1213">
        <v>6.2957618631498402</v>
      </c>
      <c r="AG1213">
        <v>-1.1018832076109999</v>
      </c>
      <c r="AH1213">
        <v>9.2862717814397104</v>
      </c>
      <c r="AI1213">
        <v>95.609239353210796</v>
      </c>
      <c r="AJ1213">
        <v>55.864125930674497</v>
      </c>
      <c r="AK1213">
        <v>11.273225254534299</v>
      </c>
      <c r="AL1213">
        <v>93.2072280186038</v>
      </c>
      <c r="AM1213">
        <v>73.582467709537696</v>
      </c>
      <c r="AN1213">
        <v>0.99999998981487503</v>
      </c>
    </row>
    <row r="1214" spans="1:40" x14ac:dyDescent="0.25">
      <c r="A1214" t="str">
        <f>"20190305135814115"</f>
        <v>20190305135814115</v>
      </c>
      <c r="B1214" t="str">
        <f>"1551765494109233"</f>
        <v>1551765494109233</v>
      </c>
      <c r="C1214" t="s">
        <v>40</v>
      </c>
      <c r="D1214">
        <v>3.9623300000000001</v>
      </c>
      <c r="E1214">
        <v>0.61763299999999999</v>
      </c>
      <c r="F1214" t="s">
        <v>50</v>
      </c>
      <c r="G1214">
        <v>-201.2311</v>
      </c>
      <c r="H1214" s="1">
        <v>-6.22184899999999E-6</v>
      </c>
      <c r="I1214">
        <v>359.13889999999998</v>
      </c>
      <c r="J1214">
        <v>-209.27430000000001</v>
      </c>
      <c r="K1214">
        <v>1.101669</v>
      </c>
      <c r="L1214">
        <v>367.20549999999997</v>
      </c>
      <c r="M1214">
        <v>0.98223039999999995</v>
      </c>
      <c r="N1214">
        <v>-1.490619E-2</v>
      </c>
      <c r="O1214">
        <v>-0.187087</v>
      </c>
      <c r="P1214">
        <v>0.88565300000000002</v>
      </c>
      <c r="Q1214">
        <v>-6.4816040000000005E-2</v>
      </c>
      <c r="R1214">
        <v>-0.4598023</v>
      </c>
      <c r="S1214">
        <v>2.2326199999999998</v>
      </c>
      <c r="T1214">
        <v>-0.29920229999999998</v>
      </c>
      <c r="U1214">
        <v>-2.2010800000000001</v>
      </c>
      <c r="V1214">
        <v>0.28493810000000003</v>
      </c>
      <c r="W1214">
        <v>-5.6078450000000002E-2</v>
      </c>
      <c r="X1214">
        <v>0.95690410000000004</v>
      </c>
      <c r="Y1214">
        <v>0.55417190000000005</v>
      </c>
      <c r="Z1214">
        <v>-1.770791E-2</v>
      </c>
      <c r="AA1214">
        <v>0.83221389999999995</v>
      </c>
      <c r="AB1214">
        <v>29</v>
      </c>
      <c r="AC1214">
        <v>8.0432000000000095</v>
      </c>
      <c r="AD1214">
        <v>-1.101675221849</v>
      </c>
      <c r="AE1214">
        <v>-8.0665999999999904</v>
      </c>
      <c r="AF1214">
        <v>6.3597107606082499</v>
      </c>
      <c r="AG1214">
        <v>-1.101675221849</v>
      </c>
      <c r="AH1214">
        <v>9.3232740890000692</v>
      </c>
      <c r="AI1214">
        <v>95.575321870387299</v>
      </c>
      <c r="AJ1214">
        <v>55.700820399437298</v>
      </c>
      <c r="AK1214">
        <v>11.339446591066601</v>
      </c>
      <c r="AL1214">
        <v>93.214745009702398</v>
      </c>
      <c r="AM1214">
        <v>73.418005259623399</v>
      </c>
      <c r="AN1214">
        <v>0.99999998499141096</v>
      </c>
    </row>
    <row r="1215" spans="1:40" x14ac:dyDescent="0.25">
      <c r="A1215" t="str">
        <f>"20190305135814127"</f>
        <v>20190305135814127</v>
      </c>
      <c r="B1215" t="str">
        <f>"1551765494119968"</f>
        <v>1551765494119968</v>
      </c>
      <c r="C1215" t="s">
        <v>40</v>
      </c>
      <c r="D1215">
        <v>4.0491419999999998</v>
      </c>
      <c r="E1215">
        <v>0.61766499999999902</v>
      </c>
      <c r="F1215" t="s">
        <v>50</v>
      </c>
      <c r="G1215">
        <v>-201.08529999999999</v>
      </c>
      <c r="H1215" s="1">
        <v>-6.2427600000000003E-6</v>
      </c>
      <c r="I1215">
        <v>359.00810000000001</v>
      </c>
      <c r="J1215">
        <v>-209.1069</v>
      </c>
      <c r="K1215">
        <v>1.101472</v>
      </c>
      <c r="L1215">
        <v>367.16730000000001</v>
      </c>
      <c r="M1215">
        <v>0.98104210000000003</v>
      </c>
      <c r="N1215">
        <v>-1.4941889999999999E-2</v>
      </c>
      <c r="O1215">
        <v>-0.19321759999999999</v>
      </c>
      <c r="P1215">
        <v>0.88143009999999999</v>
      </c>
      <c r="Q1215">
        <v>-6.4972050000000003E-2</v>
      </c>
      <c r="R1215">
        <v>-0.46782459999999998</v>
      </c>
      <c r="S1215">
        <v>2.2145999999999999</v>
      </c>
      <c r="T1215">
        <v>-0.29793059999999899</v>
      </c>
      <c r="U1215">
        <v>-2.2168580000000002</v>
      </c>
      <c r="V1215">
        <v>0.287620599999999</v>
      </c>
      <c r="W1215">
        <v>-5.6393499999999902E-2</v>
      </c>
      <c r="X1215">
        <v>0.95608269999999995</v>
      </c>
      <c r="Y1215">
        <v>0.55534600000000001</v>
      </c>
      <c r="Z1215">
        <v>-1.7239270000000001E-2</v>
      </c>
      <c r="AA1215">
        <v>0.83144069999999903</v>
      </c>
      <c r="AB1215">
        <v>29</v>
      </c>
      <c r="AC1215">
        <v>8.0215999999999994</v>
      </c>
      <c r="AD1215">
        <v>-1.1014782427600001</v>
      </c>
      <c r="AE1215">
        <v>-8.1591999999999896</v>
      </c>
      <c r="AF1215">
        <v>6.3960516120900701</v>
      </c>
      <c r="AG1215">
        <v>-1.1014782427600001</v>
      </c>
      <c r="AH1215">
        <v>9.36033893011858</v>
      </c>
      <c r="AI1215">
        <v>95.549361853684204</v>
      </c>
      <c r="AJ1215">
        <v>55.6546536519932</v>
      </c>
      <c r="AK1215">
        <v>11.3902886456176</v>
      </c>
      <c r="AL1215">
        <v>93.232824663378295</v>
      </c>
      <c r="AM1215">
        <v>73.257013670098502</v>
      </c>
      <c r="AN1215">
        <v>0.999999982812949</v>
      </c>
    </row>
    <row r="1216" spans="1:40" x14ac:dyDescent="0.25">
      <c r="A1216" t="str">
        <f>"20190305135814142"</f>
        <v>20190305135814142</v>
      </c>
      <c r="B1216" t="str">
        <f>"1551765494139489"</f>
        <v>1551765494139489</v>
      </c>
      <c r="C1216" t="s">
        <v>40</v>
      </c>
      <c r="D1216">
        <v>4.026071</v>
      </c>
      <c r="E1216">
        <v>0.62112529999999999</v>
      </c>
      <c r="F1216" t="s">
        <v>50</v>
      </c>
      <c r="G1216">
        <v>-200.94149999999999</v>
      </c>
      <c r="H1216" s="1">
        <v>-6.2528819999999998E-6</v>
      </c>
      <c r="I1216">
        <v>358.84269999999998</v>
      </c>
      <c r="J1216">
        <v>-208.92359999999999</v>
      </c>
      <c r="K1216">
        <v>1.101267</v>
      </c>
      <c r="L1216">
        <v>367.12439999999998</v>
      </c>
      <c r="M1216">
        <v>0.97966980000000004</v>
      </c>
      <c r="N1216">
        <v>-1.498039E-2</v>
      </c>
      <c r="O1216">
        <v>-0.20005719999999999</v>
      </c>
      <c r="P1216">
        <v>0.8769884</v>
      </c>
      <c r="Q1216">
        <v>-6.4973950000000003E-2</v>
      </c>
      <c r="R1216">
        <v>-0.4760991</v>
      </c>
      <c r="S1216">
        <v>2.1943820000000001</v>
      </c>
      <c r="T1216">
        <v>-0.29600979999999999</v>
      </c>
      <c r="U1216">
        <v>-2.237152</v>
      </c>
      <c r="V1216">
        <v>0.28991800000000001</v>
      </c>
      <c r="W1216">
        <v>-5.6554680000000003E-2</v>
      </c>
      <c r="X1216">
        <v>0.95537910000000004</v>
      </c>
      <c r="Y1216">
        <v>0.55718089999999998</v>
      </c>
      <c r="Z1216">
        <v>-1.6734740000000001E-2</v>
      </c>
      <c r="AA1216">
        <v>0.83022240000000003</v>
      </c>
      <c r="AB1216">
        <v>29</v>
      </c>
      <c r="AC1216">
        <v>7.9821</v>
      </c>
      <c r="AD1216">
        <v>-1.101273252882</v>
      </c>
      <c r="AE1216">
        <v>-8.2817000000000007</v>
      </c>
      <c r="AF1216">
        <v>6.45798486483939</v>
      </c>
      <c r="AG1216">
        <v>-1.101273252882</v>
      </c>
      <c r="AH1216">
        <v>9.3916053787406408</v>
      </c>
      <c r="AI1216">
        <v>95.518918831962196</v>
      </c>
      <c r="AJ1216">
        <v>55.486273439259598</v>
      </c>
      <c r="AK1216">
        <v>11.4507913648794</v>
      </c>
      <c r="AL1216">
        <v>93.242074135836404</v>
      </c>
      <c r="AM1216">
        <v>73.119128410612305</v>
      </c>
      <c r="AN1216">
        <v>1.00000005163535</v>
      </c>
    </row>
    <row r="1217" spans="1:40" x14ac:dyDescent="0.25">
      <c r="A1217" t="str">
        <f>"20190305135814155"</f>
        <v>20190305135814155</v>
      </c>
      <c r="B1217" t="str">
        <f>"1551765494150224"</f>
        <v>1551765494150224</v>
      </c>
      <c r="C1217" t="s">
        <v>40</v>
      </c>
      <c r="D1217">
        <v>4.0199049999999996</v>
      </c>
      <c r="E1217">
        <v>0.62112529999999999</v>
      </c>
      <c r="F1217" t="s">
        <v>50</v>
      </c>
      <c r="G1217">
        <v>-200.5795</v>
      </c>
      <c r="H1217" s="1">
        <v>-6.2117549999999998E-6</v>
      </c>
      <c r="I1217">
        <v>358.31049999999999</v>
      </c>
      <c r="J1217">
        <v>-208.75649999999999</v>
      </c>
      <c r="K1217">
        <v>1.101067</v>
      </c>
      <c r="L1217">
        <v>367.0838</v>
      </c>
      <c r="M1217">
        <v>0.97834410000000005</v>
      </c>
      <c r="N1217">
        <v>-1.501574E-2</v>
      </c>
      <c r="O1217">
        <v>-0.2064394</v>
      </c>
      <c r="P1217">
        <v>0.87178169999999899</v>
      </c>
      <c r="Q1217">
        <v>-6.5756700000000001E-2</v>
      </c>
      <c r="R1217">
        <v>-0.48546129999999998</v>
      </c>
      <c r="S1217">
        <v>2.1606450000000001</v>
      </c>
      <c r="T1217">
        <v>-0.28516920000000001</v>
      </c>
      <c r="U1217">
        <v>-2.2823180000000001</v>
      </c>
      <c r="V1217">
        <v>0.29388360000000002</v>
      </c>
      <c r="W1217">
        <v>-5.753047E-2</v>
      </c>
      <c r="X1217">
        <v>0.95410839999999997</v>
      </c>
      <c r="Y1217">
        <v>0.56655730000000004</v>
      </c>
      <c r="Z1217">
        <v>-1.650447E-2</v>
      </c>
      <c r="AA1217">
        <v>0.82385710000000001</v>
      </c>
      <c r="AB1217">
        <v>29</v>
      </c>
      <c r="AC1217">
        <v>8.1769999999999907</v>
      </c>
      <c r="AD1217">
        <v>-1.1010732117549999</v>
      </c>
      <c r="AE1217">
        <v>-8.7733000000000008</v>
      </c>
      <c r="AF1217">
        <v>6.8383891804099601</v>
      </c>
      <c r="AG1217">
        <v>-1.1010732117549999</v>
      </c>
      <c r="AH1217">
        <v>9.7301668300044106</v>
      </c>
      <c r="AI1217">
        <v>95.289527349059696</v>
      </c>
      <c r="AJ1217">
        <v>54.900341355520602</v>
      </c>
      <c r="AK1217">
        <v>11.9437044228376</v>
      </c>
      <c r="AL1217">
        <v>93.298073865071004</v>
      </c>
      <c r="AM1217">
        <v>72.880168725093299</v>
      </c>
      <c r="AN1217">
        <v>1.0000000821389601</v>
      </c>
    </row>
    <row r="1218" spans="1:40" x14ac:dyDescent="0.25">
      <c r="A1218" t="str">
        <f>"20190305135814168"</f>
        <v>20190305135814168</v>
      </c>
      <c r="B1218" t="str">
        <f>"1551765494159985"</f>
        <v>1551765494159985</v>
      </c>
      <c r="C1218" t="s">
        <v>40</v>
      </c>
      <c r="D1218">
        <v>4.0006750000000002</v>
      </c>
      <c r="E1218">
        <v>0.68395299999999903</v>
      </c>
      <c r="F1218" t="s">
        <v>50</v>
      </c>
      <c r="G1218">
        <v>-200.46860000000001</v>
      </c>
      <c r="H1218" s="1">
        <v>-6.1943969999999996E-6</v>
      </c>
      <c r="I1218">
        <v>358.14109999999999</v>
      </c>
      <c r="J1218">
        <v>-208.59030000000001</v>
      </c>
      <c r="K1218">
        <v>1.1008800000000001</v>
      </c>
      <c r="L1218">
        <v>367.04199999999997</v>
      </c>
      <c r="M1218">
        <v>0.97694769999999997</v>
      </c>
      <c r="N1218">
        <v>-1.5052309999999999E-2</v>
      </c>
      <c r="O1218">
        <v>-0.2129479</v>
      </c>
      <c r="P1218">
        <v>0.86751840000000002</v>
      </c>
      <c r="Q1218">
        <v>-6.6971840000000005E-2</v>
      </c>
      <c r="R1218">
        <v>-0.4928765</v>
      </c>
      <c r="S1218">
        <v>2.1362299999999999</v>
      </c>
      <c r="T1218">
        <v>-0.28380450000000002</v>
      </c>
      <c r="U1218">
        <v>-2.3050229999999998</v>
      </c>
      <c r="V1218">
        <v>0.29563469999999997</v>
      </c>
      <c r="W1218">
        <v>-5.8879540000000001E-2</v>
      </c>
      <c r="X1218">
        <v>0.95348480000000002</v>
      </c>
      <c r="Y1218">
        <v>0.56982500000000003</v>
      </c>
      <c r="Z1218">
        <v>-1.6170609999999998E-2</v>
      </c>
      <c r="AA1218">
        <v>0.82160689999999903</v>
      </c>
      <c r="AB1218">
        <v>29</v>
      </c>
      <c r="AC1218">
        <v>8.1217000000000006</v>
      </c>
      <c r="AD1218">
        <v>-1.1008861943970001</v>
      </c>
      <c r="AE1218">
        <v>-8.9008999999999698</v>
      </c>
      <c r="AF1218">
        <v>6.9093281759518304</v>
      </c>
      <c r="AG1218">
        <v>-1.1008861943970001</v>
      </c>
      <c r="AH1218">
        <v>9.7496323431602292</v>
      </c>
      <c r="AI1218">
        <v>95.263633888756999</v>
      </c>
      <c r="AJ1218">
        <v>54.675723800252797</v>
      </c>
      <c r="AK1218">
        <v>12.0002540424281</v>
      </c>
      <c r="AL1218">
        <v>93.375501527253604</v>
      </c>
      <c r="AM1218">
        <v>72.773580856214195</v>
      </c>
      <c r="AN1218">
        <v>0.99999996995286999</v>
      </c>
    </row>
    <row r="1219" spans="1:40" x14ac:dyDescent="0.25">
      <c r="A1219" t="str">
        <f>"20190305135814180"</f>
        <v>20190305135814180</v>
      </c>
      <c r="B1219" t="str">
        <f>"1551765494169745"</f>
        <v>1551765494169745</v>
      </c>
      <c r="C1219" t="s">
        <v>40</v>
      </c>
      <c r="D1219">
        <v>3.9374560000000001</v>
      </c>
      <c r="E1219">
        <v>0.68527469999999902</v>
      </c>
      <c r="F1219" t="s">
        <v>42</v>
      </c>
      <c r="G1219">
        <v>-186.33160000000001</v>
      </c>
      <c r="H1219" s="1">
        <v>-2.7525700000000001E-6</v>
      </c>
      <c r="I1219">
        <v>334.53230000000002</v>
      </c>
      <c r="J1219">
        <v>-208.4359</v>
      </c>
      <c r="K1219">
        <v>1.100706</v>
      </c>
      <c r="L1219">
        <v>367.00240000000002</v>
      </c>
      <c r="M1219">
        <v>0.97559399999999996</v>
      </c>
      <c r="N1219">
        <v>-1.50857E-2</v>
      </c>
      <c r="O1219">
        <v>-0.21906310000000001</v>
      </c>
      <c r="P1219">
        <v>0.86345329999999998</v>
      </c>
      <c r="Q1219">
        <v>-6.8936330000000004E-2</v>
      </c>
      <c r="R1219">
        <v>-0.49969609999999898</v>
      </c>
      <c r="S1219">
        <v>1.885956</v>
      </c>
      <c r="T1219">
        <v>-9.3276739999999997E-2</v>
      </c>
      <c r="U1219">
        <v>-2.7545169999999999</v>
      </c>
      <c r="V1219">
        <v>0.29714239999999997</v>
      </c>
      <c r="W1219">
        <v>-6.0966630000000001E-2</v>
      </c>
      <c r="X1219">
        <v>0.95288479999999998</v>
      </c>
      <c r="Y1219">
        <v>0.68089659999999996</v>
      </c>
      <c r="Z1219">
        <v>-1.368787E-2</v>
      </c>
      <c r="AA1219">
        <v>0.7322516</v>
      </c>
      <c r="AB1219">
        <v>29</v>
      </c>
      <c r="AC1219">
        <v>22.104299999999899</v>
      </c>
      <c r="AD1219">
        <v>-1.1007087525699999</v>
      </c>
      <c r="AE1219">
        <v>-32.470100000000002</v>
      </c>
      <c r="AF1219">
        <v>26.817395847037002</v>
      </c>
      <c r="AG1219">
        <v>-1.1007087525699999</v>
      </c>
      <c r="AH1219">
        <v>28.658584823649399</v>
      </c>
      <c r="AI1219">
        <v>91.606394428037603</v>
      </c>
      <c r="AJ1219">
        <v>46.900888429039</v>
      </c>
      <c r="AK1219">
        <v>39.264472030946401</v>
      </c>
      <c r="AL1219">
        <v>93.495298209896603</v>
      </c>
      <c r="AM1219">
        <v>72.680717447622598</v>
      </c>
      <c r="AN1219">
        <v>0.99999998896117803</v>
      </c>
    </row>
    <row r="1220" spans="1:40" x14ac:dyDescent="0.25">
      <c r="A1220" t="str">
        <f>"20190305135814193"</f>
        <v>20190305135814193</v>
      </c>
      <c r="B1220" t="str">
        <f>"1551765494189265"</f>
        <v>1551765494189265</v>
      </c>
      <c r="C1220" t="s">
        <v>40</v>
      </c>
      <c r="D1220">
        <v>3.920604</v>
      </c>
      <c r="E1220">
        <v>0.68515909999999902</v>
      </c>
      <c r="F1220" t="s">
        <v>42</v>
      </c>
      <c r="G1220">
        <v>-181.55940000000001</v>
      </c>
      <c r="H1220" s="1">
        <v>-4.7120459999999999E-6</v>
      </c>
      <c r="I1220">
        <v>326.89519999999999</v>
      </c>
      <c r="J1220">
        <v>-208.26390000000001</v>
      </c>
      <c r="K1220">
        <v>1.100516</v>
      </c>
      <c r="L1220">
        <v>366.95650000000001</v>
      </c>
      <c r="M1220">
        <v>0.97399780000000002</v>
      </c>
      <c r="N1220">
        <v>-1.5124240000000001E-2</v>
      </c>
      <c r="O1220">
        <v>-0.22605249999999999</v>
      </c>
      <c r="P1220">
        <v>0.85897479999999904</v>
      </c>
      <c r="Q1220">
        <v>-7.069723E-2</v>
      </c>
      <c r="R1220">
        <v>-0.50711399999999995</v>
      </c>
      <c r="S1220">
        <v>1.861084</v>
      </c>
      <c r="T1220">
        <v>-7.6219439999999999E-2</v>
      </c>
      <c r="U1220">
        <v>-2.7772519999999998</v>
      </c>
      <c r="V1220">
        <v>0.29848390000000002</v>
      </c>
      <c r="W1220">
        <v>-6.2851699999999996E-2</v>
      </c>
      <c r="X1220">
        <v>0.95234289999999999</v>
      </c>
      <c r="Y1220">
        <v>0.68304819999999999</v>
      </c>
      <c r="Z1220">
        <v>-1.285027E-2</v>
      </c>
      <c r="AA1220">
        <v>0.73026029999999997</v>
      </c>
      <c r="AB1220">
        <v>29</v>
      </c>
      <c r="AC1220">
        <v>26.704499999999999</v>
      </c>
      <c r="AD1220">
        <v>-1.1005207120460001</v>
      </c>
      <c r="AE1220">
        <v>-40.061300000000003</v>
      </c>
      <c r="AF1220">
        <v>32.9695427313602</v>
      </c>
      <c r="AG1220">
        <v>-1.1005207120460001</v>
      </c>
      <c r="AH1220">
        <v>35.051775068512697</v>
      </c>
      <c r="AI1220">
        <v>91.310121954603005</v>
      </c>
      <c r="AJ1220">
        <v>46.753360341648197</v>
      </c>
      <c r="AK1220">
        <v>48.133448133353497</v>
      </c>
      <c r="AL1220">
        <v>93.603512367311893</v>
      </c>
      <c r="AM1220">
        <v>72.597933295727401</v>
      </c>
      <c r="AN1220">
        <v>0.99999998696625403</v>
      </c>
    </row>
    <row r="1221" spans="1:40" x14ac:dyDescent="0.25">
      <c r="A1221" t="str">
        <f>"20190305135814206"</f>
        <v>20190305135814206</v>
      </c>
      <c r="B1221" t="str">
        <f>"1551765494200000"</f>
        <v>1551765494200000</v>
      </c>
      <c r="C1221" t="s">
        <v>40</v>
      </c>
      <c r="D1221">
        <v>3.9681579999999999</v>
      </c>
      <c r="E1221">
        <v>0.6845521</v>
      </c>
      <c r="F1221" t="s">
        <v>43</v>
      </c>
      <c r="G1221">
        <v>-162.74510000000001</v>
      </c>
      <c r="H1221">
        <v>-0.05</v>
      </c>
      <c r="I1221">
        <v>297.9169</v>
      </c>
      <c r="J1221">
        <v>-208.10480000000001</v>
      </c>
      <c r="K1221">
        <v>1.1003430000000001</v>
      </c>
      <c r="L1221">
        <v>366.9128</v>
      </c>
      <c r="M1221">
        <v>0.97244730000000001</v>
      </c>
      <c r="N1221">
        <v>-1.5160109999999999E-2</v>
      </c>
      <c r="O1221">
        <v>-0.23262969999999999</v>
      </c>
      <c r="P1221">
        <v>0.85478029999999905</v>
      </c>
      <c r="Q1221">
        <v>-7.1949120000000005E-2</v>
      </c>
      <c r="R1221">
        <v>-0.51397939999999998</v>
      </c>
      <c r="S1221">
        <v>1.840576</v>
      </c>
      <c r="T1221">
        <v>-4.6521779999999999E-2</v>
      </c>
      <c r="U1221">
        <v>-2.7916560000000001</v>
      </c>
      <c r="V1221">
        <v>0.29964940000000001</v>
      </c>
      <c r="W1221">
        <v>-6.4212690000000003E-2</v>
      </c>
      <c r="X1221">
        <v>0.95188600000000001</v>
      </c>
      <c r="Y1221">
        <v>0.6837261</v>
      </c>
      <c r="Z1221">
        <v>-1.146872E-2</v>
      </c>
      <c r="AA1221">
        <v>0.72964859999999998</v>
      </c>
      <c r="AB1221">
        <v>29</v>
      </c>
      <c r="AC1221">
        <v>45.359699999999997</v>
      </c>
      <c r="AD1221">
        <v>-1.1503429999999999</v>
      </c>
      <c r="AE1221">
        <v>-68.995900000000006</v>
      </c>
      <c r="AF1221">
        <v>56.538384021641001</v>
      </c>
      <c r="AG1221">
        <v>-1.1503429999999999</v>
      </c>
      <c r="AH1221">
        <v>60.155647493778801</v>
      </c>
      <c r="AI1221">
        <v>90.798324918220004</v>
      </c>
      <c r="AJ1221">
        <v>46.775477158362897</v>
      </c>
      <c r="AK1221">
        <v>82.562788725866</v>
      </c>
      <c r="AL1221">
        <v>93.681649181633205</v>
      </c>
      <c r="AM1221">
        <v>72.526234222934406</v>
      </c>
      <c r="AN1221">
        <v>0.99999999473669798</v>
      </c>
    </row>
    <row r="1222" spans="1:40" x14ac:dyDescent="0.25">
      <c r="A1222" t="str">
        <f>"20190305135814221"</f>
        <v>20190305135814221</v>
      </c>
      <c r="B1222" t="str">
        <f>"1551765494209761"</f>
        <v>1551765494209761</v>
      </c>
      <c r="C1222" t="s">
        <v>40</v>
      </c>
      <c r="D1222">
        <v>3.997401</v>
      </c>
      <c r="E1222">
        <v>0.68406480000000003</v>
      </c>
      <c r="F1222" t="s">
        <v>43</v>
      </c>
      <c r="G1222">
        <v>-163.37010000000001</v>
      </c>
      <c r="H1222">
        <v>-0.05</v>
      </c>
      <c r="I1222">
        <v>298.07279999999997</v>
      </c>
      <c r="J1222">
        <v>-207.91399999999999</v>
      </c>
      <c r="K1222">
        <v>1.100144</v>
      </c>
      <c r="L1222">
        <v>366.85899999999998</v>
      </c>
      <c r="M1222">
        <v>0.97049750000000001</v>
      </c>
      <c r="N1222">
        <v>-1.520266E-2</v>
      </c>
      <c r="O1222">
        <v>-0.24063129999999999</v>
      </c>
      <c r="P1222">
        <v>0.84938709999999995</v>
      </c>
      <c r="Q1222">
        <v>-7.4284409999999995E-2</v>
      </c>
      <c r="R1222">
        <v>-0.52251669999999995</v>
      </c>
      <c r="S1222">
        <v>1.820862</v>
      </c>
      <c r="T1222">
        <v>-4.682302E-2</v>
      </c>
      <c r="U1222">
        <v>-2.8020320000000001</v>
      </c>
      <c r="V1222">
        <v>0.30131140000000001</v>
      </c>
      <c r="W1222">
        <v>-6.6685320000000006E-2</v>
      </c>
      <c r="X1222">
        <v>0.95119109999999996</v>
      </c>
      <c r="Y1222">
        <v>0.68255469999999996</v>
      </c>
      <c r="Z1222">
        <v>-1.147075E-2</v>
      </c>
      <c r="AA1222">
        <v>0.73074450000000002</v>
      </c>
      <c r="AB1222">
        <v>29</v>
      </c>
      <c r="AC1222">
        <v>44.543900000000001</v>
      </c>
      <c r="AD1222">
        <v>-1.1501440000000001</v>
      </c>
      <c r="AE1222">
        <v>-68.786199999999994</v>
      </c>
      <c r="AF1222">
        <v>56.033619871952403</v>
      </c>
      <c r="AG1222">
        <v>-1.1501440000000001</v>
      </c>
      <c r="AH1222">
        <v>59.776993072138502</v>
      </c>
      <c r="AI1222">
        <v>90.804240999233699</v>
      </c>
      <c r="AJ1222">
        <v>46.8513401442343</v>
      </c>
      <c r="AK1222">
        <v>81.941310020780605</v>
      </c>
      <c r="AL1222">
        <v>93.823624869427704</v>
      </c>
      <c r="AM1222">
        <v>72.423218338550598</v>
      </c>
      <c r="AN1222">
        <v>1.0000000001963301</v>
      </c>
    </row>
    <row r="1223" spans="1:40" x14ac:dyDescent="0.25">
      <c r="A1223" t="str">
        <f>"20190305135814236"</f>
        <v>20190305135814236</v>
      </c>
      <c r="B1223" t="str">
        <f>"1551765494230256"</f>
        <v>1551765494230256</v>
      </c>
      <c r="C1223" t="s">
        <v>40</v>
      </c>
      <c r="D1223">
        <v>4.008286</v>
      </c>
      <c r="E1223">
        <v>0.68327360000000004</v>
      </c>
      <c r="F1223" t="s">
        <v>43</v>
      </c>
      <c r="G1223">
        <v>-170.1611</v>
      </c>
      <c r="H1223">
        <v>-0.05</v>
      </c>
      <c r="I1223">
        <v>307.58769999999998</v>
      </c>
      <c r="J1223">
        <v>-207.73150000000001</v>
      </c>
      <c r="K1223">
        <v>1.09997099999999</v>
      </c>
      <c r="L1223">
        <v>366.8057</v>
      </c>
      <c r="M1223">
        <v>0.96852700000000003</v>
      </c>
      <c r="N1223">
        <v>-1.524345E-2</v>
      </c>
      <c r="O1223">
        <v>-0.24844079999999999</v>
      </c>
      <c r="P1223">
        <v>0.84460679999999999</v>
      </c>
      <c r="Q1223">
        <v>-7.4717210000000006E-2</v>
      </c>
      <c r="R1223">
        <v>-0.53014779999999995</v>
      </c>
      <c r="S1223">
        <v>1.7942659999999999</v>
      </c>
      <c r="T1223">
        <v>-5.4662349999999998E-2</v>
      </c>
      <c r="U1223">
        <v>-2.8169559999999998</v>
      </c>
      <c r="V1223">
        <v>0.3021915</v>
      </c>
      <c r="W1223">
        <v>-6.7224439999999996E-2</v>
      </c>
      <c r="X1223">
        <v>0.95087390000000005</v>
      </c>
      <c r="Y1223">
        <v>0.68329110000000004</v>
      </c>
      <c r="Z1223">
        <v>-1.181566E-2</v>
      </c>
      <c r="AA1223">
        <v>0.73005039999999999</v>
      </c>
      <c r="AB1223">
        <v>29</v>
      </c>
      <c r="AC1223">
        <v>37.570399999999999</v>
      </c>
      <c r="AD1223">
        <v>-1.1499710000000001</v>
      </c>
      <c r="AE1223">
        <v>-59.218000000000004</v>
      </c>
      <c r="AF1223">
        <v>48.0128881429575</v>
      </c>
      <c r="AG1223">
        <v>-1.1499710000000001</v>
      </c>
      <c r="AH1223">
        <v>51.0923208718757</v>
      </c>
      <c r="AI1223">
        <v>90.9396790479027</v>
      </c>
      <c r="AJ1223">
        <v>46.779742457465197</v>
      </c>
      <c r="AK1223">
        <v>70.121217282672006</v>
      </c>
      <c r="AL1223">
        <v>93.854583639270302</v>
      </c>
      <c r="AM1223">
        <v>72.369536797617599</v>
      </c>
      <c r="AN1223">
        <v>1.00000000085338</v>
      </c>
    </row>
    <row r="1224" spans="1:40" x14ac:dyDescent="0.25">
      <c r="A1224" t="str">
        <f>"20190305135814249"</f>
        <v>20190305135814249</v>
      </c>
      <c r="B1224" t="str">
        <f>"1551765494240017"</f>
        <v>1551765494240017</v>
      </c>
      <c r="C1224" t="s">
        <v>40</v>
      </c>
      <c r="D1224">
        <v>3.9890379999999999</v>
      </c>
      <c r="E1224">
        <v>0.68285419999999997</v>
      </c>
      <c r="F1224" t="s">
        <v>42</v>
      </c>
      <c r="G1224">
        <v>-177.96019999999999</v>
      </c>
      <c r="H1224">
        <v>7.9986390000000004E-2</v>
      </c>
      <c r="I1224">
        <v>319.28829999999999</v>
      </c>
      <c r="J1224">
        <v>-207.5556</v>
      </c>
      <c r="K1224">
        <v>1.099817</v>
      </c>
      <c r="L1224">
        <v>366.75240000000002</v>
      </c>
      <c r="M1224">
        <v>0.96652530000000003</v>
      </c>
      <c r="N1224">
        <v>-1.5283039999999999E-2</v>
      </c>
      <c r="O1224">
        <v>-0.25611650000000002</v>
      </c>
      <c r="P1224">
        <v>0.83992880000000003</v>
      </c>
      <c r="Q1224">
        <v>-7.5208990000000003E-2</v>
      </c>
      <c r="R1224">
        <v>-0.53746059999999996</v>
      </c>
      <c r="S1224">
        <v>1.7716670000000001</v>
      </c>
      <c r="T1224">
        <v>-6.0698630000000003E-2</v>
      </c>
      <c r="U1224">
        <v>-2.827728</v>
      </c>
      <c r="V1224">
        <v>0.30287819999999999</v>
      </c>
      <c r="W1224">
        <v>-6.7808670000000001E-2</v>
      </c>
      <c r="X1224">
        <v>0.95061390000000001</v>
      </c>
      <c r="Y1224">
        <v>0.68290740000000005</v>
      </c>
      <c r="Z1224">
        <v>-1.2026780000000001E-2</v>
      </c>
      <c r="AA1224">
        <v>0.73040590000000005</v>
      </c>
      <c r="AB1224">
        <v>29</v>
      </c>
      <c r="AC1224">
        <v>29.595400000000001</v>
      </c>
      <c r="AD1224">
        <v>-1.0198306100000001</v>
      </c>
      <c r="AE1224">
        <v>-47.464100000000002</v>
      </c>
      <c r="AF1224">
        <v>38.287121486549701</v>
      </c>
      <c r="AG1224">
        <v>-1.0198306100000001</v>
      </c>
      <c r="AH1224">
        <v>40.752248355713199</v>
      </c>
      <c r="AI1224">
        <v>91.044871620811904</v>
      </c>
      <c r="AJ1224">
        <v>46.786395767849598</v>
      </c>
      <c r="AK1224">
        <v>55.925749635071</v>
      </c>
      <c r="AL1224">
        <v>93.888134100402397</v>
      </c>
      <c r="AM1224">
        <v>72.327430989519598</v>
      </c>
      <c r="AN1224">
        <v>1.0000000033178</v>
      </c>
    </row>
    <row r="1225" spans="1:40" x14ac:dyDescent="0.25">
      <c r="A1225" t="str">
        <f>"20190305135814267"</f>
        <v>20190305135814267</v>
      </c>
      <c r="B1225" t="str">
        <f>"1551765494259537"</f>
        <v>1551765494259537</v>
      </c>
      <c r="C1225" t="s">
        <v>40</v>
      </c>
      <c r="D1225">
        <v>4.0011330000000003</v>
      </c>
      <c r="E1225">
        <v>0.68202830000000003</v>
      </c>
      <c r="F1225" t="s">
        <v>42</v>
      </c>
      <c r="G1225">
        <v>-179.95779999999999</v>
      </c>
      <c r="H1225">
        <v>2.5707270000000001E-2</v>
      </c>
      <c r="I1225">
        <v>321.91160000000002</v>
      </c>
      <c r="J1225">
        <v>-207.33420000000001</v>
      </c>
      <c r="K1225">
        <v>1.099634</v>
      </c>
      <c r="L1225">
        <v>366.6832</v>
      </c>
      <c r="M1225">
        <v>0.96386989999999995</v>
      </c>
      <c r="N1225">
        <v>-1.5332119999999999E-2</v>
      </c>
      <c r="O1225">
        <v>-0.2659319</v>
      </c>
      <c r="P1225">
        <v>0.83398349999999899</v>
      </c>
      <c r="Q1225">
        <v>-7.4978110000000001E-2</v>
      </c>
      <c r="R1225">
        <v>-0.54667189999999999</v>
      </c>
      <c r="S1225">
        <v>1.748138</v>
      </c>
      <c r="T1225">
        <v>-6.8037630000000002E-2</v>
      </c>
      <c r="U1225">
        <v>-2.840363</v>
      </c>
      <c r="V1225">
        <v>0.303643099999999</v>
      </c>
      <c r="W1225">
        <v>-6.7687650000000002E-2</v>
      </c>
      <c r="X1225">
        <v>0.95037850000000001</v>
      </c>
      <c r="Y1225">
        <v>0.68127899999999997</v>
      </c>
      <c r="Z1225">
        <v>-1.2203790000000001E-2</v>
      </c>
      <c r="AA1225">
        <v>0.73192209999999902</v>
      </c>
      <c r="AB1225">
        <v>29</v>
      </c>
      <c r="AC1225">
        <v>27.3764</v>
      </c>
      <c r="AD1225">
        <v>-1.0739267299999999</v>
      </c>
      <c r="AE1225">
        <v>-44.7715999999999</v>
      </c>
      <c r="AF1225">
        <v>35.862937319967102</v>
      </c>
      <c r="AG1225">
        <v>-1.0739267299999999</v>
      </c>
      <c r="AH1225">
        <v>38.281953727968201</v>
      </c>
      <c r="AI1225">
        <v>91.172841627157496</v>
      </c>
      <c r="AJ1225">
        <v>46.8686423829296</v>
      </c>
      <c r="AK1225">
        <v>52.467242857497297</v>
      </c>
      <c r="AL1225">
        <v>93.881184126004499</v>
      </c>
      <c r="AM1225">
        <v>72.281473834214694</v>
      </c>
      <c r="AN1225">
        <v>1.00000002170119</v>
      </c>
    </row>
    <row r="1226" spans="1:40" x14ac:dyDescent="0.25">
      <c r="A1226" t="str">
        <f>"20190305135814280"</f>
        <v>20190305135814280</v>
      </c>
      <c r="B1226" t="str">
        <f>"1551765494269296"</f>
        <v>1551765494269296</v>
      </c>
      <c r="C1226" t="s">
        <v>40</v>
      </c>
      <c r="D1226">
        <v>4.0082760000000004</v>
      </c>
      <c r="E1226">
        <v>0.68155980000000005</v>
      </c>
      <c r="F1226" t="s">
        <v>42</v>
      </c>
      <c r="G1226">
        <v>-181.18010000000001</v>
      </c>
      <c r="H1226" s="1">
        <v>-3.5804250000000001E-6</v>
      </c>
      <c r="I1226">
        <v>323.27330000000001</v>
      </c>
      <c r="J1226">
        <v>-207.179</v>
      </c>
      <c r="K1226">
        <v>1.0995140000000001</v>
      </c>
      <c r="L1226">
        <v>366.63350000000003</v>
      </c>
      <c r="M1226">
        <v>0.96191859999999996</v>
      </c>
      <c r="N1226">
        <v>-1.53659E-2</v>
      </c>
      <c r="O1226">
        <v>-0.27290360000000002</v>
      </c>
      <c r="P1226">
        <v>0.83004270000000002</v>
      </c>
      <c r="Q1226">
        <v>-7.4307049999999999E-2</v>
      </c>
      <c r="R1226">
        <v>-0.55272710000000003</v>
      </c>
      <c r="S1226">
        <v>1.7196959999999999</v>
      </c>
      <c r="T1226">
        <v>-7.2303889999999996E-2</v>
      </c>
      <c r="U1226">
        <v>-2.8543090000000002</v>
      </c>
      <c r="V1226">
        <v>0.30365910000000002</v>
      </c>
      <c r="W1226">
        <v>-6.7076739999999996E-2</v>
      </c>
      <c r="X1226">
        <v>0.9504167</v>
      </c>
      <c r="Y1226">
        <v>0.68288110000000002</v>
      </c>
      <c r="Z1226">
        <v>-1.234525E-2</v>
      </c>
      <c r="AA1226">
        <v>0.7304252</v>
      </c>
      <c r="AB1226">
        <v>29</v>
      </c>
      <c r="AC1226">
        <v>25.9988999999999</v>
      </c>
      <c r="AD1226">
        <v>-1.0995175804249999</v>
      </c>
      <c r="AE1226">
        <v>-43.360199999999999</v>
      </c>
      <c r="AF1226">
        <v>34.601513109311199</v>
      </c>
      <c r="AG1226">
        <v>-1.0995175804249999</v>
      </c>
      <c r="AH1226">
        <v>36.828913536472598</v>
      </c>
      <c r="AI1226">
        <v>91.246456134517103</v>
      </c>
      <c r="AJ1226">
        <v>46.786063855110299</v>
      </c>
      <c r="AK1226">
        <v>50.545450048846902</v>
      </c>
      <c r="AL1226">
        <v>93.846101831084994</v>
      </c>
      <c r="AM1226">
        <v>72.281266232065406</v>
      </c>
      <c r="AN1226">
        <v>1.0000000208503601</v>
      </c>
    </row>
    <row r="1227" spans="1:40" x14ac:dyDescent="0.25">
      <c r="A1227" t="str">
        <f>"20190305135814293"</f>
        <v>20190305135814293</v>
      </c>
      <c r="B1227" t="str">
        <f>"1551765494289793"</f>
        <v>1551765494289793</v>
      </c>
      <c r="C1227" t="s">
        <v>40</v>
      </c>
      <c r="D1227">
        <v>3.989382</v>
      </c>
      <c r="E1227">
        <v>0.68113449999999998</v>
      </c>
      <c r="F1227" t="s">
        <v>42</v>
      </c>
      <c r="G1227">
        <v>-181.43299999999999</v>
      </c>
      <c r="H1227" s="1">
        <v>-3.520199E-6</v>
      </c>
      <c r="I1227">
        <v>323.29399999999998</v>
      </c>
      <c r="J1227">
        <v>-207.0077</v>
      </c>
      <c r="K1227">
        <v>1.0993869999999999</v>
      </c>
      <c r="L1227">
        <v>366.57639999999998</v>
      </c>
      <c r="M1227">
        <v>0.9596576</v>
      </c>
      <c r="N1227">
        <v>-1.5404289999999999E-2</v>
      </c>
      <c r="O1227">
        <v>-0.28074870000000002</v>
      </c>
      <c r="P1227">
        <v>0.82543650000000002</v>
      </c>
      <c r="Q1227">
        <v>-7.363857E-2</v>
      </c>
      <c r="R1227">
        <v>-0.55967129999999998</v>
      </c>
      <c r="S1227">
        <v>1.7010189999999901</v>
      </c>
      <c r="T1227">
        <v>-7.2644349999999996E-2</v>
      </c>
      <c r="U1227">
        <v>-2.8634029999999999</v>
      </c>
      <c r="V1227">
        <v>0.30385040000000002</v>
      </c>
      <c r="W1227">
        <v>-6.6474930000000002E-2</v>
      </c>
      <c r="X1227">
        <v>0.95039779999999996</v>
      </c>
      <c r="Y1227">
        <v>0.68145230000000001</v>
      </c>
      <c r="Z1227">
        <v>-1.2258669999999999E-2</v>
      </c>
      <c r="AA1227">
        <v>0.73175979999999996</v>
      </c>
      <c r="AB1227">
        <v>29</v>
      </c>
      <c r="AC1227">
        <v>25.5747</v>
      </c>
      <c r="AD1227">
        <v>-1.099390520199</v>
      </c>
      <c r="AE1227">
        <v>-43.282399999999903</v>
      </c>
      <c r="AF1227">
        <v>34.343876328511698</v>
      </c>
      <c r="AG1227">
        <v>-1.099390520199</v>
      </c>
      <c r="AH1227">
        <v>36.681248648976201</v>
      </c>
      <c r="AI1227">
        <v>91.253352655961294</v>
      </c>
      <c r="AJ1227">
        <v>46.884871789955</v>
      </c>
      <c r="AK1227">
        <v>50.261560891321601</v>
      </c>
      <c r="AL1227">
        <v>93.811543679831402</v>
      </c>
      <c r="AM1227">
        <v>72.270472054376597</v>
      </c>
      <c r="AN1227">
        <v>0.99999998007175195</v>
      </c>
    </row>
    <row r="1228" spans="1:40" x14ac:dyDescent="0.25">
      <c r="A1228" t="str">
        <f>"20190305135814306"</f>
        <v>20190305135814306</v>
      </c>
      <c r="B1228" t="str">
        <f>"1551765494299553"</f>
        <v>1551765494299553</v>
      </c>
      <c r="C1228" t="s">
        <v>40</v>
      </c>
      <c r="D1228">
        <v>4.0463380000000004</v>
      </c>
      <c r="E1228">
        <v>0.68079919999999905</v>
      </c>
      <c r="F1228" t="s">
        <v>42</v>
      </c>
      <c r="G1228">
        <v>-181.64869999999999</v>
      </c>
      <c r="H1228" s="1">
        <v>-3.411359E-6</v>
      </c>
      <c r="I1228">
        <v>323.1429</v>
      </c>
      <c r="J1228">
        <v>-206.8579</v>
      </c>
      <c r="K1228">
        <v>1.0992820000000001</v>
      </c>
      <c r="L1228">
        <v>366.52530000000002</v>
      </c>
      <c r="M1228">
        <v>0.95759830000000001</v>
      </c>
      <c r="N1228">
        <v>-1.543778E-2</v>
      </c>
      <c r="O1228">
        <v>-0.28769309999999998</v>
      </c>
      <c r="P1228">
        <v>0.8212855</v>
      </c>
      <c r="Q1228">
        <v>-7.321627E-2</v>
      </c>
      <c r="R1228">
        <v>-0.56580010000000003</v>
      </c>
      <c r="S1228">
        <v>1.678604</v>
      </c>
      <c r="T1228">
        <v>-7.2772740000000002E-2</v>
      </c>
      <c r="U1228">
        <v>-2.8750309999999999</v>
      </c>
      <c r="V1228">
        <v>0.30402200000000001</v>
      </c>
      <c r="W1228">
        <v>-6.6109029999999999E-2</v>
      </c>
      <c r="X1228">
        <v>0.95036849999999995</v>
      </c>
      <c r="Y1228">
        <v>0.68169159999999995</v>
      </c>
      <c r="Z1228">
        <v>-1.2217270000000001E-2</v>
      </c>
      <c r="AA1228">
        <v>0.73153760000000001</v>
      </c>
      <c r="AB1228">
        <v>29</v>
      </c>
      <c r="AC1228">
        <v>25.209199999999999</v>
      </c>
      <c r="AD1228">
        <v>-1.09928541135899</v>
      </c>
      <c r="AE1228">
        <v>-43.382399999999997</v>
      </c>
      <c r="AF1228">
        <v>34.278030295374201</v>
      </c>
      <c r="AG1228">
        <v>-1.09928541135899</v>
      </c>
      <c r="AH1228">
        <v>36.607894171582601</v>
      </c>
      <c r="AI1228">
        <v>91.255694787096601</v>
      </c>
      <c r="AJ1228">
        <v>46.882508117195499</v>
      </c>
      <c r="AK1228">
        <v>50.163031258328203</v>
      </c>
      <c r="AL1228">
        <v>93.790532734392798</v>
      </c>
      <c r="AM1228">
        <v>72.2605741937696</v>
      </c>
      <c r="AN1228">
        <v>1.0000000330618899</v>
      </c>
    </row>
    <row r="1229" spans="1:40" x14ac:dyDescent="0.25">
      <c r="A1229" t="str">
        <f>"20190305135814320"</f>
        <v>20190305135814320</v>
      </c>
      <c r="B1229" t="str">
        <f>"1551765494310289"</f>
        <v>1551765494310289</v>
      </c>
      <c r="C1229" t="s">
        <v>40</v>
      </c>
      <c r="D1229">
        <v>4.007333</v>
      </c>
      <c r="E1229">
        <v>0.68039530000000004</v>
      </c>
      <c r="F1229" t="s">
        <v>42</v>
      </c>
      <c r="G1229">
        <v>-181.35040000000001</v>
      </c>
      <c r="H1229" s="1">
        <v>-3.158465E-6</v>
      </c>
      <c r="I1229">
        <v>322.16649999999998</v>
      </c>
      <c r="J1229">
        <v>-206.68899999999999</v>
      </c>
      <c r="K1229">
        <v>1.0991660000000001</v>
      </c>
      <c r="L1229">
        <v>366.4665</v>
      </c>
      <c r="M1229">
        <v>0.95518979999999998</v>
      </c>
      <c r="N1229">
        <v>-1.547492E-2</v>
      </c>
      <c r="O1229">
        <v>-0.2955893</v>
      </c>
      <c r="P1229">
        <v>0.81647440000000004</v>
      </c>
      <c r="Q1229">
        <v>-7.2307350000000006E-2</v>
      </c>
      <c r="R1229">
        <v>-0.57283640000000002</v>
      </c>
      <c r="S1229">
        <v>1.65892</v>
      </c>
      <c r="T1229">
        <v>-7.1493860000000006E-2</v>
      </c>
      <c r="U1229">
        <v>-2.8849490000000002</v>
      </c>
      <c r="V1229">
        <v>0.30432090000000001</v>
      </c>
      <c r="W1229">
        <v>-6.5265069999999994E-2</v>
      </c>
      <c r="X1229">
        <v>0.95033120000000004</v>
      </c>
      <c r="Y1229">
        <v>0.68049380000000004</v>
      </c>
      <c r="Z1229">
        <v>-1.2092510000000001E-2</v>
      </c>
      <c r="AA1229">
        <v>0.73265400000000003</v>
      </c>
      <c r="AB1229">
        <v>29</v>
      </c>
      <c r="AC1229">
        <v>25.3386</v>
      </c>
      <c r="AD1229">
        <v>-1.0991691584649901</v>
      </c>
      <c r="AE1229">
        <v>-44.3</v>
      </c>
      <c r="AF1229">
        <v>34.813109763146301</v>
      </c>
      <c r="AG1229">
        <v>-1.0991691584649901</v>
      </c>
      <c r="AH1229">
        <v>37.284948346184301</v>
      </c>
      <c r="AI1229">
        <v>91.2344011171934</v>
      </c>
      <c r="AJ1229">
        <v>46.963582255616899</v>
      </c>
      <c r="AK1229">
        <v>51.0228199671228</v>
      </c>
      <c r="AL1229">
        <v>93.742072609855299</v>
      </c>
      <c r="AM1229">
        <v>72.243575376611901</v>
      </c>
      <c r="AN1229">
        <v>1.00000006461617</v>
      </c>
    </row>
    <row r="1230" spans="1:40" x14ac:dyDescent="0.25">
      <c r="A1230" t="str">
        <f>"20190305135814333"</f>
        <v>20190305135814333</v>
      </c>
      <c r="B1230" t="str">
        <f>"1551765494329809"</f>
        <v>1551765494329809</v>
      </c>
      <c r="C1230" t="s">
        <v>40</v>
      </c>
      <c r="D1230">
        <v>4.0287680000000003</v>
      </c>
      <c r="E1230">
        <v>0.67979880000000004</v>
      </c>
      <c r="F1230" t="s">
        <v>42</v>
      </c>
      <c r="G1230">
        <v>-181.42169999999999</v>
      </c>
      <c r="H1230" s="1">
        <v>-2.9864849999999999E-6</v>
      </c>
      <c r="I1230">
        <v>321.71679999999998</v>
      </c>
      <c r="J1230">
        <v>-206.5137</v>
      </c>
      <c r="K1230">
        <v>1.0990660000000001</v>
      </c>
      <c r="L1230">
        <v>366.40309999999999</v>
      </c>
      <c r="M1230">
        <v>0.95256300000000005</v>
      </c>
      <c r="N1230">
        <v>-1.5514119999999999E-2</v>
      </c>
      <c r="O1230">
        <v>-0.30394549999999998</v>
      </c>
      <c r="P1230">
        <v>0.81058409999999903</v>
      </c>
      <c r="Q1230">
        <v>-7.0043449999999993E-2</v>
      </c>
      <c r="R1230">
        <v>-0.58141849999999995</v>
      </c>
      <c r="S1230">
        <v>1.635635</v>
      </c>
      <c r="T1230">
        <v>-7.1152690000000005E-2</v>
      </c>
      <c r="U1230">
        <v>-2.8967900000000002</v>
      </c>
      <c r="V1230">
        <v>0.30599690000000002</v>
      </c>
      <c r="W1230">
        <v>-6.3106510000000005E-2</v>
      </c>
      <c r="X1230">
        <v>0.94993870000000002</v>
      </c>
      <c r="Y1230">
        <v>0.67982290000000001</v>
      </c>
      <c r="Z1230">
        <v>-1.200556E-2</v>
      </c>
      <c r="AA1230">
        <v>0.73327810000000004</v>
      </c>
      <c r="AB1230">
        <v>29</v>
      </c>
      <c r="AC1230">
        <v>25.091999999999999</v>
      </c>
      <c r="AD1230">
        <v>-1.0990689864849901</v>
      </c>
      <c r="AE1230">
        <v>-44.686300000000003</v>
      </c>
      <c r="AF1230">
        <v>34.928060235182897</v>
      </c>
      <c r="AG1230">
        <v>-1.0990689864849901</v>
      </c>
      <c r="AH1230">
        <v>37.471192138302797</v>
      </c>
      <c r="AI1230">
        <v>91.229119497867302</v>
      </c>
      <c r="AJ1230">
        <v>47.011772704202997</v>
      </c>
      <c r="AK1230">
        <v>51.237365122488697</v>
      </c>
      <c r="AL1230">
        <v>93.618140774391904</v>
      </c>
      <c r="AM1230">
        <v>72.145067494470595</v>
      </c>
      <c r="AN1230">
        <v>1.0000000340858299</v>
      </c>
    </row>
    <row r="1231" spans="1:40" x14ac:dyDescent="0.25">
      <c r="A1231" t="str">
        <f>"20190305135814347"</f>
        <v>20190305135814347</v>
      </c>
      <c r="B1231" t="str">
        <f>"1551765494339569"</f>
        <v>1551765494339569</v>
      </c>
      <c r="C1231" t="s">
        <v>40</v>
      </c>
      <c r="D1231">
        <v>3.9858189999999998</v>
      </c>
      <c r="E1231">
        <v>0.67944559999999998</v>
      </c>
      <c r="F1231" t="s">
        <v>42</v>
      </c>
      <c r="G1231">
        <v>-179.95779999999999</v>
      </c>
      <c r="H1231">
        <v>1.2426110000000001E-2</v>
      </c>
      <c r="I1231">
        <v>318.35180000000003</v>
      </c>
      <c r="J1231">
        <v>-206.3544</v>
      </c>
      <c r="K1231">
        <v>1.098962</v>
      </c>
      <c r="L1231">
        <v>366.34399999999999</v>
      </c>
      <c r="M1231">
        <v>0.95007750000000002</v>
      </c>
      <c r="N1231">
        <v>-1.554988E-2</v>
      </c>
      <c r="O1231">
        <v>-0.31162679999999998</v>
      </c>
      <c r="P1231">
        <v>0.80501969999999901</v>
      </c>
      <c r="Q1231">
        <v>-6.9215479999999996E-2</v>
      </c>
      <c r="R1231">
        <v>-0.58919690000000002</v>
      </c>
      <c r="S1231">
        <v>1.6081540000000001</v>
      </c>
      <c r="T1231">
        <v>-6.5803890000000004E-2</v>
      </c>
      <c r="U1231">
        <v>-2.9098510000000002</v>
      </c>
      <c r="V1231">
        <v>0.30745400000000001</v>
      </c>
      <c r="W1231">
        <v>-6.2373209999999998E-2</v>
      </c>
      <c r="X1231">
        <v>0.94951649999999999</v>
      </c>
      <c r="Y1231">
        <v>0.68062069999999997</v>
      </c>
      <c r="Z1231">
        <v>-1.1872479999999999E-2</v>
      </c>
      <c r="AA1231">
        <v>0.73253970000000002</v>
      </c>
      <c r="AB1231">
        <v>29</v>
      </c>
      <c r="AC1231">
        <v>26.396599999999999</v>
      </c>
      <c r="AD1231">
        <v>-1.0865358899999999</v>
      </c>
      <c r="AE1231">
        <v>-47.992199999999897</v>
      </c>
      <c r="AF1231">
        <v>37.3602325108968</v>
      </c>
      <c r="AG1231">
        <v>-1.0865358899999999</v>
      </c>
      <c r="AH1231">
        <v>40.023556209163097</v>
      </c>
      <c r="AI1231">
        <v>91.136887912024804</v>
      </c>
      <c r="AJ1231">
        <v>46.971175105903399</v>
      </c>
      <c r="AK1231">
        <v>54.761780332057903</v>
      </c>
      <c r="AL1231">
        <v>93.5760430311378</v>
      </c>
      <c r="AM1231">
        <v>72.058016363431605</v>
      </c>
      <c r="AN1231">
        <v>0.99999998160697601</v>
      </c>
    </row>
    <row r="1232" spans="1:40" x14ac:dyDescent="0.25">
      <c r="A1232" t="str">
        <f>"20190305135814360"</f>
        <v>20190305135814360</v>
      </c>
      <c r="B1232" t="str">
        <f>"1551765494350305"</f>
        <v>1551765494350305</v>
      </c>
      <c r="C1232" t="s">
        <v>40</v>
      </c>
      <c r="D1232">
        <v>4.0352750000000004</v>
      </c>
      <c r="E1232">
        <v>0.67923880000000003</v>
      </c>
      <c r="F1232" t="s">
        <v>42</v>
      </c>
      <c r="G1232">
        <v>-179.95779999999999</v>
      </c>
      <c r="H1232">
        <v>3.7014680000000001E-2</v>
      </c>
      <c r="I1232">
        <v>317.56920000000002</v>
      </c>
      <c r="J1232">
        <v>-206.19479999999999</v>
      </c>
      <c r="K1232">
        <v>1.0988610000000001</v>
      </c>
      <c r="L1232">
        <v>366.28359999999998</v>
      </c>
      <c r="M1232">
        <v>0.94749550000000005</v>
      </c>
      <c r="N1232">
        <v>-1.558532E-2</v>
      </c>
      <c r="O1232">
        <v>-0.31938879999999997</v>
      </c>
      <c r="P1232">
        <v>0.79935880000000004</v>
      </c>
      <c r="Q1232">
        <v>-6.8121459999999995E-2</v>
      </c>
      <c r="R1232">
        <v>-0.59697990000000001</v>
      </c>
      <c r="S1232">
        <v>1.581863</v>
      </c>
      <c r="T1232">
        <v>-6.3638929999999996E-2</v>
      </c>
      <c r="U1232">
        <v>-2.9229129999999999</v>
      </c>
      <c r="V1232">
        <v>0.3088784</v>
      </c>
      <c r="W1232">
        <v>-6.1372969999999999E-2</v>
      </c>
      <c r="X1232">
        <v>0.9491193</v>
      </c>
      <c r="Y1232">
        <v>0.68110139999999997</v>
      </c>
      <c r="Z1232">
        <v>-1.1806580000000001E-2</v>
      </c>
      <c r="AA1232">
        <v>0.73209399999999902</v>
      </c>
      <c r="AB1232">
        <v>29</v>
      </c>
      <c r="AC1232">
        <v>26.236999999999899</v>
      </c>
      <c r="AD1232">
        <v>-1.0618463199999999</v>
      </c>
      <c r="AE1232">
        <v>-48.714399999999898</v>
      </c>
      <c r="AF1232">
        <v>37.767553417201498</v>
      </c>
      <c r="AG1232">
        <v>-1.0618463199999999</v>
      </c>
      <c r="AH1232">
        <v>40.4083042849077</v>
      </c>
      <c r="AI1232">
        <v>91.099830243244099</v>
      </c>
      <c r="AJ1232">
        <v>46.934694088457697</v>
      </c>
      <c r="AK1232">
        <v>55.320400070048002</v>
      </c>
      <c r="AL1232">
        <v>93.518623500604306</v>
      </c>
      <c r="AM1232">
        <v>71.973202570947095</v>
      </c>
      <c r="AN1232">
        <v>0.99999997653283501</v>
      </c>
    </row>
    <row r="1233" spans="1:40" x14ac:dyDescent="0.25">
      <c r="A1233" t="str">
        <f>"20190305135814372"</f>
        <v>20190305135814372</v>
      </c>
      <c r="B1233" t="str">
        <f>"1551765494369826"</f>
        <v>1551765494369826</v>
      </c>
      <c r="C1233" t="s">
        <v>40</v>
      </c>
      <c r="D1233">
        <v>4.023847</v>
      </c>
      <c r="E1233">
        <v>0.67874650000000003</v>
      </c>
      <c r="F1233" t="s">
        <v>42</v>
      </c>
      <c r="G1233">
        <v>-179.9358</v>
      </c>
      <c r="H1233">
        <v>7.1973209999999996E-2</v>
      </c>
      <c r="I1233">
        <v>316.6816</v>
      </c>
      <c r="J1233">
        <v>-206.0275</v>
      </c>
      <c r="K1233">
        <v>1.0987480000000001</v>
      </c>
      <c r="L1233">
        <v>366.21809999999999</v>
      </c>
      <c r="M1233">
        <v>0.94466300000000003</v>
      </c>
      <c r="N1233">
        <v>-1.562354E-2</v>
      </c>
      <c r="O1233">
        <v>-0.32767039999999997</v>
      </c>
      <c r="P1233">
        <v>0.79312280000000002</v>
      </c>
      <c r="Q1233">
        <v>-6.724492E-2</v>
      </c>
      <c r="R1233">
        <v>-0.60533890000000001</v>
      </c>
      <c r="S1233">
        <v>1.554657</v>
      </c>
      <c r="T1233">
        <v>-6.0796620000000003E-2</v>
      </c>
      <c r="U1233">
        <v>-2.9366759999999998</v>
      </c>
      <c r="V1233">
        <v>0.31051299999999998</v>
      </c>
      <c r="W1233">
        <v>-6.0599479999999997E-2</v>
      </c>
      <c r="X1233">
        <v>0.94863549999999996</v>
      </c>
      <c r="Y1233">
        <v>0.68142009999999997</v>
      </c>
      <c r="Z1233">
        <v>-1.1735799999999999E-2</v>
      </c>
      <c r="AA1233">
        <v>0.73179839999999996</v>
      </c>
      <c r="AB1233">
        <v>29</v>
      </c>
      <c r="AC1233">
        <v>26.091699999999999</v>
      </c>
      <c r="AD1233">
        <v>-1.0267747899999999</v>
      </c>
      <c r="AE1233">
        <v>-49.536499999999897</v>
      </c>
      <c r="AF1233">
        <v>38.237625972233403</v>
      </c>
      <c r="AG1233">
        <v>-1.0267747899999999</v>
      </c>
      <c r="AH1233">
        <v>40.870749093559603</v>
      </c>
      <c r="AI1233">
        <v>91.050996347667606</v>
      </c>
      <c r="AJ1233">
        <v>46.906386826318503</v>
      </c>
      <c r="AK1233">
        <v>55.978464054763997</v>
      </c>
      <c r="AL1233">
        <v>93.4742231760858</v>
      </c>
      <c r="AM1233">
        <v>71.875386262550094</v>
      </c>
      <c r="AN1233">
        <v>0.99999996600275898</v>
      </c>
    </row>
    <row r="1234" spans="1:40" x14ac:dyDescent="0.25">
      <c r="A1234" t="str">
        <f>"20190305135814391"</f>
        <v>20190305135814391</v>
      </c>
      <c r="B1234" t="str">
        <f>"1551765494379585"</f>
        <v>1551765494379585</v>
      </c>
      <c r="C1234" t="s">
        <v>40</v>
      </c>
      <c r="D1234">
        <v>4.0157720000000001</v>
      </c>
      <c r="E1234">
        <v>0.67859759999999902</v>
      </c>
      <c r="F1234" t="s">
        <v>42</v>
      </c>
      <c r="G1234">
        <v>-179.65190000000001</v>
      </c>
      <c r="H1234">
        <v>7.9985299999999995E-2</v>
      </c>
      <c r="I1234">
        <v>315.23439999999999</v>
      </c>
      <c r="J1234">
        <v>-205.8227</v>
      </c>
      <c r="K1234">
        <v>1.0986039999999999</v>
      </c>
      <c r="L1234">
        <v>366.13560000000001</v>
      </c>
      <c r="M1234">
        <v>0.94103840000000005</v>
      </c>
      <c r="N1234">
        <v>-1.5670759999999999E-2</v>
      </c>
      <c r="O1234">
        <v>-0.33793659999999998</v>
      </c>
      <c r="P1234">
        <v>0.78497859999999997</v>
      </c>
      <c r="Q1234">
        <v>-6.5957660000000001E-2</v>
      </c>
      <c r="R1234">
        <v>-0.61600200000000005</v>
      </c>
      <c r="S1234">
        <v>1.526062</v>
      </c>
      <c r="T1234">
        <v>-5.8944459999999997E-2</v>
      </c>
      <c r="U1234">
        <v>-2.9498600000000001</v>
      </c>
      <c r="V1234">
        <v>0.31297700000000001</v>
      </c>
      <c r="W1234">
        <v>-5.9452360000000003E-2</v>
      </c>
      <c r="X1234">
        <v>0.94789809999999997</v>
      </c>
      <c r="Y1234">
        <v>0.68038730000000003</v>
      </c>
      <c r="Z1234">
        <v>-1.1650010000000001E-2</v>
      </c>
      <c r="AA1234">
        <v>0.73276019999999997</v>
      </c>
      <c r="AB1234">
        <v>29</v>
      </c>
      <c r="AC1234">
        <v>26.1707999999999</v>
      </c>
      <c r="AD1234">
        <v>-1.0186187</v>
      </c>
      <c r="AE1234">
        <v>-50.901200000000003</v>
      </c>
      <c r="AF1234">
        <v>39.048341179113798</v>
      </c>
      <c r="AG1234">
        <v>-1.0186187</v>
      </c>
      <c r="AH1234">
        <v>41.820997150215497</v>
      </c>
      <c r="AI1234">
        <v>91.019915994247597</v>
      </c>
      <c r="AJ1234">
        <v>46.963652539815499</v>
      </c>
      <c r="AK1234">
        <v>57.225923631993901</v>
      </c>
      <c r="AL1234">
        <v>93.408379202030901</v>
      </c>
      <c r="AM1234">
        <v>71.727809840771599</v>
      </c>
      <c r="AN1234">
        <v>0.99999999681108898</v>
      </c>
    </row>
    <row r="1235" spans="1:40" x14ac:dyDescent="0.25">
      <c r="A1235" t="str">
        <f>"20190305135814413"</f>
        <v>20190305135814413</v>
      </c>
      <c r="B1235" t="str">
        <f>"1551765494409840"</f>
        <v>1551765494409840</v>
      </c>
      <c r="C1235" t="s">
        <v>40</v>
      </c>
      <c r="D1235">
        <v>4.0836959999999998</v>
      </c>
      <c r="E1235">
        <v>0.67772379999999999</v>
      </c>
      <c r="F1235" t="s">
        <v>42</v>
      </c>
      <c r="G1235">
        <v>-178.93549999999999</v>
      </c>
      <c r="H1235">
        <v>7.9986100000000004E-2</v>
      </c>
      <c r="I1235">
        <v>312.45330000000001</v>
      </c>
      <c r="J1235">
        <v>-205.53899999999999</v>
      </c>
      <c r="K1235">
        <v>1.0984039999999999</v>
      </c>
      <c r="L1235">
        <v>366.01690000000002</v>
      </c>
      <c r="M1235">
        <v>0.9357145</v>
      </c>
      <c r="N1235">
        <v>-1.5736759999999999E-2</v>
      </c>
      <c r="O1235">
        <v>-0.35240700000000003</v>
      </c>
      <c r="P1235">
        <v>0.77462089999999995</v>
      </c>
      <c r="Q1235">
        <v>-6.6000399999999904E-2</v>
      </c>
      <c r="R1235">
        <v>-0.62897239999999999</v>
      </c>
      <c r="S1235">
        <v>1.4870760000000001</v>
      </c>
      <c r="T1235">
        <v>-5.633759E-2</v>
      </c>
      <c r="U1235">
        <v>-2.969055</v>
      </c>
      <c r="V1235">
        <v>0.31409700000000002</v>
      </c>
      <c r="W1235">
        <v>-5.9620449999999998E-2</v>
      </c>
      <c r="X1235">
        <v>0.94751700000000005</v>
      </c>
      <c r="Y1235">
        <v>0.67868479999999998</v>
      </c>
      <c r="Z1235">
        <v>-1.1544830000000001E-2</v>
      </c>
      <c r="AA1235">
        <v>0.73433890000000002</v>
      </c>
      <c r="AB1235">
        <v>29</v>
      </c>
      <c r="AC1235">
        <v>26.6035</v>
      </c>
      <c r="AD1235">
        <v>-1.0184179</v>
      </c>
      <c r="AE1235">
        <v>-53.563600000000001</v>
      </c>
      <c r="AF1235">
        <v>40.738211421651002</v>
      </c>
      <c r="AG1235">
        <v>-1.0184179</v>
      </c>
      <c r="AH1235">
        <v>43.762199890368798</v>
      </c>
      <c r="AI1235">
        <v>90.975854153561698</v>
      </c>
      <c r="AJ1235">
        <v>47.049550599956603</v>
      </c>
      <c r="AK1235">
        <v>59.797735610128001</v>
      </c>
      <c r="AL1235">
        <v>93.418027172159697</v>
      </c>
      <c r="AM1235">
        <v>71.659907325173293</v>
      </c>
      <c r="AN1235">
        <v>0.99999999437810105</v>
      </c>
    </row>
    <row r="1236" spans="1:40" x14ac:dyDescent="0.25">
      <c r="A1236" t="str">
        <f>"20190305135814428"</f>
        <v>20190305135814428</v>
      </c>
      <c r="B1236" t="str">
        <f>"1551765494419601"</f>
        <v>1551765494419601</v>
      </c>
      <c r="C1236" t="s">
        <v>40</v>
      </c>
      <c r="D1236">
        <v>4.0605289999999998</v>
      </c>
      <c r="E1236">
        <v>0.67740840000000002</v>
      </c>
      <c r="F1236" t="s">
        <v>42</v>
      </c>
      <c r="G1236">
        <v>-181.10579999999999</v>
      </c>
      <c r="H1236" s="1">
        <v>-4.56235599999999E-6</v>
      </c>
      <c r="I1236">
        <v>315.36250000000001</v>
      </c>
      <c r="J1236">
        <v>-205.3716</v>
      </c>
      <c r="K1236">
        <v>1.0982879999999999</v>
      </c>
      <c r="L1236">
        <v>365.94409999999999</v>
      </c>
      <c r="M1236">
        <v>0.93238989999999999</v>
      </c>
      <c r="N1236">
        <v>-1.5776809999999999E-2</v>
      </c>
      <c r="O1236">
        <v>-0.36110989999999998</v>
      </c>
      <c r="P1236">
        <v>0.76746150000000002</v>
      </c>
      <c r="Q1236">
        <v>-6.6283720000000004E-2</v>
      </c>
      <c r="R1236">
        <v>-0.63765930000000004</v>
      </c>
      <c r="S1236">
        <v>1.441238</v>
      </c>
      <c r="T1236">
        <v>-6.4791799999999997E-2</v>
      </c>
      <c r="U1236">
        <v>-2.987946</v>
      </c>
      <c r="V1236">
        <v>0.31592510000000001</v>
      </c>
      <c r="W1236">
        <v>-6.0015949999999998E-2</v>
      </c>
      <c r="X1236">
        <v>0.94688399999999995</v>
      </c>
      <c r="Y1236">
        <v>0.68273739999999905</v>
      </c>
      <c r="Z1236">
        <v>-1.163576E-2</v>
      </c>
      <c r="AA1236">
        <v>0.73057119999999998</v>
      </c>
      <c r="AB1236">
        <v>29</v>
      </c>
      <c r="AC1236">
        <v>24.265799999999999</v>
      </c>
      <c r="AD1236">
        <v>-1.098292562356</v>
      </c>
      <c r="AE1236">
        <v>-50.581599999999902</v>
      </c>
      <c r="AF1236">
        <v>38.389215384620201</v>
      </c>
      <c r="AG1236">
        <v>-1.098292562356</v>
      </c>
      <c r="AH1236">
        <v>40.880121617481997</v>
      </c>
      <c r="AI1236">
        <v>91.121968386606596</v>
      </c>
      <c r="AJ1236">
        <v>46.799831724537199</v>
      </c>
      <c r="AK1236">
        <v>56.090306184397001</v>
      </c>
      <c r="AL1236">
        <v>93.440728470181298</v>
      </c>
      <c r="AM1236">
        <v>71.548872979839302</v>
      </c>
      <c r="AN1236">
        <v>0.99999994626020405</v>
      </c>
    </row>
    <row r="1237" spans="1:40" x14ac:dyDescent="0.25">
      <c r="A1237" t="str">
        <f>"20190305135814444"</f>
        <v>20190305135814444</v>
      </c>
      <c r="B1237" t="str">
        <f>"1551765494440097"</f>
        <v>1551765494440097</v>
      </c>
      <c r="C1237" t="s">
        <v>40</v>
      </c>
      <c r="D1237">
        <v>4.0644869999999997</v>
      </c>
      <c r="E1237">
        <v>0.67691279999999998</v>
      </c>
      <c r="F1237" t="s">
        <v>42</v>
      </c>
      <c r="G1237">
        <v>-181.3758</v>
      </c>
      <c r="H1237" s="1">
        <v>-4.2854270000000002E-6</v>
      </c>
      <c r="I1237">
        <v>314.82850000000002</v>
      </c>
      <c r="J1237">
        <v>-205.19149999999999</v>
      </c>
      <c r="K1237">
        <v>1.098155</v>
      </c>
      <c r="L1237">
        <v>365.8639</v>
      </c>
      <c r="M1237">
        <v>0.92866930000000003</v>
      </c>
      <c r="N1237">
        <v>-1.5820150000000002E-2</v>
      </c>
      <c r="O1237">
        <v>-0.3705717</v>
      </c>
      <c r="P1237">
        <v>0.76040289999999999</v>
      </c>
      <c r="Q1237">
        <v>-6.5838560000000004E-2</v>
      </c>
      <c r="R1237">
        <v>-0.64610590000000001</v>
      </c>
      <c r="S1237">
        <v>1.409241</v>
      </c>
      <c r="T1237">
        <v>-6.4501290000000003E-2</v>
      </c>
      <c r="U1237">
        <v>-3.0019529999999999</v>
      </c>
      <c r="V1237">
        <v>0.31674580000000002</v>
      </c>
      <c r="W1237">
        <v>-5.965372E-2</v>
      </c>
      <c r="X1237">
        <v>0.94663269999999999</v>
      </c>
      <c r="Y1237">
        <v>0.68299919999999903</v>
      </c>
      <c r="Z1237">
        <v>-1.1587480000000001E-2</v>
      </c>
      <c r="AA1237">
        <v>0.73032719999999995</v>
      </c>
      <c r="AB1237">
        <v>29</v>
      </c>
      <c r="AC1237">
        <v>23.8157</v>
      </c>
      <c r="AD1237">
        <v>-1.0981592854269999</v>
      </c>
      <c r="AE1237">
        <v>-51.035399999999903</v>
      </c>
      <c r="AF1237">
        <v>38.559744977828601</v>
      </c>
      <c r="AG1237">
        <v>-1.0981592854269999</v>
      </c>
      <c r="AH1237">
        <v>41.018717119346903</v>
      </c>
      <c r="AI1237">
        <v>91.117493787415796</v>
      </c>
      <c r="AJ1237">
        <v>46.769874750516799</v>
      </c>
      <c r="AK1237">
        <v>56.308037087864697</v>
      </c>
      <c r="AL1237">
        <v>93.4199368905428</v>
      </c>
      <c r="AM1237">
        <v>71.499622825582406</v>
      </c>
      <c r="AN1237">
        <v>0.99999996841838301</v>
      </c>
    </row>
    <row r="1238" spans="1:40" x14ac:dyDescent="0.25">
      <c r="A1238" t="str">
        <f>"20190305135814459"</f>
        <v>20190305135814459</v>
      </c>
      <c r="B1238" t="str">
        <f>"1551765494449857"</f>
        <v>1551765494449857</v>
      </c>
      <c r="C1238" t="s">
        <v>40</v>
      </c>
      <c r="D1238">
        <v>4.116053</v>
      </c>
      <c r="E1238">
        <v>0.67658399999999996</v>
      </c>
      <c r="F1238" t="s">
        <v>42</v>
      </c>
      <c r="G1238">
        <v>-182.54150000000001</v>
      </c>
      <c r="H1238" s="1">
        <v>-4.5484329999999998E-6</v>
      </c>
      <c r="I1238">
        <v>316.32100000000003</v>
      </c>
      <c r="J1238">
        <v>-205.0044</v>
      </c>
      <c r="K1238">
        <v>1.0980209999999999</v>
      </c>
      <c r="L1238">
        <v>365.77820000000003</v>
      </c>
      <c r="M1238">
        <v>0.92463379999999995</v>
      </c>
      <c r="N1238">
        <v>-1.5865810000000001E-2</v>
      </c>
      <c r="O1238">
        <v>-0.3805269</v>
      </c>
      <c r="P1238">
        <v>0.75183809999999995</v>
      </c>
      <c r="Q1238">
        <v>-6.8237580000000006E-2</v>
      </c>
      <c r="R1238">
        <v>-0.65580760000000005</v>
      </c>
      <c r="S1238">
        <v>1.3781429999999999</v>
      </c>
      <c r="T1238">
        <v>-6.6817520000000005E-2</v>
      </c>
      <c r="U1238">
        <v>-3.0144350000000002</v>
      </c>
      <c r="V1238">
        <v>0.3187122</v>
      </c>
      <c r="W1238">
        <v>-6.2180869999999999E-2</v>
      </c>
      <c r="X1238">
        <v>0.94580969999999998</v>
      </c>
      <c r="Y1238">
        <v>0.68251410000000001</v>
      </c>
      <c r="Z1238">
        <v>-1.150549E-2</v>
      </c>
      <c r="AA1238">
        <v>0.73078180000000004</v>
      </c>
      <c r="AB1238">
        <v>28</v>
      </c>
      <c r="AC1238">
        <v>22.462899999999902</v>
      </c>
      <c r="AD1238">
        <v>-1.0980255484329999</v>
      </c>
      <c r="AE1238">
        <v>-49.4572</v>
      </c>
      <c r="AF1238">
        <v>37.171550843065702</v>
      </c>
      <c r="AG1238">
        <v>-1.0980255484329999</v>
      </c>
      <c r="AH1238">
        <v>39.578560776151903</v>
      </c>
      <c r="AI1238">
        <v>91.158506294628296</v>
      </c>
      <c r="AJ1238">
        <v>46.7963012658088</v>
      </c>
      <c r="AK1238">
        <v>54.308308068795299</v>
      </c>
      <c r="AL1238">
        <v>93.565001412564001</v>
      </c>
      <c r="AM1238">
        <v>71.377579952664902</v>
      </c>
      <c r="AN1238">
        <v>0.99999995781844198</v>
      </c>
    </row>
    <row r="1239" spans="1:40" x14ac:dyDescent="0.25">
      <c r="A1239" t="str">
        <f>"20190305135814473"</f>
        <v>20190305135814473</v>
      </c>
      <c r="B1239" t="str">
        <f>"1551765494469377"</f>
        <v>1551765494469377</v>
      </c>
      <c r="C1239" t="s">
        <v>40</v>
      </c>
      <c r="D1239">
        <v>4.0449900000000003</v>
      </c>
      <c r="E1239">
        <v>0.67598930000000002</v>
      </c>
      <c r="F1239" t="s">
        <v>42</v>
      </c>
      <c r="G1239">
        <v>-186.28219999999999</v>
      </c>
      <c r="H1239" s="1">
        <v>-2.2899709999999999E-6</v>
      </c>
      <c r="I1239">
        <v>323.43349999999998</v>
      </c>
      <c r="J1239">
        <v>-204.8304</v>
      </c>
      <c r="K1239">
        <v>1.097901</v>
      </c>
      <c r="L1239">
        <v>365.69549999999998</v>
      </c>
      <c r="M1239">
        <v>0.92069630000000002</v>
      </c>
      <c r="N1239">
        <v>-1.5910069999999998E-2</v>
      </c>
      <c r="O1239">
        <v>-0.3899553</v>
      </c>
      <c r="P1239">
        <v>0.74436709999999995</v>
      </c>
      <c r="Q1239">
        <v>-7.0490369999999997E-2</v>
      </c>
      <c r="R1239">
        <v>-0.66403970000000001</v>
      </c>
      <c r="S1239">
        <v>1.339828</v>
      </c>
      <c r="T1239">
        <v>-7.8578469999999997E-2</v>
      </c>
      <c r="U1239">
        <v>-3.0303339999999999</v>
      </c>
      <c r="V1239">
        <v>0.3194533</v>
      </c>
      <c r="W1239">
        <v>-6.4514440000000006E-2</v>
      </c>
      <c r="X1239">
        <v>0.94540329999999995</v>
      </c>
      <c r="Y1239">
        <v>0.68413349999999995</v>
      </c>
      <c r="Z1239">
        <v>-1.139393E-2</v>
      </c>
      <c r="AA1239">
        <v>0.72926780000000002</v>
      </c>
      <c r="AB1239">
        <v>28</v>
      </c>
      <c r="AC1239">
        <v>18.548200000000001</v>
      </c>
      <c r="AD1239">
        <v>-1.097903289971</v>
      </c>
      <c r="AE1239">
        <v>-42.262</v>
      </c>
      <c r="AF1239">
        <v>31.663591217596299</v>
      </c>
      <c r="AG1239">
        <v>-1.097903289971</v>
      </c>
      <c r="AH1239">
        <v>33.5428177105183</v>
      </c>
      <c r="AI1239">
        <v>91.363481216387001</v>
      </c>
      <c r="AJ1239">
        <v>46.650787915936199</v>
      </c>
      <c r="AK1239">
        <v>46.1401020847401</v>
      </c>
      <c r="AL1239">
        <v>93.6989742283981</v>
      </c>
      <c r="AM1239">
        <v>71.329806070638199</v>
      </c>
      <c r="AN1239">
        <v>0.99999996175014605</v>
      </c>
    </row>
    <row r="1240" spans="1:40" x14ac:dyDescent="0.25">
      <c r="A1240" t="str">
        <f>"20190305135814490"</f>
        <v>20190305135814490</v>
      </c>
      <c r="B1240" t="str">
        <f>"1551765494480112"</f>
        <v>1551765494480112</v>
      </c>
      <c r="C1240" t="s">
        <v>40</v>
      </c>
      <c r="D1240">
        <v>3.36903</v>
      </c>
      <c r="E1240">
        <v>0.67562069999999996</v>
      </c>
      <c r="F1240" t="s">
        <v>42</v>
      </c>
      <c r="G1240">
        <v>-189.25</v>
      </c>
      <c r="H1240" s="1">
        <v>-4.3583679999999996E-6</v>
      </c>
      <c r="I1240">
        <v>329.4821</v>
      </c>
      <c r="J1240">
        <v>-204.6328</v>
      </c>
      <c r="K1240">
        <v>1.097769</v>
      </c>
      <c r="L1240">
        <v>365.59910000000002</v>
      </c>
      <c r="M1240">
        <v>0.91603120000000005</v>
      </c>
      <c r="N1240">
        <v>-1.596028E-2</v>
      </c>
      <c r="O1240">
        <v>-0.40078950000000002</v>
      </c>
      <c r="P1240">
        <v>0.7361529</v>
      </c>
      <c r="Q1240">
        <v>-7.2729580000000002E-2</v>
      </c>
      <c r="R1240">
        <v>-0.6728963</v>
      </c>
      <c r="S1240">
        <v>1.3084720000000001</v>
      </c>
      <c r="T1240">
        <v>-9.2203859999999999E-2</v>
      </c>
      <c r="U1240">
        <v>-3.0412599999999999</v>
      </c>
      <c r="V1240">
        <v>0.31961230000000002</v>
      </c>
      <c r="W1240">
        <v>-6.6819229999999993E-2</v>
      </c>
      <c r="X1240">
        <v>0.94518950000000002</v>
      </c>
      <c r="Y1240">
        <v>0.68275520000000001</v>
      </c>
      <c r="Z1240">
        <v>-1.1072449999999999E-2</v>
      </c>
      <c r="AA1240">
        <v>0.73056330000000003</v>
      </c>
      <c r="AB1240">
        <v>28</v>
      </c>
      <c r="AC1240">
        <v>15.3828</v>
      </c>
      <c r="AD1240">
        <v>-1.0977733583680001</v>
      </c>
      <c r="AE1240">
        <v>-36.116999999999997</v>
      </c>
      <c r="AF1240">
        <v>26.9014250532991</v>
      </c>
      <c r="AG1240">
        <v>-1.0977733583680001</v>
      </c>
      <c r="AH1240">
        <v>28.5477523889802</v>
      </c>
      <c r="AI1240">
        <v>91.603062760122</v>
      </c>
      <c r="AJ1240">
        <v>46.700654710686102</v>
      </c>
      <c r="AK1240">
        <v>39.241125655454098</v>
      </c>
      <c r="AL1240">
        <v>93.831314455538504</v>
      </c>
      <c r="AM1240">
        <v>71.317225903501097</v>
      </c>
      <c r="AN1240">
        <v>1.0000000113596601</v>
      </c>
    </row>
    <row r="1241" spans="1:40" x14ac:dyDescent="0.25">
      <c r="A1241" t="str">
        <f>"20190305135814504"</f>
        <v>20190305135814504</v>
      </c>
      <c r="B1241" t="str">
        <f>"1551765494499633"</f>
        <v>1551765494499633</v>
      </c>
      <c r="C1241" t="s">
        <v>40</v>
      </c>
      <c r="D1241">
        <v>4.03735</v>
      </c>
      <c r="E1241">
        <v>0.66167830000000005</v>
      </c>
      <c r="F1241" t="s">
        <v>42</v>
      </c>
      <c r="G1241">
        <v>-190.62530000000001</v>
      </c>
      <c r="H1241" s="1">
        <v>-1.197508E-6</v>
      </c>
      <c r="I1241">
        <v>331.99270000000001</v>
      </c>
      <c r="J1241">
        <v>-204.47909999999999</v>
      </c>
      <c r="K1241">
        <v>1.0976619999999999</v>
      </c>
      <c r="L1241">
        <v>365.5222</v>
      </c>
      <c r="M1241">
        <v>0.91225659999999997</v>
      </c>
      <c r="N1241">
        <v>-1.5999139999999999E-2</v>
      </c>
      <c r="O1241">
        <v>-0.40930689999999997</v>
      </c>
      <c r="P1241">
        <v>0.73035419999999995</v>
      </c>
      <c r="Q1241">
        <v>-7.2727559999999997E-2</v>
      </c>
      <c r="R1241">
        <v>-0.67918630000000002</v>
      </c>
      <c r="S1241">
        <v>1.273209</v>
      </c>
      <c r="T1241">
        <v>-9.9781869999999995E-2</v>
      </c>
      <c r="U1241">
        <v>-3.0546570000000002</v>
      </c>
      <c r="V1241">
        <v>0.31889869999999998</v>
      </c>
      <c r="W1241">
        <v>-6.6835850000000002E-2</v>
      </c>
      <c r="X1241">
        <v>0.94542930000000003</v>
      </c>
      <c r="Y1241">
        <v>0.6842279</v>
      </c>
      <c r="Z1241">
        <v>-1.0871489999999999E-2</v>
      </c>
      <c r="AA1241">
        <v>0.72918719999999904</v>
      </c>
      <c r="AB1241">
        <v>28</v>
      </c>
      <c r="AC1241">
        <v>13.8537999999999</v>
      </c>
      <c r="AD1241">
        <v>-1.097663197508</v>
      </c>
      <c r="AE1241">
        <v>-33.529499999999899</v>
      </c>
      <c r="AF1241">
        <v>24.897446526284</v>
      </c>
      <c r="AG1241">
        <v>-1.097663197508</v>
      </c>
      <c r="AH1241">
        <v>26.341334003598199</v>
      </c>
      <c r="AI1241">
        <v>91.734614086357894</v>
      </c>
      <c r="AJ1241">
        <v>46.614144016387797</v>
      </c>
      <c r="AK1241">
        <v>36.262288746209201</v>
      </c>
      <c r="AL1241">
        <v>93.832268940282006</v>
      </c>
      <c r="AM1241">
        <v>71.360455561454003</v>
      </c>
      <c r="AN1241">
        <v>0.99999998650270105</v>
      </c>
    </row>
    <row r="1242" spans="1:40" x14ac:dyDescent="0.25">
      <c r="A1242" t="str">
        <f>"20190305135814517"</f>
        <v>20190305135814517</v>
      </c>
      <c r="B1242" t="str">
        <f>"1551765494509393"</f>
        <v>1551765494509393</v>
      </c>
      <c r="C1242" t="s">
        <v>40</v>
      </c>
      <c r="D1242">
        <v>4.0557910000000001</v>
      </c>
      <c r="E1242">
        <v>0.66090729999999998</v>
      </c>
      <c r="F1242" t="s">
        <v>42</v>
      </c>
      <c r="G1242">
        <v>-197.29920000000001</v>
      </c>
      <c r="H1242" s="1">
        <v>-5.4459450000000004E-6</v>
      </c>
      <c r="I1242">
        <v>349.18520000000001</v>
      </c>
      <c r="J1242">
        <v>-204.32089999999999</v>
      </c>
      <c r="K1242">
        <v>1.097545</v>
      </c>
      <c r="L1242">
        <v>365.44130000000001</v>
      </c>
      <c r="M1242">
        <v>0.9082327</v>
      </c>
      <c r="N1242">
        <v>-1.6038739999999999E-2</v>
      </c>
      <c r="O1242">
        <v>-0.41815819999999998</v>
      </c>
      <c r="P1242">
        <v>0.72551489999999996</v>
      </c>
      <c r="Q1242">
        <v>-7.245596E-2</v>
      </c>
      <c r="R1242">
        <v>-0.68438219999999905</v>
      </c>
      <c r="S1242">
        <v>1.311844</v>
      </c>
      <c r="T1242">
        <v>-0.20055500000000001</v>
      </c>
      <c r="U1242">
        <v>-2.9849239999999999</v>
      </c>
      <c r="V1242">
        <v>0.31643719999999997</v>
      </c>
      <c r="W1242">
        <v>-6.6523239999999997E-2</v>
      </c>
      <c r="X1242">
        <v>0.94627810000000001</v>
      </c>
      <c r="Y1242">
        <v>0.66229019999999905</v>
      </c>
      <c r="Z1242">
        <v>-7.6625069999999998E-3</v>
      </c>
      <c r="AA1242">
        <v>0.74920819999999999</v>
      </c>
      <c r="AB1242">
        <v>28</v>
      </c>
      <c r="AC1242">
        <v>7.0216999999999796</v>
      </c>
      <c r="AD1242">
        <v>-1.0975504459450001</v>
      </c>
      <c r="AE1242">
        <v>-16.2561</v>
      </c>
      <c r="AF1242">
        <v>11.78438899284</v>
      </c>
      <c r="AG1242">
        <v>-1.0975504459450001</v>
      </c>
      <c r="AH1242">
        <v>13.126226140528299</v>
      </c>
      <c r="AI1242">
        <v>93.560319992092602</v>
      </c>
      <c r="AJ1242">
        <v>48.083319115600901</v>
      </c>
      <c r="AK1242">
        <v>17.6741125267508</v>
      </c>
      <c r="AL1242">
        <v>93.814317539992004</v>
      </c>
      <c r="AM1242">
        <v>71.509966632498205</v>
      </c>
      <c r="AN1242">
        <v>1.0000000427717699</v>
      </c>
    </row>
    <row r="1243" spans="1:40" x14ac:dyDescent="0.25">
      <c r="A1243" t="str">
        <f>"20190305135814530"</f>
        <v>20190305135814530</v>
      </c>
      <c r="B1243" t="str">
        <f>"1551765494519393"</f>
        <v>1551765494519393</v>
      </c>
      <c r="C1243" t="s">
        <v>40</v>
      </c>
      <c r="D1243">
        <v>4.0925760000000002</v>
      </c>
      <c r="E1243">
        <v>0.66046890000000003</v>
      </c>
      <c r="F1243" t="s">
        <v>42</v>
      </c>
      <c r="G1243">
        <v>-197.11490000000001</v>
      </c>
      <c r="H1243" s="1">
        <v>-5.2858089999999999E-6</v>
      </c>
      <c r="I1243">
        <v>348.81079999999997</v>
      </c>
      <c r="J1243">
        <v>-204.17869999999999</v>
      </c>
      <c r="K1243">
        <v>1.0974429999999999</v>
      </c>
      <c r="L1243">
        <v>365.36599999999999</v>
      </c>
      <c r="M1243">
        <v>0.90446029999999999</v>
      </c>
      <c r="N1243">
        <v>-1.6075829999999999E-2</v>
      </c>
      <c r="O1243">
        <v>-0.426255</v>
      </c>
      <c r="P1243">
        <v>0.72145409999999999</v>
      </c>
      <c r="Q1243">
        <v>-7.3965009999999998E-2</v>
      </c>
      <c r="R1243">
        <v>-0.68850080000000002</v>
      </c>
      <c r="S1243">
        <v>1.295334</v>
      </c>
      <c r="T1243">
        <v>-0.19729140000000001</v>
      </c>
      <c r="U1243">
        <v>-2.9894409999999998</v>
      </c>
      <c r="V1243">
        <v>0.3133803</v>
      </c>
      <c r="W1243">
        <v>-6.7966009999999993E-2</v>
      </c>
      <c r="X1243">
        <v>0.94719240000000005</v>
      </c>
      <c r="Y1243">
        <v>0.65952659999999996</v>
      </c>
      <c r="Z1243">
        <v>-7.1462770000000004E-3</v>
      </c>
      <c r="AA1243">
        <v>0.75164719999999996</v>
      </c>
      <c r="AB1243">
        <v>28</v>
      </c>
      <c r="AC1243">
        <v>7.0637999999999801</v>
      </c>
      <c r="AD1243">
        <v>-1.097448285809</v>
      </c>
      <c r="AE1243">
        <v>-16.555199999999999</v>
      </c>
      <c r="AF1243">
        <v>11.919773240814401</v>
      </c>
      <c r="AG1243">
        <v>-1.097448285809</v>
      </c>
      <c r="AH1243">
        <v>13.397593213235201</v>
      </c>
      <c r="AI1243">
        <v>93.502057237285001</v>
      </c>
      <c r="AJ1243">
        <v>48.340666413566197</v>
      </c>
      <c r="AK1243">
        <v>17.9661039393572</v>
      </c>
      <c r="AL1243">
        <v>93.897169811348604</v>
      </c>
      <c r="AM1243">
        <v>71.693110118119293</v>
      </c>
      <c r="AN1243">
        <v>1.00000001678058</v>
      </c>
    </row>
    <row r="1244" spans="1:40" x14ac:dyDescent="0.25">
      <c r="A1244" t="str">
        <f>"20190305135814547"</f>
        <v>20190305135814547</v>
      </c>
      <c r="B1244" t="str">
        <f>"1551765494539889"</f>
        <v>1551765494539889</v>
      </c>
      <c r="C1244" t="s">
        <v>40</v>
      </c>
      <c r="D1244">
        <v>4.1075089999999896</v>
      </c>
      <c r="E1244">
        <v>0.65945069999999995</v>
      </c>
      <c r="F1244" t="s">
        <v>42</v>
      </c>
      <c r="G1244">
        <v>-197.2304</v>
      </c>
      <c r="H1244" s="1">
        <v>-5.4066120000000004E-6</v>
      </c>
      <c r="I1244">
        <v>349.10559999999998</v>
      </c>
      <c r="J1244">
        <v>-203.98519999999999</v>
      </c>
      <c r="K1244">
        <v>1.097291</v>
      </c>
      <c r="L1244">
        <v>365.26139999999998</v>
      </c>
      <c r="M1244">
        <v>0.89913920000000003</v>
      </c>
      <c r="N1244">
        <v>-1.612626E-2</v>
      </c>
      <c r="O1244">
        <v>-0.43736550000000002</v>
      </c>
      <c r="P1244">
        <v>0.71728000000000003</v>
      </c>
      <c r="Q1244">
        <v>-8.0922510000000003E-2</v>
      </c>
      <c r="R1244">
        <v>-0.69206990000000002</v>
      </c>
      <c r="S1244">
        <v>1.279663</v>
      </c>
      <c r="T1244">
        <v>-0.2021154</v>
      </c>
      <c r="U1244">
        <v>-2.994659</v>
      </c>
      <c r="V1244">
        <v>0.30651329999999999</v>
      </c>
      <c r="W1244">
        <v>-7.4745300000000001E-2</v>
      </c>
      <c r="X1244">
        <v>0.94892719999999997</v>
      </c>
      <c r="Y1244">
        <v>0.65404340000000005</v>
      </c>
      <c r="Z1244">
        <v>-6.0978630000000002E-3</v>
      </c>
      <c r="AA1244">
        <v>0.75643249999999995</v>
      </c>
      <c r="AB1244">
        <v>28</v>
      </c>
      <c r="AC1244">
        <v>6.7547999999999799</v>
      </c>
      <c r="AD1244">
        <v>-1.0972964066119999</v>
      </c>
      <c r="AE1244">
        <v>-16.155799999999999</v>
      </c>
      <c r="AF1244">
        <v>11.5282345120863</v>
      </c>
      <c r="AG1244">
        <v>-1.0972964066119999</v>
      </c>
      <c r="AH1244">
        <v>13.0898050710409</v>
      </c>
      <c r="AI1244">
        <v>93.599682719802203</v>
      </c>
      <c r="AJ1244">
        <v>48.629521008339402</v>
      </c>
      <c r="AK1244">
        <v>17.4770491550339</v>
      </c>
      <c r="AL1244">
        <v>94.286587791071398</v>
      </c>
      <c r="AM1244">
        <v>72.099006791710494</v>
      </c>
      <c r="AN1244">
        <v>1.0000000469243999</v>
      </c>
    </row>
    <row r="1245" spans="1:40" x14ac:dyDescent="0.25">
      <c r="A1245" t="str">
        <f>"20190305135814560"</f>
        <v>20190305135814560</v>
      </c>
      <c r="B1245" t="str">
        <f>"1551765494549649"</f>
        <v>1551765494549649</v>
      </c>
      <c r="C1245" t="s">
        <v>40</v>
      </c>
      <c r="D1245">
        <v>4.081569</v>
      </c>
      <c r="E1245">
        <v>0.65926989999999996</v>
      </c>
      <c r="F1245" t="s">
        <v>50</v>
      </c>
      <c r="G1245">
        <v>-197.7809</v>
      </c>
      <c r="H1245" s="1">
        <v>-2.6629380000000002E-6</v>
      </c>
      <c r="I1245">
        <v>350.60390000000001</v>
      </c>
      <c r="J1245">
        <v>-203.8347</v>
      </c>
      <c r="K1245">
        <v>1.097173</v>
      </c>
      <c r="L1245">
        <v>365.1782</v>
      </c>
      <c r="M1245">
        <v>0.89484529999999995</v>
      </c>
      <c r="N1245">
        <v>-1.616561E-2</v>
      </c>
      <c r="O1245">
        <v>-0.44608359999999903</v>
      </c>
      <c r="P1245">
        <v>0.71278299999999895</v>
      </c>
      <c r="Q1245">
        <v>-8.3134490000000005E-2</v>
      </c>
      <c r="R1245">
        <v>-0.69644079999999997</v>
      </c>
      <c r="S1245">
        <v>1.267639</v>
      </c>
      <c r="T1245">
        <v>-0.2241958</v>
      </c>
      <c r="U1245">
        <v>-2.9947810000000001</v>
      </c>
      <c r="V1245">
        <v>0.30312430000000001</v>
      </c>
      <c r="W1245">
        <v>-7.6878329999999995E-2</v>
      </c>
      <c r="X1245">
        <v>0.94984489999999999</v>
      </c>
      <c r="Y1245">
        <v>0.64913639999999995</v>
      </c>
      <c r="Z1245">
        <v>-4.5489780000000004E-3</v>
      </c>
      <c r="AA1245">
        <v>0.76065850000000002</v>
      </c>
      <c r="AB1245">
        <v>28</v>
      </c>
      <c r="AC1245">
        <v>6.0537999999999901</v>
      </c>
      <c r="AD1245">
        <v>-1.0971756629380001</v>
      </c>
      <c r="AE1245">
        <v>-14.5742999999999</v>
      </c>
      <c r="AF1245">
        <v>10.2928451709636</v>
      </c>
      <c r="AG1245">
        <v>-1.0971756629380001</v>
      </c>
      <c r="AH1245">
        <v>11.8627908902328</v>
      </c>
      <c r="AI1245">
        <v>93.996105865838501</v>
      </c>
      <c r="AJ1245">
        <v>49.053197270698</v>
      </c>
      <c r="AK1245">
        <v>15.7439595989752</v>
      </c>
      <c r="AL1245">
        <v>94.409154465291806</v>
      </c>
      <c r="AM1245">
        <v>72.3005406220433</v>
      </c>
      <c r="AN1245">
        <v>0.99999997646504402</v>
      </c>
    </row>
    <row r="1246" spans="1:40" x14ac:dyDescent="0.25">
      <c r="A1246" t="str">
        <f>"20190305135814572"</f>
        <v>20190305135814572</v>
      </c>
      <c r="B1246" t="str">
        <f>"1551765494570146"</f>
        <v>1551765494570146</v>
      </c>
      <c r="C1246" t="s">
        <v>40</v>
      </c>
      <c r="D1246">
        <v>4.0908879999999996</v>
      </c>
      <c r="E1246">
        <v>0.65870050000000002</v>
      </c>
      <c r="F1246" t="s">
        <v>50</v>
      </c>
      <c r="G1246">
        <v>-197.86179999999999</v>
      </c>
      <c r="H1246" s="1">
        <v>-2.8028890000000002E-6</v>
      </c>
      <c r="I1246">
        <v>350.82769999999999</v>
      </c>
      <c r="J1246">
        <v>-203.6985</v>
      </c>
      <c r="K1246">
        <v>1.097065</v>
      </c>
      <c r="L1246">
        <v>365.10050000000001</v>
      </c>
      <c r="M1246">
        <v>0.89080949999999903</v>
      </c>
      <c r="N1246">
        <v>-1.6202379999999999E-2</v>
      </c>
      <c r="O1246">
        <v>-0.4540882</v>
      </c>
      <c r="P1246">
        <v>0.7092811</v>
      </c>
      <c r="Q1246">
        <v>-8.6166900000000005E-2</v>
      </c>
      <c r="R1246">
        <v>-0.69964019999999905</v>
      </c>
      <c r="S1246">
        <v>1.2493129999999999</v>
      </c>
      <c r="T1246">
        <v>-0.22949059999999999</v>
      </c>
      <c r="U1246">
        <v>-3.001617</v>
      </c>
      <c r="V1246">
        <v>0.29894419999999999</v>
      </c>
      <c r="W1246">
        <v>-7.9797599999999996E-2</v>
      </c>
      <c r="X1246">
        <v>0.95092829999999995</v>
      </c>
      <c r="Y1246">
        <v>0.64686969999999899</v>
      </c>
      <c r="Z1246">
        <v>-3.692355E-3</v>
      </c>
      <c r="AA1246">
        <v>0.76259160000000004</v>
      </c>
      <c r="AB1246">
        <v>28</v>
      </c>
      <c r="AC1246">
        <v>5.8367000000000004</v>
      </c>
      <c r="AD1246">
        <v>-1.097067802889</v>
      </c>
      <c r="AE1246">
        <v>-14.2728</v>
      </c>
      <c r="AF1246">
        <v>10.014599229477501</v>
      </c>
      <c r="AG1246">
        <v>-1.097067802889</v>
      </c>
      <c r="AH1246">
        <v>11.6231977897995</v>
      </c>
      <c r="AI1246">
        <v>94.089994220508004</v>
      </c>
      <c r="AJ1246">
        <v>49.251665580980202</v>
      </c>
      <c r="AK1246">
        <v>15.3816280787174</v>
      </c>
      <c r="AL1246">
        <v>94.576932051939195</v>
      </c>
      <c r="AM1246">
        <v>72.548368871037695</v>
      </c>
      <c r="AN1246">
        <v>0.99999996171014405</v>
      </c>
    </row>
    <row r="1247" spans="1:40" x14ac:dyDescent="0.25">
      <c r="A1247" t="str">
        <f>"20190305135814584"</f>
        <v>20190305135814584</v>
      </c>
      <c r="B1247" t="str">
        <f>"1551765494579905"</f>
        <v>1551765494579905</v>
      </c>
      <c r="C1247" t="s">
        <v>40</v>
      </c>
      <c r="D1247">
        <v>4.1144939999999997</v>
      </c>
      <c r="E1247">
        <v>0.65848099999999998</v>
      </c>
      <c r="F1247" t="s">
        <v>50</v>
      </c>
      <c r="G1247">
        <v>-198.0949</v>
      </c>
      <c r="H1247" s="1">
        <v>-3.1932350000000001E-6</v>
      </c>
      <c r="I1247">
        <v>351.50069999999999</v>
      </c>
      <c r="J1247">
        <v>-203.56790000000001</v>
      </c>
      <c r="K1247">
        <v>1.096975</v>
      </c>
      <c r="L1247">
        <v>365.0247</v>
      </c>
      <c r="M1247">
        <v>0.8868296</v>
      </c>
      <c r="N1247">
        <v>-1.6237089999999999E-2</v>
      </c>
      <c r="O1247">
        <v>-0.46181119999999998</v>
      </c>
      <c r="P1247">
        <v>0.70520039999999995</v>
      </c>
      <c r="Q1247">
        <v>-8.9641970000000001E-2</v>
      </c>
      <c r="R1247">
        <v>-0.7033182</v>
      </c>
      <c r="S1247">
        <v>1.2375339999999999</v>
      </c>
      <c r="T1247">
        <v>-0.24228420000000001</v>
      </c>
      <c r="U1247">
        <v>-3.003479</v>
      </c>
      <c r="V1247">
        <v>0.29571039999999998</v>
      </c>
      <c r="W1247">
        <v>-8.3189929999999995E-2</v>
      </c>
      <c r="X1247">
        <v>0.95164839999999995</v>
      </c>
      <c r="Y1247">
        <v>0.64289469999999904</v>
      </c>
      <c r="Z1247">
        <v>-2.39251E-3</v>
      </c>
      <c r="AA1247">
        <v>0.76595089999999999</v>
      </c>
      <c r="AB1247">
        <v>28</v>
      </c>
      <c r="AC1247">
        <v>5.4730000000000096</v>
      </c>
      <c r="AD1247">
        <v>-1.096978193235</v>
      </c>
      <c r="AE1247">
        <v>-13.523999999999999</v>
      </c>
      <c r="AF1247">
        <v>9.4140168644116393</v>
      </c>
      <c r="AG1247">
        <v>-1.096978193235</v>
      </c>
      <c r="AH1247">
        <v>11.038212084107601</v>
      </c>
      <c r="AI1247">
        <v>94.324183883395705</v>
      </c>
      <c r="AJ1247">
        <v>49.540563215505102</v>
      </c>
      <c r="AK1247">
        <v>14.5488556489367</v>
      </c>
      <c r="AL1247">
        <v>94.771947093745297</v>
      </c>
      <c r="AM1247">
        <v>72.738155184615096</v>
      </c>
      <c r="AN1247">
        <v>0.99999994117206004</v>
      </c>
    </row>
    <row r="1248" spans="1:40" x14ac:dyDescent="0.25">
      <c r="A1248" t="str">
        <f>"20190305135814603"</f>
        <v>20190305135814603</v>
      </c>
      <c r="B1248" t="str">
        <f>"1551765494599425"</f>
        <v>1551765494599425</v>
      </c>
      <c r="C1248" t="s">
        <v>40</v>
      </c>
      <c r="D1248">
        <v>4.063536</v>
      </c>
      <c r="E1248">
        <v>0.658223</v>
      </c>
      <c r="F1248" t="s">
        <v>50</v>
      </c>
      <c r="G1248">
        <v>-198.25299999999999</v>
      </c>
      <c r="H1248" s="1">
        <v>-3.4467899999999999E-6</v>
      </c>
      <c r="I1248">
        <v>351.93490000000003</v>
      </c>
      <c r="J1248">
        <v>-203.36590000000001</v>
      </c>
      <c r="K1248">
        <v>1.0968309999999999</v>
      </c>
      <c r="L1248">
        <v>364.90440000000001</v>
      </c>
      <c r="M1248">
        <v>0.88044230000000001</v>
      </c>
      <c r="N1248">
        <v>-1.62898E-2</v>
      </c>
      <c r="O1248">
        <v>-0.47387370000000001</v>
      </c>
      <c r="P1248">
        <v>0.69929869999999905</v>
      </c>
      <c r="Q1248">
        <v>-9.2719090000000004E-2</v>
      </c>
      <c r="R1248">
        <v>-0.70879110000000001</v>
      </c>
      <c r="S1248">
        <v>1.2215579999999999</v>
      </c>
      <c r="T1248">
        <v>-0.2521255</v>
      </c>
      <c r="U1248">
        <v>-3.0085139999999999</v>
      </c>
      <c r="V1248">
        <v>0.29021360000000002</v>
      </c>
      <c r="W1248">
        <v>-8.611096E-2</v>
      </c>
      <c r="X1248">
        <v>0.95307980000000003</v>
      </c>
      <c r="Y1248">
        <v>0.63633399999999996</v>
      </c>
      <c r="Z1248">
        <v>-6.5343269999999895E-4</v>
      </c>
      <c r="AA1248">
        <v>0.77141340000000003</v>
      </c>
      <c r="AB1248">
        <v>28</v>
      </c>
      <c r="AC1248">
        <v>5.1129000000000202</v>
      </c>
      <c r="AD1248">
        <v>-1.09683444679</v>
      </c>
      <c r="AE1248">
        <v>-12.969499999999901</v>
      </c>
      <c r="AF1248">
        <v>8.9418689583172295</v>
      </c>
      <c r="AG1248">
        <v>-1.09683444679</v>
      </c>
      <c r="AH1248">
        <v>10.5834173387791</v>
      </c>
      <c r="AI1248">
        <v>94.526338844810198</v>
      </c>
      <c r="AJ1248">
        <v>49.805723655107798</v>
      </c>
      <c r="AK1248">
        <v>13.898517505049</v>
      </c>
      <c r="AL1248">
        <v>94.9399121045481</v>
      </c>
      <c r="AM1248">
        <v>73.064463436778993</v>
      </c>
      <c r="AN1248">
        <v>1.00000006811255</v>
      </c>
    </row>
    <row r="1249" spans="1:40" x14ac:dyDescent="0.25">
      <c r="A1249" t="str">
        <f>"20190305135814616"</f>
        <v>20190305135814616</v>
      </c>
      <c r="B1249" t="str">
        <f>"1551765494610161"</f>
        <v>1551765494610161</v>
      </c>
      <c r="C1249" t="s">
        <v>40</v>
      </c>
      <c r="D1249">
        <v>4.098414</v>
      </c>
      <c r="E1249">
        <v>0.65794560000000002</v>
      </c>
      <c r="F1249" t="s">
        <v>50</v>
      </c>
      <c r="G1249">
        <v>-198.1</v>
      </c>
      <c r="H1249" s="1">
        <v>-3.272799E-6</v>
      </c>
      <c r="I1249">
        <v>351.65660000000003</v>
      </c>
      <c r="J1249">
        <v>-203.20689999999999</v>
      </c>
      <c r="K1249">
        <v>1.0967309999999999</v>
      </c>
      <c r="L1249">
        <v>364.80700000000002</v>
      </c>
      <c r="M1249">
        <v>0.87521530000000003</v>
      </c>
      <c r="N1249">
        <v>-1.6329759999999999E-2</v>
      </c>
      <c r="O1249">
        <v>-0.48345830000000001</v>
      </c>
      <c r="P1249">
        <v>0.69229059999999998</v>
      </c>
      <c r="Q1249">
        <v>-9.2825729999999995E-2</v>
      </c>
      <c r="R1249">
        <v>-0.71562399999999904</v>
      </c>
      <c r="S1249">
        <v>1.1991270000000001</v>
      </c>
      <c r="T1249">
        <v>-0.24976809999999999</v>
      </c>
      <c r="U1249">
        <v>-3.0167540000000002</v>
      </c>
      <c r="V1249">
        <v>0.28915570000000002</v>
      </c>
      <c r="W1249">
        <v>-8.6201959999999994E-2</v>
      </c>
      <c r="X1249">
        <v>0.95339300000000005</v>
      </c>
      <c r="Y1249">
        <v>0.6336273</v>
      </c>
      <c r="Z1249">
        <v>1.20068E-4</v>
      </c>
      <c r="AA1249">
        <v>0.77363839999999995</v>
      </c>
      <c r="AB1249">
        <v>28</v>
      </c>
      <c r="AC1249">
        <v>5.1068999999999898</v>
      </c>
      <c r="AD1249">
        <v>-1.0967342727989999</v>
      </c>
      <c r="AE1249">
        <v>-13.1503999999999</v>
      </c>
      <c r="AF1249">
        <v>8.9873428500578498</v>
      </c>
      <c r="AG1249">
        <v>-1.0967342727989999</v>
      </c>
      <c r="AH1249">
        <v>10.7636935639689</v>
      </c>
      <c r="AI1249">
        <v>94.472152111877094</v>
      </c>
      <c r="AJ1249">
        <v>50.139188948183701</v>
      </c>
      <c r="AK1249">
        <v>14.0652855182056</v>
      </c>
      <c r="AL1249">
        <v>94.945145794673607</v>
      </c>
      <c r="AM1249">
        <v>73.127911531854494</v>
      </c>
      <c r="AN1249">
        <v>1.00000000459966</v>
      </c>
    </row>
    <row r="1250" spans="1:40" x14ac:dyDescent="0.25">
      <c r="A1250" t="str">
        <f>"20190305135814629"</f>
        <v>20190305135814629</v>
      </c>
      <c r="B1250" t="str">
        <f>"1551765494619452"</f>
        <v>1551765494619452</v>
      </c>
      <c r="C1250" t="s">
        <v>40</v>
      </c>
      <c r="D1250">
        <v>4.1230729999999998</v>
      </c>
      <c r="E1250">
        <v>0.65785740000000004</v>
      </c>
      <c r="F1250" t="s">
        <v>50</v>
      </c>
      <c r="G1250">
        <v>-198.01730000000001</v>
      </c>
      <c r="H1250" s="1">
        <v>-3.123646E-6</v>
      </c>
      <c r="I1250">
        <v>351.39659999999998</v>
      </c>
      <c r="J1250">
        <v>-203.07730000000001</v>
      </c>
      <c r="K1250">
        <v>1.0966590000000001</v>
      </c>
      <c r="L1250">
        <v>364.72519999999997</v>
      </c>
      <c r="M1250">
        <v>0.87080440000000003</v>
      </c>
      <c r="N1250">
        <v>-1.6361219999999999E-2</v>
      </c>
      <c r="O1250">
        <v>-0.49135770000000001</v>
      </c>
      <c r="P1250">
        <v>0.6868474</v>
      </c>
      <c r="Q1250">
        <v>-9.3805600000000003E-2</v>
      </c>
      <c r="R1250">
        <v>-0.72072290000000006</v>
      </c>
      <c r="S1250">
        <v>1.1713559999999901</v>
      </c>
      <c r="T1250">
        <v>-0.24754670000000001</v>
      </c>
      <c r="U1250">
        <v>-3.0268860000000002</v>
      </c>
      <c r="V1250">
        <v>0.28760390000000002</v>
      </c>
      <c r="W1250">
        <v>-8.7141120000000002E-2</v>
      </c>
      <c r="X1250">
        <v>0.95377690000000004</v>
      </c>
      <c r="Y1250">
        <v>0.63369909999999996</v>
      </c>
      <c r="Z1250">
        <v>5.9571489999999999E-4</v>
      </c>
      <c r="AA1250">
        <v>0.77357940000000003</v>
      </c>
      <c r="AB1250">
        <v>28</v>
      </c>
      <c r="AC1250">
        <v>5.0599999999999996</v>
      </c>
      <c r="AD1250">
        <v>-1.0966621236459999</v>
      </c>
      <c r="AE1250">
        <v>-13.3285999999999</v>
      </c>
      <c r="AF1250">
        <v>9.0678977157208802</v>
      </c>
      <c r="AG1250">
        <v>-1.0966621236459999</v>
      </c>
      <c r="AH1250">
        <v>10.892394357475901</v>
      </c>
      <c r="AI1250">
        <v>94.424582785283505</v>
      </c>
      <c r="AJ1250">
        <v>50.222682672399301</v>
      </c>
      <c r="AK1250">
        <v>14.215262629828199</v>
      </c>
      <c r="AL1250">
        <v>94.999159096091105</v>
      </c>
      <c r="AM1250">
        <v>73.219729237168096</v>
      </c>
      <c r="AN1250">
        <v>0.99999997653183703</v>
      </c>
    </row>
    <row r="1251" spans="1:40" x14ac:dyDescent="0.25">
      <c r="A1251" t="str">
        <f>"20190305135814642"</f>
        <v>20190305135814642</v>
      </c>
      <c r="B1251" t="str">
        <f>"1551765494639949"</f>
        <v>1551765494639949</v>
      </c>
      <c r="C1251" t="s">
        <v>40</v>
      </c>
      <c r="D1251">
        <v>4.1116859999999997</v>
      </c>
      <c r="E1251">
        <v>0.657586</v>
      </c>
      <c r="F1251" t="s">
        <v>50</v>
      </c>
      <c r="G1251">
        <v>-198.0016</v>
      </c>
      <c r="H1251" s="1">
        <v>-3.0841470000000001E-6</v>
      </c>
      <c r="I1251">
        <v>351.32499999999999</v>
      </c>
      <c r="J1251">
        <v>-202.93340000000001</v>
      </c>
      <c r="K1251">
        <v>1.0965910000000001</v>
      </c>
      <c r="L1251">
        <v>364.63299999999998</v>
      </c>
      <c r="M1251">
        <v>0.86578049999999995</v>
      </c>
      <c r="N1251">
        <v>-1.6394570000000001E-2</v>
      </c>
      <c r="O1251">
        <v>-0.50015529999999997</v>
      </c>
      <c r="P1251">
        <v>0.68007249999999997</v>
      </c>
      <c r="Q1251">
        <v>-9.4734159999999998E-2</v>
      </c>
      <c r="R1251">
        <v>-0.726998699999999</v>
      </c>
      <c r="S1251">
        <v>1.1494899999999999</v>
      </c>
      <c r="T1251">
        <v>-0.2483609</v>
      </c>
      <c r="U1251">
        <v>-3.034729</v>
      </c>
      <c r="V1251">
        <v>0.28672180000000003</v>
      </c>
      <c r="W1251">
        <v>-8.8052420000000006E-2</v>
      </c>
      <c r="X1251">
        <v>0.9539588</v>
      </c>
      <c r="Y1251">
        <v>0.63141409999999998</v>
      </c>
      <c r="Z1251">
        <v>1.4447920000000001E-3</v>
      </c>
      <c r="AA1251">
        <v>0.77544449999999998</v>
      </c>
      <c r="AB1251">
        <v>28</v>
      </c>
      <c r="AC1251">
        <v>4.9318000000000097</v>
      </c>
      <c r="AD1251">
        <v>-1.0965940841470001</v>
      </c>
      <c r="AE1251">
        <v>-13.308</v>
      </c>
      <c r="AF1251">
        <v>9.0026122850288406</v>
      </c>
      <c r="AG1251">
        <v>-1.0965940841470001</v>
      </c>
      <c r="AH1251">
        <v>10.862541931012</v>
      </c>
      <c r="AI1251">
        <v>94.444511311173301</v>
      </c>
      <c r="AJ1251">
        <v>50.348881447356497</v>
      </c>
      <c r="AK1251">
        <v>14.150772549332199</v>
      </c>
      <c r="AL1251">
        <v>95.051574078413097</v>
      </c>
      <c r="AM1251">
        <v>73.271327076963203</v>
      </c>
      <c r="AN1251">
        <v>1.00000000568026</v>
      </c>
    </row>
    <row r="1252" spans="1:40" x14ac:dyDescent="0.25">
      <c r="A1252" t="str">
        <f>"20190305135814660"</f>
        <v>20190305135814660</v>
      </c>
      <c r="B1252" t="str">
        <f>"1551765494649709"</f>
        <v>1551765494649709</v>
      </c>
      <c r="C1252" t="s">
        <v>40</v>
      </c>
      <c r="D1252">
        <v>4.0938249999999998</v>
      </c>
      <c r="E1252">
        <v>0.65749679999999999</v>
      </c>
      <c r="F1252" t="s">
        <v>50</v>
      </c>
      <c r="G1252">
        <v>-198.0026</v>
      </c>
      <c r="H1252" s="1">
        <v>-3.0544489999999998E-6</v>
      </c>
      <c r="I1252">
        <v>351.26560000000001</v>
      </c>
      <c r="J1252">
        <v>-202.74430000000001</v>
      </c>
      <c r="K1252">
        <v>1.096522</v>
      </c>
      <c r="L1252">
        <v>364.50850000000003</v>
      </c>
      <c r="M1252">
        <v>0.85894590000000004</v>
      </c>
      <c r="N1252">
        <v>-1.643559E-2</v>
      </c>
      <c r="O1252">
        <v>-0.5118026</v>
      </c>
      <c r="P1252">
        <v>0.67130789999999996</v>
      </c>
      <c r="Q1252">
        <v>-9.5214119999999999E-2</v>
      </c>
      <c r="R1252">
        <v>-0.73503769999999902</v>
      </c>
      <c r="S1252">
        <v>1.1227419999999999</v>
      </c>
      <c r="T1252">
        <v>-0.24969430000000001</v>
      </c>
      <c r="U1252">
        <v>-3.0437620000000001</v>
      </c>
      <c r="V1252">
        <v>0.28519480000000003</v>
      </c>
      <c r="W1252">
        <v>-8.8488570000000003E-2</v>
      </c>
      <c r="X1252">
        <v>0.954376</v>
      </c>
      <c r="Y1252">
        <v>0.62770479999999995</v>
      </c>
      <c r="Z1252">
        <v>2.6406569999999998E-3</v>
      </c>
      <c r="AA1252">
        <v>0.778447</v>
      </c>
      <c r="AB1252">
        <v>28</v>
      </c>
      <c r="AC1252">
        <v>4.7416999999999998</v>
      </c>
      <c r="AD1252">
        <v>-1.0965250544489999</v>
      </c>
      <c r="AE1252">
        <v>-13.242900000000001</v>
      </c>
      <c r="AF1252">
        <v>8.8952728613661503</v>
      </c>
      <c r="AG1252">
        <v>-1.0965250544489999</v>
      </c>
      <c r="AH1252">
        <v>10.7865309259503</v>
      </c>
      <c r="AI1252">
        <v>94.4844310831309</v>
      </c>
      <c r="AJ1252">
        <v>50.4887966727063</v>
      </c>
      <c r="AK1252">
        <v>14.0241754085463</v>
      </c>
      <c r="AL1252">
        <v>95.076661970445301</v>
      </c>
      <c r="AM1252">
        <v>73.362352588222706</v>
      </c>
      <c r="AN1252">
        <v>0.999999925171839</v>
      </c>
    </row>
    <row r="1253" spans="1:40" x14ac:dyDescent="0.25">
      <c r="A1253" t="str">
        <f>"20190305135814681"</f>
        <v>20190305135814681</v>
      </c>
      <c r="B1253" t="str">
        <f>"1551765494670205"</f>
        <v>1551765494670205</v>
      </c>
      <c r="C1253" t="s">
        <v>40</v>
      </c>
      <c r="D1253">
        <v>4.112457</v>
      </c>
      <c r="E1253">
        <v>0.65730379999999999</v>
      </c>
      <c r="F1253" t="s">
        <v>50</v>
      </c>
      <c r="G1253">
        <v>-197.9794</v>
      </c>
      <c r="H1253" s="1">
        <v>-2.9730019999999998E-6</v>
      </c>
      <c r="I1253">
        <v>351.11399999999998</v>
      </c>
      <c r="J1253">
        <v>-202.51509999999999</v>
      </c>
      <c r="K1253">
        <v>1.0964719999999999</v>
      </c>
      <c r="L1253">
        <v>364.35210000000001</v>
      </c>
      <c r="M1253">
        <v>0.85029140000000003</v>
      </c>
      <c r="N1253">
        <v>-1.6479919999999999E-2</v>
      </c>
      <c r="O1253">
        <v>-0.52605440000000003</v>
      </c>
      <c r="P1253">
        <v>0.66061800000000004</v>
      </c>
      <c r="Q1253">
        <v>-9.3559320000000001E-2</v>
      </c>
      <c r="R1253">
        <v>-0.74487000000000003</v>
      </c>
      <c r="S1253">
        <v>1.0872040000000001</v>
      </c>
      <c r="T1253">
        <v>-0.25019029999999998</v>
      </c>
      <c r="U1253">
        <v>-3.0561829999999999</v>
      </c>
      <c r="V1253">
        <v>0.2832906</v>
      </c>
      <c r="W1253">
        <v>-8.6764129999999995E-2</v>
      </c>
      <c r="X1253">
        <v>0.95510130000000004</v>
      </c>
      <c r="Y1253">
        <v>0.62378659999999997</v>
      </c>
      <c r="Z1253">
        <v>4.011527E-3</v>
      </c>
      <c r="AA1253">
        <v>0.78158439999999996</v>
      </c>
      <c r="AB1253">
        <v>28</v>
      </c>
      <c r="AC1253">
        <v>4.5356999999999896</v>
      </c>
      <c r="AD1253">
        <v>-1.09647497300199</v>
      </c>
      <c r="AE1253">
        <v>-13.2380999999999</v>
      </c>
      <c r="AF1253">
        <v>8.8172864557148998</v>
      </c>
      <c r="AG1253">
        <v>-1.09647497300199</v>
      </c>
      <c r="AH1253">
        <v>10.756057604915499</v>
      </c>
      <c r="AI1253">
        <v>94.507688478480702</v>
      </c>
      <c r="AJ1253">
        <v>50.656787094145102</v>
      </c>
      <c r="AK1253">
        <v>13.951328718398599</v>
      </c>
      <c r="AL1253">
        <v>94.977476741937707</v>
      </c>
      <c r="AM1253">
        <v>73.479226825653797</v>
      </c>
      <c r="AN1253">
        <v>1.00000003578235</v>
      </c>
    </row>
    <row r="1254" spans="1:40" x14ac:dyDescent="0.25">
      <c r="A1254" t="str">
        <f>"20190305135814695"</f>
        <v>20190305135814695</v>
      </c>
      <c r="B1254" t="str">
        <f>"1551765494689725"</f>
        <v>1551765494689725</v>
      </c>
      <c r="C1254" t="s">
        <v>40</v>
      </c>
      <c r="D1254">
        <v>4.1076689999999996</v>
      </c>
      <c r="E1254">
        <v>0.65687090000000004</v>
      </c>
      <c r="F1254" t="s">
        <v>50</v>
      </c>
      <c r="G1254">
        <v>-197.76159999999999</v>
      </c>
      <c r="H1254" s="1">
        <v>-2.5195359999999999E-6</v>
      </c>
      <c r="I1254">
        <v>350.37029999999999</v>
      </c>
      <c r="J1254">
        <v>-202.3655</v>
      </c>
      <c r="K1254">
        <v>1.096455</v>
      </c>
      <c r="L1254">
        <v>364.24700000000001</v>
      </c>
      <c r="M1254">
        <v>0.84443709999999905</v>
      </c>
      <c r="N1254">
        <v>-1.6505570000000001E-2</v>
      </c>
      <c r="O1254">
        <v>-0.53540069999999995</v>
      </c>
      <c r="P1254">
        <v>0.65395040000000004</v>
      </c>
      <c r="Q1254">
        <v>-8.9221079999999994E-2</v>
      </c>
      <c r="R1254">
        <v>-0.751258599999999</v>
      </c>
      <c r="S1254">
        <v>1.044144</v>
      </c>
      <c r="T1254">
        <v>-0.24085090000000001</v>
      </c>
      <c r="U1254">
        <v>-3.0712280000000001</v>
      </c>
      <c r="V1254">
        <v>0.28185169999999998</v>
      </c>
      <c r="W1254">
        <v>-8.2361989999999996E-2</v>
      </c>
      <c r="X1254">
        <v>0.9559164</v>
      </c>
      <c r="Y1254">
        <v>0.62621260000000001</v>
      </c>
      <c r="Z1254">
        <v>3.9262289999999998E-3</v>
      </c>
      <c r="AA1254">
        <v>0.77964239999999996</v>
      </c>
      <c r="AB1254">
        <v>28</v>
      </c>
      <c r="AC1254">
        <v>4.6039000000000003</v>
      </c>
      <c r="AD1254">
        <v>-1.096457519536</v>
      </c>
      <c r="AE1254">
        <v>-13.8766999999999</v>
      </c>
      <c r="AF1254">
        <v>9.2025710530613392</v>
      </c>
      <c r="AG1254">
        <v>-1.096457519536</v>
      </c>
      <c r="AH1254">
        <v>11.255535500264299</v>
      </c>
      <c r="AI1254">
        <v>94.312875378095598</v>
      </c>
      <c r="AJ1254">
        <v>50.730429273171701</v>
      </c>
      <c r="AK1254">
        <v>14.5800072865723</v>
      </c>
      <c r="AL1254">
        <v>94.724345886506697</v>
      </c>
      <c r="AM1254">
        <v>73.571861232435296</v>
      </c>
      <c r="AN1254">
        <v>1.0000000209893001</v>
      </c>
    </row>
    <row r="1255" spans="1:40" x14ac:dyDescent="0.25">
      <c r="A1255" t="str">
        <f>"20190305135814709"</f>
        <v>20190305135814709</v>
      </c>
      <c r="B1255" t="str">
        <f>"1551765494700461"</f>
        <v>1551765494700461</v>
      </c>
      <c r="C1255" t="s">
        <v>40</v>
      </c>
      <c r="D1255">
        <v>4.1292359999999997</v>
      </c>
      <c r="E1255">
        <v>0.65676519999999905</v>
      </c>
      <c r="F1255" t="s">
        <v>42</v>
      </c>
      <c r="G1255">
        <v>-197.41499999999999</v>
      </c>
      <c r="H1255" s="1">
        <v>-5.5027839999999996E-6</v>
      </c>
      <c r="I1255">
        <v>349.2919</v>
      </c>
      <c r="J1255">
        <v>-202.22720000000001</v>
      </c>
      <c r="K1255">
        <v>1.0964529999999999</v>
      </c>
      <c r="L1255">
        <v>364.1472</v>
      </c>
      <c r="M1255">
        <v>0.83886130000000003</v>
      </c>
      <c r="N1255">
        <v>-1.6526619999999999E-2</v>
      </c>
      <c r="O1255">
        <v>-0.54409430000000003</v>
      </c>
      <c r="P1255">
        <v>0.64772249999999998</v>
      </c>
      <c r="Q1255">
        <v>-8.5405010000000003E-2</v>
      </c>
      <c r="R1255">
        <v>-0.75707440000000004</v>
      </c>
      <c r="S1255">
        <v>1.0193019999999999</v>
      </c>
      <c r="T1255">
        <v>-0.22575899999999999</v>
      </c>
      <c r="U1255">
        <v>-3.079224</v>
      </c>
      <c r="V1255">
        <v>0.28036299999999997</v>
      </c>
      <c r="W1255">
        <v>-7.8478259999999994E-2</v>
      </c>
      <c r="X1255">
        <v>0.95668059999999999</v>
      </c>
      <c r="Y1255">
        <v>0.62452929999999995</v>
      </c>
      <c r="Z1255">
        <v>3.5226490000000001E-3</v>
      </c>
      <c r="AA1255">
        <v>0.78099350000000001</v>
      </c>
      <c r="AB1255">
        <v>28</v>
      </c>
      <c r="AC1255">
        <v>4.8122000000000096</v>
      </c>
      <c r="AD1255">
        <v>-1.0964585027839999</v>
      </c>
      <c r="AE1255">
        <v>-14.8553</v>
      </c>
      <c r="AF1255">
        <v>9.7962902276494006</v>
      </c>
      <c r="AG1255">
        <v>-1.0964585027839999</v>
      </c>
      <c r="AH1255">
        <v>12.0616387117767</v>
      </c>
      <c r="AI1255">
        <v>94.036282758062995</v>
      </c>
      <c r="AJ1255">
        <v>50.916990715509698</v>
      </c>
      <c r="AK1255">
        <v>15.577312087972601</v>
      </c>
      <c r="AL1255">
        <v>94.501101384151198</v>
      </c>
      <c r="AM1255">
        <v>73.666349789403398</v>
      </c>
      <c r="AN1255">
        <v>1.0000000097389901</v>
      </c>
    </row>
    <row r="1256" spans="1:40" x14ac:dyDescent="0.25">
      <c r="A1256" t="str">
        <f>"20190305135814726"</f>
        <v>20190305135814726</v>
      </c>
      <c r="B1256" t="str">
        <f>"1551765494719982"</f>
        <v>1551765494719982</v>
      </c>
      <c r="C1256" t="s">
        <v>40</v>
      </c>
      <c r="D1256">
        <v>4.0295680000000003</v>
      </c>
      <c r="E1256">
        <v>0.65655819999999998</v>
      </c>
      <c r="F1256" t="s">
        <v>42</v>
      </c>
      <c r="G1256">
        <v>-197.09289999999999</v>
      </c>
      <c r="H1256" s="1">
        <v>-5.0724220000000001E-6</v>
      </c>
      <c r="I1256">
        <v>348.1952</v>
      </c>
      <c r="J1256">
        <v>-202.0556</v>
      </c>
      <c r="K1256">
        <v>1.096473</v>
      </c>
      <c r="L1256">
        <v>364.02080000000001</v>
      </c>
      <c r="M1256">
        <v>0.83175409999999905</v>
      </c>
      <c r="N1256">
        <v>-1.6549879999999999E-2</v>
      </c>
      <c r="O1256">
        <v>-0.55489739999999999</v>
      </c>
      <c r="P1256">
        <v>0.64029590000000003</v>
      </c>
      <c r="Q1256">
        <v>-8.3002339999999994E-2</v>
      </c>
      <c r="R1256">
        <v>-0.76363099999999995</v>
      </c>
      <c r="S1256">
        <v>0.99397279999999999</v>
      </c>
      <c r="T1256">
        <v>-0.2122695</v>
      </c>
      <c r="U1256">
        <v>-3.088257</v>
      </c>
      <c r="V1256">
        <v>0.2776343</v>
      </c>
      <c r="W1256">
        <v>-7.5960979999999997E-2</v>
      </c>
      <c r="X1256">
        <v>0.95767899999999995</v>
      </c>
      <c r="Y1256">
        <v>0.62098719999999996</v>
      </c>
      <c r="Z1256">
        <v>3.367756E-3</v>
      </c>
      <c r="AA1256">
        <v>0.78381350000000005</v>
      </c>
      <c r="AB1256">
        <v>28</v>
      </c>
      <c r="AC1256">
        <v>4.9627000000000097</v>
      </c>
      <c r="AD1256">
        <v>-1.096478072422</v>
      </c>
      <c r="AE1256">
        <v>-15.8256</v>
      </c>
      <c r="AF1256">
        <v>10.3653416034873</v>
      </c>
      <c r="AG1256">
        <v>-1.096478072422</v>
      </c>
      <c r="AH1256">
        <v>12.8549151827717</v>
      </c>
      <c r="AI1256">
        <v>93.798845345841698</v>
      </c>
      <c r="AJ1256">
        <v>51.119623641559102</v>
      </c>
      <c r="AK1256">
        <v>16.5496651046643</v>
      </c>
      <c r="AL1256">
        <v>94.356440051961201</v>
      </c>
      <c r="AM1256">
        <v>73.832951943737896</v>
      </c>
      <c r="AN1256">
        <v>0.99999997103002403</v>
      </c>
    </row>
    <row r="1257" spans="1:40" x14ac:dyDescent="0.25">
      <c r="A1257" t="str">
        <f>"20190305135814740"</f>
        <v>20190305135814740</v>
      </c>
      <c r="B1257" t="str">
        <f>"1551765494729740"</f>
        <v>1551765494729740</v>
      </c>
      <c r="C1257" t="s">
        <v>40</v>
      </c>
      <c r="D1257">
        <v>4.1101599999999996</v>
      </c>
      <c r="E1257">
        <v>0.64820429999999996</v>
      </c>
      <c r="F1257" t="s">
        <v>42</v>
      </c>
      <c r="G1257">
        <v>-196.84299999999999</v>
      </c>
      <c r="H1257" s="1">
        <v>-4.721169E-6</v>
      </c>
      <c r="I1257">
        <v>347.29329999999999</v>
      </c>
      <c r="J1257">
        <v>-201.91159999999999</v>
      </c>
      <c r="K1257">
        <v>1.0964780000000001</v>
      </c>
      <c r="L1257">
        <v>363.91230000000002</v>
      </c>
      <c r="M1257">
        <v>0.82562359999999901</v>
      </c>
      <c r="N1257">
        <v>-1.656697E-2</v>
      </c>
      <c r="O1257">
        <v>-0.56397790000000003</v>
      </c>
      <c r="P1257">
        <v>0.63349820000000001</v>
      </c>
      <c r="Q1257">
        <v>-8.2204109999999997E-2</v>
      </c>
      <c r="R1257">
        <v>-0.76936530000000003</v>
      </c>
      <c r="S1257">
        <v>0.96517940000000002</v>
      </c>
      <c r="T1257">
        <v>-0.2030246</v>
      </c>
      <c r="U1257">
        <v>-3.0972900000000001</v>
      </c>
      <c r="V1257">
        <v>0.27573219999999998</v>
      </c>
      <c r="W1257">
        <v>-7.5080099999999997E-2</v>
      </c>
      <c r="X1257">
        <v>0.95829779999999998</v>
      </c>
      <c r="Y1257">
        <v>0.61974629999999997</v>
      </c>
      <c r="Z1257">
        <v>3.243709E-3</v>
      </c>
      <c r="AA1257">
        <v>0.78479560000000004</v>
      </c>
      <c r="AB1257">
        <v>28</v>
      </c>
      <c r="AC1257">
        <v>5.0686</v>
      </c>
      <c r="AD1257">
        <v>-1.096482721169</v>
      </c>
      <c r="AE1257">
        <v>-16.619</v>
      </c>
      <c r="AF1257">
        <v>10.8208568131626</v>
      </c>
      <c r="AG1257">
        <v>-1.096482721169</v>
      </c>
      <c r="AH1257">
        <v>13.5055790213886</v>
      </c>
      <c r="AI1257">
        <v>93.625366885372202</v>
      </c>
      <c r="AJ1257">
        <v>51.297809628564501</v>
      </c>
      <c r="AK1257">
        <v>17.340527132465201</v>
      </c>
      <c r="AL1257">
        <v>94.305824800115801</v>
      </c>
      <c r="AM1257">
        <v>73.947820669402205</v>
      </c>
      <c r="AN1257">
        <v>0.99999997050884404</v>
      </c>
    </row>
    <row r="1258" spans="1:40" x14ac:dyDescent="0.25">
      <c r="A1258" t="str">
        <f>"20190305135814754"</f>
        <v>20190305135814754</v>
      </c>
      <c r="B1258" t="str">
        <f>"1551765494750237"</f>
        <v>1551765494750237</v>
      </c>
      <c r="C1258" t="s">
        <v>40</v>
      </c>
      <c r="D1258">
        <v>4.1058849999999998</v>
      </c>
      <c r="E1258">
        <v>0.6488969</v>
      </c>
      <c r="F1258" t="s">
        <v>42</v>
      </c>
      <c r="G1258">
        <v>-193.64169999999999</v>
      </c>
      <c r="H1258" s="1">
        <v>-4.5794690000000001E-6</v>
      </c>
      <c r="I1258">
        <v>338.54559999999998</v>
      </c>
      <c r="J1258">
        <v>-201.7689</v>
      </c>
      <c r="K1258">
        <v>1.0964989999999999</v>
      </c>
      <c r="L1258">
        <v>363.80180000000001</v>
      </c>
      <c r="M1258">
        <v>0.81937839999999995</v>
      </c>
      <c r="N1258">
        <v>-1.6580620000000001E-2</v>
      </c>
      <c r="O1258">
        <v>-0.57301309999999905</v>
      </c>
      <c r="P1258">
        <v>0.62691929999999996</v>
      </c>
      <c r="Q1258">
        <v>-8.0774139999999994E-2</v>
      </c>
      <c r="R1258">
        <v>-0.77488570000000001</v>
      </c>
      <c r="S1258">
        <v>0.99858089999999999</v>
      </c>
      <c r="T1258">
        <v>-0.13239809999999999</v>
      </c>
      <c r="U1258">
        <v>-3.0629879999999998</v>
      </c>
      <c r="V1258">
        <v>0.27354410000000001</v>
      </c>
      <c r="W1258">
        <v>-7.3552939999999997E-2</v>
      </c>
      <c r="X1258">
        <v>0.95904299999999998</v>
      </c>
      <c r="Y1258">
        <v>0.60102949999999999</v>
      </c>
      <c r="Z1258">
        <v>-1.7460589999999999E-3</v>
      </c>
      <c r="AA1258">
        <v>0.79922490000000002</v>
      </c>
      <c r="AB1258">
        <v>28</v>
      </c>
      <c r="AC1258">
        <v>8.1272000000000109</v>
      </c>
      <c r="AD1258">
        <v>-1.0965035794689999</v>
      </c>
      <c r="AE1258">
        <v>-25.2562</v>
      </c>
      <c r="AF1258">
        <v>16.012249263624099</v>
      </c>
      <c r="AG1258">
        <v>-1.0965035794689999</v>
      </c>
      <c r="AH1258">
        <v>21.098255813056699</v>
      </c>
      <c r="AI1258">
        <v>92.370620832785406</v>
      </c>
      <c r="AJ1258">
        <v>52.803788216709499</v>
      </c>
      <c r="AK1258">
        <v>26.509070993405299</v>
      </c>
      <c r="AL1258">
        <v>94.218082449642495</v>
      </c>
      <c r="AM1258">
        <v>74.080467099017199</v>
      </c>
      <c r="AN1258">
        <v>0.99999994273822501</v>
      </c>
    </row>
    <row r="1259" spans="1:40" x14ac:dyDescent="0.25">
      <c r="A1259" t="str">
        <f>"20190305135814772"</f>
        <v>20190305135814772</v>
      </c>
      <c r="B1259" t="str">
        <f>"1551765494759997"</f>
        <v>1551765494759997</v>
      </c>
      <c r="C1259" t="s">
        <v>40</v>
      </c>
      <c r="D1259">
        <v>4.1074349999999997</v>
      </c>
      <c r="E1259">
        <v>0.64876659999999997</v>
      </c>
      <c r="F1259" t="s">
        <v>42</v>
      </c>
      <c r="G1259">
        <v>-195.20419999999999</v>
      </c>
      <c r="H1259" s="1">
        <v>-2.7830120000000002E-6</v>
      </c>
      <c r="I1259">
        <v>342.84859999999998</v>
      </c>
      <c r="J1259">
        <v>-201.5951</v>
      </c>
      <c r="K1259">
        <v>1.09653</v>
      </c>
      <c r="L1259">
        <v>363.66379999999998</v>
      </c>
      <c r="M1259">
        <v>0.81156049999999902</v>
      </c>
      <c r="N1259">
        <v>-1.659339E-2</v>
      </c>
      <c r="O1259">
        <v>-0.58403260000000001</v>
      </c>
      <c r="P1259">
        <v>0.62071069999999995</v>
      </c>
      <c r="Q1259">
        <v>-8.0074190000000003E-2</v>
      </c>
      <c r="R1259">
        <v>-0.77993970000000001</v>
      </c>
      <c r="S1259">
        <v>0.96350100000000005</v>
      </c>
      <c r="T1259">
        <v>-0.1609331</v>
      </c>
      <c r="U1259">
        <v>-3.0752869999999999</v>
      </c>
      <c r="V1259">
        <v>0.26833299999999999</v>
      </c>
      <c r="W1259">
        <v>-7.2641620000000004E-2</v>
      </c>
      <c r="X1259">
        <v>0.96058339999999998</v>
      </c>
      <c r="Y1259">
        <v>0.5993463</v>
      </c>
      <c r="Z1259">
        <v>1.4901319999999999E-3</v>
      </c>
      <c r="AA1259">
        <v>0.80048850000000005</v>
      </c>
      <c r="AB1259">
        <v>28</v>
      </c>
      <c r="AC1259">
        <v>6.39090000000001</v>
      </c>
      <c r="AD1259">
        <v>-1.096532783012</v>
      </c>
      <c r="AE1259">
        <v>-20.815200000000001</v>
      </c>
      <c r="AF1259">
        <v>13.128817840385199</v>
      </c>
      <c r="AG1259">
        <v>-1.096532783012</v>
      </c>
      <c r="AH1259">
        <v>17.301868245181002</v>
      </c>
      <c r="AI1259">
        <v>92.890235875075206</v>
      </c>
      <c r="AJ1259">
        <v>52.8084365049639</v>
      </c>
      <c r="AK1259">
        <v>21.7467902644009</v>
      </c>
      <c r="AL1259">
        <v>94.165727623813595</v>
      </c>
      <c r="AM1259">
        <v>74.392624571558599</v>
      </c>
      <c r="AN1259">
        <v>0.99999993610038995</v>
      </c>
    </row>
    <row r="1260" spans="1:40" x14ac:dyDescent="0.25">
      <c r="A1260" t="str">
        <f>"20190305135814785"</f>
        <v>20190305135814785</v>
      </c>
      <c r="B1260" t="str">
        <f>"1551765494780493"</f>
        <v>1551765494780493</v>
      </c>
      <c r="C1260" t="s">
        <v>40</v>
      </c>
      <c r="D1260">
        <v>4.098624</v>
      </c>
      <c r="E1260">
        <v>0.64918969999999998</v>
      </c>
      <c r="F1260" t="s">
        <v>42</v>
      </c>
      <c r="G1260">
        <v>-195.29650000000001</v>
      </c>
      <c r="H1260" s="1">
        <v>-2.8712729999999998E-6</v>
      </c>
      <c r="I1260">
        <v>342.99709999999999</v>
      </c>
      <c r="J1260">
        <v>-201.465</v>
      </c>
      <c r="K1260">
        <v>1.0965590000000001</v>
      </c>
      <c r="L1260">
        <v>363.55799999999999</v>
      </c>
      <c r="M1260">
        <v>0.80556169999999905</v>
      </c>
      <c r="N1260">
        <v>-1.6600159999999999E-2</v>
      </c>
      <c r="O1260">
        <v>-0.59227959999999902</v>
      </c>
      <c r="P1260">
        <v>0.61526569999999903</v>
      </c>
      <c r="Q1260">
        <v>-7.9346570000000005E-2</v>
      </c>
      <c r="R1260">
        <v>-0.78431689999999998</v>
      </c>
      <c r="S1260">
        <v>0.93931580000000003</v>
      </c>
      <c r="T1260">
        <v>-0.16352809999999901</v>
      </c>
      <c r="U1260">
        <v>-3.0820620000000001</v>
      </c>
      <c r="V1260">
        <v>0.26531399999999999</v>
      </c>
      <c r="W1260">
        <v>-7.1785089999999996E-2</v>
      </c>
      <c r="X1260">
        <v>0.96148599999999995</v>
      </c>
      <c r="Y1260">
        <v>0.59741650000000002</v>
      </c>
      <c r="Z1260">
        <v>2.2284589999999999E-3</v>
      </c>
      <c r="AA1260">
        <v>0.80192799999999997</v>
      </c>
      <c r="AB1260">
        <v>28</v>
      </c>
      <c r="AC1260">
        <v>6.1684999999999901</v>
      </c>
      <c r="AD1260">
        <v>-1.0965618712729901</v>
      </c>
      <c r="AE1260">
        <v>-20.5609</v>
      </c>
      <c r="AF1260">
        <v>12.87776952363</v>
      </c>
      <c r="AG1260">
        <v>-1.0965618712729901</v>
      </c>
      <c r="AH1260">
        <v>17.104634983060301</v>
      </c>
      <c r="AI1260">
        <v>92.931916293998299</v>
      </c>
      <c r="AJ1260">
        <v>53.024572403534897</v>
      </c>
      <c r="AK1260">
        <v>21.438468549432201</v>
      </c>
      <c r="AL1260">
        <v>94.116523451586403</v>
      </c>
      <c r="AM1260">
        <v>74.573603404735707</v>
      </c>
      <c r="AN1260">
        <v>0.99999997296915299</v>
      </c>
    </row>
    <row r="1261" spans="1:40" x14ac:dyDescent="0.25">
      <c r="A1261" t="str">
        <f>"20190305135814803"</f>
        <v>20190305135814803</v>
      </c>
      <c r="B1261" t="str">
        <f>"1551765494800013"</f>
        <v>1551765494800013</v>
      </c>
      <c r="C1261" t="s">
        <v>40</v>
      </c>
      <c r="D1261">
        <v>4.0946850000000001</v>
      </c>
      <c r="E1261">
        <v>0.64911569999999996</v>
      </c>
      <c r="F1261" t="s">
        <v>42</v>
      </c>
      <c r="G1261">
        <v>-195.91560000000001</v>
      </c>
      <c r="H1261" s="1">
        <v>-3.6958959999999999E-6</v>
      </c>
      <c r="I1261">
        <v>344.76389999999998</v>
      </c>
      <c r="J1261">
        <v>-201.28129999999999</v>
      </c>
      <c r="K1261">
        <v>1.096619</v>
      </c>
      <c r="L1261">
        <v>363.4049</v>
      </c>
      <c r="M1261">
        <v>0.79687839999999999</v>
      </c>
      <c r="N1261">
        <v>-1.6605200000000001E-2</v>
      </c>
      <c r="O1261">
        <v>-0.6039118</v>
      </c>
      <c r="P1261">
        <v>0.60856069999999995</v>
      </c>
      <c r="Q1261">
        <v>-7.7624109999999996E-2</v>
      </c>
      <c r="R1261">
        <v>-0.78970180000000001</v>
      </c>
      <c r="S1261">
        <v>0.91264339999999999</v>
      </c>
      <c r="T1261">
        <v>-0.18033750000000001</v>
      </c>
      <c r="U1261">
        <v>-3.0908199999999999</v>
      </c>
      <c r="V1261">
        <v>0.25975110000000001</v>
      </c>
      <c r="W1261">
        <v>-6.9828799999999996E-2</v>
      </c>
      <c r="X1261">
        <v>0.96314759999999999</v>
      </c>
      <c r="Y1261">
        <v>0.59270409999999996</v>
      </c>
      <c r="Z1261">
        <v>4.7675909999999998E-3</v>
      </c>
      <c r="AA1261">
        <v>0.80540619999999996</v>
      </c>
      <c r="AB1261">
        <v>28</v>
      </c>
      <c r="AC1261">
        <v>5.3656999999999702</v>
      </c>
      <c r="AD1261">
        <v>-1.0966226958959999</v>
      </c>
      <c r="AE1261">
        <v>-18.640999999999998</v>
      </c>
      <c r="AF1261">
        <v>11.5787942772885</v>
      </c>
      <c r="AG1261">
        <v>-1.0966226958959999</v>
      </c>
      <c r="AH1261">
        <v>15.4859762137338</v>
      </c>
      <c r="AI1261">
        <v>93.245984765017297</v>
      </c>
      <c r="AJ1261">
        <v>53.214701340745599</v>
      </c>
      <c r="AK1261">
        <v>19.367150475618502</v>
      </c>
      <c r="AL1261">
        <v>94.004154129678795</v>
      </c>
      <c r="AM1261">
        <v>74.906990785900703</v>
      </c>
      <c r="AN1261">
        <v>0.99999999732320499</v>
      </c>
    </row>
    <row r="1262" spans="1:40" x14ac:dyDescent="0.25">
      <c r="A1262" t="str">
        <f>"20190305135814816"</f>
        <v>20190305135814816</v>
      </c>
      <c r="B1262" t="str">
        <f>"1551765494809773"</f>
        <v>1551765494809773</v>
      </c>
      <c r="C1262" t="s">
        <v>40</v>
      </c>
      <c r="D1262">
        <v>4.1789740000000002</v>
      </c>
      <c r="E1262">
        <v>0.64849789999999996</v>
      </c>
      <c r="F1262" t="s">
        <v>42</v>
      </c>
      <c r="G1262">
        <v>-196.19239999999999</v>
      </c>
      <c r="H1262" s="1">
        <v>-4.0233629999999999E-6</v>
      </c>
      <c r="I1262">
        <v>345.58179999999999</v>
      </c>
      <c r="J1262">
        <v>-201.15479999999999</v>
      </c>
      <c r="K1262">
        <v>1.09667</v>
      </c>
      <c r="L1262">
        <v>363.2971</v>
      </c>
      <c r="M1262">
        <v>0.79075719999999905</v>
      </c>
      <c r="N1262">
        <v>-1.6605660000000001E-2</v>
      </c>
      <c r="O1262">
        <v>-0.61190469999999997</v>
      </c>
      <c r="P1262">
        <v>0.60254169999999996</v>
      </c>
      <c r="Q1262">
        <v>-7.6054079999999996E-2</v>
      </c>
      <c r="R1262">
        <v>-0.79445580000000005</v>
      </c>
      <c r="S1262">
        <v>0.88467410000000002</v>
      </c>
      <c r="T1262">
        <v>-0.1906407</v>
      </c>
      <c r="U1262">
        <v>-3.0984189999999998</v>
      </c>
      <c r="V1262">
        <v>0.25755159999999999</v>
      </c>
      <c r="W1262">
        <v>-6.815351E-2</v>
      </c>
      <c r="X1262">
        <v>0.96385799999999999</v>
      </c>
      <c r="Y1262">
        <v>0.591808</v>
      </c>
      <c r="Z1262">
        <v>6.3911180000000003E-3</v>
      </c>
      <c r="AA1262">
        <v>0.80605360000000004</v>
      </c>
      <c r="AB1262">
        <v>28</v>
      </c>
      <c r="AC1262">
        <v>4.9623999999999997</v>
      </c>
      <c r="AD1262">
        <v>-1.0966740233629999</v>
      </c>
      <c r="AE1262">
        <v>-17.715299999999999</v>
      </c>
      <c r="AF1262">
        <v>10.9346420824613</v>
      </c>
      <c r="AG1262">
        <v>-1.0966740233629999</v>
      </c>
      <c r="AH1262">
        <v>14.7138792724237</v>
      </c>
      <c r="AI1262">
        <v>93.423509223644402</v>
      </c>
      <c r="AJ1262">
        <v>53.382057098566001</v>
      </c>
      <c r="AK1262">
        <v>18.3648396298065</v>
      </c>
      <c r="AL1262">
        <v>93.907937858973895</v>
      </c>
      <c r="AM1262">
        <v>75.039572539827304</v>
      </c>
      <c r="AN1262">
        <v>0.99999998587593997</v>
      </c>
    </row>
    <row r="1263" spans="1:40" x14ac:dyDescent="0.25">
      <c r="A1263" t="str">
        <f>"20190305135814839"</f>
        <v>20190305135814839</v>
      </c>
      <c r="B1263" t="str">
        <f>"1551765494830269"</f>
        <v>1551765494830269</v>
      </c>
      <c r="C1263" t="s">
        <v>40</v>
      </c>
      <c r="D1263">
        <v>4.085413</v>
      </c>
      <c r="E1263">
        <v>0.64845059999999999</v>
      </c>
      <c r="F1263" t="s">
        <v>42</v>
      </c>
      <c r="G1263">
        <v>-196.18940000000001</v>
      </c>
      <c r="H1263" s="1">
        <v>-3.9862430000000002E-6</v>
      </c>
      <c r="I1263">
        <v>345.47430000000003</v>
      </c>
      <c r="J1263">
        <v>-200.9451</v>
      </c>
      <c r="K1263">
        <v>1.0967499999999999</v>
      </c>
      <c r="L1263">
        <v>363.11309999999997</v>
      </c>
      <c r="M1263">
        <v>0.78034789999999998</v>
      </c>
      <c r="N1263">
        <v>-1.6598789999999999E-2</v>
      </c>
      <c r="O1263">
        <v>-0.62512519999999905</v>
      </c>
      <c r="P1263">
        <v>0.59225649999999996</v>
      </c>
      <c r="Q1263">
        <v>-7.3924920000000005E-2</v>
      </c>
      <c r="R1263">
        <v>-0.80235129999999999</v>
      </c>
      <c r="S1263">
        <v>0.86430359999999995</v>
      </c>
      <c r="T1263">
        <v>-0.19089449999999999</v>
      </c>
      <c r="U1263">
        <v>-3.1023559999999999</v>
      </c>
      <c r="V1263">
        <v>0.25398789999999999</v>
      </c>
      <c r="W1263">
        <v>-6.5850569999999997E-2</v>
      </c>
      <c r="X1263">
        <v>0.96496309999999996</v>
      </c>
      <c r="Y1263">
        <v>0.58341350000000003</v>
      </c>
      <c r="Z1263">
        <v>7.5975330000000001E-3</v>
      </c>
      <c r="AA1263">
        <v>0.81213979999999997</v>
      </c>
      <c r="AB1263">
        <v>28</v>
      </c>
      <c r="AC1263">
        <v>4.7556999999999903</v>
      </c>
      <c r="AD1263">
        <v>-1.09675398624299</v>
      </c>
      <c r="AE1263">
        <v>-17.6387999999999</v>
      </c>
      <c r="AF1263">
        <v>10.7542201942322</v>
      </c>
      <c r="AG1263">
        <v>-1.09675398624299</v>
      </c>
      <c r="AH1263">
        <v>14.686657248677999</v>
      </c>
      <c r="AI1263">
        <v>93.447965495653605</v>
      </c>
      <c r="AJ1263">
        <v>53.786761621636103</v>
      </c>
      <c r="AK1263">
        <v>18.236063786698001</v>
      </c>
      <c r="AL1263">
        <v>93.775691975883802</v>
      </c>
      <c r="AM1263">
        <v>75.253647228518005</v>
      </c>
      <c r="AN1263">
        <v>0.99999996763867105</v>
      </c>
    </row>
    <row r="1264" spans="1:40" x14ac:dyDescent="0.25">
      <c r="A1264" t="str">
        <f>"20190305135814859"</f>
        <v>20190305135814859</v>
      </c>
      <c r="B1264" t="str">
        <f>"1551765494849789"</f>
        <v>1551765494849789</v>
      </c>
      <c r="C1264" t="s">
        <v>40</v>
      </c>
      <c r="D1264">
        <v>4.1007249999999997</v>
      </c>
      <c r="E1264">
        <v>0.64831039999999995</v>
      </c>
      <c r="F1264" t="s">
        <v>42</v>
      </c>
      <c r="G1264">
        <v>-196.42500000000001</v>
      </c>
      <c r="H1264" s="1">
        <v>-4.2105749999999999E-6</v>
      </c>
      <c r="I1264">
        <v>346.01069999999999</v>
      </c>
      <c r="J1264">
        <v>-200.76130000000001</v>
      </c>
      <c r="K1264">
        <v>1.096843</v>
      </c>
      <c r="L1264">
        <v>362.94650000000001</v>
      </c>
      <c r="M1264">
        <v>0.77097450000000001</v>
      </c>
      <c r="N1264">
        <v>-1.6585530000000001E-2</v>
      </c>
      <c r="O1264">
        <v>-0.63665000000000005</v>
      </c>
      <c r="P1264">
        <v>0.58139469999999904</v>
      </c>
      <c r="Q1264">
        <v>-7.3990849999999997E-2</v>
      </c>
      <c r="R1264">
        <v>-0.81025049999999998</v>
      </c>
      <c r="S1264">
        <v>0.82283019999999996</v>
      </c>
      <c r="T1264">
        <v>-0.1996492</v>
      </c>
      <c r="U1264">
        <v>-3.113251</v>
      </c>
      <c r="V1264">
        <v>0.2526602</v>
      </c>
      <c r="W1264">
        <v>-6.5822649999999996E-2</v>
      </c>
      <c r="X1264">
        <v>0.96531350000000005</v>
      </c>
      <c r="Y1264">
        <v>0.58214440000000001</v>
      </c>
      <c r="Z1264">
        <v>9.4372469999999993E-3</v>
      </c>
      <c r="AA1264">
        <v>0.81303059999999905</v>
      </c>
      <c r="AB1264">
        <v>28</v>
      </c>
      <c r="AC1264">
        <v>4.3362999999999898</v>
      </c>
      <c r="AD1264">
        <v>-1.096847210575</v>
      </c>
      <c r="AE1264">
        <v>-16.9358</v>
      </c>
      <c r="AF1264">
        <v>10.257403433746299</v>
      </c>
      <c r="AG1264">
        <v>-1.096847210575</v>
      </c>
      <c r="AH1264">
        <v>14.0719039152722</v>
      </c>
      <c r="AI1264">
        <v>93.604186931383893</v>
      </c>
      <c r="AJ1264">
        <v>53.910648434958503</v>
      </c>
      <c r="AK1264">
        <v>17.4480909788616</v>
      </c>
      <c r="AL1264">
        <v>93.774088769354194</v>
      </c>
      <c r="AM1264">
        <v>75.332494484318303</v>
      </c>
      <c r="AN1264">
        <v>0.99999997559965603</v>
      </c>
    </row>
    <row r="1265" spans="1:40" x14ac:dyDescent="0.25">
      <c r="A1265" t="str">
        <f>"20190305135814875"</f>
        <v>20190305135814875</v>
      </c>
      <c r="B1265" t="str">
        <f>"1551765494870285"</f>
        <v>1551765494870285</v>
      </c>
      <c r="C1265" t="s">
        <v>40</v>
      </c>
      <c r="D1265">
        <v>4.0937150000000004</v>
      </c>
      <c r="E1265">
        <v>0.64816799999999997</v>
      </c>
      <c r="F1265" t="s">
        <v>42</v>
      </c>
      <c r="G1265">
        <v>-196.76400000000001</v>
      </c>
      <c r="H1265" s="1">
        <v>-4.5881670000000001E-6</v>
      </c>
      <c r="I1265">
        <v>346.9436</v>
      </c>
      <c r="J1265">
        <v>-200.60509999999999</v>
      </c>
      <c r="K1265">
        <v>1.0969310000000001</v>
      </c>
      <c r="L1265">
        <v>362.80090000000001</v>
      </c>
      <c r="M1265">
        <v>0.76282939999999999</v>
      </c>
      <c r="N1265">
        <v>-1.656784E-2</v>
      </c>
      <c r="O1265">
        <v>-0.64638779999999996</v>
      </c>
      <c r="P1265">
        <v>0.57248659999999996</v>
      </c>
      <c r="Q1265">
        <v>-7.4436950000000002E-2</v>
      </c>
      <c r="R1265">
        <v>-0.81652829999999998</v>
      </c>
      <c r="S1265">
        <v>0.7801361</v>
      </c>
      <c r="T1265">
        <v>-0.21406610000000001</v>
      </c>
      <c r="U1265">
        <v>-3.1231990000000001</v>
      </c>
      <c r="V1265">
        <v>0.250948</v>
      </c>
      <c r="W1265">
        <v>-6.6167619999999996E-2</v>
      </c>
      <c r="X1265">
        <v>0.9657365</v>
      </c>
      <c r="Y1265">
        <v>0.582848699999999</v>
      </c>
      <c r="Z1265">
        <v>1.186983E-2</v>
      </c>
      <c r="AA1265">
        <v>0.81249399999999905</v>
      </c>
      <c r="AB1265">
        <v>27</v>
      </c>
      <c r="AC1265">
        <v>3.84109999999998</v>
      </c>
      <c r="AD1265">
        <v>-1.096935588167</v>
      </c>
      <c r="AE1265">
        <v>-15.8573</v>
      </c>
      <c r="AF1265">
        <v>9.5716283377257199</v>
      </c>
      <c r="AG1265">
        <v>-1.096935588167</v>
      </c>
      <c r="AH1265">
        <v>13.122561743987101</v>
      </c>
      <c r="AI1265">
        <v>93.863605977072496</v>
      </c>
      <c r="AJ1265">
        <v>53.892898057681599</v>
      </c>
      <c r="AK1265">
        <v>16.2794644704577</v>
      </c>
      <c r="AL1265">
        <v>93.793897109806295</v>
      </c>
      <c r="AM1265">
        <v>75.433758105619702</v>
      </c>
      <c r="AN1265">
        <v>1.0000000200363499</v>
      </c>
    </row>
    <row r="1266" spans="1:40" x14ac:dyDescent="0.25">
      <c r="A1266" t="str">
        <f>"20190305135814896"</f>
        <v>20190305135814896</v>
      </c>
      <c r="B1266" t="str">
        <f>"1551765494889805"</f>
        <v>1551765494889805</v>
      </c>
      <c r="C1266" t="s">
        <v>40</v>
      </c>
      <c r="D1266">
        <v>4.0986330000000004</v>
      </c>
      <c r="E1266">
        <v>0.64769690000000002</v>
      </c>
      <c r="F1266" t="s">
        <v>42</v>
      </c>
      <c r="G1266">
        <v>-197.03559999999999</v>
      </c>
      <c r="H1266" s="1">
        <v>-4.9333760000000002E-6</v>
      </c>
      <c r="I1266">
        <v>347.81639999999999</v>
      </c>
      <c r="J1266">
        <v>-200.42</v>
      </c>
      <c r="K1266">
        <v>1.097056</v>
      </c>
      <c r="L1266">
        <v>362.62369999999999</v>
      </c>
      <c r="M1266">
        <v>0.75297259999999999</v>
      </c>
      <c r="N1266">
        <v>-1.6541469999999999E-2</v>
      </c>
      <c r="O1266">
        <v>-0.65784419999999899</v>
      </c>
      <c r="P1266">
        <v>0.56194880000000003</v>
      </c>
      <c r="Q1266">
        <v>-7.4894169999999996E-2</v>
      </c>
      <c r="R1266">
        <v>-0.82377489999999998</v>
      </c>
      <c r="S1266">
        <v>0.74569700000000005</v>
      </c>
      <c r="T1266">
        <v>-0.22915669999999999</v>
      </c>
      <c r="U1266">
        <v>-3.130341</v>
      </c>
      <c r="V1266">
        <v>0.24873670000000001</v>
      </c>
      <c r="W1266">
        <v>-6.6494719999999993E-2</v>
      </c>
      <c r="X1266">
        <v>0.96628590000000003</v>
      </c>
      <c r="Y1266">
        <v>0.57940800000000003</v>
      </c>
      <c r="Z1266">
        <v>1.483427E-2</v>
      </c>
      <c r="AA1266">
        <v>0.81490269999999898</v>
      </c>
      <c r="AB1266">
        <v>27</v>
      </c>
      <c r="AC1266">
        <v>3.3843999999999901</v>
      </c>
      <c r="AD1266">
        <v>-1.097060933376</v>
      </c>
      <c r="AE1266">
        <v>-14.8072999999999</v>
      </c>
      <c r="AF1266">
        <v>8.87798907191784</v>
      </c>
      <c r="AG1266">
        <v>-1.097060933376</v>
      </c>
      <c r="AH1266">
        <v>12.2271512073889</v>
      </c>
      <c r="AI1266">
        <v>94.152582095116003</v>
      </c>
      <c r="AJ1266">
        <v>54.017044738407897</v>
      </c>
      <c r="AK1266">
        <v>15.150097666384299</v>
      </c>
      <c r="AL1266">
        <v>93.812680127111193</v>
      </c>
      <c r="AM1266">
        <v>75.564590314405706</v>
      </c>
      <c r="AN1266">
        <v>0.99999996712678796</v>
      </c>
    </row>
    <row r="1267" spans="1:40" x14ac:dyDescent="0.25">
      <c r="A1267" t="str">
        <f>"20190305135814914"</f>
        <v>20190305135814914</v>
      </c>
      <c r="B1267" t="str">
        <f>"1551765494910301"</f>
        <v>1551765494910301</v>
      </c>
      <c r="C1267" t="s">
        <v>40</v>
      </c>
      <c r="D1267">
        <v>4.1017989999999998</v>
      </c>
      <c r="E1267">
        <v>0.6471095</v>
      </c>
      <c r="F1267" t="s">
        <v>42</v>
      </c>
      <c r="G1267">
        <v>-197.13900000000001</v>
      </c>
      <c r="H1267" s="1">
        <v>-5.0447969999999997E-6</v>
      </c>
      <c r="I1267">
        <v>348.09</v>
      </c>
      <c r="J1267">
        <v>-200.26400000000001</v>
      </c>
      <c r="K1267">
        <v>1.0971930000000001</v>
      </c>
      <c r="L1267">
        <v>362.47030000000001</v>
      </c>
      <c r="M1267">
        <v>0.74453409999999998</v>
      </c>
      <c r="N1267">
        <v>-1.6512470000000001E-2</v>
      </c>
      <c r="O1267">
        <v>-0.66738009999999903</v>
      </c>
      <c r="P1267">
        <v>0.55232569999999903</v>
      </c>
      <c r="Q1267">
        <v>-7.54861E-2</v>
      </c>
      <c r="R1267">
        <v>-0.83020369999999999</v>
      </c>
      <c r="S1267">
        <v>0.70820620000000001</v>
      </c>
      <c r="T1267">
        <v>-0.23680280000000001</v>
      </c>
      <c r="U1267">
        <v>-3.137146</v>
      </c>
      <c r="V1267">
        <v>0.2476401</v>
      </c>
      <c r="W1267">
        <v>-6.6992040000000003E-2</v>
      </c>
      <c r="X1267">
        <v>0.96653319999999998</v>
      </c>
      <c r="Y1267">
        <v>0.57865940000000005</v>
      </c>
      <c r="Z1267">
        <v>1.6685510000000001E-2</v>
      </c>
      <c r="AA1267">
        <v>0.81539859999999997</v>
      </c>
      <c r="AB1267">
        <v>27</v>
      </c>
      <c r="AC1267">
        <v>3.125</v>
      </c>
      <c r="AD1267">
        <v>-1.097198044797</v>
      </c>
      <c r="AE1267">
        <v>-14.3803</v>
      </c>
      <c r="AF1267">
        <v>8.5745711525037098</v>
      </c>
      <c r="AG1267">
        <v>-1.097198044797</v>
      </c>
      <c r="AH1267">
        <v>11.8594951056961</v>
      </c>
      <c r="AI1267">
        <v>94.287614111589406</v>
      </c>
      <c r="AJ1267">
        <v>54.1325752141422</v>
      </c>
      <c r="AK1267">
        <v>14.675651200573199</v>
      </c>
      <c r="AL1267">
        <v>93.841238058255499</v>
      </c>
      <c r="AM1267">
        <v>75.629114456994401</v>
      </c>
      <c r="AN1267">
        <v>0.99999998962680503</v>
      </c>
    </row>
    <row r="1268" spans="1:40" x14ac:dyDescent="0.25">
      <c r="A1268" t="str">
        <f>"20190305135814928"</f>
        <v>20190305135814928</v>
      </c>
      <c r="B1268" t="str">
        <f>"1551765494920061"</f>
        <v>1551765494920061</v>
      </c>
      <c r="C1268" t="s">
        <v>40</v>
      </c>
      <c r="D1268">
        <v>4.1079359999999996</v>
      </c>
      <c r="E1268">
        <v>0.64684140000000001</v>
      </c>
      <c r="F1268" t="s">
        <v>42</v>
      </c>
      <c r="G1268">
        <v>-197.20570000000001</v>
      </c>
      <c r="H1268" s="1">
        <v>-5.1046649999999997E-6</v>
      </c>
      <c r="I1268">
        <v>348.23110000000003</v>
      </c>
      <c r="J1268">
        <v>-200.13030000000001</v>
      </c>
      <c r="K1268">
        <v>1.097323</v>
      </c>
      <c r="L1268">
        <v>362.3356</v>
      </c>
      <c r="M1268">
        <v>0.73721809999999999</v>
      </c>
      <c r="N1268">
        <v>-1.6480580000000002E-2</v>
      </c>
      <c r="O1268">
        <v>-0.67545390000000005</v>
      </c>
      <c r="P1268">
        <v>0.54552500000000004</v>
      </c>
      <c r="Q1268">
        <v>-7.6942720000000006E-2</v>
      </c>
      <c r="R1268">
        <v>-0.83455550000000001</v>
      </c>
      <c r="S1268">
        <v>0.67495729999999998</v>
      </c>
      <c r="T1268">
        <v>-0.24214240000000001</v>
      </c>
      <c r="U1268">
        <v>-3.1424560000000001</v>
      </c>
      <c r="V1268">
        <v>0.2448893</v>
      </c>
      <c r="W1268">
        <v>-6.8299540000000006E-2</v>
      </c>
      <c r="X1268">
        <v>0.96714239999999996</v>
      </c>
      <c r="Y1268">
        <v>0.57829280000000005</v>
      </c>
      <c r="Z1268">
        <v>1.8149459999999999E-2</v>
      </c>
      <c r="AA1268">
        <v>0.81562730000000006</v>
      </c>
      <c r="AB1268">
        <v>27</v>
      </c>
      <c r="AC1268">
        <v>2.9245999999999901</v>
      </c>
      <c r="AD1268">
        <v>-1.0973281046650001</v>
      </c>
      <c r="AE1268">
        <v>-14.1044999999999</v>
      </c>
      <c r="AF1268">
        <v>8.37519999205381</v>
      </c>
      <c r="AG1268">
        <v>-1.0973281046650001</v>
      </c>
      <c r="AH1268">
        <v>11.6171758747205</v>
      </c>
      <c r="AI1268">
        <v>94.381528628912505</v>
      </c>
      <c r="AJ1268">
        <v>54.210939933952901</v>
      </c>
      <c r="AK1268">
        <v>14.363386758713</v>
      </c>
      <c r="AL1268">
        <v>93.916324212122802</v>
      </c>
      <c r="AM1268">
        <v>75.790833087099401</v>
      </c>
      <c r="AN1268">
        <v>1.00000000914823</v>
      </c>
    </row>
    <row r="1269" spans="1:40" x14ac:dyDescent="0.25">
      <c r="A1269" t="str">
        <f>"20190305135814952"</f>
        <v>20190305135814952</v>
      </c>
      <c r="B1269" t="str">
        <f>"1551765494939581"</f>
        <v>1551765494939581</v>
      </c>
      <c r="C1269" t="s">
        <v>40</v>
      </c>
      <c r="D1269">
        <v>4.0934039999999996</v>
      </c>
      <c r="E1269">
        <v>0.64614569999999905</v>
      </c>
      <c r="F1269" t="s">
        <v>42</v>
      </c>
      <c r="G1269">
        <v>-197.25720000000001</v>
      </c>
      <c r="H1269" s="1">
        <v>-5.187741E-6</v>
      </c>
      <c r="I1269">
        <v>348.44839999999999</v>
      </c>
      <c r="J1269">
        <v>-199.93199999999999</v>
      </c>
      <c r="K1269">
        <v>1.0975680000000001</v>
      </c>
      <c r="L1269">
        <v>362.1311</v>
      </c>
      <c r="M1269">
        <v>0.72625989999999996</v>
      </c>
      <c r="N1269">
        <v>-1.6421410000000001E-2</v>
      </c>
      <c r="O1269">
        <v>-0.68722399999999995</v>
      </c>
      <c r="P1269">
        <v>0.53379619999999905</v>
      </c>
      <c r="Q1269">
        <v>-7.6823240000000001E-2</v>
      </c>
      <c r="R1269">
        <v>-0.84211630000000004</v>
      </c>
      <c r="S1269">
        <v>0.65093990000000002</v>
      </c>
      <c r="T1269">
        <v>-0.24861649999999999</v>
      </c>
      <c r="U1269">
        <v>-3.1463619999999999</v>
      </c>
      <c r="V1269">
        <v>0.24291960000000001</v>
      </c>
      <c r="W1269">
        <v>-6.8017649999999999E-2</v>
      </c>
      <c r="X1269">
        <v>0.96765889999999999</v>
      </c>
      <c r="Y1269">
        <v>0.57133719999999999</v>
      </c>
      <c r="Z1269">
        <v>2.0458730000000001E-2</v>
      </c>
      <c r="AA1269">
        <v>0.82046039999999998</v>
      </c>
      <c r="AB1269">
        <v>27</v>
      </c>
      <c r="AC1269">
        <v>2.6747999999999998</v>
      </c>
      <c r="AD1269">
        <v>-1.097573187741</v>
      </c>
      <c r="AE1269">
        <v>-13.682700000000001</v>
      </c>
      <c r="AF1269">
        <v>8.0502086878215007</v>
      </c>
      <c r="AG1269">
        <v>-1.097573187741</v>
      </c>
      <c r="AH1269">
        <v>11.277315979493601</v>
      </c>
      <c r="AI1269">
        <v>94.529163615951504</v>
      </c>
      <c r="AJ1269">
        <v>54.479203968982802</v>
      </c>
      <c r="AK1269">
        <v>13.899222371099199</v>
      </c>
      <c r="AL1269">
        <v>93.900135338381304</v>
      </c>
      <c r="AM1269">
        <v>75.907770821110702</v>
      </c>
      <c r="AN1269">
        <v>1.00000003976244</v>
      </c>
    </row>
    <row r="1270" spans="1:40" x14ac:dyDescent="0.25">
      <c r="A1270" t="str">
        <f>"20190305135814973"</f>
        <v>20190305135814973</v>
      </c>
      <c r="B1270" t="str">
        <f>"1551765494960077"</f>
        <v>1551765494960077</v>
      </c>
      <c r="C1270" t="s">
        <v>40</v>
      </c>
      <c r="D1270">
        <v>4.1023750000000003</v>
      </c>
      <c r="E1270">
        <v>0.64534179999999997</v>
      </c>
      <c r="F1270" t="s">
        <v>42</v>
      </c>
      <c r="G1270">
        <v>-197.21270000000001</v>
      </c>
      <c r="H1270" s="1">
        <v>-5.0645119999999999E-6</v>
      </c>
      <c r="I1270">
        <v>348.10950000000003</v>
      </c>
      <c r="J1270">
        <v>-199.7456</v>
      </c>
      <c r="K1270">
        <v>1.0978669999999999</v>
      </c>
      <c r="L1270">
        <v>361.9332</v>
      </c>
      <c r="M1270">
        <v>0.71585369999999904</v>
      </c>
      <c r="N1270">
        <v>-1.635462E-2</v>
      </c>
      <c r="O1270">
        <v>-0.69805869999999903</v>
      </c>
      <c r="P1270">
        <v>0.52511099999999999</v>
      </c>
      <c r="Q1270">
        <v>-6.9065760000000004E-2</v>
      </c>
      <c r="R1270">
        <v>-0.84822690000000001</v>
      </c>
      <c r="S1270">
        <v>0.61135859999999997</v>
      </c>
      <c r="T1270">
        <v>-0.2467608</v>
      </c>
      <c r="U1270">
        <v>-3.1524049999999999</v>
      </c>
      <c r="V1270">
        <v>0.2390745</v>
      </c>
      <c r="W1270">
        <v>-6.0024599999999997E-2</v>
      </c>
      <c r="X1270">
        <v>0.96914420000000001</v>
      </c>
      <c r="Y1270">
        <v>0.569249</v>
      </c>
      <c r="Z1270">
        <v>2.1326439999999999E-2</v>
      </c>
      <c r="AA1270">
        <v>0.82188859999999997</v>
      </c>
      <c r="AB1270">
        <v>27</v>
      </c>
      <c r="AC1270">
        <v>2.5328999999999802</v>
      </c>
      <c r="AD1270">
        <v>-1.0978720645119999</v>
      </c>
      <c r="AE1270">
        <v>-13.823699999999899</v>
      </c>
      <c r="AF1270">
        <v>8.0794160102478596</v>
      </c>
      <c r="AG1270">
        <v>-1.0978720645119999</v>
      </c>
      <c r="AH1270">
        <v>11.394934991398101</v>
      </c>
      <c r="AI1270">
        <v>94.493967490938502</v>
      </c>
      <c r="AJ1270">
        <v>54.661997011105797</v>
      </c>
      <c r="AK1270">
        <v>14.0116676236226</v>
      </c>
      <c r="AL1270">
        <v>93.441224703307597</v>
      </c>
      <c r="AM1270">
        <v>76.142593512873503</v>
      </c>
      <c r="AN1270">
        <v>1.00000002477452</v>
      </c>
    </row>
    <row r="1271" spans="1:40" x14ac:dyDescent="0.25">
      <c r="A1271" t="str">
        <f>"20190305135814988"</f>
        <v>20190305135814988</v>
      </c>
      <c r="B1271" t="str">
        <f>"1551765494979598"</f>
        <v>1551765494979598</v>
      </c>
      <c r="C1271" t="s">
        <v>40</v>
      </c>
      <c r="D1271">
        <v>4.0666120000000001</v>
      </c>
      <c r="E1271">
        <v>0.63190360000000001</v>
      </c>
      <c r="F1271" t="s">
        <v>42</v>
      </c>
      <c r="G1271">
        <v>-196.8015</v>
      </c>
      <c r="H1271" s="1">
        <v>-4.2814710000000003E-6</v>
      </c>
      <c r="I1271">
        <v>346.02289999999999</v>
      </c>
      <c r="J1271">
        <v>-199.61519999999999</v>
      </c>
      <c r="K1271">
        <v>1.0980970000000001</v>
      </c>
      <c r="L1271">
        <v>361.79129999999998</v>
      </c>
      <c r="M1271">
        <v>0.70853239999999995</v>
      </c>
      <c r="N1271">
        <v>-1.6303850000000002E-2</v>
      </c>
      <c r="O1271">
        <v>-0.70549010000000001</v>
      </c>
      <c r="P1271">
        <v>0.51963729999999997</v>
      </c>
      <c r="Q1271">
        <v>-6.3706429999999994E-2</v>
      </c>
      <c r="R1271">
        <v>-0.85200859999999901</v>
      </c>
      <c r="S1271">
        <v>0.58424379999999998</v>
      </c>
      <c r="T1271">
        <v>-0.21786620000000001</v>
      </c>
      <c r="U1271">
        <v>-3.1573180000000001</v>
      </c>
      <c r="V1271">
        <v>0.23568230000000001</v>
      </c>
      <c r="W1271">
        <v>-5.4479130000000001E-2</v>
      </c>
      <c r="X1271">
        <v>0.970302</v>
      </c>
      <c r="Y1271">
        <v>0.56781789999999999</v>
      </c>
      <c r="Z1271">
        <v>1.7756569999999999E-2</v>
      </c>
      <c r="AA1271">
        <v>0.82296259999999999</v>
      </c>
      <c r="AB1271">
        <v>27</v>
      </c>
      <c r="AC1271">
        <v>2.8136999999999799</v>
      </c>
      <c r="AD1271">
        <v>-1.0981012814709901</v>
      </c>
      <c r="AE1271">
        <v>-15.7683999999999</v>
      </c>
      <c r="AF1271">
        <v>9.1456206041450194</v>
      </c>
      <c r="AG1271">
        <v>-1.0981012814709901</v>
      </c>
      <c r="AH1271">
        <v>13.058415423000501</v>
      </c>
      <c r="AI1271">
        <v>93.940234892541099</v>
      </c>
      <c r="AJ1271">
        <v>54.994054150788898</v>
      </c>
      <c r="AK1271">
        <v>15.9803133892608</v>
      </c>
      <c r="AL1271">
        <v>93.122970192339295</v>
      </c>
      <c r="AM1271">
        <v>76.347488264883296</v>
      </c>
      <c r="AN1271">
        <v>1.0000000466714201</v>
      </c>
    </row>
    <row r="1272" spans="1:40" x14ac:dyDescent="0.25">
      <c r="A1272" t="str">
        <f>"20190305135815006"</f>
        <v>20190305135815006</v>
      </c>
      <c r="B1272" t="str">
        <f>"1551765495000095"</f>
        <v>1551765495000095</v>
      </c>
      <c r="C1272" t="s">
        <v>40</v>
      </c>
      <c r="D1272">
        <v>4.1152220000000002</v>
      </c>
      <c r="E1272">
        <v>0.63217159999999994</v>
      </c>
      <c r="F1272" t="s">
        <v>42</v>
      </c>
      <c r="G1272">
        <v>-196.13390000000001</v>
      </c>
      <c r="H1272" s="1">
        <v>-3.9096169999999996E-6</v>
      </c>
      <c r="I1272">
        <v>345.27809999999999</v>
      </c>
      <c r="J1272">
        <v>-199.46190000000001</v>
      </c>
      <c r="K1272">
        <v>1.0983989999999999</v>
      </c>
      <c r="L1272">
        <v>361.62110000000001</v>
      </c>
      <c r="M1272">
        <v>0.69988509999999904</v>
      </c>
      <c r="N1272">
        <v>-1.6242199999999998E-2</v>
      </c>
      <c r="O1272">
        <v>-0.71407069999999995</v>
      </c>
      <c r="P1272">
        <v>0.51898880000000003</v>
      </c>
      <c r="Q1272">
        <v>-5.4917210000000001E-2</v>
      </c>
      <c r="R1272">
        <v>-0.85301519999999997</v>
      </c>
      <c r="S1272">
        <v>0.65486149999999999</v>
      </c>
      <c r="T1272">
        <v>-0.20656160000000001</v>
      </c>
      <c r="U1272">
        <v>-3.1062620000000001</v>
      </c>
      <c r="V1272">
        <v>0.22529740000000001</v>
      </c>
      <c r="W1272">
        <v>-4.5272279999999998E-2</v>
      </c>
      <c r="X1272">
        <v>0.97323760000000004</v>
      </c>
      <c r="Y1272">
        <v>0.53709229999999997</v>
      </c>
      <c r="Z1272">
        <v>1.8248509999999999E-2</v>
      </c>
      <c r="AA1272">
        <v>0.84332609999999997</v>
      </c>
      <c r="AB1272">
        <v>27</v>
      </c>
      <c r="AC1272">
        <v>3.3279999999999998</v>
      </c>
      <c r="AD1272">
        <v>-1.0984029096169901</v>
      </c>
      <c r="AE1272">
        <v>-16.343</v>
      </c>
      <c r="AF1272">
        <v>9.0238520751227593</v>
      </c>
      <c r="AG1272">
        <v>-1.0984029096169901</v>
      </c>
      <c r="AH1272">
        <v>13.940658415337399</v>
      </c>
      <c r="AI1272">
        <v>93.784227073395598</v>
      </c>
      <c r="AJ1272">
        <v>57.084832836253</v>
      </c>
      <c r="AK1272">
        <v>16.642666621628599</v>
      </c>
      <c r="AL1272">
        <v>92.594797560965503</v>
      </c>
      <c r="AM1272">
        <v>76.966033579228196</v>
      </c>
      <c r="AN1272">
        <v>0.99999996191845797</v>
      </c>
    </row>
    <row r="1273" spans="1:40" x14ac:dyDescent="0.25">
      <c r="A1273" t="str">
        <f>"20190305135815029"</f>
        <v>20190305135815029</v>
      </c>
      <c r="B1273" t="str">
        <f>"1551765495019613"</f>
        <v>1551765495019613</v>
      </c>
      <c r="C1273" t="s">
        <v>40</v>
      </c>
      <c r="D1273">
        <v>4.0631469999999998</v>
      </c>
      <c r="E1273">
        <v>0.631718</v>
      </c>
      <c r="F1273" t="s">
        <v>42</v>
      </c>
      <c r="G1273">
        <v>-195.94829999999999</v>
      </c>
      <c r="H1273" s="1">
        <v>-3.692099E-6</v>
      </c>
      <c r="I1273">
        <v>344.73570000000001</v>
      </c>
      <c r="J1273">
        <v>-199.27619999999999</v>
      </c>
      <c r="K1273">
        <v>1.098716</v>
      </c>
      <c r="L1273">
        <v>361.40960000000001</v>
      </c>
      <c r="M1273">
        <v>0.68937119999999996</v>
      </c>
      <c r="N1273">
        <v>-1.6164350000000001E-2</v>
      </c>
      <c r="O1273">
        <v>-0.72422779999999998</v>
      </c>
      <c r="P1273">
        <v>0.51807460000000005</v>
      </c>
      <c r="Q1273">
        <v>-5.2315470000000003E-2</v>
      </c>
      <c r="R1273">
        <v>-0.85373379999999999</v>
      </c>
      <c r="S1273">
        <v>0.64717100000000005</v>
      </c>
      <c r="T1273">
        <v>-0.20231759999999999</v>
      </c>
      <c r="U1273">
        <v>-3.1101679999999998</v>
      </c>
      <c r="V1273">
        <v>0.2123189</v>
      </c>
      <c r="W1273">
        <v>-4.2186750000000002E-2</v>
      </c>
      <c r="X1273">
        <v>0.97628939999999997</v>
      </c>
      <c r="Y1273">
        <v>0.52697249999999995</v>
      </c>
      <c r="Z1273">
        <v>1.8699159999999999E-2</v>
      </c>
      <c r="AA1273">
        <v>0.8496766</v>
      </c>
      <c r="AB1273">
        <v>27</v>
      </c>
      <c r="AC1273">
        <v>3.3279000000000001</v>
      </c>
      <c r="AD1273">
        <v>-1.0987196920989999</v>
      </c>
      <c r="AE1273">
        <v>-16.6739</v>
      </c>
      <c r="AF1273">
        <v>9.04775530137643</v>
      </c>
      <c r="AG1273">
        <v>-1.0987196920989999</v>
      </c>
      <c r="AH1273">
        <v>14.3119758477137</v>
      </c>
      <c r="AI1273">
        <v>93.712713064716695</v>
      </c>
      <c r="AJ1273">
        <v>57.699714693047298</v>
      </c>
      <c r="AK1273">
        <v>16.967666711157801</v>
      </c>
      <c r="AL1273">
        <v>92.417840232925897</v>
      </c>
      <c r="AM1273">
        <v>77.730627016718799</v>
      </c>
      <c r="AN1273">
        <v>1.0000000148625601</v>
      </c>
    </row>
    <row r="1274" spans="1:40" x14ac:dyDescent="0.25">
      <c r="A1274" t="str">
        <f>"20190305135815044"</f>
        <v>20190305135815044</v>
      </c>
      <c r="B1274" t="str">
        <f>"1551765495040109"</f>
        <v>1551765495040109</v>
      </c>
      <c r="C1274" t="s">
        <v>40</v>
      </c>
      <c r="D1274">
        <v>4.0813499999999996</v>
      </c>
      <c r="E1274">
        <v>0.63193710000000003</v>
      </c>
      <c r="F1274" t="s">
        <v>42</v>
      </c>
      <c r="G1274">
        <v>-195.8751</v>
      </c>
      <c r="H1274" s="1">
        <v>-3.7731989999999999E-6</v>
      </c>
      <c r="I1274">
        <v>345.01209999999998</v>
      </c>
      <c r="J1274">
        <v>-199.16050000000001</v>
      </c>
      <c r="K1274">
        <v>1.0988960000000001</v>
      </c>
      <c r="L1274">
        <v>361.27510000000001</v>
      </c>
      <c r="M1274">
        <v>0.68279209999999901</v>
      </c>
      <c r="N1274">
        <v>-1.6114920000000001E-2</v>
      </c>
      <c r="O1274">
        <v>-0.7304351</v>
      </c>
      <c r="P1274">
        <v>0.51576820000000001</v>
      </c>
      <c r="Q1274">
        <v>-5.3079189999999998E-2</v>
      </c>
      <c r="R1274">
        <v>-0.85508249999999997</v>
      </c>
      <c r="S1274">
        <v>0.64501949999999997</v>
      </c>
      <c r="T1274">
        <v>-0.20837510000000001</v>
      </c>
      <c r="U1274">
        <v>-3.1098330000000001</v>
      </c>
      <c r="V1274">
        <v>0.20609060000000001</v>
      </c>
      <c r="W1274">
        <v>-4.2722259999999998E-2</v>
      </c>
      <c r="X1274">
        <v>0.97759989999999997</v>
      </c>
      <c r="Y1274">
        <v>0.51981940000000004</v>
      </c>
      <c r="Z1274">
        <v>2.0467860000000001E-2</v>
      </c>
      <c r="AA1274">
        <v>0.85403099999999998</v>
      </c>
      <c r="AB1274">
        <v>27</v>
      </c>
      <c r="AC1274">
        <v>3.2854000000000001</v>
      </c>
      <c r="AD1274">
        <v>-1.09889977319899</v>
      </c>
      <c r="AE1274">
        <v>-16.263000000000002</v>
      </c>
      <c r="AF1274">
        <v>8.6675835896232698</v>
      </c>
      <c r="AG1274">
        <v>-1.09889977319899</v>
      </c>
      <c r="AH1274">
        <v>14.062455513822099</v>
      </c>
      <c r="AI1274">
        <v>93.805885577509798</v>
      </c>
      <c r="AJ1274">
        <v>58.351837249679498</v>
      </c>
      <c r="AK1274">
        <v>16.555580360496801</v>
      </c>
      <c r="AL1274">
        <v>92.448550308426803</v>
      </c>
      <c r="AM1274">
        <v>78.095623601883901</v>
      </c>
      <c r="AN1274">
        <v>1.00000004569393</v>
      </c>
    </row>
    <row r="1275" spans="1:40" x14ac:dyDescent="0.25">
      <c r="A1275" t="str">
        <f>"20190305135815064"</f>
        <v>20190305135815064</v>
      </c>
      <c r="B1275" t="str">
        <f>"1551765495059629"</f>
        <v>1551765495059629</v>
      </c>
      <c r="C1275" t="s">
        <v>40</v>
      </c>
      <c r="D1275">
        <v>4.1228259999999999</v>
      </c>
      <c r="E1275">
        <v>0.63164449999999905</v>
      </c>
      <c r="F1275" t="s">
        <v>42</v>
      </c>
      <c r="G1275">
        <v>-195.9041</v>
      </c>
      <c r="H1275" s="1">
        <v>-3.8784260000000003E-6</v>
      </c>
      <c r="I1275">
        <v>345.30619999999999</v>
      </c>
      <c r="J1275">
        <v>-198.99979999999999</v>
      </c>
      <c r="K1275">
        <v>1.099129</v>
      </c>
      <c r="L1275">
        <v>361.084</v>
      </c>
      <c r="M1275">
        <v>0.67361300000000002</v>
      </c>
      <c r="N1275">
        <v>-1.604589E-2</v>
      </c>
      <c r="O1275">
        <v>-0.73891019999999996</v>
      </c>
      <c r="P1275">
        <v>0.51416019999999996</v>
      </c>
      <c r="Q1275">
        <v>-5.5240009999999999E-2</v>
      </c>
      <c r="R1275">
        <v>-0.85591379999999995</v>
      </c>
      <c r="S1275">
        <v>0.63467410000000002</v>
      </c>
      <c r="T1275">
        <v>-0.21417810000000001</v>
      </c>
      <c r="U1275">
        <v>-3.1123660000000002</v>
      </c>
      <c r="V1275">
        <v>0.19558880000000001</v>
      </c>
      <c r="W1275">
        <v>-4.4531859999999999E-2</v>
      </c>
      <c r="X1275">
        <v>0.97967439999999995</v>
      </c>
      <c r="Y1275">
        <v>0.5119998</v>
      </c>
      <c r="Z1275">
        <v>2.2432830000000001E-2</v>
      </c>
      <c r="AA1275">
        <v>0.85869259999999903</v>
      </c>
      <c r="AB1275">
        <v>27</v>
      </c>
      <c r="AC1275">
        <v>3.0956999999999901</v>
      </c>
      <c r="AD1275">
        <v>-1.0991328784259999</v>
      </c>
      <c r="AE1275">
        <v>-15.777799999999999</v>
      </c>
      <c r="AF1275">
        <v>8.3029595665804603</v>
      </c>
      <c r="AG1275">
        <v>-1.0991328784259999</v>
      </c>
      <c r="AH1275">
        <v>13.681514506625501</v>
      </c>
      <c r="AI1275">
        <v>93.928865117254205</v>
      </c>
      <c r="AJ1275">
        <v>58.747512392068501</v>
      </c>
      <c r="AK1275">
        <v>16.0415420033023</v>
      </c>
      <c r="AL1275">
        <v>92.552331694839694</v>
      </c>
      <c r="AM1275">
        <v>78.709530693630299</v>
      </c>
      <c r="AN1275">
        <v>0.99999999762792902</v>
      </c>
    </row>
    <row r="1276" spans="1:40" x14ac:dyDescent="0.25">
      <c r="A1276" t="str">
        <f>"20190305135815086"</f>
        <v>20190305135815086</v>
      </c>
      <c r="B1276" t="str">
        <f>"1551765495080125"</f>
        <v>1551765495080125</v>
      </c>
      <c r="C1276" t="s">
        <v>40</v>
      </c>
      <c r="D1276">
        <v>4.1400839999999999</v>
      </c>
      <c r="E1276">
        <v>0.6373955</v>
      </c>
      <c r="F1276" t="s">
        <v>42</v>
      </c>
      <c r="G1276">
        <v>-195.86799999999999</v>
      </c>
      <c r="H1276" s="1">
        <v>-3.9858799999999997E-6</v>
      </c>
      <c r="I1276">
        <v>345.64080000000001</v>
      </c>
      <c r="J1276">
        <v>-198.82419999999999</v>
      </c>
      <c r="K1276">
        <v>1.099372</v>
      </c>
      <c r="L1276">
        <v>360.86989999999997</v>
      </c>
      <c r="M1276">
        <v>0.66352440000000001</v>
      </c>
      <c r="N1276">
        <v>-1.5972119999999999E-2</v>
      </c>
      <c r="O1276">
        <v>-0.74798430000000005</v>
      </c>
      <c r="P1276">
        <v>0.50912849999999998</v>
      </c>
      <c r="Q1276">
        <v>-5.7759690000000002E-2</v>
      </c>
      <c r="R1276">
        <v>-0.85875049999999997</v>
      </c>
      <c r="S1276">
        <v>0.63102720000000001</v>
      </c>
      <c r="T1276">
        <v>-0.2214651</v>
      </c>
      <c r="U1276">
        <v>-3.1116640000000002</v>
      </c>
      <c r="V1276">
        <v>0.1878966</v>
      </c>
      <c r="W1276">
        <v>-4.6798270000000003E-2</v>
      </c>
      <c r="X1276">
        <v>0.98107330000000004</v>
      </c>
      <c r="Y1276">
        <v>0.50125129999999996</v>
      </c>
      <c r="Z1276">
        <v>2.488682E-2</v>
      </c>
      <c r="AA1276">
        <v>0.86494380000000004</v>
      </c>
      <c r="AB1276">
        <v>27</v>
      </c>
      <c r="AC1276">
        <v>2.9561999999999902</v>
      </c>
      <c r="AD1276">
        <v>-1.0993759858800001</v>
      </c>
      <c r="AE1276">
        <v>-15.229099999999899</v>
      </c>
      <c r="AF1276">
        <v>7.8552449640500601</v>
      </c>
      <c r="AG1276">
        <v>-1.0993759858800001</v>
      </c>
      <c r="AH1276">
        <v>13.2876094482931</v>
      </c>
      <c r="AI1276">
        <v>94.073855564147493</v>
      </c>
      <c r="AJ1276">
        <v>59.409665890030901</v>
      </c>
      <c r="AK1276">
        <v>15.474949623631399</v>
      </c>
      <c r="AL1276">
        <v>92.682323009838399</v>
      </c>
      <c r="AM1276">
        <v>79.157919990983601</v>
      </c>
      <c r="AN1276">
        <v>1.0000000151697199</v>
      </c>
    </row>
    <row r="1277" spans="1:40" x14ac:dyDescent="0.25">
      <c r="A1277" t="str">
        <f>"20190305135815107"</f>
        <v>20190305135815107</v>
      </c>
      <c r="B1277" t="str">
        <f>"1551765495099645"</f>
        <v>1551765495099645</v>
      </c>
      <c r="C1277" t="s">
        <v>40</v>
      </c>
      <c r="D1277">
        <v>4.1152730000000002</v>
      </c>
      <c r="E1277">
        <v>0.63843799999999995</v>
      </c>
      <c r="F1277" t="s">
        <v>50</v>
      </c>
      <c r="G1277">
        <v>-196.88939999999999</v>
      </c>
      <c r="H1277" s="1">
        <v>-2.116079E-6</v>
      </c>
      <c r="I1277">
        <v>350.08069999999998</v>
      </c>
      <c r="J1277">
        <v>-198.66050000000001</v>
      </c>
      <c r="K1277">
        <v>1.099567</v>
      </c>
      <c r="L1277">
        <v>360.66520000000003</v>
      </c>
      <c r="M1277">
        <v>0.65402899999999997</v>
      </c>
      <c r="N1277">
        <v>-1.5905869999999999E-2</v>
      </c>
      <c r="O1277">
        <v>-0.75630249999999999</v>
      </c>
      <c r="P1277">
        <v>0.50269809999999904</v>
      </c>
      <c r="Q1277">
        <v>-6.0181350000000002E-2</v>
      </c>
      <c r="R1277">
        <v>-0.86236520000000005</v>
      </c>
      <c r="S1277">
        <v>0.56278989999999995</v>
      </c>
      <c r="T1277">
        <v>-0.31977729999999999</v>
      </c>
      <c r="U1277">
        <v>-3.1382750000000001</v>
      </c>
      <c r="V1277">
        <v>0.18269740000000001</v>
      </c>
      <c r="W1277">
        <v>-4.905383E-2</v>
      </c>
      <c r="X1277">
        <v>0.9819447</v>
      </c>
      <c r="Y1277">
        <v>0.50972829999999902</v>
      </c>
      <c r="Z1277">
        <v>4.2817849999999998E-2</v>
      </c>
      <c r="AA1277">
        <v>0.85926930000000001</v>
      </c>
      <c r="AB1277">
        <v>27</v>
      </c>
      <c r="AC1277">
        <v>1.7711000000000101</v>
      </c>
      <c r="AD1277">
        <v>-1.099569116079</v>
      </c>
      <c r="AE1277">
        <v>-10.5845</v>
      </c>
      <c r="AF1277">
        <v>5.5257775726145297</v>
      </c>
      <c r="AG1277">
        <v>-1.099569116079</v>
      </c>
      <c r="AH1277">
        <v>9.0693806532946599</v>
      </c>
      <c r="AI1277">
        <v>95.911113096360793</v>
      </c>
      <c r="AJ1277">
        <v>58.646951728490301</v>
      </c>
      <c r="AK1277">
        <v>10.6769347407109</v>
      </c>
      <c r="AL1277">
        <v>92.811705805144996</v>
      </c>
      <c r="AM1277">
        <v>79.460251513469203</v>
      </c>
      <c r="AN1277">
        <v>1.0000000060312499</v>
      </c>
    </row>
    <row r="1278" spans="1:40" x14ac:dyDescent="0.25">
      <c r="A1278" t="str">
        <f>"20190305135815121"</f>
        <v>20190305135815121</v>
      </c>
      <c r="B1278" t="str">
        <f>"1551765495110381"</f>
        <v>1551765495110381</v>
      </c>
      <c r="C1278" t="s">
        <v>40</v>
      </c>
      <c r="D1278">
        <v>4.1236069999999998</v>
      </c>
      <c r="E1278">
        <v>0.63878669999999904</v>
      </c>
      <c r="F1278" t="s">
        <v>50</v>
      </c>
      <c r="G1278">
        <v>-196.89109999999999</v>
      </c>
      <c r="H1278" s="1">
        <v>-2.1923280000000001E-6</v>
      </c>
      <c r="I1278">
        <v>350.2088</v>
      </c>
      <c r="J1278">
        <v>-198.55439999999999</v>
      </c>
      <c r="K1278">
        <v>1.0996900000000001</v>
      </c>
      <c r="L1278">
        <v>360.53</v>
      </c>
      <c r="M1278">
        <v>0.64782569999999995</v>
      </c>
      <c r="N1278">
        <v>-1.5864469999999999E-2</v>
      </c>
      <c r="O1278">
        <v>-0.76162339999999995</v>
      </c>
      <c r="P1278">
        <v>0.497527</v>
      </c>
      <c r="Q1278">
        <v>-6.1614170000000003E-2</v>
      </c>
      <c r="R1278">
        <v>-0.86525779999999997</v>
      </c>
      <c r="S1278">
        <v>0.53225710000000004</v>
      </c>
      <c r="T1278">
        <v>-0.33076820000000001</v>
      </c>
      <c r="U1278">
        <v>-3.1454469999999999</v>
      </c>
      <c r="V1278">
        <v>0.1804646</v>
      </c>
      <c r="W1278">
        <v>-5.0414830000000001E-2</v>
      </c>
      <c r="X1278">
        <v>0.98228859999999996</v>
      </c>
      <c r="Y1278">
        <v>0.51112329999999995</v>
      </c>
      <c r="Z1278">
        <v>4.5390420000000001E-2</v>
      </c>
      <c r="AA1278">
        <v>0.85830799999999996</v>
      </c>
      <c r="AB1278">
        <v>27</v>
      </c>
      <c r="AC1278">
        <v>1.66329999999999</v>
      </c>
      <c r="AD1278">
        <v>-1.0996921923280001</v>
      </c>
      <c r="AE1278">
        <v>-10.3211999999999</v>
      </c>
      <c r="AF1278">
        <v>5.3608947804675999</v>
      </c>
      <c r="AG1278">
        <v>-1.0996921923280001</v>
      </c>
      <c r="AH1278">
        <v>8.8416885581728693</v>
      </c>
      <c r="AI1278">
        <v>96.070796658323005</v>
      </c>
      <c r="AJ1278">
        <v>58.770718532982499</v>
      </c>
      <c r="AK1278">
        <v>10.3982677559696</v>
      </c>
      <c r="AL1278">
        <v>92.889781974926706</v>
      </c>
      <c r="AM1278">
        <v>79.589792175651397</v>
      </c>
      <c r="AN1278">
        <v>1.00000001031352</v>
      </c>
    </row>
    <row r="1279" spans="1:40" x14ac:dyDescent="0.25">
      <c r="A1279" t="str">
        <f>"20190305135815141"</f>
        <v>20190305135815141</v>
      </c>
      <c r="B1279" t="str">
        <f>"1551765495129901"</f>
        <v>1551765495129901</v>
      </c>
      <c r="C1279" t="s">
        <v>40</v>
      </c>
      <c r="D1279">
        <v>4.1157089999999998</v>
      </c>
      <c r="E1279">
        <v>0.63952569999999997</v>
      </c>
      <c r="F1279" t="s">
        <v>50</v>
      </c>
      <c r="G1279">
        <v>-196.90029999999999</v>
      </c>
      <c r="H1279" s="1">
        <v>-2.26281E-6</v>
      </c>
      <c r="I1279">
        <v>350.32369999999997</v>
      </c>
      <c r="J1279">
        <v>-198.40389999999999</v>
      </c>
      <c r="K1279">
        <v>1.0998540000000001</v>
      </c>
      <c r="L1279">
        <v>360.33390000000003</v>
      </c>
      <c r="M1279">
        <v>0.63894249999999997</v>
      </c>
      <c r="N1279">
        <v>-1.5807249999999998E-2</v>
      </c>
      <c r="O1279">
        <v>-0.76909209999999995</v>
      </c>
      <c r="P1279">
        <v>0.48937150000000001</v>
      </c>
      <c r="Q1279">
        <v>-6.3171359999999996E-2</v>
      </c>
      <c r="R1279">
        <v>-0.86978449999999996</v>
      </c>
      <c r="S1279">
        <v>0.51043700000000003</v>
      </c>
      <c r="T1279">
        <v>-0.33934999999999998</v>
      </c>
      <c r="U1279">
        <v>-3.1495060000000001</v>
      </c>
      <c r="V1279">
        <v>0.1782089</v>
      </c>
      <c r="W1279">
        <v>-5.1898369999999999E-2</v>
      </c>
      <c r="X1279">
        <v>0.98262309999999997</v>
      </c>
      <c r="Y1279">
        <v>0.50712979999999996</v>
      </c>
      <c r="Z1279">
        <v>4.8150030000000003E-2</v>
      </c>
      <c r="AA1279">
        <v>0.86052359999999894</v>
      </c>
      <c r="AB1279">
        <v>27</v>
      </c>
      <c r="AC1279">
        <v>1.5036</v>
      </c>
      <c r="AD1279">
        <v>-1.0998562628099999</v>
      </c>
      <c r="AE1279">
        <v>-10.010199999999999</v>
      </c>
      <c r="AF1279">
        <v>5.1790469652443996</v>
      </c>
      <c r="AG1279">
        <v>-1.0998562628099999</v>
      </c>
      <c r="AH1279">
        <v>8.5595094084855496</v>
      </c>
      <c r="AI1279">
        <v>96.273755392988505</v>
      </c>
      <c r="AJ1279">
        <v>58.823397270595301</v>
      </c>
      <c r="AK1279">
        <v>10.0646615730983</v>
      </c>
      <c r="AL1279">
        <v>92.974894021179594</v>
      </c>
      <c r="AM1279">
        <v>79.720546256976903</v>
      </c>
      <c r="AN1279">
        <v>1.00000000475073</v>
      </c>
    </row>
    <row r="1280" spans="1:40" x14ac:dyDescent="0.25">
      <c r="A1280" t="str">
        <f>"20190305135815163"</f>
        <v>20190305135815163</v>
      </c>
      <c r="B1280" t="str">
        <f>"1551765495160157"</f>
        <v>1551765495160157</v>
      </c>
      <c r="C1280" t="s">
        <v>40</v>
      </c>
      <c r="D1280">
        <v>4.0979000000000001</v>
      </c>
      <c r="E1280">
        <v>0.63518529999999995</v>
      </c>
      <c r="F1280" t="s">
        <v>50</v>
      </c>
      <c r="G1280">
        <v>-196.8691</v>
      </c>
      <c r="H1280" s="1">
        <v>-2.1531300000000002E-6</v>
      </c>
      <c r="I1280">
        <v>350.1524</v>
      </c>
      <c r="J1280">
        <v>-198.24680000000001</v>
      </c>
      <c r="K1280">
        <v>1.1000299999999901</v>
      </c>
      <c r="L1280">
        <v>360.12419999999997</v>
      </c>
      <c r="M1280">
        <v>0.62956469999999998</v>
      </c>
      <c r="N1280">
        <v>-1.574909E-2</v>
      </c>
      <c r="O1280">
        <v>-0.77678840000000005</v>
      </c>
      <c r="P1280">
        <v>0.48028320000000002</v>
      </c>
      <c r="Q1280">
        <v>-6.3457700000000006E-2</v>
      </c>
      <c r="R1280">
        <v>-0.87481520000000002</v>
      </c>
      <c r="S1280">
        <v>0.47583009999999898</v>
      </c>
      <c r="T1280">
        <v>-0.3409992</v>
      </c>
      <c r="U1280">
        <v>-3.156647</v>
      </c>
      <c r="V1280">
        <v>0.17652579999999901</v>
      </c>
      <c r="W1280">
        <v>-5.2125169999999998E-2</v>
      </c>
      <c r="X1280">
        <v>0.98291490000000004</v>
      </c>
      <c r="Y1280">
        <v>0.50620779999999999</v>
      </c>
      <c r="Z1280">
        <v>4.9526830000000001E-2</v>
      </c>
      <c r="AA1280">
        <v>0.86098829999999904</v>
      </c>
      <c r="AB1280">
        <v>27</v>
      </c>
      <c r="AC1280">
        <v>1.3776999999999999</v>
      </c>
      <c r="AD1280">
        <v>-1.1000321531299999</v>
      </c>
      <c r="AE1280">
        <v>-9.9717999999999698</v>
      </c>
      <c r="AF1280">
        <v>5.14689726769556</v>
      </c>
      <c r="AG1280">
        <v>-1.1000321531299999</v>
      </c>
      <c r="AH1280">
        <v>8.5127450925846908</v>
      </c>
      <c r="AI1280">
        <v>96.310198392097405</v>
      </c>
      <c r="AJ1280">
        <v>58.842390738617297</v>
      </c>
      <c r="AK1280">
        <v>10.0083690596148</v>
      </c>
      <c r="AL1280">
        <v>92.987906193003795</v>
      </c>
      <c r="AM1280">
        <v>79.818549673804995</v>
      </c>
      <c r="AN1280">
        <v>1.00000004602758</v>
      </c>
    </row>
    <row r="1281" spans="1:40" x14ac:dyDescent="0.25">
      <c r="A1281" t="str">
        <f>"20190305135815185"</f>
        <v>20190305135815185</v>
      </c>
      <c r="B1281" t="str">
        <f>"1551765495179677"</f>
        <v>1551765495179677</v>
      </c>
      <c r="C1281" t="s">
        <v>40</v>
      </c>
      <c r="D1281">
        <v>4.1027230000000001</v>
      </c>
      <c r="E1281">
        <v>0.63713960000000003</v>
      </c>
      <c r="F1281" t="s">
        <v>42</v>
      </c>
      <c r="G1281">
        <v>-196.17189999999999</v>
      </c>
      <c r="H1281" s="1">
        <v>-4.3720169999999996E-6</v>
      </c>
      <c r="I1281">
        <v>346.61709999999999</v>
      </c>
      <c r="J1281">
        <v>-198.08600000000001</v>
      </c>
      <c r="K1281">
        <v>1.1002160000000001</v>
      </c>
      <c r="L1281">
        <v>359.9042</v>
      </c>
      <c r="M1281">
        <v>0.61984079999999997</v>
      </c>
      <c r="N1281">
        <v>-1.5690780000000001E-2</v>
      </c>
      <c r="O1281">
        <v>-0.78457069999999995</v>
      </c>
      <c r="P1281">
        <v>0.47087030000000002</v>
      </c>
      <c r="Q1281">
        <v>-6.2090670000000001E-2</v>
      </c>
      <c r="R1281">
        <v>-0.88001509999999905</v>
      </c>
      <c r="S1281">
        <v>0.48318480000000003</v>
      </c>
      <c r="T1281">
        <v>-0.25616529999999998</v>
      </c>
      <c r="U1281">
        <v>-3.145416</v>
      </c>
      <c r="V1281">
        <v>0.17494179999999901</v>
      </c>
      <c r="W1281">
        <v>-5.069821E-2</v>
      </c>
      <c r="X1281">
        <v>0.98327260000000005</v>
      </c>
      <c r="Y1281">
        <v>0.49314229999999998</v>
      </c>
      <c r="Z1281">
        <v>3.5020950000000002E-2</v>
      </c>
      <c r="AA1281">
        <v>0.86924349999999995</v>
      </c>
      <c r="AB1281">
        <v>27</v>
      </c>
      <c r="AC1281">
        <v>1.9140999999999899</v>
      </c>
      <c r="AD1281">
        <v>-1.1002203720170001</v>
      </c>
      <c r="AE1281">
        <v>-13.287100000000001</v>
      </c>
      <c r="AF1281">
        <v>6.6900317670245597</v>
      </c>
      <c r="AG1281">
        <v>-1.1002203720170001</v>
      </c>
      <c r="AH1281">
        <v>11.535054679506599</v>
      </c>
      <c r="AI1281">
        <v>94.716683338901404</v>
      </c>
      <c r="AJ1281">
        <v>59.887381698049097</v>
      </c>
      <c r="AK1281">
        <v>13.3800036012703</v>
      </c>
      <c r="AL1281">
        <v>92.906039348498894</v>
      </c>
      <c r="AM1281">
        <v>79.911619533093102</v>
      </c>
      <c r="AN1281">
        <v>0.99999997389760098</v>
      </c>
    </row>
    <row r="1282" spans="1:40" x14ac:dyDescent="0.25">
      <c r="A1282" t="str">
        <f>"20190305135815200"</f>
        <v>20190305135815200</v>
      </c>
      <c r="B1282" t="str">
        <f>"1551765495189437"</f>
        <v>1551765495189437</v>
      </c>
      <c r="C1282" t="s">
        <v>40</v>
      </c>
      <c r="D1282">
        <v>4.094328</v>
      </c>
      <c r="E1282">
        <v>0.63686540000000003</v>
      </c>
      <c r="F1282" t="s">
        <v>42</v>
      </c>
      <c r="G1282">
        <v>-196.0471</v>
      </c>
      <c r="H1282" s="1">
        <v>-3.8582970000000001E-6</v>
      </c>
      <c r="I1282">
        <v>345.17250000000001</v>
      </c>
      <c r="J1282">
        <v>-197.97819999999999</v>
      </c>
      <c r="K1282">
        <v>1.100344</v>
      </c>
      <c r="L1282">
        <v>359.75409999999999</v>
      </c>
      <c r="M1282">
        <v>0.61325799999999997</v>
      </c>
      <c r="N1282">
        <v>-1.5652340000000001E-2</v>
      </c>
      <c r="O1282">
        <v>-0.78972779999999998</v>
      </c>
      <c r="P1282">
        <v>0.4644182</v>
      </c>
      <c r="Q1282">
        <v>-6.1479970000000002E-2</v>
      </c>
      <c r="R1282">
        <v>-0.88347969999999898</v>
      </c>
      <c r="S1282">
        <v>0.43713380000000002</v>
      </c>
      <c r="T1282">
        <v>-0.2358876</v>
      </c>
      <c r="U1282">
        <v>-3.1584780000000001</v>
      </c>
      <c r="V1282">
        <v>0.1739684</v>
      </c>
      <c r="W1282">
        <v>-5.0048700000000002E-2</v>
      </c>
      <c r="X1282">
        <v>0.98347850000000003</v>
      </c>
      <c r="Y1282">
        <v>0.49883</v>
      </c>
      <c r="Z1282">
        <v>3.1296190000000002E-2</v>
      </c>
      <c r="AA1282">
        <v>0.86613459999999998</v>
      </c>
      <c r="AB1282">
        <v>27</v>
      </c>
      <c r="AC1282">
        <v>1.9310999999999801</v>
      </c>
      <c r="AD1282">
        <v>-1.1003478582970001</v>
      </c>
      <c r="AE1282">
        <v>-14.5815999999999</v>
      </c>
      <c r="AF1282">
        <v>7.3768639702412999</v>
      </c>
      <c r="AG1282">
        <v>-1.1003478582970001</v>
      </c>
      <c r="AH1282">
        <v>12.630626651321601</v>
      </c>
      <c r="AI1282">
        <v>94.302079098753794</v>
      </c>
      <c r="AJ1282">
        <v>59.713116526113303</v>
      </c>
      <c r="AK1282">
        <v>14.6683883589772</v>
      </c>
      <c r="AL1282">
        <v>92.868778019578301</v>
      </c>
      <c r="AM1282">
        <v>79.968666931233599</v>
      </c>
      <c r="AN1282">
        <v>0.99999991826624601</v>
      </c>
    </row>
    <row r="1283" spans="1:40" x14ac:dyDescent="0.25">
      <c r="A1283" t="str">
        <f>"20190305135815219"</f>
        <v>20190305135815219</v>
      </c>
      <c r="B1283" t="str">
        <f>"1551765495209933"</f>
        <v>1551765495209933</v>
      </c>
      <c r="C1283" t="s">
        <v>40</v>
      </c>
      <c r="D1283">
        <v>4.0912129999999998</v>
      </c>
      <c r="E1283">
        <v>0.63584830000000003</v>
      </c>
      <c r="F1283" t="s">
        <v>42</v>
      </c>
      <c r="G1283">
        <v>-195.97380000000001</v>
      </c>
      <c r="H1283" s="1">
        <v>-3.6302910000000002E-6</v>
      </c>
      <c r="I1283">
        <v>344.54079999999999</v>
      </c>
      <c r="J1283">
        <v>-197.84100000000001</v>
      </c>
      <c r="K1283">
        <v>1.1005259999999999</v>
      </c>
      <c r="L1283">
        <v>359.55869999999999</v>
      </c>
      <c r="M1283">
        <v>0.6048038</v>
      </c>
      <c r="N1283">
        <v>-1.56031E-2</v>
      </c>
      <c r="O1283">
        <v>-0.79622169999999903</v>
      </c>
      <c r="P1283">
        <v>0.45611360000000001</v>
      </c>
      <c r="Q1283">
        <v>-5.8823779999999999E-2</v>
      </c>
      <c r="R1283">
        <v>-0.88797539999999997</v>
      </c>
      <c r="S1283">
        <v>0.4164581</v>
      </c>
      <c r="T1283">
        <v>-0.22861409999999999</v>
      </c>
      <c r="U1283">
        <v>-3.1607970000000001</v>
      </c>
      <c r="V1283">
        <v>0.17289280000000001</v>
      </c>
      <c r="W1283">
        <v>-4.73417E-2</v>
      </c>
      <c r="X1283">
        <v>0.98380230000000002</v>
      </c>
      <c r="Y1283">
        <v>0.49525970000000002</v>
      </c>
      <c r="Z1283">
        <v>3.0605739999999999E-2</v>
      </c>
      <c r="AA1283">
        <v>0.86820569999999897</v>
      </c>
      <c r="AB1283">
        <v>27</v>
      </c>
      <c r="AC1283">
        <v>1.86719999999996</v>
      </c>
      <c r="AD1283">
        <v>-1.1005296302909999</v>
      </c>
      <c r="AE1283">
        <v>-15.0178999999999</v>
      </c>
      <c r="AF1283">
        <v>7.5571372910575896</v>
      </c>
      <c r="AG1283">
        <v>-1.1005296302909999</v>
      </c>
      <c r="AH1283">
        <v>13.0196075978421</v>
      </c>
      <c r="AI1283">
        <v>94.181218517621801</v>
      </c>
      <c r="AJ1283">
        <v>59.867286884307802</v>
      </c>
      <c r="AK1283">
        <v>15.0940939279186</v>
      </c>
      <c r="AL1283">
        <v>92.713493680200202</v>
      </c>
      <c r="AM1283">
        <v>80.032655485760102</v>
      </c>
      <c r="AN1283">
        <v>1.000000061168</v>
      </c>
    </row>
    <row r="1284" spans="1:40" x14ac:dyDescent="0.25">
      <c r="A1284" t="str">
        <f>"20190305135815242"</f>
        <v>20190305135815242</v>
      </c>
      <c r="B1284" t="str">
        <f>"1551765495229453"</f>
        <v>1551765495229453</v>
      </c>
      <c r="C1284" t="s">
        <v>40</v>
      </c>
      <c r="D1284">
        <v>4.094233</v>
      </c>
      <c r="E1284">
        <v>0.63500579999999995</v>
      </c>
      <c r="F1284" t="s">
        <v>42</v>
      </c>
      <c r="G1284">
        <v>-195.8699</v>
      </c>
      <c r="H1284" s="1">
        <v>-3.3386309999999999E-6</v>
      </c>
      <c r="I1284">
        <v>343.73779999999999</v>
      </c>
      <c r="J1284">
        <v>-197.68600000000001</v>
      </c>
      <c r="K1284">
        <v>1.1007549999999999</v>
      </c>
      <c r="L1284">
        <v>359.33280000000002</v>
      </c>
      <c r="M1284">
        <v>0.59518990000000005</v>
      </c>
      <c r="N1284">
        <v>-1.554523E-2</v>
      </c>
      <c r="O1284">
        <v>-0.80343469999999995</v>
      </c>
      <c r="P1284">
        <v>0.44644149999999999</v>
      </c>
      <c r="Q1284">
        <v>-5.6453469999999999E-2</v>
      </c>
      <c r="R1284">
        <v>-0.89303009999999905</v>
      </c>
      <c r="S1284">
        <v>0.39389039999999997</v>
      </c>
      <c r="T1284">
        <v>-0.21992800000000001</v>
      </c>
      <c r="U1284">
        <v>-3.1616209999999998</v>
      </c>
      <c r="V1284">
        <v>0.17191970000000001</v>
      </c>
      <c r="W1284">
        <v>-4.4914320000000001E-2</v>
      </c>
      <c r="X1284">
        <v>0.98408649999999998</v>
      </c>
      <c r="Y1284">
        <v>0.49096410000000001</v>
      </c>
      <c r="Z1284">
        <v>2.9697500000000002E-2</v>
      </c>
      <c r="AA1284">
        <v>0.87067349999999999</v>
      </c>
      <c r="AB1284">
        <v>27</v>
      </c>
      <c r="AC1284">
        <v>1.8160999999999701</v>
      </c>
      <c r="AD1284">
        <v>-1.100758338631</v>
      </c>
      <c r="AE1284">
        <v>-15.595000000000001</v>
      </c>
      <c r="AF1284">
        <v>7.7855447241276599</v>
      </c>
      <c r="AG1284">
        <v>-1.100758338631</v>
      </c>
      <c r="AH1284">
        <v>13.545550967615799</v>
      </c>
      <c r="AI1284">
        <v>94.030107627020797</v>
      </c>
      <c r="AJ1284">
        <v>60.111103273797603</v>
      </c>
      <c r="AK1284">
        <v>15.662321877286701</v>
      </c>
      <c r="AL1284">
        <v>92.574267085212</v>
      </c>
      <c r="AM1284">
        <v>80.090445265635395</v>
      </c>
      <c r="AN1284">
        <v>0.99999995943569997</v>
      </c>
    </row>
    <row r="1285" spans="1:40" x14ac:dyDescent="0.25">
      <c r="A1285" t="str">
        <f>"20190305135815256"</f>
        <v>20190305135815256</v>
      </c>
      <c r="B1285" t="str">
        <f>"1551765495249950"</f>
        <v>1551765495249950</v>
      </c>
      <c r="C1285" t="s">
        <v>40</v>
      </c>
      <c r="D1285">
        <v>4.0498010000000004</v>
      </c>
      <c r="E1285">
        <v>0.63378159999999995</v>
      </c>
      <c r="F1285" t="s">
        <v>42</v>
      </c>
      <c r="G1285">
        <v>-195.72329999999999</v>
      </c>
      <c r="H1285" s="1">
        <v>-2.721266E-6</v>
      </c>
      <c r="I1285">
        <v>342.3827</v>
      </c>
      <c r="J1285">
        <v>-197.58580000000001</v>
      </c>
      <c r="K1285">
        <v>1.100903</v>
      </c>
      <c r="L1285">
        <v>359.18400000000003</v>
      </c>
      <c r="M1285">
        <v>0.5889489</v>
      </c>
      <c r="N1285">
        <v>-1.5506539999999999E-2</v>
      </c>
      <c r="O1285">
        <v>-0.8080214</v>
      </c>
      <c r="P1285">
        <v>0.4402529</v>
      </c>
      <c r="Q1285">
        <v>-5.5579339999999998E-2</v>
      </c>
      <c r="R1285">
        <v>-0.89615210000000001</v>
      </c>
      <c r="S1285">
        <v>0.36628719999999998</v>
      </c>
      <c r="T1285">
        <v>-0.20543049999999999</v>
      </c>
      <c r="U1285">
        <v>-3.1633300000000002</v>
      </c>
      <c r="V1285">
        <v>0.1711715</v>
      </c>
      <c r="W1285">
        <v>-4.3998179999999998E-2</v>
      </c>
      <c r="X1285">
        <v>0.98425839999999998</v>
      </c>
      <c r="Y1285">
        <v>0.49178640000000001</v>
      </c>
      <c r="Z1285">
        <v>2.7154540000000001E-2</v>
      </c>
      <c r="AA1285">
        <v>0.87029239999999997</v>
      </c>
      <c r="AB1285">
        <v>27</v>
      </c>
      <c r="AC1285">
        <v>1.86250000000001</v>
      </c>
      <c r="AD1285">
        <v>-1.1009057212660001</v>
      </c>
      <c r="AE1285">
        <v>-16.801300000000001</v>
      </c>
      <c r="AF1285">
        <v>8.3557367671848297</v>
      </c>
      <c r="AG1285">
        <v>-1.1009057212660001</v>
      </c>
      <c r="AH1285">
        <v>14.6125151540482</v>
      </c>
      <c r="AI1285">
        <v>93.741947743865396</v>
      </c>
      <c r="AJ1285">
        <v>60.238190213253297</v>
      </c>
      <c r="AK1285">
        <v>16.868785654482899</v>
      </c>
      <c r="AL1285">
        <v>92.521723924259703</v>
      </c>
      <c r="AM1285">
        <v>80.134411945357002</v>
      </c>
      <c r="AN1285">
        <v>1.0000000601130501</v>
      </c>
    </row>
    <row r="1286" spans="1:40" x14ac:dyDescent="0.25">
      <c r="A1286" t="str">
        <f>"20190305135815278"</f>
        <v>20190305135815278</v>
      </c>
      <c r="B1286" t="str">
        <f>"1551765495269469"</f>
        <v>1551765495269469</v>
      </c>
      <c r="C1286" t="s">
        <v>40</v>
      </c>
      <c r="D1286">
        <v>4.0716269999999897</v>
      </c>
      <c r="E1286">
        <v>0.6326505</v>
      </c>
      <c r="F1286" t="s">
        <v>42</v>
      </c>
      <c r="G1286">
        <v>-195.6626</v>
      </c>
      <c r="H1286" s="1">
        <v>-2.5267349999999998E-6</v>
      </c>
      <c r="I1286">
        <v>341.96690000000001</v>
      </c>
      <c r="J1286">
        <v>-197.44139999999999</v>
      </c>
      <c r="K1286">
        <v>1.101148</v>
      </c>
      <c r="L1286">
        <v>358.96550000000002</v>
      </c>
      <c r="M1286">
        <v>0.57993989999999995</v>
      </c>
      <c r="N1286">
        <v>-1.544793E-2</v>
      </c>
      <c r="O1286">
        <v>-0.81451289999999998</v>
      </c>
      <c r="P1286">
        <v>0.43210110000000002</v>
      </c>
      <c r="Q1286">
        <v>-5.524014E-2</v>
      </c>
      <c r="R1286">
        <v>-0.90013180000000004</v>
      </c>
      <c r="S1286">
        <v>0.35317989999999999</v>
      </c>
      <c r="T1286">
        <v>-0.2021645</v>
      </c>
      <c r="U1286">
        <v>-3.1616520000000001</v>
      </c>
      <c r="V1286">
        <v>0.16921849999999999</v>
      </c>
      <c r="W1286">
        <v>-4.3574509999999997E-2</v>
      </c>
      <c r="X1286">
        <v>0.98461480000000001</v>
      </c>
      <c r="Y1286">
        <v>0.48563230000000002</v>
      </c>
      <c r="Z1286">
        <v>2.725516E-2</v>
      </c>
      <c r="AA1286">
        <v>0.87373819999999902</v>
      </c>
      <c r="AB1286">
        <v>27</v>
      </c>
      <c r="AC1286">
        <v>1.77879999999998</v>
      </c>
      <c r="AD1286">
        <v>-1.1011505267349999</v>
      </c>
      <c r="AE1286">
        <v>-16.9986</v>
      </c>
      <c r="AF1286">
        <v>8.3755479493590492</v>
      </c>
      <c r="AG1286">
        <v>-1.1011505267349999</v>
      </c>
      <c r="AH1286">
        <v>14.817445089395999</v>
      </c>
      <c r="AI1286">
        <v>93.7015653119512</v>
      </c>
      <c r="AJ1286">
        <v>60.522732805404502</v>
      </c>
      <c r="AK1286">
        <v>17.0563482290849</v>
      </c>
      <c r="AL1286">
        <v>92.497426340437798</v>
      </c>
      <c r="AM1286">
        <v>80.248262854091195</v>
      </c>
      <c r="AN1286">
        <v>0.99999997152151399</v>
      </c>
    </row>
    <row r="1287" spans="1:40" x14ac:dyDescent="0.25">
      <c r="A1287" t="str">
        <f>"20190305135815301"</f>
        <v>20190305135815301</v>
      </c>
      <c r="B1287" t="str">
        <f>"1551765495289966"</f>
        <v>1551765495289966</v>
      </c>
      <c r="C1287" t="s">
        <v>40</v>
      </c>
      <c r="D1287">
        <v>4.0759210000000001</v>
      </c>
      <c r="E1287">
        <v>0.63196180000000002</v>
      </c>
      <c r="F1287" t="s">
        <v>42</v>
      </c>
      <c r="G1287">
        <v>-195.62860000000001</v>
      </c>
      <c r="H1287" s="1">
        <v>-2.4141750000000001E-6</v>
      </c>
      <c r="I1287">
        <v>341.72559999999999</v>
      </c>
      <c r="J1287">
        <v>-197.29429999999999</v>
      </c>
      <c r="K1287">
        <v>1.1014489999999999</v>
      </c>
      <c r="L1287">
        <v>358.73750000000001</v>
      </c>
      <c r="M1287">
        <v>0.57083569999999995</v>
      </c>
      <c r="N1287">
        <v>-1.5382420000000001E-2</v>
      </c>
      <c r="O1287">
        <v>-0.82092049999999905</v>
      </c>
      <c r="P1287">
        <v>0.4244983</v>
      </c>
      <c r="Q1287">
        <v>-5.5497829999999998E-2</v>
      </c>
      <c r="R1287">
        <v>-0.90372680000000005</v>
      </c>
      <c r="S1287">
        <v>0.33238220000000002</v>
      </c>
      <c r="T1287">
        <v>-0.20189380000000001</v>
      </c>
      <c r="U1287">
        <v>-3.1608890000000001</v>
      </c>
      <c r="V1287">
        <v>0.16657149999999901</v>
      </c>
      <c r="W1287">
        <v>-4.3719969999999997E-2</v>
      </c>
      <c r="X1287">
        <v>0.98505960000000004</v>
      </c>
      <c r="Y1287">
        <v>0.4815642</v>
      </c>
      <c r="Z1287">
        <v>2.7906630000000002E-2</v>
      </c>
      <c r="AA1287">
        <v>0.87596640000000003</v>
      </c>
      <c r="AB1287">
        <v>27</v>
      </c>
      <c r="AC1287">
        <v>1.66569999999998</v>
      </c>
      <c r="AD1287">
        <v>-1.10145141417499</v>
      </c>
      <c r="AE1287">
        <v>-17.011900000000001</v>
      </c>
      <c r="AF1287">
        <v>8.3100725346827193</v>
      </c>
      <c r="AG1287">
        <v>-1.10145141417499</v>
      </c>
      <c r="AH1287">
        <v>14.856333036433499</v>
      </c>
      <c r="AI1287">
        <v>93.7021823926774</v>
      </c>
      <c r="AJ1287">
        <v>60.778996264237499</v>
      </c>
      <c r="AK1287">
        <v>17.0581690705333</v>
      </c>
      <c r="AL1287">
        <v>92.505768568816606</v>
      </c>
      <c r="AM1287">
        <v>80.402197448834599</v>
      </c>
      <c r="AN1287">
        <v>0.99999995797060404</v>
      </c>
    </row>
    <row r="1288" spans="1:40" x14ac:dyDescent="0.25">
      <c r="A1288" t="str">
        <f>"20190305135815321"</f>
        <v>20190305135815321</v>
      </c>
      <c r="B1288" t="str">
        <f>"1551765495309485"</f>
        <v>1551765495309485</v>
      </c>
      <c r="C1288" t="s">
        <v>40</v>
      </c>
      <c r="D1288">
        <v>4.0707269999999998</v>
      </c>
      <c r="E1288">
        <v>0.62069370000000001</v>
      </c>
      <c r="F1288" t="s">
        <v>42</v>
      </c>
      <c r="G1288">
        <v>-195.6318</v>
      </c>
      <c r="H1288" s="1">
        <v>-2.4524119999999999E-6</v>
      </c>
      <c r="I1288">
        <v>341.81279999999998</v>
      </c>
      <c r="J1288">
        <v>-197.16300000000001</v>
      </c>
      <c r="K1288">
        <v>1.101753</v>
      </c>
      <c r="L1288">
        <v>358.5301</v>
      </c>
      <c r="M1288">
        <v>0.56281409999999998</v>
      </c>
      <c r="N1288">
        <v>-1.531857E-2</v>
      </c>
      <c r="O1288">
        <v>-0.82644169999999995</v>
      </c>
      <c r="P1288">
        <v>0.41860799999999998</v>
      </c>
      <c r="Q1288">
        <v>-5.4399410000000002E-2</v>
      </c>
      <c r="R1288">
        <v>-0.90653660000000003</v>
      </c>
      <c r="S1288">
        <v>0.31051640000000003</v>
      </c>
      <c r="T1288">
        <v>-0.20572509999999999</v>
      </c>
      <c r="U1288">
        <v>-3.161133</v>
      </c>
      <c r="V1288">
        <v>0.16347900000000001</v>
      </c>
      <c r="W1288">
        <v>-4.2498050000000002E-2</v>
      </c>
      <c r="X1288">
        <v>0.98563100000000003</v>
      </c>
      <c r="Y1288">
        <v>0.47903410000000002</v>
      </c>
      <c r="Z1288">
        <v>2.9310929999999999E-2</v>
      </c>
      <c r="AA1288">
        <v>0.87730680000000005</v>
      </c>
      <c r="AB1288">
        <v>27</v>
      </c>
      <c r="AC1288">
        <v>1.5311999999999799</v>
      </c>
      <c r="AD1288">
        <v>-1.1017554524119999</v>
      </c>
      <c r="AE1288">
        <v>-16.717300000000002</v>
      </c>
      <c r="AF1288">
        <v>8.1093095944836797</v>
      </c>
      <c r="AG1288">
        <v>-1.1017554524119999</v>
      </c>
      <c r="AH1288">
        <v>14.6164173616366</v>
      </c>
      <c r="AI1288">
        <v>93.771086125532506</v>
      </c>
      <c r="AJ1288">
        <v>60.978123310296603</v>
      </c>
      <c r="AK1288">
        <v>16.751549888462801</v>
      </c>
      <c r="AL1288">
        <v>92.435692533865904</v>
      </c>
      <c r="AM1288">
        <v>80.582526250529</v>
      </c>
      <c r="AN1288">
        <v>0.99999996792790002</v>
      </c>
    </row>
    <row r="1289" spans="1:40" x14ac:dyDescent="0.25">
      <c r="A1289" t="str">
        <f>"20190305135815342"</f>
        <v>20190305135815342</v>
      </c>
      <c r="B1289" t="str">
        <f>"1551765495329981"</f>
        <v>1551765495329981</v>
      </c>
      <c r="C1289" t="s">
        <v>40</v>
      </c>
      <c r="D1289">
        <v>4.0594580000000002</v>
      </c>
      <c r="E1289">
        <v>0.61941800000000002</v>
      </c>
      <c r="F1289" t="s">
        <v>42</v>
      </c>
      <c r="G1289">
        <v>-195.13550000000001</v>
      </c>
      <c r="H1289" s="1">
        <v>-2.1844659999999999E-6</v>
      </c>
      <c r="I1289">
        <v>341.49599999999998</v>
      </c>
      <c r="J1289">
        <v>-197.02629999999999</v>
      </c>
      <c r="K1289">
        <v>1.1020669999999999</v>
      </c>
      <c r="L1289">
        <v>358.3098</v>
      </c>
      <c r="M1289">
        <v>0.55454399999999904</v>
      </c>
      <c r="N1289">
        <v>-1.524942E-2</v>
      </c>
      <c r="O1289">
        <v>-0.832014899999999</v>
      </c>
      <c r="P1289">
        <v>0.41243079999999999</v>
      </c>
      <c r="Q1289">
        <v>-5.217815E-2</v>
      </c>
      <c r="R1289">
        <v>-0.90949380000000002</v>
      </c>
      <c r="S1289">
        <v>0.37199399999999999</v>
      </c>
      <c r="T1289">
        <v>-0.2021461</v>
      </c>
      <c r="U1289">
        <v>-3.1253660000000001</v>
      </c>
      <c r="V1289">
        <v>0.16049949999999999</v>
      </c>
      <c r="W1289">
        <v>-4.0160170000000002E-2</v>
      </c>
      <c r="X1289">
        <v>0.98621859999999995</v>
      </c>
      <c r="Y1289">
        <v>0.45207350000000002</v>
      </c>
      <c r="Z1289">
        <v>3.0160090000000001E-2</v>
      </c>
      <c r="AA1289">
        <v>0.89147069999999995</v>
      </c>
      <c r="AB1289">
        <v>27</v>
      </c>
      <c r="AC1289">
        <v>1.8907999999999801</v>
      </c>
      <c r="AD1289">
        <v>-1.102069184466</v>
      </c>
      <c r="AE1289">
        <v>-16.813800000000001</v>
      </c>
      <c r="AF1289">
        <v>7.7189697884838502</v>
      </c>
      <c r="AG1289">
        <v>-1.102069184466</v>
      </c>
      <c r="AH1289">
        <v>14.9760728838109</v>
      </c>
      <c r="AI1289">
        <v>93.742459614916598</v>
      </c>
      <c r="AJ1289">
        <v>62.732509142745101</v>
      </c>
      <c r="AK1289">
        <v>16.884306621952</v>
      </c>
      <c r="AL1289">
        <v>92.301627156760603</v>
      </c>
      <c r="AM1289">
        <v>80.756587721478098</v>
      </c>
      <c r="AN1289">
        <v>1.0000000278703101</v>
      </c>
    </row>
    <row r="1290" spans="1:40" x14ac:dyDescent="0.25">
      <c r="A1290" t="str">
        <f>"20190305135815357"</f>
        <v>20190305135815357</v>
      </c>
      <c r="B1290" t="str">
        <f>"1551765495349501"</f>
        <v>1551765495349501</v>
      </c>
      <c r="C1290" t="s">
        <v>40</v>
      </c>
      <c r="D1290">
        <v>4.0634819999999996</v>
      </c>
      <c r="E1290">
        <v>0.61858679999999999</v>
      </c>
      <c r="F1290" t="s">
        <v>42</v>
      </c>
      <c r="G1290">
        <v>-195.0385</v>
      </c>
      <c r="H1290" s="1">
        <v>-1.9651850000000001E-6</v>
      </c>
      <c r="I1290">
        <v>341.04500000000002</v>
      </c>
      <c r="J1290">
        <v>-196.9308</v>
      </c>
      <c r="K1290">
        <v>1.102276</v>
      </c>
      <c r="L1290">
        <v>358.15370000000001</v>
      </c>
      <c r="M1290">
        <v>0.54882030000000004</v>
      </c>
      <c r="N1290">
        <v>-1.52027E-2</v>
      </c>
      <c r="O1290">
        <v>-0.83580209999999999</v>
      </c>
      <c r="P1290">
        <v>0.40775020000000001</v>
      </c>
      <c r="Q1290">
        <v>-5.0864260000000001E-2</v>
      </c>
      <c r="R1290">
        <v>-0.91167580000000004</v>
      </c>
      <c r="S1290">
        <v>0.35968020000000001</v>
      </c>
      <c r="T1290">
        <v>-0.19941600000000001</v>
      </c>
      <c r="U1290">
        <v>-3.1240230000000002</v>
      </c>
      <c r="V1290">
        <v>0.15888459999999999</v>
      </c>
      <c r="W1290">
        <v>-3.8777989999999998E-2</v>
      </c>
      <c r="X1290">
        <v>0.9865353</v>
      </c>
      <c r="Y1290">
        <v>0.44937939999999998</v>
      </c>
      <c r="Z1290">
        <v>2.9997869999999999E-2</v>
      </c>
      <c r="AA1290">
        <v>0.892837199999999</v>
      </c>
      <c r="AB1290">
        <v>27</v>
      </c>
      <c r="AC1290">
        <v>1.8923000000000001</v>
      </c>
      <c r="AD1290">
        <v>-1.1022779651850001</v>
      </c>
      <c r="AE1290">
        <v>-17.108699999999999</v>
      </c>
      <c r="AF1290">
        <v>7.7770240879122099</v>
      </c>
      <c r="AG1290">
        <v>-1.1022779651850001</v>
      </c>
      <c r="AH1290">
        <v>15.2771445030001</v>
      </c>
      <c r="AI1290">
        <v>93.679054932818204</v>
      </c>
      <c r="AJ1290">
        <v>63.021053901746903</v>
      </c>
      <c r="AK1290">
        <v>17.178133325307599</v>
      </c>
      <c r="AL1290">
        <v>92.222372437262393</v>
      </c>
      <c r="AM1290">
        <v>80.850898886599694</v>
      </c>
      <c r="AN1290">
        <v>0.99999997338584401</v>
      </c>
    </row>
    <row r="1291" spans="1:40" x14ac:dyDescent="0.25">
      <c r="A1291" t="str">
        <f>"20190305135815375"</f>
        <v>20190305135815375</v>
      </c>
      <c r="B1291" t="str">
        <f>"1551765495369998"</f>
        <v>1551765495369998</v>
      </c>
      <c r="C1291" t="s">
        <v>40</v>
      </c>
      <c r="D1291">
        <v>4.0180040000000004</v>
      </c>
      <c r="E1291">
        <v>0.61771669999999901</v>
      </c>
      <c r="F1291" t="s">
        <v>42</v>
      </c>
      <c r="G1291">
        <v>-195.054</v>
      </c>
      <c r="H1291" s="1">
        <v>-2.1002549999999999E-6</v>
      </c>
      <c r="I1291">
        <v>341.35019999999997</v>
      </c>
      <c r="J1291">
        <v>-196.81450000000001</v>
      </c>
      <c r="K1291">
        <v>1.1025419999999999</v>
      </c>
      <c r="L1291">
        <v>357.96039999999999</v>
      </c>
      <c r="M1291">
        <v>0.54195760000000004</v>
      </c>
      <c r="N1291">
        <v>-1.5147249999999999E-2</v>
      </c>
      <c r="O1291">
        <v>-0.8402693</v>
      </c>
      <c r="P1291">
        <v>0.40296999999999999</v>
      </c>
      <c r="Q1291">
        <v>-4.8823779999999997E-2</v>
      </c>
      <c r="R1291">
        <v>-0.91391020000000001</v>
      </c>
      <c r="S1291">
        <v>0.34883120000000001</v>
      </c>
      <c r="T1291">
        <v>-0.2048788</v>
      </c>
      <c r="U1291">
        <v>-3.12323</v>
      </c>
      <c r="V1291">
        <v>0.15609210000000001</v>
      </c>
      <c r="W1291">
        <v>-3.6640640000000002E-2</v>
      </c>
      <c r="X1291">
        <v>0.98706269999999996</v>
      </c>
      <c r="Y1291">
        <v>0.44509880000000002</v>
      </c>
      <c r="Z1291">
        <v>3.1764420000000002E-2</v>
      </c>
      <c r="AA1291">
        <v>0.89491790000000004</v>
      </c>
      <c r="AB1291">
        <v>27</v>
      </c>
      <c r="AC1291">
        <v>1.7605</v>
      </c>
      <c r="AD1291">
        <v>-1.1025441002549901</v>
      </c>
      <c r="AE1291">
        <v>-16.610199999999999</v>
      </c>
      <c r="AF1291">
        <v>7.4909549428975701</v>
      </c>
      <c r="AG1291">
        <v>-1.1025441002549901</v>
      </c>
      <c r="AH1291">
        <v>14.8481745951657</v>
      </c>
      <c r="AI1291">
        <v>93.792897055783897</v>
      </c>
      <c r="AJ1291">
        <v>63.228899073667002</v>
      </c>
      <c r="AK1291">
        <v>16.6672822697059</v>
      </c>
      <c r="AL1291">
        <v>92.099824001282201</v>
      </c>
      <c r="AM1291">
        <v>81.013776177527802</v>
      </c>
      <c r="AN1291">
        <v>1.00000002695665</v>
      </c>
    </row>
    <row r="1292" spans="1:40" x14ac:dyDescent="0.25">
      <c r="A1292" t="str">
        <f>"20190305135815399"</f>
        <v>20190305135815399</v>
      </c>
      <c r="B1292" t="str">
        <f>"1551765495390493"</f>
        <v>1551765495390493</v>
      </c>
      <c r="C1292" t="s">
        <v>40</v>
      </c>
      <c r="D1292">
        <v>4.0472149999999996</v>
      </c>
      <c r="E1292">
        <v>0.61717749999999905</v>
      </c>
      <c r="F1292" t="s">
        <v>42</v>
      </c>
      <c r="G1292">
        <v>-194.97980000000001</v>
      </c>
      <c r="H1292" s="1">
        <v>-1.9460059999999998E-6</v>
      </c>
      <c r="I1292">
        <v>341.0367</v>
      </c>
      <c r="J1292">
        <v>-196.67179999999999</v>
      </c>
      <c r="K1292">
        <v>1.1028849999999999</v>
      </c>
      <c r="L1292">
        <v>357.71910000000003</v>
      </c>
      <c r="M1292">
        <v>0.53373380000000004</v>
      </c>
      <c r="N1292">
        <v>-1.507672E-2</v>
      </c>
      <c r="O1292">
        <v>-0.845518199999999</v>
      </c>
      <c r="P1292">
        <v>0.39650469999999999</v>
      </c>
      <c r="Q1292">
        <v>-4.5913040000000002E-2</v>
      </c>
      <c r="R1292">
        <v>-0.91688420000000004</v>
      </c>
      <c r="S1292">
        <v>0.33851619999999999</v>
      </c>
      <c r="T1292">
        <v>-0.2034205</v>
      </c>
      <c r="U1292">
        <v>-3.1224370000000001</v>
      </c>
      <c r="V1292">
        <v>0.15359149999999999</v>
      </c>
      <c r="W1292">
        <v>-3.362656E-2</v>
      </c>
      <c r="X1292">
        <v>0.9875621</v>
      </c>
      <c r="Y1292">
        <v>0.43926130000000002</v>
      </c>
      <c r="Z1292">
        <v>3.2091210000000002E-2</v>
      </c>
      <c r="AA1292">
        <v>0.89778599999999997</v>
      </c>
      <c r="AB1292">
        <v>27</v>
      </c>
      <c r="AC1292">
        <v>1.69199999999997</v>
      </c>
      <c r="AD1292">
        <v>-1.102886946006</v>
      </c>
      <c r="AE1292">
        <v>-16.682400000000001</v>
      </c>
      <c r="AF1292">
        <v>7.4419979838243204</v>
      </c>
      <c r="AG1292">
        <v>-1.102886946006</v>
      </c>
      <c r="AH1292">
        <v>14.9453998401384</v>
      </c>
      <c r="AI1292">
        <v>93.779348975944302</v>
      </c>
      <c r="AJ1292">
        <v>63.529187127764303</v>
      </c>
      <c r="AK1292">
        <v>16.732144811366101</v>
      </c>
      <c r="AL1292">
        <v>91.927023250197195</v>
      </c>
      <c r="AM1292">
        <v>81.159843558658594</v>
      </c>
      <c r="AN1292">
        <v>0.99999999788304605</v>
      </c>
    </row>
    <row r="1293" spans="1:40" x14ac:dyDescent="0.25">
      <c r="A1293" t="str">
        <f>"20190305135815421"</f>
        <v>20190305135815421</v>
      </c>
      <c r="B1293" t="str">
        <f>"1551765495410013"</f>
        <v>1551765495410013</v>
      </c>
      <c r="C1293" t="s">
        <v>40</v>
      </c>
      <c r="D1293">
        <v>4.0613530000000004</v>
      </c>
      <c r="E1293">
        <v>0.60928780000000005</v>
      </c>
      <c r="F1293" t="s">
        <v>42</v>
      </c>
      <c r="G1293">
        <v>-194.89959999999999</v>
      </c>
      <c r="H1293" s="1">
        <v>-1.6664419999999999E-6</v>
      </c>
      <c r="I1293">
        <v>340.4348</v>
      </c>
      <c r="J1293">
        <v>-196.53739999999999</v>
      </c>
      <c r="K1293">
        <v>1.1032360000000001</v>
      </c>
      <c r="L1293">
        <v>357.48750000000001</v>
      </c>
      <c r="M1293">
        <v>0.52626490000000004</v>
      </c>
      <c r="N1293">
        <v>-1.500371E-2</v>
      </c>
      <c r="O1293">
        <v>-0.85018839999999996</v>
      </c>
      <c r="P1293">
        <v>0.38996409999999998</v>
      </c>
      <c r="Q1293">
        <v>-4.4315E-2</v>
      </c>
      <c r="R1293">
        <v>-0.91976340000000001</v>
      </c>
      <c r="S1293">
        <v>0.32026670000000002</v>
      </c>
      <c r="T1293">
        <v>-0.1993055</v>
      </c>
      <c r="U1293">
        <v>-3.1235050000000002</v>
      </c>
      <c r="V1293">
        <v>0.15201970000000001</v>
      </c>
      <c r="W1293">
        <v>-3.1943689999999997E-2</v>
      </c>
      <c r="X1293">
        <v>0.98786119999999999</v>
      </c>
      <c r="Y1293">
        <v>0.43657669999999998</v>
      </c>
      <c r="Z1293">
        <v>3.165838E-2</v>
      </c>
      <c r="AA1293">
        <v>0.89910979999999996</v>
      </c>
      <c r="AB1293">
        <v>27</v>
      </c>
      <c r="AC1293">
        <v>1.6377999999999899</v>
      </c>
      <c r="AD1293">
        <v>-1.1032376664420001</v>
      </c>
      <c r="AE1293">
        <v>-17.052700000000002</v>
      </c>
      <c r="AF1293">
        <v>7.5513342118796096</v>
      </c>
      <c r="AG1293">
        <v>-1.1032376664420001</v>
      </c>
      <c r="AH1293">
        <v>15.29820614164</v>
      </c>
      <c r="AI1293">
        <v>93.699966952262301</v>
      </c>
      <c r="AJ1293">
        <v>63.728632955841398</v>
      </c>
      <c r="AK1293">
        <v>17.0960490429886</v>
      </c>
      <c r="AL1293">
        <v>91.830549897211299</v>
      </c>
      <c r="AM1293">
        <v>81.251511690670995</v>
      </c>
      <c r="AN1293">
        <v>1.00000006949217</v>
      </c>
    </row>
    <row r="1294" spans="1:40" x14ac:dyDescent="0.25">
      <c r="A1294" t="str">
        <f>"20190305135815443"</f>
        <v>20190305135815443</v>
      </c>
      <c r="B1294" t="str">
        <f>"1551765495440269"</f>
        <v>1551765495440269</v>
      </c>
      <c r="C1294" t="s">
        <v>40</v>
      </c>
      <c r="D1294">
        <v>4.024051</v>
      </c>
      <c r="E1294">
        <v>0.60535380000000005</v>
      </c>
      <c r="F1294" t="s">
        <v>42</v>
      </c>
      <c r="G1294">
        <v>-194.70099999999999</v>
      </c>
      <c r="H1294" s="1">
        <v>-2.0414890000000002E-6</v>
      </c>
      <c r="I1294">
        <v>341.43220000000002</v>
      </c>
      <c r="J1294">
        <v>-196.4068</v>
      </c>
      <c r="K1294">
        <v>1.1035629999999901</v>
      </c>
      <c r="L1294">
        <v>357.25869999999998</v>
      </c>
      <c r="M1294">
        <v>0.51918759999999997</v>
      </c>
      <c r="N1294">
        <v>-1.493247E-2</v>
      </c>
      <c r="O1294">
        <v>-0.85452989999999995</v>
      </c>
      <c r="P1294">
        <v>0.38292910000000002</v>
      </c>
      <c r="Q1294">
        <v>-4.3291639999999999E-2</v>
      </c>
      <c r="R1294">
        <v>-0.92276279999999999</v>
      </c>
      <c r="S1294">
        <v>0.35470580000000002</v>
      </c>
      <c r="T1294">
        <v>-0.21308840000000001</v>
      </c>
      <c r="U1294">
        <v>-3.1010439999999999</v>
      </c>
      <c r="V1294">
        <v>0.15142549999999999</v>
      </c>
      <c r="W1294">
        <v>-3.08603E-2</v>
      </c>
      <c r="X1294">
        <v>0.98798680000000005</v>
      </c>
      <c r="Y1294">
        <v>0.41850789999999999</v>
      </c>
      <c r="Z1294">
        <v>3.6025990000000001E-2</v>
      </c>
      <c r="AA1294">
        <v>0.90749840000000004</v>
      </c>
      <c r="AB1294">
        <v>27</v>
      </c>
      <c r="AC1294">
        <v>1.70580000000001</v>
      </c>
      <c r="AD1294">
        <v>-1.1035650414889999</v>
      </c>
      <c r="AE1294">
        <v>-15.8264999999999</v>
      </c>
      <c r="AF1294">
        <v>6.7276836406676397</v>
      </c>
      <c r="AG1294">
        <v>-1.1035650414889999</v>
      </c>
      <c r="AH1294">
        <v>14.3425194916463</v>
      </c>
      <c r="AI1294">
        <v>93.984822681504198</v>
      </c>
      <c r="AJ1294">
        <v>64.870010691953397</v>
      </c>
      <c r="AK1294">
        <v>15.880410836560801</v>
      </c>
      <c r="AL1294">
        <v>91.768445757135197</v>
      </c>
      <c r="AM1294">
        <v>81.286271849678997</v>
      </c>
      <c r="AN1294">
        <v>0.99999997857028899</v>
      </c>
    </row>
    <row r="1295" spans="1:40" x14ac:dyDescent="0.25">
      <c r="A1295" t="str">
        <f>"20190305135815465"</f>
        <v>20190305135815465</v>
      </c>
      <c r="B1295" t="str">
        <f>"1551765495459790"</f>
        <v>1551765495459790</v>
      </c>
      <c r="C1295" t="s">
        <v>40</v>
      </c>
      <c r="D1295">
        <v>4.0106719999999996</v>
      </c>
      <c r="E1295">
        <v>0.60439679999999996</v>
      </c>
      <c r="F1295" t="s">
        <v>42</v>
      </c>
      <c r="G1295">
        <v>-194.7184</v>
      </c>
      <c r="H1295" s="1">
        <v>-2.5823050000000002E-6</v>
      </c>
      <c r="I1295">
        <v>342.68200000000002</v>
      </c>
      <c r="J1295">
        <v>-196.2766</v>
      </c>
      <c r="K1295">
        <v>1.1038650000000001</v>
      </c>
      <c r="L1295">
        <v>357.02699999999999</v>
      </c>
      <c r="M1295">
        <v>0.51232479999999903</v>
      </c>
      <c r="N1295">
        <v>-1.4866239999999999E-2</v>
      </c>
      <c r="O1295">
        <v>-0.85866309999999901</v>
      </c>
      <c r="P1295">
        <v>0.37571670000000001</v>
      </c>
      <c r="Q1295">
        <v>-4.252454E-2</v>
      </c>
      <c r="R1295">
        <v>-0.92575870000000005</v>
      </c>
      <c r="S1295">
        <v>0.3580933</v>
      </c>
      <c r="T1295">
        <v>-0.23405500000000001</v>
      </c>
      <c r="U1295">
        <v>-3.0915530000000002</v>
      </c>
      <c r="V1295">
        <v>0.15127079999999901</v>
      </c>
      <c r="W1295">
        <v>-3.0042329999999999E-2</v>
      </c>
      <c r="X1295">
        <v>0.98803569999999996</v>
      </c>
      <c r="Y1295">
        <v>0.4099238</v>
      </c>
      <c r="Z1295">
        <v>4.1808489999999997E-2</v>
      </c>
      <c r="AA1295">
        <v>0.91116109999999995</v>
      </c>
      <c r="AB1295">
        <v>27</v>
      </c>
      <c r="AC1295">
        <v>1.55819999999999</v>
      </c>
      <c r="AD1295">
        <v>-1.1038675823049999</v>
      </c>
      <c r="AE1295">
        <v>-14.345000000000001</v>
      </c>
      <c r="AF1295">
        <v>5.9770144652121298</v>
      </c>
      <c r="AG1295">
        <v>-1.1038675823049999</v>
      </c>
      <c r="AH1295">
        <v>13.040954390030301</v>
      </c>
      <c r="AI1295">
        <v>94.400188017846901</v>
      </c>
      <c r="AJ1295">
        <v>65.376760644556498</v>
      </c>
      <c r="AK1295">
        <v>14.387832253660401</v>
      </c>
      <c r="AL1295">
        <v>91.721557795705394</v>
      </c>
      <c r="AM1295">
        <v>81.295461808076993</v>
      </c>
      <c r="AN1295">
        <v>0.99999997049947897</v>
      </c>
    </row>
    <row r="1296" spans="1:40" x14ac:dyDescent="0.25">
      <c r="A1296" t="str">
        <f>"20190305135815501"</f>
        <v>20190305135815501</v>
      </c>
      <c r="B1296" t="str">
        <f>"1551765495490045"</f>
        <v>1551765495490045</v>
      </c>
      <c r="C1296" t="s">
        <v>40</v>
      </c>
      <c r="D1296">
        <v>4.0384989999999998</v>
      </c>
      <c r="E1296">
        <v>0.60299609999999904</v>
      </c>
      <c r="F1296" t="s">
        <v>42</v>
      </c>
      <c r="G1296">
        <v>-194.66159999999999</v>
      </c>
      <c r="H1296" s="1">
        <v>-2.4472820000000002E-6</v>
      </c>
      <c r="I1296">
        <v>342.40260000000001</v>
      </c>
      <c r="J1296">
        <v>-196.071</v>
      </c>
      <c r="K1296">
        <v>1.1043190000000001</v>
      </c>
      <c r="L1296">
        <v>356.654</v>
      </c>
      <c r="M1296">
        <v>0.5019342</v>
      </c>
      <c r="N1296">
        <v>-1.476733E-2</v>
      </c>
      <c r="O1296">
        <v>-0.86477979999999999</v>
      </c>
      <c r="P1296">
        <v>0.36280030000000002</v>
      </c>
      <c r="Q1296">
        <v>-4.495557E-2</v>
      </c>
      <c r="R1296">
        <v>-0.93078209999999995</v>
      </c>
      <c r="S1296">
        <v>0.34138489999999999</v>
      </c>
      <c r="T1296">
        <v>-0.2333354</v>
      </c>
      <c r="U1296">
        <v>-3.0913089999999999</v>
      </c>
      <c r="V1296">
        <v>0.15304499999999999</v>
      </c>
      <c r="W1296">
        <v>-3.2427039999999997E-2</v>
      </c>
      <c r="X1296">
        <v>0.98768710000000004</v>
      </c>
      <c r="Y1296">
        <v>0.40378550000000002</v>
      </c>
      <c r="Z1296">
        <v>4.2494629999999999E-2</v>
      </c>
      <c r="AA1296">
        <v>0.91386619999999996</v>
      </c>
      <c r="AB1296">
        <v>27</v>
      </c>
      <c r="AC1296">
        <v>1.4094</v>
      </c>
      <c r="AD1296">
        <v>-1.104321447282</v>
      </c>
      <c r="AE1296">
        <v>-14.251399999999901</v>
      </c>
      <c r="AF1296">
        <v>5.9000078416218704</v>
      </c>
      <c r="AG1296">
        <v>-1.104321447282</v>
      </c>
      <c r="AH1296">
        <v>12.956127892678101</v>
      </c>
      <c r="AI1296">
        <v>94.435607842391505</v>
      </c>
      <c r="AJ1296">
        <v>65.516259742840106</v>
      </c>
      <c r="AK1296">
        <v>14.279035974517299</v>
      </c>
      <c r="AL1296">
        <v>91.858258209015204</v>
      </c>
      <c r="AM1296">
        <v>81.191901242300304</v>
      </c>
      <c r="AN1296">
        <v>1.00000004622728</v>
      </c>
    </row>
    <row r="1297" spans="1:40" x14ac:dyDescent="0.25">
      <c r="A1297" t="str">
        <f>"20190305135815522"</f>
        <v>20190305135815522</v>
      </c>
      <c r="B1297" t="str">
        <f>"1551765495509566"</f>
        <v>1551765495509566</v>
      </c>
      <c r="C1297" t="s">
        <v>40</v>
      </c>
      <c r="D1297">
        <v>4.0430140000000003</v>
      </c>
      <c r="E1297">
        <v>0.60219140000000004</v>
      </c>
      <c r="F1297" t="s">
        <v>42</v>
      </c>
      <c r="G1297">
        <v>-194.66200000000001</v>
      </c>
      <c r="H1297" s="1">
        <v>-2.5186669999999999E-6</v>
      </c>
      <c r="I1297">
        <v>342.56869999999998</v>
      </c>
      <c r="J1297">
        <v>-195.95160000000001</v>
      </c>
      <c r="K1297">
        <v>1.104565</v>
      </c>
      <c r="L1297">
        <v>356.43329999999997</v>
      </c>
      <c r="M1297">
        <v>0.49619609999999897</v>
      </c>
      <c r="N1297">
        <v>-1.4709369999999999E-2</v>
      </c>
      <c r="O1297">
        <v>-0.86808580000000002</v>
      </c>
      <c r="P1297">
        <v>0.35751559999999999</v>
      </c>
      <c r="Q1297">
        <v>-4.762607E-2</v>
      </c>
      <c r="R1297">
        <v>-0.93269190000000002</v>
      </c>
      <c r="S1297">
        <v>0.30917359999999999</v>
      </c>
      <c r="T1297">
        <v>-0.24233279999999999</v>
      </c>
      <c r="U1297">
        <v>-3.090881</v>
      </c>
      <c r="V1297">
        <v>0.1520263</v>
      </c>
      <c r="W1297">
        <v>-3.5039790000000001E-2</v>
      </c>
      <c r="X1297">
        <v>0.9877551</v>
      </c>
      <c r="Y1297">
        <v>0.40712500000000001</v>
      </c>
      <c r="Z1297">
        <v>4.503629E-2</v>
      </c>
      <c r="AA1297">
        <v>0.9122614</v>
      </c>
      <c r="AB1297">
        <v>26</v>
      </c>
      <c r="AC1297">
        <v>1.2896000000000001</v>
      </c>
      <c r="AD1297">
        <v>-1.1045675186669901</v>
      </c>
      <c r="AE1297">
        <v>-13.8645999999999</v>
      </c>
      <c r="AF1297">
        <v>5.7246775699154302</v>
      </c>
      <c r="AG1297">
        <v>-1.1045675186669901</v>
      </c>
      <c r="AH1297">
        <v>12.597657307990399</v>
      </c>
      <c r="AI1297">
        <v>94.563954774416004</v>
      </c>
      <c r="AJ1297">
        <v>65.561813695138596</v>
      </c>
      <c r="AK1297">
        <v>13.881389423697801</v>
      </c>
      <c r="AL1297">
        <v>92.008043213230906</v>
      </c>
      <c r="AM1297">
        <v>81.250212528237995</v>
      </c>
      <c r="AN1297">
        <v>0.99999996017547099</v>
      </c>
    </row>
    <row r="1298" spans="1:40" x14ac:dyDescent="0.25">
      <c r="A1298" t="str">
        <f>"20190305135815543"</f>
        <v>20190305135815543</v>
      </c>
      <c r="B1298" t="str">
        <f>"1551765495539821"</f>
        <v>1551765495539821</v>
      </c>
      <c r="C1298" t="s">
        <v>40</v>
      </c>
      <c r="D1298">
        <v>4.0224650000000004</v>
      </c>
      <c r="E1298">
        <v>0.59466699999999995</v>
      </c>
      <c r="F1298" t="s">
        <v>42</v>
      </c>
      <c r="G1298">
        <v>-194.6326</v>
      </c>
      <c r="H1298" s="1">
        <v>-2.5859530000000001E-6</v>
      </c>
      <c r="I1298">
        <v>342.74380000000002</v>
      </c>
      <c r="J1298">
        <v>-195.83160000000001</v>
      </c>
      <c r="K1298">
        <v>1.104805</v>
      </c>
      <c r="L1298">
        <v>356.20870000000002</v>
      </c>
      <c r="M1298">
        <v>0.49059079999999999</v>
      </c>
      <c r="N1298">
        <v>-1.4653380000000001E-2</v>
      </c>
      <c r="O1298">
        <v>-0.87126680000000001</v>
      </c>
      <c r="P1298">
        <v>0.35418640000000001</v>
      </c>
      <c r="Q1298">
        <v>-5.0709780000000003E-2</v>
      </c>
      <c r="R1298">
        <v>-0.93379920000000005</v>
      </c>
      <c r="S1298">
        <v>0.2976837</v>
      </c>
      <c r="T1298">
        <v>-0.2492924</v>
      </c>
      <c r="U1298">
        <v>-3.0896300000000001</v>
      </c>
      <c r="V1298">
        <v>0.149088</v>
      </c>
      <c r="W1298">
        <v>-3.8044929999999998E-2</v>
      </c>
      <c r="X1298">
        <v>0.98809179999999996</v>
      </c>
      <c r="Y1298">
        <v>0.4045646</v>
      </c>
      <c r="Z1298">
        <v>4.722204E-2</v>
      </c>
      <c r="AA1298">
        <v>0.91328940000000003</v>
      </c>
      <c r="AB1298">
        <v>26</v>
      </c>
      <c r="AC1298">
        <v>1.1990000000000101</v>
      </c>
      <c r="AD1298">
        <v>-1.104807585953</v>
      </c>
      <c r="AE1298">
        <v>-13.4649</v>
      </c>
      <c r="AF1298">
        <v>5.52480228834985</v>
      </c>
      <c r="AG1298">
        <v>-1.104807585953</v>
      </c>
      <c r="AH1298">
        <v>12.2393110776952</v>
      </c>
      <c r="AI1298">
        <v>94.703327959009897</v>
      </c>
      <c r="AJ1298">
        <v>65.705671939345805</v>
      </c>
      <c r="AK1298">
        <v>13.473855268034001</v>
      </c>
      <c r="AL1298">
        <v>92.180340054978998</v>
      </c>
      <c r="AM1298">
        <v>81.419662982294298</v>
      </c>
      <c r="AN1298">
        <v>1.00000002683497</v>
      </c>
    </row>
    <row r="1299" spans="1:40" x14ac:dyDescent="0.25">
      <c r="A1299" t="str">
        <f>"20190305135815566"</f>
        <v>20190305135815566</v>
      </c>
      <c r="B1299" t="str">
        <f>"1551765495560317"</f>
        <v>1551765495560317</v>
      </c>
      <c r="C1299" t="s">
        <v>40</v>
      </c>
      <c r="D1299">
        <v>4.0044360000000001</v>
      </c>
      <c r="E1299">
        <v>0.59339090000000005</v>
      </c>
      <c r="F1299" t="s">
        <v>42</v>
      </c>
      <c r="G1299">
        <v>-194.30240000000001</v>
      </c>
      <c r="H1299" s="1">
        <v>-2.4108459999999999E-6</v>
      </c>
      <c r="I1299">
        <v>342.54039999999998</v>
      </c>
      <c r="J1299">
        <v>-195.7064</v>
      </c>
      <c r="K1299">
        <v>1.105064</v>
      </c>
      <c r="L1299">
        <v>355.97129999999999</v>
      </c>
      <c r="M1299">
        <v>0.48492990000000002</v>
      </c>
      <c r="N1299">
        <v>-1.4599249999999999E-2</v>
      </c>
      <c r="O1299">
        <v>-0.87443130000000002</v>
      </c>
      <c r="P1299">
        <v>0.3524253</v>
      </c>
      <c r="Q1299">
        <v>-5.1410629999999999E-2</v>
      </c>
      <c r="R1299">
        <v>-0.93442709999999995</v>
      </c>
      <c r="S1299">
        <v>0.34335329999999997</v>
      </c>
      <c r="T1299">
        <v>-0.2480639</v>
      </c>
      <c r="U1299">
        <v>-3.0689700000000002</v>
      </c>
      <c r="V1299">
        <v>0.1445401</v>
      </c>
      <c r="W1299">
        <v>-3.864596E-2</v>
      </c>
      <c r="X1299">
        <v>0.98874399999999996</v>
      </c>
      <c r="Y1299">
        <v>0.3845401</v>
      </c>
      <c r="Z1299">
        <v>4.8126750000000003E-2</v>
      </c>
      <c r="AA1299">
        <v>0.92185289999999998</v>
      </c>
      <c r="AB1299">
        <v>26</v>
      </c>
      <c r="AC1299">
        <v>1.4039999999999899</v>
      </c>
      <c r="AD1299">
        <v>-1.105066410846</v>
      </c>
      <c r="AE1299">
        <v>-13.430899999999999</v>
      </c>
      <c r="AF1299">
        <v>5.2507446478221897</v>
      </c>
      <c r="AG1299">
        <v>-1.105066410846</v>
      </c>
      <c r="AH1299">
        <v>12.343903083547399</v>
      </c>
      <c r="AI1299">
        <v>94.709392177763206</v>
      </c>
      <c r="AJ1299">
        <v>66.956481188704103</v>
      </c>
      <c r="AK1299">
        <v>13.4596966706173</v>
      </c>
      <c r="AL1299">
        <v>92.2148018881132</v>
      </c>
      <c r="AM1299">
        <v>81.683094919722095</v>
      </c>
      <c r="AN1299">
        <v>1.00000002413416</v>
      </c>
    </row>
    <row r="1300" spans="1:40" x14ac:dyDescent="0.25">
      <c r="A1300" t="str">
        <f>"20190305135815588"</f>
        <v>20190305135815588</v>
      </c>
      <c r="B1300" t="str">
        <f>"1551765495579837"</f>
        <v>1551765495579837</v>
      </c>
      <c r="C1300" t="s">
        <v>40</v>
      </c>
      <c r="D1300">
        <v>4.0196699999999996</v>
      </c>
      <c r="E1300">
        <v>0.59275080000000002</v>
      </c>
      <c r="F1300" t="s">
        <v>42</v>
      </c>
      <c r="G1300">
        <v>-194.09020000000001</v>
      </c>
      <c r="H1300" s="1">
        <v>-1.9997640000000002E-6</v>
      </c>
      <c r="I1300">
        <v>341.71379999999999</v>
      </c>
      <c r="J1300">
        <v>-195.57990000000001</v>
      </c>
      <c r="K1300">
        <v>1.1053059999999999</v>
      </c>
      <c r="L1300">
        <v>355.72820000000002</v>
      </c>
      <c r="M1300">
        <v>0.47938229999999998</v>
      </c>
      <c r="N1300">
        <v>-1.45479999999999E-2</v>
      </c>
      <c r="O1300">
        <v>-0.87748559999999998</v>
      </c>
      <c r="P1300">
        <v>0.34976269999999998</v>
      </c>
      <c r="Q1300">
        <v>-5.0716310000000001E-2</v>
      </c>
      <c r="R1300">
        <v>-0.93546470000000004</v>
      </c>
      <c r="S1300">
        <v>0.34759519999999999</v>
      </c>
      <c r="T1300">
        <v>-0.23766470000000001</v>
      </c>
      <c r="U1300">
        <v>-3.0663450000000001</v>
      </c>
      <c r="V1300">
        <v>0.1411424</v>
      </c>
      <c r="W1300">
        <v>-3.7875279999999997E-2</v>
      </c>
      <c r="X1300">
        <v>0.98926449999999999</v>
      </c>
      <c r="Y1300">
        <v>0.37734820000000002</v>
      </c>
      <c r="Z1300">
        <v>4.6086290000000002E-2</v>
      </c>
      <c r="AA1300">
        <v>0.92492399999999997</v>
      </c>
      <c r="AB1300">
        <v>26</v>
      </c>
      <c r="AC1300">
        <v>1.48969999999999</v>
      </c>
      <c r="AD1300">
        <v>-1.1053079997639901</v>
      </c>
      <c r="AE1300">
        <v>-14.0144</v>
      </c>
      <c r="AF1300">
        <v>5.3785547787604804</v>
      </c>
      <c r="AG1300">
        <v>-1.1053079997639901</v>
      </c>
      <c r="AH1300">
        <v>12.9333951710713</v>
      </c>
      <c r="AI1300">
        <v>94.511861068838897</v>
      </c>
      <c r="AJ1300">
        <v>67.419251902484802</v>
      </c>
      <c r="AK1300">
        <v>14.050739052931</v>
      </c>
      <c r="AL1300">
        <v>92.170612911797306</v>
      </c>
      <c r="AM1300">
        <v>81.880177000728395</v>
      </c>
      <c r="AN1300">
        <v>0.99999998243654398</v>
      </c>
    </row>
    <row r="1301" spans="1:40" x14ac:dyDescent="0.25">
      <c r="A1301" t="str">
        <f>"20190305135815614"</f>
        <v>20190305135815614</v>
      </c>
      <c r="B1301" t="str">
        <f>"1551765495610093"</f>
        <v>1551765495610093</v>
      </c>
      <c r="C1301" t="s">
        <v>40</v>
      </c>
      <c r="D1301">
        <v>4.0709</v>
      </c>
      <c r="E1301">
        <v>0.59184459999999905</v>
      </c>
      <c r="F1301" t="s">
        <v>42</v>
      </c>
      <c r="G1301">
        <v>-193.95699999999999</v>
      </c>
      <c r="H1301" s="1">
        <v>-1.7620729999999999E-6</v>
      </c>
      <c r="I1301">
        <v>341.2423</v>
      </c>
      <c r="J1301">
        <v>-195.43969999999999</v>
      </c>
      <c r="K1301">
        <v>1.1055299999999999</v>
      </c>
      <c r="L1301">
        <v>355.45519999999999</v>
      </c>
      <c r="M1301">
        <v>0.4733716</v>
      </c>
      <c r="N1301">
        <v>-1.4495289999999999E-2</v>
      </c>
      <c r="O1301">
        <v>-0.88074359999999996</v>
      </c>
      <c r="P1301">
        <v>0.34583950000000002</v>
      </c>
      <c r="Q1301">
        <v>-4.875355E-2</v>
      </c>
      <c r="R1301">
        <v>-0.93702640000000004</v>
      </c>
      <c r="S1301">
        <v>0.34346009999999999</v>
      </c>
      <c r="T1301">
        <v>-0.23392869999999999</v>
      </c>
      <c r="U1301">
        <v>-3.0658259999999999</v>
      </c>
      <c r="V1301">
        <v>0.13861399999999999</v>
      </c>
      <c r="W1301">
        <v>-3.5858420000000002E-2</v>
      </c>
      <c r="X1301">
        <v>0.9896971</v>
      </c>
      <c r="Y1301">
        <v>0.37223460000000003</v>
      </c>
      <c r="Z1301">
        <v>4.5641000000000001E-2</v>
      </c>
      <c r="AA1301">
        <v>0.92701579999999995</v>
      </c>
      <c r="AB1301">
        <v>26</v>
      </c>
      <c r="AC1301">
        <v>1.4826999999999899</v>
      </c>
      <c r="AD1301">
        <v>-1.1055317620730001</v>
      </c>
      <c r="AE1301">
        <v>-14.2128999999999</v>
      </c>
      <c r="AF1301">
        <v>5.3904116840288898</v>
      </c>
      <c r="AG1301">
        <v>-1.1055317620730001</v>
      </c>
      <c r="AH1301">
        <v>13.1425171872023</v>
      </c>
      <c r="AI1301">
        <v>94.450182030251995</v>
      </c>
      <c r="AJ1301">
        <v>67.698982843234006</v>
      </c>
      <c r="AK1301">
        <v>14.2479646481936</v>
      </c>
      <c r="AL1301">
        <v>92.054976659554995</v>
      </c>
      <c r="AM1301">
        <v>82.027186934054697</v>
      </c>
      <c r="AN1301">
        <v>1.0000000085146501</v>
      </c>
    </row>
    <row r="1302" spans="1:40" x14ac:dyDescent="0.25">
      <c r="A1302" t="str">
        <f>"20190305135815633"</f>
        <v>20190305135815633</v>
      </c>
      <c r="B1302" t="str">
        <f>"1551765495629614"</f>
        <v>1551765495629614</v>
      </c>
      <c r="C1302" t="s">
        <v>40</v>
      </c>
      <c r="D1302">
        <v>4.0641059999999998</v>
      </c>
      <c r="E1302">
        <v>0.59159899999999999</v>
      </c>
      <c r="F1302" t="s">
        <v>42</v>
      </c>
      <c r="G1302">
        <v>-193.84899999999999</v>
      </c>
      <c r="H1302" s="1">
        <v>-1.6200379999999999E-6</v>
      </c>
      <c r="I1302">
        <v>340.97820000000002</v>
      </c>
      <c r="J1302">
        <v>-195.34280000000001</v>
      </c>
      <c r="K1302">
        <v>1.1056490000000001</v>
      </c>
      <c r="L1302">
        <v>355.26409999999998</v>
      </c>
      <c r="M1302">
        <v>0.46926410000000002</v>
      </c>
      <c r="N1302">
        <v>-1.446311E-2</v>
      </c>
      <c r="O1302">
        <v>-0.88293949999999999</v>
      </c>
      <c r="P1302">
        <v>0.34332190000000001</v>
      </c>
      <c r="Q1302">
        <v>-4.6528630000000001E-2</v>
      </c>
      <c r="R1302">
        <v>-0.93806489999999998</v>
      </c>
      <c r="S1302">
        <v>0.33679199999999998</v>
      </c>
      <c r="T1302">
        <v>-0.2340651</v>
      </c>
      <c r="U1302">
        <v>-3.0650940000000002</v>
      </c>
      <c r="V1302">
        <v>0.13674729999999999</v>
      </c>
      <c r="W1302">
        <v>-3.3605650000000001E-2</v>
      </c>
      <c r="X1302">
        <v>0.99003580000000002</v>
      </c>
      <c r="Y1302">
        <v>0.36988290000000001</v>
      </c>
      <c r="Z1302">
        <v>4.5996500000000003E-2</v>
      </c>
      <c r="AA1302">
        <v>0.92793910000000002</v>
      </c>
      <c r="AB1302">
        <v>26</v>
      </c>
      <c r="AC1302">
        <v>1.49379999999999</v>
      </c>
      <c r="AD1302">
        <v>-1.1056506200380001</v>
      </c>
      <c r="AE1302">
        <v>-14.2858999999999</v>
      </c>
      <c r="AF1302">
        <v>5.3537661492341604</v>
      </c>
      <c r="AG1302">
        <v>-1.1056506200380001</v>
      </c>
      <c r="AH1302">
        <v>13.2375299070123</v>
      </c>
      <c r="AI1302">
        <v>94.427632321711997</v>
      </c>
      <c r="AJ1302">
        <v>67.979698350768601</v>
      </c>
      <c r="AK1302">
        <v>14.3219228217904</v>
      </c>
      <c r="AL1302">
        <v>91.925824466616405</v>
      </c>
      <c r="AM1302">
        <v>82.135860277329101</v>
      </c>
      <c r="AN1302">
        <v>1.0000000245254199</v>
      </c>
    </row>
    <row r="1303" spans="1:40" x14ac:dyDescent="0.25">
      <c r="A1303" t="str">
        <f>"20190305135815655"</f>
        <v>20190305135815655</v>
      </c>
      <c r="B1303" t="str">
        <f>"1551765495650110"</f>
        <v>1551765495650110</v>
      </c>
      <c r="C1303" t="s">
        <v>40</v>
      </c>
      <c r="D1303">
        <v>4.0212479999999999</v>
      </c>
      <c r="E1303">
        <v>0.59139039999999998</v>
      </c>
      <c r="F1303" t="s">
        <v>42</v>
      </c>
      <c r="G1303">
        <v>-193.76660000000001</v>
      </c>
      <c r="H1303" s="1">
        <v>-1.440915E-6</v>
      </c>
      <c r="I1303">
        <v>340.61180000000002</v>
      </c>
      <c r="J1303">
        <v>-195.2251</v>
      </c>
      <c r="K1303">
        <v>1.10575</v>
      </c>
      <c r="L1303">
        <v>355.02910000000003</v>
      </c>
      <c r="M1303">
        <v>0.46427059999999998</v>
      </c>
      <c r="N1303">
        <v>-1.442885E-2</v>
      </c>
      <c r="O1303">
        <v>-0.88557609999999998</v>
      </c>
      <c r="P1303">
        <v>0.3394818</v>
      </c>
      <c r="Q1303">
        <v>-4.413943E-2</v>
      </c>
      <c r="R1303">
        <v>-0.93957670000000004</v>
      </c>
      <c r="S1303">
        <v>0.32980350000000003</v>
      </c>
      <c r="T1303">
        <v>-0.2313482</v>
      </c>
      <c r="U1303">
        <v>-3.065887</v>
      </c>
      <c r="V1303">
        <v>0.13529050000000001</v>
      </c>
      <c r="W1303">
        <v>-3.1203789999999999E-2</v>
      </c>
      <c r="X1303">
        <v>0.99031449999999999</v>
      </c>
      <c r="Y1303">
        <v>0.36675659999999999</v>
      </c>
      <c r="Z1303">
        <v>4.5651810000000001E-2</v>
      </c>
      <c r="AA1303">
        <v>0.92919620000000003</v>
      </c>
      <c r="AB1303">
        <v>26</v>
      </c>
      <c r="AC1303">
        <v>1.4584999999999799</v>
      </c>
      <c r="AD1303">
        <v>-1.105751440915</v>
      </c>
      <c r="AE1303">
        <v>-14.417299999999999</v>
      </c>
      <c r="AF1303">
        <v>5.3712021212375802</v>
      </c>
      <c r="AG1303">
        <v>-1.105751440915</v>
      </c>
      <c r="AH1303">
        <v>13.368312168738999</v>
      </c>
      <c r="AI1303">
        <v>94.388903786783601</v>
      </c>
      <c r="AJ1303">
        <v>68.110423791024402</v>
      </c>
      <c r="AK1303">
        <v>14.449369145991399</v>
      </c>
      <c r="AL1303">
        <v>91.788135725228898</v>
      </c>
      <c r="AM1303">
        <v>82.220770010996901</v>
      </c>
      <c r="AN1303">
        <v>1.0000000024054301</v>
      </c>
    </row>
    <row r="1304" spans="1:40" x14ac:dyDescent="0.25">
      <c r="A1304" t="str">
        <f>"20190305135815679"</f>
        <v>20190305135815679</v>
      </c>
      <c r="B1304" t="str">
        <f>"1551765495669630"</f>
        <v>1551765495669630</v>
      </c>
      <c r="C1304" t="s">
        <v>40</v>
      </c>
      <c r="D1304">
        <v>4.0796710000000003</v>
      </c>
      <c r="E1304">
        <v>0.59102679999999996</v>
      </c>
      <c r="F1304" t="s">
        <v>42</v>
      </c>
      <c r="G1304">
        <v>-193.66929999999999</v>
      </c>
      <c r="H1304" s="1">
        <v>-1.1751819999999999E-6</v>
      </c>
      <c r="I1304">
        <v>340.05270000000002</v>
      </c>
      <c r="J1304">
        <v>-195.1009</v>
      </c>
      <c r="K1304">
        <v>1.1057939999999999</v>
      </c>
      <c r="L1304">
        <v>354.77769999999998</v>
      </c>
      <c r="M1304">
        <v>0.45895330000000001</v>
      </c>
      <c r="N1304">
        <v>-1.439822E-2</v>
      </c>
      <c r="O1304">
        <v>-0.88834369999999996</v>
      </c>
      <c r="P1304">
        <v>0.33481909999999998</v>
      </c>
      <c r="Q1304">
        <v>-4.2012000000000001E-2</v>
      </c>
      <c r="R1304">
        <v>-0.94134549999999995</v>
      </c>
      <c r="S1304">
        <v>0.31863399999999997</v>
      </c>
      <c r="T1304">
        <v>-0.2264601</v>
      </c>
      <c r="U1304">
        <v>-3.0672000000000001</v>
      </c>
      <c r="V1304">
        <v>0.13433239999999999</v>
      </c>
      <c r="W1304">
        <v>-2.908177E-2</v>
      </c>
      <c r="X1304">
        <v>0.99050950000000004</v>
      </c>
      <c r="Y1304">
        <v>0.3645717</v>
      </c>
      <c r="Z1304">
        <v>4.472338E-2</v>
      </c>
      <c r="AA1304">
        <v>0.9301007</v>
      </c>
      <c r="AB1304">
        <v>26</v>
      </c>
      <c r="AC1304">
        <v>1.4316</v>
      </c>
      <c r="AD1304">
        <v>-1.1057951751820001</v>
      </c>
      <c r="AE1304">
        <v>-14.7249999999999</v>
      </c>
      <c r="AF1304">
        <v>5.4564201372856997</v>
      </c>
      <c r="AG1304">
        <v>-1.1057951751820001</v>
      </c>
      <c r="AH1304">
        <v>13.662992320997301</v>
      </c>
      <c r="AI1304">
        <v>94.298360420927594</v>
      </c>
      <c r="AJ1304">
        <v>68.2303264084413</v>
      </c>
      <c r="AK1304">
        <v>14.7537338612184</v>
      </c>
      <c r="AL1304">
        <v>91.666497634110101</v>
      </c>
      <c r="AM1304">
        <v>82.276695853008803</v>
      </c>
      <c r="AN1304">
        <v>1.00000000631317</v>
      </c>
    </row>
    <row r="1305" spans="1:40" x14ac:dyDescent="0.25">
      <c r="A1305" t="str">
        <f>"20190305135815700"</f>
        <v>20190305135815700</v>
      </c>
      <c r="B1305" t="str">
        <f>"1551765495690125"</f>
        <v>1551765495690125</v>
      </c>
      <c r="C1305" t="s">
        <v>40</v>
      </c>
      <c r="D1305">
        <v>4.0553619999999997</v>
      </c>
      <c r="E1305">
        <v>0.59060239999999997</v>
      </c>
      <c r="F1305" t="s">
        <v>42</v>
      </c>
      <c r="G1305">
        <v>-193.59620000000001</v>
      </c>
      <c r="H1305" s="1">
        <v>-9.9048629999999994E-7</v>
      </c>
      <c r="I1305">
        <v>339.66750000000002</v>
      </c>
      <c r="J1305">
        <v>-194.98699999999999</v>
      </c>
      <c r="K1305">
        <v>1.10578</v>
      </c>
      <c r="L1305">
        <v>354.54349999999999</v>
      </c>
      <c r="M1305">
        <v>0.45395590000000002</v>
      </c>
      <c r="N1305">
        <v>-1.4375489999999999E-2</v>
      </c>
      <c r="O1305">
        <v>-0.89090820000000004</v>
      </c>
      <c r="P1305">
        <v>0.33029059999999999</v>
      </c>
      <c r="Q1305">
        <v>-4.0938179999999998E-2</v>
      </c>
      <c r="R1305">
        <v>-0.94299129999999998</v>
      </c>
      <c r="S1305">
        <v>0.30554199999999998</v>
      </c>
      <c r="T1305">
        <v>-0.2245393</v>
      </c>
      <c r="U1305">
        <v>-3.0682369999999999</v>
      </c>
      <c r="V1305">
        <v>0.1335606</v>
      </c>
      <c r="W1305">
        <v>-2.8024360000000002E-2</v>
      </c>
      <c r="X1305">
        <v>0.99064430000000003</v>
      </c>
      <c r="Y1305">
        <v>0.36330430000000002</v>
      </c>
      <c r="Z1305">
        <v>4.451393E-2</v>
      </c>
      <c r="AA1305">
        <v>0.9306065</v>
      </c>
      <c r="AB1305">
        <v>26</v>
      </c>
      <c r="AC1305">
        <v>1.3907999999999801</v>
      </c>
      <c r="AD1305">
        <v>-1.1057809904863001</v>
      </c>
      <c r="AE1305">
        <v>-14.8759999999999</v>
      </c>
      <c r="AF1305">
        <v>5.48450095860521</v>
      </c>
      <c r="AG1305">
        <v>-1.1057809904863001</v>
      </c>
      <c r="AH1305">
        <v>13.810300285399199</v>
      </c>
      <c r="AI1305">
        <v>94.255870372865203</v>
      </c>
      <c r="AJ1305">
        <v>68.340429521721603</v>
      </c>
      <c r="AK1305">
        <v>14.900566980379001</v>
      </c>
      <c r="AL1305">
        <v>91.605887857656697</v>
      </c>
      <c r="AM1305">
        <v>82.3215711740838</v>
      </c>
      <c r="AN1305">
        <v>0.99999996387412904</v>
      </c>
    </row>
    <row r="1306" spans="1:40" x14ac:dyDescent="0.25">
      <c r="A1306" t="str">
        <f>"20190305135815725"</f>
        <v>20190305135815725</v>
      </c>
      <c r="B1306" t="str">
        <f>"1551765495720381"</f>
        <v>1551765495720381</v>
      </c>
      <c r="C1306" t="s">
        <v>40</v>
      </c>
      <c r="D1306">
        <v>4.0614720000000002</v>
      </c>
      <c r="E1306">
        <v>0.58999409999999997</v>
      </c>
      <c r="F1306" t="s">
        <v>42</v>
      </c>
      <c r="G1306">
        <v>-193.51599999999999</v>
      </c>
      <c r="H1306" s="1">
        <v>-4.770835E-6</v>
      </c>
      <c r="I1306">
        <v>339.17340000000002</v>
      </c>
      <c r="J1306">
        <v>-194.8647</v>
      </c>
      <c r="K1306">
        <v>1.1057300000000001</v>
      </c>
      <c r="L1306">
        <v>354.2878</v>
      </c>
      <c r="M1306">
        <v>0.44841370000000003</v>
      </c>
      <c r="N1306">
        <v>-1.4356270000000001E-2</v>
      </c>
      <c r="O1306">
        <v>-0.89371109999999898</v>
      </c>
      <c r="P1306">
        <v>0.32346550000000002</v>
      </c>
      <c r="Q1306">
        <v>-3.9857509999999999E-2</v>
      </c>
      <c r="R1306">
        <v>-0.94540020000000002</v>
      </c>
      <c r="S1306">
        <v>0.29371639999999999</v>
      </c>
      <c r="T1306">
        <v>-0.2207894</v>
      </c>
      <c r="U1306">
        <v>-3.0689090000000001</v>
      </c>
      <c r="V1306">
        <v>0.1345962</v>
      </c>
      <c r="W1306">
        <v>-2.6988069999999999E-2</v>
      </c>
      <c r="X1306">
        <v>0.99053290000000005</v>
      </c>
      <c r="Y1306">
        <v>0.3610931</v>
      </c>
      <c r="Z1306">
        <v>4.3864420000000001E-2</v>
      </c>
      <c r="AA1306">
        <v>0.93149760000000004</v>
      </c>
      <c r="AB1306">
        <v>26</v>
      </c>
      <c r="AC1306">
        <v>1.3487</v>
      </c>
      <c r="AD1306">
        <v>-1.1057347708349901</v>
      </c>
      <c r="AE1306">
        <v>-15.1143999999999</v>
      </c>
      <c r="AF1306">
        <v>5.5432952132042397</v>
      </c>
      <c r="AG1306">
        <v>-1.1057347708349901</v>
      </c>
      <c r="AH1306">
        <v>14.039586797705701</v>
      </c>
      <c r="AI1306">
        <v>94.189723410999605</v>
      </c>
      <c r="AJ1306">
        <v>68.454246801331294</v>
      </c>
      <c r="AK1306">
        <v>15.134753670095799</v>
      </c>
      <c r="AL1306">
        <v>91.546490342198695</v>
      </c>
      <c r="AM1306">
        <v>82.261893122815195</v>
      </c>
      <c r="AN1306">
        <v>0.99999995947958598</v>
      </c>
    </row>
    <row r="1307" spans="1:40" x14ac:dyDescent="0.25">
      <c r="A1307" t="str">
        <f>"20190305135815744"</f>
        <v>20190305135815744</v>
      </c>
      <c r="B1307" t="str">
        <f>"1551765495739902"</f>
        <v>1551765495739902</v>
      </c>
      <c r="C1307" t="s">
        <v>40</v>
      </c>
      <c r="D1307">
        <v>4.0734149999999998</v>
      </c>
      <c r="E1307">
        <v>0.58970610000000001</v>
      </c>
      <c r="F1307" t="s">
        <v>42</v>
      </c>
      <c r="G1307">
        <v>-193.49189999999999</v>
      </c>
      <c r="H1307" s="1">
        <v>-4.7102089999999998E-6</v>
      </c>
      <c r="I1307">
        <v>339.00779999999997</v>
      </c>
      <c r="J1307">
        <v>-194.7655</v>
      </c>
      <c r="K1307">
        <v>1.105667</v>
      </c>
      <c r="L1307">
        <v>354.07729999999998</v>
      </c>
      <c r="M1307">
        <v>0.44373849999999998</v>
      </c>
      <c r="N1307">
        <v>-1.43447E-2</v>
      </c>
      <c r="O1307">
        <v>-0.89604169999999905</v>
      </c>
      <c r="P1307">
        <v>0.31700479999999998</v>
      </c>
      <c r="Q1307">
        <v>-3.8009750000000002E-2</v>
      </c>
      <c r="R1307">
        <v>-0.94766220000000001</v>
      </c>
      <c r="S1307">
        <v>0.27577210000000002</v>
      </c>
      <c r="T1307">
        <v>-0.22213040000000001</v>
      </c>
      <c r="U1307">
        <v>-3.0695800000000002</v>
      </c>
      <c r="V1307">
        <v>0.13622979999999901</v>
      </c>
      <c r="W1307">
        <v>-2.5191189999999999E-2</v>
      </c>
      <c r="X1307">
        <v>0.99035689999999998</v>
      </c>
      <c r="Y1307">
        <v>0.36164020000000002</v>
      </c>
      <c r="Z1307">
        <v>4.4442229999999999E-2</v>
      </c>
      <c r="AA1307">
        <v>0.93125789999999997</v>
      </c>
      <c r="AB1307">
        <v>26</v>
      </c>
      <c r="AC1307">
        <v>1.2736000000000101</v>
      </c>
      <c r="AD1307">
        <v>-1.1056717102089999</v>
      </c>
      <c r="AE1307">
        <v>-15.0695</v>
      </c>
      <c r="AF1307">
        <v>5.5167999141910302</v>
      </c>
      <c r="AG1307">
        <v>-1.1056717102089999</v>
      </c>
      <c r="AH1307">
        <v>13.994686525089501</v>
      </c>
      <c r="AI1307">
        <v>94.203774416687907</v>
      </c>
      <c r="AJ1307">
        <v>68.485306307454906</v>
      </c>
      <c r="AK1307">
        <v>15.083396240883401</v>
      </c>
      <c r="AL1307">
        <v>91.443501609314595</v>
      </c>
      <c r="AM1307">
        <v>82.167759368123697</v>
      </c>
      <c r="AN1307">
        <v>0.99999997191963197</v>
      </c>
    </row>
    <row r="1308" spans="1:40" x14ac:dyDescent="0.25">
      <c r="A1308" t="str">
        <f>"20190305135815768"</f>
        <v>20190305135815768</v>
      </c>
      <c r="B1308" t="str">
        <f>"1551765495760398"</f>
        <v>1551765495760398</v>
      </c>
      <c r="C1308" t="s">
        <v>40</v>
      </c>
      <c r="D1308">
        <v>4.1108379999999904</v>
      </c>
      <c r="E1308">
        <v>0.58940289999999995</v>
      </c>
      <c r="F1308" t="s">
        <v>42</v>
      </c>
      <c r="G1308">
        <v>-193.4605</v>
      </c>
      <c r="H1308" s="1">
        <v>-4.5179800000000001E-6</v>
      </c>
      <c r="I1308">
        <v>338.45929999999998</v>
      </c>
      <c r="J1308">
        <v>-194.65299999999999</v>
      </c>
      <c r="K1308">
        <v>1.105566</v>
      </c>
      <c r="L1308">
        <v>353.83449999999999</v>
      </c>
      <c r="M1308">
        <v>0.4381504</v>
      </c>
      <c r="N1308">
        <v>-1.43375E-2</v>
      </c>
      <c r="O1308">
        <v>-0.89878769999999997</v>
      </c>
      <c r="P1308">
        <v>0.31083070000000002</v>
      </c>
      <c r="Q1308">
        <v>-3.6102349999999998E-2</v>
      </c>
      <c r="R1308">
        <v>-0.94977990000000001</v>
      </c>
      <c r="S1308">
        <v>0.25662230000000003</v>
      </c>
      <c r="T1308">
        <v>-0.21742310000000001</v>
      </c>
      <c r="U1308">
        <v>-3.071167</v>
      </c>
      <c r="V1308">
        <v>0.13655329999999999</v>
      </c>
      <c r="W1308">
        <v>-2.3333050000000001E-2</v>
      </c>
      <c r="X1308">
        <v>0.99035790000000001</v>
      </c>
      <c r="Y1308">
        <v>0.3616434</v>
      </c>
      <c r="Z1308">
        <v>4.345852E-2</v>
      </c>
      <c r="AA1308">
        <v>0.93130310000000005</v>
      </c>
      <c r="AB1308">
        <v>26</v>
      </c>
      <c r="AC1308">
        <v>1.1924999999999899</v>
      </c>
      <c r="AD1308">
        <v>-1.1055705179799999</v>
      </c>
      <c r="AE1308">
        <v>-15.3752</v>
      </c>
      <c r="AF1308">
        <v>5.6364571851378802</v>
      </c>
      <c r="AG1308">
        <v>-1.1055705179799999</v>
      </c>
      <c r="AH1308">
        <v>14.269664575495399</v>
      </c>
      <c r="AI1308">
        <v>94.121566586838995</v>
      </c>
      <c r="AJ1308">
        <v>68.446189596545395</v>
      </c>
      <c r="AK1308">
        <v>15.3823035617968</v>
      </c>
      <c r="AL1308">
        <v>91.337006621531799</v>
      </c>
      <c r="AM1308">
        <v>82.149399901525399</v>
      </c>
      <c r="AN1308">
        <v>1.0000000025278</v>
      </c>
    </row>
    <row r="1309" spans="1:40" x14ac:dyDescent="0.25">
      <c r="A1309" t="str">
        <f>"20190305135815792"</f>
        <v>20190305135815792</v>
      </c>
      <c r="B1309" t="str">
        <f>"1551765495779918"</f>
        <v>1551765495779918</v>
      </c>
      <c r="C1309" t="s">
        <v>40</v>
      </c>
      <c r="D1309">
        <v>4.1064790000000002</v>
      </c>
      <c r="E1309">
        <v>0.58899000000000001</v>
      </c>
      <c r="F1309" t="s">
        <v>42</v>
      </c>
      <c r="G1309">
        <v>-193.31569999999999</v>
      </c>
      <c r="H1309" s="1">
        <v>-3.8984690000000002E-6</v>
      </c>
      <c r="I1309">
        <v>336.71429999999998</v>
      </c>
      <c r="J1309">
        <v>-194.53399999999999</v>
      </c>
      <c r="K1309">
        <v>1.1053999999999999</v>
      </c>
      <c r="L1309">
        <v>353.57279999999997</v>
      </c>
      <c r="M1309">
        <v>0.43184699999999998</v>
      </c>
      <c r="N1309">
        <v>-1.433854E-2</v>
      </c>
      <c r="O1309">
        <v>-0.90183279999999999</v>
      </c>
      <c r="P1309">
        <v>0.3049289</v>
      </c>
      <c r="Q1309">
        <v>-3.3799959999999997E-2</v>
      </c>
      <c r="R1309">
        <v>-0.95177509999999999</v>
      </c>
      <c r="S1309">
        <v>0.24000550000000001</v>
      </c>
      <c r="T1309">
        <v>-0.19841600000000001</v>
      </c>
      <c r="U1309">
        <v>-3.07254</v>
      </c>
      <c r="V1309">
        <v>0.13581879999999999</v>
      </c>
      <c r="W1309">
        <v>-2.1080370000000001E-2</v>
      </c>
      <c r="X1309">
        <v>0.99050939999999998</v>
      </c>
      <c r="Y1309">
        <v>0.36016239999999999</v>
      </c>
      <c r="Z1309">
        <v>3.8718580000000002E-2</v>
      </c>
      <c r="AA1309">
        <v>0.93208579999999996</v>
      </c>
      <c r="AB1309">
        <v>26</v>
      </c>
      <c r="AC1309">
        <v>1.2183000000000199</v>
      </c>
      <c r="AD1309">
        <v>-1.105403898469</v>
      </c>
      <c r="AE1309">
        <v>-16.8584999999999</v>
      </c>
      <c r="AF1309">
        <v>6.1558969030312101</v>
      </c>
      <c r="AG1309">
        <v>-1.105403898469</v>
      </c>
      <c r="AH1309">
        <v>15.664289466564</v>
      </c>
      <c r="AI1309">
        <v>93.757714975252796</v>
      </c>
      <c r="AJ1309">
        <v>68.545708275297599</v>
      </c>
      <c r="AK1309">
        <v>16.8667409107927</v>
      </c>
      <c r="AL1309">
        <v>91.207905704813697</v>
      </c>
      <c r="AM1309">
        <v>82.192284407240507</v>
      </c>
      <c r="AN1309">
        <v>0.99999999996056799</v>
      </c>
    </row>
    <row r="1310" spans="1:40" x14ac:dyDescent="0.25">
      <c r="A1310" t="str">
        <f>"20190305135815812"</f>
        <v>20190305135815812</v>
      </c>
      <c r="B1310" t="str">
        <f>"1551765495799437"</f>
        <v>1551765495799437</v>
      </c>
      <c r="C1310" t="s">
        <v>40</v>
      </c>
      <c r="D1310">
        <v>4.0826229999999999</v>
      </c>
      <c r="E1310">
        <v>0.58864240000000001</v>
      </c>
      <c r="F1310" t="s">
        <v>42</v>
      </c>
      <c r="G1310">
        <v>-193.20140000000001</v>
      </c>
      <c r="H1310" s="1">
        <v>-3.292607E-6</v>
      </c>
      <c r="I1310">
        <v>335.27870000000001</v>
      </c>
      <c r="J1310">
        <v>-194.4409</v>
      </c>
      <c r="K1310">
        <v>1.1052390000000001</v>
      </c>
      <c r="L1310">
        <v>353.36360000000002</v>
      </c>
      <c r="M1310">
        <v>0.4265562</v>
      </c>
      <c r="N1310">
        <v>-1.434619E-2</v>
      </c>
      <c r="O1310">
        <v>-0.90434740000000002</v>
      </c>
      <c r="P1310">
        <v>0.30116419999999999</v>
      </c>
      <c r="Q1310">
        <v>-3.124586E-2</v>
      </c>
      <c r="R1310">
        <v>-0.95306040000000003</v>
      </c>
      <c r="S1310">
        <v>0.22389220000000001</v>
      </c>
      <c r="T1310">
        <v>-0.18572279999999999</v>
      </c>
      <c r="U1310">
        <v>-3.0736690000000002</v>
      </c>
      <c r="V1310">
        <v>0.13398860000000001</v>
      </c>
      <c r="W1310">
        <v>-1.8554749999999998E-2</v>
      </c>
      <c r="X1310">
        <v>0.9908091</v>
      </c>
      <c r="Y1310">
        <v>0.35958830000000003</v>
      </c>
      <c r="Z1310">
        <v>3.5543289999999998E-2</v>
      </c>
      <c r="AA1310">
        <v>0.93243379999999998</v>
      </c>
      <c r="AB1310">
        <v>26</v>
      </c>
      <c r="AC1310">
        <v>1.2394999999999901</v>
      </c>
      <c r="AD1310">
        <v>-1.10524229260699</v>
      </c>
      <c r="AE1310">
        <v>-18.084900000000001</v>
      </c>
      <c r="AF1310">
        <v>6.5695433946678898</v>
      </c>
      <c r="AG1310">
        <v>-1.10524229260699</v>
      </c>
      <c r="AH1310">
        <v>16.822945726751701</v>
      </c>
      <c r="AI1310">
        <v>93.502003392550606</v>
      </c>
      <c r="AJ1310">
        <v>68.668813734002796</v>
      </c>
      <c r="AK1310">
        <v>18.0939758998685</v>
      </c>
      <c r="AL1310">
        <v>91.0631699304585</v>
      </c>
      <c r="AM1310">
        <v>82.298526112112299</v>
      </c>
      <c r="AN1310">
        <v>0.99999994816016402</v>
      </c>
    </row>
    <row r="1311" spans="1:40" x14ac:dyDescent="0.25">
      <c r="A1311" t="str">
        <f>"20190305135815834"</f>
        <v>20190305135815834</v>
      </c>
      <c r="B1311" t="str">
        <f>"1551765495829694"</f>
        <v>1551765495829694</v>
      </c>
      <c r="C1311" t="s">
        <v>40</v>
      </c>
      <c r="D1311">
        <v>4.1315619999999997</v>
      </c>
      <c r="E1311">
        <v>0.58815220000000001</v>
      </c>
      <c r="F1311" t="s">
        <v>42</v>
      </c>
      <c r="G1311">
        <v>-193.0376</v>
      </c>
      <c r="H1311" s="1">
        <v>-2.4086530000000001E-6</v>
      </c>
      <c r="I1311">
        <v>333.31970000000001</v>
      </c>
      <c r="J1311">
        <v>-194.33420000000001</v>
      </c>
      <c r="K1311">
        <v>1.1050230000000001</v>
      </c>
      <c r="L1311">
        <v>353.1191</v>
      </c>
      <c r="M1311">
        <v>0.4200738</v>
      </c>
      <c r="N1311">
        <v>-1.4361179999999999E-2</v>
      </c>
      <c r="O1311">
        <v>-0.90737650000000003</v>
      </c>
      <c r="P1311">
        <v>0.29714990000000002</v>
      </c>
      <c r="Q1311">
        <v>-2.6204649999999999E-2</v>
      </c>
      <c r="R1311">
        <v>-0.95447150000000003</v>
      </c>
      <c r="S1311">
        <v>0.21522520000000001</v>
      </c>
      <c r="T1311">
        <v>-0.16951629999999901</v>
      </c>
      <c r="U1311">
        <v>-3.0742189999999998</v>
      </c>
      <c r="V1311">
        <v>0.13118270000000001</v>
      </c>
      <c r="W1311">
        <v>-1.3538619999999999E-2</v>
      </c>
      <c r="X1311">
        <v>0.99126579999999997</v>
      </c>
      <c r="Y1311">
        <v>0.3555468</v>
      </c>
      <c r="Z1311">
        <v>3.1478819999999998E-2</v>
      </c>
      <c r="AA1311">
        <v>0.93412830000000002</v>
      </c>
      <c r="AB1311">
        <v>26</v>
      </c>
      <c r="AC1311">
        <v>1.29660000000001</v>
      </c>
      <c r="AD1311">
        <v>-1.10502540865299</v>
      </c>
      <c r="AE1311">
        <v>-19.799399999999899</v>
      </c>
      <c r="AF1311">
        <v>7.11935882935291</v>
      </c>
      <c r="AG1311">
        <v>-1.10502540865299</v>
      </c>
      <c r="AH1311">
        <v>18.454844742854402</v>
      </c>
      <c r="AI1311">
        <v>93.197476414269104</v>
      </c>
      <c r="AJ1311">
        <v>68.904791577812006</v>
      </c>
      <c r="AK1311">
        <v>19.811300961262301</v>
      </c>
      <c r="AL1311">
        <v>90.7757294539322</v>
      </c>
      <c r="AM1311">
        <v>82.461364006825207</v>
      </c>
      <c r="AN1311">
        <v>1.0000000406302101</v>
      </c>
    </row>
    <row r="1312" spans="1:40" x14ac:dyDescent="0.25">
      <c r="A1312" t="str">
        <f>"20190305135815857"</f>
        <v>20190305135815857</v>
      </c>
      <c r="B1312" t="str">
        <f>"1551765495850190"</f>
        <v>1551765495850190</v>
      </c>
      <c r="C1312" t="s">
        <v>40</v>
      </c>
      <c r="D1312">
        <v>4.1018530000000002</v>
      </c>
      <c r="E1312">
        <v>0.58780410000000005</v>
      </c>
      <c r="F1312" t="s">
        <v>42</v>
      </c>
      <c r="G1312">
        <v>-192.82579999999999</v>
      </c>
      <c r="H1312" s="1">
        <v>-1.209674E-6</v>
      </c>
      <c r="I1312">
        <v>330.65629999999999</v>
      </c>
      <c r="J1312">
        <v>-194.2296</v>
      </c>
      <c r="K1312">
        <v>1.104786</v>
      </c>
      <c r="L1312">
        <v>352.87369999999999</v>
      </c>
      <c r="M1312">
        <v>0.4132171</v>
      </c>
      <c r="N1312">
        <v>-1.438189E-2</v>
      </c>
      <c r="O1312">
        <v>-0.91051910000000003</v>
      </c>
      <c r="P1312">
        <v>0.29374539999999999</v>
      </c>
      <c r="Q1312">
        <v>-1.9970769999999999E-2</v>
      </c>
      <c r="R1312">
        <v>-0.95567519999999995</v>
      </c>
      <c r="S1312">
        <v>0.2064667</v>
      </c>
      <c r="T1312">
        <v>-0.1512551</v>
      </c>
      <c r="U1312">
        <v>-3.0747070000000001</v>
      </c>
      <c r="V1312">
        <v>0.12737180000000001</v>
      </c>
      <c r="W1312">
        <v>-7.3109940000000003E-3</v>
      </c>
      <c r="X1312">
        <v>0.99182809999999999</v>
      </c>
      <c r="Y1312">
        <v>0.35116429999999998</v>
      </c>
      <c r="Z1312">
        <v>2.680745E-2</v>
      </c>
      <c r="AA1312">
        <v>0.93593000000000004</v>
      </c>
      <c r="AB1312">
        <v>26</v>
      </c>
      <c r="AC1312">
        <v>1.4038000000000099</v>
      </c>
      <c r="AD1312">
        <v>-1.1047872096739999</v>
      </c>
      <c r="AE1312">
        <v>-22.217400000000001</v>
      </c>
      <c r="AF1312">
        <v>7.8838225368047699</v>
      </c>
      <c r="AG1312">
        <v>-1.1047872096739999</v>
      </c>
      <c r="AH1312">
        <v>20.760460941625801</v>
      </c>
      <c r="AI1312">
        <v>92.848086831556003</v>
      </c>
      <c r="AJ1312">
        <v>69.205636144085503</v>
      </c>
      <c r="AK1312">
        <v>22.234476631557101</v>
      </c>
      <c r="AL1312">
        <v>90.418892830722697</v>
      </c>
      <c r="AM1312">
        <v>82.682058421982404</v>
      </c>
      <c r="AN1312">
        <v>1.0000000030090499</v>
      </c>
    </row>
    <row r="1313" spans="1:40" x14ac:dyDescent="0.25">
      <c r="A1313" t="str">
        <f>"20190305135815880"</f>
        <v>20190305135815880</v>
      </c>
      <c r="B1313" t="str">
        <f>"1551765495869710"</f>
        <v>1551765495869710</v>
      </c>
      <c r="C1313" t="s">
        <v>40</v>
      </c>
      <c r="D1313">
        <v>4.148479</v>
      </c>
      <c r="E1313">
        <v>0.58775500000000003</v>
      </c>
      <c r="F1313" t="s">
        <v>42</v>
      </c>
      <c r="G1313">
        <v>-192.54409999999999</v>
      </c>
      <c r="H1313" s="1">
        <v>-3.7617820000000001E-6</v>
      </c>
      <c r="I1313">
        <v>326.77999999999997</v>
      </c>
      <c r="J1313">
        <v>-194.12700000000001</v>
      </c>
      <c r="K1313">
        <v>1.1045529999999999</v>
      </c>
      <c r="L1313">
        <v>352.62630000000001</v>
      </c>
      <c r="M1313">
        <v>0.40594259999999999</v>
      </c>
      <c r="N1313">
        <v>-1.4407329999999999E-2</v>
      </c>
      <c r="O1313">
        <v>-0.91378499999999996</v>
      </c>
      <c r="P1313">
        <v>0.28863820000000001</v>
      </c>
      <c r="Q1313">
        <v>-1.4605450000000001E-2</v>
      </c>
      <c r="R1313">
        <v>-0.95732720000000004</v>
      </c>
      <c r="S1313">
        <v>0.1986542</v>
      </c>
      <c r="T1313">
        <v>-0.13020970000000001</v>
      </c>
      <c r="U1313">
        <v>-3.0753780000000002</v>
      </c>
      <c r="V1313">
        <v>0.1248645</v>
      </c>
      <c r="W1313">
        <v>-1.9609570000000002E-3</v>
      </c>
      <c r="X1313">
        <v>0.9921719</v>
      </c>
      <c r="Y1313">
        <v>0.34608909999999998</v>
      </c>
      <c r="Z1313">
        <v>2.1316600000000002E-2</v>
      </c>
      <c r="AA1313">
        <v>0.93795949999999995</v>
      </c>
      <c r="AB1313">
        <v>26</v>
      </c>
      <c r="AC1313">
        <v>1.58290000000002</v>
      </c>
      <c r="AD1313">
        <v>-1.104556761782</v>
      </c>
      <c r="AE1313">
        <v>-25.846299999999999</v>
      </c>
      <c r="AF1313">
        <v>9.0301924521304997</v>
      </c>
      <c r="AG1313">
        <v>-1.104556761782</v>
      </c>
      <c r="AH1313">
        <v>24.218979594905399</v>
      </c>
      <c r="AI1313">
        <v>92.446947750520906</v>
      </c>
      <c r="AJ1313">
        <v>69.551726610147796</v>
      </c>
      <c r="AK1313">
        <v>25.871285124263899</v>
      </c>
      <c r="AL1313">
        <v>90.1123546281015</v>
      </c>
      <c r="AM1313">
        <v>82.827055483384896</v>
      </c>
      <c r="AN1313">
        <v>1.0000000339310999</v>
      </c>
    </row>
    <row r="1314" spans="1:40" x14ac:dyDescent="0.25">
      <c r="A1314" t="str">
        <f>"20190305135815905"</f>
        <v>20190305135815905</v>
      </c>
      <c r="B1314" t="str">
        <f>"1551765495899965"</f>
        <v>1551765495899965</v>
      </c>
      <c r="C1314" t="s">
        <v>40</v>
      </c>
      <c r="D1314">
        <v>4.1316470000000001</v>
      </c>
      <c r="E1314">
        <v>0.60274899999999998</v>
      </c>
      <c r="F1314" t="s">
        <v>42</v>
      </c>
      <c r="G1314">
        <v>-192.4622</v>
      </c>
      <c r="H1314" s="1">
        <v>-2.7765220000000002E-6</v>
      </c>
      <c r="I1314">
        <v>324.53410000000002</v>
      </c>
      <c r="J1314">
        <v>-194.01480000000001</v>
      </c>
      <c r="K1314">
        <v>1.1043289999999999</v>
      </c>
      <c r="L1314">
        <v>352.34769999999997</v>
      </c>
      <c r="M1314">
        <v>0.3973565</v>
      </c>
      <c r="N1314">
        <v>-1.443757E-2</v>
      </c>
      <c r="O1314">
        <v>-0.91755089999999995</v>
      </c>
      <c r="P1314">
        <v>0.28043829999999997</v>
      </c>
      <c r="Q1314">
        <v>-1.042856E-2</v>
      </c>
      <c r="R1314">
        <v>-0.95981559999999999</v>
      </c>
      <c r="S1314">
        <v>0.18234249999999999</v>
      </c>
      <c r="T1314">
        <v>-0.1209795</v>
      </c>
      <c r="U1314">
        <v>-3.0768740000000001</v>
      </c>
      <c r="V1314">
        <v>0.124127399999999</v>
      </c>
      <c r="W1314">
        <v>2.181353E-3</v>
      </c>
      <c r="X1314">
        <v>0.99226389999999998</v>
      </c>
      <c r="Y1314">
        <v>0.34227999999999997</v>
      </c>
      <c r="Z1314">
        <v>1.8986360000000001E-2</v>
      </c>
      <c r="AA1314">
        <v>0.93940619999999997</v>
      </c>
      <c r="AB1314">
        <v>26</v>
      </c>
      <c r="AC1314">
        <v>1.55260000000001</v>
      </c>
      <c r="AD1314">
        <v>-1.104331776522</v>
      </c>
      <c r="AE1314">
        <v>-27.813599999999902</v>
      </c>
      <c r="AF1314">
        <v>9.6132195379024008</v>
      </c>
      <c r="AG1314">
        <v>-1.104331776522</v>
      </c>
      <c r="AH1314">
        <v>26.0990337423063</v>
      </c>
      <c r="AI1314">
        <v>92.273753218927894</v>
      </c>
      <c r="AJ1314">
        <v>69.779420142861198</v>
      </c>
      <c r="AK1314">
        <v>27.835105547466299</v>
      </c>
      <c r="AL1314">
        <v>89.875017581415094</v>
      </c>
      <c r="AM1314">
        <v>82.869615972927505</v>
      </c>
      <c r="AN1314">
        <v>1.0000000084874401</v>
      </c>
    </row>
    <row r="1315" spans="1:40" x14ac:dyDescent="0.25">
      <c r="A1315" t="str">
        <f>"20190305135815925"</f>
        <v>20190305135815925</v>
      </c>
      <c r="B1315" t="str">
        <f>"1551765495919486"</f>
        <v>1551765495919486</v>
      </c>
      <c r="C1315" t="s">
        <v>40</v>
      </c>
      <c r="D1315">
        <v>4.1073649999999997</v>
      </c>
      <c r="E1315">
        <v>0.60157069999999901</v>
      </c>
      <c r="F1315" t="s">
        <v>42</v>
      </c>
      <c r="G1315">
        <v>-193.75980000000001</v>
      </c>
      <c r="H1315" s="1">
        <v>-1.2192689999999999E-6</v>
      </c>
      <c r="I1315">
        <v>330.0994</v>
      </c>
      <c r="J1315">
        <v>-193.93209999999999</v>
      </c>
      <c r="K1315">
        <v>1.1041939999999999</v>
      </c>
      <c r="L1315">
        <v>352.13679999999999</v>
      </c>
      <c r="M1315">
        <v>0.39065549999999999</v>
      </c>
      <c r="N1315">
        <v>-1.445898E-2</v>
      </c>
      <c r="O1315">
        <v>-0.92042360000000001</v>
      </c>
      <c r="P1315">
        <v>0.27387</v>
      </c>
      <c r="Q1315">
        <v>-9.0222640000000003E-3</v>
      </c>
      <c r="R1315">
        <v>-0.96172449999999998</v>
      </c>
      <c r="S1315">
        <v>3.5690310000000003E-2</v>
      </c>
      <c r="T1315">
        <v>-0.15454470000000001</v>
      </c>
      <c r="U1315">
        <v>-3.1135250000000001</v>
      </c>
      <c r="V1315">
        <v>0.1237027</v>
      </c>
      <c r="W1315">
        <v>3.5694210000000001E-3</v>
      </c>
      <c r="X1315">
        <v>0.99231290000000005</v>
      </c>
      <c r="Y1315">
        <v>0.37992359999999997</v>
      </c>
      <c r="Z1315">
        <v>2.7399799999999998E-2</v>
      </c>
      <c r="AA1315">
        <v>0.92461199999999999</v>
      </c>
      <c r="AB1315">
        <v>26</v>
      </c>
      <c r="AC1315">
        <v>0.172299999999978</v>
      </c>
      <c r="AD1315">
        <v>-1.1041952192689899</v>
      </c>
      <c r="AE1315">
        <v>-22.037399999999899</v>
      </c>
      <c r="AF1315">
        <v>8.4301612215585493</v>
      </c>
      <c r="AG1315">
        <v>-1.1041952192689899</v>
      </c>
      <c r="AH1315">
        <v>20.302209866191401</v>
      </c>
      <c r="AI1315">
        <v>92.8755366682893</v>
      </c>
      <c r="AJ1315">
        <v>67.450129364386299</v>
      </c>
      <c r="AK1315">
        <v>22.010601780837501</v>
      </c>
      <c r="AL1315">
        <v>89.795486806121204</v>
      </c>
      <c r="AM1315">
        <v>82.894109945761002</v>
      </c>
      <c r="AN1315">
        <v>0.99999999512998705</v>
      </c>
    </row>
    <row r="1316" spans="1:40" x14ac:dyDescent="0.25">
      <c r="A1316" t="str">
        <f>"20190305135815946"</f>
        <v>20190305135815946</v>
      </c>
      <c r="B1316" t="str">
        <f>"1551765495940439"</f>
        <v>1551765495940439</v>
      </c>
      <c r="C1316" t="s">
        <v>40</v>
      </c>
      <c r="D1316">
        <v>4.0919189999999999</v>
      </c>
      <c r="E1316">
        <v>0.60092129999999999</v>
      </c>
      <c r="F1316" t="s">
        <v>42</v>
      </c>
      <c r="G1316">
        <v>-193.756</v>
      </c>
      <c r="H1316" s="1">
        <v>-4.8485530000000002E-6</v>
      </c>
      <c r="I1316">
        <v>329.27670000000001</v>
      </c>
      <c r="J1316">
        <v>-193.84610000000001</v>
      </c>
      <c r="K1316">
        <v>1.10408</v>
      </c>
      <c r="L1316">
        <v>351.91199999999998</v>
      </c>
      <c r="M1316">
        <v>0.3833452</v>
      </c>
      <c r="N1316">
        <v>-1.447901E-2</v>
      </c>
      <c r="O1316">
        <v>-0.92349179999999997</v>
      </c>
      <c r="P1316">
        <v>0.26586189999999998</v>
      </c>
      <c r="Q1316">
        <v>-1.039468E-2</v>
      </c>
      <c r="R1316">
        <v>-0.96395520000000001</v>
      </c>
      <c r="S1316">
        <v>2.39563E-2</v>
      </c>
      <c r="T1316">
        <v>-0.15027579999999999</v>
      </c>
      <c r="U1316">
        <v>-3.111145</v>
      </c>
      <c r="V1316">
        <v>0.1240639</v>
      </c>
      <c r="W1316">
        <v>2.171816E-3</v>
      </c>
      <c r="X1316">
        <v>0.99227180000000004</v>
      </c>
      <c r="Y1316">
        <v>0.37607200000000002</v>
      </c>
      <c r="Z1316">
        <v>2.6505230000000001E-2</v>
      </c>
      <c r="AA1316">
        <v>0.92621120000000001</v>
      </c>
      <c r="AB1316">
        <v>26</v>
      </c>
      <c r="AC1316">
        <v>9.0100000000035096E-2</v>
      </c>
      <c r="AD1316">
        <v>-1.1040848485529999</v>
      </c>
      <c r="AE1316">
        <v>-22.635299999999901</v>
      </c>
      <c r="AF1316">
        <v>8.5744266973434904</v>
      </c>
      <c r="AG1316">
        <v>-1.1040848485529999</v>
      </c>
      <c r="AH1316">
        <v>20.890543251361201</v>
      </c>
      <c r="AI1316">
        <v>92.799121288965793</v>
      </c>
      <c r="AJ1316">
        <v>67.684528810095202</v>
      </c>
      <c r="AK1316">
        <v>22.608728267594199</v>
      </c>
      <c r="AL1316">
        <v>89.875564004849494</v>
      </c>
      <c r="AM1316">
        <v>82.8732823109615</v>
      </c>
      <c r="AN1316">
        <v>0.99999994657159197</v>
      </c>
    </row>
    <row r="1317" spans="1:40" x14ac:dyDescent="0.25">
      <c r="A1317" t="str">
        <f>"20190305135815969"</f>
        <v>20190305135815969</v>
      </c>
      <c r="B1317" t="str">
        <f>"1551765495959959"</f>
        <v>1551765495959959</v>
      </c>
      <c r="C1317" t="s">
        <v>40</v>
      </c>
      <c r="D1317">
        <v>4.1462279999999998</v>
      </c>
      <c r="E1317">
        <v>0.6001746</v>
      </c>
      <c r="F1317" t="s">
        <v>42</v>
      </c>
      <c r="G1317">
        <v>-193.82329999999999</v>
      </c>
      <c r="H1317" s="1">
        <v>-1.1846569999999999E-6</v>
      </c>
      <c r="I1317">
        <v>329.97930000000002</v>
      </c>
      <c r="J1317">
        <v>-193.751</v>
      </c>
      <c r="K1317">
        <v>1.103974</v>
      </c>
      <c r="L1317">
        <v>351.65640000000002</v>
      </c>
      <c r="M1317">
        <v>0.37486269999999999</v>
      </c>
      <c r="N1317">
        <v>-1.449866E-2</v>
      </c>
      <c r="O1317">
        <v>-0.92696710000000004</v>
      </c>
      <c r="P1317">
        <v>0.25692289999999901</v>
      </c>
      <c r="Q1317">
        <v>-8.8807759999999999E-3</v>
      </c>
      <c r="R1317">
        <v>-0.96639109999999995</v>
      </c>
      <c r="S1317">
        <v>3.2348630000000001E-3</v>
      </c>
      <c r="T1317">
        <v>-0.15653349999999999</v>
      </c>
      <c r="U1317">
        <v>-3.1095579999999998</v>
      </c>
      <c r="V1317">
        <v>0.1241858</v>
      </c>
      <c r="W1317">
        <v>3.6705090000000002E-3</v>
      </c>
      <c r="X1317">
        <v>0.99225220000000003</v>
      </c>
      <c r="Y1317">
        <v>0.37373919999999999</v>
      </c>
      <c r="Z1317">
        <v>2.847423E-2</v>
      </c>
      <c r="AA1317">
        <v>0.9270967</v>
      </c>
      <c r="AB1317">
        <v>26</v>
      </c>
      <c r="AC1317">
        <v>-7.2300000000012604E-2</v>
      </c>
      <c r="AD1317">
        <v>-1.1039751846570001</v>
      </c>
      <c r="AE1317">
        <v>-21.677099999999999</v>
      </c>
      <c r="AF1317">
        <v>8.1726192365435892</v>
      </c>
      <c r="AG1317">
        <v>-1.1039751846570001</v>
      </c>
      <c r="AH1317">
        <v>20.017045599452999</v>
      </c>
      <c r="AI1317">
        <v>92.922983091051705</v>
      </c>
      <c r="AJ1317">
        <v>67.790641584493699</v>
      </c>
      <c r="AK1317">
        <v>21.649309017251301</v>
      </c>
      <c r="AL1317">
        <v>89.789694854874199</v>
      </c>
      <c r="AM1317">
        <v>82.866212543869295</v>
      </c>
      <c r="AN1317">
        <v>1.0000000069813899</v>
      </c>
    </row>
    <row r="1318" spans="1:40" x14ac:dyDescent="0.25">
      <c r="A1318" t="str">
        <f>"20190305135815992"</f>
        <v>20190305135815992</v>
      </c>
      <c r="B1318" t="str">
        <f>"1551765495979478"</f>
        <v>1551765495979478</v>
      </c>
      <c r="C1318" t="s">
        <v>40</v>
      </c>
      <c r="D1318">
        <v>4.1580380000000003</v>
      </c>
      <c r="E1318">
        <v>0.59940009999999999</v>
      </c>
      <c r="F1318" t="s">
        <v>42</v>
      </c>
      <c r="G1318">
        <v>-193.89160000000001</v>
      </c>
      <c r="H1318" s="1">
        <v>-1.27673E-6</v>
      </c>
      <c r="I1318">
        <v>330.15159999999997</v>
      </c>
      <c r="J1318">
        <v>-193.66069999999999</v>
      </c>
      <c r="K1318">
        <v>1.1038889999999999</v>
      </c>
      <c r="L1318">
        <v>351.40649999999999</v>
      </c>
      <c r="M1318">
        <v>0.366456</v>
      </c>
      <c r="N1318">
        <v>-1.451503E-2</v>
      </c>
      <c r="O1318">
        <v>-0.93032219999999999</v>
      </c>
      <c r="P1318">
        <v>0.2489854</v>
      </c>
      <c r="Q1318">
        <v>-8.4818789999999995E-3</v>
      </c>
      <c r="R1318">
        <v>-0.96847050000000001</v>
      </c>
      <c r="S1318">
        <v>-2.0324709999999999E-2</v>
      </c>
      <c r="T1318">
        <v>-0.1595685</v>
      </c>
      <c r="U1318">
        <v>-3.1083069999999999</v>
      </c>
      <c r="V1318">
        <v>0.1233529</v>
      </c>
      <c r="W1318">
        <v>4.0782020000000004E-3</v>
      </c>
      <c r="X1318">
        <v>0.99235450000000003</v>
      </c>
      <c r="Y1318">
        <v>0.37236659999999999</v>
      </c>
      <c r="Z1318">
        <v>2.955501E-2</v>
      </c>
      <c r="AA1318">
        <v>0.92761499999999997</v>
      </c>
      <c r="AB1318">
        <v>26</v>
      </c>
      <c r="AC1318">
        <v>-0.23090000000001901</v>
      </c>
      <c r="AD1318">
        <v>-1.1038902767299901</v>
      </c>
      <c r="AE1318">
        <v>-21.254899999999999</v>
      </c>
      <c r="AF1318">
        <v>7.98310946037883</v>
      </c>
      <c r="AG1318">
        <v>-1.1038902767299901</v>
      </c>
      <c r="AH1318">
        <v>19.6383993455587</v>
      </c>
      <c r="AI1318">
        <v>92.980859379053896</v>
      </c>
      <c r="AJ1318">
        <v>67.878007212283293</v>
      </c>
      <c r="AK1318">
        <v>21.227702166157499</v>
      </c>
      <c r="AL1318">
        <v>89.766335592414706</v>
      </c>
      <c r="AM1318">
        <v>82.914293086715006</v>
      </c>
      <c r="AN1318">
        <v>1.0000000116701</v>
      </c>
    </row>
    <row r="1319" spans="1:40" x14ac:dyDescent="0.25">
      <c r="A1319" t="str">
        <f>"20190305135816014"</f>
        <v>20190305135816014</v>
      </c>
      <c r="B1319" t="str">
        <f>"1551765496009736"</f>
        <v>1551765496009736</v>
      </c>
      <c r="C1319" t="s">
        <v>40</v>
      </c>
      <c r="D1319">
        <v>4.1572690000000003</v>
      </c>
      <c r="E1319">
        <v>0.59807719999999998</v>
      </c>
      <c r="F1319" t="s">
        <v>42</v>
      </c>
      <c r="G1319">
        <v>-193.9315</v>
      </c>
      <c r="H1319" s="1">
        <v>-1.310018E-6</v>
      </c>
      <c r="I1319">
        <v>330.20440000000002</v>
      </c>
      <c r="J1319">
        <v>-193.5772</v>
      </c>
      <c r="K1319">
        <v>1.103836</v>
      </c>
      <c r="L1319">
        <v>351.16840000000002</v>
      </c>
      <c r="M1319">
        <v>0.35838399999999998</v>
      </c>
      <c r="N1319">
        <v>-1.452764E-2</v>
      </c>
      <c r="O1319">
        <v>-0.93346119999999999</v>
      </c>
      <c r="P1319">
        <v>0.2417059</v>
      </c>
      <c r="Q1319">
        <v>-8.4145079999999994E-3</v>
      </c>
      <c r="R1319">
        <v>-0.97031279999999998</v>
      </c>
      <c r="S1319">
        <v>-3.9672850000000003E-2</v>
      </c>
      <c r="T1319">
        <v>-0.1617374</v>
      </c>
      <c r="U1319">
        <v>-3.1064449999999999</v>
      </c>
      <c r="V1319">
        <v>0.122211</v>
      </c>
      <c r="W1319">
        <v>4.1659399999999999E-3</v>
      </c>
      <c r="X1319">
        <v>0.99249540000000003</v>
      </c>
      <c r="Y1319">
        <v>0.3701064</v>
      </c>
      <c r="Z1319">
        <v>3.041574E-2</v>
      </c>
      <c r="AA1319">
        <v>0.92849130000000002</v>
      </c>
      <c r="AB1319">
        <v>26</v>
      </c>
      <c r="AC1319">
        <v>-0.35429999999999401</v>
      </c>
      <c r="AD1319">
        <v>-1.1038373100179999</v>
      </c>
      <c r="AE1319">
        <v>-20.963999999999999</v>
      </c>
      <c r="AF1319">
        <v>7.8230328392822601</v>
      </c>
      <c r="AG1319">
        <v>-1.1038373100179999</v>
      </c>
      <c r="AH1319">
        <v>19.390414182113599</v>
      </c>
      <c r="AI1319">
        <v>93.021973175790095</v>
      </c>
      <c r="AJ1319">
        <v>68.028463578981203</v>
      </c>
      <c r="AK1319">
        <v>20.938158031818102</v>
      </c>
      <c r="AL1319">
        <v>89.761308530184607</v>
      </c>
      <c r="AM1319">
        <v>82.980215881331603</v>
      </c>
      <c r="AN1319">
        <v>1.0000000012991199</v>
      </c>
    </row>
    <row r="1320" spans="1:40" x14ac:dyDescent="0.25">
      <c r="A1320" t="str">
        <f>"20190305135816037"</f>
        <v>20190305135816037</v>
      </c>
      <c r="B1320" t="str">
        <f>"1551765496030231"</f>
        <v>1551765496030231</v>
      </c>
      <c r="C1320" t="s">
        <v>40</v>
      </c>
      <c r="D1320">
        <v>4.1586910000000001</v>
      </c>
      <c r="E1320">
        <v>0.59724769999999905</v>
      </c>
      <c r="F1320" t="s">
        <v>42</v>
      </c>
      <c r="G1320">
        <v>-193.92519999999999</v>
      </c>
      <c r="H1320" s="1">
        <v>-1.5032000000000001E-6</v>
      </c>
      <c r="I1320">
        <v>330.65859999999998</v>
      </c>
      <c r="J1320">
        <v>-193.49350000000001</v>
      </c>
      <c r="K1320">
        <v>1.1037920000000001</v>
      </c>
      <c r="L1320">
        <v>350.92309999999998</v>
      </c>
      <c r="M1320">
        <v>0.35003790000000001</v>
      </c>
      <c r="N1320">
        <v>-1.453729E-2</v>
      </c>
      <c r="O1320">
        <v>-0.93662290000000004</v>
      </c>
      <c r="P1320">
        <v>0.23334669999999999</v>
      </c>
      <c r="Q1320">
        <v>-8.2340989999999999E-3</v>
      </c>
      <c r="R1320">
        <v>-0.97235890000000003</v>
      </c>
      <c r="S1320">
        <v>-5.2658080000000003E-2</v>
      </c>
      <c r="T1320">
        <v>-0.16702990000000001</v>
      </c>
      <c r="U1320">
        <v>-3.103485</v>
      </c>
      <c r="V1320">
        <v>0.12189700000000001</v>
      </c>
      <c r="W1320">
        <v>4.3561950000000002E-3</v>
      </c>
      <c r="X1320">
        <v>0.9925332</v>
      </c>
      <c r="Y1320">
        <v>0.36570239999999998</v>
      </c>
      <c r="Z1320">
        <v>3.2207649999999997E-2</v>
      </c>
      <c r="AA1320">
        <v>0.93017439999999996</v>
      </c>
      <c r="AB1320">
        <v>26</v>
      </c>
      <c r="AC1320">
        <v>-0.43169999999997699</v>
      </c>
      <c r="AD1320">
        <v>-1.1037935031999999</v>
      </c>
      <c r="AE1320">
        <v>-20.264500000000002</v>
      </c>
      <c r="AF1320">
        <v>7.4763028746729496</v>
      </c>
      <c r="AG1320">
        <v>-1.1037935031999999</v>
      </c>
      <c r="AH1320">
        <v>18.775390726484101</v>
      </c>
      <c r="AI1320">
        <v>93.1263008380744</v>
      </c>
      <c r="AJ1320">
        <v>68.287704918838799</v>
      </c>
      <c r="AK1320">
        <v>20.239287578956301</v>
      </c>
      <c r="AL1320">
        <v>89.750407623380795</v>
      </c>
      <c r="AM1320">
        <v>82.998336753360306</v>
      </c>
      <c r="AN1320">
        <v>1.0000000040730499</v>
      </c>
    </row>
    <row r="1321" spans="1:40" x14ac:dyDescent="0.25">
      <c r="A1321" t="str">
        <f>"20190305135816059"</f>
        <v>20190305135816059</v>
      </c>
      <c r="B1321" t="str">
        <f>"1551765496049751"</f>
        <v>1551765496049751</v>
      </c>
      <c r="C1321" t="s">
        <v>40</v>
      </c>
      <c r="D1321">
        <v>4.1188419999999999</v>
      </c>
      <c r="E1321">
        <v>0.59684150000000002</v>
      </c>
      <c r="F1321" t="s">
        <v>42</v>
      </c>
      <c r="G1321">
        <v>-193.96469999999999</v>
      </c>
      <c r="H1321" s="1">
        <v>-1.5463520000000001E-6</v>
      </c>
      <c r="I1321">
        <v>330.73469999999998</v>
      </c>
      <c r="J1321">
        <v>-193.41229999999999</v>
      </c>
      <c r="K1321">
        <v>1.1037729999999999</v>
      </c>
      <c r="L1321">
        <v>350.67750000000001</v>
      </c>
      <c r="M1321">
        <v>0.341674599999999</v>
      </c>
      <c r="N1321">
        <v>-1.454362E-2</v>
      </c>
      <c r="O1321">
        <v>-0.93970580000000004</v>
      </c>
      <c r="P1321">
        <v>0.22506979999999999</v>
      </c>
      <c r="Q1321">
        <v>-8.9469960000000005E-3</v>
      </c>
      <c r="R1321">
        <v>-0.97430170000000005</v>
      </c>
      <c r="S1321">
        <v>-7.2372439999999996E-2</v>
      </c>
      <c r="T1321">
        <v>-0.16955689999999901</v>
      </c>
      <c r="U1321">
        <v>-3.1011959999999998</v>
      </c>
      <c r="V1321">
        <v>0.1214766</v>
      </c>
      <c r="W1321">
        <v>3.6581119999999998E-3</v>
      </c>
      <c r="X1321">
        <v>0.99258760000000001</v>
      </c>
      <c r="Y1321">
        <v>0.36332530000000002</v>
      </c>
      <c r="Z1321">
        <v>3.3200460000000001E-2</v>
      </c>
      <c r="AA1321">
        <v>0.93107059999999997</v>
      </c>
      <c r="AB1321">
        <v>26</v>
      </c>
      <c r="AC1321">
        <v>-0.552400000000005</v>
      </c>
      <c r="AD1321">
        <v>-1.1037745463519999</v>
      </c>
      <c r="AE1321">
        <v>-19.942799999999998</v>
      </c>
      <c r="AF1321">
        <v>7.3114373043407301</v>
      </c>
      <c r="AG1321">
        <v>-1.1037745463519999</v>
      </c>
      <c r="AH1321">
        <v>18.4969675291124</v>
      </c>
      <c r="AI1321">
        <v>93.176379704021201</v>
      </c>
      <c r="AJ1321">
        <v>68.432221767952797</v>
      </c>
      <c r="AK1321">
        <v>19.920171723093102</v>
      </c>
      <c r="AL1321">
        <v>89.790405163364596</v>
      </c>
      <c r="AM1321">
        <v>83.022624377247894</v>
      </c>
      <c r="AN1321">
        <v>1.0000000449023601</v>
      </c>
    </row>
    <row r="1322" spans="1:40" x14ac:dyDescent="0.25">
      <c r="A1322" t="str">
        <f>"20190305135816080"</f>
        <v>20190305135816080</v>
      </c>
      <c r="B1322" t="str">
        <f>"1551765496070247"</f>
        <v>1551765496070247</v>
      </c>
      <c r="C1322" t="s">
        <v>40</v>
      </c>
      <c r="D1322">
        <v>4.1310989999999999</v>
      </c>
      <c r="E1322">
        <v>0.58713839999999995</v>
      </c>
      <c r="F1322" t="s">
        <v>42</v>
      </c>
      <c r="G1322">
        <v>-194.01419999999999</v>
      </c>
      <c r="H1322" s="1">
        <v>-1.692964E-6</v>
      </c>
      <c r="I1322">
        <v>331.04570000000001</v>
      </c>
      <c r="J1322">
        <v>-193.33410000000001</v>
      </c>
      <c r="K1322">
        <v>1.103782</v>
      </c>
      <c r="L1322">
        <v>350.43340000000001</v>
      </c>
      <c r="M1322">
        <v>0.33336749999999998</v>
      </c>
      <c r="N1322">
        <v>-1.4547589999999999E-2</v>
      </c>
      <c r="O1322">
        <v>-0.94268479999999999</v>
      </c>
      <c r="P1322">
        <v>0.217414</v>
      </c>
      <c r="Q1322">
        <v>-9.4116010000000003E-3</v>
      </c>
      <c r="R1322">
        <v>-0.97603430000000002</v>
      </c>
      <c r="S1322">
        <v>-9.5031740000000003E-2</v>
      </c>
      <c r="T1322">
        <v>-0.17426539999999999</v>
      </c>
      <c r="U1322">
        <v>-3.0994869999999999</v>
      </c>
      <c r="V1322">
        <v>0.1205</v>
      </c>
      <c r="W1322">
        <v>3.2189470000000002E-3</v>
      </c>
      <c r="X1322">
        <v>0.99270809999999998</v>
      </c>
      <c r="Y1322">
        <v>0.36191060000000003</v>
      </c>
      <c r="Z1322">
        <v>3.4790580000000002E-2</v>
      </c>
      <c r="AA1322">
        <v>0.93156340000000004</v>
      </c>
      <c r="AB1322">
        <v>25</v>
      </c>
      <c r="AC1322">
        <v>-0.68009999999998105</v>
      </c>
      <c r="AD1322">
        <v>-1.1037836929639999</v>
      </c>
      <c r="AE1322">
        <v>-19.387699999999899</v>
      </c>
      <c r="AF1322">
        <v>7.08217330576809</v>
      </c>
      <c r="AG1322">
        <v>-1.1037836929639999</v>
      </c>
      <c r="AH1322">
        <v>17.993425831509299</v>
      </c>
      <c r="AI1322">
        <v>93.266975804667098</v>
      </c>
      <c r="AJ1322">
        <v>68.515508913646102</v>
      </c>
      <c r="AK1322">
        <v>19.3685025318896</v>
      </c>
      <c r="AL1322">
        <v>89.815567602391198</v>
      </c>
      <c r="AM1322">
        <v>83.079004042230096</v>
      </c>
      <c r="AN1322">
        <v>0.99999999171269904</v>
      </c>
    </row>
    <row r="1323" spans="1:40" x14ac:dyDescent="0.25">
      <c r="A1323" t="str">
        <f>"20190305135816105"</f>
        <v>20190305135816105</v>
      </c>
      <c r="B1323" t="str">
        <f>"1551765496099527"</f>
        <v>1551765496099527</v>
      </c>
      <c r="C1323" t="s">
        <v>40</v>
      </c>
      <c r="D1323">
        <v>4.1807910000000001</v>
      </c>
      <c r="E1323">
        <v>0.58732450000000003</v>
      </c>
      <c r="F1323" t="s">
        <v>42</v>
      </c>
      <c r="G1323">
        <v>-193.62180000000001</v>
      </c>
      <c r="H1323" s="1">
        <v>-4.8611400000000002E-6</v>
      </c>
      <c r="I1323">
        <v>329.3836</v>
      </c>
      <c r="J1323">
        <v>-193.2527</v>
      </c>
      <c r="K1323">
        <v>1.1038030000000001</v>
      </c>
      <c r="L1323">
        <v>350.17079999999999</v>
      </c>
      <c r="M1323">
        <v>0.32444299999999998</v>
      </c>
      <c r="N1323">
        <v>-1.4549690000000001E-2</v>
      </c>
      <c r="O1323">
        <v>-0.94579349999999995</v>
      </c>
      <c r="P1323">
        <v>0.21032380000000001</v>
      </c>
      <c r="Q1323">
        <v>-7.951161E-3</v>
      </c>
      <c r="R1323">
        <v>-0.97759969999999996</v>
      </c>
      <c r="S1323">
        <v>-4.2114260000000001E-2</v>
      </c>
      <c r="T1323">
        <v>-0.16158639999999999</v>
      </c>
      <c r="U1323">
        <v>-3.0815429999999999</v>
      </c>
      <c r="V1323">
        <v>0.1183491</v>
      </c>
      <c r="W1323">
        <v>4.7247879999999997E-3</v>
      </c>
      <c r="X1323">
        <v>0.99296079999999998</v>
      </c>
      <c r="Y1323">
        <v>0.3371845</v>
      </c>
      <c r="Z1323">
        <v>3.2010179999999999E-2</v>
      </c>
      <c r="AA1323">
        <v>0.94089420000000001</v>
      </c>
      <c r="AB1323">
        <v>25</v>
      </c>
      <c r="AC1323">
        <v>-0.36910000000000298</v>
      </c>
      <c r="AD1323">
        <v>-1.10380786114</v>
      </c>
      <c r="AE1323">
        <v>-20.787199999999899</v>
      </c>
      <c r="AF1323">
        <v>7.0741634118510799</v>
      </c>
      <c r="AG1323">
        <v>-1.10380786114</v>
      </c>
      <c r="AH1323">
        <v>19.487781083510701</v>
      </c>
      <c r="AI1323">
        <v>93.047644183879001</v>
      </c>
      <c r="AJ1323">
        <v>70.048845930711707</v>
      </c>
      <c r="AK1323">
        <v>20.761401478000501</v>
      </c>
      <c r="AL1323">
        <v>89.729288579046695</v>
      </c>
      <c r="AM1323">
        <v>83.203089702396596</v>
      </c>
      <c r="AN1323">
        <v>0.99999999171454701</v>
      </c>
    </row>
    <row r="1324" spans="1:40" x14ac:dyDescent="0.25">
      <c r="A1324" t="str">
        <f>"20190305135816126"</f>
        <v>20190305135816126</v>
      </c>
      <c r="B1324" t="str">
        <f>"1551765496120024"</f>
        <v>1551765496120024</v>
      </c>
      <c r="C1324" t="s">
        <v>40</v>
      </c>
      <c r="D1324">
        <v>3.862803</v>
      </c>
      <c r="E1324">
        <v>0.6115739</v>
      </c>
      <c r="F1324" t="s">
        <v>42</v>
      </c>
      <c r="G1324">
        <v>-193.7165</v>
      </c>
      <c r="H1324" s="1">
        <v>-4.5354940000000003E-6</v>
      </c>
      <c r="I1324">
        <v>328.37729999999999</v>
      </c>
      <c r="J1324">
        <v>-193.18100000000001</v>
      </c>
      <c r="K1324">
        <v>1.1038349999999999</v>
      </c>
      <c r="L1324">
        <v>349.9325</v>
      </c>
      <c r="M1324">
        <v>0.3163533</v>
      </c>
      <c r="N1324">
        <v>-1.4546730000000001E-2</v>
      </c>
      <c r="O1324">
        <v>-0.94852999999999998</v>
      </c>
      <c r="P1324">
        <v>0.20363059999999999</v>
      </c>
      <c r="Q1324">
        <v>-5.0112999999999998E-3</v>
      </c>
      <c r="R1324">
        <v>-0.97903530000000005</v>
      </c>
      <c r="S1324">
        <v>-6.5582280000000007E-2</v>
      </c>
      <c r="T1324">
        <v>-0.1560742</v>
      </c>
      <c r="U1324">
        <v>-3.081512</v>
      </c>
      <c r="V1324">
        <v>0.1167113</v>
      </c>
      <c r="W1324">
        <v>7.6963780000000002E-3</v>
      </c>
      <c r="X1324">
        <v>0.99313600000000002</v>
      </c>
      <c r="Y1324">
        <v>0.33631460000000002</v>
      </c>
      <c r="Z1324">
        <v>3.0621410000000002E-2</v>
      </c>
      <c r="AA1324">
        <v>0.94125179999999997</v>
      </c>
      <c r="AB1324">
        <v>25</v>
      </c>
      <c r="AC1324">
        <v>-0.53550000000001297</v>
      </c>
      <c r="AD1324">
        <v>-1.103839535494</v>
      </c>
      <c r="AE1324">
        <v>-21.555199999999999</v>
      </c>
      <c r="AF1324">
        <v>7.3086164746043396</v>
      </c>
      <c r="AG1324">
        <v>-1.103839535494</v>
      </c>
      <c r="AH1324">
        <v>20.225482834120001</v>
      </c>
      <c r="AI1324">
        <v>92.938314688111802</v>
      </c>
      <c r="AJ1324">
        <v>70.132331762004</v>
      </c>
      <c r="AK1324">
        <v>21.533798837322198</v>
      </c>
      <c r="AL1324">
        <v>89.559025642247093</v>
      </c>
      <c r="AM1324">
        <v>83.297460090395901</v>
      </c>
      <c r="AN1324">
        <v>0.99999993813900201</v>
      </c>
    </row>
    <row r="1325" spans="1:40" x14ac:dyDescent="0.25">
      <c r="A1325" t="str">
        <f>"20190305135816311"</f>
        <v>20190305135816311</v>
      </c>
      <c r="B1325" t="str">
        <f>"1551765496300113"</f>
        <v>1551765496300113</v>
      </c>
      <c r="C1325" t="s">
        <v>40</v>
      </c>
      <c r="D1325">
        <v>3.809777</v>
      </c>
      <c r="E1325">
        <v>0.58504730000000005</v>
      </c>
      <c r="F1325" t="s">
        <v>56</v>
      </c>
      <c r="G1325">
        <v>-213.49</v>
      </c>
      <c r="H1325">
        <v>10.71964</v>
      </c>
      <c r="I1325">
        <v>98.375470000000007</v>
      </c>
      <c r="J1325">
        <v>-192.65459999999999</v>
      </c>
      <c r="K1325">
        <v>1.1039129999999999</v>
      </c>
      <c r="L1325">
        <v>347.88569999999999</v>
      </c>
      <c r="M1325">
        <v>0.2468475</v>
      </c>
      <c r="N1325">
        <v>-1.390866E-2</v>
      </c>
      <c r="O1325">
        <v>-0.9689546</v>
      </c>
      <c r="P1325">
        <v>0.152117</v>
      </c>
      <c r="Q1325">
        <v>7.7989269999999998E-3</v>
      </c>
      <c r="R1325">
        <v>-0.98833199999999999</v>
      </c>
      <c r="S1325">
        <v>-0.25166319999999998</v>
      </c>
      <c r="T1325">
        <v>0.1191565</v>
      </c>
      <c r="U1325">
        <v>-3.1172179999999998</v>
      </c>
      <c r="V1325">
        <v>9.6887769999999998E-2</v>
      </c>
      <c r="W1325">
        <v>2.0229219999999999E-2</v>
      </c>
      <c r="X1325">
        <v>0.99508969999999997</v>
      </c>
      <c r="Y1325">
        <v>0.32400119999999999</v>
      </c>
      <c r="Z1325">
        <v>-4.9366599999999997E-2</v>
      </c>
      <c r="AA1325">
        <v>0.94476780000000005</v>
      </c>
      <c r="AB1325">
        <v>25</v>
      </c>
      <c r="AC1325">
        <v>-20.8354</v>
      </c>
      <c r="AD1325">
        <v>9.6157269999999997</v>
      </c>
      <c r="AE1325">
        <v>-249.51023000000001</v>
      </c>
      <c r="AF1325">
        <v>81.666985499653094</v>
      </c>
      <c r="AG1325">
        <v>9.6157269999999997</v>
      </c>
      <c r="AH1325">
        <v>236.29527324269901</v>
      </c>
      <c r="AI1325">
        <v>87.797410667400996</v>
      </c>
      <c r="AJ1325">
        <v>70.934127165610406</v>
      </c>
      <c r="AK1325">
        <v>250.19475390819201</v>
      </c>
      <c r="AL1325">
        <v>88.8408719893186</v>
      </c>
      <c r="AM1325">
        <v>84.438875984309206</v>
      </c>
      <c r="AN1325">
        <v>0.99999998618173502</v>
      </c>
    </row>
    <row r="1326" spans="1:40" x14ac:dyDescent="0.25">
      <c r="A1326" t="str">
        <f>"20190305135816331"</f>
        <v>20190305135816331</v>
      </c>
      <c r="B1326" t="str">
        <f>"1551765496319633"</f>
        <v>1551765496319633</v>
      </c>
      <c r="C1326" t="s">
        <v>40</v>
      </c>
      <c r="D1326">
        <v>3.8211750000000002</v>
      </c>
      <c r="E1326">
        <v>0.58324589999999998</v>
      </c>
      <c r="F1326" t="s">
        <v>56</v>
      </c>
      <c r="G1326">
        <v>-211.4359</v>
      </c>
      <c r="H1326">
        <v>12.591469999999999</v>
      </c>
      <c r="I1326">
        <v>70.567830000000001</v>
      </c>
      <c r="J1326">
        <v>-192.60769999999999</v>
      </c>
      <c r="K1326">
        <v>1.103907</v>
      </c>
      <c r="L1326">
        <v>347.66730000000001</v>
      </c>
      <c r="M1326">
        <v>0.23941119999999999</v>
      </c>
      <c r="N1326">
        <v>-1.3813999999999899E-2</v>
      </c>
      <c r="O1326">
        <v>-0.97082020000000002</v>
      </c>
      <c r="P1326">
        <v>0.14780009999999999</v>
      </c>
      <c r="Q1326">
        <v>5.3896309999999998E-3</v>
      </c>
      <c r="R1326">
        <v>-0.98900290000000002</v>
      </c>
      <c r="S1326">
        <v>-0.2076721</v>
      </c>
      <c r="T1326">
        <v>0.12702239999999901</v>
      </c>
      <c r="U1326">
        <v>-3.0664060000000002</v>
      </c>
      <c r="V1326">
        <v>9.3569079999999999E-2</v>
      </c>
      <c r="W1326">
        <v>1.7780150000000002E-2</v>
      </c>
      <c r="X1326">
        <v>0.99545399999999995</v>
      </c>
      <c r="Y1326">
        <v>0.3044499</v>
      </c>
      <c r="Z1326">
        <v>-5.2463629999999997E-2</v>
      </c>
      <c r="AA1326">
        <v>0.95108250000000005</v>
      </c>
      <c r="AB1326">
        <v>25</v>
      </c>
      <c r="AC1326">
        <v>-18.828199999999999</v>
      </c>
      <c r="AD1326">
        <v>11.487563</v>
      </c>
      <c r="AE1326">
        <v>-277.09947</v>
      </c>
      <c r="AF1326">
        <v>84.483042647559401</v>
      </c>
      <c r="AG1326">
        <v>11.487563</v>
      </c>
      <c r="AH1326">
        <v>264.07949639145897</v>
      </c>
      <c r="AI1326">
        <v>87.627486867431998</v>
      </c>
      <c r="AJ1326">
        <v>72.2597362951891</v>
      </c>
      <c r="AK1326">
        <v>277.50194416082002</v>
      </c>
      <c r="AL1326">
        <v>88.981218748594202</v>
      </c>
      <c r="AM1326">
        <v>84.630181303420002</v>
      </c>
      <c r="AN1326">
        <v>0.99999998629103404</v>
      </c>
    </row>
    <row r="1327" spans="1:40" x14ac:dyDescent="0.25">
      <c r="A1327" t="str">
        <f>"20190305135816361"</f>
        <v>20190305135816361</v>
      </c>
      <c r="B1327" t="str">
        <f>"1551765496349889"</f>
        <v>1551765496349889</v>
      </c>
      <c r="C1327" t="s">
        <v>40</v>
      </c>
      <c r="D1327">
        <v>3.8412250000000001</v>
      </c>
      <c r="E1327">
        <v>0.58013890000000001</v>
      </c>
      <c r="F1327" t="s">
        <v>56</v>
      </c>
      <c r="G1327">
        <v>-211.47730000000001</v>
      </c>
      <c r="H1327">
        <v>10.07422</v>
      </c>
      <c r="I1327">
        <v>70.567830000000001</v>
      </c>
      <c r="J1327">
        <v>-192.5368</v>
      </c>
      <c r="K1327">
        <v>1.1038840000000001</v>
      </c>
      <c r="L1327">
        <v>347.32159999999999</v>
      </c>
      <c r="M1327">
        <v>0.22764419999999999</v>
      </c>
      <c r="N1327">
        <v>-1.366991E-2</v>
      </c>
      <c r="O1327">
        <v>-0.97364859999999998</v>
      </c>
      <c r="P1327">
        <v>0.13981849999999901</v>
      </c>
      <c r="Q1327">
        <v>-2.41043E-4</v>
      </c>
      <c r="R1327">
        <v>-0.99017739999999999</v>
      </c>
      <c r="S1327">
        <v>-0.20864869999999999</v>
      </c>
      <c r="T1327">
        <v>9.9188330000000005E-2</v>
      </c>
      <c r="U1327">
        <v>-3.0639949999999998</v>
      </c>
      <c r="V1327">
        <v>8.9467430000000001E-2</v>
      </c>
      <c r="W1327">
        <v>1.2074E-2</v>
      </c>
      <c r="X1327">
        <v>0.99591649999999998</v>
      </c>
      <c r="Y1327">
        <v>0.29326259999999998</v>
      </c>
      <c r="Z1327">
        <v>-4.4098560000000002E-2</v>
      </c>
      <c r="AA1327">
        <v>0.95501429999999998</v>
      </c>
      <c r="AB1327">
        <v>25</v>
      </c>
      <c r="AC1327">
        <v>-18.9405</v>
      </c>
      <c r="AD1327">
        <v>8.9703359999999996</v>
      </c>
      <c r="AE1327">
        <v>-276.75376999999997</v>
      </c>
      <c r="AF1327">
        <v>81.365295889852305</v>
      </c>
      <c r="AG1327">
        <v>8.9703359999999996</v>
      </c>
      <c r="AH1327">
        <v>264.89695844996101</v>
      </c>
      <c r="AI1327">
        <v>88.145933208555505</v>
      </c>
      <c r="AJ1327">
        <v>72.925226137883996</v>
      </c>
      <c r="AK1327">
        <v>277.25651822677997</v>
      </c>
      <c r="AL1327">
        <v>89.308193906330999</v>
      </c>
      <c r="AM1327">
        <v>84.866655014697102</v>
      </c>
      <c r="AN1327">
        <v>0.99999993873952497</v>
      </c>
    </row>
    <row r="1328" spans="1:40" x14ac:dyDescent="0.25">
      <c r="A1328" t="str">
        <f>"20190305135816384"</f>
        <v>20190305135816384</v>
      </c>
      <c r="B1328" t="str">
        <f>"1551765496380146"</f>
        <v>1551765496380146</v>
      </c>
      <c r="C1328" t="s">
        <v>40</v>
      </c>
      <c r="D1328">
        <v>3.810352</v>
      </c>
      <c r="E1328">
        <v>0.57588600000000001</v>
      </c>
      <c r="F1328" t="s">
        <v>56</v>
      </c>
      <c r="G1328">
        <v>-210.47620000000001</v>
      </c>
      <c r="H1328">
        <v>7.3410609999999998</v>
      </c>
      <c r="I1328">
        <v>85.126980000000003</v>
      </c>
      <c r="J1328">
        <v>-192.4863</v>
      </c>
      <c r="K1328">
        <v>1.103864</v>
      </c>
      <c r="L1328">
        <v>347.06079999999997</v>
      </c>
      <c r="M1328">
        <v>0.21879179999999901</v>
      </c>
      <c r="N1328">
        <v>-1.356954E-2</v>
      </c>
      <c r="O1328">
        <v>-0.97567720000000002</v>
      </c>
      <c r="P1328">
        <v>0.13396060000000001</v>
      </c>
      <c r="Q1328">
        <v>-4.1415719999999996E-3</v>
      </c>
      <c r="R1328">
        <v>-0.99097789999999997</v>
      </c>
      <c r="S1328">
        <v>-0.20932010000000001</v>
      </c>
      <c r="T1328">
        <v>7.2776560000000004E-2</v>
      </c>
      <c r="U1328">
        <v>-3.059326</v>
      </c>
      <c r="V1328">
        <v>8.6250519999999997E-2</v>
      </c>
      <c r="W1328">
        <v>8.1269480000000002E-3</v>
      </c>
      <c r="X1328">
        <v>0.99624029999999997</v>
      </c>
      <c r="Y1328">
        <v>0.28488170000000002</v>
      </c>
      <c r="Z1328">
        <v>-3.6062829999999997E-2</v>
      </c>
      <c r="AA1328">
        <v>0.95788410000000002</v>
      </c>
      <c r="AB1328">
        <v>25</v>
      </c>
      <c r="AC1328">
        <v>-17.989899999999999</v>
      </c>
      <c r="AD1328">
        <v>6.2371970000000001</v>
      </c>
      <c r="AE1328">
        <v>-261.93382000000003</v>
      </c>
      <c r="AF1328">
        <v>74.825972639888604</v>
      </c>
      <c r="AG1328">
        <v>6.2371970000000001</v>
      </c>
      <c r="AH1328">
        <v>251.50804548274701</v>
      </c>
      <c r="AI1328">
        <v>88.638361326382196</v>
      </c>
      <c r="AJ1328">
        <v>73.431770908798299</v>
      </c>
      <c r="AK1328">
        <v>262.47690517543401</v>
      </c>
      <c r="AL1328">
        <v>89.534355038244001</v>
      </c>
      <c r="AM1328">
        <v>85.051897522204698</v>
      </c>
      <c r="AN1328">
        <v>0.99999996741407704</v>
      </c>
    </row>
    <row r="1329" spans="1:40" x14ac:dyDescent="0.25">
      <c r="A1329" t="str">
        <f>"20190305135816406"</f>
        <v>20190305135816406</v>
      </c>
      <c r="B1329" t="str">
        <f>"1551765496399666"</f>
        <v>1551765496399666</v>
      </c>
      <c r="C1329" t="s">
        <v>40</v>
      </c>
      <c r="D1329">
        <v>3.767172</v>
      </c>
      <c r="E1329">
        <v>0.5743433</v>
      </c>
      <c r="F1329" t="s">
        <v>56</v>
      </c>
      <c r="G1329">
        <v>-212.12129999999999</v>
      </c>
      <c r="H1329">
        <v>4.3651669999999996</v>
      </c>
      <c r="I1329">
        <v>41.546010000000003</v>
      </c>
      <c r="J1329">
        <v>-192.4408</v>
      </c>
      <c r="K1329">
        <v>1.1038650000000001</v>
      </c>
      <c r="L1329">
        <v>346.81450000000001</v>
      </c>
      <c r="M1329">
        <v>0.21045230000000001</v>
      </c>
      <c r="N1329">
        <v>-1.34818E-2</v>
      </c>
      <c r="O1329">
        <v>-0.97751129999999997</v>
      </c>
      <c r="P1329">
        <v>0.12997040000000001</v>
      </c>
      <c r="Q1329">
        <v>-6.3329600000000003E-3</v>
      </c>
      <c r="R1329">
        <v>-0.99149790000000004</v>
      </c>
      <c r="S1329">
        <v>-0.1962738</v>
      </c>
      <c r="T1329">
        <v>3.2600400000000002E-2</v>
      </c>
      <c r="U1329">
        <v>-3.0539550000000002</v>
      </c>
      <c r="V1329">
        <v>8.1717129999999999E-2</v>
      </c>
      <c r="W1329">
        <v>5.9230619999999998E-3</v>
      </c>
      <c r="X1329">
        <v>0.99663789999999997</v>
      </c>
      <c r="Y1329">
        <v>0.27271430000000002</v>
      </c>
      <c r="Z1329">
        <v>-2.3674520000000001E-2</v>
      </c>
      <c r="AA1329">
        <v>0.96180370000000004</v>
      </c>
      <c r="AB1329">
        <v>25</v>
      </c>
      <c r="AC1329">
        <v>-19.680499999999899</v>
      </c>
      <c r="AD1329">
        <v>3.2613020000000001</v>
      </c>
      <c r="AE1329">
        <v>-305.26848999999999</v>
      </c>
      <c r="AF1329">
        <v>83.480454937053196</v>
      </c>
      <c r="AG1329">
        <v>3.2613020000000001</v>
      </c>
      <c r="AH1329">
        <v>294.254852390547</v>
      </c>
      <c r="AI1329">
        <v>89.389108739579299</v>
      </c>
      <c r="AJ1329">
        <v>74.161296983502098</v>
      </c>
      <c r="AK1329">
        <v>305.88484859929798</v>
      </c>
      <c r="AL1329">
        <v>89.660631540171707</v>
      </c>
      <c r="AM1329">
        <v>85.312644041519206</v>
      </c>
      <c r="AN1329">
        <v>0.99999993785764896</v>
      </c>
    </row>
    <row r="1330" spans="1:40" x14ac:dyDescent="0.25">
      <c r="A1330" t="str">
        <f>"20190305135816427"</f>
        <v>20190305135816427</v>
      </c>
      <c r="B1330" t="str">
        <f>"1551765496420162"</f>
        <v>1551765496420162</v>
      </c>
      <c r="C1330" t="s">
        <v>40</v>
      </c>
      <c r="D1330">
        <v>3.8038569999999998</v>
      </c>
      <c r="E1330">
        <v>0.57361839999999997</v>
      </c>
      <c r="F1330" t="s">
        <v>56</v>
      </c>
      <c r="G1330">
        <v>-212.11609999999999</v>
      </c>
      <c r="H1330">
        <v>3.2319589999999998</v>
      </c>
      <c r="I1330">
        <v>41.546010000000003</v>
      </c>
      <c r="J1330">
        <v>-192.39709999999999</v>
      </c>
      <c r="K1330">
        <v>1.1038809999999999</v>
      </c>
      <c r="L1330">
        <v>346.56630000000001</v>
      </c>
      <c r="M1330">
        <v>0.20208490000000001</v>
      </c>
      <c r="N1330">
        <v>-1.339602E-2</v>
      </c>
      <c r="O1330">
        <v>-0.9792767</v>
      </c>
      <c r="P1330">
        <v>0.12605339999999901</v>
      </c>
      <c r="Q1330">
        <v>-5.9043129999999996E-3</v>
      </c>
      <c r="R1330">
        <v>-0.99200639999999995</v>
      </c>
      <c r="S1330">
        <v>-0.19668579999999999</v>
      </c>
      <c r="T1330">
        <v>2.1273730000000001E-2</v>
      </c>
      <c r="U1330">
        <v>-3.0516359999999998</v>
      </c>
      <c r="V1330">
        <v>7.7134519999999998E-2</v>
      </c>
      <c r="W1330">
        <v>6.3421930000000003E-3</v>
      </c>
      <c r="X1330">
        <v>0.99700049999999996</v>
      </c>
      <c r="Y1330">
        <v>0.2646519</v>
      </c>
      <c r="Z1330">
        <v>-2.0107119999999999E-2</v>
      </c>
      <c r="AA1330">
        <v>0.96413439999999995</v>
      </c>
      <c r="AB1330">
        <v>25</v>
      </c>
      <c r="AC1330">
        <v>-19.718999999999902</v>
      </c>
      <c r="AD1330">
        <v>2.1280779999999999</v>
      </c>
      <c r="AE1330">
        <v>-305.02028999999999</v>
      </c>
      <c r="AF1330">
        <v>80.953667396494097</v>
      </c>
      <c r="AG1330">
        <v>2.1280779999999999</v>
      </c>
      <c r="AH1330">
        <v>294.72642099805398</v>
      </c>
      <c r="AI1330">
        <v>89.601076309831697</v>
      </c>
      <c r="AJ1330">
        <v>74.641118555405399</v>
      </c>
      <c r="AK1330">
        <v>305.649616743156</v>
      </c>
      <c r="AL1330">
        <v>89.636616663877504</v>
      </c>
      <c r="AM1330">
        <v>85.576034064090393</v>
      </c>
      <c r="AN1330">
        <v>0.99999997729396395</v>
      </c>
    </row>
    <row r="1331" spans="1:40" x14ac:dyDescent="0.25">
      <c r="A1331" t="str">
        <f>"20190305135816451"</f>
        <v>20190305135816451</v>
      </c>
      <c r="B1331" t="str">
        <f>"1551765496439681"</f>
        <v>1551765496439681</v>
      </c>
      <c r="C1331" t="s">
        <v>40</v>
      </c>
      <c r="D1331">
        <v>3.7645529999999998</v>
      </c>
      <c r="E1331">
        <v>0.57287159999999904</v>
      </c>
      <c r="F1331" t="s">
        <v>56</v>
      </c>
      <c r="G1331">
        <v>-212.22620000000001</v>
      </c>
      <c r="H1331">
        <v>3.005385</v>
      </c>
      <c r="I1331">
        <v>49.034149999999997</v>
      </c>
      <c r="J1331">
        <v>-192.35339999999999</v>
      </c>
      <c r="K1331">
        <v>1.103912</v>
      </c>
      <c r="L1331">
        <v>346.30529999999999</v>
      </c>
      <c r="M1331">
        <v>0.19334760000000001</v>
      </c>
      <c r="N1331">
        <v>-1.330989E-2</v>
      </c>
      <c r="O1331">
        <v>-0.98104009999999997</v>
      </c>
      <c r="P1331">
        <v>0.1211231</v>
      </c>
      <c r="Q1331">
        <v>-4.3261760000000002E-3</v>
      </c>
      <c r="R1331">
        <v>-0.99262850000000002</v>
      </c>
      <c r="S1331">
        <v>-0.2032776</v>
      </c>
      <c r="T1331">
        <v>1.9493340000000001E-2</v>
      </c>
      <c r="U1331">
        <v>-3.0501399999999999</v>
      </c>
      <c r="V1331">
        <v>7.322265E-2</v>
      </c>
      <c r="W1331">
        <v>7.9018890000000005E-3</v>
      </c>
      <c r="X1331">
        <v>0.99728430000000001</v>
      </c>
      <c r="Y1331">
        <v>0.25815490000000002</v>
      </c>
      <c r="Z1331">
        <v>-1.9490270000000001E-2</v>
      </c>
      <c r="AA1331">
        <v>0.96590690000000001</v>
      </c>
      <c r="AB1331">
        <v>25</v>
      </c>
      <c r="AC1331">
        <v>-19.872800000000002</v>
      </c>
      <c r="AD1331">
        <v>1.901473</v>
      </c>
      <c r="AE1331">
        <v>-297.27114999999998</v>
      </c>
      <c r="AF1331">
        <v>76.976355737195306</v>
      </c>
      <c r="AG1331">
        <v>1.901473</v>
      </c>
      <c r="AH1331">
        <v>287.80631456282202</v>
      </c>
      <c r="AI1331">
        <v>89.634318027697603</v>
      </c>
      <c r="AJ1331">
        <v>75.026213960842199</v>
      </c>
      <c r="AK1331">
        <v>297.92859823182903</v>
      </c>
      <c r="AL1331">
        <v>89.547250391947003</v>
      </c>
      <c r="AM1331">
        <v>85.800761785503994</v>
      </c>
      <c r="AN1331">
        <v>0.99999998567463999</v>
      </c>
    </row>
    <row r="1332" spans="1:40" x14ac:dyDescent="0.25">
      <c r="A1332" t="str">
        <f>"20190305135816472"</f>
        <v>20190305135816472</v>
      </c>
      <c r="B1332" t="str">
        <f>"1551765496469938"</f>
        <v>1551765496469938</v>
      </c>
      <c r="C1332" t="s">
        <v>40</v>
      </c>
      <c r="D1332">
        <v>3.7836479999999999</v>
      </c>
      <c r="E1332">
        <v>0.57179340000000001</v>
      </c>
      <c r="F1332" t="s">
        <v>56</v>
      </c>
      <c r="G1332">
        <v>-211.5761</v>
      </c>
      <c r="H1332">
        <v>3.2367219999999999</v>
      </c>
      <c r="I1332">
        <v>70.567830000000001</v>
      </c>
      <c r="J1332">
        <v>-192.31440000000001</v>
      </c>
      <c r="K1332">
        <v>1.1039490000000001</v>
      </c>
      <c r="L1332">
        <v>346.06</v>
      </c>
      <c r="M1332">
        <v>0.18520739999999999</v>
      </c>
      <c r="N1332">
        <v>-1.323155E-2</v>
      </c>
      <c r="O1332">
        <v>-0.98261050000000005</v>
      </c>
      <c r="P1332">
        <v>0.1157064</v>
      </c>
      <c r="Q1332">
        <v>-3.7389279999999999E-3</v>
      </c>
      <c r="R1332">
        <v>-0.99327639999999995</v>
      </c>
      <c r="S1332">
        <v>-0.21250920000000001</v>
      </c>
      <c r="T1332">
        <v>2.3578640000000001E-2</v>
      </c>
      <c r="U1332">
        <v>-3.0483090000000002</v>
      </c>
      <c r="V1332">
        <v>7.040101E-2</v>
      </c>
      <c r="W1332">
        <v>8.4635849999999992E-3</v>
      </c>
      <c r="X1332">
        <v>0.9974828</v>
      </c>
      <c r="Y1332">
        <v>0.2530924</v>
      </c>
      <c r="Z1332">
        <v>-2.0715500000000001E-2</v>
      </c>
      <c r="AA1332">
        <v>0.96722030000000003</v>
      </c>
      <c r="AB1332">
        <v>25</v>
      </c>
      <c r="AC1332">
        <v>-19.261699999999902</v>
      </c>
      <c r="AD1332">
        <v>2.1327729999999998</v>
      </c>
      <c r="AE1332">
        <v>-275.49216999999999</v>
      </c>
      <c r="AF1332">
        <v>69.951880392517893</v>
      </c>
      <c r="AG1332">
        <v>2.1327729999999998</v>
      </c>
      <c r="AH1332">
        <v>267.14151047755797</v>
      </c>
      <c r="AI1332">
        <v>89.557496869917699</v>
      </c>
      <c r="AJ1332">
        <v>75.326367319656995</v>
      </c>
      <c r="AK1332">
        <v>276.156479031998</v>
      </c>
      <c r="AL1332">
        <v>89.515066479017705</v>
      </c>
      <c r="AM1332">
        <v>85.962834677237197</v>
      </c>
      <c r="AN1332">
        <v>0.99999993538795395</v>
      </c>
    </row>
    <row r="1333" spans="1:40" x14ac:dyDescent="0.25">
      <c r="A1333" t="str">
        <f>"20190305135816495"</f>
        <v>20190305135816495</v>
      </c>
      <c r="B1333" t="str">
        <f>"1551765496489457"</f>
        <v>1551765496489457</v>
      </c>
      <c r="C1333" t="s">
        <v>40</v>
      </c>
      <c r="D1333">
        <v>3.79718</v>
      </c>
      <c r="E1333">
        <v>0.57112369999999901</v>
      </c>
      <c r="F1333" t="s">
        <v>56</v>
      </c>
      <c r="G1333">
        <v>-212.22630000000001</v>
      </c>
      <c r="H1333">
        <v>3.3134749999999999</v>
      </c>
      <c r="I1333">
        <v>71.108289999999997</v>
      </c>
      <c r="J1333">
        <v>-192.27680000000001</v>
      </c>
      <c r="K1333">
        <v>1.104009</v>
      </c>
      <c r="L1333">
        <v>345.81060000000002</v>
      </c>
      <c r="M1333">
        <v>0.1770186</v>
      </c>
      <c r="N1333">
        <v>-1.315318E-2</v>
      </c>
      <c r="O1333">
        <v>-0.98411970000000004</v>
      </c>
      <c r="P1333">
        <v>0.1106159</v>
      </c>
      <c r="Q1333">
        <v>-4.2374860000000004E-3</v>
      </c>
      <c r="R1333">
        <v>-0.99385429999999997</v>
      </c>
      <c r="S1333">
        <v>-0.2205963</v>
      </c>
      <c r="T1333">
        <v>2.4478670000000001E-2</v>
      </c>
      <c r="U1333">
        <v>-3.0460820000000002</v>
      </c>
      <c r="V1333">
        <v>6.7195119999999997E-2</v>
      </c>
      <c r="W1333">
        <v>7.9457569999999995E-3</v>
      </c>
      <c r="X1333">
        <v>0.99770820000000005</v>
      </c>
      <c r="Y1333">
        <v>0.24763679999999999</v>
      </c>
      <c r="Z1333">
        <v>-2.0947029999999998E-2</v>
      </c>
      <c r="AA1333">
        <v>0.96862649999999995</v>
      </c>
      <c r="AB1333">
        <v>25</v>
      </c>
      <c r="AC1333">
        <v>-19.9495</v>
      </c>
      <c r="AD1333">
        <v>2.2094659999999999</v>
      </c>
      <c r="AE1333">
        <v>-274.70231000000001</v>
      </c>
      <c r="AF1333">
        <v>68.261620988360093</v>
      </c>
      <c r="AG1333">
        <v>2.2094659999999999</v>
      </c>
      <c r="AH1333">
        <v>266.814411589766</v>
      </c>
      <c r="AI1333">
        <v>89.540353401375796</v>
      </c>
      <c r="AJ1333">
        <v>75.649303163275107</v>
      </c>
      <c r="AK1333">
        <v>275.41688559700998</v>
      </c>
      <c r="AL1333">
        <v>89.544736861791804</v>
      </c>
      <c r="AM1333">
        <v>86.146978205952493</v>
      </c>
      <c r="AN1333">
        <v>0.99999998577667804</v>
      </c>
    </row>
    <row r="1334" spans="1:40" x14ac:dyDescent="0.25">
      <c r="A1334" t="str">
        <f>"20190305135816520"</f>
        <v>20190305135816520</v>
      </c>
      <c r="B1334" t="str">
        <f>"1551765496509955"</f>
        <v>1551765496509955</v>
      </c>
      <c r="C1334" t="s">
        <v>40</v>
      </c>
      <c r="D1334">
        <v>3.7984390000000001</v>
      </c>
      <c r="E1334">
        <v>0.570708199999999</v>
      </c>
      <c r="F1334" t="s">
        <v>56</v>
      </c>
      <c r="G1334">
        <v>-212.22620000000001</v>
      </c>
      <c r="H1334">
        <v>2.9690919999999998</v>
      </c>
      <c r="I1334">
        <v>83.049130000000005</v>
      </c>
      <c r="J1334">
        <v>-192.2363</v>
      </c>
      <c r="K1334">
        <v>1.104085</v>
      </c>
      <c r="L1334">
        <v>345.5258</v>
      </c>
      <c r="M1334">
        <v>0.1678017</v>
      </c>
      <c r="N1334">
        <v>-1.306791E-2</v>
      </c>
      <c r="O1334">
        <v>-0.98573429999999995</v>
      </c>
      <c r="P1334">
        <v>0.1048053</v>
      </c>
      <c r="Q1334">
        <v>-5.3468949999999999E-3</v>
      </c>
      <c r="R1334">
        <v>-0.9944788</v>
      </c>
      <c r="S1334">
        <v>-0.23114009999999999</v>
      </c>
      <c r="T1334">
        <v>2.1609659999999999E-2</v>
      </c>
      <c r="U1334">
        <v>-3.0444339999999999</v>
      </c>
      <c r="V1334">
        <v>6.3670489999999996E-2</v>
      </c>
      <c r="W1334">
        <v>6.8175909999999996E-3</v>
      </c>
      <c r="X1334">
        <v>0.99794769999999999</v>
      </c>
      <c r="Y1334">
        <v>0.2419405</v>
      </c>
      <c r="Z1334">
        <v>-1.9982300000000001E-2</v>
      </c>
      <c r="AA1334">
        <v>0.97008530000000004</v>
      </c>
      <c r="AB1334">
        <v>25</v>
      </c>
      <c r="AC1334">
        <v>-19.989899999999999</v>
      </c>
      <c r="AD1334">
        <v>1.8650070000000001</v>
      </c>
      <c r="AE1334">
        <v>-262.47667000000001</v>
      </c>
      <c r="AF1334">
        <v>63.750996100814604</v>
      </c>
      <c r="AG1334">
        <v>1.8650070000000001</v>
      </c>
      <c r="AH1334">
        <v>255.386869110334</v>
      </c>
      <c r="AI1334">
        <v>89.594051376313999</v>
      </c>
      <c r="AJ1334">
        <v>75.983970028545102</v>
      </c>
      <c r="AK1334">
        <v>263.230166715243</v>
      </c>
      <c r="AL1334">
        <v>89.609377787672202</v>
      </c>
      <c r="AM1334">
        <v>86.349395398272307</v>
      </c>
      <c r="AN1334">
        <v>1.0000000113895799</v>
      </c>
    </row>
    <row r="1335" spans="1:40" x14ac:dyDescent="0.25">
      <c r="A1335" t="str">
        <f>"20190305135816542"</f>
        <v>20190305135816542</v>
      </c>
      <c r="B1335" t="str">
        <f>"1551765496529474"</f>
        <v>1551765496529474</v>
      </c>
      <c r="C1335" t="s">
        <v>40</v>
      </c>
      <c r="D1335">
        <v>3.8244630000000002</v>
      </c>
      <c r="E1335">
        <v>0.57014919999999902</v>
      </c>
      <c r="F1335" t="s">
        <v>56</v>
      </c>
      <c r="G1335">
        <v>-212.17910000000001</v>
      </c>
      <c r="H1335">
        <v>2.6042559999999999</v>
      </c>
      <c r="I1335">
        <v>98.375470000000007</v>
      </c>
      <c r="J1335">
        <v>-192.20439999999999</v>
      </c>
      <c r="K1335">
        <v>1.1041609999999999</v>
      </c>
      <c r="L1335">
        <v>345.2876</v>
      </c>
      <c r="M1335">
        <v>0.1602161</v>
      </c>
      <c r="N1335">
        <v>-1.2997170000000001E-2</v>
      </c>
      <c r="O1335">
        <v>-0.98699650000000005</v>
      </c>
      <c r="P1335">
        <v>0.1011345</v>
      </c>
      <c r="Q1335">
        <v>-6.9596909999999996E-3</v>
      </c>
      <c r="R1335">
        <v>-0.99484870000000003</v>
      </c>
      <c r="S1335">
        <v>-0.24551390000000001</v>
      </c>
      <c r="T1335">
        <v>1.8468740000000001E-2</v>
      </c>
      <c r="U1335">
        <v>-3.0426329999999999</v>
      </c>
      <c r="V1335">
        <v>5.9652620000000003E-2</v>
      </c>
      <c r="W1335">
        <v>5.2049560000000002E-3</v>
      </c>
      <c r="X1335">
        <v>0.99820560000000003</v>
      </c>
      <c r="Y1335">
        <v>0.23907590000000001</v>
      </c>
      <c r="Z1335">
        <v>-1.893558E-2</v>
      </c>
      <c r="AA1335">
        <v>0.97081629999999997</v>
      </c>
      <c r="AB1335">
        <v>25</v>
      </c>
      <c r="AC1335">
        <v>-19.974699999999999</v>
      </c>
      <c r="AD1335">
        <v>1.500095</v>
      </c>
      <c r="AE1335">
        <v>-246.91212999999999</v>
      </c>
      <c r="AF1335">
        <v>59.2770844864651</v>
      </c>
      <c r="AG1335">
        <v>1.500095</v>
      </c>
      <c r="AH1335">
        <v>240.51260988467899</v>
      </c>
      <c r="AI1335">
        <v>89.653029062801494</v>
      </c>
      <c r="AJ1335">
        <v>76.154733165407805</v>
      </c>
      <c r="AK1335">
        <v>247.71422757638399</v>
      </c>
      <c r="AL1335">
        <v>89.701776634106096</v>
      </c>
      <c r="AM1335">
        <v>86.580079882909899</v>
      </c>
      <c r="AN1335">
        <v>0.99999997325559198</v>
      </c>
    </row>
    <row r="1336" spans="1:40" x14ac:dyDescent="0.25">
      <c r="A1336" t="str">
        <f>"20190305135816574"</f>
        <v>20190305135816574</v>
      </c>
      <c r="B1336" t="str">
        <f>"1551765496569491"</f>
        <v>1551765496569491</v>
      </c>
      <c r="C1336" t="s">
        <v>40</v>
      </c>
      <c r="D1336">
        <v>3.961198</v>
      </c>
      <c r="E1336">
        <v>0.56870069999999995</v>
      </c>
      <c r="F1336" t="s">
        <v>56</v>
      </c>
      <c r="G1336">
        <v>-212.7139</v>
      </c>
      <c r="H1336">
        <v>1.886898</v>
      </c>
      <c r="I1336">
        <v>98.375470000000007</v>
      </c>
      <c r="J1336">
        <v>-192.1585</v>
      </c>
      <c r="K1336">
        <v>1.1042799999999999</v>
      </c>
      <c r="L1336">
        <v>344.91849999999999</v>
      </c>
      <c r="M1336">
        <v>0.1486749</v>
      </c>
      <c r="N1336">
        <v>-1.289155E-2</v>
      </c>
      <c r="O1336">
        <v>-0.98880230000000002</v>
      </c>
      <c r="P1336">
        <v>9.1132729999999995E-2</v>
      </c>
      <c r="Q1336">
        <v>-6.8921399999999997E-3</v>
      </c>
      <c r="R1336">
        <v>-0.99581500000000001</v>
      </c>
      <c r="S1336">
        <v>-0.25262449999999997</v>
      </c>
      <c r="T1336">
        <v>9.6416469999999997E-3</v>
      </c>
      <c r="U1336">
        <v>-3.0413209999999999</v>
      </c>
      <c r="V1336">
        <v>5.8019429999999997E-2</v>
      </c>
      <c r="W1336">
        <v>5.2087710000000001E-3</v>
      </c>
      <c r="X1336">
        <v>0.99830189999999996</v>
      </c>
      <c r="Y1336">
        <v>0.23001070000000001</v>
      </c>
      <c r="Z1336">
        <v>-1.6040829999999999E-2</v>
      </c>
      <c r="AA1336">
        <v>0.97305589999999997</v>
      </c>
      <c r="AB1336">
        <v>25</v>
      </c>
      <c r="AC1336">
        <v>-20.555399999999899</v>
      </c>
      <c r="AD1336">
        <v>0.78261800000000004</v>
      </c>
      <c r="AE1336">
        <v>-246.54302999999999</v>
      </c>
      <c r="AF1336">
        <v>56.984140704403501</v>
      </c>
      <c r="AG1336">
        <v>0.78261800000000004</v>
      </c>
      <c r="AH1336">
        <v>240.74379089696399</v>
      </c>
      <c r="AI1336">
        <v>89.818749840198294</v>
      </c>
      <c r="AJ1336">
        <v>76.683159307338101</v>
      </c>
      <c r="AK1336">
        <v>247.39720620531301</v>
      </c>
      <c r="AL1336">
        <v>89.701558066030799</v>
      </c>
      <c r="AM1336">
        <v>86.6738185870542</v>
      </c>
      <c r="AN1336">
        <v>1.0000000345482301</v>
      </c>
    </row>
    <row r="1337" spans="1:40" x14ac:dyDescent="0.25">
      <c r="A1337" t="str">
        <f>"20190305135816599"</f>
        <v>20190305135816599</v>
      </c>
      <c r="B1337" t="str">
        <f>"1551765496589986"</f>
        <v>1551765496589986</v>
      </c>
      <c r="C1337" t="s">
        <v>40</v>
      </c>
      <c r="D1337">
        <v>3.960375</v>
      </c>
      <c r="E1337">
        <v>0.55301109999999998</v>
      </c>
      <c r="F1337" t="s">
        <v>57</v>
      </c>
      <c r="G1337">
        <v>-212.46350000000001</v>
      </c>
      <c r="H1337">
        <v>0.979159</v>
      </c>
      <c r="I1337">
        <v>118.821</v>
      </c>
      <c r="J1337">
        <v>-192.12569999999999</v>
      </c>
      <c r="K1337">
        <v>1.1043780000000001</v>
      </c>
      <c r="L1337">
        <v>344.63459999999998</v>
      </c>
      <c r="M1337">
        <v>0.139981299999999</v>
      </c>
      <c r="N1337">
        <v>-1.2792049999999999E-2</v>
      </c>
      <c r="O1337">
        <v>-0.99007179999999995</v>
      </c>
      <c r="P1337">
        <v>8.4298919999999999E-2</v>
      </c>
      <c r="Q1337">
        <v>-7.4635609999999996E-3</v>
      </c>
      <c r="R1337">
        <v>-0.99641310000000005</v>
      </c>
      <c r="S1337">
        <v>-0.2727966</v>
      </c>
      <c r="T1337">
        <v>-1.6806130000000001E-3</v>
      </c>
      <c r="U1337">
        <v>-3.037598</v>
      </c>
      <c r="V1337">
        <v>5.608614E-2</v>
      </c>
      <c r="W1337">
        <v>4.578876E-3</v>
      </c>
      <c r="X1337">
        <v>0.99841539999999995</v>
      </c>
      <c r="Y1337">
        <v>0.22797129999999999</v>
      </c>
      <c r="Z1337">
        <v>-1.233627E-2</v>
      </c>
      <c r="AA1337">
        <v>0.9735897</v>
      </c>
      <c r="AB1337">
        <v>25</v>
      </c>
      <c r="AC1337">
        <v>-20.337800000000001</v>
      </c>
      <c r="AD1337">
        <v>-0.125219</v>
      </c>
      <c r="AE1337">
        <v>-225.81360000000001</v>
      </c>
      <c r="AF1337">
        <v>51.749767254776998</v>
      </c>
      <c r="AG1337">
        <v>-0.125219</v>
      </c>
      <c r="AH1337">
        <v>220.742697010104</v>
      </c>
      <c r="AI1337">
        <v>90.031643793842804</v>
      </c>
      <c r="AJ1337">
        <v>76.806142136096298</v>
      </c>
      <c r="AK1337">
        <v>226.72757303428301</v>
      </c>
      <c r="AL1337">
        <v>89.737648804635</v>
      </c>
      <c r="AM1337">
        <v>86.784779889419696</v>
      </c>
      <c r="AN1337">
        <v>0.99999996608134001</v>
      </c>
    </row>
    <row r="1338" spans="1:40" x14ac:dyDescent="0.25">
      <c r="A1338" t="str">
        <f>"20190305135816618"</f>
        <v>20190305135816618</v>
      </c>
      <c r="B1338" t="str">
        <f>"1551765496609506"</f>
        <v>1551765496609506</v>
      </c>
      <c r="C1338" t="s">
        <v>40</v>
      </c>
      <c r="D1338">
        <v>3.991403</v>
      </c>
      <c r="E1338">
        <v>0.55234609999999995</v>
      </c>
      <c r="F1338" t="s">
        <v>42</v>
      </c>
      <c r="G1338">
        <v>-193.96639999999999</v>
      </c>
      <c r="H1338" s="1">
        <v>-2.7794189999999999E-6</v>
      </c>
      <c r="I1338">
        <v>313.23880000000003</v>
      </c>
      <c r="J1338">
        <v>-192.10169999999999</v>
      </c>
      <c r="K1338">
        <v>1.1044369999999999</v>
      </c>
      <c r="L1338">
        <v>344.41180000000003</v>
      </c>
      <c r="M1338">
        <v>0.13329530000000001</v>
      </c>
      <c r="N1338">
        <v>-1.261254E-2</v>
      </c>
      <c r="O1338">
        <v>-0.99099610000000005</v>
      </c>
      <c r="P1338">
        <v>8.0839919999999996E-2</v>
      </c>
      <c r="Q1338">
        <v>-7.0389950000000001E-3</v>
      </c>
      <c r="R1338">
        <v>-0.99670230000000004</v>
      </c>
      <c r="S1338">
        <v>-0.17735290000000001</v>
      </c>
      <c r="T1338">
        <v>-0.1064074</v>
      </c>
      <c r="U1338">
        <v>-3.024994</v>
      </c>
      <c r="V1338">
        <v>5.2814670000000001E-2</v>
      </c>
      <c r="W1338">
        <v>4.8811879999999998E-3</v>
      </c>
      <c r="X1338">
        <v>0.99859240000000005</v>
      </c>
      <c r="Y1338">
        <v>0.1910115</v>
      </c>
      <c r="Z1338">
        <v>2.1673060000000001E-2</v>
      </c>
      <c r="AA1338">
        <v>0.98134849999999996</v>
      </c>
      <c r="AB1338">
        <v>25</v>
      </c>
      <c r="AC1338">
        <v>-1.86469999999999</v>
      </c>
      <c r="AD1338">
        <v>-1.104439779419</v>
      </c>
      <c r="AE1338">
        <v>-31.172999999999998</v>
      </c>
      <c r="AF1338">
        <v>5.9961026838408804</v>
      </c>
      <c r="AG1338">
        <v>-1.104439779419</v>
      </c>
      <c r="AH1338">
        <v>30.607920259666098</v>
      </c>
      <c r="AI1338">
        <v>92.028018490183598</v>
      </c>
      <c r="AJ1338">
        <v>78.916102162265005</v>
      </c>
      <c r="AK1338">
        <v>31.209258518003999</v>
      </c>
      <c r="AL1338">
        <v>89.720327417541597</v>
      </c>
      <c r="AM1338">
        <v>86.972497629521101</v>
      </c>
      <c r="AN1338">
        <v>0.99999999835063003</v>
      </c>
    </row>
    <row r="1339" spans="1:40" x14ac:dyDescent="0.25">
      <c r="A1339" t="str">
        <f>"20190305135816640"</f>
        <v>20190305135816640</v>
      </c>
      <c r="B1339" t="str">
        <f>"1551765496630002"</f>
        <v>1551765496630002</v>
      </c>
      <c r="C1339" t="s">
        <v>40</v>
      </c>
      <c r="D1339">
        <v>4.0105199999999996</v>
      </c>
      <c r="E1339">
        <v>0.55171910000000002</v>
      </c>
      <c r="F1339" t="s">
        <v>42</v>
      </c>
      <c r="G1339">
        <v>-193.7962</v>
      </c>
      <c r="H1339" s="1">
        <v>-4.2453249999999999E-6</v>
      </c>
      <c r="I1339">
        <v>316.58769999999998</v>
      </c>
      <c r="J1339">
        <v>-192.07650000000001</v>
      </c>
      <c r="K1339">
        <v>1.104492</v>
      </c>
      <c r="L1339">
        <v>344.16199999999998</v>
      </c>
      <c r="M1339">
        <v>0.1259624</v>
      </c>
      <c r="N1339">
        <v>-1.232334E-2</v>
      </c>
      <c r="O1339">
        <v>-0.99195860000000002</v>
      </c>
      <c r="P1339">
        <v>7.7208760000000001E-2</v>
      </c>
      <c r="Q1339">
        <v>-6.3322760000000004E-3</v>
      </c>
      <c r="R1339">
        <v>-0.99699510000000002</v>
      </c>
      <c r="S1339">
        <v>-0.1841583</v>
      </c>
      <c r="T1339">
        <v>-0.120033</v>
      </c>
      <c r="U1339">
        <v>-3.023987</v>
      </c>
      <c r="V1339">
        <v>4.9070780000000001E-2</v>
      </c>
      <c r="W1339">
        <v>5.3613569999999998E-3</v>
      </c>
      <c r="X1339">
        <v>0.99878089999999997</v>
      </c>
      <c r="Y1339">
        <v>0.1859594</v>
      </c>
      <c r="Z1339">
        <v>2.644208E-2</v>
      </c>
      <c r="AA1339">
        <v>0.98220160000000001</v>
      </c>
      <c r="AB1339">
        <v>25</v>
      </c>
      <c r="AC1339">
        <v>-1.71969999999998</v>
      </c>
      <c r="AD1339">
        <v>-1.104496245325</v>
      </c>
      <c r="AE1339">
        <v>-27.574299999999901</v>
      </c>
      <c r="AF1339">
        <v>5.17132400691521</v>
      </c>
      <c r="AG1339">
        <v>-1.104496245325</v>
      </c>
      <c r="AH1339">
        <v>27.0947007598783</v>
      </c>
      <c r="AI1339">
        <v>92.292983949850097</v>
      </c>
      <c r="AJ1339">
        <v>79.194422852303404</v>
      </c>
      <c r="AK1339">
        <v>27.605892726151499</v>
      </c>
      <c r="AL1339">
        <v>89.692815395467605</v>
      </c>
      <c r="AM1339">
        <v>87.187281346373695</v>
      </c>
      <c r="AN1339">
        <v>0.99999998590174899</v>
      </c>
    </row>
    <row r="1340" spans="1:40" x14ac:dyDescent="0.25">
      <c r="A1340" t="str">
        <f>"20190305135816662"</f>
        <v>20190305135816662</v>
      </c>
      <c r="B1340" t="str">
        <f>"1551765496649522"</f>
        <v>1551765496649522</v>
      </c>
      <c r="C1340" t="s">
        <v>40</v>
      </c>
      <c r="D1340">
        <v>3.9840550000000001</v>
      </c>
      <c r="E1340">
        <v>0.55161959999999999</v>
      </c>
      <c r="F1340" t="s">
        <v>42</v>
      </c>
      <c r="G1340">
        <v>-193.8998</v>
      </c>
      <c r="H1340" s="1">
        <v>-3.6694540000000002E-6</v>
      </c>
      <c r="I1340">
        <v>315.1592</v>
      </c>
      <c r="J1340">
        <v>-192.05289999999999</v>
      </c>
      <c r="K1340">
        <v>1.1045529999999999</v>
      </c>
      <c r="L1340">
        <v>343.9126</v>
      </c>
      <c r="M1340">
        <v>0.1188232</v>
      </c>
      <c r="N1340">
        <v>-1.1908780000000001E-2</v>
      </c>
      <c r="O1340">
        <v>-0.99284399999999995</v>
      </c>
      <c r="P1340">
        <v>7.3669330000000005E-2</v>
      </c>
      <c r="Q1340">
        <v>-4.1630740000000001E-3</v>
      </c>
      <c r="R1340">
        <v>-0.99727440000000001</v>
      </c>
      <c r="S1340">
        <v>-0.1900482</v>
      </c>
      <c r="T1340">
        <v>-0.11512459999999999</v>
      </c>
      <c r="U1340">
        <v>-3.0230410000000001</v>
      </c>
      <c r="V1340">
        <v>4.5451529999999997E-2</v>
      </c>
      <c r="W1340">
        <v>7.179024E-3</v>
      </c>
      <c r="X1340">
        <v>0.99894079999999996</v>
      </c>
      <c r="Y1340">
        <v>0.18082090000000001</v>
      </c>
      <c r="Z1340">
        <v>2.5352030000000001E-2</v>
      </c>
      <c r="AA1340">
        <v>0.98318919999999999</v>
      </c>
      <c r="AB1340">
        <v>25</v>
      </c>
      <c r="AC1340">
        <v>-1.8469</v>
      </c>
      <c r="AD1340">
        <v>-1.1045566694540001</v>
      </c>
      <c r="AE1340">
        <v>-28.753399999999999</v>
      </c>
      <c r="AF1340">
        <v>5.2429217860183801</v>
      </c>
      <c r="AG1340">
        <v>-1.1045566694540001</v>
      </c>
      <c r="AH1340">
        <v>28.2886213871721</v>
      </c>
      <c r="AI1340">
        <v>92.198628787560096</v>
      </c>
      <c r="AJ1340">
        <v>79.500125877542999</v>
      </c>
      <c r="AK1340">
        <v>28.791567763446199</v>
      </c>
      <c r="AL1340">
        <v>89.588668711451405</v>
      </c>
      <c r="AM1340">
        <v>87.394854639640599</v>
      </c>
      <c r="AN1340">
        <v>1.0000000509347799</v>
      </c>
    </row>
    <row r="1341" spans="1:40" x14ac:dyDescent="0.25">
      <c r="A1341" t="str">
        <f>"20190305135816685"</f>
        <v>20190305135816685</v>
      </c>
      <c r="B1341" t="str">
        <f>"1551765496679778"</f>
        <v>1551765496679778</v>
      </c>
      <c r="C1341" t="s">
        <v>40</v>
      </c>
      <c r="D1341">
        <v>4.036098</v>
      </c>
      <c r="E1341">
        <v>0.55149559999999997</v>
      </c>
      <c r="F1341" t="s">
        <v>42</v>
      </c>
      <c r="G1341">
        <v>-194.1183</v>
      </c>
      <c r="H1341" s="1">
        <v>-2.5543989999999998E-6</v>
      </c>
      <c r="I1341">
        <v>312.6773</v>
      </c>
      <c r="J1341">
        <v>-192.0292</v>
      </c>
      <c r="K1341">
        <v>1.1046149999999999</v>
      </c>
      <c r="L1341">
        <v>343.64460000000003</v>
      </c>
      <c r="M1341">
        <v>0.11135829999999999</v>
      </c>
      <c r="N1341">
        <v>-1.13848E-2</v>
      </c>
      <c r="O1341">
        <v>-0.99371500000000001</v>
      </c>
      <c r="P1341">
        <v>6.9721420000000006E-2</v>
      </c>
      <c r="Q1341">
        <v>-1.9234440000000001E-3</v>
      </c>
      <c r="R1341">
        <v>-0.99756480000000003</v>
      </c>
      <c r="S1341">
        <v>-0.1998596</v>
      </c>
      <c r="T1341">
        <v>-0.1068839</v>
      </c>
      <c r="U1341">
        <v>-3.0225219999999999</v>
      </c>
      <c r="V1341">
        <v>4.1915710000000002E-2</v>
      </c>
      <c r="W1341">
        <v>8.9551839999999997E-3</v>
      </c>
      <c r="X1341">
        <v>0.999081</v>
      </c>
      <c r="Y1341">
        <v>0.17662630000000001</v>
      </c>
      <c r="Z1341">
        <v>2.3272629999999999E-2</v>
      </c>
      <c r="AA1341">
        <v>0.98400279999999996</v>
      </c>
      <c r="AB1341">
        <v>25</v>
      </c>
      <c r="AC1341">
        <v>-2.0891000000000002</v>
      </c>
      <c r="AD1341">
        <v>-1.104617554399</v>
      </c>
      <c r="AE1341">
        <v>-30.967300000000002</v>
      </c>
      <c r="AF1341">
        <v>5.5178055933540602</v>
      </c>
      <c r="AG1341">
        <v>-1.104617554399</v>
      </c>
      <c r="AH1341">
        <v>30.503378474092798</v>
      </c>
      <c r="AI1341">
        <v>92.040850708775494</v>
      </c>
      <c r="AJ1341">
        <v>79.746551079014594</v>
      </c>
      <c r="AK1341">
        <v>31.018098859235099</v>
      </c>
      <c r="AL1341">
        <v>89.486898885267493</v>
      </c>
      <c r="AM1341">
        <v>87.597606498995205</v>
      </c>
      <c r="AN1341">
        <v>0.999999983313138</v>
      </c>
    </row>
    <row r="1342" spans="1:40" x14ac:dyDescent="0.25">
      <c r="A1342" t="str">
        <f>"20190305135816708"</f>
        <v>20190305135816708</v>
      </c>
      <c r="B1342" t="str">
        <f>"1551765496700273"</f>
        <v>1551765496700273</v>
      </c>
      <c r="C1342" t="s">
        <v>40</v>
      </c>
      <c r="D1342">
        <v>3.971095</v>
      </c>
      <c r="E1342">
        <v>0.55181979999999997</v>
      </c>
      <c r="F1342" t="s">
        <v>42</v>
      </c>
      <c r="G1342">
        <v>-194.3914</v>
      </c>
      <c r="H1342" s="1">
        <v>-1.236762E-6</v>
      </c>
      <c r="I1342">
        <v>309.73610000000002</v>
      </c>
      <c r="J1342">
        <v>-192.0077</v>
      </c>
      <c r="K1342">
        <v>1.1046830000000001</v>
      </c>
      <c r="L1342">
        <v>343.38279999999997</v>
      </c>
      <c r="M1342">
        <v>0.1042821</v>
      </c>
      <c r="N1342">
        <v>-1.0839619999999999E-2</v>
      </c>
      <c r="O1342">
        <v>-0.99448890000000001</v>
      </c>
      <c r="P1342">
        <v>6.6129540000000001E-2</v>
      </c>
      <c r="Q1342">
        <v>-8.1098080000000005E-4</v>
      </c>
      <c r="R1342">
        <v>-0.997811</v>
      </c>
      <c r="S1342">
        <v>-0.21051030000000001</v>
      </c>
      <c r="T1342">
        <v>-9.8440169999999994E-2</v>
      </c>
      <c r="U1342">
        <v>-3.02182</v>
      </c>
      <c r="V1342">
        <v>3.840358E-2</v>
      </c>
      <c r="W1342">
        <v>9.5798140000000007E-3</v>
      </c>
      <c r="X1342">
        <v>0.9992164</v>
      </c>
      <c r="Y1342">
        <v>0.17309539999999901</v>
      </c>
      <c r="Z1342">
        <v>2.1132850000000002E-2</v>
      </c>
      <c r="AA1342">
        <v>0.98467830000000001</v>
      </c>
      <c r="AB1342">
        <v>26</v>
      </c>
      <c r="AC1342">
        <v>-2.3837000000000002</v>
      </c>
      <c r="AD1342">
        <v>-1.104684236762</v>
      </c>
      <c r="AE1342">
        <v>-33.646699999999903</v>
      </c>
      <c r="AF1342">
        <v>5.8733564430955596</v>
      </c>
      <c r="AG1342">
        <v>-1.104684236762</v>
      </c>
      <c r="AH1342">
        <v>33.179050575936103</v>
      </c>
      <c r="AI1342">
        <v>91.877764822847894</v>
      </c>
      <c r="AJ1342">
        <v>79.961493279688497</v>
      </c>
      <c r="AK1342">
        <v>33.712995124894</v>
      </c>
      <c r="AL1342">
        <v>89.451108699498505</v>
      </c>
      <c r="AM1342">
        <v>87.798994702231099</v>
      </c>
      <c r="AN1342">
        <v>1.0000000109110201</v>
      </c>
    </row>
    <row r="1343" spans="1:40" x14ac:dyDescent="0.25">
      <c r="A1343" t="str">
        <f>"20190305135816731"</f>
        <v>20190305135816731</v>
      </c>
      <c r="B1343" t="str">
        <f>"1551765496719794"</f>
        <v>1551765496719794</v>
      </c>
      <c r="C1343" t="s">
        <v>40</v>
      </c>
      <c r="D1343">
        <v>4.076098</v>
      </c>
      <c r="E1343">
        <v>0.55184889999999998</v>
      </c>
      <c r="F1343" t="s">
        <v>42</v>
      </c>
      <c r="G1343">
        <v>-194.74529999999999</v>
      </c>
      <c r="H1343" s="1">
        <v>-4.0346140000000003E-6</v>
      </c>
      <c r="I1343">
        <v>306.36919999999998</v>
      </c>
      <c r="J1343">
        <v>-191.9873</v>
      </c>
      <c r="K1343">
        <v>1.1047499999999999</v>
      </c>
      <c r="L1343">
        <v>343.11529999999999</v>
      </c>
      <c r="M1343">
        <v>9.7309019999999996E-2</v>
      </c>
      <c r="N1343">
        <v>-1.026648E-2</v>
      </c>
      <c r="O1343">
        <v>-0.99520129999999996</v>
      </c>
      <c r="P1343">
        <v>6.3028500000000001E-2</v>
      </c>
      <c r="Q1343">
        <v>-1.208553E-3</v>
      </c>
      <c r="R1343">
        <v>-0.99801119999999999</v>
      </c>
      <c r="S1343">
        <v>-0.223465</v>
      </c>
      <c r="T1343">
        <v>-9.0173009999999998E-2</v>
      </c>
      <c r="U1343">
        <v>-3.0213320000000001</v>
      </c>
      <c r="V1343">
        <v>3.4489720000000001E-2</v>
      </c>
      <c r="W1343">
        <v>8.6690929999999992E-3</v>
      </c>
      <c r="X1343">
        <v>0.99936749999999996</v>
      </c>
      <c r="Y1343">
        <v>0.17041110000000001</v>
      </c>
      <c r="Z1343">
        <v>1.9060799999999999E-2</v>
      </c>
      <c r="AA1343">
        <v>0.98518870000000003</v>
      </c>
      <c r="AB1343">
        <v>26</v>
      </c>
      <c r="AC1343">
        <v>-2.75799999999998</v>
      </c>
      <c r="AD1343">
        <v>-1.1047540346139999</v>
      </c>
      <c r="AE1343">
        <v>-36.746099999999998</v>
      </c>
      <c r="AF1343">
        <v>6.3151489173445103</v>
      </c>
      <c r="AG1343">
        <v>-1.1047540346139999</v>
      </c>
      <c r="AH1343">
        <v>36.270699571688503</v>
      </c>
      <c r="AI1343">
        <v>91.718767047476007</v>
      </c>
      <c r="AJ1343">
        <v>80.123151911833702</v>
      </c>
      <c r="AK1343">
        <v>36.832936819440803</v>
      </c>
      <c r="AL1343">
        <v>89.503291360572106</v>
      </c>
      <c r="AM1343">
        <v>88.023418408130297</v>
      </c>
      <c r="AN1343">
        <v>1.00000004700768</v>
      </c>
    </row>
    <row r="1344" spans="1:40" x14ac:dyDescent="0.25">
      <c r="A1344" t="str">
        <f>"20190305135816754"</f>
        <v>20190305135816754</v>
      </c>
      <c r="B1344" t="str">
        <f>"1551765496750051"</f>
        <v>1551765496750051</v>
      </c>
      <c r="C1344" t="s">
        <v>40</v>
      </c>
      <c r="D1344">
        <v>4.0500790000000002</v>
      </c>
      <c r="E1344">
        <v>0.55153719999999995</v>
      </c>
      <c r="F1344" t="s">
        <v>42</v>
      </c>
      <c r="G1344">
        <v>-194.8672</v>
      </c>
      <c r="H1344" s="1">
        <v>-3.8579409999999996E-6</v>
      </c>
      <c r="I1344">
        <v>305.78649999999999</v>
      </c>
      <c r="J1344">
        <v>-191.96809999999999</v>
      </c>
      <c r="K1344">
        <v>1.1048389999999999</v>
      </c>
      <c r="L1344">
        <v>342.84339999999997</v>
      </c>
      <c r="M1344">
        <v>9.0547340000000004E-2</v>
      </c>
      <c r="N1344">
        <v>-9.691725E-3</v>
      </c>
      <c r="O1344">
        <v>-0.99584510000000004</v>
      </c>
      <c r="P1344">
        <v>6.076223E-2</v>
      </c>
      <c r="Q1344">
        <v>-1.8276869999999999E-3</v>
      </c>
      <c r="R1344">
        <v>-0.99815069999999995</v>
      </c>
      <c r="S1344">
        <v>-0.23303219999999999</v>
      </c>
      <c r="T1344">
        <v>-8.939445E-2</v>
      </c>
      <c r="U1344">
        <v>-3.0205690000000001</v>
      </c>
      <c r="V1344">
        <v>2.995387E-2</v>
      </c>
      <c r="W1344">
        <v>7.5399799999999999E-3</v>
      </c>
      <c r="X1344">
        <v>0.99952289999999999</v>
      </c>
      <c r="Y1344">
        <v>0.16684070000000001</v>
      </c>
      <c r="Z1344">
        <v>1.9426430000000001E-2</v>
      </c>
      <c r="AA1344">
        <v>0.98579249999999996</v>
      </c>
      <c r="AB1344">
        <v>26</v>
      </c>
      <c r="AC1344">
        <v>-2.8990999999999998</v>
      </c>
      <c r="AD1344">
        <v>-1.1048428579409999</v>
      </c>
      <c r="AE1344">
        <v>-37.056899999999899</v>
      </c>
      <c r="AF1344">
        <v>6.2372401013075898</v>
      </c>
      <c r="AG1344">
        <v>-1.1048428579409999</v>
      </c>
      <c r="AH1344">
        <v>36.6097982854752</v>
      </c>
      <c r="AI1344">
        <v>91.704058552238607</v>
      </c>
      <c r="AJ1344">
        <v>80.331308208818598</v>
      </c>
      <c r="AK1344">
        <v>37.153750447637002</v>
      </c>
      <c r="AL1344">
        <v>89.567986899366502</v>
      </c>
      <c r="AM1344">
        <v>88.283464210069098</v>
      </c>
      <c r="AN1344">
        <v>1.0000000566253899</v>
      </c>
    </row>
    <row r="1345" spans="1:40" x14ac:dyDescent="0.25">
      <c r="A1345" t="str">
        <f>"20190305135816775"</f>
        <v>20190305135816775</v>
      </c>
      <c r="B1345" t="str">
        <f>"1551765496769571"</f>
        <v>1551765496769571</v>
      </c>
      <c r="C1345" t="s">
        <v>40</v>
      </c>
      <c r="D1345">
        <v>4.0530390000000001</v>
      </c>
      <c r="E1345">
        <v>0.55127780000000004</v>
      </c>
      <c r="F1345" t="s">
        <v>42</v>
      </c>
      <c r="G1345">
        <v>-194.93709999999999</v>
      </c>
      <c r="H1345" s="1">
        <v>-3.619699E-6</v>
      </c>
      <c r="I1345">
        <v>305.05</v>
      </c>
      <c r="J1345">
        <v>-191.95160000000001</v>
      </c>
      <c r="K1345">
        <v>1.1049610000000001</v>
      </c>
      <c r="L1345">
        <v>342.59300000000002</v>
      </c>
      <c r="M1345">
        <v>8.4666920000000007E-2</v>
      </c>
      <c r="N1345">
        <v>-9.1918069999999998E-3</v>
      </c>
      <c r="O1345">
        <v>-0.99636709999999995</v>
      </c>
      <c r="P1345">
        <v>5.8276500000000002E-2</v>
      </c>
      <c r="Q1345">
        <v>-8.9402239999999999E-4</v>
      </c>
      <c r="R1345">
        <v>-0.99830050000000004</v>
      </c>
      <c r="S1345">
        <v>-0.2372437</v>
      </c>
      <c r="T1345">
        <v>-8.8282819999999998E-2</v>
      </c>
      <c r="U1345">
        <v>-3.0198969999999998</v>
      </c>
      <c r="V1345">
        <v>2.654304E-2</v>
      </c>
      <c r="W1345">
        <v>8.0230010000000001E-3</v>
      </c>
      <c r="X1345">
        <v>0.99961549999999999</v>
      </c>
      <c r="Y1345">
        <v>0.1624041</v>
      </c>
      <c r="Z1345">
        <v>1.9605609999999999E-2</v>
      </c>
      <c r="AA1345">
        <v>0.98652949999999995</v>
      </c>
      <c r="AB1345">
        <v>26</v>
      </c>
      <c r="AC1345">
        <v>-2.9854999999999698</v>
      </c>
      <c r="AD1345">
        <v>-1.104964619699</v>
      </c>
      <c r="AE1345">
        <v>-37.542999999999999</v>
      </c>
      <c r="AF1345">
        <v>6.1482705458342197</v>
      </c>
      <c r="AG1345">
        <v>-1.104964619699</v>
      </c>
      <c r="AH1345">
        <v>37.123443863321398</v>
      </c>
      <c r="AI1345">
        <v>91.681984785343602</v>
      </c>
      <c r="AJ1345">
        <v>80.596208049403401</v>
      </c>
      <c r="AK1345">
        <v>37.645348474794801</v>
      </c>
      <c r="AL1345">
        <v>89.540310983340007</v>
      </c>
      <c r="AM1345">
        <v>88.478968271757296</v>
      </c>
      <c r="AN1345">
        <v>1.0000000246788601</v>
      </c>
    </row>
    <row r="1346" spans="1:40" x14ac:dyDescent="0.25">
      <c r="A1346" t="str">
        <f>"20190305135816795"</f>
        <v>20190305135816795</v>
      </c>
      <c r="B1346" t="str">
        <f>"1551765496790066"</f>
        <v>1551765496790066</v>
      </c>
      <c r="C1346" t="s">
        <v>40</v>
      </c>
      <c r="D1346">
        <v>4.1774360000000001</v>
      </c>
      <c r="E1346">
        <v>0.55079330000000004</v>
      </c>
      <c r="F1346" t="s">
        <v>42</v>
      </c>
      <c r="G1346">
        <v>-195.16759999999999</v>
      </c>
      <c r="H1346" s="1">
        <v>-2.637795E-6</v>
      </c>
      <c r="I1346">
        <v>302.53280000000001</v>
      </c>
      <c r="J1346">
        <v>-191.9367</v>
      </c>
      <c r="K1346">
        <v>1.1051280000000001</v>
      </c>
      <c r="L1346">
        <v>342.35079999999999</v>
      </c>
      <c r="M1346">
        <v>7.933991E-2</v>
      </c>
      <c r="N1346">
        <v>-8.7449810000000006E-3</v>
      </c>
      <c r="O1346">
        <v>-0.99680939999999996</v>
      </c>
      <c r="P1346">
        <v>5.5697120000000003E-2</v>
      </c>
      <c r="Q1346">
        <v>1.8179489999999999E-3</v>
      </c>
      <c r="R1346">
        <v>-0.99844619999999995</v>
      </c>
      <c r="S1346">
        <v>-0.24237059999999999</v>
      </c>
      <c r="T1346">
        <v>-8.3275559999999998E-2</v>
      </c>
      <c r="U1346">
        <v>-3.0191349999999999</v>
      </c>
      <c r="V1346">
        <v>2.3800120000000001E-2</v>
      </c>
      <c r="W1346">
        <v>1.032889E-2</v>
      </c>
      <c r="X1346">
        <v>0.99966339999999998</v>
      </c>
      <c r="Y1346">
        <v>0.15881799999999999</v>
      </c>
      <c r="Z1346">
        <v>1.8452280000000001E-2</v>
      </c>
      <c r="AA1346">
        <v>0.9871354</v>
      </c>
      <c r="AB1346">
        <v>26</v>
      </c>
      <c r="AC1346">
        <v>-3.2308999999999899</v>
      </c>
      <c r="AD1346">
        <v>-1.1051306377949901</v>
      </c>
      <c r="AE1346">
        <v>-39.817999999999898</v>
      </c>
      <c r="AF1346">
        <v>6.3751123818609301</v>
      </c>
      <c r="AG1346">
        <v>-1.1051306377949901</v>
      </c>
      <c r="AH1346">
        <v>39.405963438862898</v>
      </c>
      <c r="AI1346">
        <v>91.585817162321803</v>
      </c>
      <c r="AJ1346">
        <v>80.810287854740906</v>
      </c>
      <c r="AK1346">
        <v>39.9336114839736</v>
      </c>
      <c r="AL1346">
        <v>89.408187685925498</v>
      </c>
      <c r="AM1346">
        <v>88.636152063934404</v>
      </c>
      <c r="AN1346">
        <v>1.0000000224901</v>
      </c>
    </row>
    <row r="1347" spans="1:40" x14ac:dyDescent="0.25">
      <c r="A1347" t="str">
        <f>"20190305135816821"</f>
        <v>20190305135816821</v>
      </c>
      <c r="B1347" t="str">
        <f>"1551765496809587"</f>
        <v>1551765496809587</v>
      </c>
      <c r="C1347" t="s">
        <v>40</v>
      </c>
      <c r="D1347">
        <v>4.1951510000000001</v>
      </c>
      <c r="E1347">
        <v>0.55046830000000002</v>
      </c>
      <c r="F1347" t="s">
        <v>42</v>
      </c>
      <c r="G1347">
        <v>-195.35159999999999</v>
      </c>
      <c r="H1347" s="1">
        <v>-1.8165169999999999E-6</v>
      </c>
      <c r="I1347">
        <v>300.5043</v>
      </c>
      <c r="J1347">
        <v>-191.92019999999999</v>
      </c>
      <c r="K1347">
        <v>1.1053740000000001</v>
      </c>
      <c r="L1347">
        <v>342.06259999999997</v>
      </c>
      <c r="M1347">
        <v>7.3504529999999998E-2</v>
      </c>
      <c r="N1347">
        <v>-8.2622100000000007E-3</v>
      </c>
      <c r="O1347">
        <v>-0.99726060000000005</v>
      </c>
      <c r="P1347">
        <v>5.1447439999999997E-2</v>
      </c>
      <c r="Q1347">
        <v>3.473233E-3</v>
      </c>
      <c r="R1347">
        <v>-0.99866969999999999</v>
      </c>
      <c r="S1347">
        <v>-0.2463226</v>
      </c>
      <c r="T1347">
        <v>-7.9716560000000006E-2</v>
      </c>
      <c r="U1347">
        <v>-3.0185240000000002</v>
      </c>
      <c r="V1347">
        <v>2.2206569999999998E-2</v>
      </c>
      <c r="W1347">
        <v>1.153235E-2</v>
      </c>
      <c r="X1347">
        <v>0.99968690000000004</v>
      </c>
      <c r="Y1347">
        <v>0.1543417</v>
      </c>
      <c r="Z1347">
        <v>1.780615E-2</v>
      </c>
      <c r="AA1347">
        <v>0.98785699999999999</v>
      </c>
      <c r="AB1347">
        <v>26</v>
      </c>
      <c r="AC1347">
        <v>-3.4313999999999898</v>
      </c>
      <c r="AD1347">
        <v>-1.105375816517</v>
      </c>
      <c r="AE1347">
        <v>-41.558299999999903</v>
      </c>
      <c r="AF1347">
        <v>6.4723967996998297</v>
      </c>
      <c r="AG1347">
        <v>-1.105375816517</v>
      </c>
      <c r="AH1347">
        <v>41.164714822426603</v>
      </c>
      <c r="AI1347">
        <v>91.519506837006801</v>
      </c>
      <c r="AJ1347">
        <v>81.064444071763404</v>
      </c>
      <c r="AK1347">
        <v>41.6850995253725</v>
      </c>
      <c r="AL1347">
        <v>89.339230378280305</v>
      </c>
      <c r="AM1347">
        <v>88.727468045074502</v>
      </c>
      <c r="AN1347">
        <v>1.00000001243964</v>
      </c>
    </row>
    <row r="1348" spans="1:40" x14ac:dyDescent="0.25">
      <c r="A1348" t="str">
        <f>"20190305135816843"</f>
        <v>20190305135816843</v>
      </c>
      <c r="B1348" t="str">
        <f>"1551765496839843"</f>
        <v>1551765496839843</v>
      </c>
      <c r="C1348" t="s">
        <v>40</v>
      </c>
      <c r="D1348">
        <v>4.1586429999999996</v>
      </c>
      <c r="E1348">
        <v>0.55004449999999905</v>
      </c>
      <c r="F1348" t="s">
        <v>42</v>
      </c>
      <c r="G1348">
        <v>-195.52850000000001</v>
      </c>
      <c r="H1348" s="1">
        <v>-1.4882959999999999E-6</v>
      </c>
      <c r="I1348">
        <v>299.62939999999998</v>
      </c>
      <c r="J1348">
        <v>-191.90549999999999</v>
      </c>
      <c r="K1348">
        <v>1.1056330000000001</v>
      </c>
      <c r="L1348">
        <v>341.78719999999998</v>
      </c>
      <c r="M1348">
        <v>6.8475019999999998E-2</v>
      </c>
      <c r="N1348">
        <v>-7.8533509999999997E-3</v>
      </c>
      <c r="O1348">
        <v>-0.99762200000000001</v>
      </c>
      <c r="P1348">
        <v>4.8612290000000002E-2</v>
      </c>
      <c r="Q1348">
        <v>2.2749070000000001E-3</v>
      </c>
      <c r="R1348">
        <v>-0.99881529999999996</v>
      </c>
      <c r="S1348">
        <v>-0.25659179999999998</v>
      </c>
      <c r="T1348">
        <v>-7.8604939999999998E-2</v>
      </c>
      <c r="U1348">
        <v>-3.017487</v>
      </c>
      <c r="V1348">
        <v>1.9981700000000002E-2</v>
      </c>
      <c r="W1348">
        <v>9.9603120000000007E-3</v>
      </c>
      <c r="X1348">
        <v>0.99975069999999999</v>
      </c>
      <c r="Y1348">
        <v>0.15272720000000001</v>
      </c>
      <c r="Z1348">
        <v>1.787565E-2</v>
      </c>
      <c r="AA1348">
        <v>0.9881067</v>
      </c>
      <c r="AB1348">
        <v>26</v>
      </c>
      <c r="AC1348">
        <v>-3.62300000000001</v>
      </c>
      <c r="AD1348">
        <v>-1.1056344882960001</v>
      </c>
      <c r="AE1348">
        <v>-42.157800000000002</v>
      </c>
      <c r="AF1348">
        <v>6.4969048153861904</v>
      </c>
      <c r="AG1348">
        <v>-1.1056344882960001</v>
      </c>
      <c r="AH1348">
        <v>41.782222344355397</v>
      </c>
      <c r="AI1348">
        <v>91.4978071295603</v>
      </c>
      <c r="AJ1348">
        <v>81.161602329860202</v>
      </c>
      <c r="AK1348">
        <v>42.298774259250699</v>
      </c>
      <c r="AL1348">
        <v>89.429306705689399</v>
      </c>
      <c r="AM1348">
        <v>88.854999883170294</v>
      </c>
      <c r="AN1348">
        <v>0.99999996915025802</v>
      </c>
    </row>
    <row r="1349" spans="1:40" x14ac:dyDescent="0.25">
      <c r="A1349" t="str">
        <f>"20190305135816865"</f>
        <v>20190305135816865</v>
      </c>
      <c r="B1349" t="str">
        <f>"1551765496860338"</f>
        <v>1551765496860338</v>
      </c>
      <c r="C1349" t="s">
        <v>40</v>
      </c>
      <c r="D1349">
        <v>4.1416469999999999</v>
      </c>
      <c r="E1349">
        <v>0.54989589999999999</v>
      </c>
      <c r="F1349" t="s">
        <v>42</v>
      </c>
      <c r="G1349">
        <v>-195.1216</v>
      </c>
      <c r="H1349" s="1">
        <v>-3.5735550000000002E-6</v>
      </c>
      <c r="I1349">
        <v>304.81819999999999</v>
      </c>
      <c r="J1349">
        <v>-191.8931</v>
      </c>
      <c r="K1349">
        <v>1.105834</v>
      </c>
      <c r="L1349">
        <v>341.5419</v>
      </c>
      <c r="M1349">
        <v>6.4357369999999997E-2</v>
      </c>
      <c r="N1349">
        <v>-7.5287519999999997E-3</v>
      </c>
      <c r="O1349">
        <v>-0.99789859999999997</v>
      </c>
      <c r="P1349">
        <v>4.6264729999999997E-2</v>
      </c>
      <c r="Q1349">
        <v>-2.40976E-4</v>
      </c>
      <c r="R1349">
        <v>-0.99892950000000003</v>
      </c>
      <c r="S1349">
        <v>-0.26242070000000001</v>
      </c>
      <c r="T1349">
        <v>-9.0214130000000003E-2</v>
      </c>
      <c r="U1349">
        <v>-3.0164789999999999</v>
      </c>
      <c r="V1349">
        <v>1.817738E-2</v>
      </c>
      <c r="W1349">
        <v>7.1456459999999899E-3</v>
      </c>
      <c r="X1349">
        <v>0.99980930000000001</v>
      </c>
      <c r="Y1349">
        <v>0.15056329999999901</v>
      </c>
      <c r="Z1349">
        <v>2.202718E-2</v>
      </c>
      <c r="AA1349">
        <v>0.98835490000000004</v>
      </c>
      <c r="AB1349">
        <v>26</v>
      </c>
      <c r="AC1349">
        <v>-3.2284999999999902</v>
      </c>
      <c r="AD1349">
        <v>-1.1058375735549999</v>
      </c>
      <c r="AE1349">
        <v>-36.723700000000001</v>
      </c>
      <c r="AF1349">
        <v>5.5802930526844996</v>
      </c>
      <c r="AG1349">
        <v>-1.1058375735549999</v>
      </c>
      <c r="AH1349">
        <v>36.407021671471199</v>
      </c>
      <c r="AI1349">
        <v>91.719712629699302</v>
      </c>
      <c r="AJ1349">
        <v>81.285798077595004</v>
      </c>
      <c r="AK1349">
        <v>36.848796103535101</v>
      </c>
      <c r="AL1349">
        <v>89.590581181372698</v>
      </c>
      <c r="AM1349">
        <v>88.958428945207501</v>
      </c>
      <c r="AN1349">
        <v>1.00000005688345</v>
      </c>
    </row>
    <row r="1350" spans="1:40" x14ac:dyDescent="0.25">
      <c r="A1350" t="str">
        <f>"20190305135816888"</f>
        <v>20190305135816888</v>
      </c>
      <c r="B1350" t="str">
        <f>"1551765496879858"</f>
        <v>1551765496879858</v>
      </c>
      <c r="C1350" t="s">
        <v>40</v>
      </c>
      <c r="D1350">
        <v>4.2449779999999997</v>
      </c>
      <c r="E1350">
        <v>0.54937000000000002</v>
      </c>
      <c r="F1350" t="s">
        <v>42</v>
      </c>
      <c r="G1350">
        <v>-194.89070000000001</v>
      </c>
      <c r="H1350" s="1">
        <v>-4.5729220000000001E-6</v>
      </c>
      <c r="I1350">
        <v>307.87529999999998</v>
      </c>
      <c r="J1350">
        <v>-191.87909999999999</v>
      </c>
      <c r="K1350">
        <v>1.1060989999999999</v>
      </c>
      <c r="L1350">
        <v>341.25009999999997</v>
      </c>
      <c r="M1350">
        <v>5.996858E-2</v>
      </c>
      <c r="N1350">
        <v>-7.1894580000000001E-3</v>
      </c>
      <c r="O1350">
        <v>-0.99817440000000002</v>
      </c>
      <c r="P1350">
        <v>4.310137E-2</v>
      </c>
      <c r="Q1350">
        <v>-1.963986E-3</v>
      </c>
      <c r="R1350">
        <v>-0.99906890000000004</v>
      </c>
      <c r="S1350">
        <v>-0.26850889999999999</v>
      </c>
      <c r="T1350">
        <v>-9.9054340000000005E-2</v>
      </c>
      <c r="U1350">
        <v>-3.0156559999999999</v>
      </c>
      <c r="V1350">
        <v>1.6926799999999999E-2</v>
      </c>
      <c r="W1350">
        <v>5.1057759999999898E-3</v>
      </c>
      <c r="X1350">
        <v>0.9998437</v>
      </c>
      <c r="Y1350">
        <v>0.1482118</v>
      </c>
      <c r="Z1350">
        <v>2.5289180000000001E-2</v>
      </c>
      <c r="AA1350">
        <v>0.98863230000000002</v>
      </c>
      <c r="AB1350">
        <v>27</v>
      </c>
      <c r="AC1350">
        <v>-3.0116000000000098</v>
      </c>
      <c r="AD1350">
        <v>-1.1061035729219999</v>
      </c>
      <c r="AE1350">
        <v>-33.374799999999901</v>
      </c>
      <c r="AF1350">
        <v>5.0022206946739303</v>
      </c>
      <c r="AG1350">
        <v>-1.1061035729219999</v>
      </c>
      <c r="AH1350">
        <v>33.098064303445803</v>
      </c>
      <c r="AI1350">
        <v>91.892577687427107</v>
      </c>
      <c r="AJ1350">
        <v>81.405738801292102</v>
      </c>
      <c r="AK1350">
        <v>33.492201146345799</v>
      </c>
      <c r="AL1350">
        <v>89.707459314466803</v>
      </c>
      <c r="AM1350">
        <v>89.030106842587898</v>
      </c>
      <c r="AN1350">
        <v>1.00000000496824</v>
      </c>
    </row>
    <row r="1351" spans="1:40" x14ac:dyDescent="0.25">
      <c r="A1351" t="str">
        <f>"20190305135816910"</f>
        <v>20190305135816910</v>
      </c>
      <c r="B1351" t="str">
        <f>"1551765496900355"</f>
        <v>1551765496900355</v>
      </c>
      <c r="C1351" t="s">
        <v>40</v>
      </c>
      <c r="D1351">
        <v>4.1952569999999998</v>
      </c>
      <c r="E1351">
        <v>0.54897859999999998</v>
      </c>
      <c r="F1351" t="s">
        <v>42</v>
      </c>
      <c r="G1351">
        <v>-194.58750000000001</v>
      </c>
      <c r="H1351" s="1">
        <v>-2.1212550000000002E-6</v>
      </c>
      <c r="I1351">
        <v>311.49689999999998</v>
      </c>
      <c r="J1351">
        <v>-191.8673</v>
      </c>
      <c r="K1351">
        <v>1.1063609999999999</v>
      </c>
      <c r="L1351">
        <v>340.9905</v>
      </c>
      <c r="M1351">
        <v>5.6573480000000002E-2</v>
      </c>
      <c r="N1351">
        <v>-6.924408E-3</v>
      </c>
      <c r="O1351">
        <v>-0.9983744</v>
      </c>
      <c r="P1351">
        <v>4.0846809999999997E-2</v>
      </c>
      <c r="Q1351">
        <v>-1.857133E-3</v>
      </c>
      <c r="R1351">
        <v>-0.99916349999999998</v>
      </c>
      <c r="S1351">
        <v>-0.2743988</v>
      </c>
      <c r="T1351">
        <v>-0.1120632</v>
      </c>
      <c r="U1351">
        <v>-3.0144039999999999</v>
      </c>
      <c r="V1351">
        <v>1.5777900000000001E-2</v>
      </c>
      <c r="W1351">
        <v>4.9670180000000001E-3</v>
      </c>
      <c r="X1351">
        <v>0.99986319999999995</v>
      </c>
      <c r="Y1351">
        <v>0.1467881</v>
      </c>
      <c r="Z1351">
        <v>2.9845420000000001E-2</v>
      </c>
      <c r="AA1351">
        <v>0.98871759999999997</v>
      </c>
      <c r="AB1351">
        <v>27</v>
      </c>
      <c r="AC1351">
        <v>-2.7202000000000002</v>
      </c>
      <c r="AD1351">
        <v>-1.106363121255</v>
      </c>
      <c r="AE1351">
        <v>-29.493600000000001</v>
      </c>
      <c r="AF1351">
        <v>4.3783298647461901</v>
      </c>
      <c r="AG1351">
        <v>-1.106363121255</v>
      </c>
      <c r="AH1351">
        <v>29.251652807975798</v>
      </c>
      <c r="AI1351">
        <v>92.142181763466496</v>
      </c>
      <c r="AJ1351">
        <v>81.487276639944795</v>
      </c>
      <c r="AK1351">
        <v>29.598192575881399</v>
      </c>
      <c r="AL1351">
        <v>89.715409666194702</v>
      </c>
      <c r="AM1351">
        <v>89.095944270065004</v>
      </c>
      <c r="AN1351">
        <v>1.00000001605523</v>
      </c>
    </row>
    <row r="1352" spans="1:40" x14ac:dyDescent="0.25">
      <c r="A1352" t="str">
        <f>"20190305135816932"</f>
        <v>20190305135816932</v>
      </c>
      <c r="B1352" t="str">
        <f>"1551765496920851"</f>
        <v>1551765496920851</v>
      </c>
      <c r="C1352" t="s">
        <v>40</v>
      </c>
      <c r="D1352">
        <v>4.1628230000000004</v>
      </c>
      <c r="E1352">
        <v>0.54846640000000002</v>
      </c>
      <c r="F1352" t="s">
        <v>42</v>
      </c>
      <c r="G1352">
        <v>-194.6003</v>
      </c>
      <c r="H1352" s="1">
        <v>-2.0626579999999999E-6</v>
      </c>
      <c r="I1352">
        <v>311.3657</v>
      </c>
      <c r="J1352">
        <v>-191.8552</v>
      </c>
      <c r="K1352">
        <v>1.1066910000000001</v>
      </c>
      <c r="L1352">
        <v>340.71660000000003</v>
      </c>
      <c r="M1352">
        <v>5.3546870000000003E-2</v>
      </c>
      <c r="N1352">
        <v>-6.6784269999999998E-3</v>
      </c>
      <c r="O1352">
        <v>-0.99854310000000002</v>
      </c>
      <c r="P1352">
        <v>3.9501260000000003E-2</v>
      </c>
      <c r="Q1352">
        <v>-1.5415379999999901E-3</v>
      </c>
      <c r="R1352">
        <v>-0.99921850000000001</v>
      </c>
      <c r="S1352">
        <v>-0.27803040000000001</v>
      </c>
      <c r="T1352">
        <v>-0.11254939999999999</v>
      </c>
      <c r="U1352">
        <v>-3.0137019999999999</v>
      </c>
      <c r="V1352">
        <v>1.4089610000000001E-2</v>
      </c>
      <c r="W1352">
        <v>5.0590469999999997E-3</v>
      </c>
      <c r="X1352">
        <v>0.99988790000000005</v>
      </c>
      <c r="Y1352">
        <v>0.1449916</v>
      </c>
      <c r="Z1352">
        <v>3.027285E-2</v>
      </c>
      <c r="AA1352">
        <v>0.98896969999999995</v>
      </c>
      <c r="AB1352">
        <v>27</v>
      </c>
      <c r="AC1352">
        <v>-2.7450999999999999</v>
      </c>
      <c r="AD1352">
        <v>-1.106693062658</v>
      </c>
      <c r="AE1352">
        <v>-29.350899999999999</v>
      </c>
      <c r="AF1352">
        <v>4.3067753609628099</v>
      </c>
      <c r="AG1352">
        <v>-1.106693062658</v>
      </c>
      <c r="AH1352">
        <v>29.120752403322701</v>
      </c>
      <c r="AI1352">
        <v>92.153001755308495</v>
      </c>
      <c r="AJ1352">
        <v>81.587298090875606</v>
      </c>
      <c r="AK1352">
        <v>29.4582977118563</v>
      </c>
      <c r="AL1352">
        <v>89.710136711006598</v>
      </c>
      <c r="AM1352">
        <v>89.192687737236298</v>
      </c>
      <c r="AN1352">
        <v>0.99999996181645401</v>
      </c>
    </row>
    <row r="1353" spans="1:40" x14ac:dyDescent="0.25">
      <c r="A1353" t="str">
        <f>"20190305135816955"</f>
        <v>20190305135816955</v>
      </c>
      <c r="B1353" t="str">
        <f>"1551765496950130"</f>
        <v>1551765496950130</v>
      </c>
      <c r="C1353" t="s">
        <v>40</v>
      </c>
      <c r="D1353">
        <v>4.1579699999999997</v>
      </c>
      <c r="E1353">
        <v>0.54804299999999995</v>
      </c>
      <c r="F1353" t="s">
        <v>42</v>
      </c>
      <c r="G1353">
        <v>-194.50069999999999</v>
      </c>
      <c r="H1353" s="1">
        <v>-2.3767399999999999E-6</v>
      </c>
      <c r="I1353">
        <v>312.08620000000002</v>
      </c>
      <c r="J1353">
        <v>-191.84289999999999</v>
      </c>
      <c r="K1353">
        <v>1.107083</v>
      </c>
      <c r="L1353">
        <v>340.43239999999997</v>
      </c>
      <c r="M1353">
        <v>5.1025050000000002E-2</v>
      </c>
      <c r="N1353">
        <v>-6.4571910000000001E-3</v>
      </c>
      <c r="O1353">
        <v>-0.99867640000000002</v>
      </c>
      <c r="P1353">
        <v>3.8880680000000001E-2</v>
      </c>
      <c r="Q1353">
        <v>-1.31785E-3</v>
      </c>
      <c r="R1353">
        <v>-0.99924299999999999</v>
      </c>
      <c r="S1353">
        <v>-0.27842709999999998</v>
      </c>
      <c r="T1353">
        <v>-0.1164733</v>
      </c>
      <c r="U1353">
        <v>-3.0131839999999999</v>
      </c>
      <c r="V1353">
        <v>1.2180460000000001E-2</v>
      </c>
      <c r="W1353">
        <v>5.0838419999999999E-3</v>
      </c>
      <c r="X1353">
        <v>0.99991289999999999</v>
      </c>
      <c r="Y1353">
        <v>0.14263329999999999</v>
      </c>
      <c r="Z1353">
        <v>3.1802940000000002E-2</v>
      </c>
      <c r="AA1353">
        <v>0.98926449999999999</v>
      </c>
      <c r="AB1353">
        <v>27</v>
      </c>
      <c r="AC1353">
        <v>-2.6577999999999999</v>
      </c>
      <c r="AD1353">
        <v>-1.10708537674</v>
      </c>
      <c r="AE1353">
        <v>-28.3461999999999</v>
      </c>
      <c r="AF1353">
        <v>4.0945430781544196</v>
      </c>
      <c r="AG1353">
        <v>-1.10708537674</v>
      </c>
      <c r="AH1353">
        <v>28.1311205740726</v>
      </c>
      <c r="AI1353">
        <v>92.230206113046506</v>
      </c>
      <c r="AJ1353">
        <v>81.718634781799494</v>
      </c>
      <c r="AK1353">
        <v>28.449092530400002</v>
      </c>
      <c r="AL1353">
        <v>89.708716057375796</v>
      </c>
      <c r="AM1353">
        <v>89.302084777769906</v>
      </c>
      <c r="AN1353">
        <v>1.00000000832085</v>
      </c>
    </row>
    <row r="1354" spans="1:40" x14ac:dyDescent="0.25">
      <c r="A1354" t="str">
        <f>"20190305135816976"</f>
        <v>20190305135816976</v>
      </c>
      <c r="B1354" t="str">
        <f>"1551765496970627"</f>
        <v>1551765496970627</v>
      </c>
      <c r="C1354" t="s">
        <v>40</v>
      </c>
      <c r="D1354">
        <v>4.2233530000000004</v>
      </c>
      <c r="E1354">
        <v>0.54749190000000003</v>
      </c>
      <c r="F1354" t="s">
        <v>42</v>
      </c>
      <c r="G1354">
        <v>-194.4229</v>
      </c>
      <c r="H1354" s="1">
        <v>-2.5076949999999998E-6</v>
      </c>
      <c r="I1354">
        <v>312.40710000000001</v>
      </c>
      <c r="J1354">
        <v>-191.83199999999999</v>
      </c>
      <c r="K1354">
        <v>1.107467</v>
      </c>
      <c r="L1354">
        <v>340.17759999999998</v>
      </c>
      <c r="M1354">
        <v>4.9328209999999997E-2</v>
      </c>
      <c r="N1354">
        <v>-6.2809769999999897E-3</v>
      </c>
      <c r="O1354">
        <v>-0.99876299999999996</v>
      </c>
      <c r="P1354">
        <v>3.9017250000000003E-2</v>
      </c>
      <c r="Q1354">
        <v>-1.1750160000000001E-3</v>
      </c>
      <c r="R1354">
        <v>-0.99923810000000002</v>
      </c>
      <c r="S1354">
        <v>-0.27735900000000002</v>
      </c>
      <c r="T1354">
        <v>-0.11901780000000001</v>
      </c>
      <c r="U1354">
        <v>-3.0128780000000002</v>
      </c>
      <c r="V1354">
        <v>1.0339889999999999E-2</v>
      </c>
      <c r="W1354">
        <v>5.0690600000000002E-3</v>
      </c>
      <c r="X1354">
        <v>0.99993370000000004</v>
      </c>
      <c r="Y1354">
        <v>0.14061029999999999</v>
      </c>
      <c r="Z1354">
        <v>3.283034E-2</v>
      </c>
      <c r="AA1354">
        <v>0.98952050000000003</v>
      </c>
      <c r="AB1354">
        <v>27</v>
      </c>
      <c r="AC1354">
        <v>-2.5909</v>
      </c>
      <c r="AD1354">
        <v>-1.1074695076950001</v>
      </c>
      <c r="AE1354">
        <v>-27.770499999999899</v>
      </c>
      <c r="AF1354">
        <v>3.9514117280465402</v>
      </c>
      <c r="AG1354">
        <v>-1.1074695076950001</v>
      </c>
      <c r="AH1354">
        <v>27.565423813418299</v>
      </c>
      <c r="AI1354">
        <v>92.277425376152394</v>
      </c>
      <c r="AJ1354">
        <v>81.842412614004004</v>
      </c>
      <c r="AK1354">
        <v>27.869207620030899</v>
      </c>
      <c r="AL1354">
        <v>89.709563013978993</v>
      </c>
      <c r="AM1354">
        <v>89.407549777326295</v>
      </c>
      <c r="AN1354">
        <v>1.00000000654509</v>
      </c>
    </row>
    <row r="1355" spans="1:40" x14ac:dyDescent="0.25">
      <c r="A1355" t="str">
        <f>"20190305135816999"</f>
        <v>20190305135816999</v>
      </c>
      <c r="B1355" t="str">
        <f>"1551765496990146"</f>
        <v>1551765496990146</v>
      </c>
      <c r="C1355" t="s">
        <v>40</v>
      </c>
      <c r="D1355">
        <v>4.2030589999999997</v>
      </c>
      <c r="E1355">
        <v>0.54713299999999998</v>
      </c>
      <c r="F1355" t="s">
        <v>42</v>
      </c>
      <c r="G1355">
        <v>-194.29140000000001</v>
      </c>
      <c r="H1355" s="1">
        <v>-2.7547270000000002E-6</v>
      </c>
      <c r="I1355">
        <v>313.00369999999998</v>
      </c>
      <c r="J1355">
        <v>-191.8201</v>
      </c>
      <c r="K1355">
        <v>1.1078889999999999</v>
      </c>
      <c r="L1355">
        <v>339.90460000000002</v>
      </c>
      <c r="M1355">
        <v>4.8082979999999997E-2</v>
      </c>
      <c r="N1355">
        <v>-6.1020529999999996E-3</v>
      </c>
      <c r="O1355">
        <v>-0.99882490000000002</v>
      </c>
      <c r="P1355">
        <v>3.999026E-2</v>
      </c>
      <c r="Q1355">
        <v>-4.3809600000000001E-4</v>
      </c>
      <c r="R1355">
        <v>-0.99920019999999998</v>
      </c>
      <c r="S1355">
        <v>-0.27267459999999999</v>
      </c>
      <c r="T1355">
        <v>-0.1227843</v>
      </c>
      <c r="U1355">
        <v>-3.012756</v>
      </c>
      <c r="V1355">
        <v>8.1155810000000002E-3</v>
      </c>
      <c r="W1355">
        <v>5.6431629999999997E-3</v>
      </c>
      <c r="X1355">
        <v>0.99995109999999998</v>
      </c>
      <c r="Y1355">
        <v>0.13784939999999901</v>
      </c>
      <c r="Z1355">
        <v>3.4262519999999998E-2</v>
      </c>
      <c r="AA1355">
        <v>0.98986039999999997</v>
      </c>
      <c r="AB1355">
        <v>27</v>
      </c>
      <c r="AC1355">
        <v>-2.47130000000001</v>
      </c>
      <c r="AD1355">
        <v>-1.107891754727</v>
      </c>
      <c r="AE1355">
        <v>-26.9009</v>
      </c>
      <c r="AF1355">
        <v>3.7556239750596601</v>
      </c>
      <c r="AG1355">
        <v>-1.107891754727</v>
      </c>
      <c r="AH1355">
        <v>26.706036102136199</v>
      </c>
      <c r="AI1355">
        <v>92.352415017752605</v>
      </c>
      <c r="AJ1355">
        <v>81.995086746721398</v>
      </c>
      <c r="AK1355">
        <v>26.991563494374301</v>
      </c>
      <c r="AL1355">
        <v>89.676668846388594</v>
      </c>
      <c r="AM1355">
        <v>89.534998930905999</v>
      </c>
      <c r="AN1355">
        <v>0.99999995516740903</v>
      </c>
    </row>
    <row r="1356" spans="1:40" x14ac:dyDescent="0.25">
      <c r="A1356" t="str">
        <f>"20190305135817024"</f>
        <v>20190305135817024</v>
      </c>
      <c r="B1356" t="str">
        <f>"1551765497009667"</f>
        <v>1551765497009667</v>
      </c>
      <c r="C1356" t="s">
        <v>40</v>
      </c>
      <c r="D1356">
        <v>4.2286849999999996</v>
      </c>
      <c r="E1356">
        <v>0.5467651</v>
      </c>
      <c r="F1356" t="s">
        <v>42</v>
      </c>
      <c r="G1356">
        <v>-194.35589999999999</v>
      </c>
      <c r="H1356" s="1">
        <v>-1.9472179999999998E-6</v>
      </c>
      <c r="I1356">
        <v>311.25909999999999</v>
      </c>
      <c r="J1356">
        <v>-191.80709999999999</v>
      </c>
      <c r="K1356">
        <v>1.1082959999999999</v>
      </c>
      <c r="L1356">
        <v>339.61340000000001</v>
      </c>
      <c r="M1356">
        <v>4.7384790000000003E-2</v>
      </c>
      <c r="N1356">
        <v>-5.9156690000000001E-3</v>
      </c>
      <c r="O1356">
        <v>-0.99885939999999995</v>
      </c>
      <c r="P1356">
        <v>4.173909E-2</v>
      </c>
      <c r="Q1356">
        <v>1.392194E-3</v>
      </c>
      <c r="R1356">
        <v>-0.99912769999999995</v>
      </c>
      <c r="S1356">
        <v>-0.26672360000000001</v>
      </c>
      <c r="T1356">
        <v>-0.1165316</v>
      </c>
      <c r="U1356">
        <v>-3.0130309999999998</v>
      </c>
      <c r="V1356">
        <v>5.6629979999999998E-3</v>
      </c>
      <c r="W1356">
        <v>7.2991840000000002E-3</v>
      </c>
      <c r="X1356">
        <v>0.99995730000000005</v>
      </c>
      <c r="Y1356">
        <v>0.13521620000000001</v>
      </c>
      <c r="Z1356">
        <v>3.240519E-2</v>
      </c>
      <c r="AA1356">
        <v>0.99028609999999995</v>
      </c>
      <c r="AB1356">
        <v>27</v>
      </c>
      <c r="AC1356">
        <v>-2.5488</v>
      </c>
      <c r="AD1356">
        <v>-1.1082979472179999</v>
      </c>
      <c r="AE1356">
        <v>-28.354299999999999</v>
      </c>
      <c r="AF1356">
        <v>3.8836366639175002</v>
      </c>
      <c r="AG1356">
        <v>-1.1082979472179999</v>
      </c>
      <c r="AH1356">
        <v>28.1589950306264</v>
      </c>
      <c r="AI1356">
        <v>92.2328031186196</v>
      </c>
      <c r="AJ1356">
        <v>82.147410816907296</v>
      </c>
      <c r="AK1356">
        <v>28.447143252213799</v>
      </c>
      <c r="AL1356">
        <v>89.581783838659206</v>
      </c>
      <c r="AM1356">
        <v>89.675523728792896</v>
      </c>
      <c r="AN1356">
        <v>0.999999974728351</v>
      </c>
    </row>
    <row r="1357" spans="1:40" x14ac:dyDescent="0.25">
      <c r="A1357" t="str">
        <f>"20190305135817044"</f>
        <v>20190305135817044</v>
      </c>
      <c r="B1357" t="str">
        <f>"1551765497039922"</f>
        <v>1551765497039922</v>
      </c>
      <c r="C1357" t="s">
        <v>40</v>
      </c>
      <c r="D1357">
        <v>4.2177809999999996</v>
      </c>
      <c r="E1357">
        <v>0.54621540000000002</v>
      </c>
      <c r="F1357" t="s">
        <v>42</v>
      </c>
      <c r="G1357">
        <v>-194.4598</v>
      </c>
      <c r="H1357" s="1">
        <v>-4.7626370000000003E-6</v>
      </c>
      <c r="I1357">
        <v>308.65730000000002</v>
      </c>
      <c r="J1357">
        <v>-191.79470000000001</v>
      </c>
      <c r="K1357">
        <v>1.1085959999999999</v>
      </c>
      <c r="L1357">
        <v>339.34140000000002</v>
      </c>
      <c r="M1357">
        <v>4.7137819999999997E-2</v>
      </c>
      <c r="N1357">
        <v>-5.7468619999999897E-3</v>
      </c>
      <c r="O1357">
        <v>-0.99887199999999998</v>
      </c>
      <c r="P1357">
        <v>4.3302229999999997E-2</v>
      </c>
      <c r="Q1357">
        <v>2.6701450000000001E-3</v>
      </c>
      <c r="R1357">
        <v>-0.99905880000000002</v>
      </c>
      <c r="S1357">
        <v>-0.25823970000000002</v>
      </c>
      <c r="T1357">
        <v>-0.10789120000000001</v>
      </c>
      <c r="U1357">
        <v>-3.0135190000000001</v>
      </c>
      <c r="V1357">
        <v>3.8463030000000001E-3</v>
      </c>
      <c r="W1357">
        <v>8.413996E-3</v>
      </c>
      <c r="X1357">
        <v>0.99995719999999999</v>
      </c>
      <c r="Y1357">
        <v>0.1321987</v>
      </c>
      <c r="Z1357">
        <v>2.974241E-2</v>
      </c>
      <c r="AA1357">
        <v>0.99077689999999996</v>
      </c>
      <c r="AB1357">
        <v>28</v>
      </c>
      <c r="AC1357">
        <v>-2.66509999999999</v>
      </c>
      <c r="AD1357">
        <v>-1.108600762637</v>
      </c>
      <c r="AE1357">
        <v>-30.684100000000001</v>
      </c>
      <c r="AF1357">
        <v>4.1032266339772097</v>
      </c>
      <c r="AG1357">
        <v>-1.108600762637</v>
      </c>
      <c r="AH1357">
        <v>30.4848660683524</v>
      </c>
      <c r="AI1357">
        <v>92.064081165187304</v>
      </c>
      <c r="AJ1357">
        <v>82.334128607188205</v>
      </c>
      <c r="AK1357">
        <v>30.779742098758501</v>
      </c>
      <c r="AL1357">
        <v>89.517907849814407</v>
      </c>
      <c r="AM1357">
        <v>89.779614725720606</v>
      </c>
      <c r="AN1357">
        <v>0.99999999560364705</v>
      </c>
    </row>
    <row r="1358" spans="1:40" x14ac:dyDescent="0.25">
      <c r="A1358" t="str">
        <f>"20190305135817065"</f>
        <v>20190305135817065</v>
      </c>
      <c r="B1358" t="str">
        <f>"1551765497060418"</f>
        <v>1551765497060418</v>
      </c>
      <c r="C1358" t="s">
        <v>40</v>
      </c>
      <c r="D1358">
        <v>4.2122630000000001</v>
      </c>
      <c r="E1358">
        <v>0.54585799999999995</v>
      </c>
      <c r="F1358" t="s">
        <v>42</v>
      </c>
      <c r="G1358">
        <v>-194.45410000000001</v>
      </c>
      <c r="H1358" s="1">
        <v>-4.2435159999999997E-6</v>
      </c>
      <c r="I1358">
        <v>307.13490000000002</v>
      </c>
      <c r="J1358">
        <v>-191.7826</v>
      </c>
      <c r="K1358">
        <v>1.108819</v>
      </c>
      <c r="L1358">
        <v>339.08249999999998</v>
      </c>
      <c r="M1358">
        <v>4.7227150000000002E-2</v>
      </c>
      <c r="N1358">
        <v>-5.5844889999999998E-3</v>
      </c>
      <c r="O1358">
        <v>-0.9988686</v>
      </c>
      <c r="P1358">
        <v>4.4687270000000001E-2</v>
      </c>
      <c r="Q1358">
        <v>2.2890240000000002E-3</v>
      </c>
      <c r="R1358">
        <v>-0.99899850000000001</v>
      </c>
      <c r="S1358">
        <v>-0.2488708</v>
      </c>
      <c r="T1358">
        <v>-0.1037428</v>
      </c>
      <c r="U1358">
        <v>-3.0138850000000001</v>
      </c>
      <c r="V1358">
        <v>2.5443140000000002E-3</v>
      </c>
      <c r="W1358">
        <v>7.8732790000000004E-3</v>
      </c>
      <c r="X1358">
        <v>0.99996580000000002</v>
      </c>
      <c r="Y1358">
        <v>0.12922249999999999</v>
      </c>
      <c r="Z1358">
        <v>2.8548779999999999E-2</v>
      </c>
      <c r="AA1358">
        <v>0.99120459999999999</v>
      </c>
      <c r="AB1358">
        <v>28</v>
      </c>
      <c r="AC1358">
        <v>-2.6715</v>
      </c>
      <c r="AD1358">
        <v>-1.1088232435159999</v>
      </c>
      <c r="AE1358">
        <v>-31.947599999999898</v>
      </c>
      <c r="AF1358">
        <v>4.1723453864253104</v>
      </c>
      <c r="AG1358">
        <v>-1.1088232435159999</v>
      </c>
      <c r="AH1358">
        <v>31.747803377820901</v>
      </c>
      <c r="AI1358">
        <v>91.983258422918496</v>
      </c>
      <c r="AJ1358">
        <v>82.513007523302093</v>
      </c>
      <c r="AK1358">
        <v>32.039990236043501</v>
      </c>
      <c r="AL1358">
        <v>89.548889695939906</v>
      </c>
      <c r="AM1358">
        <v>89.854216874848603</v>
      </c>
      <c r="AN1358">
        <v>1.0000000316127899</v>
      </c>
    </row>
    <row r="1359" spans="1:40" x14ac:dyDescent="0.25">
      <c r="A1359" t="str">
        <f>"20190305135817086"</f>
        <v>20190305135817086</v>
      </c>
      <c r="B1359" t="str">
        <f>"1551765497079939"</f>
        <v>1551765497079939</v>
      </c>
      <c r="C1359" t="s">
        <v>40</v>
      </c>
      <c r="D1359">
        <v>4.094068</v>
      </c>
      <c r="E1359">
        <v>0.54560549999999997</v>
      </c>
      <c r="F1359" t="s">
        <v>42</v>
      </c>
      <c r="G1359">
        <v>-194.3373</v>
      </c>
      <c r="H1359" s="1">
        <v>-4.2573930000000001E-6</v>
      </c>
      <c r="I1359">
        <v>307.23649999999998</v>
      </c>
      <c r="J1359">
        <v>-191.76990000000001</v>
      </c>
      <c r="K1359">
        <v>1.1089979999999999</v>
      </c>
      <c r="L1359">
        <v>338.81869999999998</v>
      </c>
      <c r="M1359">
        <v>4.7606420000000003E-2</v>
      </c>
      <c r="N1359">
        <v>-5.4107219999999998E-3</v>
      </c>
      <c r="O1359">
        <v>-0.99885170000000001</v>
      </c>
      <c r="P1359">
        <v>4.7809860000000003E-2</v>
      </c>
      <c r="Q1359">
        <v>1.4812650000000001E-3</v>
      </c>
      <c r="R1359">
        <v>-0.99885570000000001</v>
      </c>
      <c r="S1359">
        <v>-0.2417908</v>
      </c>
      <c r="T1359">
        <v>-0.1049427</v>
      </c>
      <c r="U1359">
        <v>-3.014008</v>
      </c>
      <c r="V1359">
        <v>-2.0581399999999999E-4</v>
      </c>
      <c r="W1359">
        <v>6.8914980000000002E-3</v>
      </c>
      <c r="X1359">
        <v>0.99997619999999998</v>
      </c>
      <c r="Y1359">
        <v>0.12728159999999999</v>
      </c>
      <c r="Z1359">
        <v>2.9122809999999999E-2</v>
      </c>
      <c r="AA1359">
        <v>0.99143899999999996</v>
      </c>
      <c r="AB1359">
        <v>28</v>
      </c>
      <c r="AC1359">
        <v>-2.5673999999999899</v>
      </c>
      <c r="AD1359">
        <v>-1.1090022573929901</v>
      </c>
      <c r="AE1359">
        <v>-31.5822</v>
      </c>
      <c r="AF1359">
        <v>4.0630490912552499</v>
      </c>
      <c r="AG1359">
        <v>-1.1090022573929901</v>
      </c>
      <c r="AH1359">
        <v>31.385717642842899</v>
      </c>
      <c r="AI1359">
        <v>92.006949214495705</v>
      </c>
      <c r="AJ1359">
        <v>82.623777480818305</v>
      </c>
      <c r="AK1359">
        <v>31.667041634499299</v>
      </c>
      <c r="AL1359">
        <v>89.605143111861594</v>
      </c>
      <c r="AM1359">
        <v>90.011792554060904</v>
      </c>
      <c r="AN1359">
        <v>0.99999996783526202</v>
      </c>
    </row>
    <row r="1360" spans="1:40" x14ac:dyDescent="0.25">
      <c r="A1360" t="str">
        <f>"20190305135817110"</f>
        <v>20190305135817110</v>
      </c>
      <c r="B1360" t="str">
        <f>"1551765497100435"</f>
        <v>1551765497100435</v>
      </c>
      <c r="C1360" t="s">
        <v>40</v>
      </c>
      <c r="D1360">
        <v>4.1133110000000004</v>
      </c>
      <c r="E1360">
        <v>0.5454253</v>
      </c>
      <c r="F1360" t="s">
        <v>42</v>
      </c>
      <c r="G1360">
        <v>-194.0984</v>
      </c>
      <c r="H1360" s="1">
        <v>-4.5963530000000003E-6</v>
      </c>
      <c r="I1360">
        <v>308.3571</v>
      </c>
      <c r="J1360">
        <v>-191.75540000000001</v>
      </c>
      <c r="K1360">
        <v>1.1091660000000001</v>
      </c>
      <c r="L1360">
        <v>338.52249999999998</v>
      </c>
      <c r="M1360">
        <v>4.8305809999999998E-2</v>
      </c>
      <c r="N1360">
        <v>-5.2068139999999997E-3</v>
      </c>
      <c r="O1360">
        <v>-0.99881920000000002</v>
      </c>
      <c r="P1360">
        <v>5.0513870000000002E-2</v>
      </c>
      <c r="Q1360">
        <v>1.719599E-3</v>
      </c>
      <c r="R1360">
        <v>-0.99872229999999995</v>
      </c>
      <c r="S1360">
        <v>-0.23043820000000001</v>
      </c>
      <c r="T1360">
        <v>-0.1097518</v>
      </c>
      <c r="U1360">
        <v>-3.014618</v>
      </c>
      <c r="V1360">
        <v>-2.2161099999999999E-3</v>
      </c>
      <c r="W1360">
        <v>6.9248759999999999E-3</v>
      </c>
      <c r="X1360">
        <v>0.99997360000000002</v>
      </c>
      <c r="Y1360">
        <v>0.12424489999999901</v>
      </c>
      <c r="Z1360">
        <v>3.0911649999999999E-2</v>
      </c>
      <c r="AA1360">
        <v>0.99177000000000004</v>
      </c>
      <c r="AB1360">
        <v>28</v>
      </c>
      <c r="AC1360">
        <v>-2.34299999999998</v>
      </c>
      <c r="AD1360">
        <v>-1.1091705963529901</v>
      </c>
      <c r="AE1360">
        <v>-30.165399999999899</v>
      </c>
      <c r="AF1360">
        <v>3.7923517319821101</v>
      </c>
      <c r="AG1360">
        <v>-1.1091705963529901</v>
      </c>
      <c r="AH1360">
        <v>29.976716078221401</v>
      </c>
      <c r="AI1360">
        <v>92.102297125261202</v>
      </c>
      <c r="AJ1360">
        <v>82.789818867362598</v>
      </c>
      <c r="AK1360">
        <v>30.2360000315051</v>
      </c>
      <c r="AL1360">
        <v>89.603230673442397</v>
      </c>
      <c r="AM1360">
        <v>90.126976894254199</v>
      </c>
      <c r="AN1360">
        <v>1.0000000328740499</v>
      </c>
    </row>
    <row r="1361" spans="1:40" x14ac:dyDescent="0.25">
      <c r="A1361" t="str">
        <f>"20190305135817132"</f>
        <v>20190305135817132</v>
      </c>
      <c r="B1361" t="str">
        <f>"1551765497119955"</f>
        <v>1551765497119955</v>
      </c>
      <c r="C1361" t="s">
        <v>40</v>
      </c>
      <c r="D1361">
        <v>4.1702260000000004</v>
      </c>
      <c r="E1361">
        <v>0.54527910000000002</v>
      </c>
      <c r="F1361" t="s">
        <v>42</v>
      </c>
      <c r="G1361">
        <v>-193.9768</v>
      </c>
      <c r="H1361" s="1">
        <v>-4.5374939999999996E-6</v>
      </c>
      <c r="I1361">
        <v>308.24759999999998</v>
      </c>
      <c r="J1361">
        <v>-191.7413</v>
      </c>
      <c r="K1361">
        <v>1.109299</v>
      </c>
      <c r="L1361">
        <v>338.24470000000002</v>
      </c>
      <c r="M1361">
        <v>4.914756E-2</v>
      </c>
      <c r="N1361">
        <v>-5.0159310000000004E-3</v>
      </c>
      <c r="O1361">
        <v>-0.99877919999999998</v>
      </c>
      <c r="P1361">
        <v>5.2822550000000003E-2</v>
      </c>
      <c r="Q1361">
        <v>2.0865129999999999E-3</v>
      </c>
      <c r="R1361">
        <v>-0.9986022</v>
      </c>
      <c r="S1361">
        <v>-0.22123719999999999</v>
      </c>
      <c r="T1361">
        <v>-0.1104666</v>
      </c>
      <c r="U1361">
        <v>-3.0151979999999998</v>
      </c>
      <c r="V1361">
        <v>-3.6880599999999999E-3</v>
      </c>
      <c r="W1361">
        <v>7.0979650000000004E-3</v>
      </c>
      <c r="X1361">
        <v>0.99996799999999997</v>
      </c>
      <c r="Y1361">
        <v>0.122056399999999</v>
      </c>
      <c r="Z1361">
        <v>3.1337879999999999E-2</v>
      </c>
      <c r="AA1361">
        <v>0.99202829999999997</v>
      </c>
      <c r="AB1361">
        <v>28</v>
      </c>
      <c r="AC1361">
        <v>-2.2355</v>
      </c>
      <c r="AD1361">
        <v>-1.1093035374939999</v>
      </c>
      <c r="AE1361">
        <v>-29.9971</v>
      </c>
      <c r="AF1361">
        <v>3.7020660343507599</v>
      </c>
      <c r="AG1361">
        <v>-1.1093035374939999</v>
      </c>
      <c r="AH1361">
        <v>29.810435733330898</v>
      </c>
      <c r="AI1361">
        <v>92.114871769608598</v>
      </c>
      <c r="AJ1361">
        <v>82.920857884834803</v>
      </c>
      <c r="AK1361">
        <v>30.0599056198126</v>
      </c>
      <c r="AL1361">
        <v>89.593313144160405</v>
      </c>
      <c r="AM1361">
        <v>90.211316076586201</v>
      </c>
      <c r="AN1361">
        <v>0.99999999195885203</v>
      </c>
    </row>
    <row r="1362" spans="1:40" x14ac:dyDescent="0.25">
      <c r="A1362" t="str">
        <f>"20190305135817158"</f>
        <v>20190305135817158</v>
      </c>
      <c r="B1362" t="str">
        <f>"1551765497150210"</f>
        <v>1551765497150210</v>
      </c>
      <c r="C1362" t="s">
        <v>40</v>
      </c>
      <c r="D1362">
        <v>4.1324319999999997</v>
      </c>
      <c r="E1362">
        <v>0.54508420000000002</v>
      </c>
      <c r="F1362" t="s">
        <v>42</v>
      </c>
      <c r="G1362">
        <v>-193.96029999999999</v>
      </c>
      <c r="H1362" s="1">
        <v>-4.0390069999999998E-6</v>
      </c>
      <c r="I1362">
        <v>306.79129999999998</v>
      </c>
      <c r="J1362">
        <v>-191.72479999999999</v>
      </c>
      <c r="K1362">
        <v>1.109402</v>
      </c>
      <c r="L1362">
        <v>337.92829999999998</v>
      </c>
      <c r="M1362">
        <v>5.02453E-2</v>
      </c>
      <c r="N1362">
        <v>-4.8021660000000001E-3</v>
      </c>
      <c r="O1362">
        <v>-0.99872550000000004</v>
      </c>
      <c r="P1362">
        <v>5.5746240000000002E-2</v>
      </c>
      <c r="Q1362">
        <v>1.4566479999999901E-3</v>
      </c>
      <c r="R1362">
        <v>-0.998444</v>
      </c>
      <c r="S1362">
        <v>-0.21275330000000001</v>
      </c>
      <c r="T1362">
        <v>-0.10635650000000001</v>
      </c>
      <c r="U1362">
        <v>-3.0156559999999999</v>
      </c>
      <c r="V1362">
        <v>-5.5181259999999999E-3</v>
      </c>
      <c r="W1362">
        <v>6.2496890000000001E-3</v>
      </c>
      <c r="X1362">
        <v>0.99996529999999995</v>
      </c>
      <c r="Y1362">
        <v>0.12036330000000001</v>
      </c>
      <c r="Z1362">
        <v>3.0199719999999999E-2</v>
      </c>
      <c r="AA1362">
        <v>0.99227050000000006</v>
      </c>
      <c r="AB1362">
        <v>28</v>
      </c>
      <c r="AC1362">
        <v>-2.2355</v>
      </c>
      <c r="AD1362">
        <v>-1.109406039007</v>
      </c>
      <c r="AE1362">
        <v>-31.136999999999901</v>
      </c>
      <c r="AF1362">
        <v>3.7923923263584798</v>
      </c>
      <c r="AG1362">
        <v>-1.109406039007</v>
      </c>
      <c r="AH1362">
        <v>30.946261190527199</v>
      </c>
      <c r="AI1362">
        <v>92.037909612650296</v>
      </c>
      <c r="AJ1362">
        <v>83.0133714230587</v>
      </c>
      <c r="AK1362">
        <v>31.197501550424398</v>
      </c>
      <c r="AL1362">
        <v>89.641916885577302</v>
      </c>
      <c r="AM1362">
        <v>90.3161730926156</v>
      </c>
      <c r="AN1362">
        <v>1.00000005476561</v>
      </c>
    </row>
    <row r="1363" spans="1:40" x14ac:dyDescent="0.25">
      <c r="A1363" t="str">
        <f>"20190305135817175"</f>
        <v>20190305135817175</v>
      </c>
      <c r="B1363" t="str">
        <f>"1551765497169731"</f>
        <v>1551765497169731</v>
      </c>
      <c r="C1363" t="s">
        <v>40</v>
      </c>
      <c r="D1363">
        <v>4.1209639999999998</v>
      </c>
      <c r="E1363">
        <v>0.54496709999999904</v>
      </c>
      <c r="F1363" t="s">
        <v>42</v>
      </c>
      <c r="G1363">
        <v>-193.8699</v>
      </c>
      <c r="H1363" s="1">
        <v>-3.7309780000000002E-6</v>
      </c>
      <c r="I1363">
        <v>305.93329999999997</v>
      </c>
      <c r="J1363">
        <v>-191.71190000000001</v>
      </c>
      <c r="K1363">
        <v>1.1094520000000001</v>
      </c>
      <c r="L1363">
        <v>337.68709999999999</v>
      </c>
      <c r="M1363">
        <v>5.1148770000000003E-2</v>
      </c>
      <c r="N1363">
        <v>-4.639364E-3</v>
      </c>
      <c r="O1363">
        <v>-0.99868029999999997</v>
      </c>
      <c r="P1363">
        <v>5.8245239999999997E-2</v>
      </c>
      <c r="Q1363">
        <v>3.539657E-4</v>
      </c>
      <c r="R1363">
        <v>-0.99830249999999998</v>
      </c>
      <c r="S1363">
        <v>-0.20220949999999999</v>
      </c>
      <c r="T1363">
        <v>-0.1045806</v>
      </c>
      <c r="U1363">
        <v>-3.0160830000000001</v>
      </c>
      <c r="V1363">
        <v>-7.1155189999999998E-3</v>
      </c>
      <c r="W1363">
        <v>4.9808459999999997E-3</v>
      </c>
      <c r="X1363">
        <v>0.99996229999999997</v>
      </c>
      <c r="Y1363">
        <v>0.11780019999999999</v>
      </c>
      <c r="Z1363">
        <v>2.978128E-2</v>
      </c>
      <c r="AA1363">
        <v>0.99259070000000005</v>
      </c>
      <c r="AB1363">
        <v>28</v>
      </c>
      <c r="AC1363">
        <v>-2.1579999999999799</v>
      </c>
      <c r="AD1363">
        <v>-1.109455730978</v>
      </c>
      <c r="AE1363">
        <v>-31.753799999999998</v>
      </c>
      <c r="AF1363">
        <v>3.7747735672250902</v>
      </c>
      <c r="AG1363">
        <v>-1.109455730978</v>
      </c>
      <c r="AH1363">
        <v>31.563500420390699</v>
      </c>
      <c r="AI1363">
        <v>91.998883394159506</v>
      </c>
      <c r="AJ1363">
        <v>83.180216290981306</v>
      </c>
      <c r="AK1363">
        <v>31.807772105113301</v>
      </c>
      <c r="AL1363">
        <v>89.714617371615901</v>
      </c>
      <c r="AM1363">
        <v>90.407697697120696</v>
      </c>
      <c r="AN1363">
        <v>1.0000000204293999</v>
      </c>
    </row>
    <row r="1364" spans="1:40" x14ac:dyDescent="0.25">
      <c r="A1364" t="str">
        <f>"20190305135817199"</f>
        <v>20190305135817199</v>
      </c>
      <c r="B1364" t="str">
        <f>"1551765497190226"</f>
        <v>1551765497190226</v>
      </c>
      <c r="C1364" t="s">
        <v>40</v>
      </c>
      <c r="D1364">
        <v>4.0837690000000002</v>
      </c>
      <c r="E1364">
        <v>0.54490039999999995</v>
      </c>
      <c r="F1364" t="s">
        <v>42</v>
      </c>
      <c r="G1364">
        <v>-193.72300000000001</v>
      </c>
      <c r="H1364" s="1">
        <v>-3.8556760000000004E-6</v>
      </c>
      <c r="I1364">
        <v>306.37630000000001</v>
      </c>
      <c r="J1364">
        <v>-191.69589999999999</v>
      </c>
      <c r="K1364">
        <v>1.109478</v>
      </c>
      <c r="L1364">
        <v>337.39460000000003</v>
      </c>
      <c r="M1364">
        <v>5.2277669999999998E-2</v>
      </c>
      <c r="N1364">
        <v>-4.4344270000000003E-3</v>
      </c>
      <c r="O1364">
        <v>-0.99862309999999999</v>
      </c>
      <c r="P1364">
        <v>6.0736749999999999E-2</v>
      </c>
      <c r="Q1364">
        <v>5.8650230000000002E-4</v>
      </c>
      <c r="R1364">
        <v>-0.99815399999999999</v>
      </c>
      <c r="S1364">
        <v>-0.19375609999999999</v>
      </c>
      <c r="T1364">
        <v>-0.1068858</v>
      </c>
      <c r="U1364">
        <v>-3.0165099999999998</v>
      </c>
      <c r="V1364">
        <v>-8.4820729999999997E-3</v>
      </c>
      <c r="W1364">
        <v>5.0046869999999999E-3</v>
      </c>
      <c r="X1364">
        <v>0.99995149999999999</v>
      </c>
      <c r="Y1364">
        <v>0.1161421</v>
      </c>
      <c r="Z1364">
        <v>3.0743240000000002E-2</v>
      </c>
      <c r="AA1364">
        <v>0.99275670000000005</v>
      </c>
      <c r="AB1364">
        <v>29</v>
      </c>
      <c r="AC1364">
        <v>-2.0270999999999799</v>
      </c>
      <c r="AD1364">
        <v>-1.109481855676</v>
      </c>
      <c r="AE1364">
        <v>-31.0183</v>
      </c>
      <c r="AF1364">
        <v>3.6412690739718601</v>
      </c>
      <c r="AG1364">
        <v>-1.109481855676</v>
      </c>
      <c r="AH1364">
        <v>30.830634527940099</v>
      </c>
      <c r="AI1364">
        <v>92.046762932856296</v>
      </c>
      <c r="AJ1364">
        <v>83.264253544599399</v>
      </c>
      <c r="AK1364">
        <v>31.064735888987499</v>
      </c>
      <c r="AL1364">
        <v>89.7132513593358</v>
      </c>
      <c r="AM1364">
        <v>90.485998899872101</v>
      </c>
      <c r="AN1364">
        <v>0.99999999740329704</v>
      </c>
    </row>
    <row r="1365" spans="1:40" x14ac:dyDescent="0.25">
      <c r="A1365" t="str">
        <f>"20190305135817221"</f>
        <v>20190305135817221</v>
      </c>
      <c r="B1365" t="str">
        <f>"1551765497209746"</f>
        <v>1551765497209746</v>
      </c>
      <c r="C1365" t="s">
        <v>40</v>
      </c>
      <c r="D1365">
        <v>4.1736979999999999</v>
      </c>
      <c r="E1365">
        <v>0.54471480000000005</v>
      </c>
      <c r="F1365" t="s">
        <v>42</v>
      </c>
      <c r="G1365">
        <v>-193.61510000000001</v>
      </c>
      <c r="H1365" s="1">
        <v>-3.7962210000000001E-6</v>
      </c>
      <c r="I1365">
        <v>306.25779999999997</v>
      </c>
      <c r="J1365">
        <v>-191.67920000000001</v>
      </c>
      <c r="K1365">
        <v>1.1094580000000001</v>
      </c>
      <c r="L1365">
        <v>337.09840000000003</v>
      </c>
      <c r="M1365">
        <v>5.3424149999999997E-2</v>
      </c>
      <c r="N1365">
        <v>-4.2151330000000002E-3</v>
      </c>
      <c r="O1365">
        <v>-0.99856310000000004</v>
      </c>
      <c r="P1365">
        <v>6.2932059999999998E-2</v>
      </c>
      <c r="Q1365">
        <v>1.1402350000000001E-3</v>
      </c>
      <c r="R1365">
        <v>-0.9980175</v>
      </c>
      <c r="S1365">
        <v>-0.18595890000000001</v>
      </c>
      <c r="T1365">
        <v>-0.1075021</v>
      </c>
      <c r="U1365">
        <v>-3.0169679999999999</v>
      </c>
      <c r="V1365">
        <v>-9.5343800000000003E-3</v>
      </c>
      <c r="W1365">
        <v>5.3365620000000004E-3</v>
      </c>
      <c r="X1365">
        <v>0.9999403</v>
      </c>
      <c r="Y1365">
        <v>0.11471679999999999</v>
      </c>
      <c r="Z1365">
        <v>3.1162789999999999E-2</v>
      </c>
      <c r="AA1365">
        <v>0.99290929999999999</v>
      </c>
      <c r="AB1365">
        <v>29</v>
      </c>
      <c r="AC1365">
        <v>-1.9359</v>
      </c>
      <c r="AD1365">
        <v>-1.1094617962210001</v>
      </c>
      <c r="AE1365">
        <v>-30.840599999999998</v>
      </c>
      <c r="AF1365">
        <v>3.57617276786275</v>
      </c>
      <c r="AG1365">
        <v>-1.1094617962210001</v>
      </c>
      <c r="AH1365">
        <v>30.653617184496301</v>
      </c>
      <c r="AI1365">
        <v>92.058878516585693</v>
      </c>
      <c r="AJ1365">
        <v>83.345727216749694</v>
      </c>
      <c r="AK1365">
        <v>30.881453392554601</v>
      </c>
      <c r="AL1365">
        <v>89.694236066966397</v>
      </c>
      <c r="AM1365">
        <v>90.546295793981699</v>
      </c>
      <c r="AN1365">
        <v>0.99999999343002699</v>
      </c>
    </row>
    <row r="1366" spans="1:40" x14ac:dyDescent="0.25">
      <c r="A1366" t="str">
        <f>"20190305135817243"</f>
        <v>20190305135817243</v>
      </c>
      <c r="B1366" t="str">
        <f>"1551765497240002"</f>
        <v>1551765497240002</v>
      </c>
      <c r="C1366" t="s">
        <v>40</v>
      </c>
      <c r="D1366">
        <v>4.1765819999999998</v>
      </c>
      <c r="E1366">
        <v>0.54443319999999995</v>
      </c>
      <c r="F1366" t="s">
        <v>42</v>
      </c>
      <c r="G1366">
        <v>-193.50640000000001</v>
      </c>
      <c r="H1366" s="1">
        <v>-3.7284249999999998E-6</v>
      </c>
      <c r="I1366">
        <v>306.11529999999999</v>
      </c>
      <c r="J1366">
        <v>-191.66300000000001</v>
      </c>
      <c r="K1366">
        <v>1.109421</v>
      </c>
      <c r="L1366">
        <v>336.81360000000001</v>
      </c>
      <c r="M1366">
        <v>5.4505530000000003E-2</v>
      </c>
      <c r="N1366">
        <v>-4.0055359999999996E-3</v>
      </c>
      <c r="O1366">
        <v>-0.99850550000000005</v>
      </c>
      <c r="P1366">
        <v>6.4148780000000002E-2</v>
      </c>
      <c r="Q1366">
        <v>2.3156539999999999E-3</v>
      </c>
      <c r="R1366">
        <v>-0.99793790000000004</v>
      </c>
      <c r="S1366">
        <v>-0.1779327</v>
      </c>
      <c r="T1366">
        <v>-0.1080444</v>
      </c>
      <c r="U1366">
        <v>-3.0172729999999999</v>
      </c>
      <c r="V1366">
        <v>-9.6721250000000002E-3</v>
      </c>
      <c r="W1366">
        <v>6.3016629999999999E-3</v>
      </c>
      <c r="X1366">
        <v>0.99993339999999997</v>
      </c>
      <c r="Y1366">
        <v>0.11315459999999999</v>
      </c>
      <c r="Z1366">
        <v>3.1550389999999998E-2</v>
      </c>
      <c r="AA1366">
        <v>0.99307630000000002</v>
      </c>
      <c r="AB1366">
        <v>29</v>
      </c>
      <c r="AC1366">
        <v>-1.8434000000000299</v>
      </c>
      <c r="AD1366">
        <v>-1.1094247284250001</v>
      </c>
      <c r="AE1366">
        <v>-30.6983</v>
      </c>
      <c r="AF1366">
        <v>3.50933313703145</v>
      </c>
      <c r="AG1366">
        <v>-1.1094247284250001</v>
      </c>
      <c r="AH1366">
        <v>30.5124806907886</v>
      </c>
      <c r="AI1366">
        <v>92.068714638321794</v>
      </c>
      <c r="AJ1366">
        <v>83.439066262095906</v>
      </c>
      <c r="AK1366">
        <v>30.733657774506</v>
      </c>
      <c r="AL1366">
        <v>89.638938928285</v>
      </c>
      <c r="AM1366">
        <v>90.554191568320704</v>
      </c>
      <c r="AN1366">
        <v>1.0000000326970699</v>
      </c>
    </row>
    <row r="1367" spans="1:40" x14ac:dyDescent="0.25">
      <c r="A1367" t="str">
        <f>"20190305135817265"</f>
        <v>20190305135817265</v>
      </c>
      <c r="B1367" t="str">
        <f>"1551765497260499"</f>
        <v>1551765497260499</v>
      </c>
      <c r="C1367" t="s">
        <v>40</v>
      </c>
      <c r="D1367">
        <v>4.2256900000000002</v>
      </c>
      <c r="E1367">
        <v>0.54430190000000001</v>
      </c>
      <c r="F1367" t="s">
        <v>42</v>
      </c>
      <c r="G1367">
        <v>-193.41370000000001</v>
      </c>
      <c r="H1367" s="1">
        <v>-3.702494E-6</v>
      </c>
      <c r="I1367">
        <v>306.10239999999999</v>
      </c>
      <c r="J1367">
        <v>-191.64660000000001</v>
      </c>
      <c r="K1367">
        <v>1.109361</v>
      </c>
      <c r="L1367">
        <v>336.53030000000001</v>
      </c>
      <c r="M1367">
        <v>5.5537499999999997E-2</v>
      </c>
      <c r="N1367">
        <v>-3.8011500000000001E-3</v>
      </c>
      <c r="O1367">
        <v>-0.9984497</v>
      </c>
      <c r="P1367">
        <v>6.5144690000000005E-2</v>
      </c>
      <c r="Q1367">
        <v>1.5339990000000001E-3</v>
      </c>
      <c r="R1367">
        <v>-0.99787519999999996</v>
      </c>
      <c r="S1367">
        <v>-0.17201229999999901</v>
      </c>
      <c r="T1367">
        <v>-0.1090063</v>
      </c>
      <c r="U1367">
        <v>-3.0175169999999998</v>
      </c>
      <c r="V1367">
        <v>-9.6345119999999996E-3</v>
      </c>
      <c r="W1367">
        <v>5.3160580000000002E-3</v>
      </c>
      <c r="X1367">
        <v>0.99993940000000003</v>
      </c>
      <c r="Y1367">
        <v>0.1122343</v>
      </c>
      <c r="Z1367">
        <v>3.2069260000000002E-2</v>
      </c>
      <c r="AA1367">
        <v>0.99316409999999999</v>
      </c>
      <c r="AB1367">
        <v>29</v>
      </c>
      <c r="AC1367">
        <v>-1.7670999999999899</v>
      </c>
      <c r="AD1367">
        <v>-1.1093647024940001</v>
      </c>
      <c r="AE1367">
        <v>-30.427900000000001</v>
      </c>
      <c r="AF1367">
        <v>3.4497036811864601</v>
      </c>
      <c r="AG1367">
        <v>-1.1093647024940001</v>
      </c>
      <c r="AH1367">
        <v>30.242731156200598</v>
      </c>
      <c r="AI1367">
        <v>92.087260419342698</v>
      </c>
      <c r="AJ1367">
        <v>83.492557048250205</v>
      </c>
      <c r="AK1367">
        <v>30.459053388399202</v>
      </c>
      <c r="AL1367">
        <v>89.695410861240703</v>
      </c>
      <c r="AM1367">
        <v>90.552033247258706</v>
      </c>
      <c r="AN1367">
        <v>0.99999994398324699</v>
      </c>
    </row>
    <row r="1368" spans="1:40" x14ac:dyDescent="0.25">
      <c r="A1368" t="str">
        <f>"20190305135817289"</f>
        <v>20190305135817289</v>
      </c>
      <c r="B1368" t="str">
        <f>"1551765497280019"</f>
        <v>1551765497280019</v>
      </c>
      <c r="C1368" t="s">
        <v>40</v>
      </c>
      <c r="D1368">
        <v>4.1612070000000001</v>
      </c>
      <c r="E1368">
        <v>0.54418769999999905</v>
      </c>
      <c r="F1368" t="s">
        <v>42</v>
      </c>
      <c r="G1368">
        <v>-193.28530000000001</v>
      </c>
      <c r="H1368" s="1">
        <v>-4.0320289999999998E-6</v>
      </c>
      <c r="I1368">
        <v>307.12270000000001</v>
      </c>
      <c r="J1368">
        <v>-191.62790000000001</v>
      </c>
      <c r="K1368">
        <v>1.1092919999999999</v>
      </c>
      <c r="L1368">
        <v>336.21379999999999</v>
      </c>
      <c r="M1368">
        <v>5.6615550000000001E-2</v>
      </c>
      <c r="N1368">
        <v>-3.5788909999999998E-3</v>
      </c>
      <c r="O1368">
        <v>-0.99839</v>
      </c>
      <c r="P1368">
        <v>6.6287059999999995E-2</v>
      </c>
      <c r="Q1368">
        <v>7.710773E-4</v>
      </c>
      <c r="R1368">
        <v>-0.99780060000000004</v>
      </c>
      <c r="S1368">
        <v>-0.16815189999999999</v>
      </c>
      <c r="T1368">
        <v>-0.1138318</v>
      </c>
      <c r="U1368">
        <v>-3.0175169999999998</v>
      </c>
      <c r="V1368">
        <v>-9.6974980000000006E-3</v>
      </c>
      <c r="W1368">
        <v>4.3314010000000003E-3</v>
      </c>
      <c r="X1368">
        <v>0.99994360000000004</v>
      </c>
      <c r="Y1368">
        <v>0.1120375</v>
      </c>
      <c r="Z1368">
        <v>3.387619E-2</v>
      </c>
      <c r="AA1368">
        <v>0.99312639999999996</v>
      </c>
      <c r="AB1368">
        <v>29</v>
      </c>
      <c r="AC1368">
        <v>-1.65739999999999</v>
      </c>
      <c r="AD1368">
        <v>-1.109296032029</v>
      </c>
      <c r="AE1368">
        <v>-29.091099999999901</v>
      </c>
      <c r="AF1368">
        <v>3.29698175338984</v>
      </c>
      <c r="AG1368">
        <v>-1.109296032029</v>
      </c>
      <c r="AH1368">
        <v>28.908705435542402</v>
      </c>
      <c r="AI1368">
        <v>92.183357967128302</v>
      </c>
      <c r="AJ1368">
        <v>83.493639676172194</v>
      </c>
      <c r="AK1368">
        <v>29.117243625175501</v>
      </c>
      <c r="AL1368">
        <v>89.751828228029098</v>
      </c>
      <c r="AM1368">
        <v>90.555639627043902</v>
      </c>
      <c r="AN1368">
        <v>1.0000000028415199</v>
      </c>
    </row>
    <row r="1369" spans="1:40" x14ac:dyDescent="0.25">
      <c r="A1369" t="str">
        <f>"20190305135817312"</f>
        <v>20190305135817312</v>
      </c>
      <c r="B1369" t="str">
        <f>"1551765497300515"</f>
        <v>1551765497300515</v>
      </c>
      <c r="C1369" t="s">
        <v>40</v>
      </c>
      <c r="D1369">
        <v>4.0660350000000003</v>
      </c>
      <c r="E1369">
        <v>0.54417720000000003</v>
      </c>
      <c r="F1369" t="s">
        <v>42</v>
      </c>
      <c r="G1369">
        <v>-193.16589999999999</v>
      </c>
      <c r="H1369" s="1">
        <v>-4.2848939999999997E-6</v>
      </c>
      <c r="I1369">
        <v>307.92790000000002</v>
      </c>
      <c r="J1369">
        <v>-191.60980000000001</v>
      </c>
      <c r="K1369">
        <v>1.1092120000000001</v>
      </c>
      <c r="L1369">
        <v>335.91199999999998</v>
      </c>
      <c r="M1369">
        <v>5.7561279999999999E-2</v>
      </c>
      <c r="N1369">
        <v>-3.377863E-3</v>
      </c>
      <c r="O1369">
        <v>-0.99833640000000001</v>
      </c>
      <c r="P1369">
        <v>6.6869529999999996E-2</v>
      </c>
      <c r="Q1369">
        <v>4.1843490000000001E-4</v>
      </c>
      <c r="R1369">
        <v>-0.99776160000000003</v>
      </c>
      <c r="S1369">
        <v>-0.164077799999999</v>
      </c>
      <c r="T1369">
        <v>-0.1183437</v>
      </c>
      <c r="U1369">
        <v>-3.017639</v>
      </c>
      <c r="V1369">
        <v>-9.3327570000000006E-3</v>
      </c>
      <c r="W1369">
        <v>3.779704E-3</v>
      </c>
      <c r="X1369">
        <v>0.99994930000000004</v>
      </c>
      <c r="Y1369">
        <v>0.11163679999999999</v>
      </c>
      <c r="Z1369">
        <v>3.5557720000000001E-2</v>
      </c>
      <c r="AA1369">
        <v>0.99311269999999996</v>
      </c>
      <c r="AB1369">
        <v>29</v>
      </c>
      <c r="AC1369">
        <v>-1.5560999999999801</v>
      </c>
      <c r="AD1369">
        <v>-1.1092162848939999</v>
      </c>
      <c r="AE1369">
        <v>-27.984099999999899</v>
      </c>
      <c r="AF1369">
        <v>3.1593810290717301</v>
      </c>
      <c r="AG1369">
        <v>-1.1092162848939999</v>
      </c>
      <c r="AH1369">
        <v>27.804579824423101</v>
      </c>
      <c r="AI1369">
        <v>92.269914598675498</v>
      </c>
      <c r="AJ1369">
        <v>83.517394857113501</v>
      </c>
      <c r="AK1369">
        <v>28.0054764013442</v>
      </c>
      <c r="AL1369">
        <v>89.783438396168293</v>
      </c>
      <c r="AM1369">
        <v>90.534739172847097</v>
      </c>
      <c r="AN1369">
        <v>0.99999999454301902</v>
      </c>
    </row>
    <row r="1370" spans="1:40" x14ac:dyDescent="0.25">
      <c r="A1370" t="str">
        <f>"20190305135817336"</f>
        <v>20190305135817336</v>
      </c>
      <c r="B1370" t="str">
        <f>"1551765497329795"</f>
        <v>1551765497329795</v>
      </c>
      <c r="C1370" t="s">
        <v>40</v>
      </c>
      <c r="D1370">
        <v>4.0504300000000004</v>
      </c>
      <c r="E1370">
        <v>0.54424079999999997</v>
      </c>
      <c r="F1370" t="s">
        <v>42</v>
      </c>
      <c r="G1370">
        <v>-193.09809999999999</v>
      </c>
      <c r="H1370" s="1">
        <v>-4.3714420000000001E-6</v>
      </c>
      <c r="I1370">
        <v>308.2176</v>
      </c>
      <c r="J1370">
        <v>-191.59030000000001</v>
      </c>
      <c r="K1370">
        <v>1.109137</v>
      </c>
      <c r="L1370">
        <v>335.58850000000001</v>
      </c>
      <c r="M1370">
        <v>5.8480409999999997E-2</v>
      </c>
      <c r="N1370">
        <v>-3.1784650000000001E-3</v>
      </c>
      <c r="O1370">
        <v>-0.9982837</v>
      </c>
      <c r="P1370">
        <v>6.6709740000000003E-2</v>
      </c>
      <c r="Q1370">
        <v>2.5209480000000002E-4</v>
      </c>
      <c r="R1370">
        <v>-0.99777289999999996</v>
      </c>
      <c r="S1370">
        <v>-0.1621552</v>
      </c>
      <c r="T1370">
        <v>-0.1208602</v>
      </c>
      <c r="U1370">
        <v>-3.0175779999999999</v>
      </c>
      <c r="V1370">
        <v>-8.2508740000000001E-3</v>
      </c>
      <c r="W1370">
        <v>3.4168340000000001E-3</v>
      </c>
      <c r="X1370">
        <v>0.99996010000000002</v>
      </c>
      <c r="Y1370">
        <v>0.1119202</v>
      </c>
      <c r="Z1370">
        <v>3.6581719999999998E-2</v>
      </c>
      <c r="AA1370">
        <v>0.99304360000000003</v>
      </c>
      <c r="AB1370">
        <v>30</v>
      </c>
      <c r="AC1370">
        <v>-1.5077999999999701</v>
      </c>
      <c r="AD1370">
        <v>-1.109141371442</v>
      </c>
      <c r="AE1370">
        <v>-27.370899999999999</v>
      </c>
      <c r="AF1370">
        <v>3.1008122817812902</v>
      </c>
      <c r="AG1370">
        <v>-1.109141371442</v>
      </c>
      <c r="AH1370">
        <v>27.191363158828999</v>
      </c>
      <c r="AI1370">
        <v>92.320787065384593</v>
      </c>
      <c r="AJ1370">
        <v>83.494284329400898</v>
      </c>
      <c r="AK1370">
        <v>27.3900613694824</v>
      </c>
      <c r="AL1370">
        <v>89.804229446998704</v>
      </c>
      <c r="AM1370">
        <v>90.472748392170004</v>
      </c>
      <c r="AN1370">
        <v>0.99999997663417795</v>
      </c>
    </row>
    <row r="1371" spans="1:40" x14ac:dyDescent="0.25">
      <c r="A1371" t="str">
        <f>"20190305135817357"</f>
        <v>20190305135817357</v>
      </c>
      <c r="B1371" t="str">
        <f>"1551765497350290"</f>
        <v>1551765497350290</v>
      </c>
      <c r="C1371" t="s">
        <v>40</v>
      </c>
      <c r="D1371">
        <v>4.1334519999999904</v>
      </c>
      <c r="E1371">
        <v>0.54421600000000003</v>
      </c>
      <c r="F1371" t="s">
        <v>42</v>
      </c>
      <c r="G1371">
        <v>-193.0711</v>
      </c>
      <c r="H1371" s="1">
        <v>-4.3714680000000004E-6</v>
      </c>
      <c r="I1371">
        <v>308.23169999999999</v>
      </c>
      <c r="J1371">
        <v>-191.5736</v>
      </c>
      <c r="K1371">
        <v>1.109065</v>
      </c>
      <c r="L1371">
        <v>335.31459999999998</v>
      </c>
      <c r="M1371">
        <v>5.9171359999999999E-2</v>
      </c>
      <c r="N1371">
        <v>-3.0262689999999998E-3</v>
      </c>
      <c r="O1371">
        <v>-0.99824329999999994</v>
      </c>
      <c r="P1371">
        <v>6.6133919999999999E-2</v>
      </c>
      <c r="Q1371">
        <v>4.8170260000000002E-4</v>
      </c>
      <c r="R1371">
        <v>-0.99781109999999995</v>
      </c>
      <c r="S1371">
        <v>-0.1633453</v>
      </c>
      <c r="T1371">
        <v>-0.12234449999999999</v>
      </c>
      <c r="U1371">
        <v>-3.0176090000000002</v>
      </c>
      <c r="V1371">
        <v>-6.9810990000000002E-3</v>
      </c>
      <c r="W1371">
        <v>3.4974189999999999E-3</v>
      </c>
      <c r="X1371">
        <v>0.99996949999999996</v>
      </c>
      <c r="Y1371">
        <v>0.1129969</v>
      </c>
      <c r="Z1371">
        <v>3.7215779999999997E-2</v>
      </c>
      <c r="AA1371">
        <v>0.99289810000000001</v>
      </c>
      <c r="AB1371">
        <v>30</v>
      </c>
      <c r="AC1371">
        <v>-1.4975000000000001</v>
      </c>
      <c r="AD1371">
        <v>-1.109069371468</v>
      </c>
      <c r="AE1371">
        <v>-27.082899999999899</v>
      </c>
      <c r="AF1371">
        <v>3.09224558659171</v>
      </c>
      <c r="AG1371">
        <v>-1.109069371468</v>
      </c>
      <c r="AH1371">
        <v>26.901860191918299</v>
      </c>
      <c r="AI1371">
        <v>92.345341634765902</v>
      </c>
      <c r="AJ1371">
        <v>83.442890071892904</v>
      </c>
      <c r="AK1371">
        <v>27.1016991980953</v>
      </c>
      <c r="AL1371">
        <v>89.799612240443096</v>
      </c>
      <c r="AM1371">
        <v>90.399993210753394</v>
      </c>
      <c r="AN1371">
        <v>0.99999998430657899</v>
      </c>
    </row>
    <row r="1372" spans="1:40" x14ac:dyDescent="0.25">
      <c r="A1372" t="str">
        <f>"20190305135817377"</f>
        <v>20190305135817377</v>
      </c>
      <c r="B1372" t="str">
        <f>"1551765497369811"</f>
        <v>1551765497369811</v>
      </c>
      <c r="C1372" t="s">
        <v>40</v>
      </c>
      <c r="D1372">
        <v>4.1175050000000004</v>
      </c>
      <c r="E1372">
        <v>0.54409890000000005</v>
      </c>
      <c r="F1372" t="s">
        <v>42</v>
      </c>
      <c r="G1372">
        <v>-193.06280000000001</v>
      </c>
      <c r="H1372" s="1">
        <v>-4.312883E-6</v>
      </c>
      <c r="I1372">
        <v>308.06389999999999</v>
      </c>
      <c r="J1372">
        <v>-191.5566</v>
      </c>
      <c r="K1372">
        <v>1.108989</v>
      </c>
      <c r="L1372">
        <v>335.03769999999997</v>
      </c>
      <c r="M1372">
        <v>5.9785810000000002E-2</v>
      </c>
      <c r="N1372">
        <v>-2.8884969999999999E-3</v>
      </c>
      <c r="O1372">
        <v>-0.99820710000000001</v>
      </c>
      <c r="P1372">
        <v>6.5095130000000001E-2</v>
      </c>
      <c r="Q1372">
        <v>1.182495E-3</v>
      </c>
      <c r="R1372">
        <v>-0.99787870000000001</v>
      </c>
      <c r="S1372">
        <v>-0.16490170000000001</v>
      </c>
      <c r="T1372">
        <v>-0.1228117</v>
      </c>
      <c r="U1372">
        <v>-3.0175779999999999</v>
      </c>
      <c r="V1372">
        <v>-5.3250729999999996E-3</v>
      </c>
      <c r="W1372">
        <v>4.0634209999999898E-3</v>
      </c>
      <c r="X1372">
        <v>0.99997760000000002</v>
      </c>
      <c r="Y1372">
        <v>0.1141192</v>
      </c>
      <c r="Z1372">
        <v>3.7502029999999999E-2</v>
      </c>
      <c r="AA1372">
        <v>0.99275899999999995</v>
      </c>
      <c r="AB1372">
        <v>30</v>
      </c>
      <c r="AC1372">
        <v>-1.5062</v>
      </c>
      <c r="AD1372">
        <v>-1.1089933128829901</v>
      </c>
      <c r="AE1372">
        <v>-26.973799999999901</v>
      </c>
      <c r="AF1372">
        <v>3.1109206955761302</v>
      </c>
      <c r="AG1372">
        <v>-1.1089933128829901</v>
      </c>
      <c r="AH1372">
        <v>26.7903558825491</v>
      </c>
      <c r="AI1372">
        <v>92.354615668202399</v>
      </c>
      <c r="AJ1372">
        <v>83.376426140933006</v>
      </c>
      <c r="AK1372">
        <v>26.993163246567001</v>
      </c>
      <c r="AL1372">
        <v>89.767182493572093</v>
      </c>
      <c r="AM1372">
        <v>90.305108158955704</v>
      </c>
      <c r="AN1372">
        <v>1.0000000341472099</v>
      </c>
    </row>
    <row r="1373" spans="1:40" x14ac:dyDescent="0.25">
      <c r="A1373" t="str">
        <f>"20190305135817401"</f>
        <v>20190305135817401</v>
      </c>
      <c r="B1373" t="str">
        <f>"1551765497390306"</f>
        <v>1551765497390306</v>
      </c>
      <c r="C1373" t="s">
        <v>40</v>
      </c>
      <c r="D1373">
        <v>4.0930540000000004</v>
      </c>
      <c r="E1373">
        <v>0.54400459999999995</v>
      </c>
      <c r="F1373" t="s">
        <v>42</v>
      </c>
      <c r="G1373">
        <v>-193.06950000000001</v>
      </c>
      <c r="H1373" s="1">
        <v>-4.1914630000000001E-6</v>
      </c>
      <c r="I1373">
        <v>307.70359999999999</v>
      </c>
      <c r="J1373">
        <v>-191.53710000000001</v>
      </c>
      <c r="K1373">
        <v>1.1089070000000001</v>
      </c>
      <c r="L1373">
        <v>334.72269999999997</v>
      </c>
      <c r="M1373">
        <v>6.0375489999999997E-2</v>
      </c>
      <c r="N1373">
        <v>-2.75143E-3</v>
      </c>
      <c r="O1373">
        <v>-0.99817219999999995</v>
      </c>
      <c r="P1373">
        <v>6.3948000000000005E-2</v>
      </c>
      <c r="Q1373">
        <v>2.085094E-3</v>
      </c>
      <c r="R1373">
        <v>-0.99795140000000004</v>
      </c>
      <c r="S1373">
        <v>-0.167007399999999</v>
      </c>
      <c r="T1373">
        <v>-0.1224225</v>
      </c>
      <c r="U1373">
        <v>-3.0174259999999999</v>
      </c>
      <c r="V1373">
        <v>-3.5851139999999999E-3</v>
      </c>
      <c r="W1373">
        <v>4.8320739999999996E-3</v>
      </c>
      <c r="X1373">
        <v>0.99998189999999998</v>
      </c>
      <c r="Y1373">
        <v>0.11539969999999999</v>
      </c>
      <c r="Z1373">
        <v>3.7507400000000003E-2</v>
      </c>
      <c r="AA1373">
        <v>0.99261080000000002</v>
      </c>
      <c r="AB1373">
        <v>30</v>
      </c>
      <c r="AC1373">
        <v>-1.53239999999999</v>
      </c>
      <c r="AD1373">
        <v>-1.1089111914630001</v>
      </c>
      <c r="AE1373">
        <v>-27.019099999999899</v>
      </c>
      <c r="AF1373">
        <v>3.15560330267936</v>
      </c>
      <c r="AG1373">
        <v>-1.1089111914630001</v>
      </c>
      <c r="AH1373">
        <v>26.832237969960499</v>
      </c>
      <c r="AI1373">
        <v>92.350368908555595</v>
      </c>
      <c r="AJ1373">
        <v>83.292544403333494</v>
      </c>
      <c r="AK1373">
        <v>27.0399058931614</v>
      </c>
      <c r="AL1373">
        <v>89.723141476425496</v>
      </c>
      <c r="AM1373">
        <v>90.205414739199</v>
      </c>
      <c r="AN1373">
        <v>1.00000000115457</v>
      </c>
    </row>
    <row r="1374" spans="1:40" x14ac:dyDescent="0.25">
      <c r="A1374" t="str">
        <f>"20190305135817422"</f>
        <v>20190305135817422</v>
      </c>
      <c r="B1374" t="str">
        <f>"1551765497409827"</f>
        <v>1551765497409827</v>
      </c>
      <c r="C1374" t="s">
        <v>40</v>
      </c>
      <c r="D1374">
        <v>4.1461990000000002</v>
      </c>
      <c r="E1374">
        <v>0.54398539999999995</v>
      </c>
      <c r="F1374" t="s">
        <v>42</v>
      </c>
      <c r="G1374">
        <v>-193.09049999999999</v>
      </c>
      <c r="H1374" s="1">
        <v>-3.9979889999999996E-6</v>
      </c>
      <c r="I1374">
        <v>307.1241</v>
      </c>
      <c r="J1374">
        <v>-191.51840000000001</v>
      </c>
      <c r="K1374">
        <v>1.108819</v>
      </c>
      <c r="L1374">
        <v>334.42090000000002</v>
      </c>
      <c r="M1374">
        <v>6.083073E-2</v>
      </c>
      <c r="N1374">
        <v>-2.6392719999999998E-3</v>
      </c>
      <c r="O1374">
        <v>-0.9981449</v>
      </c>
      <c r="P1374">
        <v>6.2474740000000001E-2</v>
      </c>
      <c r="Q1374">
        <v>2.8897430000000002E-3</v>
      </c>
      <c r="R1374">
        <v>-0.9980426</v>
      </c>
      <c r="S1374">
        <v>-0.16983029999999999</v>
      </c>
      <c r="T1374">
        <v>-0.1212355</v>
      </c>
      <c r="U1374">
        <v>-3.0173030000000001</v>
      </c>
      <c r="V1374">
        <v>-1.6529940000000001E-3</v>
      </c>
      <c r="W1374">
        <v>5.527293E-3</v>
      </c>
      <c r="X1374">
        <v>0.99998339999999997</v>
      </c>
      <c r="Y1374">
        <v>0.1167815</v>
      </c>
      <c r="Z1374">
        <v>3.722545E-2</v>
      </c>
      <c r="AA1374">
        <v>0.9924598</v>
      </c>
      <c r="AB1374">
        <v>31</v>
      </c>
      <c r="AC1374">
        <v>-1.5720999999999701</v>
      </c>
      <c r="AD1374">
        <v>-1.1088229979889901</v>
      </c>
      <c r="AE1374">
        <v>-27.296800000000001</v>
      </c>
      <c r="AF1374">
        <v>3.2243753333209502</v>
      </c>
      <c r="AG1374">
        <v>-1.1088229979889901</v>
      </c>
      <c r="AH1374">
        <v>27.1060374877861</v>
      </c>
      <c r="AI1374">
        <v>92.326103377651805</v>
      </c>
      <c r="AJ1374">
        <v>83.216306686217095</v>
      </c>
      <c r="AK1374">
        <v>27.319651407370898</v>
      </c>
      <c r="AL1374">
        <v>89.683307839654802</v>
      </c>
      <c r="AM1374">
        <v>90.094711065700196</v>
      </c>
      <c r="AN1374">
        <v>1.00000004181631</v>
      </c>
    </row>
    <row r="1375" spans="1:40" x14ac:dyDescent="0.25">
      <c r="A1375" t="str">
        <f>"20190305135817444"</f>
        <v>20190305135817444</v>
      </c>
      <c r="B1375" t="str">
        <f>"1551765497440083"</f>
        <v>1551765497440083</v>
      </c>
      <c r="C1375" t="s">
        <v>40</v>
      </c>
      <c r="D1375">
        <v>4.0937060000000001</v>
      </c>
      <c r="E1375">
        <v>0.5439541</v>
      </c>
      <c r="F1375" t="s">
        <v>42</v>
      </c>
      <c r="G1375">
        <v>-193.13200000000001</v>
      </c>
      <c r="H1375" s="1">
        <v>-3.7784480000000002E-6</v>
      </c>
      <c r="I1375">
        <v>306.45740000000001</v>
      </c>
      <c r="J1375">
        <v>-191.49959999999999</v>
      </c>
      <c r="K1375">
        <v>1.108741</v>
      </c>
      <c r="L1375">
        <v>334.11950000000002</v>
      </c>
      <c r="M1375">
        <v>6.1196819999999999E-2</v>
      </c>
      <c r="N1375">
        <v>-2.5433840000000001E-3</v>
      </c>
      <c r="O1375">
        <v>-0.99812250000000002</v>
      </c>
      <c r="P1375">
        <v>6.1217389999999997E-2</v>
      </c>
      <c r="Q1375">
        <v>3.1262849999999999E-3</v>
      </c>
      <c r="R1375">
        <v>-0.99811950000000005</v>
      </c>
      <c r="S1375">
        <v>-0.174102799999999</v>
      </c>
      <c r="T1375">
        <v>-0.1196388</v>
      </c>
      <c r="U1375">
        <v>-3.0171809999999999</v>
      </c>
      <c r="V1375" s="1">
        <v>-2.558404E-5</v>
      </c>
      <c r="W1375">
        <v>5.6698649999999996E-3</v>
      </c>
      <c r="X1375">
        <v>0.99998390000000004</v>
      </c>
      <c r="Y1375">
        <v>0.1185498</v>
      </c>
      <c r="Z1375">
        <v>3.6791539999999998E-2</v>
      </c>
      <c r="AA1375">
        <v>0.99226619999999999</v>
      </c>
      <c r="AB1375">
        <v>31</v>
      </c>
      <c r="AC1375">
        <v>-1.6324000000000101</v>
      </c>
      <c r="AD1375">
        <v>-1.108744778448</v>
      </c>
      <c r="AE1375">
        <v>-27.662099999999999</v>
      </c>
      <c r="AF1375">
        <v>3.3168681893359899</v>
      </c>
      <c r="AG1375">
        <v>-1.108744778448</v>
      </c>
      <c r="AH1375">
        <v>27.466382239509901</v>
      </c>
      <c r="AI1375">
        <v>92.294967696810602</v>
      </c>
      <c r="AJ1375">
        <v>83.114246503410797</v>
      </c>
      <c r="AK1375">
        <v>27.688139751453701</v>
      </c>
      <c r="AL1375">
        <v>89.675138916103094</v>
      </c>
      <c r="AM1375">
        <v>90.001465881115195</v>
      </c>
      <c r="AN1375">
        <v>0.99999997414143504</v>
      </c>
    </row>
    <row r="1376" spans="1:40" x14ac:dyDescent="0.25">
      <c r="A1376" t="str">
        <f>"20190305135817465"</f>
        <v>20190305135817465</v>
      </c>
      <c r="B1376" t="str">
        <f>"1551765497459603"</f>
        <v>1551765497459603</v>
      </c>
      <c r="C1376" t="s">
        <v>40</v>
      </c>
      <c r="D1376">
        <v>4.1022600000000002</v>
      </c>
      <c r="E1376">
        <v>0.54394719999999996</v>
      </c>
      <c r="F1376" t="s">
        <v>42</v>
      </c>
      <c r="G1376">
        <v>-193.13570000000001</v>
      </c>
      <c r="H1376" s="1">
        <v>-3.7346530000000002E-6</v>
      </c>
      <c r="I1376">
        <v>306.34980000000002</v>
      </c>
      <c r="J1376">
        <v>-191.4812</v>
      </c>
      <c r="K1376">
        <v>1.108665</v>
      </c>
      <c r="L1376">
        <v>333.82330000000002</v>
      </c>
      <c r="M1376">
        <v>6.1464339999999999E-2</v>
      </c>
      <c r="N1376">
        <v>-2.4635680000000002E-3</v>
      </c>
      <c r="O1376">
        <v>-0.99810639999999995</v>
      </c>
      <c r="P1376">
        <v>5.9215549999999999E-2</v>
      </c>
      <c r="Q1376">
        <v>3.511134E-3</v>
      </c>
      <c r="R1376">
        <v>-0.99823899999999999</v>
      </c>
      <c r="S1376">
        <v>-0.17774960000000001</v>
      </c>
      <c r="T1376">
        <v>-0.1204568</v>
      </c>
      <c r="U1376">
        <v>-3.0169679999999999</v>
      </c>
      <c r="V1376">
        <v>2.2485750000000001E-3</v>
      </c>
      <c r="W1376">
        <v>5.9759890000000001E-3</v>
      </c>
      <c r="X1376">
        <v>0.99997959999999997</v>
      </c>
      <c r="Y1376">
        <v>0.1200145</v>
      </c>
      <c r="Z1376">
        <v>3.7136809999999999E-2</v>
      </c>
      <c r="AA1376">
        <v>0.99207730000000005</v>
      </c>
      <c r="AB1376">
        <v>31</v>
      </c>
      <c r="AC1376">
        <v>-1.6545000000000101</v>
      </c>
      <c r="AD1376">
        <v>-1.108668734653</v>
      </c>
      <c r="AE1376">
        <v>-27.473500000000001</v>
      </c>
      <c r="AF1376">
        <v>3.33460655252071</v>
      </c>
      <c r="AG1376">
        <v>-1.108668734653</v>
      </c>
      <c r="AH1376">
        <v>27.2756053850981</v>
      </c>
      <c r="AI1376">
        <v>92.310430794912705</v>
      </c>
      <c r="AJ1376">
        <v>83.029836136236895</v>
      </c>
      <c r="AK1376">
        <v>27.501043550143699</v>
      </c>
      <c r="AL1376">
        <v>89.657599008550903</v>
      </c>
      <c r="AM1376">
        <v>89.871163731461493</v>
      </c>
      <c r="AN1376">
        <v>0.99999998447510896</v>
      </c>
    </row>
    <row r="1377" spans="1:40" x14ac:dyDescent="0.25">
      <c r="A1377" t="str">
        <f>"20190305135817488"</f>
        <v>20190305135817488</v>
      </c>
      <c r="B1377" t="str">
        <f>"1551765497480099"</f>
        <v>1551765497480099</v>
      </c>
      <c r="C1377" t="s">
        <v>40</v>
      </c>
      <c r="D1377">
        <v>4.0588629999999997</v>
      </c>
      <c r="E1377">
        <v>0.54393400000000003</v>
      </c>
      <c r="F1377" t="s">
        <v>42</v>
      </c>
      <c r="G1377">
        <v>-193.17269999999999</v>
      </c>
      <c r="H1377" s="1">
        <v>-3.6151779999999999E-6</v>
      </c>
      <c r="I1377">
        <v>306.04840000000002</v>
      </c>
      <c r="J1377">
        <v>-191.46109999999999</v>
      </c>
      <c r="K1377">
        <v>1.1085830000000001</v>
      </c>
      <c r="L1377">
        <v>333.49979999999999</v>
      </c>
      <c r="M1377">
        <v>6.1650150000000001E-2</v>
      </c>
      <c r="N1377">
        <v>-2.3908979999999998E-3</v>
      </c>
      <c r="O1377">
        <v>-0.99809519999999996</v>
      </c>
      <c r="P1377">
        <v>5.694304E-2</v>
      </c>
      <c r="Q1377">
        <v>3.748019E-3</v>
      </c>
      <c r="R1377">
        <v>-0.99837050000000005</v>
      </c>
      <c r="S1377">
        <v>-0.18371580000000001</v>
      </c>
      <c r="T1377">
        <v>-0.1204137</v>
      </c>
      <c r="U1377">
        <v>-3.0166629999999999</v>
      </c>
      <c r="V1377">
        <v>4.7120679999999998E-3</v>
      </c>
      <c r="W1377">
        <v>6.1414499999999997E-3</v>
      </c>
      <c r="X1377">
        <v>0.99997000000000003</v>
      </c>
      <c r="Y1377">
        <v>0.1221599</v>
      </c>
      <c r="Z1377">
        <v>3.719099E-2</v>
      </c>
      <c r="AA1377">
        <v>0.99181339999999996</v>
      </c>
      <c r="AB1377">
        <v>31</v>
      </c>
      <c r="AC1377">
        <v>-1.7116</v>
      </c>
      <c r="AD1377">
        <v>-1.1085866151779999</v>
      </c>
      <c r="AE1377">
        <v>-27.4513999999999</v>
      </c>
      <c r="AF1377">
        <v>3.39521596824006</v>
      </c>
      <c r="AG1377">
        <v>-1.1085866151779999</v>
      </c>
      <c r="AH1377">
        <v>27.2493943596618</v>
      </c>
      <c r="AI1377">
        <v>92.311822083474496</v>
      </c>
      <c r="AJ1377">
        <v>82.897671750358597</v>
      </c>
      <c r="AK1377">
        <v>27.482466205250098</v>
      </c>
      <c r="AL1377">
        <v>89.6481186091344</v>
      </c>
      <c r="AM1377">
        <v>89.730012289469798</v>
      </c>
      <c r="AN1377">
        <v>0.99999996094646804</v>
      </c>
    </row>
    <row r="1378" spans="1:40" x14ac:dyDescent="0.25">
      <c r="A1378" t="str">
        <f>"20190305135817511"</f>
        <v>20190305135817511</v>
      </c>
      <c r="B1378" t="str">
        <f>"1551765497499619"</f>
        <v>1551765497499619</v>
      </c>
      <c r="C1378" t="s">
        <v>40</v>
      </c>
      <c r="D1378">
        <v>4.1688489999999998</v>
      </c>
      <c r="E1378">
        <v>0.54428730000000003</v>
      </c>
      <c r="F1378" t="s">
        <v>42</v>
      </c>
      <c r="G1378">
        <v>-193.20869999999999</v>
      </c>
      <c r="H1378" s="1">
        <v>-3.5123339999999999E-6</v>
      </c>
      <c r="I1378">
        <v>305.78629999999998</v>
      </c>
      <c r="J1378">
        <v>-191.44149999999999</v>
      </c>
      <c r="K1378">
        <v>1.108492</v>
      </c>
      <c r="L1378">
        <v>333.1848</v>
      </c>
      <c r="M1378">
        <v>6.172043E-2</v>
      </c>
      <c r="N1378">
        <v>-2.3332090000000002E-3</v>
      </c>
      <c r="O1378">
        <v>-0.99809099999999995</v>
      </c>
      <c r="P1378">
        <v>5.4945679999999997E-2</v>
      </c>
      <c r="Q1378">
        <v>3.864817E-3</v>
      </c>
      <c r="R1378">
        <v>-0.99848230000000004</v>
      </c>
      <c r="S1378">
        <v>-0.1902008</v>
      </c>
      <c r="T1378">
        <v>-0.1206511</v>
      </c>
      <c r="U1378">
        <v>-3.0161440000000002</v>
      </c>
      <c r="V1378">
        <v>6.7841000000000004E-3</v>
      </c>
      <c r="W1378">
        <v>6.1996229999999996E-3</v>
      </c>
      <c r="X1378">
        <v>0.99995769999999995</v>
      </c>
      <c r="Y1378">
        <v>0.1243639</v>
      </c>
      <c r="Z1378">
        <v>3.7324980000000001E-2</v>
      </c>
      <c r="AA1378">
        <v>0.99153440000000004</v>
      </c>
      <c r="AB1378">
        <v>31</v>
      </c>
      <c r="AC1378">
        <v>-1.7672000000000001</v>
      </c>
      <c r="AD1378">
        <v>-1.1084955123339999</v>
      </c>
      <c r="AE1378">
        <v>-27.398499999999999</v>
      </c>
      <c r="AF1378">
        <v>3.4492595577888898</v>
      </c>
      <c r="AG1378">
        <v>-1.1084955123339999</v>
      </c>
      <c r="AH1378">
        <v>27.1928644672258</v>
      </c>
      <c r="AI1378">
        <v>92.315789367045397</v>
      </c>
      <c r="AJ1378">
        <v>82.770963095974693</v>
      </c>
      <c r="AK1378">
        <v>27.433155701281901</v>
      </c>
      <c r="AL1378">
        <v>89.644785467373694</v>
      </c>
      <c r="AM1378">
        <v>89.611289223261707</v>
      </c>
      <c r="AN1378">
        <v>0.99999993056371805</v>
      </c>
    </row>
    <row r="1379" spans="1:40" x14ac:dyDescent="0.25">
      <c r="A1379" t="str">
        <f>"20190305135817535"</f>
        <v>20190305135817535</v>
      </c>
      <c r="B1379" t="str">
        <f>"1551765497529875"</f>
        <v>1551765497529875</v>
      </c>
      <c r="C1379" t="s">
        <v>40</v>
      </c>
      <c r="D1379">
        <v>4.1439190000000004</v>
      </c>
      <c r="E1379">
        <v>0.58054989999999995</v>
      </c>
      <c r="F1379" t="s">
        <v>42</v>
      </c>
      <c r="G1379">
        <v>-193.29769999999999</v>
      </c>
      <c r="H1379" s="1">
        <v>-3.2275509999999999E-6</v>
      </c>
      <c r="I1379">
        <v>305.06729999999999</v>
      </c>
      <c r="J1379">
        <v>-191.42019999999999</v>
      </c>
      <c r="K1379">
        <v>1.108382</v>
      </c>
      <c r="L1379">
        <v>332.84030000000001</v>
      </c>
      <c r="M1379">
        <v>6.1651869999999998E-2</v>
      </c>
      <c r="N1379">
        <v>-2.282924E-3</v>
      </c>
      <c r="O1379">
        <v>-0.99809499999999995</v>
      </c>
      <c r="P1379">
        <v>5.3016279999999999E-2</v>
      </c>
      <c r="Q1379">
        <v>3.8827990000000001E-3</v>
      </c>
      <c r="R1379">
        <v>-0.99858590000000003</v>
      </c>
      <c r="S1379">
        <v>-0.19909669999999999</v>
      </c>
      <c r="T1379">
        <v>-0.1188989</v>
      </c>
      <c r="U1379">
        <v>-3.01593</v>
      </c>
      <c r="V1379">
        <v>8.6491169999999996E-3</v>
      </c>
      <c r="W1379">
        <v>6.1662449999999999E-3</v>
      </c>
      <c r="X1379">
        <v>0.99994360000000004</v>
      </c>
      <c r="Y1379">
        <v>0.12721350000000001</v>
      </c>
      <c r="Z1379">
        <v>3.6792140000000001E-2</v>
      </c>
      <c r="AA1379">
        <v>0.99119279999999998</v>
      </c>
      <c r="AB1379">
        <v>31</v>
      </c>
      <c r="AC1379">
        <v>-1.87749999999999</v>
      </c>
      <c r="AD1379">
        <v>-1.108385227551</v>
      </c>
      <c r="AE1379">
        <v>-27.773</v>
      </c>
      <c r="AF1379">
        <v>3.5805136965683801</v>
      </c>
      <c r="AG1379">
        <v>-1.108385227551</v>
      </c>
      <c r="AH1379">
        <v>27.560719371382401</v>
      </c>
      <c r="AI1379">
        <v>92.283801701879597</v>
      </c>
      <c r="AJ1379">
        <v>82.597953097867901</v>
      </c>
      <c r="AK1379">
        <v>27.814417995206401</v>
      </c>
      <c r="AL1379">
        <v>89.646697952949694</v>
      </c>
      <c r="AM1379">
        <v>89.504426506983094</v>
      </c>
      <c r="AN1379">
        <v>1.0000000164916101</v>
      </c>
    </row>
    <row r="1380" spans="1:40" x14ac:dyDescent="0.25">
      <c r="A1380" t="str">
        <f>"20190305135817559"</f>
        <v>20190305135817559</v>
      </c>
      <c r="B1380" t="str">
        <f>"1551765497550372"</f>
        <v>1551765497550372</v>
      </c>
      <c r="C1380" t="s">
        <v>40</v>
      </c>
      <c r="D1380">
        <v>4.1541249999999996</v>
      </c>
      <c r="E1380">
        <v>0.580457</v>
      </c>
      <c r="F1380" t="s">
        <v>42</v>
      </c>
      <c r="G1380">
        <v>-195.44810000000001</v>
      </c>
      <c r="H1380" s="1">
        <v>-4.7943519999999997E-6</v>
      </c>
      <c r="I1380">
        <v>308.23540000000003</v>
      </c>
      <c r="J1380">
        <v>-191.40039999999999</v>
      </c>
      <c r="K1380">
        <v>1.1082510000000001</v>
      </c>
      <c r="L1380">
        <v>332.51690000000002</v>
      </c>
      <c r="M1380">
        <v>6.1423310000000002E-2</v>
      </c>
      <c r="N1380">
        <v>-2.249694E-3</v>
      </c>
      <c r="O1380">
        <v>-0.99810940000000004</v>
      </c>
      <c r="P1380">
        <v>5.1109349999999998E-2</v>
      </c>
      <c r="Q1380">
        <v>3.7567640000000001E-3</v>
      </c>
      <c r="R1380">
        <v>-0.99868599999999996</v>
      </c>
      <c r="S1380">
        <v>-0.49620059999999999</v>
      </c>
      <c r="T1380">
        <v>-0.13654289999999999</v>
      </c>
      <c r="U1380">
        <v>-3.0310969999999999</v>
      </c>
      <c r="V1380">
        <v>1.0331299999999899E-2</v>
      </c>
      <c r="W1380">
        <v>6.0036459999999996E-3</v>
      </c>
      <c r="X1380">
        <v>0.99992859999999995</v>
      </c>
      <c r="Y1380">
        <v>0.22171089999999999</v>
      </c>
      <c r="Z1380">
        <v>4.1762800000000003E-2</v>
      </c>
      <c r="AA1380">
        <v>0.97421769999999996</v>
      </c>
      <c r="AB1380">
        <v>32</v>
      </c>
      <c r="AC1380">
        <v>-4.0477000000000203</v>
      </c>
      <c r="AD1380">
        <v>-1.1082557943519999</v>
      </c>
      <c r="AE1380">
        <v>-24.281499999999902</v>
      </c>
      <c r="AF1380">
        <v>5.5203218454286098</v>
      </c>
      <c r="AG1380">
        <v>-1.1082557943519999</v>
      </c>
      <c r="AH1380">
        <v>23.938507695780299</v>
      </c>
      <c r="AI1380">
        <v>92.582975359839494</v>
      </c>
      <c r="AJ1380">
        <v>77.014357761093095</v>
      </c>
      <c r="AK1380">
        <v>24.591753391813398</v>
      </c>
      <c r="AL1380">
        <v>89.656014353420503</v>
      </c>
      <c r="AM1380">
        <v>89.408038909137801</v>
      </c>
      <c r="AN1380">
        <v>0.99999999231147096</v>
      </c>
    </row>
    <row r="1381" spans="1:40" x14ac:dyDescent="0.25">
      <c r="A1381" t="str">
        <f>"20190305135817577"</f>
        <v>20190305135817577</v>
      </c>
      <c r="B1381" t="str">
        <f>"1551765497569891"</f>
        <v>1551765497569891</v>
      </c>
      <c r="C1381" t="s">
        <v>40</v>
      </c>
      <c r="D1381">
        <v>4.1609400000000001</v>
      </c>
      <c r="E1381">
        <v>0.58044019999999996</v>
      </c>
      <c r="F1381" t="s">
        <v>42</v>
      </c>
      <c r="G1381">
        <v>-194.7611</v>
      </c>
      <c r="H1381" s="1">
        <v>-2.5436819999999998E-6</v>
      </c>
      <c r="I1381">
        <v>312.2928</v>
      </c>
      <c r="J1381">
        <v>-191.38319999999999</v>
      </c>
      <c r="K1381">
        <v>1.1081219999999901</v>
      </c>
      <c r="L1381">
        <v>332.23349999999999</v>
      </c>
      <c r="M1381">
        <v>6.106234E-2</v>
      </c>
      <c r="N1381">
        <v>-2.234892E-3</v>
      </c>
      <c r="O1381">
        <v>-0.99813169999999996</v>
      </c>
      <c r="P1381">
        <v>4.9791910000000002E-2</v>
      </c>
      <c r="Q1381">
        <v>2.8959319999999999E-3</v>
      </c>
      <c r="R1381">
        <v>-0.99875579999999997</v>
      </c>
      <c r="S1381">
        <v>-0.50357059999999998</v>
      </c>
      <c r="T1381">
        <v>-0.16605819999999999</v>
      </c>
      <c r="U1381">
        <v>-3.0303339999999999</v>
      </c>
      <c r="V1381">
        <v>1.129022E-2</v>
      </c>
      <c r="W1381">
        <v>5.1243720000000003E-3</v>
      </c>
      <c r="X1381">
        <v>0.99992309999999995</v>
      </c>
      <c r="Y1381">
        <v>0.2236281</v>
      </c>
      <c r="Z1381">
        <v>5.126141E-2</v>
      </c>
      <c r="AA1381">
        <v>0.97332560000000001</v>
      </c>
      <c r="AB1381">
        <v>32</v>
      </c>
      <c r="AC1381">
        <v>-3.3779000000000101</v>
      </c>
      <c r="AD1381">
        <v>-1.10812454368199</v>
      </c>
      <c r="AE1381">
        <v>-19.9407</v>
      </c>
      <c r="AF1381">
        <v>4.5754896152123301</v>
      </c>
      <c r="AG1381">
        <v>-1.10812454368199</v>
      </c>
      <c r="AH1381">
        <v>19.6382726931819</v>
      </c>
      <c r="AI1381">
        <v>93.145520874448195</v>
      </c>
      <c r="AJ1381">
        <v>76.884722234896699</v>
      </c>
      <c r="AK1381">
        <v>20.194672554785399</v>
      </c>
      <c r="AL1381">
        <v>89.706393817094593</v>
      </c>
      <c r="AM1381">
        <v>89.353095785230096</v>
      </c>
      <c r="AN1381">
        <v>0.99999996708482497</v>
      </c>
    </row>
    <row r="1382" spans="1:40" x14ac:dyDescent="0.25">
      <c r="A1382" t="str">
        <f>"20190305135817600"</f>
        <v>20190305135817600</v>
      </c>
      <c r="B1382" t="str">
        <f>"1551765497590387"</f>
        <v>1551765497590387</v>
      </c>
      <c r="C1382" t="s">
        <v>40</v>
      </c>
      <c r="D1382">
        <v>4.1760279999999996</v>
      </c>
      <c r="E1382">
        <v>0.58005039999999997</v>
      </c>
      <c r="F1382" t="s">
        <v>42</v>
      </c>
      <c r="G1382">
        <v>-194.42920000000001</v>
      </c>
      <c r="H1382" s="1">
        <v>-3.3053599999999999E-6</v>
      </c>
      <c r="I1382">
        <v>314.09100000000001</v>
      </c>
      <c r="J1382">
        <v>-191.3646</v>
      </c>
      <c r="K1382">
        <v>1.107972</v>
      </c>
      <c r="L1382">
        <v>331.9221</v>
      </c>
      <c r="M1382">
        <v>6.0484030000000001E-2</v>
      </c>
      <c r="N1382">
        <v>-2.2343689999999999E-3</v>
      </c>
      <c r="O1382">
        <v>-0.99816680000000002</v>
      </c>
      <c r="P1382">
        <v>4.8839899999999999E-2</v>
      </c>
      <c r="Q1382">
        <v>2.3396889999999998E-3</v>
      </c>
      <c r="R1382">
        <v>-0.99880420000000003</v>
      </c>
      <c r="S1382">
        <v>-0.50865169999999904</v>
      </c>
      <c r="T1382">
        <v>-0.1850463</v>
      </c>
      <c r="U1382">
        <v>-3.029633</v>
      </c>
      <c r="V1382">
        <v>1.1665439999999999E-2</v>
      </c>
      <c r="W1382">
        <v>4.5636180000000002E-3</v>
      </c>
      <c r="X1382">
        <v>0.99992159999999997</v>
      </c>
      <c r="Y1382">
        <v>0.224631</v>
      </c>
      <c r="Z1382">
        <v>5.7361080000000002E-2</v>
      </c>
      <c r="AA1382">
        <v>0.97275409999999995</v>
      </c>
      <c r="AB1382">
        <v>32</v>
      </c>
      <c r="AC1382">
        <v>-3.0646000000000102</v>
      </c>
      <c r="AD1382">
        <v>-1.1079753053600001</v>
      </c>
      <c r="AE1382">
        <v>-17.8310999999999</v>
      </c>
      <c r="AF1382">
        <v>4.1220298522724903</v>
      </c>
      <c r="AG1382">
        <v>-1.1079753053600001</v>
      </c>
      <c r="AH1382">
        <v>17.5472873837785</v>
      </c>
      <c r="AI1382">
        <v>93.517489573883793</v>
      </c>
      <c r="AJ1382">
        <v>76.780346260016799</v>
      </c>
      <c r="AK1382">
        <v>18.058959934315801</v>
      </c>
      <c r="AL1382">
        <v>89.738523056738799</v>
      </c>
      <c r="AM1382">
        <v>89.331597439647894</v>
      </c>
      <c r="AN1382">
        <v>1.0000000576231001</v>
      </c>
    </row>
    <row r="1383" spans="1:40" x14ac:dyDescent="0.25">
      <c r="A1383" t="str">
        <f>"20190305135817623"</f>
        <v>20190305135817623</v>
      </c>
      <c r="B1383" t="str">
        <f>"1551765497619667"</f>
        <v>1551765497619667</v>
      </c>
      <c r="C1383" t="s">
        <v>40</v>
      </c>
      <c r="D1383">
        <v>4.2016080000000002</v>
      </c>
      <c r="E1383">
        <v>0.58024449999999905</v>
      </c>
      <c r="F1383" t="s">
        <v>42</v>
      </c>
      <c r="G1383">
        <v>-194.22880000000001</v>
      </c>
      <c r="H1383" s="1">
        <v>-3.6273719999999999E-6</v>
      </c>
      <c r="I1383">
        <v>314.88490000000002</v>
      </c>
      <c r="J1383">
        <v>-191.34479999999999</v>
      </c>
      <c r="K1383">
        <v>1.107807</v>
      </c>
      <c r="L1383">
        <v>331.58359999999999</v>
      </c>
      <c r="M1383">
        <v>5.9643929999999998E-2</v>
      </c>
      <c r="N1383">
        <v>-2.2511649999999999E-3</v>
      </c>
      <c r="O1383">
        <v>-0.99821720000000003</v>
      </c>
      <c r="P1383">
        <v>4.7551679999999999E-2</v>
      </c>
      <c r="Q1383">
        <v>3.023684E-3</v>
      </c>
      <c r="R1383">
        <v>-0.99886439999999999</v>
      </c>
      <c r="S1383">
        <v>-0.50921629999999996</v>
      </c>
      <c r="T1383">
        <v>-0.19698170000000001</v>
      </c>
      <c r="U1383">
        <v>-3.0289609999999998</v>
      </c>
      <c r="V1383">
        <v>1.2116180000000001E-2</v>
      </c>
      <c r="W1383">
        <v>5.2588380000000001E-3</v>
      </c>
      <c r="X1383">
        <v>0.99991269999999999</v>
      </c>
      <c r="Y1383">
        <v>0.2239834</v>
      </c>
      <c r="Z1383">
        <v>6.119629E-2</v>
      </c>
      <c r="AA1383">
        <v>0.97266980000000003</v>
      </c>
      <c r="AB1383">
        <v>32</v>
      </c>
      <c r="AC1383">
        <v>-2.8840000000000101</v>
      </c>
      <c r="AD1383">
        <v>-1.1078106273720001</v>
      </c>
      <c r="AE1383">
        <v>-16.698699999999899</v>
      </c>
      <c r="AF1383">
        <v>3.8583548945596902</v>
      </c>
      <c r="AG1383">
        <v>-1.1078106273720001</v>
      </c>
      <c r="AH1383">
        <v>16.426755363014099</v>
      </c>
      <c r="AI1383">
        <v>93.756231898333596</v>
      </c>
      <c r="AJ1383">
        <v>76.781837068951603</v>
      </c>
      <c r="AK1383">
        <v>16.9101282855809</v>
      </c>
      <c r="AL1383">
        <v>89.698689368269996</v>
      </c>
      <c r="AM1383">
        <v>89.305767388844501</v>
      </c>
      <c r="AN1383">
        <v>0.99999993240809404</v>
      </c>
    </row>
    <row r="1384" spans="1:40" x14ac:dyDescent="0.25">
      <c r="A1384" t="str">
        <f>"20190305135817645"</f>
        <v>20190305135817645</v>
      </c>
      <c r="B1384" t="str">
        <f>"1551765497640162"</f>
        <v>1551765497640162</v>
      </c>
      <c r="C1384" t="s">
        <v>40</v>
      </c>
      <c r="D1384">
        <v>4.1692210000000003</v>
      </c>
      <c r="E1384">
        <v>0.5801191</v>
      </c>
      <c r="F1384" t="s">
        <v>42</v>
      </c>
      <c r="G1384">
        <v>-194.14580000000001</v>
      </c>
      <c r="H1384" s="1">
        <v>-3.7164399999999999E-6</v>
      </c>
      <c r="I1384">
        <v>315.12009999999998</v>
      </c>
      <c r="J1384">
        <v>-191.3271</v>
      </c>
      <c r="K1384">
        <v>1.1076710000000001</v>
      </c>
      <c r="L1384">
        <v>331.27339999999998</v>
      </c>
      <c r="M1384">
        <v>5.8721669999999997E-2</v>
      </c>
      <c r="N1384">
        <v>-2.2761560000000001E-3</v>
      </c>
      <c r="O1384">
        <v>-0.9982721</v>
      </c>
      <c r="P1384">
        <v>4.6736560000000003E-2</v>
      </c>
      <c r="Q1384">
        <v>3.3463590000000001E-3</v>
      </c>
      <c r="R1384">
        <v>-0.99890190000000001</v>
      </c>
      <c r="S1384">
        <v>-0.51525880000000002</v>
      </c>
      <c r="T1384">
        <v>-0.2037891</v>
      </c>
      <c r="U1384">
        <v>-3.0285639999999998</v>
      </c>
      <c r="V1384">
        <v>1.2010689999999999E-2</v>
      </c>
      <c r="W1384">
        <v>5.6026330000000001E-3</v>
      </c>
      <c r="X1384">
        <v>0.99991220000000003</v>
      </c>
      <c r="Y1384">
        <v>0.2249669</v>
      </c>
      <c r="Z1384">
        <v>6.3350480000000001E-2</v>
      </c>
      <c r="AA1384">
        <v>0.97230479999999997</v>
      </c>
      <c r="AB1384">
        <v>32</v>
      </c>
      <c r="AC1384">
        <v>-2.8187000000000002</v>
      </c>
      <c r="AD1384">
        <v>-1.10767471643999</v>
      </c>
      <c r="AE1384">
        <v>-16.153300000000002</v>
      </c>
      <c r="AF1384">
        <v>3.7452961682719699</v>
      </c>
      <c r="AG1384">
        <v>-1.10767471643999</v>
      </c>
      <c r="AH1384">
        <v>15.8874080834878</v>
      </c>
      <c r="AI1384">
        <v>93.882149972295295</v>
      </c>
      <c r="AJ1384">
        <v>76.735280323857594</v>
      </c>
      <c r="AK1384">
        <v>16.360437716540101</v>
      </c>
      <c r="AL1384">
        <v>89.678991104187702</v>
      </c>
      <c r="AM1384">
        <v>89.3118108245434</v>
      </c>
      <c r="AN1384">
        <v>1.0000000269398199</v>
      </c>
    </row>
    <row r="1385" spans="1:40" x14ac:dyDescent="0.25">
      <c r="A1385" t="str">
        <f>"20190305135817667"</f>
        <v>20190305135817667</v>
      </c>
      <c r="B1385" t="str">
        <f>"1551765497659683"</f>
        <v>1551765497659683</v>
      </c>
      <c r="C1385" t="s">
        <v>40</v>
      </c>
      <c r="D1385">
        <v>4.1666160000000003</v>
      </c>
      <c r="E1385">
        <v>0.58010509999999904</v>
      </c>
      <c r="F1385" t="s">
        <v>42</v>
      </c>
      <c r="G1385">
        <v>-194.09970000000001</v>
      </c>
      <c r="H1385" s="1">
        <v>-3.6607459999999999E-6</v>
      </c>
      <c r="I1385">
        <v>315.0283</v>
      </c>
      <c r="J1385">
        <v>-191.30789999999999</v>
      </c>
      <c r="K1385">
        <v>1.107524</v>
      </c>
      <c r="L1385">
        <v>330.92959999999999</v>
      </c>
      <c r="M1385">
        <v>5.7531739999999998E-2</v>
      </c>
      <c r="N1385">
        <v>-2.3111579999999998E-3</v>
      </c>
      <c r="O1385">
        <v>-0.99834120000000004</v>
      </c>
      <c r="P1385">
        <v>4.5698019999999999E-2</v>
      </c>
      <c r="Q1385">
        <v>3.7345619999999999E-3</v>
      </c>
      <c r="R1385">
        <v>-0.99894879999999997</v>
      </c>
      <c r="S1385">
        <v>-0.51683040000000002</v>
      </c>
      <c r="T1385">
        <v>-0.2064772</v>
      </c>
      <c r="U1385">
        <v>-3.0281980000000002</v>
      </c>
      <c r="V1385">
        <v>1.1861180000000001E-2</v>
      </c>
      <c r="W1385">
        <v>6.0217659999999996E-3</v>
      </c>
      <c r="X1385">
        <v>0.99991149999999995</v>
      </c>
      <c r="Y1385">
        <v>0.2243059</v>
      </c>
      <c r="Z1385">
        <v>6.4194699999999993E-2</v>
      </c>
      <c r="AA1385">
        <v>0.97240219999999999</v>
      </c>
      <c r="AB1385">
        <v>32</v>
      </c>
      <c r="AC1385">
        <v>-2.7918000000000198</v>
      </c>
      <c r="AD1385">
        <v>-1.1075276607459901</v>
      </c>
      <c r="AE1385">
        <v>-15.9012999999999</v>
      </c>
      <c r="AF1385">
        <v>3.6846672521785302</v>
      </c>
      <c r="AG1385">
        <v>-1.1075276607459901</v>
      </c>
      <c r="AH1385">
        <v>15.640738178543399</v>
      </c>
      <c r="AI1385">
        <v>93.9428008931297</v>
      </c>
      <c r="AJ1385">
        <v>76.743883611469698</v>
      </c>
      <c r="AK1385">
        <v>16.1070196202879</v>
      </c>
      <c r="AL1385">
        <v>89.6549761303704</v>
      </c>
      <c r="AM1385">
        <v>89.320376172417497</v>
      </c>
      <c r="AN1385">
        <v>0.99999997854449996</v>
      </c>
    </row>
    <row r="1386" spans="1:40" x14ac:dyDescent="0.25">
      <c r="A1386" t="str">
        <f>"20190305135817689"</f>
        <v>20190305135817689</v>
      </c>
      <c r="B1386" t="str">
        <f>"1551765497680179"</f>
        <v>1551765497680179</v>
      </c>
      <c r="C1386" t="s">
        <v>40</v>
      </c>
      <c r="D1386">
        <v>4.1828149999999997</v>
      </c>
      <c r="E1386">
        <v>0.57999480000000003</v>
      </c>
      <c r="F1386" t="s">
        <v>42</v>
      </c>
      <c r="G1386">
        <v>-194.08090000000001</v>
      </c>
      <c r="H1386" s="1">
        <v>-3.539439E-6</v>
      </c>
      <c r="I1386">
        <v>314.78219999999999</v>
      </c>
      <c r="J1386">
        <v>-191.2903</v>
      </c>
      <c r="K1386">
        <v>1.107399</v>
      </c>
      <c r="L1386">
        <v>330.60550000000001</v>
      </c>
      <c r="M1386">
        <v>5.6261480000000003E-2</v>
      </c>
      <c r="N1386">
        <v>-2.3508909999999999E-3</v>
      </c>
      <c r="O1386">
        <v>-0.99841340000000001</v>
      </c>
      <c r="P1386">
        <v>4.4374440000000001E-2</v>
      </c>
      <c r="Q1386">
        <v>3.4671939999999998E-3</v>
      </c>
      <c r="R1386">
        <v>-0.99900919999999904</v>
      </c>
      <c r="S1386">
        <v>-0.51994319999999905</v>
      </c>
      <c r="T1386">
        <v>-0.2076663</v>
      </c>
      <c r="U1386">
        <v>-3.0277099999999999</v>
      </c>
      <c r="V1386">
        <v>1.1915179999999999E-2</v>
      </c>
      <c r="W1386">
        <v>5.7900260000000002E-3</v>
      </c>
      <c r="X1386">
        <v>0.99991229999999998</v>
      </c>
      <c r="Y1386">
        <v>0.22405910000000001</v>
      </c>
      <c r="Z1386">
        <v>6.4550560000000007E-2</v>
      </c>
      <c r="AA1386">
        <v>0.97243550000000001</v>
      </c>
      <c r="AB1386">
        <v>33</v>
      </c>
      <c r="AC1386">
        <v>-2.7906000000000102</v>
      </c>
      <c r="AD1386">
        <v>-1.1074025394389999</v>
      </c>
      <c r="AE1386">
        <v>-15.8233</v>
      </c>
      <c r="AF1386">
        <v>3.6590431986254601</v>
      </c>
      <c r="AG1386">
        <v>-1.1074025394389999</v>
      </c>
      <c r="AH1386">
        <v>15.5672849117698</v>
      </c>
      <c r="AI1386">
        <v>93.961370081201295</v>
      </c>
      <c r="AJ1386">
        <v>76.772898323381</v>
      </c>
      <c r="AK1386">
        <v>16.0298252341683</v>
      </c>
      <c r="AL1386">
        <v>89.668254110500001</v>
      </c>
      <c r="AM1386">
        <v>89.317282909975901</v>
      </c>
      <c r="AN1386">
        <v>1.0000000518034</v>
      </c>
    </row>
    <row r="1387" spans="1:40" x14ac:dyDescent="0.25">
      <c r="A1387" t="str">
        <f>"20190305135817712"</f>
        <v>20190305135817712</v>
      </c>
      <c r="B1387" t="str">
        <f>"1551765497699699"</f>
        <v>1551765497699699</v>
      </c>
      <c r="C1387" t="s">
        <v>40</v>
      </c>
      <c r="D1387">
        <v>4.1500769999999996</v>
      </c>
      <c r="E1387">
        <v>0.58004929999999999</v>
      </c>
      <c r="F1387" t="s">
        <v>42</v>
      </c>
      <c r="G1387">
        <v>-194.03989999999999</v>
      </c>
      <c r="H1387" s="1">
        <v>-3.4889300000000002E-6</v>
      </c>
      <c r="I1387">
        <v>314.69839999999999</v>
      </c>
      <c r="J1387">
        <v>-191.2731</v>
      </c>
      <c r="K1387">
        <v>1.107275</v>
      </c>
      <c r="L1387">
        <v>330.27800000000002</v>
      </c>
      <c r="M1387">
        <v>5.4852020000000001E-2</v>
      </c>
      <c r="N1387">
        <v>-2.3953080000000001E-3</v>
      </c>
      <c r="O1387">
        <v>-0.99849149999999998</v>
      </c>
      <c r="P1387">
        <v>4.2994490000000003E-2</v>
      </c>
      <c r="Q1387">
        <v>3.6934630000000001E-3</v>
      </c>
      <c r="R1387">
        <v>-0.99906870000000003</v>
      </c>
      <c r="S1387">
        <v>-0.52322389999999996</v>
      </c>
      <c r="T1387">
        <v>-0.210726</v>
      </c>
      <c r="U1387">
        <v>-3.0269469999999998</v>
      </c>
      <c r="V1387">
        <v>1.1887200000000001E-2</v>
      </c>
      <c r="W1387">
        <v>6.0575269999999896E-3</v>
      </c>
      <c r="X1387">
        <v>0.99991099999999999</v>
      </c>
      <c r="Y1387">
        <v>0.22373670000000001</v>
      </c>
      <c r="Z1387">
        <v>6.5508849999999993E-2</v>
      </c>
      <c r="AA1387">
        <v>0.97244560000000002</v>
      </c>
      <c r="AB1387">
        <v>33</v>
      </c>
      <c r="AC1387">
        <v>-2.7667999999999799</v>
      </c>
      <c r="AD1387">
        <v>-1.10727848893</v>
      </c>
      <c r="AE1387">
        <v>-15.579599999999999</v>
      </c>
      <c r="AF1387">
        <v>3.5995830586900102</v>
      </c>
      <c r="AG1387">
        <v>-1.10727848893</v>
      </c>
      <c r="AH1387">
        <v>15.3293145164926</v>
      </c>
      <c r="AI1387">
        <v>94.022421723516402</v>
      </c>
      <c r="AJ1387">
        <v>76.785387686494204</v>
      </c>
      <c r="AK1387">
        <v>15.785149584150499</v>
      </c>
      <c r="AL1387">
        <v>89.652927147259007</v>
      </c>
      <c r="AM1387">
        <v>89.318885073957205</v>
      </c>
      <c r="AN1387">
        <v>1.0000000035390899</v>
      </c>
    </row>
    <row r="1388" spans="1:40" x14ac:dyDescent="0.25">
      <c r="A1388" t="str">
        <f>"20190305135817735"</f>
        <v>20190305135817735</v>
      </c>
      <c r="B1388" t="str">
        <f>"1551765497729955"</f>
        <v>1551765497729955</v>
      </c>
      <c r="C1388" t="s">
        <v>40</v>
      </c>
      <c r="D1388">
        <v>4.1472329999999999</v>
      </c>
      <c r="E1388">
        <v>0.58012140000000001</v>
      </c>
      <c r="F1388" t="s">
        <v>42</v>
      </c>
      <c r="G1388">
        <v>-194.03639999999999</v>
      </c>
      <c r="H1388" s="1">
        <v>-3.3621399999999998E-6</v>
      </c>
      <c r="I1388">
        <v>314.43220000000002</v>
      </c>
      <c r="J1388">
        <v>-191.25579999999999</v>
      </c>
      <c r="K1388">
        <v>1.1071599999999999</v>
      </c>
      <c r="L1388">
        <v>329.93849999999998</v>
      </c>
      <c r="M1388">
        <v>5.3292869999999999E-2</v>
      </c>
      <c r="N1388">
        <v>-2.4451970000000001E-3</v>
      </c>
      <c r="O1388">
        <v>-0.99857620000000002</v>
      </c>
      <c r="P1388">
        <v>4.0785269999999998E-2</v>
      </c>
      <c r="Q1388">
        <v>3.127861E-3</v>
      </c>
      <c r="R1388">
        <v>-0.99916340000000003</v>
      </c>
      <c r="S1388">
        <v>-0.52775569999999905</v>
      </c>
      <c r="T1388">
        <v>-0.21147079999999999</v>
      </c>
      <c r="U1388">
        <v>-3.0262760000000002</v>
      </c>
      <c r="V1388">
        <v>1.253713E-2</v>
      </c>
      <c r="W1388">
        <v>5.5368300000000004E-3</v>
      </c>
      <c r="X1388">
        <v>0.99990610000000002</v>
      </c>
      <c r="Y1388">
        <v>0.2236621</v>
      </c>
      <c r="Z1388">
        <v>6.5713569999999999E-2</v>
      </c>
      <c r="AA1388">
        <v>0.97244900000000001</v>
      </c>
      <c r="AB1388">
        <v>33</v>
      </c>
      <c r="AC1388">
        <v>-2.78059999999999</v>
      </c>
      <c r="AD1388">
        <v>-1.1071633621400001</v>
      </c>
      <c r="AE1388">
        <v>-15.5062999999999</v>
      </c>
      <c r="AF1388">
        <v>3.5853172089080099</v>
      </c>
      <c r="AG1388">
        <v>-1.1071633621400001</v>
      </c>
      <c r="AH1388">
        <v>15.2607011648058</v>
      </c>
      <c r="AI1388">
        <v>94.039919982792597</v>
      </c>
      <c r="AJ1388">
        <v>76.778820267748003</v>
      </c>
      <c r="AK1388">
        <v>15.7152572438526</v>
      </c>
      <c r="AL1388">
        <v>89.6827613953281</v>
      </c>
      <c r="AM1388">
        <v>89.281645549161993</v>
      </c>
      <c r="AN1388">
        <v>1.0000000224661401</v>
      </c>
    </row>
    <row r="1389" spans="1:40" x14ac:dyDescent="0.25">
      <c r="A1389" t="str">
        <f>"20190305135817759"</f>
        <v>20190305135817759</v>
      </c>
      <c r="B1389" t="str">
        <f>"1551765497750451"</f>
        <v>1551765497750451</v>
      </c>
      <c r="C1389" t="s">
        <v>40</v>
      </c>
      <c r="D1389">
        <v>4.1718599999999997</v>
      </c>
      <c r="E1389">
        <v>0.58015109999999903</v>
      </c>
      <c r="F1389" t="s">
        <v>42</v>
      </c>
      <c r="G1389">
        <v>-193.99459999999999</v>
      </c>
      <c r="H1389" s="1">
        <v>-3.360552E-6</v>
      </c>
      <c r="I1389">
        <v>314.45229999999998</v>
      </c>
      <c r="J1389">
        <v>-191.23830000000001</v>
      </c>
      <c r="K1389">
        <v>1.1070519999999999</v>
      </c>
      <c r="L1389">
        <v>329.58350000000002</v>
      </c>
      <c r="M1389">
        <v>5.1589740000000002E-2</v>
      </c>
      <c r="N1389">
        <v>-2.5009770000000001E-3</v>
      </c>
      <c r="O1389">
        <v>-0.99866520000000003</v>
      </c>
      <c r="P1389">
        <v>3.8068459999999998E-2</v>
      </c>
      <c r="Q1389">
        <v>1.830557E-3</v>
      </c>
      <c r="R1389">
        <v>-0.99927350000000004</v>
      </c>
      <c r="S1389">
        <v>-0.53500369999999997</v>
      </c>
      <c r="T1389">
        <v>-0.21626999999999999</v>
      </c>
      <c r="U1389">
        <v>-3.0250240000000002</v>
      </c>
      <c r="V1389">
        <v>1.3548060000000001E-2</v>
      </c>
      <c r="W1389">
        <v>4.2894389999999999E-3</v>
      </c>
      <c r="X1389">
        <v>0.99989899999999998</v>
      </c>
      <c r="Y1389">
        <v>0.2243098</v>
      </c>
      <c r="Z1389">
        <v>6.7215629999999998E-2</v>
      </c>
      <c r="AA1389">
        <v>0.97219710000000004</v>
      </c>
      <c r="AB1389">
        <v>33</v>
      </c>
      <c r="AC1389">
        <v>-2.75629999999998</v>
      </c>
      <c r="AD1389">
        <v>-1.1070553605519999</v>
      </c>
      <c r="AE1389">
        <v>-15.1312</v>
      </c>
      <c r="AF1389">
        <v>3.51503526832489</v>
      </c>
      <c r="AG1389">
        <v>-1.1070553605519999</v>
      </c>
      <c r="AH1389">
        <v>14.891699212146699</v>
      </c>
      <c r="AI1389">
        <v>94.138264982715796</v>
      </c>
      <c r="AJ1389">
        <v>76.718997949593103</v>
      </c>
      <c r="AK1389">
        <v>15.340917506262301</v>
      </c>
      <c r="AL1389">
        <v>89.754232490172498</v>
      </c>
      <c r="AM1389">
        <v>89.223722435078997</v>
      </c>
      <c r="AN1389">
        <v>0.99999997970884802</v>
      </c>
    </row>
    <row r="1390" spans="1:40" x14ac:dyDescent="0.25">
      <c r="A1390" t="str">
        <f>"20190305135817780"</f>
        <v>20190305135817780</v>
      </c>
      <c r="B1390" t="str">
        <f>"1551765497769971"</f>
        <v>1551765497769971</v>
      </c>
      <c r="C1390" t="s">
        <v>40</v>
      </c>
      <c r="D1390">
        <v>4.1638960000000003</v>
      </c>
      <c r="E1390">
        <v>0.58019160000000003</v>
      </c>
      <c r="F1390" t="s">
        <v>42</v>
      </c>
      <c r="G1390">
        <v>-193.9512</v>
      </c>
      <c r="H1390" s="1">
        <v>-3.362923E-6</v>
      </c>
      <c r="I1390">
        <v>314.48180000000002</v>
      </c>
      <c r="J1390">
        <v>-191.2226</v>
      </c>
      <c r="K1390">
        <v>1.1069659999999999</v>
      </c>
      <c r="L1390">
        <v>329.25229999999999</v>
      </c>
      <c r="M1390">
        <v>4.9955550000000001E-2</v>
      </c>
      <c r="N1390">
        <v>-2.5533040000000002E-3</v>
      </c>
      <c r="O1390">
        <v>-0.99874839999999998</v>
      </c>
      <c r="P1390">
        <v>3.5368940000000001E-2</v>
      </c>
      <c r="Q1390" s="1">
        <v>-3.3776160000000001E-5</v>
      </c>
      <c r="R1390">
        <v>-0.9993746</v>
      </c>
      <c r="S1390">
        <v>-0.54312130000000003</v>
      </c>
      <c r="T1390">
        <v>-0.22162589999999999</v>
      </c>
      <c r="U1390">
        <v>-3.023285</v>
      </c>
      <c r="V1390">
        <v>1.460786E-2</v>
      </c>
      <c r="W1390">
        <v>2.4712699999999998E-3</v>
      </c>
      <c r="X1390">
        <v>0.99989030000000001</v>
      </c>
      <c r="Y1390">
        <v>0.22531970000000001</v>
      </c>
      <c r="Z1390">
        <v>6.8905649999999999E-2</v>
      </c>
      <c r="AA1390">
        <v>0.97184510000000002</v>
      </c>
      <c r="AB1390">
        <v>33</v>
      </c>
      <c r="AC1390">
        <v>-2.7286000000000001</v>
      </c>
      <c r="AD1390">
        <v>-1.106969362923</v>
      </c>
      <c r="AE1390">
        <v>-14.770499999999901</v>
      </c>
      <c r="AF1390">
        <v>3.4443563767516601</v>
      </c>
      <c r="AG1390">
        <v>-1.106969362923</v>
      </c>
      <c r="AH1390">
        <v>14.536794619095</v>
      </c>
      <c r="AI1390">
        <v>94.237753735139506</v>
      </c>
      <c r="AJ1390">
        <v>76.670126993199602</v>
      </c>
      <c r="AK1390">
        <v>14.9802326356526</v>
      </c>
      <c r="AL1390">
        <v>89.858406522541202</v>
      </c>
      <c r="AM1390">
        <v>89.162998994177499</v>
      </c>
      <c r="AN1390">
        <v>1.0000000543916301</v>
      </c>
    </row>
    <row r="1391" spans="1:40" x14ac:dyDescent="0.25">
      <c r="A1391" t="str">
        <f>"20190305135817801"</f>
        <v>20190305135817801</v>
      </c>
      <c r="B1391" t="str">
        <f>"1551765497790467"</f>
        <v>1551765497790467</v>
      </c>
      <c r="C1391" t="s">
        <v>40</v>
      </c>
      <c r="D1391">
        <v>4.1732550000000002</v>
      </c>
      <c r="E1391">
        <v>0.5803739</v>
      </c>
      <c r="F1391" t="s">
        <v>42</v>
      </c>
      <c r="G1391">
        <v>-193.89500000000001</v>
      </c>
      <c r="H1391" s="1">
        <v>-3.4117910000000001E-6</v>
      </c>
      <c r="I1391">
        <v>314.61680000000001</v>
      </c>
      <c r="J1391">
        <v>-191.20820000000001</v>
      </c>
      <c r="K1391">
        <v>1.106903</v>
      </c>
      <c r="L1391">
        <v>328.93729999999999</v>
      </c>
      <c r="M1391">
        <v>4.8380230000000003E-2</v>
      </c>
      <c r="N1391">
        <v>-2.602315E-3</v>
      </c>
      <c r="O1391">
        <v>-0.99882539999999997</v>
      </c>
      <c r="P1391">
        <v>3.2851070000000003E-2</v>
      </c>
      <c r="Q1391">
        <v>-1.707601E-3</v>
      </c>
      <c r="R1391">
        <v>-0.99945890000000004</v>
      </c>
      <c r="S1391">
        <v>-0.55169679999999999</v>
      </c>
      <c r="T1391">
        <v>-0.22852239999999999</v>
      </c>
      <c r="U1391">
        <v>-3.0213619999999999</v>
      </c>
      <c r="V1391">
        <v>1.5544560000000001E-2</v>
      </c>
      <c r="W1391">
        <v>8.4144269999999999E-4</v>
      </c>
      <c r="X1391">
        <v>0.99987879999999996</v>
      </c>
      <c r="Y1391">
        <v>0.22653239999999999</v>
      </c>
      <c r="Z1391">
        <v>7.1094350000000001E-2</v>
      </c>
      <c r="AA1391">
        <v>0.97140550000000003</v>
      </c>
      <c r="AB1391">
        <v>34</v>
      </c>
      <c r="AC1391">
        <v>-2.6867999999999999</v>
      </c>
      <c r="AD1391">
        <v>-1.1069064117909999</v>
      </c>
      <c r="AE1391">
        <v>-14.3204999999999</v>
      </c>
      <c r="AF1391">
        <v>3.3571100717411801</v>
      </c>
      <c r="AG1391">
        <v>-1.1069064117909999</v>
      </c>
      <c r="AH1391">
        <v>14.092409120980401</v>
      </c>
      <c r="AI1391">
        <v>94.369374478220294</v>
      </c>
      <c r="AJ1391">
        <v>76.600674614692593</v>
      </c>
      <c r="AK1391">
        <v>14.5289856724874</v>
      </c>
      <c r="AL1391">
        <v>89.951788877839604</v>
      </c>
      <c r="AM1391">
        <v>89.109326110846098</v>
      </c>
      <c r="AN1391">
        <v>0.99999997803042495</v>
      </c>
    </row>
    <row r="1392" spans="1:40" x14ac:dyDescent="0.25">
      <c r="A1392" t="str">
        <f>"20190305135817822"</f>
        <v>20190305135817822</v>
      </c>
      <c r="B1392" t="str">
        <f>"1551765497819747"</f>
        <v>1551765497819747</v>
      </c>
      <c r="C1392" t="s">
        <v>40</v>
      </c>
      <c r="D1392">
        <v>4.1601610000000004</v>
      </c>
      <c r="E1392">
        <v>0.580275599999999</v>
      </c>
      <c r="F1392" t="s">
        <v>42</v>
      </c>
      <c r="G1392">
        <v>-193.8674</v>
      </c>
      <c r="H1392" s="1">
        <v>-3.404331E-6</v>
      </c>
      <c r="I1392">
        <v>314.61660000000001</v>
      </c>
      <c r="J1392">
        <v>-191.1942</v>
      </c>
      <c r="K1392">
        <v>1.1068579999999999</v>
      </c>
      <c r="L1392">
        <v>328.62029999999999</v>
      </c>
      <c r="M1392">
        <v>4.6786790000000002E-2</v>
      </c>
      <c r="N1392">
        <v>-2.6502399999999999E-3</v>
      </c>
      <c r="O1392">
        <v>-0.99890140000000005</v>
      </c>
      <c r="P1392">
        <v>2.9999519999999998E-2</v>
      </c>
      <c r="Q1392">
        <v>-2.3465600000000001E-3</v>
      </c>
      <c r="R1392">
        <v>-0.99954719999999997</v>
      </c>
      <c r="S1392">
        <v>-0.56071470000000001</v>
      </c>
      <c r="T1392">
        <v>-0.233403</v>
      </c>
      <c r="U1392">
        <v>-3.0196839999999998</v>
      </c>
      <c r="V1392">
        <v>1.680005E-2</v>
      </c>
      <c r="W1392">
        <v>2.4444259999999998E-4</v>
      </c>
      <c r="X1392">
        <v>0.99985889999999999</v>
      </c>
      <c r="Y1392">
        <v>0.22785849999999999</v>
      </c>
      <c r="Z1392">
        <v>7.2629540000000006E-2</v>
      </c>
      <c r="AA1392">
        <v>0.97098169999999995</v>
      </c>
      <c r="AB1392">
        <v>34</v>
      </c>
      <c r="AC1392">
        <v>-2.6732</v>
      </c>
      <c r="AD1392">
        <v>-1.1068614043310001</v>
      </c>
      <c r="AE1392">
        <v>-14.003699999999901</v>
      </c>
      <c r="AF1392">
        <v>3.3055379881838798</v>
      </c>
      <c r="AG1392">
        <v>-1.1068614043310001</v>
      </c>
      <c r="AH1392">
        <v>13.7802294649508</v>
      </c>
      <c r="AI1392">
        <v>94.466117540799701</v>
      </c>
      <c r="AJ1392">
        <v>76.511017413012397</v>
      </c>
      <c r="AK1392">
        <v>14.214304332834001</v>
      </c>
      <c r="AL1392">
        <v>89.985994471397007</v>
      </c>
      <c r="AM1392">
        <v>89.037382783631003</v>
      </c>
      <c r="AN1392">
        <v>1.00000006067069</v>
      </c>
    </row>
    <row r="1393" spans="1:40" x14ac:dyDescent="0.25">
      <c r="A1393" t="str">
        <f>"20190305135817846"</f>
        <v>20190305135817846</v>
      </c>
      <c r="B1393" t="str">
        <f>"1551765497840243"</f>
        <v>1551765497840243</v>
      </c>
      <c r="C1393" t="s">
        <v>40</v>
      </c>
      <c r="D1393">
        <v>4.1705750000000004</v>
      </c>
      <c r="E1393">
        <v>0.58023029999999998</v>
      </c>
      <c r="F1393" t="s">
        <v>42</v>
      </c>
      <c r="G1393">
        <v>-193.88220000000001</v>
      </c>
      <c r="H1393" s="1">
        <v>-3.2861089999999998E-6</v>
      </c>
      <c r="I1393">
        <v>314.35820000000001</v>
      </c>
      <c r="J1393">
        <v>-191.1788</v>
      </c>
      <c r="K1393">
        <v>1.106819</v>
      </c>
      <c r="L1393">
        <v>328.25540000000001</v>
      </c>
      <c r="M1393">
        <v>4.4961800000000003E-2</v>
      </c>
      <c r="N1393">
        <v>-2.7035710000000001E-3</v>
      </c>
      <c r="O1393">
        <v>-0.99898509999999996</v>
      </c>
      <c r="P1393">
        <v>2.6463859999999999E-2</v>
      </c>
      <c r="Q1393">
        <v>-3.354143E-3</v>
      </c>
      <c r="R1393">
        <v>-0.99964430000000004</v>
      </c>
      <c r="S1393">
        <v>-0.56877140000000004</v>
      </c>
      <c r="T1393">
        <v>-0.23421320000000001</v>
      </c>
      <c r="U1393">
        <v>-3.0178829999999999</v>
      </c>
      <c r="V1393">
        <v>1.8506419999999999E-2</v>
      </c>
      <c r="W1393">
        <v>-7.1702679999999903E-4</v>
      </c>
      <c r="X1393">
        <v>0.99982850000000001</v>
      </c>
      <c r="Y1393">
        <v>0.22868450000000001</v>
      </c>
      <c r="Z1393">
        <v>7.2864280000000003E-2</v>
      </c>
      <c r="AA1393">
        <v>0.97076989999999996</v>
      </c>
      <c r="AB1393">
        <v>34</v>
      </c>
      <c r="AC1393">
        <v>-2.70340000000001</v>
      </c>
      <c r="AD1393">
        <v>-1.106822286109</v>
      </c>
      <c r="AE1393">
        <v>-13.8971999999999</v>
      </c>
      <c r="AF1393">
        <v>3.3053099845769198</v>
      </c>
      <c r="AG1393">
        <v>-1.106822286109</v>
      </c>
      <c r="AH1393">
        <v>13.677998188486001</v>
      </c>
      <c r="AI1393">
        <v>94.4973922100545</v>
      </c>
      <c r="AJ1393">
        <v>76.414825059760304</v>
      </c>
      <c r="AK1393">
        <v>14.1151607894277</v>
      </c>
      <c r="AL1393">
        <v>90.041082612318803</v>
      </c>
      <c r="AM1393">
        <v>88.939599449120607</v>
      </c>
      <c r="AN1393">
        <v>1.00000001556044</v>
      </c>
    </row>
    <row r="1394" spans="1:40" x14ac:dyDescent="0.25">
      <c r="A1394" t="str">
        <f>"20190305135817879"</f>
        <v>20190305135817879</v>
      </c>
      <c r="B1394" t="str">
        <f>"1551765497870499"</f>
        <v>1551765497870499</v>
      </c>
      <c r="C1394" t="s">
        <v>40</v>
      </c>
      <c r="D1394">
        <v>4.1719819999999999</v>
      </c>
      <c r="E1394">
        <v>0.58014290000000002</v>
      </c>
      <c r="F1394" t="s">
        <v>42</v>
      </c>
      <c r="G1394">
        <v>-193.8922</v>
      </c>
      <c r="H1394" s="1">
        <v>-3.1788240000000002E-6</v>
      </c>
      <c r="I1394">
        <v>314.12549999999999</v>
      </c>
      <c r="J1394">
        <v>-191.1585</v>
      </c>
      <c r="K1394">
        <v>1.1067899999999999</v>
      </c>
      <c r="L1394">
        <v>327.75389999999999</v>
      </c>
      <c r="M1394">
        <v>4.24905E-2</v>
      </c>
      <c r="N1394">
        <v>-2.772956E-3</v>
      </c>
      <c r="O1394">
        <v>-0.99909309999999996</v>
      </c>
      <c r="P1394">
        <v>2.2855799999999999E-2</v>
      </c>
      <c r="Q1394">
        <v>-3.5081600000000002E-3</v>
      </c>
      <c r="R1394">
        <v>-0.99973290000000004</v>
      </c>
      <c r="S1394">
        <v>-0.57908630000000005</v>
      </c>
      <c r="T1394">
        <v>-0.23621549999999999</v>
      </c>
      <c r="U1394">
        <v>-3.0155639999999999</v>
      </c>
      <c r="V1394">
        <v>1.9641349999999998E-2</v>
      </c>
      <c r="W1394">
        <v>-8.0689219999999999E-4</v>
      </c>
      <c r="X1394">
        <v>0.9998068</v>
      </c>
      <c r="Y1394">
        <v>0.2296077</v>
      </c>
      <c r="Z1394">
        <v>7.3474970000000001E-2</v>
      </c>
      <c r="AA1394">
        <v>0.97050590000000003</v>
      </c>
      <c r="AB1394">
        <v>34</v>
      </c>
      <c r="AC1394">
        <v>-2.73369999999999</v>
      </c>
      <c r="AD1394">
        <v>-1.106793178824</v>
      </c>
      <c r="AE1394">
        <v>-13.628399999999999</v>
      </c>
      <c r="AF1394">
        <v>3.2894546020582101</v>
      </c>
      <c r="AG1394">
        <v>-1.106793178824</v>
      </c>
      <c r="AH1394">
        <v>13.4148803007363</v>
      </c>
      <c r="AI1394">
        <v>94.581379509862302</v>
      </c>
      <c r="AJ1394">
        <v>76.222382104777296</v>
      </c>
      <c r="AK1394">
        <v>13.856569424023199</v>
      </c>
      <c r="AL1394">
        <v>90.046231520956795</v>
      </c>
      <c r="AM1394">
        <v>88.874560844246901</v>
      </c>
      <c r="AN1394">
        <v>1.0000000355155401</v>
      </c>
    </row>
    <row r="1395" spans="1:40" x14ac:dyDescent="0.25">
      <c r="A1395" t="str">
        <f>"20190305135817902"</f>
        <v>20190305135817902</v>
      </c>
      <c r="B1395" t="str">
        <f>"1551765497899780"</f>
        <v>1551765497899780</v>
      </c>
      <c r="C1395" t="s">
        <v>40</v>
      </c>
      <c r="D1395">
        <v>4.1602439999999996</v>
      </c>
      <c r="E1395">
        <v>0.58002290000000001</v>
      </c>
      <c r="F1395" t="s">
        <v>42</v>
      </c>
      <c r="G1395">
        <v>-193.93170000000001</v>
      </c>
      <c r="H1395" s="1">
        <v>-2.927941E-6</v>
      </c>
      <c r="I1395">
        <v>313.57260000000002</v>
      </c>
      <c r="J1395">
        <v>-191.1446</v>
      </c>
      <c r="K1395">
        <v>1.106789</v>
      </c>
      <c r="L1395">
        <v>327.39069999999998</v>
      </c>
      <c r="M1395">
        <v>4.0735790000000001E-2</v>
      </c>
      <c r="N1395">
        <v>-2.8206780000000001E-3</v>
      </c>
      <c r="O1395">
        <v>-0.99916609999999995</v>
      </c>
      <c r="P1395">
        <v>2.064092E-2</v>
      </c>
      <c r="Q1395">
        <v>-3.125914E-3</v>
      </c>
      <c r="R1395">
        <v>-0.99978210000000001</v>
      </c>
      <c r="S1395">
        <v>-0.5892944</v>
      </c>
      <c r="T1395">
        <v>-0.23518439999999999</v>
      </c>
      <c r="U1395">
        <v>-3.0134280000000002</v>
      </c>
      <c r="V1395">
        <v>2.0102040000000002E-2</v>
      </c>
      <c r="W1395">
        <v>-3.7901610000000001E-4</v>
      </c>
      <c r="X1395">
        <v>0.99979790000000002</v>
      </c>
      <c r="Y1395">
        <v>0.23119880000000001</v>
      </c>
      <c r="Z1395">
        <v>7.3118929999999999E-2</v>
      </c>
      <c r="AA1395">
        <v>0.97015499999999999</v>
      </c>
      <c r="AB1395">
        <v>34</v>
      </c>
      <c r="AC1395">
        <v>-2.7871000000000001</v>
      </c>
      <c r="AD1395">
        <v>-1.1067919279409999</v>
      </c>
      <c r="AE1395">
        <v>-13.8180999999999</v>
      </c>
      <c r="AF1395">
        <v>3.3271687091819002</v>
      </c>
      <c r="AG1395">
        <v>-1.1067919279409999</v>
      </c>
      <c r="AH1395">
        <v>13.609197484930601</v>
      </c>
      <c r="AI1395">
        <v>94.516990788778301</v>
      </c>
      <c r="AJ1395">
        <v>76.261840743103804</v>
      </c>
      <c r="AK1395">
        <v>14.0536577507408</v>
      </c>
      <c r="AL1395">
        <v>90.021716022586602</v>
      </c>
      <c r="AM1395">
        <v>88.848160325972799</v>
      </c>
      <c r="AN1395">
        <v>1.0000000382548799</v>
      </c>
    </row>
    <row r="1396" spans="1:40" x14ac:dyDescent="0.25">
      <c r="A1396" t="str">
        <f>"20190305135817924"</f>
        <v>20190305135817924</v>
      </c>
      <c r="B1396" t="str">
        <f>"1551765497920275"</f>
        <v>1551765497920275</v>
      </c>
      <c r="C1396" t="s">
        <v>40</v>
      </c>
      <c r="D1396">
        <v>4.1666379999999998</v>
      </c>
      <c r="E1396">
        <v>0.5800092</v>
      </c>
      <c r="F1396" t="s">
        <v>42</v>
      </c>
      <c r="G1396">
        <v>-193.9598</v>
      </c>
      <c r="H1396" s="1">
        <v>-2.7272980000000001E-6</v>
      </c>
      <c r="I1396">
        <v>313.13229999999999</v>
      </c>
      <c r="J1396">
        <v>-191.13239999999999</v>
      </c>
      <c r="K1396">
        <v>1.1067929999999999</v>
      </c>
      <c r="L1396">
        <v>327.06</v>
      </c>
      <c r="M1396">
        <v>3.9157089999999999E-2</v>
      </c>
      <c r="N1396">
        <v>-2.8625220000000002E-3</v>
      </c>
      <c r="O1396">
        <v>-0.99922909999999998</v>
      </c>
      <c r="P1396">
        <v>1.8936809999999998E-2</v>
      </c>
      <c r="Q1396">
        <v>-2.1581149999999999E-3</v>
      </c>
      <c r="R1396">
        <v>-0.9998184</v>
      </c>
      <c r="S1396">
        <v>-0.59474179999999999</v>
      </c>
      <c r="T1396">
        <v>-0.23381669999999999</v>
      </c>
      <c r="U1396">
        <v>-3.0121769999999999</v>
      </c>
      <c r="V1396">
        <v>2.0230290000000001E-2</v>
      </c>
      <c r="W1396">
        <v>6.2972699999999996E-4</v>
      </c>
      <c r="X1396">
        <v>0.99979510000000005</v>
      </c>
      <c r="Y1396">
        <v>0.23143330000000001</v>
      </c>
      <c r="Z1396">
        <v>7.2661009999999998E-2</v>
      </c>
      <c r="AA1396">
        <v>0.97013349999999998</v>
      </c>
      <c r="AB1396">
        <v>34</v>
      </c>
      <c r="AC1396">
        <v>-2.8274000000000101</v>
      </c>
      <c r="AD1396">
        <v>-1.106795727298</v>
      </c>
      <c r="AE1396">
        <v>-13.9277</v>
      </c>
      <c r="AF1396">
        <v>3.35028215606421</v>
      </c>
      <c r="AG1396">
        <v>-1.106795727298</v>
      </c>
      <c r="AH1396">
        <v>13.7230734246828</v>
      </c>
      <c r="AI1396">
        <v>94.480030997521695</v>
      </c>
      <c r="AJ1396">
        <v>76.280464544387002</v>
      </c>
      <c r="AK1396">
        <v>14.1694082983886</v>
      </c>
      <c r="AL1396">
        <v>89.963919296523102</v>
      </c>
      <c r="AM1396">
        <v>88.840810400304306</v>
      </c>
      <c r="AN1396">
        <v>0.999999951586793</v>
      </c>
    </row>
    <row r="1397" spans="1:40" x14ac:dyDescent="0.25">
      <c r="A1397" t="str">
        <f>"20190305135817949"</f>
        <v>20190305135817949</v>
      </c>
      <c r="B1397" t="str">
        <f>"1551765497940302"</f>
        <v>1551765497940302</v>
      </c>
      <c r="C1397" t="s">
        <v>40</v>
      </c>
      <c r="D1397">
        <v>4.1098569999999999</v>
      </c>
      <c r="E1397">
        <v>0.57998340000000004</v>
      </c>
      <c r="F1397" t="s">
        <v>42</v>
      </c>
      <c r="G1397">
        <v>-194.00030000000001</v>
      </c>
      <c r="H1397" s="1">
        <v>-2.5129199999999998E-6</v>
      </c>
      <c r="I1397">
        <v>312.65600000000001</v>
      </c>
      <c r="J1397">
        <v>-191.11879999999999</v>
      </c>
      <c r="K1397">
        <v>1.1067910000000001</v>
      </c>
      <c r="L1397">
        <v>326.67020000000002</v>
      </c>
      <c r="M1397">
        <v>3.7313760000000001E-2</v>
      </c>
      <c r="N1397">
        <v>-2.9101109999999999E-3</v>
      </c>
      <c r="O1397">
        <v>-0.99929950000000001</v>
      </c>
      <c r="P1397">
        <v>1.7092320000000001E-2</v>
      </c>
      <c r="Q1397">
        <v>-1.351091E-3</v>
      </c>
      <c r="R1397">
        <v>-0.99985299999999999</v>
      </c>
      <c r="S1397">
        <v>-0.59957890000000003</v>
      </c>
      <c r="T1397">
        <v>-0.2313945</v>
      </c>
      <c r="U1397">
        <v>-3.0114139999999998</v>
      </c>
      <c r="V1397">
        <v>2.0233609999999999E-2</v>
      </c>
      <c r="W1397">
        <v>1.4837419999999999E-3</v>
      </c>
      <c r="X1397">
        <v>0.99979419999999997</v>
      </c>
      <c r="Y1397">
        <v>0.2311964</v>
      </c>
      <c r="Z1397">
        <v>7.1852929999999995E-2</v>
      </c>
      <c r="AA1397">
        <v>0.97025019999999995</v>
      </c>
      <c r="AB1397">
        <v>35</v>
      </c>
      <c r="AC1397">
        <v>-2.8815000000000102</v>
      </c>
      <c r="AD1397">
        <v>-1.1067935129199999</v>
      </c>
      <c r="AE1397">
        <v>-14.014200000000001</v>
      </c>
      <c r="AF1397">
        <v>3.3821779641821701</v>
      </c>
      <c r="AG1397">
        <v>-1.1067935129199999</v>
      </c>
      <c r="AH1397">
        <v>13.814251711264999</v>
      </c>
      <c r="AI1397">
        <v>94.449858499982</v>
      </c>
      <c r="AJ1397">
        <v>76.242752553158596</v>
      </c>
      <c r="AK1397">
        <v>14.2652609511298</v>
      </c>
      <c r="AL1397">
        <v>89.914987816141405</v>
      </c>
      <c r="AM1397">
        <v>88.840619173839997</v>
      </c>
      <c r="AN1397">
        <v>1.0000000214087901</v>
      </c>
    </row>
    <row r="1398" spans="1:40" x14ac:dyDescent="0.25">
      <c r="A1398" t="str">
        <f>"20190305135817970"</f>
        <v>20190305135817970</v>
      </c>
      <c r="B1398" t="str">
        <f>"1551765497959822"</f>
        <v>1551765497959822</v>
      </c>
      <c r="C1398" t="s">
        <v>40</v>
      </c>
      <c r="D1398">
        <v>4.1152660000000001</v>
      </c>
      <c r="E1398">
        <v>0.57989840000000004</v>
      </c>
      <c r="F1398" t="s">
        <v>42</v>
      </c>
      <c r="G1398">
        <v>-194.03530000000001</v>
      </c>
      <c r="H1398" s="1">
        <v>-2.2826680000000001E-6</v>
      </c>
      <c r="I1398">
        <v>312.14920000000001</v>
      </c>
      <c r="J1398">
        <v>-191.10769999999999</v>
      </c>
      <c r="K1398">
        <v>1.1067830000000001</v>
      </c>
      <c r="L1398">
        <v>326.33659999999998</v>
      </c>
      <c r="M1398">
        <v>3.574724E-2</v>
      </c>
      <c r="N1398">
        <v>-2.9495879999999999E-3</v>
      </c>
      <c r="O1398">
        <v>-0.99935660000000004</v>
      </c>
      <c r="P1398">
        <v>1.5500730000000001E-2</v>
      </c>
      <c r="Q1398">
        <v>-2.0676780000000001E-4</v>
      </c>
      <c r="R1398">
        <v>-0.99988010000000005</v>
      </c>
      <c r="S1398">
        <v>-0.60464479999999998</v>
      </c>
      <c r="T1398">
        <v>-0.229459</v>
      </c>
      <c r="U1398">
        <v>-3.0104679999999999</v>
      </c>
      <c r="V1398">
        <v>2.0262289999999999E-2</v>
      </c>
      <c r="W1398">
        <v>2.667249E-3</v>
      </c>
      <c r="X1398">
        <v>0.99979110000000004</v>
      </c>
      <c r="Y1398">
        <v>0.23130880000000001</v>
      </c>
      <c r="Z1398">
        <v>7.1207969999999995E-2</v>
      </c>
      <c r="AA1398">
        <v>0.97027090000000005</v>
      </c>
      <c r="AB1398">
        <v>35</v>
      </c>
      <c r="AC1398">
        <v>-2.9276000000000102</v>
      </c>
      <c r="AD1398">
        <v>-1.106785282668</v>
      </c>
      <c r="AE1398">
        <v>-14.187399999999901</v>
      </c>
      <c r="AF1398">
        <v>3.4129689127905598</v>
      </c>
      <c r="AG1398">
        <v>-1.106785282668</v>
      </c>
      <c r="AH1398">
        <v>13.9920027953593</v>
      </c>
      <c r="AI1398">
        <v>94.3944369178963</v>
      </c>
      <c r="AJ1398">
        <v>76.291936307996593</v>
      </c>
      <c r="AK1398">
        <v>14.444703966746699</v>
      </c>
      <c r="AL1398">
        <v>89.847177701940794</v>
      </c>
      <c r="AM1398">
        <v>88.838972667530101</v>
      </c>
      <c r="AN1398">
        <v>0.99999995912623996</v>
      </c>
    </row>
    <row r="1399" spans="1:40" x14ac:dyDescent="0.25">
      <c r="A1399" t="str">
        <f>"20190305135817993"</f>
        <v>20190305135817993</v>
      </c>
      <c r="B1399" t="str">
        <f>"1551765497980318"</f>
        <v>1551765497980318</v>
      </c>
      <c r="C1399" t="s">
        <v>40</v>
      </c>
      <c r="D1399">
        <v>4.3596690000000002</v>
      </c>
      <c r="E1399">
        <v>0.56172869999999997</v>
      </c>
      <c r="F1399" t="s">
        <v>42</v>
      </c>
      <c r="G1399">
        <v>-194.08099999999999</v>
      </c>
      <c r="H1399" s="1">
        <v>-2.0512369999999999E-6</v>
      </c>
      <c r="I1399">
        <v>311.63389999999998</v>
      </c>
      <c r="J1399">
        <v>-191.0959</v>
      </c>
      <c r="K1399">
        <v>1.1067709999999999</v>
      </c>
      <c r="L1399">
        <v>325.96749999999997</v>
      </c>
      <c r="M1399">
        <v>3.4021660000000002E-2</v>
      </c>
      <c r="N1399">
        <v>-2.994006E-3</v>
      </c>
      <c r="O1399">
        <v>-0.99941659999999999</v>
      </c>
      <c r="P1399">
        <v>1.38177E-2</v>
      </c>
      <c r="Q1399">
        <v>1.5704179999999999E-4</v>
      </c>
      <c r="R1399">
        <v>-0.99990469999999998</v>
      </c>
      <c r="S1399">
        <v>-0.60865780000000003</v>
      </c>
      <c r="T1399">
        <v>-0.2265682</v>
      </c>
      <c r="U1399">
        <v>-3.0097659999999999</v>
      </c>
      <c r="V1399">
        <v>2.0220479999999999E-2</v>
      </c>
      <c r="W1399">
        <v>3.074944E-3</v>
      </c>
      <c r="X1399">
        <v>0.99979079999999998</v>
      </c>
      <c r="Y1399">
        <v>0.23092960000000001</v>
      </c>
      <c r="Z1399">
        <v>7.0251880000000003E-2</v>
      </c>
      <c r="AA1399">
        <v>0.97043089999999999</v>
      </c>
      <c r="AB1399">
        <v>35</v>
      </c>
      <c r="AC1399">
        <v>-2.9850999999999801</v>
      </c>
      <c r="AD1399">
        <v>-1.106773051237</v>
      </c>
      <c r="AE1399">
        <v>-14.333599999999899</v>
      </c>
      <c r="AF1399">
        <v>3.4513049594371399</v>
      </c>
      <c r="AG1399">
        <v>-1.106773051237</v>
      </c>
      <c r="AH1399">
        <v>14.1429258770579</v>
      </c>
      <c r="AI1399">
        <v>94.3475682142751</v>
      </c>
      <c r="AJ1399">
        <v>76.286115025938599</v>
      </c>
      <c r="AK1399">
        <v>14.599959070967801</v>
      </c>
      <c r="AL1399">
        <v>89.823818405999404</v>
      </c>
      <c r="AM1399">
        <v>88.841367375338706</v>
      </c>
      <c r="AN1399">
        <v>0.99999998342833596</v>
      </c>
    </row>
    <row r="1400" spans="1:40" x14ac:dyDescent="0.25">
      <c r="A1400" t="str">
        <f>"20190305135818015"</f>
        <v>20190305135818015</v>
      </c>
      <c r="B1400" t="str">
        <f>"1551765498009599"</f>
        <v>1551765498009599</v>
      </c>
      <c r="C1400" t="s">
        <v>40</v>
      </c>
      <c r="D1400">
        <v>4.1952889999999998</v>
      </c>
      <c r="E1400">
        <v>0.53990879999999997</v>
      </c>
      <c r="F1400" t="s">
        <v>42</v>
      </c>
      <c r="G1400">
        <v>-194.81209999999999</v>
      </c>
      <c r="H1400" s="1">
        <v>-2.2213760000000002E-6</v>
      </c>
      <c r="I1400">
        <v>301.7826</v>
      </c>
      <c r="J1400">
        <v>-191.08590000000001</v>
      </c>
      <c r="K1400">
        <v>1.1067549999999999</v>
      </c>
      <c r="L1400">
        <v>325.63529999999997</v>
      </c>
      <c r="M1400">
        <v>3.2473460000000003E-2</v>
      </c>
      <c r="N1400">
        <v>-3.0406040000000001E-3</v>
      </c>
      <c r="O1400">
        <v>-0.99946800000000002</v>
      </c>
      <c r="P1400">
        <v>1.1954879999999999E-2</v>
      </c>
      <c r="Q1400" s="1">
        <v>7.2768340000000002E-5</v>
      </c>
      <c r="R1400">
        <v>-0.9999285</v>
      </c>
      <c r="S1400">
        <v>-0.46200560000000002</v>
      </c>
      <c r="T1400">
        <v>-0.13759640000000001</v>
      </c>
      <c r="U1400">
        <v>-3.0067140000000001</v>
      </c>
      <c r="V1400">
        <v>2.0534279999999999E-2</v>
      </c>
      <c r="W1400">
        <v>3.0353659999999998E-3</v>
      </c>
      <c r="X1400">
        <v>0.99978449999999996</v>
      </c>
      <c r="Y1400">
        <v>0.18374460000000001</v>
      </c>
      <c r="Z1400">
        <v>4.1980910000000003E-2</v>
      </c>
      <c r="AA1400">
        <v>0.98207710000000004</v>
      </c>
      <c r="AB1400">
        <v>35</v>
      </c>
      <c r="AC1400">
        <v>-3.7261999999999702</v>
      </c>
      <c r="AD1400">
        <v>-1.106757221376</v>
      </c>
      <c r="AE1400">
        <v>-23.852699999999899</v>
      </c>
      <c r="AF1400">
        <v>4.4893829663806102</v>
      </c>
      <c r="AG1400">
        <v>-1.106757221376</v>
      </c>
      <c r="AH1400">
        <v>23.669372247785699</v>
      </c>
      <c r="AI1400">
        <v>92.630318814487694</v>
      </c>
      <c r="AJ1400">
        <v>79.260252155333504</v>
      </c>
      <c r="AK1400">
        <v>24.116771209474599</v>
      </c>
      <c r="AL1400">
        <v>89.826086064606699</v>
      </c>
      <c r="AM1400">
        <v>88.823384252963095</v>
      </c>
      <c r="AN1400">
        <v>0.99999995827106003</v>
      </c>
    </row>
    <row r="1401" spans="1:40" x14ac:dyDescent="0.25">
      <c r="A1401" t="str">
        <f>"20190305135818036"</f>
        <v>20190305135818036</v>
      </c>
      <c r="B1401" t="str">
        <f>"1551765498030096"</f>
        <v>1551765498030096</v>
      </c>
      <c r="C1401" t="s">
        <v>40</v>
      </c>
      <c r="D1401">
        <v>4.1453680000000004</v>
      </c>
      <c r="E1401">
        <v>0.53458570000000005</v>
      </c>
      <c r="F1401" t="s">
        <v>58</v>
      </c>
      <c r="G1401">
        <v>-194.7765</v>
      </c>
      <c r="H1401" s="1">
        <v>2.880071E-6</v>
      </c>
      <c r="I1401">
        <v>287.33030000000002</v>
      </c>
      <c r="J1401">
        <v>-191.07579999999999</v>
      </c>
      <c r="K1401">
        <v>1.1067359999999999</v>
      </c>
      <c r="L1401">
        <v>325.28210000000001</v>
      </c>
      <c r="M1401">
        <v>3.08312E-2</v>
      </c>
      <c r="N1401">
        <v>-3.1161769999999999E-3</v>
      </c>
      <c r="O1401">
        <v>-0.99952010000000002</v>
      </c>
      <c r="P1401">
        <v>1.0257489999999999E-2</v>
      </c>
      <c r="Q1401">
        <v>-7.6523770000000001E-4</v>
      </c>
      <c r="R1401">
        <v>-0.99994720000000004</v>
      </c>
      <c r="S1401">
        <v>-0.28939819999999999</v>
      </c>
      <c r="T1401">
        <v>-8.6786150000000006E-2</v>
      </c>
      <c r="U1401">
        <v>-3.0036930000000002</v>
      </c>
      <c r="V1401">
        <v>2.0585889999999999E-2</v>
      </c>
      <c r="W1401">
        <v>2.2724289999999999E-3</v>
      </c>
      <c r="X1401">
        <v>0.99978549999999999</v>
      </c>
      <c r="Y1401">
        <v>0.12650939999999999</v>
      </c>
      <c r="Z1401">
        <v>2.555849E-2</v>
      </c>
      <c r="AA1401">
        <v>0.99163610000000002</v>
      </c>
      <c r="AB1401">
        <v>35</v>
      </c>
      <c r="AC1401">
        <v>-3.7007000000000101</v>
      </c>
      <c r="AD1401">
        <v>-1.106733119929</v>
      </c>
      <c r="AE1401">
        <v>-37.951799999999899</v>
      </c>
      <c r="AF1401">
        <v>4.8649473338270601</v>
      </c>
      <c r="AG1401">
        <v>-1.106733119929</v>
      </c>
      <c r="AH1401">
        <v>37.787828287808203</v>
      </c>
      <c r="AI1401">
        <v>91.663879203961301</v>
      </c>
      <c r="AJ1401">
        <v>82.663879900128407</v>
      </c>
      <c r="AK1401">
        <v>38.115778064582898</v>
      </c>
      <c r="AL1401">
        <v>89.869799296270301</v>
      </c>
      <c r="AM1401">
        <v>88.820429010165597</v>
      </c>
      <c r="AN1401">
        <v>0.99999999440545095</v>
      </c>
    </row>
    <row r="1402" spans="1:40" x14ac:dyDescent="0.25">
      <c r="A1402" t="str">
        <f>"20190305135818060"</f>
        <v>20190305135818060</v>
      </c>
      <c r="B1402" t="str">
        <f>"1551765498049923"</f>
        <v>1551765498049923</v>
      </c>
      <c r="C1402" t="s">
        <v>40</v>
      </c>
      <c r="D1402">
        <v>4.1192830000000002</v>
      </c>
      <c r="E1402">
        <v>0.53198469999999998</v>
      </c>
      <c r="F1402" t="s">
        <v>58</v>
      </c>
      <c r="G1402">
        <v>-193.589</v>
      </c>
      <c r="H1402" s="1">
        <v>1.120126E-6</v>
      </c>
      <c r="I1402">
        <v>295.53660000000002</v>
      </c>
      <c r="J1402">
        <v>-191.066</v>
      </c>
      <c r="K1402">
        <v>1.1067400000000001</v>
      </c>
      <c r="L1402">
        <v>324.91640000000001</v>
      </c>
      <c r="M1402">
        <v>2.9135689999999999E-2</v>
      </c>
      <c r="N1402">
        <v>-3.270766E-3</v>
      </c>
      <c r="O1402">
        <v>-0.99957030000000002</v>
      </c>
      <c r="P1402">
        <v>8.5850300000000004E-3</v>
      </c>
      <c r="Q1402">
        <v>-1.973767E-3</v>
      </c>
      <c r="R1402">
        <v>-0.99996130000000005</v>
      </c>
      <c r="S1402">
        <v>-0.25369259999999999</v>
      </c>
      <c r="T1402">
        <v>-0.111719</v>
      </c>
      <c r="U1402">
        <v>-3.0026549999999999</v>
      </c>
      <c r="V1402">
        <v>2.0558139999999999E-2</v>
      </c>
      <c r="W1402">
        <v>1.217667E-3</v>
      </c>
      <c r="X1402">
        <v>0.99978789999999995</v>
      </c>
      <c r="Y1402">
        <v>0.1131308</v>
      </c>
      <c r="Z1402">
        <v>3.3699479999999997E-2</v>
      </c>
      <c r="AA1402">
        <v>0.99300840000000001</v>
      </c>
      <c r="AB1402">
        <v>35</v>
      </c>
      <c r="AC1402">
        <v>-2.5230000000000499</v>
      </c>
      <c r="AD1402">
        <v>-1.1067388798739899</v>
      </c>
      <c r="AE1402">
        <v>-29.3797999999999</v>
      </c>
      <c r="AF1402">
        <v>3.3731824359423999</v>
      </c>
      <c r="AG1402">
        <v>-1.1067388798739899</v>
      </c>
      <c r="AH1402">
        <v>29.2526108564516</v>
      </c>
      <c r="AI1402">
        <v>92.152436938725501</v>
      </c>
      <c r="AJ1402">
        <v>83.422150884112099</v>
      </c>
      <c r="AK1402">
        <v>29.467244062066001</v>
      </c>
      <c r="AL1402">
        <v>89.930232801579606</v>
      </c>
      <c r="AM1402">
        <v>88.822021463093606</v>
      </c>
      <c r="AN1402">
        <v>0.99999998240979604</v>
      </c>
    </row>
    <row r="1403" spans="1:40" x14ac:dyDescent="0.25">
      <c r="A1403" t="str">
        <f>"20190305135818081"</f>
        <v>20190305135818081</v>
      </c>
      <c r="B1403" t="str">
        <f>"1551765498070418"</f>
        <v>1551765498070418</v>
      </c>
      <c r="C1403" t="s">
        <v>40</v>
      </c>
      <c r="D1403">
        <v>4.4862609999999998</v>
      </c>
      <c r="E1403">
        <v>0.5305048</v>
      </c>
      <c r="F1403" t="s">
        <v>58</v>
      </c>
      <c r="G1403">
        <v>-193.1103</v>
      </c>
      <c r="H1403" s="1">
        <v>6.6087840000000005E-8</v>
      </c>
      <c r="I1403">
        <v>299.24110000000002</v>
      </c>
      <c r="J1403">
        <v>-191.0575</v>
      </c>
      <c r="K1403">
        <v>1.1067709999999999</v>
      </c>
      <c r="L1403">
        <v>324.57859999999999</v>
      </c>
      <c r="M1403">
        <v>2.757505E-2</v>
      </c>
      <c r="N1403">
        <v>-3.542871E-3</v>
      </c>
      <c r="O1403">
        <v>-0.99961359999999999</v>
      </c>
      <c r="P1403">
        <v>7.2384229999999999E-3</v>
      </c>
      <c r="Q1403">
        <v>-2.6076179999999999E-3</v>
      </c>
      <c r="R1403">
        <v>-0.9999709</v>
      </c>
      <c r="S1403">
        <v>-0.2390137</v>
      </c>
      <c r="T1403">
        <v>-0.12939690000000001</v>
      </c>
      <c r="U1403">
        <v>-3.0018919999999998</v>
      </c>
      <c r="V1403">
        <v>2.0342220000000001E-2</v>
      </c>
      <c r="W1403">
        <v>8.5527110000000004E-4</v>
      </c>
      <c r="X1403">
        <v>0.99979269999999998</v>
      </c>
      <c r="Y1403">
        <v>0.1067577</v>
      </c>
      <c r="Z1403">
        <v>3.930608E-2</v>
      </c>
      <c r="AA1403">
        <v>0.9935079</v>
      </c>
      <c r="AB1403">
        <v>36</v>
      </c>
      <c r="AC1403">
        <v>-2.05279999999998</v>
      </c>
      <c r="AD1403">
        <v>-1.1067709339121601</v>
      </c>
      <c r="AE1403">
        <v>-25.337499999999899</v>
      </c>
      <c r="AF1403">
        <v>2.7455021268628101</v>
      </c>
      <c r="AG1403">
        <v>-1.1067709339121601</v>
      </c>
      <c r="AH1403">
        <v>25.223444982679101</v>
      </c>
      <c r="AI1403">
        <v>92.497716637329603</v>
      </c>
      <c r="AJ1403">
        <v>83.787968857442493</v>
      </c>
      <c r="AK1403">
        <v>25.3965529279665</v>
      </c>
      <c r="AL1403">
        <v>89.950996569175402</v>
      </c>
      <c r="AM1403">
        <v>88.834395811881606</v>
      </c>
      <c r="AN1403">
        <v>0.99999999018823604</v>
      </c>
    </row>
    <row r="1404" spans="1:40" x14ac:dyDescent="0.25">
      <c r="A1404" t="str">
        <f>"20190305135818104"</f>
        <v>20190305135818104</v>
      </c>
      <c r="B1404" t="str">
        <f>"1551765498099699"</f>
        <v>1551765498099699</v>
      </c>
      <c r="C1404" t="s">
        <v>40</v>
      </c>
      <c r="D1404">
        <v>4.0898300000000001</v>
      </c>
      <c r="E1404">
        <v>0.52962640000000005</v>
      </c>
      <c r="F1404" t="s">
        <v>42</v>
      </c>
      <c r="G1404">
        <v>-192.90010000000001</v>
      </c>
      <c r="H1404" s="1">
        <v>-1.253242E-6</v>
      </c>
      <c r="I1404">
        <v>300.71170000000001</v>
      </c>
      <c r="J1404">
        <v>-191.0487</v>
      </c>
      <c r="K1404">
        <v>1.1068359999999999</v>
      </c>
      <c r="L1404">
        <v>324.20299999999997</v>
      </c>
      <c r="M1404">
        <v>2.5838070000000001E-2</v>
      </c>
      <c r="N1404">
        <v>-3.9696649999999998E-3</v>
      </c>
      <c r="O1404">
        <v>-0.99965850000000001</v>
      </c>
      <c r="P1404">
        <v>5.8973430000000002E-3</v>
      </c>
      <c r="Q1404">
        <v>-2.5089280000000001E-3</v>
      </c>
      <c r="R1404">
        <v>-0.99997970000000003</v>
      </c>
      <c r="S1404">
        <v>-0.23172000000000001</v>
      </c>
      <c r="T1404">
        <v>-0.1391821</v>
      </c>
      <c r="U1404">
        <v>-3.0013730000000001</v>
      </c>
      <c r="V1404">
        <v>1.9947969999999999E-2</v>
      </c>
      <c r="W1404">
        <v>1.3812220000000001E-3</v>
      </c>
      <c r="X1404">
        <v>0.99980009999999997</v>
      </c>
      <c r="Y1404">
        <v>0.1026328</v>
      </c>
      <c r="Z1404">
        <v>4.2139320000000001E-2</v>
      </c>
      <c r="AA1404">
        <v>0.99382630000000005</v>
      </c>
      <c r="AB1404">
        <v>36</v>
      </c>
      <c r="AC1404">
        <v>-1.8514000000000099</v>
      </c>
      <c r="AD1404">
        <v>-1.1068372532420001</v>
      </c>
      <c r="AE1404">
        <v>-23.491299999999899</v>
      </c>
      <c r="AF1404">
        <v>2.45234576880785</v>
      </c>
      <c r="AG1404">
        <v>-1.1068372532420001</v>
      </c>
      <c r="AH1404">
        <v>23.384027998079201</v>
      </c>
      <c r="AI1404">
        <v>92.695202321412197</v>
      </c>
      <c r="AJ1404">
        <v>84.013122293426093</v>
      </c>
      <c r="AK1404">
        <v>23.538306096444298</v>
      </c>
      <c r="AL1404">
        <v>89.920861786406206</v>
      </c>
      <c r="AM1404">
        <v>88.856988644995695</v>
      </c>
      <c r="AN1404">
        <v>1.0000000346206701</v>
      </c>
    </row>
    <row r="1405" spans="1:40" x14ac:dyDescent="0.25">
      <c r="A1405" t="str">
        <f>"20190305135818125"</f>
        <v>20190305135818125</v>
      </c>
      <c r="B1405" t="str">
        <f>"1551765498120194"</f>
        <v>1551765498120194</v>
      </c>
      <c r="C1405" t="s">
        <v>40</v>
      </c>
      <c r="D1405">
        <v>4.1005000000000003</v>
      </c>
      <c r="E1405">
        <v>0.52906629999999999</v>
      </c>
      <c r="F1405" t="s">
        <v>42</v>
      </c>
      <c r="G1405">
        <v>-192.8546</v>
      </c>
      <c r="H1405" s="1">
        <v>-1.1756269999999999E-6</v>
      </c>
      <c r="I1405">
        <v>300.5591</v>
      </c>
      <c r="J1405">
        <v>-191.04150000000001</v>
      </c>
      <c r="K1405">
        <v>1.1069150000000001</v>
      </c>
      <c r="L1405">
        <v>323.87369999999999</v>
      </c>
      <c r="M1405">
        <v>2.431556E-2</v>
      </c>
      <c r="N1405">
        <v>-4.4874449999999996E-3</v>
      </c>
      <c r="O1405">
        <v>-0.99969419999999998</v>
      </c>
      <c r="P1405">
        <v>5.2843969999999997E-3</v>
      </c>
      <c r="Q1405">
        <v>-2.5003859999999998E-3</v>
      </c>
      <c r="R1405">
        <v>-0.99998290000000001</v>
      </c>
      <c r="S1405">
        <v>-0.22921749999999999</v>
      </c>
      <c r="T1405">
        <v>-0.1404898</v>
      </c>
      <c r="U1405">
        <v>-3.001099</v>
      </c>
      <c r="V1405">
        <v>1.9040339999999999E-2</v>
      </c>
      <c r="W1405">
        <v>1.9100339999999999E-3</v>
      </c>
      <c r="X1405">
        <v>0.99981690000000001</v>
      </c>
      <c r="Y1405">
        <v>0.10029979999999999</v>
      </c>
      <c r="Z1405">
        <v>4.2068109999999999E-2</v>
      </c>
      <c r="AA1405">
        <v>0.99406749999999999</v>
      </c>
      <c r="AB1405">
        <v>36</v>
      </c>
      <c r="AC1405">
        <v>-1.8130999999999899</v>
      </c>
      <c r="AD1405">
        <v>-1.1069161756269901</v>
      </c>
      <c r="AE1405">
        <v>-23.314599999999899</v>
      </c>
      <c r="AF1405">
        <v>2.3741577901324198</v>
      </c>
      <c r="AG1405">
        <v>-1.1069161756269901</v>
      </c>
      <c r="AH1405">
        <v>23.211612696688999</v>
      </c>
      <c r="AI1405">
        <v>92.716105276194398</v>
      </c>
      <c r="AJ1405">
        <v>84.159914428109602</v>
      </c>
      <c r="AK1405">
        <v>23.358956582292102</v>
      </c>
      <c r="AL1405">
        <v>89.890563047423598</v>
      </c>
      <c r="AM1405">
        <v>88.909000968590604</v>
      </c>
      <c r="AN1405">
        <v>1.0000000081514</v>
      </c>
    </row>
    <row r="1406" spans="1:40" x14ac:dyDescent="0.25">
      <c r="A1406" t="str">
        <f>"20190305135818148"</f>
        <v>20190305135818148</v>
      </c>
      <c r="B1406" t="str">
        <f>"1551765498139714"</f>
        <v>1551765498139714</v>
      </c>
      <c r="C1406" t="s">
        <v>40</v>
      </c>
      <c r="D1406">
        <v>4.0930519999999904</v>
      </c>
      <c r="E1406">
        <v>0.52839599999999998</v>
      </c>
      <c r="F1406" t="s">
        <v>42</v>
      </c>
      <c r="G1406">
        <v>-192.81549999999999</v>
      </c>
      <c r="H1406" s="1">
        <v>-1.0971329999999999E-6</v>
      </c>
      <c r="I1406">
        <v>300.40030000000002</v>
      </c>
      <c r="J1406">
        <v>-191.0341</v>
      </c>
      <c r="K1406">
        <v>1.107054</v>
      </c>
      <c r="L1406">
        <v>323.50189999999998</v>
      </c>
      <c r="M1406">
        <v>2.2600289999999999E-2</v>
      </c>
      <c r="N1406">
        <v>-5.2683239999999996E-3</v>
      </c>
      <c r="O1406">
        <v>-0.99973089999999998</v>
      </c>
      <c r="P1406">
        <v>4.4443249999999998E-3</v>
      </c>
      <c r="Q1406">
        <v>-3.4096700000000001E-3</v>
      </c>
      <c r="R1406">
        <v>-0.99998469999999995</v>
      </c>
      <c r="S1406">
        <v>-0.2267914</v>
      </c>
      <c r="T1406">
        <v>-0.14150879999999999</v>
      </c>
      <c r="U1406">
        <v>-3.0008539999999999</v>
      </c>
      <c r="V1406">
        <v>1.8164409999999999E-2</v>
      </c>
      <c r="W1406">
        <v>1.7841489999999901E-3</v>
      </c>
      <c r="X1406">
        <v>0.99983339999999998</v>
      </c>
      <c r="Y1406">
        <v>9.7798889999999999E-2</v>
      </c>
      <c r="Z1406">
        <v>4.1638500000000002E-2</v>
      </c>
      <c r="AA1406">
        <v>0.99433479999999996</v>
      </c>
      <c r="AB1406">
        <v>36</v>
      </c>
      <c r="AC1406">
        <v>-1.7813999999999901</v>
      </c>
      <c r="AD1406">
        <v>-1.107055097133</v>
      </c>
      <c r="AE1406">
        <v>-23.101599999999902</v>
      </c>
      <c r="AF1406">
        <v>2.2978094032907102</v>
      </c>
      <c r="AG1406">
        <v>-1.107055097133</v>
      </c>
      <c r="AH1406">
        <v>23.0029260408722</v>
      </c>
      <c r="AI1406">
        <v>92.741707237405393</v>
      </c>
      <c r="AJ1406">
        <v>84.295530855063802</v>
      </c>
      <c r="AK1406">
        <v>23.143899962706701</v>
      </c>
      <c r="AL1406">
        <v>89.897775735832795</v>
      </c>
      <c r="AM1406">
        <v>88.959197050399496</v>
      </c>
      <c r="AN1406">
        <v>0.99999997836693</v>
      </c>
    </row>
    <row r="1407" spans="1:40" x14ac:dyDescent="0.25">
      <c r="A1407" t="str">
        <f>"20190305135818171"</f>
        <v>20190305135818171</v>
      </c>
      <c r="B1407" t="str">
        <f>"1551765498160210"</f>
        <v>1551765498160210</v>
      </c>
      <c r="C1407" t="s">
        <v>40</v>
      </c>
      <c r="D1407">
        <v>4.0859110000000003</v>
      </c>
      <c r="E1407">
        <v>0.52781319999999998</v>
      </c>
      <c r="F1407" t="s">
        <v>42</v>
      </c>
      <c r="G1407">
        <v>-192.7182</v>
      </c>
      <c r="H1407" s="1">
        <v>-1.3150769999999999E-6</v>
      </c>
      <c r="I1407">
        <v>300.96870000000001</v>
      </c>
      <c r="J1407">
        <v>-191.02719999999999</v>
      </c>
      <c r="K1407">
        <v>1.1072360000000001</v>
      </c>
      <c r="L1407">
        <v>323.12150000000003</v>
      </c>
      <c r="M1407">
        <v>2.0849099999999999E-2</v>
      </c>
      <c r="N1407">
        <v>-6.2168340000000001E-3</v>
      </c>
      <c r="O1407">
        <v>-0.99976339999999997</v>
      </c>
      <c r="P1407">
        <v>3.8105130000000002E-3</v>
      </c>
      <c r="Q1407">
        <v>-3.6978620000000001E-3</v>
      </c>
      <c r="R1407">
        <v>-0.99998620000000005</v>
      </c>
      <c r="S1407">
        <v>-0.2242584</v>
      </c>
      <c r="T1407">
        <v>-0.1474155</v>
      </c>
      <c r="U1407">
        <v>-3.0005190000000002</v>
      </c>
      <c r="V1407">
        <v>1.704961E-2</v>
      </c>
      <c r="W1407">
        <v>2.4488589999999998E-3</v>
      </c>
      <c r="X1407">
        <v>0.99985159999999995</v>
      </c>
      <c r="Y1407">
        <v>9.5223080000000002E-2</v>
      </c>
      <c r="Z1407">
        <v>4.2660190000000001E-2</v>
      </c>
      <c r="AA1407">
        <v>0.99454149999999997</v>
      </c>
      <c r="AB1407">
        <v>36</v>
      </c>
      <c r="AC1407">
        <v>-1.6910000000000001</v>
      </c>
      <c r="AD1407">
        <v>-1.1072373150770001</v>
      </c>
      <c r="AE1407">
        <v>-22.152799999999999</v>
      </c>
      <c r="AF1407">
        <v>2.14717428467412</v>
      </c>
      <c r="AG1407">
        <v>-1.1072373150770001</v>
      </c>
      <c r="AH1407">
        <v>22.0579424975856</v>
      </c>
      <c r="AI1407">
        <v>92.860154481488905</v>
      </c>
      <c r="AJ1407">
        <v>84.440204694933001</v>
      </c>
      <c r="AK1407">
        <v>22.1898436025912</v>
      </c>
      <c r="AL1407">
        <v>89.859690567995102</v>
      </c>
      <c r="AM1407">
        <v>89.023078996417397</v>
      </c>
      <c r="AN1407">
        <v>0.999999954067055</v>
      </c>
    </row>
    <row r="1408" spans="1:40" x14ac:dyDescent="0.25">
      <c r="A1408" t="str">
        <f>"20190305135818194"</f>
        <v>20190305135818194</v>
      </c>
      <c r="B1408" t="str">
        <f>"1551765498190466"</f>
        <v>1551765498190466</v>
      </c>
      <c r="C1408" t="s">
        <v>40</v>
      </c>
      <c r="D1408">
        <v>4.1570320000000001</v>
      </c>
      <c r="E1408">
        <v>0.52716030000000003</v>
      </c>
      <c r="F1408" t="s">
        <v>42</v>
      </c>
      <c r="G1408">
        <v>-192.6318</v>
      </c>
      <c r="H1408" s="1">
        <v>-1.4833080000000001E-6</v>
      </c>
      <c r="I1408">
        <v>301.41449999999998</v>
      </c>
      <c r="J1408">
        <v>-191.0213</v>
      </c>
      <c r="K1408">
        <v>1.1073959999999901</v>
      </c>
      <c r="L1408">
        <v>322.76490000000001</v>
      </c>
      <c r="M1408">
        <v>1.9201429999999998E-2</v>
      </c>
      <c r="N1408">
        <v>-7.1292040000000001E-3</v>
      </c>
      <c r="O1408">
        <v>-0.99979039999999997</v>
      </c>
      <c r="P1408">
        <v>2.9570410000000001E-3</v>
      </c>
      <c r="Q1408">
        <v>-3.403395E-3</v>
      </c>
      <c r="R1408">
        <v>-0.99999000000000005</v>
      </c>
      <c r="S1408">
        <v>-0.2217865</v>
      </c>
      <c r="T1408">
        <v>-0.1530436</v>
      </c>
      <c r="U1408">
        <v>-3.0003660000000001</v>
      </c>
      <c r="V1408">
        <v>1.6260199999999999E-2</v>
      </c>
      <c r="W1408">
        <v>3.659065E-3</v>
      </c>
      <c r="X1408">
        <v>0.99986109999999995</v>
      </c>
      <c r="Y1408">
        <v>9.2765349999999996E-2</v>
      </c>
      <c r="Z1408">
        <v>4.3622800000000003E-2</v>
      </c>
      <c r="AA1408">
        <v>0.99473199999999995</v>
      </c>
      <c r="AB1408">
        <v>36</v>
      </c>
      <c r="AC1408">
        <v>-1.6105</v>
      </c>
      <c r="AD1408">
        <v>-1.10739748330799</v>
      </c>
      <c r="AE1408">
        <v>-21.3504</v>
      </c>
      <c r="AF1408">
        <v>2.0147819906969899</v>
      </c>
      <c r="AG1408">
        <v>-1.10739748330799</v>
      </c>
      <c r="AH1408">
        <v>21.258670984716399</v>
      </c>
      <c r="AI1408">
        <v>92.968652903353998</v>
      </c>
      <c r="AJ1408">
        <v>84.585986860252902</v>
      </c>
      <c r="AK1408">
        <v>21.382627707849601</v>
      </c>
      <c r="AL1408">
        <v>89.790350550935699</v>
      </c>
      <c r="AM1408">
        <v>89.068311871045495</v>
      </c>
      <c r="AN1408">
        <v>1.0000000010769601</v>
      </c>
    </row>
    <row r="1409" spans="1:40" x14ac:dyDescent="0.25">
      <c r="A1409" t="str">
        <f>"20190305135818216"</f>
        <v>20190305135818216</v>
      </c>
      <c r="B1409" t="str">
        <f>"1551765498209986"</f>
        <v>1551765498209986</v>
      </c>
      <c r="C1409" t="s">
        <v>40</v>
      </c>
      <c r="D1409">
        <v>4.0810979999999999</v>
      </c>
      <c r="E1409">
        <v>0.5269606</v>
      </c>
      <c r="F1409" t="s">
        <v>42</v>
      </c>
      <c r="G1409">
        <v>-192.57169999999999</v>
      </c>
      <c r="H1409" s="1">
        <v>-1.5372699999999999E-6</v>
      </c>
      <c r="I1409">
        <v>301.57749999999999</v>
      </c>
      <c r="J1409">
        <v>-191.0162</v>
      </c>
      <c r="K1409">
        <v>1.1075269999999999</v>
      </c>
      <c r="L1409">
        <v>322.41669999999999</v>
      </c>
      <c r="M1409">
        <v>1.7603190000000001E-2</v>
      </c>
      <c r="N1409">
        <v>-7.9759710000000001E-3</v>
      </c>
      <c r="O1409">
        <v>-0.99981339999999996</v>
      </c>
      <c r="P1409">
        <v>2.3488900000000002E-3</v>
      </c>
      <c r="Q1409">
        <v>-2.9911740000000001E-3</v>
      </c>
      <c r="R1409">
        <v>-0.99999329999999997</v>
      </c>
      <c r="S1409">
        <v>-0.2195435</v>
      </c>
      <c r="T1409">
        <v>-0.15681120000000001</v>
      </c>
      <c r="U1409">
        <v>-3.0002140000000002</v>
      </c>
      <c r="V1409">
        <v>1.527506E-2</v>
      </c>
      <c r="W1409">
        <v>4.9226729999999998E-3</v>
      </c>
      <c r="X1409">
        <v>0.99987119999999996</v>
      </c>
      <c r="Y1409">
        <v>9.043379E-2</v>
      </c>
      <c r="Z1409">
        <v>4.403514E-2</v>
      </c>
      <c r="AA1409">
        <v>0.99492849999999999</v>
      </c>
      <c r="AB1409">
        <v>36</v>
      </c>
      <c r="AC1409">
        <v>-1.5554999999999899</v>
      </c>
      <c r="AD1409">
        <v>-1.1075285372699999</v>
      </c>
      <c r="AE1409">
        <v>-20.839200000000002</v>
      </c>
      <c r="AF1409">
        <v>1.9167231046361299</v>
      </c>
      <c r="AG1409">
        <v>-1.1075285372699999</v>
      </c>
      <c r="AH1409">
        <v>20.750302847209699</v>
      </c>
      <c r="AI1409">
        <v>93.0422841862068</v>
      </c>
      <c r="AJ1409">
        <v>84.722515986795898</v>
      </c>
      <c r="AK1409">
        <v>20.868050104684698</v>
      </c>
      <c r="AL1409">
        <v>89.717950470753905</v>
      </c>
      <c r="AM1409">
        <v>89.124758876261893</v>
      </c>
      <c r="AN1409">
        <v>0.99999998837845405</v>
      </c>
    </row>
    <row r="1410" spans="1:40" x14ac:dyDescent="0.25">
      <c r="A1410" t="str">
        <f>"20190305135818237"</f>
        <v>20190305135818237</v>
      </c>
      <c r="B1410" t="str">
        <f>"1551765498230482"</f>
        <v>1551765498230482</v>
      </c>
      <c r="C1410" t="s">
        <v>40</v>
      </c>
      <c r="D1410">
        <v>4.0836920000000001</v>
      </c>
      <c r="E1410">
        <v>0.52670439999999996</v>
      </c>
      <c r="F1410" t="s">
        <v>42</v>
      </c>
      <c r="G1410">
        <v>-192.5635</v>
      </c>
      <c r="H1410" s="1">
        <v>-1.415421E-6</v>
      </c>
      <c r="I1410">
        <v>301.29849999999999</v>
      </c>
      <c r="J1410">
        <v>-191.01169999999999</v>
      </c>
      <c r="K1410">
        <v>1.1076410000000001</v>
      </c>
      <c r="L1410">
        <v>322.077</v>
      </c>
      <c r="M1410">
        <v>1.6081850000000002E-2</v>
      </c>
      <c r="N1410">
        <v>-8.7399239999999996E-3</v>
      </c>
      <c r="O1410">
        <v>-0.99983250000000001</v>
      </c>
      <c r="P1410">
        <v>3.7481999999999999E-4</v>
      </c>
      <c r="Q1410">
        <v>-3.2558909999999999E-3</v>
      </c>
      <c r="R1410">
        <v>-0.99999459999999996</v>
      </c>
      <c r="S1410">
        <v>-0.21981809999999999</v>
      </c>
      <c r="T1410">
        <v>-0.1573379</v>
      </c>
      <c r="U1410">
        <v>-3.000092</v>
      </c>
      <c r="V1410">
        <v>1.5729320000000001E-2</v>
      </c>
      <c r="W1410">
        <v>5.4204839999999997E-3</v>
      </c>
      <c r="X1410">
        <v>0.99986160000000002</v>
      </c>
      <c r="Y1410">
        <v>8.901183E-2</v>
      </c>
      <c r="Z1410">
        <v>4.3453449999999998E-2</v>
      </c>
      <c r="AA1410">
        <v>0.99508229999999998</v>
      </c>
      <c r="AB1410">
        <v>36</v>
      </c>
      <c r="AC1410">
        <v>-1.5518000000000101</v>
      </c>
      <c r="AD1410">
        <v>-1.1076424154209901</v>
      </c>
      <c r="AE1410">
        <v>-20.778500000000001</v>
      </c>
      <c r="AF1410">
        <v>1.8804548227102</v>
      </c>
      <c r="AG1410">
        <v>-1.1076424154209901</v>
      </c>
      <c r="AH1410">
        <v>20.692381536926899</v>
      </c>
      <c r="AI1410">
        <v>93.051510528955305</v>
      </c>
      <c r="AJ1410">
        <v>84.807413193958297</v>
      </c>
      <c r="AK1410">
        <v>20.807153474957801</v>
      </c>
      <c r="AL1410">
        <v>89.689427624925898</v>
      </c>
      <c r="AM1410">
        <v>89.098725946967605</v>
      </c>
      <c r="AN1410">
        <v>1.0000000061545</v>
      </c>
    </row>
    <row r="1411" spans="1:40" x14ac:dyDescent="0.25">
      <c r="A1411" t="str">
        <f>"20190305135818260"</f>
        <v>20190305135818260</v>
      </c>
      <c r="B1411" t="str">
        <f>"1551765498250002"</f>
        <v>1551765498250002</v>
      </c>
      <c r="C1411" t="s">
        <v>40</v>
      </c>
      <c r="D1411">
        <v>4.0695399999999999</v>
      </c>
      <c r="E1411">
        <v>0.52654769999999995</v>
      </c>
      <c r="F1411" t="s">
        <v>42</v>
      </c>
      <c r="G1411">
        <v>-192.55439999999999</v>
      </c>
      <c r="H1411" s="1">
        <v>-1.447973E-6</v>
      </c>
      <c r="I1411">
        <v>301.38</v>
      </c>
      <c r="J1411">
        <v>-191.00749999999999</v>
      </c>
      <c r="K1411">
        <v>1.1077589999999999</v>
      </c>
      <c r="L1411">
        <v>321.71179999999998</v>
      </c>
      <c r="M1411">
        <v>1.4512570000000001E-2</v>
      </c>
      <c r="N1411">
        <v>-9.4876089999999993E-3</v>
      </c>
      <c r="O1411">
        <v>-0.99984969999999995</v>
      </c>
      <c r="P1411">
        <v>-1.1689529999999999E-3</v>
      </c>
      <c r="Q1411">
        <v>-4.096489E-3</v>
      </c>
      <c r="R1411">
        <v>-0.99999090000000002</v>
      </c>
      <c r="S1411">
        <v>-0.22358700000000001</v>
      </c>
      <c r="T1411">
        <v>-0.16053010000000001</v>
      </c>
      <c r="U1411">
        <v>-2.999603</v>
      </c>
      <c r="V1411">
        <v>1.5702689999999998E-2</v>
      </c>
      <c r="W1411">
        <v>5.3294099999999997E-3</v>
      </c>
      <c r="X1411">
        <v>0.99986249999999999</v>
      </c>
      <c r="Y1411">
        <v>8.8700189999999998E-2</v>
      </c>
      <c r="Z1411">
        <v>4.3771610000000002E-2</v>
      </c>
      <c r="AA1411">
        <v>0.99509610000000004</v>
      </c>
      <c r="AB1411">
        <v>36</v>
      </c>
      <c r="AC1411">
        <v>-1.5468999999999899</v>
      </c>
      <c r="AD1411">
        <v>-1.1077604479730001</v>
      </c>
      <c r="AE1411">
        <v>-20.331799999999902</v>
      </c>
      <c r="AF1411">
        <v>1.8363970129917899</v>
      </c>
      <c r="AG1411">
        <v>-1.1077604479730001</v>
      </c>
      <c r="AH1411">
        <v>20.247449055483301</v>
      </c>
      <c r="AI1411">
        <v>93.118817571386998</v>
      </c>
      <c r="AJ1411">
        <v>84.817583983360194</v>
      </c>
      <c r="AK1411">
        <v>20.3607141440032</v>
      </c>
      <c r="AL1411">
        <v>89.694645853605493</v>
      </c>
      <c r="AM1411">
        <v>89.100252377604093</v>
      </c>
      <c r="AN1411">
        <v>0.99999999799521699</v>
      </c>
    </row>
    <row r="1412" spans="1:40" x14ac:dyDescent="0.25">
      <c r="A1412" t="str">
        <f>"20190305135818283"</f>
        <v>20190305135818283</v>
      </c>
      <c r="B1412" t="str">
        <f>"1551765498280259"</f>
        <v>1551765498280259</v>
      </c>
      <c r="C1412" t="s">
        <v>40</v>
      </c>
      <c r="D1412">
        <v>4.05565</v>
      </c>
      <c r="E1412">
        <v>0.52645929999999996</v>
      </c>
      <c r="F1412" t="s">
        <v>41</v>
      </c>
      <c r="G1412">
        <v>-191.08510000000001</v>
      </c>
      <c r="H1412">
        <v>1.0514730000000001</v>
      </c>
      <c r="I1412">
        <v>320.68939999999998</v>
      </c>
      <c r="J1412">
        <v>-191.00389999999999</v>
      </c>
      <c r="K1412">
        <v>1.1078709999999901</v>
      </c>
      <c r="L1412">
        <v>321.35680000000002</v>
      </c>
      <c r="M1412">
        <v>1.3068649999999999E-2</v>
      </c>
      <c r="N1412">
        <v>-1.014162E-2</v>
      </c>
      <c r="O1412">
        <v>-0.9998631</v>
      </c>
      <c r="P1412">
        <v>-3.4186920000000001E-3</v>
      </c>
      <c r="Q1412">
        <v>-5.323248E-3</v>
      </c>
      <c r="R1412">
        <v>-0.99998010000000004</v>
      </c>
      <c r="S1412">
        <v>-0.2272797</v>
      </c>
      <c r="T1412">
        <v>-0.16516789999999901</v>
      </c>
      <c r="U1412">
        <v>-2.9990839999999999</v>
      </c>
      <c r="V1412">
        <v>1.6505249999999999E-2</v>
      </c>
      <c r="W1412">
        <v>4.7557809999999997E-3</v>
      </c>
      <c r="X1412">
        <v>0.99985250000000003</v>
      </c>
      <c r="Y1412">
        <v>8.8487239999999995E-2</v>
      </c>
      <c r="Z1412">
        <v>4.4662100000000003E-2</v>
      </c>
      <c r="AA1412">
        <v>0.9950755</v>
      </c>
      <c r="AB1412">
        <v>35</v>
      </c>
      <c r="AC1412">
        <v>-8.1200000000023906E-2</v>
      </c>
      <c r="AD1412">
        <v>-5.63979999999999E-2</v>
      </c>
      <c r="AE1412">
        <v>-0.66740000000004296</v>
      </c>
      <c r="AF1412">
        <v>8.9287237297949906E-2</v>
      </c>
      <c r="AG1412">
        <v>-5.63979999999999E-2</v>
      </c>
      <c r="AH1412">
        <v>0.66162605922756201</v>
      </c>
      <c r="AI1412">
        <v>94.8286394825504</v>
      </c>
      <c r="AJ1412">
        <v>82.314297670350797</v>
      </c>
      <c r="AK1412">
        <v>0.67000148313066699</v>
      </c>
      <c r="AL1412">
        <v>89.7275128017573</v>
      </c>
      <c r="AM1412">
        <v>89.054265225796598</v>
      </c>
      <c r="AN1412">
        <v>1.0000000312433599</v>
      </c>
    </row>
    <row r="1413" spans="1:40" x14ac:dyDescent="0.25">
      <c r="A1413" t="str">
        <f>"20190305135818305"</f>
        <v>20190305135818305</v>
      </c>
      <c r="B1413" t="str">
        <f>"1551765498299779"</f>
        <v>1551765498299779</v>
      </c>
      <c r="C1413" t="s">
        <v>40</v>
      </c>
      <c r="D1413">
        <v>4.0707199999999997</v>
      </c>
      <c r="E1413">
        <v>0.52640629999999999</v>
      </c>
      <c r="F1413" t="s">
        <v>41</v>
      </c>
      <c r="G1413">
        <v>-191.08070000000001</v>
      </c>
      <c r="H1413">
        <v>1.0519000000000001</v>
      </c>
      <c r="I1413">
        <v>320.37180000000001</v>
      </c>
      <c r="J1413">
        <v>-191.00069999999999</v>
      </c>
      <c r="K1413">
        <v>1.107972</v>
      </c>
      <c r="L1413">
        <v>321.00229999999999</v>
      </c>
      <c r="M1413">
        <v>1.1699869999999999E-2</v>
      </c>
      <c r="N1413">
        <v>-1.072585E-2</v>
      </c>
      <c r="O1413">
        <v>-0.99987409999999999</v>
      </c>
      <c r="P1413">
        <v>-6.0039919999999997E-3</v>
      </c>
      <c r="Q1413">
        <v>-6.6013410000000002E-3</v>
      </c>
      <c r="R1413">
        <v>-0.99996019999999997</v>
      </c>
      <c r="S1413">
        <v>-0.2331848</v>
      </c>
      <c r="T1413">
        <v>-0.1705335</v>
      </c>
      <c r="U1413">
        <v>-2.998383</v>
      </c>
      <c r="V1413">
        <v>1.7718089999999999E-2</v>
      </c>
      <c r="W1413">
        <v>4.0600829999999999E-3</v>
      </c>
      <c r="X1413">
        <v>0.99983480000000002</v>
      </c>
      <c r="Y1413">
        <v>8.908228E-2</v>
      </c>
      <c r="Z1413">
        <v>4.5862849999999997E-2</v>
      </c>
      <c r="AA1413">
        <v>0.99496779999999996</v>
      </c>
      <c r="AB1413">
        <v>35</v>
      </c>
      <c r="AC1413">
        <v>-8.0000000000012506E-2</v>
      </c>
      <c r="AD1413">
        <v>-5.60719999999999E-2</v>
      </c>
      <c r="AE1413">
        <v>-0.63049999999998296</v>
      </c>
      <c r="AF1413">
        <v>8.6696893531508307E-2</v>
      </c>
      <c r="AG1413">
        <v>-5.60719999999999E-2</v>
      </c>
      <c r="AH1413">
        <v>0.62465864525736803</v>
      </c>
      <c r="AI1413">
        <v>95.0809193792022</v>
      </c>
      <c r="AJ1413">
        <v>82.098349251317302</v>
      </c>
      <c r="AK1413">
        <v>0.63313414346944197</v>
      </c>
      <c r="AL1413">
        <v>89.767373745429197</v>
      </c>
      <c r="AM1413">
        <v>88.984766751723697</v>
      </c>
      <c r="AN1413">
        <v>1.00000002113912</v>
      </c>
    </row>
    <row r="1414" spans="1:40" x14ac:dyDescent="0.25">
      <c r="A1414" t="str">
        <f>"20190305135818326"</f>
        <v>20190305135818326</v>
      </c>
      <c r="B1414" t="str">
        <f>"1551765498320275"</f>
        <v>1551765498320275</v>
      </c>
      <c r="C1414" t="s">
        <v>40</v>
      </c>
      <c r="D1414">
        <v>4.0351699999999999</v>
      </c>
      <c r="E1414">
        <v>0.52631039999999996</v>
      </c>
      <c r="F1414" t="s">
        <v>41</v>
      </c>
      <c r="G1414">
        <v>-191.07679999999999</v>
      </c>
      <c r="H1414">
        <v>1.052557</v>
      </c>
      <c r="I1414">
        <v>320.05419999999998</v>
      </c>
      <c r="J1414">
        <v>-190.99809999999999</v>
      </c>
      <c r="K1414">
        <v>1.1080669999999999</v>
      </c>
      <c r="L1414">
        <v>320.66930000000002</v>
      </c>
      <c r="M1414">
        <v>1.0502940000000001E-2</v>
      </c>
      <c r="N1414">
        <v>-1.121467E-2</v>
      </c>
      <c r="O1414">
        <v>-0.99988200000000005</v>
      </c>
      <c r="P1414">
        <v>-8.3160319999999992E-3</v>
      </c>
      <c r="Q1414">
        <v>-7.4874429999999999E-3</v>
      </c>
      <c r="R1414">
        <v>-0.99993750000000003</v>
      </c>
      <c r="S1414">
        <v>-0.24041750000000001</v>
      </c>
      <c r="T1414">
        <v>-0.17526050000000001</v>
      </c>
      <c r="U1414">
        <v>-2.997528</v>
      </c>
      <c r="V1414">
        <v>1.8830779999999998E-2</v>
      </c>
      <c r="W1414">
        <v>3.6628799999999999E-3</v>
      </c>
      <c r="X1414">
        <v>0.99981600000000004</v>
      </c>
      <c r="Y1414">
        <v>9.029073E-2</v>
      </c>
      <c r="Z1414">
        <v>4.6947620000000002E-2</v>
      </c>
      <c r="AA1414">
        <v>0.99480829999999998</v>
      </c>
      <c r="AB1414">
        <v>35</v>
      </c>
      <c r="AC1414">
        <v>-7.8699999999997702E-2</v>
      </c>
      <c r="AD1414">
        <v>-5.55099999999999E-2</v>
      </c>
      <c r="AE1414">
        <v>-0.61510000000003995</v>
      </c>
      <c r="AF1414">
        <v>8.4479482822170798E-2</v>
      </c>
      <c r="AG1414">
        <v>-5.55099999999999E-2</v>
      </c>
      <c r="AH1414">
        <v>0.60935661701592103</v>
      </c>
      <c r="AI1414">
        <v>95.156010163099197</v>
      </c>
      <c r="AJ1414">
        <v>82.106986720754406</v>
      </c>
      <c r="AK1414">
        <v>0.61768408577442702</v>
      </c>
      <c r="AL1414">
        <v>89.790131970969298</v>
      </c>
      <c r="AM1414">
        <v>88.921004793962595</v>
      </c>
      <c r="AN1414">
        <v>1.0000000244106499</v>
      </c>
    </row>
    <row r="1415" spans="1:40" x14ac:dyDescent="0.25">
      <c r="A1415" t="str">
        <f>"20190305135818362"</f>
        <v>20190305135818362</v>
      </c>
      <c r="B1415" t="str">
        <f>"1551765498350531"</f>
        <v>1551765498350531</v>
      </c>
      <c r="C1415" t="s">
        <v>40</v>
      </c>
      <c r="D1415">
        <v>4.0113770000000004</v>
      </c>
      <c r="E1415">
        <v>0.52598610000000001</v>
      </c>
      <c r="F1415" t="s">
        <v>41</v>
      </c>
      <c r="G1415">
        <v>-191.07509999999999</v>
      </c>
      <c r="H1415">
        <v>1.0525679999999999</v>
      </c>
      <c r="I1415">
        <v>319.73759999999999</v>
      </c>
      <c r="J1415">
        <v>-190.99430000000001</v>
      </c>
      <c r="K1415">
        <v>1.1082620000000001</v>
      </c>
      <c r="L1415">
        <v>320.11380000000003</v>
      </c>
      <c r="M1415">
        <v>8.7617719999999993E-3</v>
      </c>
      <c r="N1415">
        <v>-1.1912219999999999E-2</v>
      </c>
      <c r="O1415">
        <v>-0.99989090000000003</v>
      </c>
      <c r="P1415">
        <v>-1.2195599999999999E-2</v>
      </c>
      <c r="Q1415">
        <v>-9.3290309999999998E-3</v>
      </c>
      <c r="R1415">
        <v>-0.99988220000000005</v>
      </c>
      <c r="S1415">
        <v>-0.2469025</v>
      </c>
      <c r="T1415">
        <v>-0.17884900000000001</v>
      </c>
      <c r="U1415">
        <v>-2.9967959999999998</v>
      </c>
      <c r="V1415">
        <v>2.0963860000000001E-2</v>
      </c>
      <c r="W1415">
        <v>2.5203840000000001E-3</v>
      </c>
      <c r="X1415">
        <v>0.99977709999999997</v>
      </c>
      <c r="Y1415">
        <v>9.0709219999999993E-2</v>
      </c>
      <c r="Z1415">
        <v>4.744806E-2</v>
      </c>
      <c r="AA1415">
        <v>0.99474640000000003</v>
      </c>
      <c r="AB1415">
        <v>35</v>
      </c>
      <c r="AC1415">
        <v>-8.0799999999982206E-2</v>
      </c>
      <c r="AD1415">
        <v>-5.5694000000000098E-2</v>
      </c>
      <c r="AE1415">
        <v>-0.376200000000039</v>
      </c>
      <c r="AF1415">
        <v>8.2367669427675594E-2</v>
      </c>
      <c r="AG1415">
        <v>-5.5694000000000098E-2</v>
      </c>
      <c r="AH1415">
        <v>0.36777255307538398</v>
      </c>
      <c r="AI1415">
        <v>98.406055899000407</v>
      </c>
      <c r="AJ1415">
        <v>77.376148395722097</v>
      </c>
      <c r="AK1415">
        <v>0.38097625306380101</v>
      </c>
      <c r="AL1415">
        <v>89.855592487329403</v>
      </c>
      <c r="AM1415">
        <v>88.798767537501206</v>
      </c>
      <c r="AN1415">
        <v>1.000000042723</v>
      </c>
    </row>
    <row r="1416" spans="1:40" x14ac:dyDescent="0.25">
      <c r="A1416" t="str">
        <f>"20190305135818384"</f>
        <v>20190305135818384</v>
      </c>
      <c r="B1416" t="str">
        <f>"1551765498379810"</f>
        <v>1551765498379810</v>
      </c>
      <c r="C1416" t="s">
        <v>40</v>
      </c>
      <c r="D1416">
        <v>3.9957799999999999</v>
      </c>
      <c r="E1416">
        <v>0.5256864</v>
      </c>
      <c r="F1416" t="s">
        <v>41</v>
      </c>
      <c r="G1416">
        <v>-191.08009999999999</v>
      </c>
      <c r="H1416">
        <v>1.045496</v>
      </c>
      <c r="I1416">
        <v>319.11160000000001</v>
      </c>
      <c r="J1416">
        <v>-190.99209999999999</v>
      </c>
      <c r="K1416">
        <v>1.1084020000000001</v>
      </c>
      <c r="L1416">
        <v>319.75130000000001</v>
      </c>
      <c r="M1416">
        <v>7.8373269999999998E-3</v>
      </c>
      <c r="N1416">
        <v>-1.2291649999999999E-2</v>
      </c>
      <c r="O1416">
        <v>-0.9998937</v>
      </c>
      <c r="P1416">
        <v>-1.469649E-2</v>
      </c>
      <c r="Q1416">
        <v>-1.1560010000000001E-2</v>
      </c>
      <c r="R1416">
        <v>-0.99982519999999997</v>
      </c>
      <c r="S1416">
        <v>-0.25596619999999998</v>
      </c>
      <c r="T1416">
        <v>-0.18773500000000001</v>
      </c>
      <c r="U1416">
        <v>-2.9954529999999999</v>
      </c>
      <c r="V1416">
        <v>2.253438E-2</v>
      </c>
      <c r="W1416">
        <v>6.7121170000000003E-4</v>
      </c>
      <c r="X1416">
        <v>0.99974580000000002</v>
      </c>
      <c r="Y1416">
        <v>9.2798930000000002E-2</v>
      </c>
      <c r="Z1416">
        <v>5.0023209999999999E-2</v>
      </c>
      <c r="AA1416">
        <v>0.99442750000000002</v>
      </c>
      <c r="AB1416">
        <v>35</v>
      </c>
      <c r="AC1416">
        <v>-8.7999999999993805E-2</v>
      </c>
      <c r="AD1416">
        <v>-6.2906000000000101E-2</v>
      </c>
      <c r="AE1416">
        <v>-0.63970000000000404</v>
      </c>
      <c r="AF1416">
        <v>9.2136788647903395E-2</v>
      </c>
      <c r="AG1416">
        <v>-6.2906000000000101E-2</v>
      </c>
      <c r="AH1416">
        <v>0.63298327790518505</v>
      </c>
      <c r="AI1416">
        <v>95.616625144915801</v>
      </c>
      <c r="AJ1416">
        <v>81.718213151171</v>
      </c>
      <c r="AK1416">
        <v>0.64273959172120498</v>
      </c>
      <c r="AL1416">
        <v>89.961542397877693</v>
      </c>
      <c r="AM1416">
        <v>88.708765488427105</v>
      </c>
      <c r="AN1416">
        <v>0.99999995671238395</v>
      </c>
    </row>
    <row r="1417" spans="1:40" x14ac:dyDescent="0.25">
      <c r="A1417" t="str">
        <f>"20190305135818405"</f>
        <v>20190305135818405</v>
      </c>
      <c r="B1417" t="str">
        <f>"1551765498400307"</f>
        <v>1551765498400307</v>
      </c>
      <c r="C1417" t="s">
        <v>40</v>
      </c>
      <c r="D1417">
        <v>4.0091929999999998</v>
      </c>
      <c r="E1417">
        <v>0.52545750000000002</v>
      </c>
      <c r="F1417" t="s">
        <v>41</v>
      </c>
      <c r="G1417">
        <v>-191.07560000000001</v>
      </c>
      <c r="H1417">
        <v>1.0455779999999999</v>
      </c>
      <c r="I1417">
        <v>318.79660000000001</v>
      </c>
      <c r="J1417">
        <v>-190.99029999999999</v>
      </c>
      <c r="K1417">
        <v>1.1085339999999999</v>
      </c>
      <c r="L1417">
        <v>319.4196</v>
      </c>
      <c r="M1417">
        <v>7.117043E-3</v>
      </c>
      <c r="N1417">
        <v>-1.2595790000000001E-2</v>
      </c>
      <c r="O1417">
        <v>-0.99989530000000004</v>
      </c>
      <c r="P1417">
        <v>-1.580544E-2</v>
      </c>
      <c r="Q1417">
        <v>-1.253722E-2</v>
      </c>
      <c r="R1417">
        <v>-0.99979629999999997</v>
      </c>
      <c r="S1417">
        <v>-0.26133729999999999</v>
      </c>
      <c r="T1417">
        <v>-0.19718859999999999</v>
      </c>
      <c r="U1417">
        <v>-2.9943849999999999</v>
      </c>
      <c r="V1417">
        <v>2.2921270000000001E-2</v>
      </c>
      <c r="W1417" s="1">
        <v>3.7444410000000002E-6</v>
      </c>
      <c r="X1417">
        <v>0.99973730000000005</v>
      </c>
      <c r="Y1417">
        <v>9.3865970000000007E-2</v>
      </c>
      <c r="Z1417">
        <v>5.2861329999999998E-2</v>
      </c>
      <c r="AA1417">
        <v>0.99418050000000002</v>
      </c>
      <c r="AB1417">
        <v>35</v>
      </c>
      <c r="AC1417">
        <v>-8.5300000000017903E-2</v>
      </c>
      <c r="AD1417">
        <v>-6.2955999999999707E-2</v>
      </c>
      <c r="AE1417">
        <v>-0.62299999999999001</v>
      </c>
      <c r="AF1417">
        <v>8.8841579636815105E-2</v>
      </c>
      <c r="AG1417">
        <v>-6.2955999999999707E-2</v>
      </c>
      <c r="AH1417">
        <v>0.61620042296502497</v>
      </c>
      <c r="AI1417">
        <v>95.774261189567895</v>
      </c>
      <c r="AJ1417">
        <v>81.795833346466097</v>
      </c>
      <c r="AK1417">
        <v>0.62574695002903502</v>
      </c>
      <c r="AL1417">
        <v>89.999785459339805</v>
      </c>
      <c r="AM1417">
        <v>88.686592978709697</v>
      </c>
      <c r="AN1417">
        <v>1.0000000268218601</v>
      </c>
    </row>
    <row r="1418" spans="1:40" x14ac:dyDescent="0.25">
      <c r="A1418" t="str">
        <f>"20190305135818427"</f>
        <v>20190305135818427</v>
      </c>
      <c r="B1418" t="str">
        <f>"1551765498419827"</f>
        <v>1551765498419827</v>
      </c>
      <c r="C1418" t="s">
        <v>40</v>
      </c>
      <c r="D1418">
        <v>4.0186019999999996</v>
      </c>
      <c r="E1418">
        <v>0.52535220000000005</v>
      </c>
      <c r="F1418" t="s">
        <v>41</v>
      </c>
      <c r="G1418">
        <v>-191.07300000000001</v>
      </c>
      <c r="H1418">
        <v>1.0454380000000001</v>
      </c>
      <c r="I1418">
        <v>318.4819</v>
      </c>
      <c r="J1418">
        <v>-190.98849999999999</v>
      </c>
      <c r="K1418">
        <v>1.1086849999999999</v>
      </c>
      <c r="L1418">
        <v>319.06869999999998</v>
      </c>
      <c r="M1418">
        <v>6.4980119999999897E-3</v>
      </c>
      <c r="N1418">
        <v>-1.287668E-2</v>
      </c>
      <c r="O1418">
        <v>-0.9998958</v>
      </c>
      <c r="P1418">
        <v>-1.6829589999999998E-2</v>
      </c>
      <c r="Q1418">
        <v>-1.346815E-2</v>
      </c>
      <c r="R1418">
        <v>-0.99976770000000004</v>
      </c>
      <c r="S1418">
        <v>-0.26318360000000002</v>
      </c>
      <c r="T1418">
        <v>-0.2016617</v>
      </c>
      <c r="U1418">
        <v>-2.9939580000000001</v>
      </c>
      <c r="V1418">
        <v>2.332509E-2</v>
      </c>
      <c r="W1418">
        <v>-6.399407E-4</v>
      </c>
      <c r="X1418">
        <v>0.9997277</v>
      </c>
      <c r="Y1418">
        <v>9.3862600000000004E-2</v>
      </c>
      <c r="Z1418">
        <v>5.4068159999999997E-2</v>
      </c>
      <c r="AA1418">
        <v>0.99411590000000005</v>
      </c>
      <c r="AB1418">
        <v>35</v>
      </c>
      <c r="AC1418">
        <v>-8.4499999999991304E-2</v>
      </c>
      <c r="AD1418">
        <v>-6.3247000000000206E-2</v>
      </c>
      <c r="AE1418">
        <v>-0.586799999999982</v>
      </c>
      <c r="AF1418">
        <v>8.7317789352359898E-2</v>
      </c>
      <c r="AG1418">
        <v>-6.3247000000000206E-2</v>
      </c>
      <c r="AH1418">
        <v>0.57964149624397099</v>
      </c>
      <c r="AI1418">
        <v>96.158197989804705</v>
      </c>
      <c r="AJ1418">
        <v>81.433317919587793</v>
      </c>
      <c r="AK1418">
        <v>0.58958361876355803</v>
      </c>
      <c r="AL1418">
        <v>90.0366659047871</v>
      </c>
      <c r="AM1418">
        <v>88.663449262159304</v>
      </c>
      <c r="AN1418">
        <v>0.99999997174744804</v>
      </c>
    </row>
    <row r="1419" spans="1:40" x14ac:dyDescent="0.25">
      <c r="A1419" t="str">
        <f>"20190305135818450"</f>
        <v>20190305135818450</v>
      </c>
      <c r="B1419" t="str">
        <f>"1551765498440323"</f>
        <v>1551765498440323</v>
      </c>
      <c r="C1419" t="s">
        <v>40</v>
      </c>
      <c r="D1419">
        <v>3.9654560000000001</v>
      </c>
      <c r="E1419">
        <v>0.52527429999999997</v>
      </c>
      <c r="F1419" t="s">
        <v>41</v>
      </c>
      <c r="G1419">
        <v>-191.0686</v>
      </c>
      <c r="H1419">
        <v>1.0469520000000001</v>
      </c>
      <c r="I1419">
        <v>318.16640000000001</v>
      </c>
      <c r="J1419">
        <v>-190.98679999999999</v>
      </c>
      <c r="K1419">
        <v>1.1088309999999999</v>
      </c>
      <c r="L1419">
        <v>318.71859999999998</v>
      </c>
      <c r="M1419">
        <v>6.0088009999999898E-3</v>
      </c>
      <c r="N1419">
        <v>-1.312026E-2</v>
      </c>
      <c r="O1419">
        <v>-0.99989600000000001</v>
      </c>
      <c r="P1419">
        <v>-1.7152150000000001E-2</v>
      </c>
      <c r="Q1419">
        <v>-1.2409420000000001E-2</v>
      </c>
      <c r="R1419">
        <v>-0.99977609999999995</v>
      </c>
      <c r="S1419">
        <v>-0.26553339999999998</v>
      </c>
      <c r="T1419">
        <v>-0.20487030000000001</v>
      </c>
      <c r="U1419">
        <v>-2.9934690000000002</v>
      </c>
      <c r="V1419">
        <v>2.316093E-2</v>
      </c>
      <c r="W1419">
        <v>6.6978139999999996E-4</v>
      </c>
      <c r="X1419">
        <v>0.9997315</v>
      </c>
      <c r="Y1419">
        <v>9.4158130000000007E-2</v>
      </c>
      <c r="Z1419">
        <v>5.4893919999999999E-2</v>
      </c>
      <c r="AA1419">
        <v>0.99404269999999995</v>
      </c>
      <c r="AB1419">
        <v>35</v>
      </c>
      <c r="AC1419">
        <v>-8.1800000000015402E-2</v>
      </c>
      <c r="AD1419">
        <v>-6.1878999999999802E-2</v>
      </c>
      <c r="AE1419">
        <v>-0.55219999999997005</v>
      </c>
      <c r="AF1419">
        <v>8.4083682301745205E-2</v>
      </c>
      <c r="AG1419">
        <v>-6.1878999999999802E-2</v>
      </c>
      <c r="AH1419">
        <v>0.54500170966637096</v>
      </c>
      <c r="AI1419">
        <v>96.402461525519499</v>
      </c>
      <c r="AJ1419">
        <v>81.229472458133102</v>
      </c>
      <c r="AK1419">
        <v>0.55491074940902696</v>
      </c>
      <c r="AL1419">
        <v>89.961624348743001</v>
      </c>
      <c r="AM1419">
        <v>88.672857459172803</v>
      </c>
      <c r="AN1419">
        <v>0.99999997468891899</v>
      </c>
    </row>
    <row r="1420" spans="1:40" x14ac:dyDescent="0.25">
      <c r="A1420" t="str">
        <f>"20190305135818472"</f>
        <v>20190305135818472</v>
      </c>
      <c r="B1420" t="str">
        <f>"1551765498459842"</f>
        <v>1551765498459842</v>
      </c>
      <c r="C1420" t="s">
        <v>40</v>
      </c>
      <c r="D1420">
        <v>3.955444</v>
      </c>
      <c r="E1420">
        <v>0.52518330000000002</v>
      </c>
      <c r="F1420" t="s">
        <v>41</v>
      </c>
      <c r="G1420">
        <v>-191.0643</v>
      </c>
      <c r="H1420">
        <v>1.0502370000000001</v>
      </c>
      <c r="I1420">
        <v>317.84969999999998</v>
      </c>
      <c r="J1420">
        <v>-190.98519999999999</v>
      </c>
      <c r="K1420">
        <v>1.1089610000000001</v>
      </c>
      <c r="L1420">
        <v>318.3639</v>
      </c>
      <c r="M1420">
        <v>5.61168E-3</v>
      </c>
      <c r="N1420">
        <v>-1.3333879999999999E-2</v>
      </c>
      <c r="O1420">
        <v>-0.9998956</v>
      </c>
      <c r="P1420">
        <v>-1.7419830000000001E-2</v>
      </c>
      <c r="Q1420">
        <v>-1.11082E-2</v>
      </c>
      <c r="R1420">
        <v>-0.99978670000000003</v>
      </c>
      <c r="S1420">
        <v>-0.26640320000000001</v>
      </c>
      <c r="T1420">
        <v>-0.2020035</v>
      </c>
      <c r="U1420">
        <v>-2.9935909999999999</v>
      </c>
      <c r="V1420">
        <v>2.3033560000000002E-2</v>
      </c>
      <c r="W1420">
        <v>2.19089E-3</v>
      </c>
      <c r="X1420">
        <v>0.99973230000000002</v>
      </c>
      <c r="Y1420">
        <v>9.4051060000000006E-2</v>
      </c>
      <c r="Z1420">
        <v>5.3729880000000001E-2</v>
      </c>
      <c r="AA1420">
        <v>0.99411640000000001</v>
      </c>
      <c r="AB1420">
        <v>35</v>
      </c>
      <c r="AC1420">
        <v>-7.9100000000010995E-2</v>
      </c>
      <c r="AD1420">
        <v>-5.8723999999999998E-2</v>
      </c>
      <c r="AE1420">
        <v>-0.51420000000001598</v>
      </c>
      <c r="AF1420">
        <v>8.0953097955110395E-2</v>
      </c>
      <c r="AG1420">
        <v>-5.8723999999999998E-2</v>
      </c>
      <c r="AH1420">
        <v>0.50728457458384602</v>
      </c>
      <c r="AI1420">
        <v>96.521459310076096</v>
      </c>
      <c r="AJ1420">
        <v>80.933119277567599</v>
      </c>
      <c r="AK1420">
        <v>0.51704888729717102</v>
      </c>
      <c r="AL1420">
        <v>89.874471150237994</v>
      </c>
      <c r="AM1420">
        <v>88.680154344071994</v>
      </c>
      <c r="AN1420">
        <v>1.0000000082742699</v>
      </c>
    </row>
    <row r="1421" spans="1:40" x14ac:dyDescent="0.25">
      <c r="A1421" t="str">
        <f>"20190305135818495"</f>
        <v>20190305135818495</v>
      </c>
      <c r="B1421" t="str">
        <f>"1551765498490098"</f>
        <v>1551765498490098</v>
      </c>
      <c r="C1421" t="s">
        <v>40</v>
      </c>
      <c r="D1421">
        <v>4.2857079999999996</v>
      </c>
      <c r="E1421">
        <v>0.52516969999999996</v>
      </c>
      <c r="F1421" t="s">
        <v>42</v>
      </c>
      <c r="G1421">
        <v>-192.47460000000001</v>
      </c>
      <c r="H1421" s="1">
        <v>-1.5363239999999901E-6</v>
      </c>
      <c r="I1421">
        <v>301.63549999999998</v>
      </c>
      <c r="J1421">
        <v>-190.98349999999999</v>
      </c>
      <c r="K1421">
        <v>1.1090770000000001</v>
      </c>
      <c r="L1421">
        <v>318.0009</v>
      </c>
      <c r="M1421">
        <v>5.2748700000000001E-3</v>
      </c>
      <c r="N1421">
        <v>-1.3522350000000001E-2</v>
      </c>
      <c r="O1421">
        <v>-0.99989490000000003</v>
      </c>
      <c r="P1421">
        <v>-1.7768349999999999E-2</v>
      </c>
      <c r="Q1421">
        <v>-8.6415050000000007E-3</v>
      </c>
      <c r="R1421">
        <v>-0.9998049</v>
      </c>
      <c r="S1421">
        <v>-0.26655580000000001</v>
      </c>
      <c r="T1421">
        <v>-0.1984689</v>
      </c>
      <c r="U1421">
        <v>-2.9938349999999998</v>
      </c>
      <c r="V1421">
        <v>2.3048119999999998E-2</v>
      </c>
      <c r="W1421">
        <v>4.850671E-3</v>
      </c>
      <c r="X1421">
        <v>0.99972260000000002</v>
      </c>
      <c r="Y1421">
        <v>9.3765329999999994E-2</v>
      </c>
      <c r="Z1421">
        <v>5.2368530000000003E-2</v>
      </c>
      <c r="AA1421">
        <v>0.99421610000000005</v>
      </c>
      <c r="AB1421">
        <v>35</v>
      </c>
      <c r="AC1421">
        <v>-1.4911000000000101</v>
      </c>
      <c r="AD1421">
        <v>-1.1090785363240001</v>
      </c>
      <c r="AE1421">
        <v>-16.365400000000001</v>
      </c>
      <c r="AF1421">
        <v>1.5702600700854801</v>
      </c>
      <c r="AG1421">
        <v>-1.1090785363240001</v>
      </c>
      <c r="AH1421">
        <v>16.283137787127799</v>
      </c>
      <c r="AI1421">
        <v>93.878579347936395</v>
      </c>
      <c r="AJ1421">
        <v>84.491729582987801</v>
      </c>
      <c r="AK1421">
        <v>16.396229691060899</v>
      </c>
      <c r="AL1421">
        <v>89.722075937035299</v>
      </c>
      <c r="AM1421">
        <v>88.679307527526106</v>
      </c>
      <c r="AN1421">
        <v>1.0000000108977201</v>
      </c>
    </row>
    <row r="1422" spans="1:40" x14ac:dyDescent="0.25">
      <c r="A1422" t="str">
        <f>"20190305135818516"</f>
        <v>20190305135818516</v>
      </c>
      <c r="B1422" t="str">
        <f>"1551765498509618"</f>
        <v>1551765498509618</v>
      </c>
      <c r="C1422" t="s">
        <v>40</v>
      </c>
      <c r="D1422">
        <v>4.7811440000000003</v>
      </c>
      <c r="E1422">
        <v>0.55479540000000005</v>
      </c>
      <c r="F1422" t="s">
        <v>42</v>
      </c>
      <c r="G1422">
        <v>-192.53540000000001</v>
      </c>
      <c r="H1422" s="1">
        <v>-1.1224170000000001E-6</v>
      </c>
      <c r="I1422">
        <v>300.63299999999998</v>
      </c>
      <c r="J1422">
        <v>-190.9821</v>
      </c>
      <c r="K1422">
        <v>1.109159</v>
      </c>
      <c r="L1422">
        <v>317.67500000000001</v>
      </c>
      <c r="M1422">
        <v>5.0053989999999998E-3</v>
      </c>
      <c r="N1422">
        <v>-1.3667830000000001E-2</v>
      </c>
      <c r="O1422">
        <v>-0.99989430000000001</v>
      </c>
      <c r="P1422">
        <v>-1.818931E-2</v>
      </c>
      <c r="Q1422">
        <v>-6.6132550000000002E-3</v>
      </c>
      <c r="R1422">
        <v>-0.99981299999999995</v>
      </c>
      <c r="S1422">
        <v>-0.2675323</v>
      </c>
      <c r="T1422">
        <v>-0.1912017</v>
      </c>
      <c r="U1422">
        <v>-2.9941710000000001</v>
      </c>
      <c r="V1422">
        <v>2.3201380000000001E-2</v>
      </c>
      <c r="W1422">
        <v>7.0269169999999997E-3</v>
      </c>
      <c r="X1422">
        <v>0.99970610000000004</v>
      </c>
      <c r="Y1422">
        <v>9.3821409999999994E-2</v>
      </c>
      <c r="Z1422">
        <v>4.9811429999999997E-2</v>
      </c>
      <c r="AA1422">
        <v>0.99434210000000001</v>
      </c>
      <c r="AB1422">
        <v>35</v>
      </c>
      <c r="AC1422">
        <v>-1.5532999999999999</v>
      </c>
      <c r="AD1422">
        <v>-1.109160122417</v>
      </c>
      <c r="AE1422">
        <v>-17.042000000000002</v>
      </c>
      <c r="AF1422">
        <v>1.6317355484198801</v>
      </c>
      <c r="AG1422">
        <v>-1.109160122417</v>
      </c>
      <c r="AH1422">
        <v>16.9627500709408</v>
      </c>
      <c r="AI1422">
        <v>93.723988425943006</v>
      </c>
      <c r="AJ1422">
        <v>84.505326375500005</v>
      </c>
      <c r="AK1422">
        <v>17.077110032038199</v>
      </c>
      <c r="AL1422">
        <v>89.597383993051494</v>
      </c>
      <c r="AM1422">
        <v>88.670506702109904</v>
      </c>
      <c r="AN1422">
        <v>0.999999983986819</v>
      </c>
    </row>
    <row r="1423" spans="1:40" x14ac:dyDescent="0.25">
      <c r="A1423" t="str">
        <f>"20190305135818539"</f>
        <v>20190305135818539</v>
      </c>
      <c r="B1423" t="str">
        <f>"1551765498530116"</f>
        <v>1551765498530116</v>
      </c>
      <c r="C1423" t="s">
        <v>40</v>
      </c>
      <c r="D1423">
        <v>3.9766979999999998</v>
      </c>
      <c r="E1423">
        <v>0.60644359999999997</v>
      </c>
      <c r="F1423" t="s">
        <v>42</v>
      </c>
      <c r="G1423">
        <v>-204.56790000000001</v>
      </c>
      <c r="H1423">
        <v>7.998653E-2</v>
      </c>
      <c r="I1423">
        <v>235.40860000000001</v>
      </c>
      <c r="J1423">
        <v>-190.98070000000001</v>
      </c>
      <c r="K1423">
        <v>1.109219</v>
      </c>
      <c r="L1423">
        <v>317.32010000000002</v>
      </c>
      <c r="M1423">
        <v>4.7066460000000001E-3</v>
      </c>
      <c r="N1423">
        <v>-1.380516E-2</v>
      </c>
      <c r="O1423">
        <v>-0.99989399999999995</v>
      </c>
      <c r="P1423">
        <v>-1.9629089999999998E-2</v>
      </c>
      <c r="Q1423">
        <v>-5.0528639999999998E-3</v>
      </c>
      <c r="R1423">
        <v>-0.99979499999999999</v>
      </c>
      <c r="S1423">
        <v>-0.49400329999999898</v>
      </c>
      <c r="T1423">
        <v>-3.7422660000000003E-2</v>
      </c>
      <c r="U1423">
        <v>-2.9913639999999999</v>
      </c>
      <c r="V1423">
        <v>2.434354E-2</v>
      </c>
      <c r="W1423">
        <v>8.7248829999999993E-3</v>
      </c>
      <c r="X1423">
        <v>0.99966560000000004</v>
      </c>
      <c r="Y1423">
        <v>0.16754849999999999</v>
      </c>
      <c r="Z1423">
        <v>-1.473507E-3</v>
      </c>
      <c r="AA1423">
        <v>0.98586269999999998</v>
      </c>
      <c r="AB1423">
        <v>35</v>
      </c>
      <c r="AC1423">
        <v>-13.5871999999999</v>
      </c>
      <c r="AD1423">
        <v>-1.02923247</v>
      </c>
      <c r="AE1423">
        <v>-81.911500000000004</v>
      </c>
      <c r="AF1423">
        <v>13.9704678642512</v>
      </c>
      <c r="AG1423">
        <v>-1.02923247</v>
      </c>
      <c r="AH1423">
        <v>81.834062058540795</v>
      </c>
      <c r="AI1423">
        <v>90.710299674232402</v>
      </c>
      <c r="AJ1423">
        <v>80.312030682218705</v>
      </c>
      <c r="AK1423">
        <v>83.024375967690801</v>
      </c>
      <c r="AL1423">
        <v>89.500094695621897</v>
      </c>
      <c r="AM1423">
        <v>88.605027026583997</v>
      </c>
      <c r="AN1423">
        <v>1.0000000216732201</v>
      </c>
    </row>
    <row r="1424" spans="1:40" x14ac:dyDescent="0.25">
      <c r="A1424" t="str">
        <f>"20190305135818561"</f>
        <v>20190305135818561</v>
      </c>
      <c r="B1424" t="str">
        <f>"1551765498549635"</f>
        <v>1551765498549635</v>
      </c>
      <c r="C1424" t="s">
        <v>40</v>
      </c>
      <c r="D1424">
        <v>4.2568630000000001</v>
      </c>
      <c r="E1424">
        <v>0.60711759999999904</v>
      </c>
      <c r="F1424" t="s">
        <v>42</v>
      </c>
      <c r="G1424">
        <v>-195.51689999999999</v>
      </c>
      <c r="H1424" s="1">
        <v>-2.8056310000000001E-6</v>
      </c>
      <c r="I1424">
        <v>302.70740000000001</v>
      </c>
      <c r="J1424">
        <v>-190.9795</v>
      </c>
      <c r="K1424">
        <v>1.109232</v>
      </c>
      <c r="L1424">
        <v>316.98349999999999</v>
      </c>
      <c r="M1424">
        <v>4.3843240000000002E-3</v>
      </c>
      <c r="N1424">
        <v>-1.3916619999999999E-2</v>
      </c>
      <c r="O1424">
        <v>-0.9998937</v>
      </c>
      <c r="P1424">
        <v>-2.1825830000000001E-2</v>
      </c>
      <c r="Q1424">
        <v>-4.4893889999999999E-3</v>
      </c>
      <c r="R1424">
        <v>-0.99975190000000003</v>
      </c>
      <c r="S1424">
        <v>-0.92547610000000002</v>
      </c>
      <c r="T1424">
        <v>-0.22630439999999999</v>
      </c>
      <c r="U1424">
        <v>-2.981293</v>
      </c>
      <c r="V1424">
        <v>2.6218479999999999E-2</v>
      </c>
      <c r="W1424">
        <v>9.3971939999999993E-3</v>
      </c>
      <c r="X1424">
        <v>0.9996121</v>
      </c>
      <c r="Y1424">
        <v>0.29997430000000003</v>
      </c>
      <c r="Z1424">
        <v>5.8361089999999997E-2</v>
      </c>
      <c r="AA1424">
        <v>0.95216040000000002</v>
      </c>
      <c r="AB1424">
        <v>35</v>
      </c>
      <c r="AC1424">
        <v>-4.5373999999999901</v>
      </c>
      <c r="AD1424">
        <v>-1.109234805631</v>
      </c>
      <c r="AE1424">
        <v>-14.2760999999999</v>
      </c>
      <c r="AF1424">
        <v>4.5748685824207103</v>
      </c>
      <c r="AG1424">
        <v>-1.109234805631</v>
      </c>
      <c r="AH1424">
        <v>14.178324878318101</v>
      </c>
      <c r="AI1424">
        <v>94.2580792430565</v>
      </c>
      <c r="AJ1424">
        <v>72.116854914455601</v>
      </c>
      <c r="AK1424">
        <v>14.939368151149401</v>
      </c>
      <c r="AL1424">
        <v>89.461572537707596</v>
      </c>
      <c r="AM1424">
        <v>88.497553287083804</v>
      </c>
      <c r="AN1424">
        <v>1.0000000332074901</v>
      </c>
    </row>
    <row r="1425" spans="1:40" x14ac:dyDescent="0.25">
      <c r="A1425" t="str">
        <f>"20190305135818585"</f>
        <v>20190305135818585</v>
      </c>
      <c r="B1425" t="str">
        <f>"1551765498579891"</f>
        <v>1551765498579891</v>
      </c>
      <c r="C1425" t="s">
        <v>40</v>
      </c>
      <c r="D1425">
        <v>3.956277</v>
      </c>
      <c r="E1425">
        <v>0.60801179999999999</v>
      </c>
      <c r="F1425" t="s">
        <v>42</v>
      </c>
      <c r="G1425">
        <v>-195.63339999999999</v>
      </c>
      <c r="H1425" s="1">
        <v>-2.6148989999999999E-6</v>
      </c>
      <c r="I1425">
        <v>302.19049999999999</v>
      </c>
      <c r="J1425">
        <v>-190.97829999999999</v>
      </c>
      <c r="K1425">
        <v>1.1092219999999999</v>
      </c>
      <c r="L1425">
        <v>316.59710000000001</v>
      </c>
      <c r="M1425">
        <v>3.9568930000000004E-3</v>
      </c>
      <c r="N1425">
        <v>-1.4025579999999999E-2</v>
      </c>
      <c r="O1425">
        <v>-0.9998937</v>
      </c>
      <c r="P1425">
        <v>-2.3998060000000002E-2</v>
      </c>
      <c r="Q1425">
        <v>-5.7444799999999997E-3</v>
      </c>
      <c r="R1425">
        <v>-0.99969540000000001</v>
      </c>
      <c r="S1425">
        <v>-0.93730159999999996</v>
      </c>
      <c r="T1425">
        <v>-0.2234005</v>
      </c>
      <c r="U1425">
        <v>-2.9793090000000002</v>
      </c>
      <c r="V1425">
        <v>2.7962420000000002E-2</v>
      </c>
      <c r="W1425">
        <v>8.247107E-3</v>
      </c>
      <c r="X1425">
        <v>0.99957499999999999</v>
      </c>
      <c r="Y1425">
        <v>0.30320419999999998</v>
      </c>
      <c r="Z1425">
        <v>5.7296920000000001E-2</v>
      </c>
      <c r="AA1425">
        <v>0.95120150000000003</v>
      </c>
      <c r="AB1425">
        <v>35</v>
      </c>
      <c r="AC1425">
        <v>-4.6551</v>
      </c>
      <c r="AD1425">
        <v>-1.1092246148989999</v>
      </c>
      <c r="AE1425">
        <v>-14.406599999999999</v>
      </c>
      <c r="AF1425">
        <v>4.6869166860336904</v>
      </c>
      <c r="AG1425">
        <v>-1.1092246148989999</v>
      </c>
      <c r="AH1425">
        <v>14.311247501035099</v>
      </c>
      <c r="AI1425">
        <v>94.212667138279002</v>
      </c>
      <c r="AJ1425">
        <v>71.866439568715293</v>
      </c>
      <c r="AK1425">
        <v>15.09997921535</v>
      </c>
      <c r="AL1425">
        <v>89.527470240918007</v>
      </c>
      <c r="AM1425">
        <v>88.397608057982595</v>
      </c>
      <c r="AN1425">
        <v>1.00000004616556</v>
      </c>
    </row>
    <row r="1426" spans="1:40" x14ac:dyDescent="0.25">
      <c r="A1426" t="str">
        <f>"20190305135818607"</f>
        <v>20190305135818607</v>
      </c>
      <c r="B1426" t="str">
        <f>"1551765498600387"</f>
        <v>1551765498600387</v>
      </c>
      <c r="C1426" t="s">
        <v>40</v>
      </c>
      <c r="D1426">
        <v>3.95709</v>
      </c>
      <c r="E1426">
        <v>0.60857759999999905</v>
      </c>
      <c r="F1426" t="s">
        <v>42</v>
      </c>
      <c r="G1426">
        <v>-195.34350000000001</v>
      </c>
      <c r="H1426" s="1">
        <v>-2.8628279999999999E-6</v>
      </c>
      <c r="I1426">
        <v>302.94830000000002</v>
      </c>
      <c r="J1426">
        <v>-190.97749999999999</v>
      </c>
      <c r="K1426">
        <v>1.109197</v>
      </c>
      <c r="L1426">
        <v>316.2704</v>
      </c>
      <c r="M1426">
        <v>3.5287199999999999E-3</v>
      </c>
      <c r="N1426">
        <v>-1.4105110000000001E-2</v>
      </c>
      <c r="O1426">
        <v>-0.99989459999999997</v>
      </c>
      <c r="P1426">
        <v>-2.626204E-2</v>
      </c>
      <c r="Q1426">
        <v>-7.3919429999999998E-3</v>
      </c>
      <c r="R1426">
        <v>-0.99962790000000001</v>
      </c>
      <c r="S1426">
        <v>-0.95198059999999995</v>
      </c>
      <c r="T1426">
        <v>-0.24190619999999999</v>
      </c>
      <c r="U1426">
        <v>-2.9766240000000002</v>
      </c>
      <c r="V1426">
        <v>2.9796989999999999E-2</v>
      </c>
      <c r="W1426">
        <v>6.6745420000000003E-3</v>
      </c>
      <c r="X1426">
        <v>0.99953369999999997</v>
      </c>
      <c r="Y1426">
        <v>0.30717870000000003</v>
      </c>
      <c r="Z1426">
        <v>6.3055050000000001E-2</v>
      </c>
      <c r="AA1426">
        <v>0.94956059999999998</v>
      </c>
      <c r="AB1426">
        <v>35</v>
      </c>
      <c r="AC1426">
        <v>-4.3660000000000103</v>
      </c>
      <c r="AD1426">
        <v>-1.109199862828</v>
      </c>
      <c r="AE1426">
        <v>-13.322099999999899</v>
      </c>
      <c r="AF1426">
        <v>4.3855343911017703</v>
      </c>
      <c r="AG1426">
        <v>-1.109199862828</v>
      </c>
      <c r="AH1426">
        <v>13.2238291597473</v>
      </c>
      <c r="AI1426">
        <v>94.5519943271768</v>
      </c>
      <c r="AJ1426">
        <v>71.652477928679204</v>
      </c>
      <c r="AK1426">
        <v>13.976154473867901</v>
      </c>
      <c r="AL1426">
        <v>89.617574078969795</v>
      </c>
      <c r="AM1426">
        <v>88.2924674746763</v>
      </c>
      <c r="AN1426">
        <v>1.0000000137798299</v>
      </c>
    </row>
    <row r="1427" spans="1:40" x14ac:dyDescent="0.25">
      <c r="A1427" t="str">
        <f>"20190305135818628"</f>
        <v>20190305135818628</v>
      </c>
      <c r="B1427" t="str">
        <f>"1551765498619907"</f>
        <v>1551765498619907</v>
      </c>
      <c r="C1427" t="s">
        <v>40</v>
      </c>
      <c r="D1427">
        <v>3.9487429999999999</v>
      </c>
      <c r="E1427">
        <v>0.60872320000000002</v>
      </c>
      <c r="F1427" t="s">
        <v>42</v>
      </c>
      <c r="G1427">
        <v>-195.17840000000001</v>
      </c>
      <c r="H1427" s="1">
        <v>-2.9741960000000001E-6</v>
      </c>
      <c r="I1427">
        <v>303.31020000000001</v>
      </c>
      <c r="J1427">
        <v>-190.9768</v>
      </c>
      <c r="K1427">
        <v>1.1091519999999999</v>
      </c>
      <c r="L1427">
        <v>315.93209999999999</v>
      </c>
      <c r="M1427">
        <v>2.9913420000000001E-3</v>
      </c>
      <c r="N1427">
        <v>-1.4176279999999999E-2</v>
      </c>
      <c r="O1427">
        <v>-0.99989519999999998</v>
      </c>
      <c r="P1427">
        <v>-2.8087290000000001E-2</v>
      </c>
      <c r="Q1427">
        <v>-8.941137E-3</v>
      </c>
      <c r="R1427">
        <v>-0.9995655</v>
      </c>
      <c r="S1427">
        <v>-0.96398930000000005</v>
      </c>
      <c r="T1427">
        <v>-0.2545289</v>
      </c>
      <c r="U1427">
        <v>-2.9739689999999999</v>
      </c>
      <c r="V1427">
        <v>3.1083889999999999E-2</v>
      </c>
      <c r="W1427">
        <v>5.1906519999999996E-3</v>
      </c>
      <c r="X1427">
        <v>0.99950329999999998</v>
      </c>
      <c r="Y1427">
        <v>0.31029499999999999</v>
      </c>
      <c r="Z1427">
        <v>6.6965090000000005E-2</v>
      </c>
      <c r="AA1427">
        <v>0.94827879999999998</v>
      </c>
      <c r="AB1427">
        <v>35</v>
      </c>
      <c r="AC1427">
        <v>-4.2016000000000098</v>
      </c>
      <c r="AD1427">
        <v>-1.1091549741959901</v>
      </c>
      <c r="AE1427">
        <v>-12.621899999999901</v>
      </c>
      <c r="AF1427">
        <v>4.2100739589943004</v>
      </c>
      <c r="AG1427">
        <v>-1.1091549741959901</v>
      </c>
      <c r="AH1427">
        <v>12.522222281016401</v>
      </c>
      <c r="AI1427">
        <v>94.799119324788805</v>
      </c>
      <c r="AJ1427">
        <v>71.416932699319503</v>
      </c>
      <c r="AK1427">
        <v>13.2574883877818</v>
      </c>
      <c r="AL1427">
        <v>89.702596211655802</v>
      </c>
      <c r="AM1427">
        <v>88.218713362142495</v>
      </c>
      <c r="AN1427">
        <v>0.99999999889830304</v>
      </c>
    </row>
    <row r="1428" spans="1:40" x14ac:dyDescent="0.25">
      <c r="A1428" t="str">
        <f>"20190305135818651"</f>
        <v>20190305135818651</v>
      </c>
      <c r="B1428" t="str">
        <f>"1551765498640403"</f>
        <v>1551765498640403</v>
      </c>
      <c r="C1428" t="s">
        <v>40</v>
      </c>
      <c r="D1428">
        <v>3.9568989999999999</v>
      </c>
      <c r="E1428">
        <v>0.60879399999999995</v>
      </c>
      <c r="F1428" t="s">
        <v>42</v>
      </c>
      <c r="G1428">
        <v>-195.101</v>
      </c>
      <c r="H1428" s="1">
        <v>-2.9541120000000001E-6</v>
      </c>
      <c r="I1428">
        <v>303.31150000000002</v>
      </c>
      <c r="J1428">
        <v>-190.97640000000001</v>
      </c>
      <c r="K1428">
        <v>1.109092</v>
      </c>
      <c r="L1428">
        <v>315.58460000000002</v>
      </c>
      <c r="M1428">
        <v>2.3121209999999999E-3</v>
      </c>
      <c r="N1428">
        <v>-1.423928E-2</v>
      </c>
      <c r="O1428">
        <v>-0.99989609999999995</v>
      </c>
      <c r="P1428">
        <v>-2.9567840000000001E-2</v>
      </c>
      <c r="Q1428">
        <v>-8.8198789999999992E-3</v>
      </c>
      <c r="R1428">
        <v>-0.99952410000000003</v>
      </c>
      <c r="S1428">
        <v>-0.97106930000000002</v>
      </c>
      <c r="T1428">
        <v>-0.26116050000000002</v>
      </c>
      <c r="U1428">
        <v>-2.9716490000000002</v>
      </c>
      <c r="V1428">
        <v>3.1886659999999997E-2</v>
      </c>
      <c r="W1428">
        <v>5.3675559999999999E-3</v>
      </c>
      <c r="X1428">
        <v>0.99947710000000001</v>
      </c>
      <c r="Y1428">
        <v>0.31185869999999999</v>
      </c>
      <c r="Z1428">
        <v>6.9014160000000005E-2</v>
      </c>
      <c r="AA1428">
        <v>0.94761870000000004</v>
      </c>
      <c r="AB1428">
        <v>35</v>
      </c>
      <c r="AC1428">
        <v>-4.1245999999999796</v>
      </c>
      <c r="AD1428">
        <v>-1.1090949541120001</v>
      </c>
      <c r="AE1428">
        <v>-12.273099999999999</v>
      </c>
      <c r="AF1428">
        <v>4.12271771840319</v>
      </c>
      <c r="AG1428">
        <v>-1.1090949541120001</v>
      </c>
      <c r="AH1428">
        <v>12.1741997499044</v>
      </c>
      <c r="AI1428">
        <v>94.931754921455706</v>
      </c>
      <c r="AJ1428">
        <v>71.291646316968894</v>
      </c>
      <c r="AK1428">
        <v>12.9010864873252</v>
      </c>
      <c r="AL1428">
        <v>89.692460224788505</v>
      </c>
      <c r="AM1428">
        <v>88.172692926634795</v>
      </c>
      <c r="AN1428">
        <v>1.00000002158388</v>
      </c>
    </row>
    <row r="1429" spans="1:40" x14ac:dyDescent="0.25">
      <c r="A1429" t="str">
        <f>"20190305135818673"</f>
        <v>20190305135818673</v>
      </c>
      <c r="B1429" t="str">
        <f>"1551765498669683"</f>
        <v>1551765498669683</v>
      </c>
      <c r="C1429" t="s">
        <v>40</v>
      </c>
      <c r="D1429">
        <v>3.949875</v>
      </c>
      <c r="E1429">
        <v>0.60922319999999996</v>
      </c>
      <c r="F1429" t="s">
        <v>42</v>
      </c>
      <c r="G1429">
        <v>-195.09280000000001</v>
      </c>
      <c r="H1429" s="1">
        <v>-2.844507E-6</v>
      </c>
      <c r="I1429">
        <v>303.06099999999998</v>
      </c>
      <c r="J1429">
        <v>-190.97649999999999</v>
      </c>
      <c r="K1429">
        <v>1.109011</v>
      </c>
      <c r="L1429">
        <v>315.24560000000002</v>
      </c>
      <c r="M1429">
        <v>1.504182E-3</v>
      </c>
      <c r="N1429">
        <v>-1.4292590000000001E-2</v>
      </c>
      <c r="O1429">
        <v>-0.99989680000000003</v>
      </c>
      <c r="P1429">
        <v>-3.1025110000000002E-2</v>
      </c>
      <c r="Q1429">
        <v>-7.2179990000000001E-3</v>
      </c>
      <c r="R1429">
        <v>-0.9994923</v>
      </c>
      <c r="S1429">
        <v>-0.97625729999999999</v>
      </c>
      <c r="T1429">
        <v>-0.2630382</v>
      </c>
      <c r="U1429">
        <v>-2.970154</v>
      </c>
      <c r="V1429">
        <v>3.2540409999999999E-2</v>
      </c>
      <c r="W1429">
        <v>7.0130890000000001E-3</v>
      </c>
      <c r="X1429">
        <v>0.99944580000000005</v>
      </c>
      <c r="Y1429">
        <v>0.31271189999999999</v>
      </c>
      <c r="Z1429">
        <v>6.9563280000000005E-2</v>
      </c>
      <c r="AA1429">
        <v>0.94729730000000001</v>
      </c>
      <c r="AB1429">
        <v>35</v>
      </c>
      <c r="AC1429">
        <v>-4.1163000000000203</v>
      </c>
      <c r="AD1429">
        <v>-1.1090138445069999</v>
      </c>
      <c r="AE1429">
        <v>-12.1846</v>
      </c>
      <c r="AF1429">
        <v>4.1041085353218296</v>
      </c>
      <c r="AG1429">
        <v>-1.1090138445069999</v>
      </c>
      <c r="AH1429">
        <v>12.088508530389801</v>
      </c>
      <c r="AI1429">
        <v>94.964884926125706</v>
      </c>
      <c r="AJ1429">
        <v>71.247395525730298</v>
      </c>
      <c r="AK1429">
        <v>12.8142755185893</v>
      </c>
      <c r="AL1429">
        <v>89.5981762987998</v>
      </c>
      <c r="AM1429">
        <v>88.135196748217297</v>
      </c>
      <c r="AN1429">
        <v>0.99999998441896498</v>
      </c>
    </row>
    <row r="1430" spans="1:40" x14ac:dyDescent="0.25">
      <c r="A1430" t="str">
        <f>"20190305135818696"</f>
        <v>20190305135818696</v>
      </c>
      <c r="B1430" t="str">
        <f>"1551765498690180"</f>
        <v>1551765498690180</v>
      </c>
      <c r="C1430" t="s">
        <v>40</v>
      </c>
      <c r="D1430">
        <v>3.9408300000000001</v>
      </c>
      <c r="E1430">
        <v>0.60939919999999903</v>
      </c>
      <c r="F1430" t="s">
        <v>42</v>
      </c>
      <c r="G1430">
        <v>-195.11070000000001</v>
      </c>
      <c r="H1430" s="1">
        <v>-2.7256479999999998E-6</v>
      </c>
      <c r="I1430">
        <v>302.77289999999999</v>
      </c>
      <c r="J1430">
        <v>-190.9769</v>
      </c>
      <c r="K1430">
        <v>1.108894</v>
      </c>
      <c r="L1430">
        <v>314.88420000000002</v>
      </c>
      <c r="M1430">
        <v>4.6770520000000002E-4</v>
      </c>
      <c r="N1430">
        <v>-1.434187E-2</v>
      </c>
      <c r="O1430">
        <v>-0.99989709999999998</v>
      </c>
      <c r="P1430">
        <v>-3.2693680000000003E-2</v>
      </c>
      <c r="Q1430">
        <v>-5.6725769999999998E-3</v>
      </c>
      <c r="R1430">
        <v>-0.99944929999999998</v>
      </c>
      <c r="S1430">
        <v>-0.98414610000000002</v>
      </c>
      <c r="T1430">
        <v>-0.26399699999999998</v>
      </c>
      <c r="U1430">
        <v>-2.9690859999999999</v>
      </c>
      <c r="V1430">
        <v>3.317846E-2</v>
      </c>
      <c r="W1430">
        <v>8.59566199999999E-3</v>
      </c>
      <c r="X1430">
        <v>0.99941250000000004</v>
      </c>
      <c r="Y1430">
        <v>0.31409049999999999</v>
      </c>
      <c r="Z1430">
        <v>6.9795280000000001E-2</v>
      </c>
      <c r="AA1430">
        <v>0.94682409999999995</v>
      </c>
      <c r="AB1430">
        <v>35</v>
      </c>
      <c r="AC1430">
        <v>-4.1337999999999999</v>
      </c>
      <c r="AD1430">
        <v>-1.108896725648</v>
      </c>
      <c r="AE1430">
        <v>-12.1113</v>
      </c>
      <c r="AF1430">
        <v>4.1086158408264497</v>
      </c>
      <c r="AG1430">
        <v>-1.108896725648</v>
      </c>
      <c r="AH1430">
        <v>12.0191216511303</v>
      </c>
      <c r="AI1430">
        <v>94.989338818449895</v>
      </c>
      <c r="AJ1430">
        <v>71.127522802416607</v>
      </c>
      <c r="AK1430">
        <v>12.750280833782201</v>
      </c>
      <c r="AL1430">
        <v>89.507498790416406</v>
      </c>
      <c r="AM1430">
        <v>88.098595096270401</v>
      </c>
      <c r="AN1430">
        <v>1.0000000203847199</v>
      </c>
    </row>
    <row r="1431" spans="1:40" x14ac:dyDescent="0.25">
      <c r="A1431" t="str">
        <f>"20190305135818718"</f>
        <v>20190305135818718</v>
      </c>
      <c r="B1431" t="str">
        <f>"1551765498709699"</f>
        <v>1551765498709699</v>
      </c>
      <c r="C1431" t="s">
        <v>40</v>
      </c>
      <c r="D1431">
        <v>3.9068990000000001</v>
      </c>
      <c r="E1431">
        <v>0.60972569999999904</v>
      </c>
      <c r="F1431" t="s">
        <v>42</v>
      </c>
      <c r="G1431">
        <v>-195.18129999999999</v>
      </c>
      <c r="H1431" s="1">
        <v>-2.5360919999999999E-6</v>
      </c>
      <c r="I1431">
        <v>302.28719999999998</v>
      </c>
      <c r="J1431">
        <v>-190.97790000000001</v>
      </c>
      <c r="K1431">
        <v>1.108778</v>
      </c>
      <c r="L1431">
        <v>314.54419999999999</v>
      </c>
      <c r="M1431">
        <v>-6.9677399999999896E-4</v>
      </c>
      <c r="N1431">
        <v>-1.438207E-2</v>
      </c>
      <c r="O1431">
        <v>-0.99989649999999997</v>
      </c>
      <c r="P1431">
        <v>-3.427964E-2</v>
      </c>
      <c r="Q1431">
        <v>-5.001747E-3</v>
      </c>
      <c r="R1431">
        <v>-0.99939979999999995</v>
      </c>
      <c r="S1431">
        <v>-0.99053959999999996</v>
      </c>
      <c r="T1431">
        <v>-0.26125159999999997</v>
      </c>
      <c r="U1431">
        <v>-2.9678040000000001</v>
      </c>
      <c r="V1431">
        <v>3.3605250000000003E-2</v>
      </c>
      <c r="W1431">
        <v>9.293249E-3</v>
      </c>
      <c r="X1431">
        <v>0.99939199999999995</v>
      </c>
      <c r="Y1431">
        <v>0.31496439999999998</v>
      </c>
      <c r="Z1431">
        <v>6.8882910000000006E-2</v>
      </c>
      <c r="AA1431">
        <v>0.94660060000000001</v>
      </c>
      <c r="AB1431">
        <v>35</v>
      </c>
      <c r="AC1431">
        <v>-4.2033999999999798</v>
      </c>
      <c r="AD1431">
        <v>-1.108780536092</v>
      </c>
      <c r="AE1431">
        <v>-12.257</v>
      </c>
      <c r="AF1431">
        <v>4.1643659709197998</v>
      </c>
      <c r="AG1431">
        <v>-1.108780536092</v>
      </c>
      <c r="AH1431">
        <v>12.1708106523791</v>
      </c>
      <c r="AI1431">
        <v>94.926468688221604</v>
      </c>
      <c r="AJ1431">
        <v>71.111099185633293</v>
      </c>
      <c r="AK1431">
        <v>12.911234261411099</v>
      </c>
      <c r="AL1431">
        <v>89.467528402214597</v>
      </c>
      <c r="AM1431">
        <v>88.074115265501902</v>
      </c>
      <c r="AN1431">
        <v>1.0000000234842601</v>
      </c>
    </row>
    <row r="1432" spans="1:40" x14ac:dyDescent="0.25">
      <c r="A1432" t="str">
        <f>"20190305135818740"</f>
        <v>20190305135818740</v>
      </c>
      <c r="B1432" t="str">
        <f>"1551765498730194"</f>
        <v>1551765498730194</v>
      </c>
      <c r="C1432" t="s">
        <v>40</v>
      </c>
      <c r="D1432">
        <v>3.9079079999999999</v>
      </c>
      <c r="E1432">
        <v>0.60999139999999996</v>
      </c>
      <c r="F1432" t="s">
        <v>42</v>
      </c>
      <c r="G1432">
        <v>-195.233</v>
      </c>
      <c r="H1432" s="1">
        <v>-2.3812939999999998E-6</v>
      </c>
      <c r="I1432">
        <v>301.89429999999999</v>
      </c>
      <c r="J1432">
        <v>-190.9796</v>
      </c>
      <c r="K1432">
        <v>1.1086370000000001</v>
      </c>
      <c r="L1432">
        <v>314.18900000000002</v>
      </c>
      <c r="M1432">
        <v>-2.1413930000000001E-3</v>
      </c>
      <c r="N1432">
        <v>-1.441839E-2</v>
      </c>
      <c r="O1432">
        <v>-0.99989410000000001</v>
      </c>
      <c r="P1432">
        <v>-3.6932119999999999E-2</v>
      </c>
      <c r="Q1432">
        <v>-3.251744E-3</v>
      </c>
      <c r="R1432">
        <v>-0.9993128</v>
      </c>
      <c r="S1432">
        <v>-0.9977722</v>
      </c>
      <c r="T1432">
        <v>-0.25999929999999999</v>
      </c>
      <c r="U1432">
        <v>-2.966278</v>
      </c>
      <c r="V1432">
        <v>3.4822680000000002E-2</v>
      </c>
      <c r="W1432">
        <v>1.106175E-2</v>
      </c>
      <c r="X1432">
        <v>0.99933229999999995</v>
      </c>
      <c r="Y1432">
        <v>0.31582399999999999</v>
      </c>
      <c r="Z1432">
        <v>6.8450369999999996E-2</v>
      </c>
      <c r="AA1432">
        <v>0.9463454</v>
      </c>
      <c r="AB1432">
        <v>35</v>
      </c>
      <c r="AC1432">
        <v>-4.2533999999999903</v>
      </c>
      <c r="AD1432">
        <v>-1.1086393812940001</v>
      </c>
      <c r="AE1432">
        <v>-12.294700000000001</v>
      </c>
      <c r="AF1432">
        <v>4.1965846295798901</v>
      </c>
      <c r="AG1432">
        <v>-1.1086393812940001</v>
      </c>
      <c r="AH1432">
        <v>12.2150765017276</v>
      </c>
      <c r="AI1432">
        <v>94.905987487435098</v>
      </c>
      <c r="AJ1432">
        <v>71.039442038305907</v>
      </c>
      <c r="AK1432">
        <v>12.9633521040678</v>
      </c>
      <c r="AL1432">
        <v>89.366195493505202</v>
      </c>
      <c r="AM1432">
        <v>88.004281823365105</v>
      </c>
      <c r="AN1432">
        <v>1.0000000135893601</v>
      </c>
    </row>
    <row r="1433" spans="1:40" x14ac:dyDescent="0.25">
      <c r="A1433" t="str">
        <f>"20190305135818764"</f>
        <v>20190305135818764</v>
      </c>
      <c r="B1433" t="str">
        <f>"1551765498749715"</f>
        <v>1551765498749715</v>
      </c>
      <c r="C1433" t="s">
        <v>40</v>
      </c>
      <c r="D1433">
        <v>3.866546</v>
      </c>
      <c r="E1433">
        <v>0.61037140000000001</v>
      </c>
      <c r="F1433" t="s">
        <v>42</v>
      </c>
      <c r="G1433">
        <v>-195.3366</v>
      </c>
      <c r="H1433" s="1">
        <v>-2.185659E-6</v>
      </c>
      <c r="I1433">
        <v>301.3741</v>
      </c>
      <c r="J1433">
        <v>-190.982</v>
      </c>
      <c r="K1433">
        <v>1.1084889999999901</v>
      </c>
      <c r="L1433">
        <v>313.84100000000001</v>
      </c>
      <c r="M1433">
        <v>-3.7665440000000001E-3</v>
      </c>
      <c r="N1433">
        <v>-1.444957E-2</v>
      </c>
      <c r="O1433">
        <v>-0.99988860000000002</v>
      </c>
      <c r="P1433">
        <v>-4.0162900000000001E-2</v>
      </c>
      <c r="Q1433">
        <v>-7.1816740000000005E-4</v>
      </c>
      <c r="R1433">
        <v>-0.999193</v>
      </c>
      <c r="S1433">
        <v>-1.0077210000000001</v>
      </c>
      <c r="T1433">
        <v>-0.25641560000000002</v>
      </c>
      <c r="U1433">
        <v>-2.963959</v>
      </c>
      <c r="V1433">
        <v>3.6442200000000001E-2</v>
      </c>
      <c r="W1433">
        <v>1.3606429999999999E-2</v>
      </c>
      <c r="X1433">
        <v>0.99924310000000005</v>
      </c>
      <c r="Y1433">
        <v>0.31738260000000001</v>
      </c>
      <c r="Z1433">
        <v>6.728373E-2</v>
      </c>
      <c r="AA1433">
        <v>0.94590759999999996</v>
      </c>
      <c r="AB1433">
        <v>35</v>
      </c>
      <c r="AC1433">
        <v>-4.3545999999999996</v>
      </c>
      <c r="AD1433">
        <v>-1.1084911856589901</v>
      </c>
      <c r="AE1433">
        <v>-12.466900000000001</v>
      </c>
      <c r="AF1433">
        <v>4.2774673570712602</v>
      </c>
      <c r="AG1433">
        <v>-1.1084911856589901</v>
      </c>
      <c r="AH1433">
        <v>12.3958717497866</v>
      </c>
      <c r="AI1433">
        <v>94.831889611187407</v>
      </c>
      <c r="AJ1433">
        <v>70.961882932365697</v>
      </c>
      <c r="AK1433">
        <v>13.159905627953901</v>
      </c>
      <c r="AL1433">
        <v>89.220384907135696</v>
      </c>
      <c r="AM1433">
        <v>87.911359819493896</v>
      </c>
      <c r="AN1433">
        <v>0.99999997088789705</v>
      </c>
    </row>
    <row r="1434" spans="1:40" x14ac:dyDescent="0.25">
      <c r="A1434" t="str">
        <f>"20190305135818787"</f>
        <v>20190305135818787</v>
      </c>
      <c r="B1434" t="str">
        <f>"1551765498779970"</f>
        <v>1551765498779970</v>
      </c>
      <c r="C1434" t="s">
        <v>40</v>
      </c>
      <c r="D1434">
        <v>3.8821240000000001</v>
      </c>
      <c r="E1434">
        <v>0.61093260000000005</v>
      </c>
      <c r="F1434" t="s">
        <v>42</v>
      </c>
      <c r="G1434">
        <v>-195.46860000000001</v>
      </c>
      <c r="H1434" s="1">
        <v>-1.9817110000000001E-6</v>
      </c>
      <c r="I1434">
        <v>300.8168</v>
      </c>
      <c r="J1434">
        <v>-190.9853</v>
      </c>
      <c r="K1434">
        <v>1.1083449999999999</v>
      </c>
      <c r="L1434">
        <v>313.47590000000002</v>
      </c>
      <c r="M1434">
        <v>-5.6574429999999998E-3</v>
      </c>
      <c r="N1434">
        <v>-1.447785E-2</v>
      </c>
      <c r="O1434">
        <v>-0.99987939999999997</v>
      </c>
      <c r="P1434">
        <v>-4.41917E-2</v>
      </c>
      <c r="Q1434">
        <v>1.2479520000000001E-3</v>
      </c>
      <c r="R1434">
        <v>-0.99902239999999998</v>
      </c>
      <c r="S1434">
        <v>-1.0200959999999999</v>
      </c>
      <c r="T1434">
        <v>-0.25203310000000001</v>
      </c>
      <c r="U1434">
        <v>-2.9612729999999998</v>
      </c>
      <c r="V1434">
        <v>3.8594400000000001E-2</v>
      </c>
      <c r="W1434">
        <v>1.557746E-2</v>
      </c>
      <c r="X1434">
        <v>0.99913350000000001</v>
      </c>
      <c r="Y1434">
        <v>0.31942090000000001</v>
      </c>
      <c r="Z1434">
        <v>6.5858829999999993E-2</v>
      </c>
      <c r="AA1434">
        <v>0.94532159999999998</v>
      </c>
      <c r="AB1434">
        <v>34</v>
      </c>
      <c r="AC1434">
        <v>-4.4833000000000096</v>
      </c>
      <c r="AD1434">
        <v>-1.1083469817110001</v>
      </c>
      <c r="AE1434">
        <v>-12.6591</v>
      </c>
      <c r="AF1434">
        <v>4.3817572409140704</v>
      </c>
      <c r="AG1434">
        <v>-1.1083469817110001</v>
      </c>
      <c r="AH1434">
        <v>12.5984524714393</v>
      </c>
      <c r="AI1434">
        <v>94.749943883571603</v>
      </c>
      <c r="AJ1434">
        <v>70.822262575311697</v>
      </c>
      <c r="AK1434">
        <v>13.3846641431635</v>
      </c>
      <c r="AL1434">
        <v>89.107441157681706</v>
      </c>
      <c r="AM1434">
        <v>87.7878858208189</v>
      </c>
      <c r="AN1434">
        <v>0.99999996789682999</v>
      </c>
    </row>
    <row r="1435" spans="1:40" x14ac:dyDescent="0.25">
      <c r="A1435" t="str">
        <f>"20190305135818809"</f>
        <v>20190305135818809</v>
      </c>
      <c r="B1435" t="str">
        <f>"1551765498800467"</f>
        <v>1551765498800467</v>
      </c>
      <c r="C1435" t="s">
        <v>40</v>
      </c>
      <c r="D1435">
        <v>3.840973</v>
      </c>
      <c r="E1435">
        <v>0.61140329999999998</v>
      </c>
      <c r="F1435" t="s">
        <v>42</v>
      </c>
      <c r="G1435">
        <v>-195.55690000000001</v>
      </c>
      <c r="H1435" s="1">
        <v>-1.838888E-6</v>
      </c>
      <c r="I1435">
        <v>300.42899999999997</v>
      </c>
      <c r="J1435">
        <v>-190.98910000000001</v>
      </c>
      <c r="K1435">
        <v>1.1082209999999999</v>
      </c>
      <c r="L1435">
        <v>313.13659999999999</v>
      </c>
      <c r="M1435">
        <v>-7.5745639999999998E-3</v>
      </c>
      <c r="N1435">
        <v>-1.450013E-2</v>
      </c>
      <c r="O1435">
        <v>-0.99986620000000004</v>
      </c>
      <c r="P1435">
        <v>-4.9158250000000001E-2</v>
      </c>
      <c r="Q1435">
        <v>1.314997E-3</v>
      </c>
      <c r="R1435">
        <v>-0.99878999999999996</v>
      </c>
      <c r="S1435">
        <v>-1.03627</v>
      </c>
      <c r="T1435">
        <v>-0.25123299999999998</v>
      </c>
      <c r="U1435">
        <v>-2.9573670000000001</v>
      </c>
      <c r="V1435">
        <v>4.165203E-2</v>
      </c>
      <c r="W1435">
        <v>1.563993E-2</v>
      </c>
      <c r="X1435">
        <v>0.99900979999999995</v>
      </c>
      <c r="Y1435">
        <v>0.32260420000000001</v>
      </c>
      <c r="Z1435">
        <v>6.5572149999999996E-2</v>
      </c>
      <c r="AA1435">
        <v>0.94425990000000004</v>
      </c>
      <c r="AB1435">
        <v>34</v>
      </c>
      <c r="AC1435">
        <v>-4.5678000000000001</v>
      </c>
      <c r="AD1435">
        <v>-1.108222838888</v>
      </c>
      <c r="AE1435">
        <v>-12.7075999999999</v>
      </c>
      <c r="AF1435">
        <v>4.4414897617059603</v>
      </c>
      <c r="AG1435">
        <v>-1.108222838888</v>
      </c>
      <c r="AH1435">
        <v>12.6565928439232</v>
      </c>
      <c r="AI1435">
        <v>94.723123822891495</v>
      </c>
      <c r="AJ1435">
        <v>70.662853715821598</v>
      </c>
      <c r="AK1435">
        <v>13.458987019119199</v>
      </c>
      <c r="AL1435">
        <v>89.1038615185293</v>
      </c>
      <c r="AM1435">
        <v>87.612531796436102</v>
      </c>
      <c r="AN1435">
        <v>1.0000000397547799</v>
      </c>
    </row>
    <row r="1436" spans="1:40" x14ac:dyDescent="0.25">
      <c r="A1436" t="str">
        <f>"20190305135818852"</f>
        <v>20190305135818852</v>
      </c>
      <c r="B1436" t="str">
        <f>"1551765498840483"</f>
        <v>1551765498840483</v>
      </c>
      <c r="C1436" t="s">
        <v>40</v>
      </c>
      <c r="D1436">
        <v>3.8365260000000001</v>
      </c>
      <c r="E1436">
        <v>0.61172499999999996</v>
      </c>
      <c r="F1436" t="s">
        <v>42</v>
      </c>
      <c r="G1436">
        <v>-195.59139999999999</v>
      </c>
      <c r="H1436" s="1">
        <v>-1.772426E-6</v>
      </c>
      <c r="I1436">
        <v>300.25279999999998</v>
      </c>
      <c r="J1436">
        <v>-190.99889999999999</v>
      </c>
      <c r="K1436">
        <v>1.10798</v>
      </c>
      <c r="L1436">
        <v>312.47140000000002</v>
      </c>
      <c r="M1436">
        <v>-1.1753390000000001E-2</v>
      </c>
      <c r="N1436">
        <v>-1.4535070000000001E-2</v>
      </c>
      <c r="O1436">
        <v>-0.99982550000000003</v>
      </c>
      <c r="P1436">
        <v>-6.1076129999999999E-2</v>
      </c>
      <c r="Q1436">
        <v>-4.330669E-4</v>
      </c>
      <c r="R1436">
        <v>-0.99813350000000001</v>
      </c>
      <c r="S1436">
        <v>-1.054489</v>
      </c>
      <c r="T1436">
        <v>-0.2539228</v>
      </c>
      <c r="U1436">
        <v>-2.952026</v>
      </c>
      <c r="V1436">
        <v>4.9402149999999999E-2</v>
      </c>
      <c r="W1436">
        <v>1.3861989999999999E-2</v>
      </c>
      <c r="X1436">
        <v>0.99868279999999998</v>
      </c>
      <c r="Y1436">
        <v>0.324337599999999</v>
      </c>
      <c r="Z1436">
        <v>6.6427100000000003E-2</v>
      </c>
      <c r="AA1436">
        <v>0.9436061</v>
      </c>
      <c r="AB1436">
        <v>34</v>
      </c>
      <c r="AC1436">
        <v>-4.5925000000000002</v>
      </c>
      <c r="AD1436">
        <v>-1.1079817724259999</v>
      </c>
      <c r="AE1436">
        <v>-12.2186</v>
      </c>
      <c r="AF1436">
        <v>4.4167350784850603</v>
      </c>
      <c r="AG1436">
        <v>-1.1079817724259999</v>
      </c>
      <c r="AH1436">
        <v>12.1839537360992</v>
      </c>
      <c r="AI1436">
        <v>94.886550051746795</v>
      </c>
      <c r="AJ1436">
        <v>70.074203837059699</v>
      </c>
      <c r="AK1436">
        <v>13.0070711924305</v>
      </c>
      <c r="AL1436">
        <v>89.205741063894095</v>
      </c>
      <c r="AM1436">
        <v>87.168040451712201</v>
      </c>
      <c r="AN1436">
        <v>1.0000000311036099</v>
      </c>
    </row>
    <row r="1437" spans="1:40" x14ac:dyDescent="0.25">
      <c r="A1437" t="str">
        <f>"20190305135818874"</f>
        <v>20190305135818874</v>
      </c>
      <c r="B1437" t="str">
        <f>"1551765498869763"</f>
        <v>1551765498869763</v>
      </c>
      <c r="C1437" t="s">
        <v>40</v>
      </c>
      <c r="D1437">
        <v>3.7999100000000001</v>
      </c>
      <c r="E1437">
        <v>0.61225859999999999</v>
      </c>
      <c r="F1437" t="s">
        <v>42</v>
      </c>
      <c r="G1437">
        <v>-195.60499999999999</v>
      </c>
      <c r="H1437" s="1">
        <v>-1.6986449999999999E-6</v>
      </c>
      <c r="I1437">
        <v>300.07229999999998</v>
      </c>
      <c r="J1437">
        <v>-191.0052</v>
      </c>
      <c r="K1437">
        <v>1.1078589999999999</v>
      </c>
      <c r="L1437">
        <v>312.1343</v>
      </c>
      <c r="M1437">
        <v>-1.405786E-2</v>
      </c>
      <c r="N1437">
        <v>-1.454955E-2</v>
      </c>
      <c r="O1437">
        <v>-0.99979549999999995</v>
      </c>
      <c r="P1437">
        <v>-6.7711789999999994E-2</v>
      </c>
      <c r="Q1437">
        <v>-2.068949E-3</v>
      </c>
      <c r="R1437">
        <v>-0.99770309999999995</v>
      </c>
      <c r="S1437">
        <v>-1.091675</v>
      </c>
      <c r="T1437">
        <v>-0.26259890000000002</v>
      </c>
      <c r="U1437">
        <v>-2.93866</v>
      </c>
      <c r="V1437">
        <v>5.3737189999999997E-2</v>
      </c>
      <c r="W1437">
        <v>1.2202259999999999E-2</v>
      </c>
      <c r="X1437">
        <v>0.99848060000000005</v>
      </c>
      <c r="Y1437">
        <v>0.33395619999999998</v>
      </c>
      <c r="Z1437">
        <v>6.9199259999999999E-2</v>
      </c>
      <c r="AA1437">
        <v>0.94004509999999997</v>
      </c>
      <c r="AB1437">
        <v>34</v>
      </c>
      <c r="AC1437">
        <v>-4.5997999999999797</v>
      </c>
      <c r="AD1437">
        <v>-1.1078606986449999</v>
      </c>
      <c r="AE1437">
        <v>-12.061999999999999</v>
      </c>
      <c r="AF1437">
        <v>4.3973754486608403</v>
      </c>
      <c r="AG1437">
        <v>-1.1078606986449999</v>
      </c>
      <c r="AH1437">
        <v>12.036828345372699</v>
      </c>
      <c r="AI1437">
        <v>94.940984333435594</v>
      </c>
      <c r="AJ1437">
        <v>69.9313988453805</v>
      </c>
      <c r="AK1437">
        <v>12.862717550348901</v>
      </c>
      <c r="AL1437">
        <v>89.300844681830597</v>
      </c>
      <c r="AM1437">
        <v>86.919372621231702</v>
      </c>
      <c r="AN1437">
        <v>1.0000000446572801</v>
      </c>
    </row>
    <row r="1438" spans="1:40" x14ac:dyDescent="0.25">
      <c r="A1438" t="str">
        <f>"20190305135818897"</f>
        <v>20190305135818897</v>
      </c>
      <c r="B1438" t="str">
        <f>"1551765498890259"</f>
        <v>1551765498890259</v>
      </c>
      <c r="C1438" t="s">
        <v>40</v>
      </c>
      <c r="D1438">
        <v>3.8318829999999999</v>
      </c>
      <c r="E1438">
        <v>0.61256469999999996</v>
      </c>
      <c r="F1438" t="s">
        <v>42</v>
      </c>
      <c r="G1438">
        <v>-195.58850000000001</v>
      </c>
      <c r="H1438" s="1">
        <v>-1.7018960000000001E-6</v>
      </c>
      <c r="I1438">
        <v>300.09010000000001</v>
      </c>
      <c r="J1438">
        <v>-191.01240000000001</v>
      </c>
      <c r="K1438">
        <v>1.1077349999999999</v>
      </c>
      <c r="L1438">
        <v>311.7919</v>
      </c>
      <c r="M1438">
        <v>-1.651994E-2</v>
      </c>
      <c r="N1438">
        <v>-1.456255E-2</v>
      </c>
      <c r="O1438">
        <v>-0.99975769999999997</v>
      </c>
      <c r="P1438">
        <v>-7.3399850000000003E-2</v>
      </c>
      <c r="Q1438">
        <v>-3.8353739999999999E-3</v>
      </c>
      <c r="R1438">
        <v>-0.9972955</v>
      </c>
      <c r="S1438">
        <v>-1.115265</v>
      </c>
      <c r="T1438">
        <v>-0.26957399999999998</v>
      </c>
      <c r="U1438">
        <v>-2.9306950000000001</v>
      </c>
      <c r="V1438">
        <v>5.6966599999999902E-2</v>
      </c>
      <c r="W1438">
        <v>1.0413759999999999E-2</v>
      </c>
      <c r="X1438">
        <v>0.99832180000000004</v>
      </c>
      <c r="Y1438">
        <v>0.33902710000000003</v>
      </c>
      <c r="Z1438">
        <v>7.1416629999999995E-2</v>
      </c>
      <c r="AA1438">
        <v>0.93806199999999995</v>
      </c>
      <c r="AB1438">
        <v>34</v>
      </c>
      <c r="AC1438">
        <v>-4.5760999999999896</v>
      </c>
      <c r="AD1438">
        <v>-1.107736701896</v>
      </c>
      <c r="AE1438">
        <v>-11.701799999999899</v>
      </c>
      <c r="AF1438">
        <v>4.3483440106823901</v>
      </c>
      <c r="AG1438">
        <v>-1.107736701896</v>
      </c>
      <c r="AH1438">
        <v>11.684985097222199</v>
      </c>
      <c r="AI1438">
        <v>95.077257349527699</v>
      </c>
      <c r="AJ1438">
        <v>69.588210982010295</v>
      </c>
      <c r="AK1438">
        <v>12.516950625382799</v>
      </c>
      <c r="AL1438">
        <v>89.403324735046496</v>
      </c>
      <c r="AM1438">
        <v>86.734109115959797</v>
      </c>
      <c r="AN1438">
        <v>1.00000002813406</v>
      </c>
    </row>
    <row r="1439" spans="1:40" x14ac:dyDescent="0.25">
      <c r="A1439" t="str">
        <f>"20190305135818920"</f>
        <v>20190305135818920</v>
      </c>
      <c r="B1439" t="str">
        <f>"1551765498909779"</f>
        <v>1551765498909779</v>
      </c>
      <c r="C1439" t="s">
        <v>40</v>
      </c>
      <c r="D1439">
        <v>3.8571010000000001</v>
      </c>
      <c r="E1439">
        <v>0.61271709999999902</v>
      </c>
      <c r="F1439" t="s">
        <v>42</v>
      </c>
      <c r="G1439">
        <v>-195.57900000000001</v>
      </c>
      <c r="H1439" s="1">
        <v>-1.6717799999999999E-6</v>
      </c>
      <c r="I1439">
        <v>300.0258</v>
      </c>
      <c r="J1439">
        <v>-191.02109999999999</v>
      </c>
      <c r="K1439">
        <v>1.107599</v>
      </c>
      <c r="L1439">
        <v>311.43290000000002</v>
      </c>
      <c r="M1439">
        <v>-1.9245620000000001E-2</v>
      </c>
      <c r="N1439">
        <v>-1.45744E-2</v>
      </c>
      <c r="O1439">
        <v>-0.99970870000000001</v>
      </c>
      <c r="P1439">
        <v>-8.0726110000000004E-2</v>
      </c>
      <c r="Q1439">
        <v>-4.4384999999999997E-3</v>
      </c>
      <c r="R1439">
        <v>-0.99672669999999997</v>
      </c>
      <c r="S1439">
        <v>-1.1346889999999901</v>
      </c>
      <c r="T1439">
        <v>-0.27524510000000002</v>
      </c>
      <c r="U1439">
        <v>-2.923584</v>
      </c>
      <c r="V1439">
        <v>6.1580240000000001E-2</v>
      </c>
      <c r="W1439">
        <v>9.7757850000000004E-3</v>
      </c>
      <c r="X1439">
        <v>0.99805429999999995</v>
      </c>
      <c r="Y1439">
        <v>0.34259279999999998</v>
      </c>
      <c r="Z1439">
        <v>7.3239970000000001E-2</v>
      </c>
      <c r="AA1439">
        <v>0.93662480000000004</v>
      </c>
      <c r="AB1439">
        <v>34</v>
      </c>
      <c r="AC1439">
        <v>-4.5579000000000098</v>
      </c>
      <c r="AD1439">
        <v>-1.10760067178</v>
      </c>
      <c r="AE1439">
        <v>-11.4071</v>
      </c>
      <c r="AF1439">
        <v>4.3025164132146498</v>
      </c>
      <c r="AG1439">
        <v>-1.10760067178</v>
      </c>
      <c r="AH1439">
        <v>11.4000340658938</v>
      </c>
      <c r="AI1439">
        <v>95.193869814641403</v>
      </c>
      <c r="AJ1439">
        <v>69.322861856982797</v>
      </c>
      <c r="AK1439">
        <v>12.2351625832127</v>
      </c>
      <c r="AL1439">
        <v>89.439879878182296</v>
      </c>
      <c r="AM1439">
        <v>86.469309593167793</v>
      </c>
      <c r="AN1439">
        <v>1.0000000388396499</v>
      </c>
    </row>
    <row r="1440" spans="1:40" x14ac:dyDescent="0.25">
      <c r="A1440" t="str">
        <f>"20190305135818953"</f>
        <v>20190305135818953</v>
      </c>
      <c r="B1440" t="str">
        <f>"1551765498949796"</f>
        <v>1551765498949796</v>
      </c>
      <c r="C1440" t="s">
        <v>40</v>
      </c>
      <c r="D1440">
        <v>3.8263189999999998</v>
      </c>
      <c r="E1440">
        <v>0.56223440000000002</v>
      </c>
      <c r="F1440" t="s">
        <v>42</v>
      </c>
      <c r="G1440">
        <v>-195.6224</v>
      </c>
      <c r="H1440" s="1">
        <v>-1.6061899999999999E-6</v>
      </c>
      <c r="I1440">
        <v>299.846</v>
      </c>
      <c r="J1440">
        <v>-191.03540000000001</v>
      </c>
      <c r="K1440">
        <v>1.1074379999999999</v>
      </c>
      <c r="L1440">
        <v>310.92340000000002</v>
      </c>
      <c r="M1440">
        <v>-2.3368980000000001E-2</v>
      </c>
      <c r="N1440">
        <v>-1.4589420000000001E-2</v>
      </c>
      <c r="O1440">
        <v>-0.99962059999999997</v>
      </c>
      <c r="P1440">
        <v>-8.9544769999999996E-2</v>
      </c>
      <c r="Q1440">
        <v>-4.1910559999999899E-3</v>
      </c>
      <c r="R1440">
        <v>-0.99597420000000003</v>
      </c>
      <c r="S1440">
        <v>-1.157516</v>
      </c>
      <c r="T1440">
        <v>-0.27863100000000002</v>
      </c>
      <c r="U1440">
        <v>-2.914825</v>
      </c>
      <c r="V1440">
        <v>6.6302429999999996E-2</v>
      </c>
      <c r="W1440">
        <v>9.9793840000000009E-3</v>
      </c>
      <c r="X1440">
        <v>0.99774969999999996</v>
      </c>
      <c r="Y1440">
        <v>0.34598309999999999</v>
      </c>
      <c r="Z1440">
        <v>7.4364860000000005E-2</v>
      </c>
      <c r="AA1440">
        <v>0.93528900000000004</v>
      </c>
      <c r="AB1440">
        <v>34</v>
      </c>
      <c r="AC1440">
        <v>-4.5869999999999802</v>
      </c>
      <c r="AD1440">
        <v>-1.10743960618999</v>
      </c>
      <c r="AE1440">
        <v>-11.077400000000001</v>
      </c>
      <c r="AF1440">
        <v>4.2902490068019201</v>
      </c>
      <c r="AG1440">
        <v>-1.10743960618999</v>
      </c>
      <c r="AH1440">
        <v>11.086988556387601</v>
      </c>
      <c r="AI1440">
        <v>95.322034852613797</v>
      </c>
      <c r="AJ1440">
        <v>68.845430370638297</v>
      </c>
      <c r="AK1440">
        <v>11.9395969057248</v>
      </c>
      <c r="AL1440">
        <v>89.428213942225398</v>
      </c>
      <c r="AM1440">
        <v>86.198172301828805</v>
      </c>
      <c r="AN1440">
        <v>1.0000000320894999</v>
      </c>
    </row>
    <row r="1441" spans="1:40" x14ac:dyDescent="0.25">
      <c r="A1441" t="str">
        <f>"20190305135818977"</f>
        <v>20190305135818977</v>
      </c>
      <c r="B1441" t="str">
        <f>"1551765498970291"</f>
        <v>1551765498970291</v>
      </c>
      <c r="C1441" t="s">
        <v>40</v>
      </c>
      <c r="D1441">
        <v>3.9476589999999998</v>
      </c>
      <c r="E1441">
        <v>0.550651</v>
      </c>
      <c r="F1441" t="s">
        <v>58</v>
      </c>
      <c r="G1441">
        <v>-197.84780000000001</v>
      </c>
      <c r="H1441" s="1">
        <v>2.5438269999999998E-6</v>
      </c>
      <c r="I1441">
        <v>284.94470000000001</v>
      </c>
      <c r="J1441">
        <v>-191.04689999999999</v>
      </c>
      <c r="K1441">
        <v>1.107337</v>
      </c>
      <c r="L1441">
        <v>310.56189999999998</v>
      </c>
      <c r="M1441">
        <v>-2.6447419999999999E-2</v>
      </c>
      <c r="N1441">
        <v>-1.4598460000000001E-2</v>
      </c>
      <c r="O1441">
        <v>-0.99954350000000003</v>
      </c>
      <c r="P1441">
        <v>-9.5127219999999998E-2</v>
      </c>
      <c r="Q1441">
        <v>-3.8043439999999999E-3</v>
      </c>
      <c r="R1441">
        <v>-0.9954577</v>
      </c>
      <c r="S1441">
        <v>-0.77154540000000005</v>
      </c>
      <c r="T1441">
        <v>-0.12542310000000001</v>
      </c>
      <c r="U1441">
        <v>-2.9422299999999999</v>
      </c>
      <c r="V1441">
        <v>6.8828669999999995E-2</v>
      </c>
      <c r="W1441">
        <v>1.0337000000000001E-2</v>
      </c>
      <c r="X1441">
        <v>0.99757490000000004</v>
      </c>
      <c r="Y1441">
        <v>0.22779920000000001</v>
      </c>
      <c r="Z1441">
        <v>2.67703E-2</v>
      </c>
      <c r="AA1441">
        <v>0.97333999999999998</v>
      </c>
      <c r="AB1441">
        <v>34</v>
      </c>
      <c r="AC1441">
        <v>-6.8009000000000102</v>
      </c>
      <c r="AD1441">
        <v>-1.1073344561730001</v>
      </c>
      <c r="AE1441">
        <v>-25.617199999999901</v>
      </c>
      <c r="AF1441">
        <v>6.1102740759187899</v>
      </c>
      <c r="AG1441">
        <v>-1.1073344561730001</v>
      </c>
      <c r="AH1441">
        <v>25.7431884998417</v>
      </c>
      <c r="AI1441">
        <v>92.396538490696003</v>
      </c>
      <c r="AJ1441">
        <v>76.647647011293202</v>
      </c>
      <c r="AK1441">
        <v>26.481567042360901</v>
      </c>
      <c r="AL1441">
        <v>89.407722955489007</v>
      </c>
      <c r="AM1441">
        <v>86.053075954690698</v>
      </c>
      <c r="AN1441">
        <v>0.99999996024648796</v>
      </c>
    </row>
    <row r="1442" spans="1:40" x14ac:dyDescent="0.25">
      <c r="A1442" t="str">
        <f>"20190305135819000"</f>
        <v>20190305135819000</v>
      </c>
      <c r="B1442" t="str">
        <f>"1551765498989811"</f>
        <v>1551765498989811</v>
      </c>
      <c r="C1442" t="s">
        <v>40</v>
      </c>
      <c r="D1442">
        <v>3.8559399999999999</v>
      </c>
      <c r="E1442">
        <v>0.54812399999999994</v>
      </c>
      <c r="F1442" t="s">
        <v>58</v>
      </c>
      <c r="G1442">
        <v>-198.19370000000001</v>
      </c>
      <c r="H1442" s="1">
        <v>2.89335E-6</v>
      </c>
      <c r="I1442">
        <v>280.2448</v>
      </c>
      <c r="J1442">
        <v>-191.059</v>
      </c>
      <c r="K1442">
        <v>1.107237</v>
      </c>
      <c r="L1442">
        <v>310.22089999999997</v>
      </c>
      <c r="M1442">
        <v>-2.9510290000000002E-2</v>
      </c>
      <c r="N1442">
        <v>-1.4606310000000001E-2</v>
      </c>
      <c r="O1442">
        <v>-0.99945810000000002</v>
      </c>
      <c r="P1442">
        <v>-0.10048</v>
      </c>
      <c r="Q1442">
        <v>-2.741439E-3</v>
      </c>
      <c r="R1442">
        <v>-0.99493589999999998</v>
      </c>
      <c r="S1442">
        <v>-0.69470209999999999</v>
      </c>
      <c r="T1442">
        <v>-0.10763789999999999</v>
      </c>
      <c r="U1442">
        <v>-2.9469599999999998</v>
      </c>
      <c r="V1442">
        <v>7.1146909999999994E-2</v>
      </c>
      <c r="W1442">
        <v>1.137024E-2</v>
      </c>
      <c r="X1442">
        <v>0.99740110000000004</v>
      </c>
      <c r="Y1442">
        <v>0.2004968</v>
      </c>
      <c r="Z1442">
        <v>2.1068239999999998E-2</v>
      </c>
      <c r="AA1442">
        <v>0.9794678</v>
      </c>
      <c r="AB1442">
        <v>34</v>
      </c>
      <c r="AC1442">
        <v>-7.1346999999999801</v>
      </c>
      <c r="AD1442">
        <v>-1.10723410665</v>
      </c>
      <c r="AE1442">
        <v>-29.976099999999899</v>
      </c>
      <c r="AF1442">
        <v>6.2388388743735197</v>
      </c>
      <c r="AG1442">
        <v>-1.10723410665</v>
      </c>
      <c r="AH1442">
        <v>30.134701107742899</v>
      </c>
      <c r="AI1442">
        <v>92.060603582174593</v>
      </c>
      <c r="AJ1442">
        <v>78.303204591922494</v>
      </c>
      <c r="AK1442">
        <v>30.793656631201198</v>
      </c>
      <c r="AL1442">
        <v>89.348519236847807</v>
      </c>
      <c r="AM1442">
        <v>85.919871460738307</v>
      </c>
      <c r="AN1442">
        <v>1.0000000597206999</v>
      </c>
    </row>
    <row r="1443" spans="1:40" x14ac:dyDescent="0.25">
      <c r="A1443" t="str">
        <f>"20190305135819022"</f>
        <v>20190305135819022</v>
      </c>
      <c r="B1443" t="str">
        <f>"1551765499010307"</f>
        <v>1551765499010307</v>
      </c>
      <c r="C1443" t="s">
        <v>40</v>
      </c>
      <c r="D1443">
        <v>3.8450859999999998</v>
      </c>
      <c r="E1443">
        <v>0.5468788</v>
      </c>
      <c r="F1443" t="s">
        <v>58</v>
      </c>
      <c r="G1443">
        <v>-199.3785</v>
      </c>
      <c r="H1443" s="1">
        <v>4.0666869999999998E-6</v>
      </c>
      <c r="I1443">
        <v>274.67610000000002</v>
      </c>
      <c r="J1443">
        <v>-191.07220000000001</v>
      </c>
      <c r="K1443">
        <v>1.1071310000000001</v>
      </c>
      <c r="L1443">
        <v>309.88200000000001</v>
      </c>
      <c r="M1443">
        <v>-3.2716879999999997E-2</v>
      </c>
      <c r="N1443">
        <v>-1.4614449999999999E-2</v>
      </c>
      <c r="O1443">
        <v>-0.99935790000000002</v>
      </c>
      <c r="P1443">
        <v>-0.106555399999999</v>
      </c>
      <c r="Q1443">
        <v>-1.7816640000000001E-3</v>
      </c>
      <c r="R1443">
        <v>-0.99430560000000001</v>
      </c>
      <c r="S1443">
        <v>-0.68939209999999995</v>
      </c>
      <c r="T1443">
        <v>-9.1749549999999999E-2</v>
      </c>
      <c r="U1443">
        <v>-2.9453740000000002</v>
      </c>
      <c r="V1443">
        <v>7.4049019999999993E-2</v>
      </c>
      <c r="W1443">
        <v>1.229333E-2</v>
      </c>
      <c r="X1443">
        <v>0.99717889999999998</v>
      </c>
      <c r="Y1443">
        <v>0.19582659999999999</v>
      </c>
      <c r="Z1443">
        <v>1.5842849999999999E-2</v>
      </c>
      <c r="AA1443">
        <v>0.98051049999999995</v>
      </c>
      <c r="AB1443">
        <v>34</v>
      </c>
      <c r="AC1443">
        <v>-8.3062999999999896</v>
      </c>
      <c r="AD1443">
        <v>-1.1071269333129901</v>
      </c>
      <c r="AE1443">
        <v>-35.2058999999999</v>
      </c>
      <c r="AF1443">
        <v>7.1432106129477297</v>
      </c>
      <c r="AG1443">
        <v>-1.1071269333129901</v>
      </c>
      <c r="AH1443">
        <v>35.425648010550702</v>
      </c>
      <c r="AI1443">
        <v>91.754738143119596</v>
      </c>
      <c r="AJ1443">
        <v>78.599771551649695</v>
      </c>
      <c r="AK1443">
        <v>36.155604335632802</v>
      </c>
      <c r="AL1443">
        <v>89.295626382542594</v>
      </c>
      <c r="AM1443">
        <v>85.753095571283595</v>
      </c>
      <c r="AN1443">
        <v>1.0000000709653201</v>
      </c>
    </row>
    <row r="1444" spans="1:40" x14ac:dyDescent="0.25">
      <c r="A1444" t="str">
        <f>"20190305135819042"</f>
        <v>20190305135819042</v>
      </c>
      <c r="B1444" t="str">
        <f>"1551765499029826"</f>
        <v>1551765499029826</v>
      </c>
      <c r="C1444" t="s">
        <v>40</v>
      </c>
      <c r="D1444">
        <v>3.855413</v>
      </c>
      <c r="E1444">
        <v>0.54623080000000002</v>
      </c>
      <c r="F1444" t="s">
        <v>58</v>
      </c>
      <c r="G1444">
        <v>-197.2629</v>
      </c>
      <c r="H1444" s="1">
        <v>2.743636E-6</v>
      </c>
      <c r="I1444">
        <v>283.8458</v>
      </c>
      <c r="J1444">
        <v>-191.0856</v>
      </c>
      <c r="K1444">
        <v>1.1070180000000001</v>
      </c>
      <c r="L1444">
        <v>309.5668</v>
      </c>
      <c r="M1444">
        <v>-3.5815960000000001E-2</v>
      </c>
      <c r="N1444">
        <v>-1.4622069999999999E-2</v>
      </c>
      <c r="O1444">
        <v>-0.99925149999999996</v>
      </c>
      <c r="P1444">
        <v>-0.11395280000000001</v>
      </c>
      <c r="Q1444">
        <v>-1.9505099999999999E-3</v>
      </c>
      <c r="R1444">
        <v>-0.99348460000000005</v>
      </c>
      <c r="S1444">
        <v>-0.69952389999999998</v>
      </c>
      <c r="T1444">
        <v>-0.1250995</v>
      </c>
      <c r="U1444">
        <v>-2.9419559999999998</v>
      </c>
      <c r="V1444">
        <v>7.8380169999999999E-2</v>
      </c>
      <c r="W1444">
        <v>1.207543E-2</v>
      </c>
      <c r="X1444">
        <v>0.99685040000000003</v>
      </c>
      <c r="Y1444">
        <v>0.19616639999999999</v>
      </c>
      <c r="Z1444">
        <v>2.690149E-2</v>
      </c>
      <c r="AA1444">
        <v>0.98020149999999995</v>
      </c>
      <c r="AB1444">
        <v>34</v>
      </c>
      <c r="AC1444">
        <v>-6.1772999999999998</v>
      </c>
      <c r="AD1444">
        <v>-1.1070152563639899</v>
      </c>
      <c r="AE1444">
        <v>-25.721</v>
      </c>
      <c r="AF1444">
        <v>5.2428329480481697</v>
      </c>
      <c r="AG1444">
        <v>-1.1070152563639899</v>
      </c>
      <c r="AH1444">
        <v>25.880437346081699</v>
      </c>
      <c r="AI1444">
        <v>92.400584804074697</v>
      </c>
      <c r="AJ1444">
        <v>78.548056094118394</v>
      </c>
      <c r="AK1444">
        <v>26.4293363012283</v>
      </c>
      <c r="AL1444">
        <v>89.308112005291306</v>
      </c>
      <c r="AM1444">
        <v>85.504207585516099</v>
      </c>
      <c r="AN1444">
        <v>0.99999999351953595</v>
      </c>
    </row>
    <row r="1445" spans="1:40" x14ac:dyDescent="0.25">
      <c r="A1445" t="str">
        <f>"20190305135819066"</f>
        <v>20190305135819066</v>
      </c>
      <c r="B1445" t="str">
        <f>"1551765499060083"</f>
        <v>1551765499060083</v>
      </c>
      <c r="C1445" t="s">
        <v>40</v>
      </c>
      <c r="D1445">
        <v>3.928436</v>
      </c>
      <c r="E1445">
        <v>0.54569080000000003</v>
      </c>
      <c r="F1445" t="s">
        <v>58</v>
      </c>
      <c r="G1445">
        <v>-196.3767</v>
      </c>
      <c r="H1445" s="1">
        <v>2.547616E-6</v>
      </c>
      <c r="I1445">
        <v>287.88630000000001</v>
      </c>
      <c r="J1445">
        <v>-191.10249999999999</v>
      </c>
      <c r="K1445">
        <v>1.106886</v>
      </c>
      <c r="L1445">
        <v>309.20229999999998</v>
      </c>
      <c r="M1445">
        <v>-3.9549540000000001E-2</v>
      </c>
      <c r="N1445">
        <v>-1.462989E-2</v>
      </c>
      <c r="O1445">
        <v>-0.99911050000000001</v>
      </c>
      <c r="P1445">
        <v>-0.1213022</v>
      </c>
      <c r="Q1445">
        <v>-3.981984E-3</v>
      </c>
      <c r="R1445">
        <v>-0.99260769999999998</v>
      </c>
      <c r="S1445">
        <v>-0.71679689999999996</v>
      </c>
      <c r="T1445">
        <v>-0.14996989999999999</v>
      </c>
      <c r="U1445">
        <v>-2.937103</v>
      </c>
      <c r="V1445">
        <v>8.2021689999999994E-2</v>
      </c>
      <c r="W1445">
        <v>9.9951220000000004E-3</v>
      </c>
      <c r="X1445">
        <v>0.99658040000000003</v>
      </c>
      <c r="Y1445">
        <v>0.1982409</v>
      </c>
      <c r="Z1445">
        <v>3.5153660000000003E-2</v>
      </c>
      <c r="AA1445">
        <v>0.97952269999999997</v>
      </c>
      <c r="AB1445">
        <v>34</v>
      </c>
      <c r="AC1445">
        <v>-5.2742000000000004</v>
      </c>
      <c r="AD1445">
        <v>-1.1068834523839901</v>
      </c>
      <c r="AE1445">
        <v>-21.315999999999899</v>
      </c>
      <c r="AF1445">
        <v>4.41572452181678</v>
      </c>
      <c r="AG1445">
        <v>-1.1068834523839901</v>
      </c>
      <c r="AH1445">
        <v>21.453422671742999</v>
      </c>
      <c r="AI1445">
        <v>92.893001511170993</v>
      </c>
      <c r="AJ1445">
        <v>78.369329404848003</v>
      </c>
      <c r="AK1445">
        <v>21.931100254255099</v>
      </c>
      <c r="AL1445">
        <v>89.427312144682503</v>
      </c>
      <c r="AM1445">
        <v>85.294982296049994</v>
      </c>
      <c r="AN1445">
        <v>0.99999997687920505</v>
      </c>
    </row>
    <row r="1446" spans="1:40" x14ac:dyDescent="0.25">
      <c r="A1446" t="str">
        <f>"20190305135819087"</f>
        <v>20190305135819087</v>
      </c>
      <c r="B1446" t="str">
        <f>"1551765499080579"</f>
        <v>1551765499080579</v>
      </c>
      <c r="C1446" t="s">
        <v>40</v>
      </c>
      <c r="D1446">
        <v>3.907972</v>
      </c>
      <c r="E1446">
        <v>0.54524269999999997</v>
      </c>
      <c r="F1446" t="s">
        <v>58</v>
      </c>
      <c r="G1446">
        <v>-195.69829999999999</v>
      </c>
      <c r="H1446" s="1">
        <v>2.0711989999999999E-6</v>
      </c>
      <c r="I1446">
        <v>290.8766</v>
      </c>
      <c r="J1446">
        <v>-191.11840000000001</v>
      </c>
      <c r="K1446">
        <v>1.106757</v>
      </c>
      <c r="L1446">
        <v>308.88479999999998</v>
      </c>
      <c r="M1446">
        <v>-4.2934279999999998E-2</v>
      </c>
      <c r="N1446">
        <v>-1.4636079999999999E-2</v>
      </c>
      <c r="O1446">
        <v>-0.99897069999999999</v>
      </c>
      <c r="P1446">
        <v>-0.12728299999999901</v>
      </c>
      <c r="Q1446">
        <v>-5.7050419999999996E-3</v>
      </c>
      <c r="R1446">
        <v>-0.99185009999999996</v>
      </c>
      <c r="S1446">
        <v>-0.73526000000000002</v>
      </c>
      <c r="T1446">
        <v>-0.177082399999999</v>
      </c>
      <c r="U1446">
        <v>-2.9317929999999999</v>
      </c>
      <c r="V1446">
        <v>8.4642079999999995E-2</v>
      </c>
      <c r="W1446">
        <v>8.2328019999999991E-3</v>
      </c>
      <c r="X1446">
        <v>0.99637739999999997</v>
      </c>
      <c r="Y1446">
        <v>0.201039</v>
      </c>
      <c r="Z1446">
        <v>4.4147810000000003E-2</v>
      </c>
      <c r="AA1446">
        <v>0.97858789999999996</v>
      </c>
      <c r="AB1446">
        <v>34</v>
      </c>
      <c r="AC1446">
        <v>-4.5798999999999799</v>
      </c>
      <c r="AD1446">
        <v>-1.1067549288009999</v>
      </c>
      <c r="AE1446">
        <v>-18.008199999999899</v>
      </c>
      <c r="AF1446">
        <v>3.7889819913167302</v>
      </c>
      <c r="AG1446">
        <v>-1.1067549288009999</v>
      </c>
      <c r="AH1446">
        <v>18.123949047324299</v>
      </c>
      <c r="AI1446">
        <v>93.4207062392654</v>
      </c>
      <c r="AJ1446">
        <v>78.1918465345166</v>
      </c>
      <c r="AK1446">
        <v>18.548822606110399</v>
      </c>
      <c r="AL1446">
        <v>89.528289859273201</v>
      </c>
      <c r="AM1446">
        <v>85.144391616309207</v>
      </c>
      <c r="AN1446">
        <v>0.99999999198312794</v>
      </c>
    </row>
    <row r="1447" spans="1:40" x14ac:dyDescent="0.25">
      <c r="A1447" t="str">
        <f>"20190305135819109"</f>
        <v>20190305135819109</v>
      </c>
      <c r="B1447" t="str">
        <f>"1551765499100100"</f>
        <v>1551765499100100</v>
      </c>
      <c r="C1447" t="s">
        <v>40</v>
      </c>
      <c r="D1447">
        <v>3.9693420000000001</v>
      </c>
      <c r="E1447">
        <v>0.54493029999999998</v>
      </c>
      <c r="F1447" t="s">
        <v>58</v>
      </c>
      <c r="G1447">
        <v>-195.42519999999999</v>
      </c>
      <c r="H1447" s="1">
        <v>1.7313160000000001E-6</v>
      </c>
      <c r="I1447">
        <v>292.06830000000002</v>
      </c>
      <c r="J1447">
        <v>-191.13630000000001</v>
      </c>
      <c r="K1447">
        <v>1.1066279999999999</v>
      </c>
      <c r="L1447">
        <v>308.55290000000002</v>
      </c>
      <c r="M1447">
        <v>-4.6613010000000003E-2</v>
      </c>
      <c r="N1447">
        <v>-1.464264E-2</v>
      </c>
      <c r="O1447">
        <v>-0.99880570000000002</v>
      </c>
      <c r="P1447">
        <v>-0.13436189999999901</v>
      </c>
      <c r="Q1447">
        <v>-7.0984369999999896E-3</v>
      </c>
      <c r="R1447">
        <v>-0.99090679999999998</v>
      </c>
      <c r="S1447">
        <v>-0.74971009999999905</v>
      </c>
      <c r="T1447">
        <v>-0.19265650000000001</v>
      </c>
      <c r="U1447">
        <v>-2.9273069999999999</v>
      </c>
      <c r="V1447">
        <v>8.8078370000000003E-2</v>
      </c>
      <c r="W1447">
        <v>6.789458E-3</v>
      </c>
      <c r="X1447">
        <v>0.99609040000000004</v>
      </c>
      <c r="Y1447">
        <v>0.20225560000000001</v>
      </c>
      <c r="Z1447">
        <v>4.932715E-2</v>
      </c>
      <c r="AA1447">
        <v>0.97808969999999995</v>
      </c>
      <c r="AB1447">
        <v>34</v>
      </c>
      <c r="AC1447">
        <v>-4.2888999999999804</v>
      </c>
      <c r="AD1447">
        <v>-1.106626268684</v>
      </c>
      <c r="AE1447">
        <v>-16.4846</v>
      </c>
      <c r="AF1447">
        <v>3.5009807601893201</v>
      </c>
      <c r="AG1447">
        <v>-1.106626268684</v>
      </c>
      <c r="AH1447">
        <v>16.596566231889501</v>
      </c>
      <c r="AI1447">
        <v>93.732814771429403</v>
      </c>
      <c r="AJ1447">
        <v>78.088313343862396</v>
      </c>
      <c r="AK1447">
        <v>16.997867474223099</v>
      </c>
      <c r="AL1447">
        <v>89.610989718994603</v>
      </c>
      <c r="AM1447">
        <v>84.946816447944997</v>
      </c>
      <c r="AN1447">
        <v>0.99999999048697497</v>
      </c>
    </row>
    <row r="1448" spans="1:40" x14ac:dyDescent="0.25">
      <c r="A1448" t="str">
        <f>"20190305135819131"</f>
        <v>20190305135819131</v>
      </c>
      <c r="B1448" t="str">
        <f>"1551765499120596"</f>
        <v>1551765499120596</v>
      </c>
      <c r="C1448" t="s">
        <v>40</v>
      </c>
      <c r="D1448">
        <v>4.0008410000000003</v>
      </c>
      <c r="E1448">
        <v>0.54455669999999901</v>
      </c>
      <c r="F1448" t="s">
        <v>58</v>
      </c>
      <c r="G1448">
        <v>-195.30189999999999</v>
      </c>
      <c r="H1448" s="1">
        <v>1.628058E-6</v>
      </c>
      <c r="I1448">
        <v>292.7167</v>
      </c>
      <c r="J1448">
        <v>-191.15530000000001</v>
      </c>
      <c r="K1448">
        <v>1.106495</v>
      </c>
      <c r="L1448">
        <v>308.22469999999998</v>
      </c>
      <c r="M1448">
        <v>-5.0396070000000001E-2</v>
      </c>
      <c r="N1448">
        <v>-1.4649300000000001E-2</v>
      </c>
      <c r="O1448">
        <v>-0.99862209999999996</v>
      </c>
      <c r="P1448">
        <v>-0.1422872</v>
      </c>
      <c r="Q1448">
        <v>-8.0534059999999904E-3</v>
      </c>
      <c r="R1448">
        <v>-0.98979300000000003</v>
      </c>
      <c r="S1448">
        <v>-0.76856990000000003</v>
      </c>
      <c r="T1448">
        <v>-0.20417930000000001</v>
      </c>
      <c r="U1448">
        <v>-2.921875</v>
      </c>
      <c r="V1448">
        <v>9.227001E-2</v>
      </c>
      <c r="W1448">
        <v>5.7747679999999996E-3</v>
      </c>
      <c r="X1448">
        <v>0.99571730000000003</v>
      </c>
      <c r="Y1448">
        <v>0.2048393</v>
      </c>
      <c r="Z1448">
        <v>5.3165690000000002E-2</v>
      </c>
      <c r="AA1448">
        <v>0.97735070000000002</v>
      </c>
      <c r="AB1448">
        <v>34</v>
      </c>
      <c r="AC1448">
        <v>-4.1465999999999701</v>
      </c>
      <c r="AD1448">
        <v>-1.106493371942</v>
      </c>
      <c r="AE1448">
        <v>-15.5079999999999</v>
      </c>
      <c r="AF1448">
        <v>3.3438170054329199</v>
      </c>
      <c r="AG1448">
        <v>-1.106493371942</v>
      </c>
      <c r="AH1448">
        <v>15.623057611130401</v>
      </c>
      <c r="AI1448">
        <v>93.961742765232003</v>
      </c>
      <c r="AJ1448">
        <v>77.919202734437604</v>
      </c>
      <c r="AK1448">
        <v>16.015160594532698</v>
      </c>
      <c r="AL1448">
        <v>89.669128334247603</v>
      </c>
      <c r="AM1448">
        <v>84.705698966502695</v>
      </c>
      <c r="AN1448">
        <v>1.00000002210507</v>
      </c>
    </row>
    <row r="1449" spans="1:40" x14ac:dyDescent="0.25">
      <c r="A1449" t="str">
        <f>"20190305135819155"</f>
        <v>20190305135819155</v>
      </c>
      <c r="B1449" t="str">
        <f>"1551765499149874"</f>
        <v>1551765499149874</v>
      </c>
      <c r="C1449" t="s">
        <v>40</v>
      </c>
      <c r="D1449">
        <v>4.0507489999999997</v>
      </c>
      <c r="E1449">
        <v>0.54404649999999999</v>
      </c>
      <c r="F1449" t="s">
        <v>58</v>
      </c>
      <c r="G1449">
        <v>-195.24709999999999</v>
      </c>
      <c r="H1449" s="1">
        <v>1.564544E-6</v>
      </c>
      <c r="I1449">
        <v>293.10489999999999</v>
      </c>
      <c r="J1449">
        <v>-191.17830000000001</v>
      </c>
      <c r="K1449">
        <v>1.1063540000000001</v>
      </c>
      <c r="L1449">
        <v>307.8578</v>
      </c>
      <c r="M1449">
        <v>-5.4789749999999998E-2</v>
      </c>
      <c r="N1449">
        <v>-1.465695E-2</v>
      </c>
      <c r="O1449">
        <v>-0.99839029999999995</v>
      </c>
      <c r="P1449">
        <v>-0.15102929999999901</v>
      </c>
      <c r="Q1449">
        <v>-1.0109770000000001E-2</v>
      </c>
      <c r="R1449">
        <v>-0.98847790000000002</v>
      </c>
      <c r="S1449">
        <v>-0.78907780000000005</v>
      </c>
      <c r="T1449">
        <v>-0.2133825</v>
      </c>
      <c r="U1449">
        <v>-2.9157709999999999</v>
      </c>
      <c r="V1449">
        <v>9.6672999999999995E-2</v>
      </c>
      <c r="W1449">
        <v>3.650005E-3</v>
      </c>
      <c r="X1449">
        <v>0.99530949999999996</v>
      </c>
      <c r="Y1449">
        <v>0.20740140000000001</v>
      </c>
      <c r="Z1449">
        <v>5.624357E-2</v>
      </c>
      <c r="AA1449">
        <v>0.9766378</v>
      </c>
      <c r="AB1449">
        <v>34</v>
      </c>
      <c r="AC1449">
        <v>-4.06879999999998</v>
      </c>
      <c r="AD1449">
        <v>-1.1063524354559999</v>
      </c>
      <c r="AE1449">
        <v>-14.7529</v>
      </c>
      <c r="AF1449">
        <v>3.23737295329774</v>
      </c>
      <c r="AG1449">
        <v>-1.1063524354559999</v>
      </c>
      <c r="AH1449">
        <v>14.875941487441199</v>
      </c>
      <c r="AI1449">
        <v>94.156433117362795</v>
      </c>
      <c r="AJ1449">
        <v>77.722455371288405</v>
      </c>
      <c r="AK1449">
        <v>15.264279691094499</v>
      </c>
      <c r="AL1449">
        <v>89.790869653128993</v>
      </c>
      <c r="AM1449">
        <v>84.452343988651293</v>
      </c>
      <c r="AN1449">
        <v>0.99999999612787405</v>
      </c>
    </row>
    <row r="1450" spans="1:40" x14ac:dyDescent="0.25">
      <c r="A1450" t="str">
        <f>"20190305135819177"</f>
        <v>20190305135819177</v>
      </c>
      <c r="B1450" t="str">
        <f>"1551765499170371"</f>
        <v>1551765499170371</v>
      </c>
      <c r="C1450" t="s">
        <v>40</v>
      </c>
      <c r="D1450">
        <v>4.0031809999999997</v>
      </c>
      <c r="E1450">
        <v>0.54360120000000001</v>
      </c>
      <c r="F1450" t="s">
        <v>58</v>
      </c>
      <c r="G1450">
        <v>-195.13339999999999</v>
      </c>
      <c r="H1450" s="1">
        <v>1.4734580000000001E-6</v>
      </c>
      <c r="I1450">
        <v>293.67939999999999</v>
      </c>
      <c r="J1450">
        <v>-191.19970000000001</v>
      </c>
      <c r="K1450">
        <v>1.106225</v>
      </c>
      <c r="L1450">
        <v>307.53879999999998</v>
      </c>
      <c r="M1450">
        <v>-5.8759890000000002E-2</v>
      </c>
      <c r="N1450">
        <v>-1.466365E-2</v>
      </c>
      <c r="O1450">
        <v>-0.99816479999999996</v>
      </c>
      <c r="P1450">
        <v>-0.15854199999999999</v>
      </c>
      <c r="Q1450">
        <v>-1.179881E-2</v>
      </c>
      <c r="R1450">
        <v>-0.98728210000000005</v>
      </c>
      <c r="S1450">
        <v>-0.81140140000000005</v>
      </c>
      <c r="T1450">
        <v>-0.22696730000000001</v>
      </c>
      <c r="U1450">
        <v>-2.9086910000000001</v>
      </c>
      <c r="V1450">
        <v>0.10027</v>
      </c>
      <c r="W1450">
        <v>1.9009739999999999E-3</v>
      </c>
      <c r="X1450">
        <v>0.99495849999999997</v>
      </c>
      <c r="Y1450">
        <v>0.21099670000000001</v>
      </c>
      <c r="Z1450">
        <v>6.0778209999999999E-2</v>
      </c>
      <c r="AA1450">
        <v>0.9755954</v>
      </c>
      <c r="AB1450">
        <v>34</v>
      </c>
      <c r="AC1450">
        <v>-3.93369999999998</v>
      </c>
      <c r="AD1450">
        <v>-1.106223526542</v>
      </c>
      <c r="AE1450">
        <v>-13.8593999999999</v>
      </c>
      <c r="AF1450">
        <v>3.0941945882239601</v>
      </c>
      <c r="AG1450">
        <v>-1.106223526542</v>
      </c>
      <c r="AH1450">
        <v>13.9841674369993</v>
      </c>
      <c r="AI1450">
        <v>94.416604504866299</v>
      </c>
      <c r="AJ1450">
        <v>77.523514464385499</v>
      </c>
      <c r="AK1450">
        <v>14.365051672253101</v>
      </c>
      <c r="AL1450">
        <v>89.891082152863305</v>
      </c>
      <c r="AM1450">
        <v>84.245271381006404</v>
      </c>
      <c r="AN1450">
        <v>1.0000000516621901</v>
      </c>
    </row>
    <row r="1451" spans="1:40" x14ac:dyDescent="0.25">
      <c r="A1451" t="str">
        <f>"20190305135819200"</f>
        <v>20190305135819200</v>
      </c>
      <c r="B1451" t="str">
        <f>"1551765499189892"</f>
        <v>1551765499189892</v>
      </c>
      <c r="C1451" t="s">
        <v>40</v>
      </c>
      <c r="D1451">
        <v>4.0320879999999999</v>
      </c>
      <c r="E1451">
        <v>0.54308100000000004</v>
      </c>
      <c r="F1451" t="s">
        <v>58</v>
      </c>
      <c r="G1451">
        <v>-195.10130000000001</v>
      </c>
      <c r="H1451" s="1">
        <v>1.4364130000000001E-6</v>
      </c>
      <c r="I1451">
        <v>293.90589999999997</v>
      </c>
      <c r="J1451">
        <v>-191.2243</v>
      </c>
      <c r="K1451">
        <v>1.10609</v>
      </c>
      <c r="L1451">
        <v>307.19560000000001</v>
      </c>
      <c r="M1451">
        <v>-6.3188759999999997E-2</v>
      </c>
      <c r="N1451">
        <v>-1.4670880000000001E-2</v>
      </c>
      <c r="O1451">
        <v>-0.99789380000000005</v>
      </c>
      <c r="P1451">
        <v>-0.1662042</v>
      </c>
      <c r="Q1451">
        <v>-1.430232E-2</v>
      </c>
      <c r="R1451">
        <v>-0.98598750000000002</v>
      </c>
      <c r="S1451">
        <v>-0.83065800000000001</v>
      </c>
      <c r="T1451">
        <v>-0.2355129</v>
      </c>
      <c r="U1451">
        <v>-2.9024049999999999</v>
      </c>
      <c r="V1451">
        <v>0.10356020000000001</v>
      </c>
      <c r="W1451">
        <v>-6.6403019999999998E-4</v>
      </c>
      <c r="X1451">
        <v>0.99462289999999998</v>
      </c>
      <c r="Y1451">
        <v>0.2131441</v>
      </c>
      <c r="Z1451">
        <v>6.3646090000000002E-2</v>
      </c>
      <c r="AA1451">
        <v>0.97494550000000002</v>
      </c>
      <c r="AB1451">
        <v>34</v>
      </c>
      <c r="AC1451">
        <v>-3.8769999999999998</v>
      </c>
      <c r="AD1451">
        <v>-1.1060885635869999</v>
      </c>
      <c r="AE1451">
        <v>-13.2897</v>
      </c>
      <c r="AF1451">
        <v>3.0101841737779398</v>
      </c>
      <c r="AG1451">
        <v>-1.1060885635869999</v>
      </c>
      <c r="AH1451">
        <v>13.422459349115501</v>
      </c>
      <c r="AI1451">
        <v>94.597179768484295</v>
      </c>
      <c r="AJ1451">
        <v>77.359720923102003</v>
      </c>
      <c r="AK1451">
        <v>13.800255637096701</v>
      </c>
      <c r="AL1451">
        <v>90.038046133214095</v>
      </c>
      <c r="AM1451">
        <v>84.055778433213902</v>
      </c>
      <c r="AN1451">
        <v>0.99999993458227598</v>
      </c>
    </row>
    <row r="1452" spans="1:40" x14ac:dyDescent="0.25">
      <c r="A1452" t="str">
        <f>"20190305135819223"</f>
        <v>20190305135819223</v>
      </c>
      <c r="B1452" t="str">
        <f>"1551765499220148"</f>
        <v>1551765499220148</v>
      </c>
      <c r="C1452" t="s">
        <v>40</v>
      </c>
      <c r="D1452">
        <v>4.1124939999999999</v>
      </c>
      <c r="E1452">
        <v>0.54256759999999904</v>
      </c>
      <c r="F1452" t="s">
        <v>58</v>
      </c>
      <c r="G1452">
        <v>-195.03729999999999</v>
      </c>
      <c r="H1452" s="1">
        <v>1.391288E-6</v>
      </c>
      <c r="I1452">
        <v>294.19439999999997</v>
      </c>
      <c r="J1452">
        <v>-191.25149999999999</v>
      </c>
      <c r="K1452">
        <v>1.1059509999999999</v>
      </c>
      <c r="L1452">
        <v>306.84300000000002</v>
      </c>
      <c r="M1452">
        <v>-6.7923049999999999E-2</v>
      </c>
      <c r="N1452">
        <v>-1.4678899999999899E-2</v>
      </c>
      <c r="O1452">
        <v>-0.99758259999999999</v>
      </c>
      <c r="P1452">
        <v>-0.17444490000000001</v>
      </c>
      <c r="Q1452">
        <v>-1.5529660000000001E-2</v>
      </c>
      <c r="R1452">
        <v>-0.98454450000000004</v>
      </c>
      <c r="S1452">
        <v>-0.84931950000000001</v>
      </c>
      <c r="T1452">
        <v>-0.24637339999999999</v>
      </c>
      <c r="U1452">
        <v>-2.8959350000000001</v>
      </c>
      <c r="V1452">
        <v>0.107147699999999</v>
      </c>
      <c r="W1452">
        <v>-1.9585819999999999E-3</v>
      </c>
      <c r="X1452">
        <v>0.99424120000000005</v>
      </c>
      <c r="Y1452">
        <v>0.21480550000000001</v>
      </c>
      <c r="Z1452">
        <v>6.7284170000000004E-2</v>
      </c>
      <c r="AA1452">
        <v>0.97433639999999999</v>
      </c>
      <c r="AB1452">
        <v>34</v>
      </c>
      <c r="AC1452">
        <v>-3.7857999999999898</v>
      </c>
      <c r="AD1452">
        <v>-1.105949608712</v>
      </c>
      <c r="AE1452">
        <v>-12.6486</v>
      </c>
      <c r="AF1452">
        <v>2.8975004831175402</v>
      </c>
      <c r="AG1452">
        <v>-1.105949608712</v>
      </c>
      <c r="AH1452">
        <v>12.7868335849845</v>
      </c>
      <c r="AI1452">
        <v>94.821641082969904</v>
      </c>
      <c r="AJ1452">
        <v>77.232373530255103</v>
      </c>
      <c r="AK1452">
        <v>13.157573739742601</v>
      </c>
      <c r="AL1452">
        <v>90.112218552524595</v>
      </c>
      <c r="AM1452">
        <v>83.849069337932093</v>
      </c>
      <c r="AN1452">
        <v>1.0000000147180901</v>
      </c>
    </row>
    <row r="1453" spans="1:40" x14ac:dyDescent="0.25">
      <c r="A1453" t="str">
        <f>"20190305135819244"</f>
        <v>20190305135819244</v>
      </c>
      <c r="B1453" t="str">
        <f>"1551765499229907"</f>
        <v>1551765499229907</v>
      </c>
      <c r="C1453" t="s">
        <v>40</v>
      </c>
      <c r="D1453">
        <v>4.0397449999999999</v>
      </c>
      <c r="E1453">
        <v>0.5424274</v>
      </c>
      <c r="F1453" t="s">
        <v>58</v>
      </c>
      <c r="G1453">
        <v>-195.06549999999999</v>
      </c>
      <c r="H1453" s="1">
        <v>1.39187E-6</v>
      </c>
      <c r="I1453">
        <v>294.17680000000001</v>
      </c>
      <c r="J1453">
        <v>-191.27760000000001</v>
      </c>
      <c r="K1453">
        <v>1.1058410000000001</v>
      </c>
      <c r="L1453">
        <v>306.524</v>
      </c>
      <c r="M1453">
        <v>-7.2329900000000003E-2</v>
      </c>
      <c r="N1453">
        <v>-1.4686019999999999E-2</v>
      </c>
      <c r="O1453">
        <v>-0.99727270000000001</v>
      </c>
      <c r="P1453">
        <v>-0.18255550000000001</v>
      </c>
      <c r="Q1453">
        <v>-1.69079E-2</v>
      </c>
      <c r="R1453">
        <v>-0.98305050000000005</v>
      </c>
      <c r="S1453">
        <v>-0.86993410000000004</v>
      </c>
      <c r="T1453">
        <v>-0.25225140000000001</v>
      </c>
      <c r="U1453">
        <v>-2.8889770000000001</v>
      </c>
      <c r="V1453">
        <v>0.11093749999999999</v>
      </c>
      <c r="W1453">
        <v>-3.4036449999999998E-3</v>
      </c>
      <c r="X1453">
        <v>0.99382159999999997</v>
      </c>
      <c r="Y1453">
        <v>0.21746660000000001</v>
      </c>
      <c r="Z1453">
        <v>6.9274639999999998E-2</v>
      </c>
      <c r="AA1453">
        <v>0.97360630000000004</v>
      </c>
      <c r="AB1453">
        <v>34</v>
      </c>
      <c r="AC1453">
        <v>-3.7878999999999698</v>
      </c>
      <c r="AD1453">
        <v>-1.1058396081299999</v>
      </c>
      <c r="AE1453">
        <v>-12.3471999999999</v>
      </c>
      <c r="AF1453">
        <v>2.8638128142897701</v>
      </c>
      <c r="AG1453">
        <v>-1.1058396081299999</v>
      </c>
      <c r="AH1453">
        <v>12.497239036714699</v>
      </c>
      <c r="AI1453">
        <v>94.929622010301401</v>
      </c>
      <c r="AJ1453">
        <v>77.093191567665897</v>
      </c>
      <c r="AK1453">
        <v>12.868771837863401</v>
      </c>
      <c r="AL1453">
        <v>90.195014861578599</v>
      </c>
      <c r="AM1453">
        <v>83.630602083773098</v>
      </c>
      <c r="AN1453">
        <v>1.0000000431660401</v>
      </c>
    </row>
    <row r="1454" spans="1:40" x14ac:dyDescent="0.25">
      <c r="A1454" t="str">
        <f>"20190305135819266"</f>
        <v>20190305135819266</v>
      </c>
      <c r="B1454" t="str">
        <f>"1551765499260164"</f>
        <v>1551765499260164</v>
      </c>
      <c r="C1454" t="s">
        <v>40</v>
      </c>
      <c r="D1454">
        <v>4.0183540000000004</v>
      </c>
      <c r="E1454">
        <v>0.52442089999999997</v>
      </c>
      <c r="F1454" t="s">
        <v>58</v>
      </c>
      <c r="G1454">
        <v>-195.11500000000001</v>
      </c>
      <c r="H1454" s="1">
        <v>1.3944379999999999E-6</v>
      </c>
      <c r="I1454">
        <v>294.13740000000001</v>
      </c>
      <c r="J1454">
        <v>-191.3066</v>
      </c>
      <c r="K1454">
        <v>1.105731</v>
      </c>
      <c r="L1454">
        <v>306.18990000000002</v>
      </c>
      <c r="M1454">
        <v>-7.7080789999999996E-2</v>
      </c>
      <c r="N1454">
        <v>-1.4692719999999999E-2</v>
      </c>
      <c r="O1454">
        <v>-0.99691669999999999</v>
      </c>
      <c r="P1454">
        <v>-0.18978709999999999</v>
      </c>
      <c r="Q1454">
        <v>-1.786418E-2</v>
      </c>
      <c r="R1454">
        <v>-0.9816629</v>
      </c>
      <c r="S1454">
        <v>-0.89270020000000005</v>
      </c>
      <c r="T1454">
        <v>-0.25725310000000001</v>
      </c>
      <c r="U1454">
        <v>-2.8815309999999998</v>
      </c>
      <c r="V1454">
        <v>0.11350789999999999</v>
      </c>
      <c r="W1454">
        <v>-4.4149819999999996E-3</v>
      </c>
      <c r="X1454">
        <v>0.9935273</v>
      </c>
      <c r="Y1454">
        <v>0.22050410000000001</v>
      </c>
      <c r="Z1454">
        <v>7.0971590000000001E-2</v>
      </c>
      <c r="AA1454">
        <v>0.97280060000000002</v>
      </c>
      <c r="AB1454">
        <v>34</v>
      </c>
      <c r="AC1454">
        <v>-3.8083999999999998</v>
      </c>
      <c r="AD1454">
        <v>-1.1057296055620001</v>
      </c>
      <c r="AE1454">
        <v>-12.0525</v>
      </c>
      <c r="AF1454">
        <v>2.8461698509961102</v>
      </c>
      <c r="AG1454">
        <v>-1.1057296055620001</v>
      </c>
      <c r="AH1454">
        <v>12.216730071047801</v>
      </c>
      <c r="AI1454">
        <v>95.037536987669895</v>
      </c>
      <c r="AJ1454">
        <v>76.885551733560405</v>
      </c>
      <c r="AK1454">
        <v>12.592530103604201</v>
      </c>
      <c r="AL1454">
        <v>90.2529606530628</v>
      </c>
      <c r="AM1454">
        <v>83.482365819509894</v>
      </c>
      <c r="AN1454">
        <v>1.00000001563688</v>
      </c>
    </row>
    <row r="1455" spans="1:40" x14ac:dyDescent="0.25">
      <c r="A1455" t="str">
        <f>"20190305135819289"</f>
        <v>20190305135819289</v>
      </c>
      <c r="B1455" t="str">
        <f>"1551765499279683"</f>
        <v>1551765499279683</v>
      </c>
      <c r="C1455" t="s">
        <v>40</v>
      </c>
      <c r="D1455">
        <v>4.0726889999999996</v>
      </c>
      <c r="E1455">
        <v>0.51352319999999996</v>
      </c>
      <c r="F1455" t="s">
        <v>41</v>
      </c>
      <c r="G1455">
        <v>-191.54239999999999</v>
      </c>
      <c r="H1455">
        <v>1.0044930000000001</v>
      </c>
      <c r="I1455">
        <v>305.31049999999999</v>
      </c>
      <c r="J1455">
        <v>-191.3382</v>
      </c>
      <c r="K1455">
        <v>1.1056140000000001</v>
      </c>
      <c r="L1455">
        <v>305.84660000000002</v>
      </c>
      <c r="M1455">
        <v>-8.2119049999999999E-2</v>
      </c>
      <c r="N1455">
        <v>-1.469961E-2</v>
      </c>
      <c r="O1455">
        <v>-0.99651429999999996</v>
      </c>
      <c r="P1455">
        <v>-0.1966899</v>
      </c>
      <c r="Q1455">
        <v>-1.7972419999999999E-2</v>
      </c>
      <c r="R1455">
        <v>-0.98030110000000004</v>
      </c>
      <c r="S1455">
        <v>-0.77682499999999999</v>
      </c>
      <c r="T1455">
        <v>-0.3337852</v>
      </c>
      <c r="U1455">
        <v>-2.8997799999999998</v>
      </c>
      <c r="V1455">
        <v>0.11547399999999999</v>
      </c>
      <c r="W1455">
        <v>-4.5739550000000002E-3</v>
      </c>
      <c r="X1455">
        <v>0.99329999999999996</v>
      </c>
      <c r="Y1455">
        <v>0.17719219999999999</v>
      </c>
      <c r="Z1455">
        <v>9.6482949999999998E-2</v>
      </c>
      <c r="AA1455">
        <v>0.97943550000000001</v>
      </c>
      <c r="AB1455">
        <v>33</v>
      </c>
      <c r="AC1455">
        <v>-0.204199999999985</v>
      </c>
      <c r="AD1455">
        <v>-0.101120999999999</v>
      </c>
      <c r="AE1455">
        <v>-0.53610000000003299</v>
      </c>
      <c r="AF1455">
        <v>0.154675493859118</v>
      </c>
      <c r="AG1455">
        <v>-0.101120999999999</v>
      </c>
      <c r="AH1455">
        <v>0.53445351739577196</v>
      </c>
      <c r="AI1455">
        <v>100.300855082344</v>
      </c>
      <c r="AJ1455">
        <v>73.859097104911598</v>
      </c>
      <c r="AK1455">
        <v>0.56550024517967701</v>
      </c>
      <c r="AL1455">
        <v>90.262069223678694</v>
      </c>
      <c r="AM1455">
        <v>83.368965120636204</v>
      </c>
      <c r="AN1455">
        <v>1.0000000278701699</v>
      </c>
    </row>
    <row r="1456" spans="1:40" x14ac:dyDescent="0.25">
      <c r="A1456" t="str">
        <f>"20190305135819310"</f>
        <v>20190305135819310</v>
      </c>
      <c r="B1456" t="str">
        <f>"1551765499300179"</f>
        <v>1551765499300179</v>
      </c>
      <c r="C1456" t="s">
        <v>40</v>
      </c>
      <c r="D1456">
        <v>4.0603020000000001</v>
      </c>
      <c r="E1456">
        <v>0.51046599999999998</v>
      </c>
      <c r="F1456" t="s">
        <v>41</v>
      </c>
      <c r="G1456">
        <v>-191.54140000000001</v>
      </c>
      <c r="H1456">
        <v>0.97475900000000004</v>
      </c>
      <c r="I1456">
        <v>305.02499999999998</v>
      </c>
      <c r="J1456">
        <v>-191.36920000000001</v>
      </c>
      <c r="K1456">
        <v>1.105504</v>
      </c>
      <c r="L1456">
        <v>305.52890000000002</v>
      </c>
      <c r="M1456">
        <v>-8.6933830000000004E-2</v>
      </c>
      <c r="N1456">
        <v>-1.4706790000000001E-2</v>
      </c>
      <c r="O1456">
        <v>-0.99610569999999998</v>
      </c>
      <c r="P1456">
        <v>-0.20354050000000001</v>
      </c>
      <c r="Q1456">
        <v>-1.6236609999999999E-2</v>
      </c>
      <c r="R1456">
        <v>-0.97893220000000003</v>
      </c>
      <c r="S1456">
        <v>-0.71875</v>
      </c>
      <c r="T1456">
        <v>-0.46301940000000003</v>
      </c>
      <c r="U1456">
        <v>-2.9076230000000001</v>
      </c>
      <c r="V1456">
        <v>0.117634</v>
      </c>
      <c r="W1456">
        <v>-2.8917859999999999E-3</v>
      </c>
      <c r="X1456">
        <v>0.99305279999999996</v>
      </c>
      <c r="Y1456">
        <v>0.152145</v>
      </c>
      <c r="Z1456">
        <v>0.13882749999999999</v>
      </c>
      <c r="AA1456">
        <v>0.97855959999999997</v>
      </c>
      <c r="AB1456">
        <v>33</v>
      </c>
      <c r="AC1456">
        <v>-0.17220000000000299</v>
      </c>
      <c r="AD1456">
        <v>-0.130745</v>
      </c>
      <c r="AE1456">
        <v>-0.50390000000004398</v>
      </c>
      <c r="AF1456">
        <v>0.12047469439206999</v>
      </c>
      <c r="AG1456">
        <v>-0.130745</v>
      </c>
      <c r="AH1456">
        <v>0.48757135775184401</v>
      </c>
      <c r="AI1456">
        <v>104.59172923088001</v>
      </c>
      <c r="AJ1456">
        <v>76.120710534856201</v>
      </c>
      <c r="AK1456">
        <v>0.51897421507608499</v>
      </c>
      <c r="AL1456">
        <v>90.165687365308202</v>
      </c>
      <c r="AM1456">
        <v>83.244397983941496</v>
      </c>
      <c r="AN1456">
        <v>0.99999999198505396</v>
      </c>
    </row>
    <row r="1457" spans="1:40" x14ac:dyDescent="0.25">
      <c r="A1457" t="str">
        <f>"20190305135819334"</f>
        <v>20190305135819334</v>
      </c>
      <c r="B1457" t="str">
        <f>"1551765499319699"</f>
        <v>1551765499319699</v>
      </c>
      <c r="C1457" t="s">
        <v>40</v>
      </c>
      <c r="D1457">
        <v>4.0680290000000001</v>
      </c>
      <c r="E1457">
        <v>0.50964399999999999</v>
      </c>
      <c r="F1457" t="s">
        <v>41</v>
      </c>
      <c r="G1457">
        <v>-191.5658</v>
      </c>
      <c r="H1457">
        <v>0.96072789999999997</v>
      </c>
      <c r="I1457">
        <v>304.73349999999999</v>
      </c>
      <c r="J1457">
        <v>-191.4059</v>
      </c>
      <c r="K1457">
        <v>1.1053740000000001</v>
      </c>
      <c r="L1457">
        <v>305.17250000000001</v>
      </c>
      <c r="M1457">
        <v>-9.2511689999999994E-2</v>
      </c>
      <c r="N1457">
        <v>-1.4716160000000001E-2</v>
      </c>
      <c r="O1457">
        <v>-0.99560289999999996</v>
      </c>
      <c r="P1457">
        <v>-0.2106739</v>
      </c>
      <c r="Q1457">
        <v>-1.3364600000000001E-2</v>
      </c>
      <c r="R1457">
        <v>-0.97746500000000003</v>
      </c>
      <c r="S1457">
        <v>-0.71875</v>
      </c>
      <c r="T1457">
        <v>-0.52910690000000005</v>
      </c>
      <c r="U1457">
        <v>-2.906342</v>
      </c>
      <c r="V1457">
        <v>0.11934</v>
      </c>
      <c r="W1457" s="1">
        <v>-7.4510699999999998E-5</v>
      </c>
      <c r="X1457">
        <v>0.99285350000000006</v>
      </c>
      <c r="Y1457">
        <v>0.1459162</v>
      </c>
      <c r="Z1457">
        <v>0.160137</v>
      </c>
      <c r="AA1457">
        <v>0.97625030000000002</v>
      </c>
      <c r="AB1457">
        <v>33</v>
      </c>
      <c r="AC1457">
        <v>-0.15989999999999299</v>
      </c>
      <c r="AD1457">
        <v>-0.1446461</v>
      </c>
      <c r="AE1457">
        <v>-0.43900000000002098</v>
      </c>
      <c r="AF1457">
        <v>0.108224081188607</v>
      </c>
      <c r="AG1457">
        <v>-0.1446461</v>
      </c>
      <c r="AH1457">
        <v>0.41238505468738201</v>
      </c>
      <c r="AI1457">
        <v>108.740353401577</v>
      </c>
      <c r="AJ1457">
        <v>75.295205082308101</v>
      </c>
      <c r="AK1457">
        <v>0.45021814637333701</v>
      </c>
      <c r="AL1457">
        <v>90.004269148399999</v>
      </c>
      <c r="AM1457">
        <v>83.145986725538805</v>
      </c>
      <c r="AN1457">
        <v>1.00000005680704</v>
      </c>
    </row>
    <row r="1458" spans="1:40" x14ac:dyDescent="0.25">
      <c r="A1458" t="str">
        <f>"20190305135819356"</f>
        <v>20190305135819356</v>
      </c>
      <c r="B1458" t="str">
        <f>"1551765499349955"</f>
        <v>1551765499349955</v>
      </c>
      <c r="C1458" t="s">
        <v>40</v>
      </c>
      <c r="D1458">
        <v>4.0712120000000001</v>
      </c>
      <c r="E1458">
        <v>0.50904129999999903</v>
      </c>
      <c r="F1458" t="s">
        <v>41</v>
      </c>
      <c r="G1458">
        <v>-191.5932</v>
      </c>
      <c r="H1458">
        <v>0.96650789999999998</v>
      </c>
      <c r="I1458">
        <v>304.43290000000002</v>
      </c>
      <c r="J1458">
        <v>-191.44200000000001</v>
      </c>
      <c r="K1458">
        <v>1.105232</v>
      </c>
      <c r="L1458">
        <v>304.84109999999998</v>
      </c>
      <c r="M1458">
        <v>-9.7883209999999998E-2</v>
      </c>
      <c r="N1458">
        <v>-1.4725820000000001E-2</v>
      </c>
      <c r="O1458">
        <v>-0.99508909999999995</v>
      </c>
      <c r="P1458">
        <v>-0.21737119999999999</v>
      </c>
      <c r="Q1458">
        <v>-1.133754E-2</v>
      </c>
      <c r="R1458">
        <v>-0.97602339999999999</v>
      </c>
      <c r="S1458">
        <v>-0.73466489999999995</v>
      </c>
      <c r="T1458">
        <v>-0.54491210000000001</v>
      </c>
      <c r="U1458">
        <v>-2.9034119999999999</v>
      </c>
      <c r="V1458">
        <v>0.1208101</v>
      </c>
      <c r="W1458">
        <v>1.9000200000000001E-3</v>
      </c>
      <c r="X1458">
        <v>0.99267380000000005</v>
      </c>
      <c r="Y1458">
        <v>0.1456364</v>
      </c>
      <c r="Z1458">
        <v>0.1651204</v>
      </c>
      <c r="AA1458">
        <v>0.97546160000000004</v>
      </c>
      <c r="AB1458">
        <v>33</v>
      </c>
      <c r="AC1458">
        <v>-0.15119999999998801</v>
      </c>
      <c r="AD1458">
        <v>-0.13872409999999999</v>
      </c>
      <c r="AE1458">
        <v>-0.40819999999996498</v>
      </c>
      <c r="AF1458">
        <v>0.100324596621231</v>
      </c>
      <c r="AG1458">
        <v>-0.13872409999999999</v>
      </c>
      <c r="AH1458">
        <v>0.38222257095546203</v>
      </c>
      <c r="AI1458">
        <v>109.34359348724701</v>
      </c>
      <c r="AJ1458">
        <v>75.292934166890504</v>
      </c>
      <c r="AK1458">
        <v>0.418812003595678</v>
      </c>
      <c r="AL1458">
        <v>89.891136805524397</v>
      </c>
      <c r="AM1458">
        <v>83.061129241576197</v>
      </c>
      <c r="AN1458">
        <v>0.99999998177222504</v>
      </c>
    </row>
    <row r="1459" spans="1:40" x14ac:dyDescent="0.25">
      <c r="A1459" t="str">
        <f>"20190305135819380"</f>
        <v>20190305135819380</v>
      </c>
      <c r="B1459" t="str">
        <f>"1551765499370451"</f>
        <v>1551765499370451</v>
      </c>
      <c r="C1459" t="s">
        <v>40</v>
      </c>
      <c r="D1459">
        <v>4.0462749999999996</v>
      </c>
      <c r="E1459">
        <v>0.50840879999999999</v>
      </c>
      <c r="F1459" t="s">
        <v>41</v>
      </c>
      <c r="G1459">
        <v>-191.6251</v>
      </c>
      <c r="H1459">
        <v>0.96944280000000005</v>
      </c>
      <c r="I1459">
        <v>304.13420000000002</v>
      </c>
      <c r="J1459">
        <v>-191.48179999999999</v>
      </c>
      <c r="K1459">
        <v>1.1050770000000001</v>
      </c>
      <c r="L1459">
        <v>304.49599999999998</v>
      </c>
      <c r="M1459">
        <v>-0.10368189999999999</v>
      </c>
      <c r="N1459">
        <v>-1.473708E-2</v>
      </c>
      <c r="O1459">
        <v>-0.99450130000000003</v>
      </c>
      <c r="P1459">
        <v>-0.22415750000000001</v>
      </c>
      <c r="Q1459">
        <v>-1.006628E-2</v>
      </c>
      <c r="R1459">
        <v>-0.97450110000000001</v>
      </c>
      <c r="S1459">
        <v>-0.75083919999999904</v>
      </c>
      <c r="T1459">
        <v>-0.55699370000000004</v>
      </c>
      <c r="U1459">
        <v>-2.8999630000000001</v>
      </c>
      <c r="V1459">
        <v>0.1219454</v>
      </c>
      <c r="W1459">
        <v>3.1192889999999999E-3</v>
      </c>
      <c r="X1459">
        <v>0.99253190000000002</v>
      </c>
      <c r="Y1459">
        <v>0.1450872</v>
      </c>
      <c r="Z1459">
        <v>0.16890929999999901</v>
      </c>
      <c r="AA1459">
        <v>0.9748945</v>
      </c>
      <c r="AB1459">
        <v>33</v>
      </c>
      <c r="AC1459">
        <v>-0.14330000000001</v>
      </c>
      <c r="AD1459">
        <v>-0.13563420000000001</v>
      </c>
      <c r="AE1459">
        <v>-0.36179999999995899</v>
      </c>
      <c r="AF1459">
        <v>9.3636152819283905E-2</v>
      </c>
      <c r="AG1459">
        <v>-0.13563420000000001</v>
      </c>
      <c r="AH1459">
        <v>0.33411916838383299</v>
      </c>
      <c r="AI1459">
        <v>111.349824227735</v>
      </c>
      <c r="AJ1459">
        <v>74.344590127203602</v>
      </c>
      <c r="AK1459">
        <v>0.37255869873879</v>
      </c>
      <c r="AL1459">
        <v>89.821277613877001</v>
      </c>
      <c r="AM1459">
        <v>82.995575224843705</v>
      </c>
      <c r="AN1459">
        <v>0.99999999153131702</v>
      </c>
    </row>
    <row r="1460" spans="1:40" x14ac:dyDescent="0.25">
      <c r="A1460" t="str">
        <f>"20190305135819400"</f>
        <v>20190305135819400</v>
      </c>
      <c r="B1460" t="str">
        <f>"1551765499389972"</f>
        <v>1551765499389972</v>
      </c>
      <c r="C1460" t="s">
        <v>40</v>
      </c>
      <c r="D1460">
        <v>4.0739549999999998</v>
      </c>
      <c r="E1460">
        <v>0.50783880000000003</v>
      </c>
      <c r="F1460" t="s">
        <v>41</v>
      </c>
      <c r="G1460">
        <v>-191.72800000000001</v>
      </c>
      <c r="H1460">
        <v>0.9248748</v>
      </c>
      <c r="I1460">
        <v>303.56529999999998</v>
      </c>
      <c r="J1460">
        <v>-191.5198</v>
      </c>
      <c r="K1460">
        <v>1.1049359999999999</v>
      </c>
      <c r="L1460">
        <v>304.18349999999998</v>
      </c>
      <c r="M1460">
        <v>-0.1091202</v>
      </c>
      <c r="N1460">
        <v>-1.4747919999999999E-2</v>
      </c>
      <c r="O1460">
        <v>-0.99391910000000006</v>
      </c>
      <c r="P1460">
        <v>-0.2312427</v>
      </c>
      <c r="Q1460">
        <v>-9.3551410000000008E-3</v>
      </c>
      <c r="R1460">
        <v>-0.97285100000000002</v>
      </c>
      <c r="S1460">
        <v>-0.76634219999999997</v>
      </c>
      <c r="T1460">
        <v>-0.56083919999999998</v>
      </c>
      <c r="U1460">
        <v>-2.896423</v>
      </c>
      <c r="V1460">
        <v>0.12374739999999999</v>
      </c>
      <c r="W1460">
        <v>3.7715980000000001E-3</v>
      </c>
      <c r="X1460">
        <v>0.99230660000000004</v>
      </c>
      <c r="Y1460">
        <v>0.14479600000000001</v>
      </c>
      <c r="Z1460">
        <v>0.170073799999999</v>
      </c>
      <c r="AA1460">
        <v>0.97473540000000003</v>
      </c>
      <c r="AB1460">
        <v>33</v>
      </c>
      <c r="AC1460">
        <v>-0.20819999999997599</v>
      </c>
      <c r="AD1460">
        <v>-0.1800612</v>
      </c>
      <c r="AE1460">
        <v>-0.61820000000000097</v>
      </c>
      <c r="AF1460">
        <v>0.129615108591117</v>
      </c>
      <c r="AG1460">
        <v>-0.1800612</v>
      </c>
      <c r="AH1460">
        <v>0.59211335199992499</v>
      </c>
      <c r="AI1460">
        <v>106.54484480577599</v>
      </c>
      <c r="AJ1460">
        <v>77.652572959113002</v>
      </c>
      <c r="AK1460">
        <v>0.63231347742802002</v>
      </c>
      <c r="AL1460">
        <v>89.783902843746006</v>
      </c>
      <c r="AM1460">
        <v>82.891523825024194</v>
      </c>
      <c r="AN1460">
        <v>1.00000001618089</v>
      </c>
    </row>
    <row r="1461" spans="1:40" x14ac:dyDescent="0.25">
      <c r="A1461" t="str">
        <f>"20190305135819424"</f>
        <v>20190305135819424</v>
      </c>
      <c r="B1461" t="str">
        <f>"1551765499410467"</f>
        <v>1551765499410467</v>
      </c>
      <c r="C1461" t="s">
        <v>40</v>
      </c>
      <c r="D1461">
        <v>4.1086010000000002</v>
      </c>
      <c r="E1461">
        <v>0.5075153</v>
      </c>
      <c r="F1461" t="s">
        <v>41</v>
      </c>
      <c r="G1461">
        <v>-191.76730000000001</v>
      </c>
      <c r="H1461">
        <v>0.92598959999999997</v>
      </c>
      <c r="I1461">
        <v>303.26949999999999</v>
      </c>
      <c r="J1461">
        <v>-191.5634</v>
      </c>
      <c r="K1461">
        <v>1.104784</v>
      </c>
      <c r="L1461">
        <v>303.84399999999999</v>
      </c>
      <c r="M1461">
        <v>-0.1151982</v>
      </c>
      <c r="N1461">
        <v>-1.476011E-2</v>
      </c>
      <c r="O1461">
        <v>-0.99323309999999998</v>
      </c>
      <c r="P1461">
        <v>-0.23978650000000001</v>
      </c>
      <c r="Q1461">
        <v>-8.7851430000000005E-3</v>
      </c>
      <c r="R1461">
        <v>-0.97078629999999999</v>
      </c>
      <c r="S1461">
        <v>-0.78239440000000005</v>
      </c>
      <c r="T1461">
        <v>-0.56607189999999996</v>
      </c>
      <c r="U1461">
        <v>-2.8923030000000001</v>
      </c>
      <c r="V1461">
        <v>0.126408399999999</v>
      </c>
      <c r="W1461">
        <v>4.2713200000000003E-3</v>
      </c>
      <c r="X1461">
        <v>0.99196910000000005</v>
      </c>
      <c r="Y1461">
        <v>0.14406140000000001</v>
      </c>
      <c r="Z1461">
        <v>0.17168329999999901</v>
      </c>
      <c r="AA1461">
        <v>0.97456200000000004</v>
      </c>
      <c r="AB1461">
        <v>33</v>
      </c>
      <c r="AC1461">
        <v>-0.20390000000000399</v>
      </c>
      <c r="AD1461">
        <v>-0.17879439999999899</v>
      </c>
      <c r="AE1461">
        <v>-0.57450000000000001</v>
      </c>
      <c r="AF1461">
        <v>0.12555349971617499</v>
      </c>
      <c r="AG1461">
        <v>-0.17879439999999899</v>
      </c>
      <c r="AH1461">
        <v>0.54710373321244798</v>
      </c>
      <c r="AI1461">
        <v>107.667814104649</v>
      </c>
      <c r="AJ1461">
        <v>77.075124220256896</v>
      </c>
      <c r="AK1461">
        <v>0.58911256450472804</v>
      </c>
      <c r="AL1461">
        <v>89.755270649727905</v>
      </c>
      <c r="AM1461">
        <v>82.737837103981093</v>
      </c>
      <c r="AN1461">
        <v>1.0000000115599501</v>
      </c>
    </row>
    <row r="1462" spans="1:40" x14ac:dyDescent="0.25">
      <c r="A1462" t="str">
        <f>"20190305135819445"</f>
        <v>20190305135819445</v>
      </c>
      <c r="B1462" t="str">
        <f>"1551765499439747"</f>
        <v>1551765499439747</v>
      </c>
      <c r="C1462" t="s">
        <v>40</v>
      </c>
      <c r="D1462">
        <v>4.0889889999999998</v>
      </c>
      <c r="E1462">
        <v>0.50657649999999999</v>
      </c>
      <c r="F1462" t="s">
        <v>41</v>
      </c>
      <c r="G1462">
        <v>-191.8066</v>
      </c>
      <c r="H1462">
        <v>0.93264709999999995</v>
      </c>
      <c r="I1462">
        <v>302.97160000000002</v>
      </c>
      <c r="J1462">
        <v>-191.60589999999999</v>
      </c>
      <c r="K1462">
        <v>1.1046560000000001</v>
      </c>
      <c r="L1462">
        <v>303.52719999999999</v>
      </c>
      <c r="M1462">
        <v>-0.12101339999999999</v>
      </c>
      <c r="N1462">
        <v>-1.4786270000000001E-2</v>
      </c>
      <c r="O1462">
        <v>-0.9925408</v>
      </c>
      <c r="P1462">
        <v>-0.24755569999999999</v>
      </c>
      <c r="Q1462">
        <v>-9.3646440000000001E-3</v>
      </c>
      <c r="R1462">
        <v>-0.96882860000000004</v>
      </c>
      <c r="S1462">
        <v>-0.80453490000000005</v>
      </c>
      <c r="T1462">
        <v>-0.56945239999999997</v>
      </c>
      <c r="U1462">
        <v>-2.8863829999999999</v>
      </c>
      <c r="V1462">
        <v>0.1285395</v>
      </c>
      <c r="W1462">
        <v>3.6471450000000001E-3</v>
      </c>
      <c r="X1462">
        <v>0.99169770000000002</v>
      </c>
      <c r="Y1462">
        <v>0.1456683</v>
      </c>
      <c r="Z1462">
        <v>0.17271239999999999</v>
      </c>
      <c r="AA1462">
        <v>0.97414120000000004</v>
      </c>
      <c r="AB1462">
        <v>33</v>
      </c>
      <c r="AC1462">
        <v>-0.20070000000001101</v>
      </c>
      <c r="AD1462">
        <v>-0.17200889999999899</v>
      </c>
      <c r="AE1462">
        <v>-0.55559999999996901</v>
      </c>
      <c r="AF1462">
        <v>0.121666961322852</v>
      </c>
      <c r="AG1462">
        <v>-0.17200889999999899</v>
      </c>
      <c r="AH1462">
        <v>0.53080265573781904</v>
      </c>
      <c r="AI1462">
        <v>107.529400671658</v>
      </c>
      <c r="AJ1462">
        <v>77.090059656511997</v>
      </c>
      <c r="AK1462">
        <v>0.57108788333764104</v>
      </c>
      <c r="AL1462">
        <v>89.791033524397704</v>
      </c>
      <c r="AM1462">
        <v>82.614746972760898</v>
      </c>
      <c r="AN1462">
        <v>1.00000001645609</v>
      </c>
    </row>
    <row r="1463" spans="1:40" x14ac:dyDescent="0.25">
      <c r="A1463" t="str">
        <f>"20190305135819468"</f>
        <v>20190305135819468</v>
      </c>
      <c r="B1463" t="str">
        <f>"1551765499460243"</f>
        <v>1551765499460243</v>
      </c>
      <c r="C1463" t="s">
        <v>40</v>
      </c>
      <c r="D1463">
        <v>4.0961189999999998</v>
      </c>
      <c r="E1463">
        <v>0.50670020000000005</v>
      </c>
      <c r="F1463" t="s">
        <v>41</v>
      </c>
      <c r="G1463">
        <v>-191.84829999999999</v>
      </c>
      <c r="H1463">
        <v>0.93309149999999996</v>
      </c>
      <c r="I1463">
        <v>302.67739999999998</v>
      </c>
      <c r="J1463">
        <v>-191.6523</v>
      </c>
      <c r="K1463">
        <v>1.104554</v>
      </c>
      <c r="L1463">
        <v>303.19850000000002</v>
      </c>
      <c r="M1463">
        <v>-0.12717600000000001</v>
      </c>
      <c r="N1463">
        <v>-1.489556E-2</v>
      </c>
      <c r="O1463">
        <v>-0.99176850000000005</v>
      </c>
      <c r="P1463">
        <v>-0.25484069999999998</v>
      </c>
      <c r="Q1463">
        <v>-1.076909E-2</v>
      </c>
      <c r="R1463">
        <v>-0.96692339999999999</v>
      </c>
      <c r="S1463">
        <v>-0.82119750000000002</v>
      </c>
      <c r="T1463">
        <v>-0.58150489999999999</v>
      </c>
      <c r="U1463">
        <v>-2.8810730000000002</v>
      </c>
      <c r="V1463">
        <v>0.12982930000000001</v>
      </c>
      <c r="W1463">
        <v>2.2948410000000002E-3</v>
      </c>
      <c r="X1463">
        <v>0.99153369999999996</v>
      </c>
      <c r="Y1463">
        <v>0.14502019999999999</v>
      </c>
      <c r="Z1463">
        <v>0.17642249999999901</v>
      </c>
      <c r="AA1463">
        <v>0.97357289999999996</v>
      </c>
      <c r="AB1463">
        <v>33</v>
      </c>
      <c r="AC1463">
        <v>-0.19599999999999701</v>
      </c>
      <c r="AD1463">
        <v>-0.17146249999999899</v>
      </c>
      <c r="AE1463">
        <v>-0.52110000000004597</v>
      </c>
      <c r="AF1463">
        <v>0.11702933465586</v>
      </c>
      <c r="AG1463">
        <v>-0.17146249999999899</v>
      </c>
      <c r="AH1463">
        <v>0.49486026413691497</v>
      </c>
      <c r="AI1463">
        <v>108.63338660047199</v>
      </c>
      <c r="AJ1463">
        <v>76.694591400430994</v>
      </c>
      <c r="AK1463">
        <v>0.53663948335721701</v>
      </c>
      <c r="AL1463">
        <v>89.868515180092203</v>
      </c>
      <c r="AM1463">
        <v>82.540251883011393</v>
      </c>
      <c r="AN1463">
        <v>0.99999999583469701</v>
      </c>
    </row>
    <row r="1464" spans="1:40" x14ac:dyDescent="0.25">
      <c r="A1464" t="str">
        <f>"20190305135819489"</f>
        <v>20190305135819489</v>
      </c>
      <c r="B1464" t="str">
        <f>"1551765499480740"</f>
        <v>1551765499480740</v>
      </c>
      <c r="C1464" t="s">
        <v>40</v>
      </c>
      <c r="D1464">
        <v>4.0584059999999997</v>
      </c>
      <c r="E1464">
        <v>0.50700210000000001</v>
      </c>
      <c r="F1464" t="s">
        <v>41</v>
      </c>
      <c r="G1464">
        <v>-191.89230000000001</v>
      </c>
      <c r="H1464">
        <v>0.93629180000000001</v>
      </c>
      <c r="I1464">
        <v>302.38299999999998</v>
      </c>
      <c r="J1464">
        <v>-191.69909999999999</v>
      </c>
      <c r="K1464">
        <v>1.1044940000000001</v>
      </c>
      <c r="L1464">
        <v>302.88200000000001</v>
      </c>
      <c r="M1464">
        <v>-0.13321340000000001</v>
      </c>
      <c r="N1464">
        <v>-1.513226E-2</v>
      </c>
      <c r="O1464">
        <v>-0.99097179999999996</v>
      </c>
      <c r="P1464">
        <v>-0.26227250000000002</v>
      </c>
      <c r="Q1464">
        <v>-1.1374169999999999E-2</v>
      </c>
      <c r="R1464">
        <v>-0.96492670000000003</v>
      </c>
      <c r="S1464">
        <v>-0.84521480000000004</v>
      </c>
      <c r="T1464">
        <v>-0.59279469999999901</v>
      </c>
      <c r="U1464">
        <v>-2.8732600000000001</v>
      </c>
      <c r="V1464">
        <v>0.13141529999999901</v>
      </c>
      <c r="W1464">
        <v>1.8685489999999999E-3</v>
      </c>
      <c r="X1464">
        <v>0.99132560000000003</v>
      </c>
      <c r="Y1464">
        <v>0.14701429999999999</v>
      </c>
      <c r="Z1464">
        <v>0.17980489999999999</v>
      </c>
      <c r="AA1464">
        <v>0.97265460000000004</v>
      </c>
      <c r="AB1464">
        <v>33</v>
      </c>
      <c r="AC1464">
        <v>-0.193200000000018</v>
      </c>
      <c r="AD1464">
        <v>-0.1682022</v>
      </c>
      <c r="AE1464">
        <v>-0.49900000000002298</v>
      </c>
      <c r="AF1464">
        <v>0.113756326347024</v>
      </c>
      <c r="AG1464">
        <v>-0.1682022</v>
      </c>
      <c r="AH1464">
        <v>0.47350440847518199</v>
      </c>
      <c r="AI1464">
        <v>109.054936385963</v>
      </c>
      <c r="AJ1464">
        <v>76.491079200096706</v>
      </c>
      <c r="AK1464">
        <v>0.51520763456517504</v>
      </c>
      <c r="AL1464">
        <v>89.892939961784904</v>
      </c>
      <c r="AM1464">
        <v>82.448601686766693</v>
      </c>
      <c r="AN1464">
        <v>0.999999958882406</v>
      </c>
    </row>
    <row r="1465" spans="1:40" x14ac:dyDescent="0.25">
      <c r="A1465" t="str">
        <f>"20190305135819510"</f>
        <v>20190305135819510</v>
      </c>
      <c r="B1465" t="str">
        <f>"1551765499500259"</f>
        <v>1551765499500259</v>
      </c>
      <c r="C1465" t="s">
        <v>40</v>
      </c>
      <c r="D1465">
        <v>4.0889889999999998</v>
      </c>
      <c r="E1465">
        <v>0.50693569999999999</v>
      </c>
      <c r="F1465" t="s">
        <v>41</v>
      </c>
      <c r="G1465">
        <v>-191.93969999999999</v>
      </c>
      <c r="H1465">
        <v>0.93843129999999997</v>
      </c>
      <c r="I1465">
        <v>302.09039999999999</v>
      </c>
      <c r="J1465">
        <v>-191.74860000000001</v>
      </c>
      <c r="K1465">
        <v>1.104481</v>
      </c>
      <c r="L1465">
        <v>302.56119999999999</v>
      </c>
      <c r="M1465">
        <v>-0.13943849999999999</v>
      </c>
      <c r="N1465">
        <v>-1.5505980000000001E-2</v>
      </c>
      <c r="O1465">
        <v>-0.99010929999999997</v>
      </c>
      <c r="P1465">
        <v>-0.2713042</v>
      </c>
      <c r="Q1465">
        <v>-1.176347E-2</v>
      </c>
      <c r="R1465">
        <v>-0.96242190000000005</v>
      </c>
      <c r="S1465">
        <v>-0.8703613</v>
      </c>
      <c r="T1465">
        <v>-0.60088439999999999</v>
      </c>
      <c r="U1465">
        <v>-2.8653870000000001</v>
      </c>
      <c r="V1465">
        <v>0.13447490000000001</v>
      </c>
      <c r="W1465">
        <v>1.7736589999999999E-3</v>
      </c>
      <c r="X1465">
        <v>0.9909154</v>
      </c>
      <c r="Y1465">
        <v>0.1492241</v>
      </c>
      <c r="Z1465">
        <v>0.18200469999999999</v>
      </c>
      <c r="AA1465">
        <v>0.97190869999999996</v>
      </c>
      <c r="AB1465">
        <v>33</v>
      </c>
      <c r="AC1465">
        <v>-0.19109999999997701</v>
      </c>
      <c r="AD1465">
        <v>-0.16604969999999999</v>
      </c>
      <c r="AE1465">
        <v>-0.470799999999997</v>
      </c>
      <c r="AF1465">
        <v>0.11165270110563601</v>
      </c>
      <c r="AG1465">
        <v>-0.16604969999999999</v>
      </c>
      <c r="AH1465">
        <v>0.445292601813154</v>
      </c>
      <c r="AI1465">
        <v>109.885222413397</v>
      </c>
      <c r="AJ1465">
        <v>75.923854528807894</v>
      </c>
      <c r="AK1465">
        <v>0.48818472913826699</v>
      </c>
      <c r="AL1465">
        <v>89.898376770429394</v>
      </c>
      <c r="AM1465">
        <v>82.271730665322906</v>
      </c>
      <c r="AN1465">
        <v>0.99999998727670902</v>
      </c>
    </row>
    <row r="1466" spans="1:40" x14ac:dyDescent="0.25">
      <c r="A1466" t="str">
        <f>"20190305135819535"</f>
        <v>20190305135819535</v>
      </c>
      <c r="B1466" t="str">
        <f>"1551765499530515"</f>
        <v>1551765499530515</v>
      </c>
      <c r="C1466" t="s">
        <v>40</v>
      </c>
      <c r="D1466">
        <v>3.9606300000000001</v>
      </c>
      <c r="E1466">
        <v>0.50682139999999998</v>
      </c>
      <c r="F1466" t="s">
        <v>41</v>
      </c>
      <c r="G1466">
        <v>-191.988</v>
      </c>
      <c r="H1466">
        <v>0.94204949999999998</v>
      </c>
      <c r="I1466">
        <v>301.79860000000002</v>
      </c>
      <c r="J1466">
        <v>-191.80430000000001</v>
      </c>
      <c r="K1466">
        <v>1.1044989999999999</v>
      </c>
      <c r="L1466">
        <v>302.2158</v>
      </c>
      <c r="M1466">
        <v>-0.146233</v>
      </c>
      <c r="N1466">
        <v>-1.601971E-2</v>
      </c>
      <c r="O1466">
        <v>-0.98912040000000001</v>
      </c>
      <c r="P1466">
        <v>-0.28199069999999998</v>
      </c>
      <c r="Q1466">
        <v>-1.24317E-2</v>
      </c>
      <c r="R1466">
        <v>-0.95933650000000004</v>
      </c>
      <c r="S1466">
        <v>-0.89659120000000003</v>
      </c>
      <c r="T1466">
        <v>-0.60846919999999904</v>
      </c>
      <c r="U1466">
        <v>-2.856903</v>
      </c>
      <c r="V1466">
        <v>0.13868800000000001</v>
      </c>
      <c r="W1466">
        <v>1.519028E-3</v>
      </c>
      <c r="X1466">
        <v>0.99033490000000002</v>
      </c>
      <c r="Y1466">
        <v>0.15125999999999901</v>
      </c>
      <c r="Z1466">
        <v>0.1838968</v>
      </c>
      <c r="AA1466">
        <v>0.97123749999999998</v>
      </c>
      <c r="AB1466">
        <v>33</v>
      </c>
      <c r="AC1466">
        <v>-0.18369999999998701</v>
      </c>
      <c r="AD1466">
        <v>-0.162449499999999</v>
      </c>
      <c r="AE1466">
        <v>-0.41719999999997898</v>
      </c>
      <c r="AF1466">
        <v>0.107106475882028</v>
      </c>
      <c r="AG1466">
        <v>-0.162449499999999</v>
      </c>
      <c r="AH1466">
        <v>0.390046368756162</v>
      </c>
      <c r="AI1466">
        <v>111.881418837903</v>
      </c>
      <c r="AJ1466">
        <v>74.645093003369794</v>
      </c>
      <c r="AK1466">
        <v>0.43588737881015299</v>
      </c>
      <c r="AL1466">
        <v>89.912966068073004</v>
      </c>
      <c r="AM1466">
        <v>82.0280566957193</v>
      </c>
      <c r="AN1466">
        <v>0.99999994147403504</v>
      </c>
    </row>
    <row r="1467" spans="1:40" x14ac:dyDescent="0.25">
      <c r="A1467" t="str">
        <f>"20190305135819556"</f>
        <v>20190305135819556</v>
      </c>
      <c r="B1467" t="str">
        <f>"1551765499550036"</f>
        <v>1551765499550036</v>
      </c>
      <c r="C1467" t="s">
        <v>40</v>
      </c>
      <c r="D1467">
        <v>4.072349</v>
      </c>
      <c r="E1467">
        <v>0.50667980000000001</v>
      </c>
      <c r="F1467" t="s">
        <v>41</v>
      </c>
      <c r="G1467">
        <v>-192.03559999999999</v>
      </c>
      <c r="H1467">
        <v>0.94982080000000002</v>
      </c>
      <c r="I1467">
        <v>301.5061</v>
      </c>
      <c r="J1467">
        <v>-191.85740000000001</v>
      </c>
      <c r="K1467">
        <v>1.1044989999999999</v>
      </c>
      <c r="L1467">
        <v>301.9008</v>
      </c>
      <c r="M1467">
        <v>-0.1524895</v>
      </c>
      <c r="N1467">
        <v>-1.6536160000000001E-2</v>
      </c>
      <c r="O1467">
        <v>-0.98816669999999995</v>
      </c>
      <c r="P1467">
        <v>-0.29308770000000001</v>
      </c>
      <c r="Q1467">
        <v>-1.410282E-2</v>
      </c>
      <c r="R1467">
        <v>-0.95598179999999999</v>
      </c>
      <c r="S1467">
        <v>-0.92727660000000001</v>
      </c>
      <c r="T1467">
        <v>-0.62023779999999995</v>
      </c>
      <c r="U1467">
        <v>-2.8464969999999998</v>
      </c>
      <c r="V1467">
        <v>0.1438796</v>
      </c>
      <c r="W1467">
        <v>2.4968800000000003E-4</v>
      </c>
      <c r="X1467">
        <v>0.98959520000000001</v>
      </c>
      <c r="Y1467">
        <v>0.1552994</v>
      </c>
      <c r="Z1467">
        <v>0.18715029999999999</v>
      </c>
      <c r="AA1467">
        <v>0.96997770000000005</v>
      </c>
      <c r="AB1467">
        <v>33</v>
      </c>
      <c r="AC1467">
        <v>-0.17819999999997499</v>
      </c>
      <c r="AD1467">
        <v>-0.15467819999999899</v>
      </c>
      <c r="AE1467">
        <v>-0.3947</v>
      </c>
      <c r="AF1467">
        <v>0.102804537224118</v>
      </c>
      <c r="AG1467">
        <v>-0.15467819999999899</v>
      </c>
      <c r="AH1467">
        <v>0.37005172264918701</v>
      </c>
      <c r="AI1467">
        <v>111.93652455497801</v>
      </c>
      <c r="AJ1467">
        <v>74.474107777457107</v>
      </c>
      <c r="AK1467">
        <v>0.41404395402509597</v>
      </c>
      <c r="AL1467">
        <v>89.985693931696204</v>
      </c>
      <c r="AM1467">
        <v>81.727595303186604</v>
      </c>
      <c r="AN1467">
        <v>1.0000000307516399</v>
      </c>
    </row>
    <row r="1468" spans="1:40" x14ac:dyDescent="0.25">
      <c r="A1468" t="str">
        <f>"20190305135819578"</f>
        <v>20190305135819578</v>
      </c>
      <c r="B1468" t="str">
        <f>"1551765499570531"</f>
        <v>1551765499570531</v>
      </c>
      <c r="C1468" t="s">
        <v>40</v>
      </c>
      <c r="D1468">
        <v>4.0533599999999996</v>
      </c>
      <c r="E1468">
        <v>0.50660430000000001</v>
      </c>
      <c r="F1468" t="s">
        <v>41</v>
      </c>
      <c r="G1468">
        <v>-192.08850000000001</v>
      </c>
      <c r="H1468">
        <v>0.95288709999999999</v>
      </c>
      <c r="I1468">
        <v>301.21780000000001</v>
      </c>
      <c r="J1468">
        <v>-191.91120000000001</v>
      </c>
      <c r="K1468">
        <v>1.104506</v>
      </c>
      <c r="L1468">
        <v>301.5951</v>
      </c>
      <c r="M1468">
        <v>-0.15860150000000001</v>
      </c>
      <c r="N1468">
        <v>-1.7036530000000001E-2</v>
      </c>
      <c r="O1468">
        <v>-0.98719570000000001</v>
      </c>
      <c r="P1468">
        <v>-0.30502629999999997</v>
      </c>
      <c r="Q1468">
        <v>-1.675039E-2</v>
      </c>
      <c r="R1468">
        <v>-0.95219679999999995</v>
      </c>
      <c r="S1468">
        <v>-0.95843509999999998</v>
      </c>
      <c r="T1468">
        <v>-0.62913299999999905</v>
      </c>
      <c r="U1468">
        <v>-2.8350520000000001</v>
      </c>
      <c r="V1468">
        <v>0.15010899999999999</v>
      </c>
      <c r="W1468">
        <v>-2.027339E-3</v>
      </c>
      <c r="X1468">
        <v>0.98866739999999997</v>
      </c>
      <c r="Y1468">
        <v>0.15976580000000001</v>
      </c>
      <c r="Z1468">
        <v>0.18955</v>
      </c>
      <c r="AA1468">
        <v>0.96878560000000002</v>
      </c>
      <c r="AB1468">
        <v>33</v>
      </c>
      <c r="AC1468">
        <v>-0.17730000000000201</v>
      </c>
      <c r="AD1468">
        <v>-0.1516189</v>
      </c>
      <c r="AE1468">
        <v>-0.37729999999999098</v>
      </c>
      <c r="AF1468">
        <v>0.101747443900675</v>
      </c>
      <c r="AG1468">
        <v>-0.1516189</v>
      </c>
      <c r="AH1468">
        <v>0.35384234011551502</v>
      </c>
      <c r="AI1468">
        <v>112.38214809845</v>
      </c>
      <c r="AJ1468">
        <v>73.957398839516699</v>
      </c>
      <c r="AK1468">
        <v>0.39817739116624301</v>
      </c>
      <c r="AL1468">
        <v>90.116158045019802</v>
      </c>
      <c r="AM1468">
        <v>81.366739020591197</v>
      </c>
      <c r="AN1468">
        <v>1.0000000249035901</v>
      </c>
    </row>
    <row r="1469" spans="1:40" x14ac:dyDescent="0.25">
      <c r="A1469" t="str">
        <f>"20190305135819603"</f>
        <v>20190305135819603</v>
      </c>
      <c r="B1469" t="str">
        <f>"1551765499590054"</f>
        <v>1551765499590054</v>
      </c>
      <c r="C1469" t="s">
        <v>40</v>
      </c>
      <c r="D1469">
        <v>4.1087910000000001</v>
      </c>
      <c r="E1469">
        <v>0.50636040000000004</v>
      </c>
      <c r="F1469" t="s">
        <v>41</v>
      </c>
      <c r="G1469">
        <v>-192.14439999999999</v>
      </c>
      <c r="H1469">
        <v>0.95407819999999999</v>
      </c>
      <c r="I1469">
        <v>300.93239999999997</v>
      </c>
      <c r="J1469">
        <v>-191.9752</v>
      </c>
      <c r="K1469">
        <v>1.1045430000000001</v>
      </c>
      <c r="L1469">
        <v>301.2466</v>
      </c>
      <c r="M1469">
        <v>-0.16560759999999999</v>
      </c>
      <c r="N1469">
        <v>-1.7576319999999999E-2</v>
      </c>
      <c r="O1469">
        <v>-0.9860352</v>
      </c>
      <c r="P1469">
        <v>-0.31743169999999998</v>
      </c>
      <c r="Q1469">
        <v>-1.9154279999999999E-2</v>
      </c>
      <c r="R1469">
        <v>-0.94808780000000004</v>
      </c>
      <c r="S1469">
        <v>-0.99255369999999998</v>
      </c>
      <c r="T1469">
        <v>-0.64030220000000004</v>
      </c>
      <c r="U1469">
        <v>-2.8214419999999998</v>
      </c>
      <c r="V1469">
        <v>0.1559711</v>
      </c>
      <c r="W1469">
        <v>-4.0103760000000004E-3</v>
      </c>
      <c r="X1469">
        <v>0.98775349999999995</v>
      </c>
      <c r="Y1469">
        <v>0.16440739999999901</v>
      </c>
      <c r="Z1469">
        <v>0.19266349999999999</v>
      </c>
      <c r="AA1469">
        <v>0.96739390000000003</v>
      </c>
      <c r="AB1469">
        <v>32</v>
      </c>
      <c r="AC1469">
        <v>-0.169199999999989</v>
      </c>
      <c r="AD1469">
        <v>-0.15046480000000001</v>
      </c>
      <c r="AE1469">
        <v>-0.31420000000002801</v>
      </c>
      <c r="AF1469">
        <v>9.7489760717655097E-2</v>
      </c>
      <c r="AG1469">
        <v>-0.15046480000000001</v>
      </c>
      <c r="AH1469">
        <v>0.28688443349975401</v>
      </c>
      <c r="AI1469">
        <v>116.408493468757</v>
      </c>
      <c r="AJ1469">
        <v>71.231087861801498</v>
      </c>
      <c r="AK1469">
        <v>0.33829955316006599</v>
      </c>
      <c r="AL1469">
        <v>90.229778229943193</v>
      </c>
      <c r="AM1469">
        <v>81.026806242598298</v>
      </c>
      <c r="AN1469">
        <v>1.0000000219565599</v>
      </c>
    </row>
    <row r="1470" spans="1:40" x14ac:dyDescent="0.25">
      <c r="A1470" t="str">
        <f>"20190305135819625"</f>
        <v>20190305135819625</v>
      </c>
      <c r="B1470" t="str">
        <f>"1551765499620307"</f>
        <v>1551765499620307</v>
      </c>
      <c r="C1470" t="s">
        <v>40</v>
      </c>
      <c r="D1470">
        <v>4.1820069999999996</v>
      </c>
      <c r="E1470">
        <v>0.50612309999999905</v>
      </c>
      <c r="F1470" t="s">
        <v>41</v>
      </c>
      <c r="G1470">
        <v>-192.28749999999999</v>
      </c>
      <c r="H1470">
        <v>0.90686319999999998</v>
      </c>
      <c r="I1470">
        <v>300.39350000000002</v>
      </c>
      <c r="J1470">
        <v>-192.03450000000001</v>
      </c>
      <c r="K1470">
        <v>1.1045940000000001</v>
      </c>
      <c r="L1470">
        <v>300.9357</v>
      </c>
      <c r="M1470">
        <v>-0.17189979999999999</v>
      </c>
      <c r="N1470">
        <v>-1.803428E-2</v>
      </c>
      <c r="O1470">
        <v>-0.98494950000000003</v>
      </c>
      <c r="P1470">
        <v>-0.32836959999999998</v>
      </c>
      <c r="Q1470">
        <v>-2.054632E-2</v>
      </c>
      <c r="R1470">
        <v>-0.944326</v>
      </c>
      <c r="S1470">
        <v>-1.0271300000000001</v>
      </c>
      <c r="T1470">
        <v>-0.65030619999999995</v>
      </c>
      <c r="U1470">
        <v>-2.8072810000000001</v>
      </c>
      <c r="V1470">
        <v>0.16106899999999999</v>
      </c>
      <c r="W1470">
        <v>-5.0383909999999997E-3</v>
      </c>
      <c r="X1470">
        <v>0.98693030000000004</v>
      </c>
      <c r="Y1470">
        <v>0.16996259999999999</v>
      </c>
      <c r="Z1470">
        <v>0.19550799999999999</v>
      </c>
      <c r="AA1470">
        <v>0.965862</v>
      </c>
      <c r="AB1470">
        <v>32</v>
      </c>
      <c r="AC1470">
        <v>-0.25299999999998501</v>
      </c>
      <c r="AD1470">
        <v>-0.19773080000000001</v>
      </c>
      <c r="AE1470">
        <v>-0.54219999999997903</v>
      </c>
      <c r="AF1470">
        <v>0.140652312916133</v>
      </c>
      <c r="AG1470">
        <v>-0.19773080000000001</v>
      </c>
      <c r="AH1470">
        <v>0.52075088399481495</v>
      </c>
      <c r="AI1470">
        <v>110.13130849974399</v>
      </c>
      <c r="AJ1470">
        <v>74.885341188249996</v>
      </c>
      <c r="AK1470">
        <v>0.574510248454002</v>
      </c>
      <c r="AL1470">
        <v>90.288679757582003</v>
      </c>
      <c r="AM1470">
        <v>80.730931191221799</v>
      </c>
      <c r="AN1470">
        <v>1.0000000126014701</v>
      </c>
    </row>
    <row r="1471" spans="1:40" x14ac:dyDescent="0.25">
      <c r="A1471" t="str">
        <f>"20190305135819647"</f>
        <v>20190305135819647</v>
      </c>
      <c r="B1471" t="str">
        <f>"1551765499639828"</f>
        <v>1551765499639828</v>
      </c>
      <c r="C1471" t="s">
        <v>40</v>
      </c>
      <c r="D1471">
        <v>4.2958290000000003</v>
      </c>
      <c r="E1471">
        <v>0.54635619999999996</v>
      </c>
      <c r="F1471" t="s">
        <v>41</v>
      </c>
      <c r="G1471">
        <v>-192.3466</v>
      </c>
      <c r="H1471">
        <v>0.91066619999999998</v>
      </c>
      <c r="I1471">
        <v>300.11200000000002</v>
      </c>
      <c r="J1471">
        <v>-192.09889999999999</v>
      </c>
      <c r="K1471">
        <v>1.1046689999999999</v>
      </c>
      <c r="L1471">
        <v>300.61040000000003</v>
      </c>
      <c r="M1471">
        <v>-0.17853869999999999</v>
      </c>
      <c r="N1471">
        <v>-1.848907E-2</v>
      </c>
      <c r="O1471">
        <v>-0.9837593</v>
      </c>
      <c r="P1471">
        <v>-0.33971829999999997</v>
      </c>
      <c r="Q1471">
        <v>-2.036321E-2</v>
      </c>
      <c r="R1471">
        <v>-0.940307</v>
      </c>
      <c r="S1471">
        <v>-1.058395</v>
      </c>
      <c r="T1471">
        <v>-0.6577828</v>
      </c>
      <c r="U1471">
        <v>-2.7945250000000001</v>
      </c>
      <c r="V1471">
        <v>0.16630139999999999</v>
      </c>
      <c r="W1471">
        <v>-4.48694E-3</v>
      </c>
      <c r="X1471">
        <v>0.98606470000000002</v>
      </c>
      <c r="Y1471">
        <v>0.17405799999999999</v>
      </c>
      <c r="Z1471">
        <v>0.19748560000000001</v>
      </c>
      <c r="AA1471">
        <v>0.96472959999999996</v>
      </c>
      <c r="AB1471">
        <v>32</v>
      </c>
      <c r="AC1471">
        <v>-0.247700000000008</v>
      </c>
      <c r="AD1471">
        <v>-0.1940028</v>
      </c>
      <c r="AE1471">
        <v>-0.49840000000000301</v>
      </c>
      <c r="AF1471">
        <v>0.137957418944188</v>
      </c>
      <c r="AG1471">
        <v>-0.1940028</v>
      </c>
      <c r="AH1471">
        <v>0.47669965635119799</v>
      </c>
      <c r="AI1471">
        <v>111.351974732255</v>
      </c>
      <c r="AJ1471">
        <v>73.859496966826299</v>
      </c>
      <c r="AK1471">
        <v>0.53283383734043499</v>
      </c>
      <c r="AL1471">
        <v>90.257083602876193</v>
      </c>
      <c r="AM1471">
        <v>80.427058369633002</v>
      </c>
      <c r="AN1471">
        <v>0.99999994042930496</v>
      </c>
    </row>
    <row r="1472" spans="1:40" x14ac:dyDescent="0.25">
      <c r="A1472" t="str">
        <f>"20190305135819668"</f>
        <v>20190305135819668</v>
      </c>
      <c r="B1472" t="str">
        <f>"1551765499660324"</f>
        <v>1551765499660324</v>
      </c>
      <c r="C1472" t="s">
        <v>40</v>
      </c>
      <c r="D1472">
        <v>4.3025599999999997</v>
      </c>
      <c r="E1472">
        <v>0.62196079999999998</v>
      </c>
      <c r="F1472" t="s">
        <v>58</v>
      </c>
      <c r="G1472">
        <v>-194.8013</v>
      </c>
      <c r="H1472" s="1">
        <v>1.056064E-6</v>
      </c>
      <c r="I1472">
        <v>295.41359999999997</v>
      </c>
      <c r="J1472">
        <v>-192.15610000000001</v>
      </c>
      <c r="K1472">
        <v>1.1047340000000001</v>
      </c>
      <c r="L1472">
        <v>300.33069999999998</v>
      </c>
      <c r="M1472">
        <v>-0.18430099999999999</v>
      </c>
      <c r="N1472">
        <v>-1.8852790000000001E-2</v>
      </c>
      <c r="O1472">
        <v>-0.98268900000000003</v>
      </c>
      <c r="P1472">
        <v>-0.35035709999999998</v>
      </c>
      <c r="Q1472">
        <v>-1.9070119999999999E-2</v>
      </c>
      <c r="R1472">
        <v>-0.93642219999999998</v>
      </c>
      <c r="S1472">
        <v>-1.3912960000000001</v>
      </c>
      <c r="T1472">
        <v>-0.56871319999999903</v>
      </c>
      <c r="U1472">
        <v>-2.675446</v>
      </c>
      <c r="V1472">
        <v>0.17171500000000001</v>
      </c>
      <c r="W1472">
        <v>-2.9176480000000001E-3</v>
      </c>
      <c r="X1472">
        <v>0.98514239999999997</v>
      </c>
      <c r="Y1472">
        <v>0.28266560000000002</v>
      </c>
      <c r="Z1472">
        <v>0.16943269999999999</v>
      </c>
      <c r="AA1472">
        <v>0.94413599999999998</v>
      </c>
      <c r="AB1472">
        <v>32</v>
      </c>
      <c r="AC1472">
        <v>-2.64519999999998</v>
      </c>
      <c r="AD1472">
        <v>-1.1047329439360001</v>
      </c>
      <c r="AE1472">
        <v>-4.9170999999999996</v>
      </c>
      <c r="AF1472">
        <v>1.6296847354095301</v>
      </c>
      <c r="AG1472">
        <v>-1.1047329439360001</v>
      </c>
      <c r="AH1472">
        <v>5.12000136203834</v>
      </c>
      <c r="AI1472">
        <v>101.618338450785</v>
      </c>
      <c r="AJ1472">
        <v>72.343846040690394</v>
      </c>
      <c r="AK1472">
        <v>5.4855009945782296</v>
      </c>
      <c r="AL1472">
        <v>90.167169145141202</v>
      </c>
      <c r="AM1472">
        <v>80.112410234386005</v>
      </c>
      <c r="AN1472">
        <v>1.0000000510863001</v>
      </c>
    </row>
    <row r="1473" spans="1:40" x14ac:dyDescent="0.25">
      <c r="A1473" t="str">
        <f>"20190305135819691"</f>
        <v>20190305135819691</v>
      </c>
      <c r="B1473" t="str">
        <f>"1551765499679845"</f>
        <v>1551765499679845</v>
      </c>
      <c r="C1473" t="s">
        <v>40</v>
      </c>
      <c r="D1473">
        <v>4.2496080000000003</v>
      </c>
      <c r="E1473">
        <v>0.62858919999999996</v>
      </c>
      <c r="F1473" t="s">
        <v>58</v>
      </c>
      <c r="G1473">
        <v>-196.8305</v>
      </c>
      <c r="H1473" s="1">
        <v>1.16937E-6</v>
      </c>
      <c r="I1473">
        <v>294.5514</v>
      </c>
      <c r="J1473">
        <v>-192.22290000000001</v>
      </c>
      <c r="K1473">
        <v>1.1047910000000001</v>
      </c>
      <c r="L1473">
        <v>300.01479999999998</v>
      </c>
      <c r="M1473">
        <v>-0.19087970000000001</v>
      </c>
      <c r="N1473">
        <v>-1.9227930000000001E-2</v>
      </c>
      <c r="O1473">
        <v>-0.9814252</v>
      </c>
      <c r="P1473">
        <v>-0.36068040000000001</v>
      </c>
      <c r="Q1473">
        <v>-1.8071940000000002E-2</v>
      </c>
      <c r="R1473">
        <v>-0.93251470000000003</v>
      </c>
      <c r="S1473">
        <v>-1.9833069999999999</v>
      </c>
      <c r="T1473">
        <v>-0.4687269</v>
      </c>
      <c r="U1473">
        <v>-2.452118</v>
      </c>
      <c r="V1473">
        <v>0.1760099</v>
      </c>
      <c r="W1473">
        <v>-1.6153980000000001E-3</v>
      </c>
      <c r="X1473">
        <v>0.98438709999999996</v>
      </c>
      <c r="Y1473">
        <v>0.46256760000000002</v>
      </c>
      <c r="Z1473">
        <v>0.13346910000000001</v>
      </c>
      <c r="AA1473">
        <v>0.87647999999999904</v>
      </c>
      <c r="AB1473">
        <v>32</v>
      </c>
      <c r="AC1473">
        <v>-4.6075999999999899</v>
      </c>
      <c r="AD1473">
        <v>-1.1047898306299999</v>
      </c>
      <c r="AE1473">
        <v>-5.4633999999999698</v>
      </c>
      <c r="AF1473">
        <v>3.3985938773306801</v>
      </c>
      <c r="AG1473">
        <v>-1.1047898306299999</v>
      </c>
      <c r="AH1473">
        <v>6.0968801344024497</v>
      </c>
      <c r="AI1473">
        <v>98.993945294936296</v>
      </c>
      <c r="AJ1473">
        <v>60.863321532269403</v>
      </c>
      <c r="AK1473">
        <v>7.0670324950550798</v>
      </c>
      <c r="AL1473">
        <v>90.092555525247604</v>
      </c>
      <c r="AM1473">
        <v>79.862553529503003</v>
      </c>
      <c r="AN1473">
        <v>1.0000000285275501</v>
      </c>
    </row>
    <row r="1474" spans="1:40" x14ac:dyDescent="0.25">
      <c r="A1474" t="str">
        <f>"20190305135819714"</f>
        <v>20190305135819714</v>
      </c>
      <c r="B1474" t="str">
        <f>"1551765499710100"</f>
        <v>1551765499710100</v>
      </c>
      <c r="C1474" t="s">
        <v>40</v>
      </c>
      <c r="D1474">
        <v>4.2451220000000003</v>
      </c>
      <c r="E1474">
        <v>0.62698909999999997</v>
      </c>
      <c r="F1474" t="s">
        <v>58</v>
      </c>
      <c r="G1474">
        <v>-198.28280000000001</v>
      </c>
      <c r="H1474" s="1">
        <v>1.3318999999999999E-6</v>
      </c>
      <c r="I1474">
        <v>292.8972</v>
      </c>
      <c r="J1474">
        <v>-192.28989999999999</v>
      </c>
      <c r="K1474">
        <v>1.1048199999999999</v>
      </c>
      <c r="L1474">
        <v>299.70830000000001</v>
      </c>
      <c r="M1474">
        <v>-0.19734209999999999</v>
      </c>
      <c r="N1474">
        <v>-1.9555400000000001E-2</v>
      </c>
      <c r="O1474">
        <v>-0.98013989999999995</v>
      </c>
      <c r="P1474">
        <v>-0.36949470000000001</v>
      </c>
      <c r="Q1474">
        <v>-1.8744980000000001E-2</v>
      </c>
      <c r="R1474">
        <v>-0.92904419999999999</v>
      </c>
      <c r="S1474">
        <v>-2.0558320000000001</v>
      </c>
      <c r="T1474">
        <v>-0.37480079999999999</v>
      </c>
      <c r="U1474">
        <v>-2.4146730000000001</v>
      </c>
      <c r="V1474">
        <v>0.17884040000000001</v>
      </c>
      <c r="W1474">
        <v>-2.013604E-3</v>
      </c>
      <c r="X1474">
        <v>0.98387599999999997</v>
      </c>
      <c r="Y1474">
        <v>0.48120940000000001</v>
      </c>
      <c r="Z1474">
        <v>0.10297389999999999</v>
      </c>
      <c r="AA1474">
        <v>0.87053649999999905</v>
      </c>
      <c r="AB1474">
        <v>31</v>
      </c>
      <c r="AC1474">
        <v>-5.9929000000000103</v>
      </c>
      <c r="AD1474">
        <v>-1.1048186681000001</v>
      </c>
      <c r="AE1474">
        <v>-6.8110999999999997</v>
      </c>
      <c r="AF1474">
        <v>4.4644199438945797</v>
      </c>
      <c r="AG1474">
        <v>-1.1048186681000001</v>
      </c>
      <c r="AH1474">
        <v>7.7451205350983603</v>
      </c>
      <c r="AI1474">
        <v>97.045226169400095</v>
      </c>
      <c r="AJ1474">
        <v>60.040116051635401</v>
      </c>
      <c r="AK1474">
        <v>9.0076945900728802</v>
      </c>
      <c r="AL1474">
        <v>90.115371093005905</v>
      </c>
      <c r="AM1474">
        <v>79.697754829406506</v>
      </c>
      <c r="AN1474">
        <v>0.99999996332461305</v>
      </c>
    </row>
    <row r="1475" spans="1:40" x14ac:dyDescent="0.25">
      <c r="A1475" t="str">
        <f>"20190305135819737"</f>
        <v>20190305135819737</v>
      </c>
      <c r="B1475" t="str">
        <f>"1551765499730596"</f>
        <v>1551765499730596</v>
      </c>
      <c r="C1475" t="s">
        <v>40</v>
      </c>
      <c r="D1475">
        <v>4.2285159999999999</v>
      </c>
      <c r="E1475">
        <v>0.62631800000000004</v>
      </c>
      <c r="F1475" t="s">
        <v>58</v>
      </c>
      <c r="G1475">
        <v>-199.24350000000001</v>
      </c>
      <c r="H1475" s="1">
        <v>1.471516E-6</v>
      </c>
      <c r="I1475">
        <v>291.62060000000002</v>
      </c>
      <c r="J1475">
        <v>-192.36269999999999</v>
      </c>
      <c r="K1475">
        <v>1.104824</v>
      </c>
      <c r="L1475">
        <v>299.38589999999999</v>
      </c>
      <c r="M1475">
        <v>-0.20423569999999999</v>
      </c>
      <c r="N1475">
        <v>-1.986272E-2</v>
      </c>
      <c r="O1475">
        <v>-0.97872020000000004</v>
      </c>
      <c r="P1475">
        <v>-0.37735439999999998</v>
      </c>
      <c r="Q1475">
        <v>-1.884483E-2</v>
      </c>
      <c r="R1475">
        <v>-0.92587730000000001</v>
      </c>
      <c r="S1475">
        <v>-2.0646209999999998</v>
      </c>
      <c r="T1475">
        <v>-0.32803320000000002</v>
      </c>
      <c r="U1475">
        <v>-2.4013369999999998</v>
      </c>
      <c r="V1475">
        <v>0.18025469999999999</v>
      </c>
      <c r="W1475">
        <v>-1.840026E-3</v>
      </c>
      <c r="X1475">
        <v>0.98361829999999995</v>
      </c>
      <c r="Y1475">
        <v>0.48025899999999999</v>
      </c>
      <c r="Z1475">
        <v>8.7952779999999994E-2</v>
      </c>
      <c r="AA1475">
        <v>0.87270590000000003</v>
      </c>
      <c r="AB1475">
        <v>31</v>
      </c>
      <c r="AC1475">
        <v>-6.8808000000000202</v>
      </c>
      <c r="AD1475">
        <v>-1.1048225284839901</v>
      </c>
      <c r="AE1475">
        <v>-7.7652999999999599</v>
      </c>
      <c r="AF1475">
        <v>5.0917055489116496</v>
      </c>
      <c r="AG1475">
        <v>-1.1048225284839901</v>
      </c>
      <c r="AH1475">
        <v>8.9061476740624705</v>
      </c>
      <c r="AI1475">
        <v>96.146727380112296</v>
      </c>
      <c r="AJ1475">
        <v>60.243101083994503</v>
      </c>
      <c r="AK1475">
        <v>10.318215185218399</v>
      </c>
      <c r="AL1475">
        <v>90.1054257780726</v>
      </c>
      <c r="AM1475">
        <v>79.615387057344094</v>
      </c>
      <c r="AN1475">
        <v>1.0000000513313201</v>
      </c>
    </row>
    <row r="1476" spans="1:40" x14ac:dyDescent="0.25">
      <c r="A1476" t="str">
        <f>"20190305135819757"</f>
        <v>20190305135819757</v>
      </c>
      <c r="B1476" t="str">
        <f>"1551765499750549"</f>
        <v>1551765499750549</v>
      </c>
      <c r="C1476" t="s">
        <v>40</v>
      </c>
      <c r="D1476">
        <v>4.254003</v>
      </c>
      <c r="E1476">
        <v>0.62552339999999995</v>
      </c>
      <c r="F1476" t="s">
        <v>58</v>
      </c>
      <c r="G1476">
        <v>-199.49449999999999</v>
      </c>
      <c r="H1476" s="1">
        <v>1.522252E-6</v>
      </c>
      <c r="I1476">
        <v>291.20609999999999</v>
      </c>
      <c r="J1476">
        <v>-192.42619999999999</v>
      </c>
      <c r="K1476">
        <v>1.1048119999999999</v>
      </c>
      <c r="L1476">
        <v>299.11399999999998</v>
      </c>
      <c r="M1476">
        <v>-0.2101548</v>
      </c>
      <c r="N1476">
        <v>-2.0092039999999999E-2</v>
      </c>
      <c r="O1476">
        <v>-0.97746180000000005</v>
      </c>
      <c r="P1476">
        <v>-0.384382</v>
      </c>
      <c r="Q1476">
        <v>-1.796329E-2</v>
      </c>
      <c r="R1476">
        <v>-0.92299980000000004</v>
      </c>
      <c r="S1476">
        <v>-2.0801090000000002</v>
      </c>
      <c r="T1476">
        <v>-0.32224360000000002</v>
      </c>
      <c r="U1476">
        <v>-2.3858030000000001</v>
      </c>
      <c r="V1476">
        <v>0.1817898</v>
      </c>
      <c r="W1476">
        <v>-7.676836E-4</v>
      </c>
      <c r="X1476">
        <v>0.98333709999999996</v>
      </c>
      <c r="Y1476">
        <v>0.48109859999999999</v>
      </c>
      <c r="Z1476">
        <v>8.6028939999999998E-2</v>
      </c>
      <c r="AA1476">
        <v>0.87243519999999897</v>
      </c>
      <c r="AB1476">
        <v>31</v>
      </c>
      <c r="AC1476">
        <v>-7.06829999999999</v>
      </c>
      <c r="AD1476">
        <v>-1.1048104777479999</v>
      </c>
      <c r="AE1476">
        <v>-7.9079000000000397</v>
      </c>
      <c r="AF1476">
        <v>5.1918360504475602</v>
      </c>
      <c r="AG1476">
        <v>-1.1048104777479999</v>
      </c>
      <c r="AH1476">
        <v>9.1180336620177407</v>
      </c>
      <c r="AI1476">
        <v>96.010793926433806</v>
      </c>
      <c r="AJ1476">
        <v>60.342682370574501</v>
      </c>
      <c r="AK1476">
        <v>10.5505594936077</v>
      </c>
      <c r="AL1476">
        <v>90.0439850351964</v>
      </c>
      <c r="AM1476">
        <v>79.525968757129206</v>
      </c>
      <c r="AN1476">
        <v>0.99999998647927901</v>
      </c>
    </row>
    <row r="1477" spans="1:40" x14ac:dyDescent="0.25">
      <c r="A1477" t="str">
        <f>"20190305135819780"</f>
        <v>20190305135819780</v>
      </c>
      <c r="B1477" t="str">
        <f>"1551765499770069"</f>
        <v>1551765499770069</v>
      </c>
      <c r="C1477" t="s">
        <v>40</v>
      </c>
      <c r="D1477">
        <v>4.2651059999999896</v>
      </c>
      <c r="E1477">
        <v>0.62486489999999995</v>
      </c>
      <c r="F1477" t="s">
        <v>58</v>
      </c>
      <c r="G1477">
        <v>-199.6832</v>
      </c>
      <c r="H1477" s="1">
        <v>1.562627E-6</v>
      </c>
      <c r="I1477">
        <v>290.8818</v>
      </c>
      <c r="J1477">
        <v>-192.50200000000001</v>
      </c>
      <c r="K1477">
        <v>1.104792</v>
      </c>
      <c r="L1477">
        <v>298.79939999999999</v>
      </c>
      <c r="M1477">
        <v>-0.21713789999999999</v>
      </c>
      <c r="N1477">
        <v>-2.0327000000000001E-2</v>
      </c>
      <c r="O1477">
        <v>-0.97592939999999995</v>
      </c>
      <c r="P1477">
        <v>-0.39288070000000003</v>
      </c>
      <c r="Q1477">
        <v>-1.772543E-2</v>
      </c>
      <c r="R1477">
        <v>-0.91941890000000004</v>
      </c>
      <c r="S1477">
        <v>-2.0918269999999999</v>
      </c>
      <c r="T1477">
        <v>-0.3184613</v>
      </c>
      <c r="U1477">
        <v>-2.372925</v>
      </c>
      <c r="V1477">
        <v>0.18383459999999999</v>
      </c>
      <c r="W1477">
        <v>-3.4886409999999998E-4</v>
      </c>
      <c r="X1477">
        <v>0.98295710000000003</v>
      </c>
      <c r="Y1477">
        <v>0.47968139999999998</v>
      </c>
      <c r="Z1477">
        <v>8.4731070000000006E-2</v>
      </c>
      <c r="AA1477">
        <v>0.87334210000000001</v>
      </c>
      <c r="AB1477">
        <v>31</v>
      </c>
      <c r="AC1477">
        <v>-7.1811999999999898</v>
      </c>
      <c r="AD1477">
        <v>-1.104790437373</v>
      </c>
      <c r="AE1477">
        <v>-7.9175999999999904</v>
      </c>
      <c r="AF1477">
        <v>5.2343100090520398</v>
      </c>
      <c r="AG1477">
        <v>-1.104790437373</v>
      </c>
      <c r="AH1477">
        <v>9.1900742264521895</v>
      </c>
      <c r="AI1477">
        <v>95.963506356855305</v>
      </c>
      <c r="AJ1477">
        <v>60.335838034201203</v>
      </c>
      <c r="AK1477">
        <v>10.633721242776399</v>
      </c>
      <c r="AL1477">
        <v>90.019988441535702</v>
      </c>
      <c r="AM1477">
        <v>79.406804413172495</v>
      </c>
      <c r="AN1477">
        <v>0.99999997115186401</v>
      </c>
    </row>
    <row r="1478" spans="1:40" x14ac:dyDescent="0.25">
      <c r="A1478" t="str">
        <f>"20190305135819804"</f>
        <v>20190305135819804</v>
      </c>
      <c r="B1478" t="str">
        <f>"1551765499800324"</f>
        <v>1551765499800324</v>
      </c>
      <c r="C1478" t="s">
        <v>40</v>
      </c>
      <c r="D1478">
        <v>4.2611970000000001</v>
      </c>
      <c r="E1478">
        <v>0.62369169999999996</v>
      </c>
      <c r="F1478" t="s">
        <v>58</v>
      </c>
      <c r="G1478">
        <v>-199.78399999999999</v>
      </c>
      <c r="H1478" s="1">
        <v>1.5920449999999999E-6</v>
      </c>
      <c r="I1478">
        <v>290.66399999999999</v>
      </c>
      <c r="J1478">
        <v>-192.58019999999999</v>
      </c>
      <c r="K1478">
        <v>1.104762</v>
      </c>
      <c r="L1478">
        <v>298.4864</v>
      </c>
      <c r="M1478">
        <v>-0.2242526</v>
      </c>
      <c r="N1478">
        <v>-2.0531150000000001E-2</v>
      </c>
      <c r="O1478">
        <v>-0.97431480000000004</v>
      </c>
      <c r="P1478">
        <v>-0.40105030000000003</v>
      </c>
      <c r="Q1478">
        <v>-1.7867859999999999E-2</v>
      </c>
      <c r="R1478">
        <v>-0.91588179999999997</v>
      </c>
      <c r="S1478">
        <v>-2.1086119999999999</v>
      </c>
      <c r="T1478">
        <v>-0.3199092</v>
      </c>
      <c r="U1478">
        <v>-2.3557429999999999</v>
      </c>
      <c r="V1478">
        <v>0.18541340000000001</v>
      </c>
      <c r="W1478">
        <v>-3.363013E-4</v>
      </c>
      <c r="X1478">
        <v>0.98266050000000005</v>
      </c>
      <c r="Y1478">
        <v>0.47987109999999999</v>
      </c>
      <c r="Z1478">
        <v>8.5160849999999996E-2</v>
      </c>
      <c r="AA1478">
        <v>0.87319609999999903</v>
      </c>
      <c r="AB1478">
        <v>31</v>
      </c>
      <c r="AC1478">
        <v>-7.2038000000000197</v>
      </c>
      <c r="AD1478">
        <v>-1.104760407955</v>
      </c>
      <c r="AE1478">
        <v>-7.8224000000000098</v>
      </c>
      <c r="AF1478">
        <v>5.2094606759991997</v>
      </c>
      <c r="AG1478">
        <v>-1.104760407955</v>
      </c>
      <c r="AH1478">
        <v>9.1402495037142693</v>
      </c>
      <c r="AI1478">
        <v>95.994627944693903</v>
      </c>
      <c r="AJ1478">
        <v>60.319138193226699</v>
      </c>
      <c r="AK1478">
        <v>10.5784279117417</v>
      </c>
      <c r="AL1478">
        <v>90.019268646458897</v>
      </c>
      <c r="AM1478">
        <v>79.314763383322401</v>
      </c>
      <c r="AN1478">
        <v>0.99999995012918597</v>
      </c>
    </row>
    <row r="1479" spans="1:40" x14ac:dyDescent="0.25">
      <c r="A1479" t="str">
        <f>"20190305135819826"</f>
        <v>20190305135819826</v>
      </c>
      <c r="B1479" t="str">
        <f>"1551765499819845"</f>
        <v>1551765499819845</v>
      </c>
      <c r="C1479" t="s">
        <v>40</v>
      </c>
      <c r="D1479">
        <v>4.2881669999999996</v>
      </c>
      <c r="E1479">
        <v>0.62300599999999995</v>
      </c>
      <c r="F1479" t="s">
        <v>58</v>
      </c>
      <c r="G1479">
        <v>-199.94730000000001</v>
      </c>
      <c r="H1479" s="1">
        <v>1.6318950000000001E-6</v>
      </c>
      <c r="I1479">
        <v>290.35550000000001</v>
      </c>
      <c r="J1479">
        <v>-192.6591</v>
      </c>
      <c r="K1479">
        <v>1.1047279999999999</v>
      </c>
      <c r="L1479">
        <v>298.18020000000001</v>
      </c>
      <c r="M1479">
        <v>-0.23134270000000001</v>
      </c>
      <c r="N1479">
        <v>-2.0705520000000002E-2</v>
      </c>
      <c r="O1479">
        <v>-0.97265210000000002</v>
      </c>
      <c r="P1479">
        <v>-0.40879979999999999</v>
      </c>
      <c r="Q1479">
        <v>-1.9803979999999999E-2</v>
      </c>
      <c r="R1479">
        <v>-0.91240949999999998</v>
      </c>
      <c r="S1479">
        <v>-2.1207729999999998</v>
      </c>
      <c r="T1479">
        <v>-0.31802829999999999</v>
      </c>
      <c r="U1479">
        <v>-2.3406370000000001</v>
      </c>
      <c r="V1479">
        <v>0.18656929999999999</v>
      </c>
      <c r="W1479">
        <v>-2.1383679999999999E-3</v>
      </c>
      <c r="X1479">
        <v>0.98243950000000002</v>
      </c>
      <c r="Y1479">
        <v>0.47881180000000001</v>
      </c>
      <c r="Z1479">
        <v>8.4565580000000001E-2</v>
      </c>
      <c r="AA1479">
        <v>0.87383519999999903</v>
      </c>
      <c r="AB1479">
        <v>31</v>
      </c>
      <c r="AC1479">
        <v>-7.2882000000000096</v>
      </c>
      <c r="AD1479">
        <v>-1.1047263681049999</v>
      </c>
      <c r="AE1479">
        <v>-7.8247</v>
      </c>
      <c r="AF1479">
        <v>5.2240691769663199</v>
      </c>
      <c r="AG1479">
        <v>-1.1047263681049999</v>
      </c>
      <c r="AH1479">
        <v>9.2005749086866402</v>
      </c>
      <c r="AI1479">
        <v>95.960888131793496</v>
      </c>
      <c r="AJ1479">
        <v>60.412170925091999</v>
      </c>
      <c r="AK1479">
        <v>10.6377581174075</v>
      </c>
      <c r="AL1479">
        <v>90.122519551909804</v>
      </c>
      <c r="AM1479">
        <v>79.247335607642697</v>
      </c>
      <c r="AN1479">
        <v>1.00000002374022</v>
      </c>
    </row>
    <row r="1480" spans="1:40" x14ac:dyDescent="0.25">
      <c r="A1480" t="str">
        <f>"20190305135819850"</f>
        <v>20190305135819850</v>
      </c>
      <c r="B1480" t="str">
        <f>"1551765499840341"</f>
        <v>1551765499840341</v>
      </c>
      <c r="C1480" t="s">
        <v>40</v>
      </c>
      <c r="D1480">
        <v>4.2841129999999996</v>
      </c>
      <c r="E1480">
        <v>0.6222898</v>
      </c>
      <c r="F1480" t="s">
        <v>58</v>
      </c>
      <c r="G1480">
        <v>-200.1206</v>
      </c>
      <c r="H1480" s="1">
        <v>1.76302699999999E-6</v>
      </c>
      <c r="I1480">
        <v>290.05619999999999</v>
      </c>
      <c r="J1480">
        <v>-192.74080000000001</v>
      </c>
      <c r="K1480">
        <v>1.1046990000000001</v>
      </c>
      <c r="L1480">
        <v>297.87270000000001</v>
      </c>
      <c r="M1480">
        <v>-0.23861859999999999</v>
      </c>
      <c r="N1480">
        <v>-2.08571E-2</v>
      </c>
      <c r="O1480">
        <v>-0.97088949999999996</v>
      </c>
      <c r="P1480">
        <v>-0.41722409999999999</v>
      </c>
      <c r="Q1480">
        <v>-2.122574E-2</v>
      </c>
      <c r="R1480">
        <v>-0.90855600000000003</v>
      </c>
      <c r="S1480">
        <v>-2.1349490000000002</v>
      </c>
      <c r="T1480">
        <v>-0.31609300000000001</v>
      </c>
      <c r="U1480">
        <v>-2.3245239999999998</v>
      </c>
      <c r="V1480">
        <v>0.18829070000000001</v>
      </c>
      <c r="W1480">
        <v>-3.4612359999999999E-3</v>
      </c>
      <c r="X1480">
        <v>0.98210719999999996</v>
      </c>
      <c r="Y1480">
        <v>0.4781842</v>
      </c>
      <c r="Z1480">
        <v>8.3953949999999999E-2</v>
      </c>
      <c r="AA1480">
        <v>0.87423770000000001</v>
      </c>
      <c r="AB1480">
        <v>30</v>
      </c>
      <c r="AC1480">
        <v>-7.3797999999999799</v>
      </c>
      <c r="AD1480">
        <v>-1.1046972369729999</v>
      </c>
      <c r="AE1480">
        <v>-7.8165000000000102</v>
      </c>
      <c r="AF1480">
        <v>5.24556493552174</v>
      </c>
      <c r="AG1480">
        <v>-1.1046972369729999</v>
      </c>
      <c r="AH1480">
        <v>9.2542196886758905</v>
      </c>
      <c r="AI1480">
        <v>95.928872215807601</v>
      </c>
      <c r="AJ1480">
        <v>60.454155237305102</v>
      </c>
      <c r="AK1480">
        <v>10.6947131576507</v>
      </c>
      <c r="AL1480">
        <v>90.1983146185908</v>
      </c>
      <c r="AM1480">
        <v>79.146885576899095</v>
      </c>
      <c r="AN1480">
        <v>0.99999996007648795</v>
      </c>
    </row>
    <row r="1481" spans="1:40" x14ac:dyDescent="0.25">
      <c r="A1481" t="str">
        <f>"20190305135819870"</f>
        <v>20190305135819870</v>
      </c>
      <c r="B1481" t="str">
        <f>"1551765499860263"</f>
        <v>1551765499860263</v>
      </c>
      <c r="C1481" t="s">
        <v>40</v>
      </c>
      <c r="D1481">
        <v>4.3603560000000003</v>
      </c>
      <c r="E1481">
        <v>0.622036699999999</v>
      </c>
      <c r="F1481" t="s">
        <v>58</v>
      </c>
      <c r="G1481">
        <v>-200.23230000000001</v>
      </c>
      <c r="H1481" s="1">
        <v>1.853519E-6</v>
      </c>
      <c r="I1481">
        <v>289.83859999999999</v>
      </c>
      <c r="J1481">
        <v>-192.8135</v>
      </c>
      <c r="K1481">
        <v>1.1046609999999999</v>
      </c>
      <c r="L1481">
        <v>297.60750000000002</v>
      </c>
      <c r="M1481">
        <v>-0.2450445</v>
      </c>
      <c r="N1481">
        <v>-2.097187E-2</v>
      </c>
      <c r="O1481">
        <v>-0.96928510000000001</v>
      </c>
      <c r="P1481">
        <v>-0.42534440000000001</v>
      </c>
      <c r="Q1481">
        <v>-2.082937E-2</v>
      </c>
      <c r="R1481">
        <v>-0.90479180000000003</v>
      </c>
      <c r="S1481">
        <v>-2.15097</v>
      </c>
      <c r="T1481">
        <v>-0.31718000000000002</v>
      </c>
      <c r="U1481">
        <v>-2.3067630000000001</v>
      </c>
      <c r="V1481">
        <v>0.1905839</v>
      </c>
      <c r="W1481">
        <v>-3.0163770000000002E-3</v>
      </c>
      <c r="X1481">
        <v>0.98166629999999999</v>
      </c>
      <c r="Y1481">
        <v>0.47894550000000002</v>
      </c>
      <c r="Z1481">
        <v>8.4356829999999994E-2</v>
      </c>
      <c r="AA1481">
        <v>0.87378210000000001</v>
      </c>
      <c r="AB1481">
        <v>30</v>
      </c>
      <c r="AC1481">
        <v>-7.4188000000000001</v>
      </c>
      <c r="AD1481">
        <v>-1.1046591464810001</v>
      </c>
      <c r="AE1481">
        <v>-7.7689000000000297</v>
      </c>
      <c r="AF1481">
        <v>5.2330303535501699</v>
      </c>
      <c r="AG1481">
        <v>-1.1046591464810001</v>
      </c>
      <c r="AH1481">
        <v>9.2524280037101594</v>
      </c>
      <c r="AI1481">
        <v>95.932952627026495</v>
      </c>
      <c r="AJ1481">
        <v>60.508170144311002</v>
      </c>
      <c r="AK1481">
        <v>10.687015601884401</v>
      </c>
      <c r="AL1481">
        <v>90.172825929620799</v>
      </c>
      <c r="AM1481">
        <v>79.013087763593802</v>
      </c>
      <c r="AN1481">
        <v>1.0000000230125501</v>
      </c>
    </row>
    <row r="1482" spans="1:40" x14ac:dyDescent="0.25">
      <c r="A1482" t="str">
        <f>"20190305135819893"</f>
        <v>20190305135819893</v>
      </c>
      <c r="B1482" t="str">
        <f>"1551765499890517"</f>
        <v>1551765499890517</v>
      </c>
      <c r="C1482" t="s">
        <v>40</v>
      </c>
      <c r="D1482">
        <v>4.3509149999999996</v>
      </c>
      <c r="E1482">
        <v>0.62186260000000004</v>
      </c>
      <c r="F1482" t="s">
        <v>58</v>
      </c>
      <c r="G1482">
        <v>-200.34809999999999</v>
      </c>
      <c r="H1482" s="1">
        <v>1.9282980000000002E-6</v>
      </c>
      <c r="I1482">
        <v>289.66120000000001</v>
      </c>
      <c r="J1482">
        <v>-192.89680000000001</v>
      </c>
      <c r="K1482">
        <v>1.1046020000000001</v>
      </c>
      <c r="L1482">
        <v>297.31209999999999</v>
      </c>
      <c r="M1482">
        <v>-0.25239070000000002</v>
      </c>
      <c r="N1482">
        <v>-2.108558E-2</v>
      </c>
      <c r="O1482">
        <v>-0.96739569999999997</v>
      </c>
      <c r="P1482">
        <v>-0.43413669999999999</v>
      </c>
      <c r="Q1482">
        <v>-1.9521320000000002E-2</v>
      </c>
      <c r="R1482">
        <v>-0.90063549999999903</v>
      </c>
      <c r="S1482">
        <v>-2.1697850000000001</v>
      </c>
      <c r="T1482">
        <v>-0.31811440000000002</v>
      </c>
      <c r="U1482">
        <v>-2.2883300000000002</v>
      </c>
      <c r="V1482">
        <v>0.19270899999999999</v>
      </c>
      <c r="W1482">
        <v>-1.67186299999999E-3</v>
      </c>
      <c r="X1482">
        <v>0.98125450000000003</v>
      </c>
      <c r="Y1482">
        <v>0.47956650000000001</v>
      </c>
      <c r="Z1482">
        <v>8.4664329999999996E-2</v>
      </c>
      <c r="AA1482">
        <v>0.87341170000000001</v>
      </c>
      <c r="AB1482">
        <v>30</v>
      </c>
      <c r="AC1482">
        <v>-7.4512999999999696</v>
      </c>
      <c r="AD1482">
        <v>-1.1046000717019999</v>
      </c>
      <c r="AE1482">
        <v>-7.6508999999999698</v>
      </c>
      <c r="AF1482">
        <v>5.2226434107098996</v>
      </c>
      <c r="AG1482">
        <v>-1.1046000717019999</v>
      </c>
      <c r="AH1482">
        <v>9.1858838468184008</v>
      </c>
      <c r="AI1482">
        <v>95.967758825415402</v>
      </c>
      <c r="AJ1482">
        <v>60.3795615833399</v>
      </c>
      <c r="AK1482">
        <v>10.6243403353372</v>
      </c>
      <c r="AL1482">
        <v>90.095790740959401</v>
      </c>
      <c r="AM1482">
        <v>78.889063252357602</v>
      </c>
      <c r="AN1482">
        <v>0.99999997378856997</v>
      </c>
    </row>
    <row r="1483" spans="1:40" x14ac:dyDescent="0.25">
      <c r="A1483" t="str">
        <f>"20190305135819936"</f>
        <v>20190305135819936</v>
      </c>
      <c r="B1483" t="str">
        <f>"1551765499930534"</f>
        <v>1551765499930534</v>
      </c>
      <c r="C1483" t="s">
        <v>40</v>
      </c>
      <c r="D1483">
        <v>4.3674019999999896</v>
      </c>
      <c r="E1483">
        <v>0.62154430000000005</v>
      </c>
      <c r="F1483" t="s">
        <v>58</v>
      </c>
      <c r="G1483">
        <v>-200.46119999999999</v>
      </c>
      <c r="H1483" s="1">
        <v>1.9960730000000001E-6</v>
      </c>
      <c r="I1483">
        <v>289.48250000000002</v>
      </c>
      <c r="J1483">
        <v>-193.0575</v>
      </c>
      <c r="K1483">
        <v>1.104406</v>
      </c>
      <c r="L1483">
        <v>296.76819999999998</v>
      </c>
      <c r="M1483">
        <v>-0.26655450000000003</v>
      </c>
      <c r="N1483">
        <v>-2.126542E-2</v>
      </c>
      <c r="O1483">
        <v>-0.96358529999999998</v>
      </c>
      <c r="P1483">
        <v>-0.4517814</v>
      </c>
      <c r="Q1483">
        <v>-1.8197479999999999E-2</v>
      </c>
      <c r="R1483">
        <v>-0.89194319999999905</v>
      </c>
      <c r="S1483">
        <v>-2.1910400000000001</v>
      </c>
      <c r="T1483">
        <v>-0.3199514</v>
      </c>
      <c r="U1483">
        <v>-2.2678530000000001</v>
      </c>
      <c r="V1483">
        <v>0.1976406</v>
      </c>
      <c r="W1483">
        <v>-3.7060769999999998E-4</v>
      </c>
      <c r="X1483">
        <v>0.98027450000000005</v>
      </c>
      <c r="Y1483">
        <v>0.47484500000000002</v>
      </c>
      <c r="Z1483">
        <v>8.5146749999999993E-2</v>
      </c>
      <c r="AA1483">
        <v>0.87594079999999996</v>
      </c>
      <c r="AB1483">
        <v>30</v>
      </c>
      <c r="AC1483">
        <v>-7.4036999999999802</v>
      </c>
      <c r="AD1483">
        <v>-1.104404003927</v>
      </c>
      <c r="AE1483">
        <v>-7.2856999999999603</v>
      </c>
      <c r="AF1483">
        <v>5.1351838674663099</v>
      </c>
      <c r="AG1483">
        <v>-1.104404003927</v>
      </c>
      <c r="AH1483">
        <v>8.8953593557325803</v>
      </c>
      <c r="AI1483">
        <v>96.137112520128497</v>
      </c>
      <c r="AJ1483">
        <v>60.0026775567394</v>
      </c>
      <c r="AK1483">
        <v>10.330403652529499</v>
      </c>
      <c r="AL1483">
        <v>90.021234257132093</v>
      </c>
      <c r="AM1483">
        <v>78.600977889836599</v>
      </c>
      <c r="AN1483">
        <v>1.0000000197343299</v>
      </c>
    </row>
    <row r="1484" spans="1:40" x14ac:dyDescent="0.25">
      <c r="A1484" t="str">
        <f>"20190305135819961"</f>
        <v>20190305135819961</v>
      </c>
      <c r="B1484" t="str">
        <f>"1551765499950054"</f>
        <v>1551765499950054</v>
      </c>
      <c r="C1484" t="s">
        <v>40</v>
      </c>
      <c r="D1484">
        <v>4.3452149999999996</v>
      </c>
      <c r="E1484">
        <v>0.62132670000000001</v>
      </c>
      <c r="F1484" t="s">
        <v>58</v>
      </c>
      <c r="G1484">
        <v>-200.82929999999999</v>
      </c>
      <c r="H1484" s="1">
        <v>2.1994149999999998E-6</v>
      </c>
      <c r="I1484">
        <v>289.02379999999999</v>
      </c>
      <c r="J1484">
        <v>-193.15700000000001</v>
      </c>
      <c r="K1484">
        <v>1.104268</v>
      </c>
      <c r="L1484">
        <v>296.447</v>
      </c>
      <c r="M1484">
        <v>-0.27534209999999998</v>
      </c>
      <c r="N1484">
        <v>-2.1357589999999999E-2</v>
      </c>
      <c r="O1484">
        <v>-0.9611092</v>
      </c>
      <c r="P1484">
        <v>-0.46271459999999998</v>
      </c>
      <c r="Q1484">
        <v>-1.7650519999999999E-2</v>
      </c>
      <c r="R1484">
        <v>-0.88633169999999994</v>
      </c>
      <c r="S1484">
        <v>-2.2335050000000001</v>
      </c>
      <c r="T1484">
        <v>-0.31739000000000001</v>
      </c>
      <c r="U1484">
        <v>-2.225616</v>
      </c>
      <c r="V1484">
        <v>0.20074729999999999</v>
      </c>
      <c r="W1484">
        <v>1.3190930000000001E-4</v>
      </c>
      <c r="X1484">
        <v>0.97964300000000004</v>
      </c>
      <c r="Y1484">
        <v>0.48346670000000003</v>
      </c>
      <c r="Z1484">
        <v>8.4499019999999994E-2</v>
      </c>
      <c r="AA1484">
        <v>0.87127489999999996</v>
      </c>
      <c r="AB1484">
        <v>30</v>
      </c>
      <c r="AC1484">
        <v>-7.6722999999999697</v>
      </c>
      <c r="AD1484">
        <v>-1.1042658005849999</v>
      </c>
      <c r="AE1484">
        <v>-7.4231999999999996</v>
      </c>
      <c r="AF1484">
        <v>5.2747763150165898</v>
      </c>
      <c r="AG1484">
        <v>-1.1042658005849999</v>
      </c>
      <c r="AH1484">
        <v>9.1512078152564502</v>
      </c>
      <c r="AI1484">
        <v>95.968317145182993</v>
      </c>
      <c r="AJ1484">
        <v>60.0407570084393</v>
      </c>
      <c r="AK1484">
        <v>10.620135244421901</v>
      </c>
      <c r="AL1484">
        <v>89.992442153444102</v>
      </c>
      <c r="AM1484">
        <v>78.419336834386698</v>
      </c>
      <c r="AN1484">
        <v>0.99999995165317501</v>
      </c>
    </row>
    <row r="1485" spans="1:40" x14ac:dyDescent="0.25">
      <c r="A1485" t="str">
        <f>"20190305135819981"</f>
        <v>20190305135819981</v>
      </c>
      <c r="B1485" t="str">
        <f>"1551765499970549"</f>
        <v>1551765499970549</v>
      </c>
      <c r="C1485" t="s">
        <v>40</v>
      </c>
      <c r="D1485">
        <v>4.3533759999999999</v>
      </c>
      <c r="E1485">
        <v>0.62104930000000003</v>
      </c>
      <c r="F1485" t="s">
        <v>58</v>
      </c>
      <c r="G1485">
        <v>-201.04660000000001</v>
      </c>
      <c r="H1485" s="1">
        <v>2.3180690000000001E-6</v>
      </c>
      <c r="I1485">
        <v>288.76929999999999</v>
      </c>
      <c r="J1485">
        <v>-193.2379</v>
      </c>
      <c r="K1485">
        <v>1.104142</v>
      </c>
      <c r="L1485">
        <v>296.19459999999998</v>
      </c>
      <c r="M1485">
        <v>-0.2825125</v>
      </c>
      <c r="N1485">
        <v>-2.1422279999999998E-2</v>
      </c>
      <c r="O1485">
        <v>-0.9590246</v>
      </c>
      <c r="P1485">
        <v>-0.47291800000000001</v>
      </c>
      <c r="Q1485">
        <v>-1.8415540000000001E-2</v>
      </c>
      <c r="R1485">
        <v>-0.88091399999999997</v>
      </c>
      <c r="S1485">
        <v>-2.259506</v>
      </c>
      <c r="T1485">
        <v>-0.31625120000000001</v>
      </c>
      <c r="U1485">
        <v>-2.1988219999999998</v>
      </c>
      <c r="V1485">
        <v>0.20473240000000001</v>
      </c>
      <c r="W1485">
        <v>-7.1572750000000005E-4</v>
      </c>
      <c r="X1485">
        <v>0.97881770000000001</v>
      </c>
      <c r="Y1485">
        <v>0.48726340000000001</v>
      </c>
      <c r="Z1485">
        <v>8.4223919999999994E-2</v>
      </c>
      <c r="AA1485">
        <v>0.86918399999999996</v>
      </c>
      <c r="AB1485">
        <v>29</v>
      </c>
      <c r="AC1485">
        <v>-7.8087000000000097</v>
      </c>
      <c r="AD1485">
        <v>-1.1041396819310001</v>
      </c>
      <c r="AE1485">
        <v>-7.4252999999999902</v>
      </c>
      <c r="AF1485">
        <v>5.3362033413541496</v>
      </c>
      <c r="AG1485">
        <v>-1.1041396819310001</v>
      </c>
      <c r="AH1485">
        <v>9.2323036855289704</v>
      </c>
      <c r="AI1485">
        <v>95.911551365707396</v>
      </c>
      <c r="AJ1485">
        <v>59.972404938299903</v>
      </c>
      <c r="AK1485">
        <v>10.7205233957734</v>
      </c>
      <c r="AL1485">
        <v>90.041008169399703</v>
      </c>
      <c r="AM1485">
        <v>78.186162225317105</v>
      </c>
      <c r="AN1485">
        <v>0.99999997885445202</v>
      </c>
    </row>
    <row r="1486" spans="1:40" x14ac:dyDescent="0.25">
      <c r="A1486" t="str">
        <f>"20190305135820008"</f>
        <v>20190305135820008</v>
      </c>
      <c r="B1486" t="str">
        <f>"1551765499999829"</f>
        <v>1551765499999829</v>
      </c>
      <c r="C1486" t="s">
        <v>40</v>
      </c>
      <c r="D1486">
        <v>4.3419699999999999</v>
      </c>
      <c r="E1486">
        <v>0.62069770000000002</v>
      </c>
      <c r="F1486" t="s">
        <v>58</v>
      </c>
      <c r="G1486">
        <v>-201.12639999999999</v>
      </c>
      <c r="H1486" s="1">
        <v>2.360887E-6</v>
      </c>
      <c r="I1486">
        <v>288.68389999999999</v>
      </c>
      <c r="J1486">
        <v>-193.3493</v>
      </c>
      <c r="K1486">
        <v>1.1039760000000001</v>
      </c>
      <c r="L1486">
        <v>295.85879999999997</v>
      </c>
      <c r="M1486">
        <v>-0.29242089999999998</v>
      </c>
      <c r="N1486">
        <v>-2.150206E-2</v>
      </c>
      <c r="O1486">
        <v>-0.95604809999999996</v>
      </c>
      <c r="P1486">
        <v>-0.48515019999999998</v>
      </c>
      <c r="Q1486">
        <v>-1.922256E-2</v>
      </c>
      <c r="R1486">
        <v>-0.87421970000000004</v>
      </c>
      <c r="S1486">
        <v>-2.2827609999999998</v>
      </c>
      <c r="T1486">
        <v>-0.31951429999999997</v>
      </c>
      <c r="U1486">
        <v>-2.1734309999999999</v>
      </c>
      <c r="V1486">
        <v>0.20823659999999999</v>
      </c>
      <c r="W1486">
        <v>-1.6053739999999999E-3</v>
      </c>
      <c r="X1486">
        <v>0.97807719999999998</v>
      </c>
      <c r="Y1486">
        <v>0.48765229999999998</v>
      </c>
      <c r="Z1486">
        <v>8.5327040000000007E-2</v>
      </c>
      <c r="AA1486">
        <v>0.86885820000000002</v>
      </c>
      <c r="AB1486">
        <v>29</v>
      </c>
      <c r="AC1486">
        <v>-7.7770999999999901</v>
      </c>
      <c r="AD1486">
        <v>-1.1039736391129999</v>
      </c>
      <c r="AE1486">
        <v>-7.1748999999999796</v>
      </c>
      <c r="AF1486">
        <v>5.2809392037678196</v>
      </c>
      <c r="AG1486">
        <v>-1.1039736391129999</v>
      </c>
      <c r="AH1486">
        <v>9.0374703377823309</v>
      </c>
      <c r="AI1486">
        <v>96.020664300668003</v>
      </c>
      <c r="AJ1486">
        <v>59.700624139659297</v>
      </c>
      <c r="AK1486">
        <v>10.525347822093201</v>
      </c>
      <c r="AL1486">
        <v>90.091981191123693</v>
      </c>
      <c r="AM1486">
        <v>77.980952207412599</v>
      </c>
      <c r="AN1486">
        <v>1.0000000339825299</v>
      </c>
    </row>
    <row r="1487" spans="1:40" x14ac:dyDescent="0.25">
      <c r="A1487" t="str">
        <f>"20190305135820032"</f>
        <v>20190305135820032</v>
      </c>
      <c r="B1487" t="str">
        <f>"1551765500020326"</f>
        <v>1551765500020326</v>
      </c>
      <c r="C1487" t="s">
        <v>40</v>
      </c>
      <c r="D1487">
        <v>4.3441689999999999</v>
      </c>
      <c r="E1487">
        <v>0.62034639999999996</v>
      </c>
      <c r="F1487" t="s">
        <v>58</v>
      </c>
      <c r="G1487">
        <v>-201.21270000000001</v>
      </c>
      <c r="H1487" s="1">
        <v>2.409371E-6</v>
      </c>
      <c r="I1487">
        <v>288.56729999999999</v>
      </c>
      <c r="J1487">
        <v>-193.447</v>
      </c>
      <c r="K1487">
        <v>1.1038380000000001</v>
      </c>
      <c r="L1487">
        <v>295.57389999999998</v>
      </c>
      <c r="M1487">
        <v>-0.30113659999999998</v>
      </c>
      <c r="N1487">
        <v>-2.1564139999999999E-2</v>
      </c>
      <c r="O1487">
        <v>-0.9533372</v>
      </c>
      <c r="P1487">
        <v>-0.4968033</v>
      </c>
      <c r="Q1487">
        <v>-2.0642870000000001E-2</v>
      </c>
      <c r="R1487">
        <v>-0.86761779999999999</v>
      </c>
      <c r="S1487">
        <v>-2.3104399999999998</v>
      </c>
      <c r="T1487">
        <v>-0.32436930000000003</v>
      </c>
      <c r="U1487">
        <v>-2.1423649999999999</v>
      </c>
      <c r="V1487">
        <v>0.21237619999999999</v>
      </c>
      <c r="W1487">
        <v>-3.129307E-3</v>
      </c>
      <c r="X1487">
        <v>0.97718300000000002</v>
      </c>
      <c r="Y1487">
        <v>0.4910351</v>
      </c>
      <c r="Z1487">
        <v>8.7021639999999997E-2</v>
      </c>
      <c r="AA1487">
        <v>0.86678239999999995</v>
      </c>
      <c r="AB1487">
        <v>29</v>
      </c>
      <c r="AC1487">
        <v>-7.7657000000000096</v>
      </c>
      <c r="AD1487">
        <v>-1.1038355906289901</v>
      </c>
      <c r="AE1487">
        <v>-7.0065999999999899</v>
      </c>
      <c r="AF1487">
        <v>5.2362974084298504</v>
      </c>
      <c r="AG1487">
        <v>-1.1038355906289901</v>
      </c>
      <c r="AH1487">
        <v>8.9209270620767303</v>
      </c>
      <c r="AI1487">
        <v>96.091036371584394</v>
      </c>
      <c r="AJ1487">
        <v>59.588435841507099</v>
      </c>
      <c r="AK1487">
        <v>10.4028939823282</v>
      </c>
      <c r="AL1487">
        <v>90.179296371296502</v>
      </c>
      <c r="AM1487">
        <v>77.738299302460405</v>
      </c>
      <c r="AN1487">
        <v>1.00000002918886</v>
      </c>
    </row>
    <row r="1488" spans="1:40" x14ac:dyDescent="0.25">
      <c r="A1488" t="str">
        <f>"20190305135820053"</f>
        <v>20190305135820053</v>
      </c>
      <c r="B1488" t="str">
        <f>"1551765500039845"</f>
        <v>1551765500039845</v>
      </c>
      <c r="C1488" t="s">
        <v>40</v>
      </c>
      <c r="D1488">
        <v>4.3632109999999997</v>
      </c>
      <c r="E1488">
        <v>0.62004380000000003</v>
      </c>
      <c r="F1488" t="s">
        <v>58</v>
      </c>
      <c r="G1488">
        <v>-201.2937</v>
      </c>
      <c r="H1488" s="1">
        <v>2.4529420000000002E-6</v>
      </c>
      <c r="I1488">
        <v>288.47969999999998</v>
      </c>
      <c r="J1488">
        <v>-193.53749999999999</v>
      </c>
      <c r="K1488">
        <v>1.1036999999999999</v>
      </c>
      <c r="L1488">
        <v>295.31830000000002</v>
      </c>
      <c r="M1488">
        <v>-0.30923489999999998</v>
      </c>
      <c r="N1488">
        <v>-2.1615720000000001E-2</v>
      </c>
      <c r="O1488">
        <v>-0.95074020000000004</v>
      </c>
      <c r="P1488">
        <v>-0.50804589999999905</v>
      </c>
      <c r="Q1488">
        <v>-2.117457E-2</v>
      </c>
      <c r="R1488">
        <v>-0.86106990000000005</v>
      </c>
      <c r="S1488">
        <v>-2.3362430000000001</v>
      </c>
      <c r="T1488">
        <v>-0.32865169999999999</v>
      </c>
      <c r="U1488">
        <v>-2.1121829999999999</v>
      </c>
      <c r="V1488">
        <v>0.2167645</v>
      </c>
      <c r="W1488">
        <v>-3.7796380000000001E-3</v>
      </c>
      <c r="X1488">
        <v>0.97621659999999999</v>
      </c>
      <c r="Y1488">
        <v>0.4944383</v>
      </c>
      <c r="Z1488">
        <v>8.8544429999999993E-2</v>
      </c>
      <c r="AA1488">
        <v>0.86469110000000005</v>
      </c>
      <c r="AB1488">
        <v>29</v>
      </c>
      <c r="AC1488">
        <v>-7.7561999999999998</v>
      </c>
      <c r="AD1488">
        <v>-1.1036975470579999</v>
      </c>
      <c r="AE1488">
        <v>-6.8386000000000404</v>
      </c>
      <c r="AF1488">
        <v>5.20136865658601</v>
      </c>
      <c r="AG1488">
        <v>-1.1036975470579999</v>
      </c>
      <c r="AH1488">
        <v>8.8020205535325999</v>
      </c>
      <c r="AI1488">
        <v>96.161324384174605</v>
      </c>
      <c r="AJ1488">
        <v>59.419930288754301</v>
      </c>
      <c r="AK1488">
        <v>10.2833822258004</v>
      </c>
      <c r="AL1488">
        <v>90.2165578228079</v>
      </c>
      <c r="AM1488">
        <v>77.480841769067197</v>
      </c>
      <c r="AN1488">
        <v>0.99999999211960999</v>
      </c>
    </row>
    <row r="1489" spans="1:40" x14ac:dyDescent="0.25">
      <c r="A1489" t="str">
        <f>"20190305135820073"</f>
        <v>20190305135820073</v>
      </c>
      <c r="B1489" t="str">
        <f>"1551765500070610"</f>
        <v>1551765500070610</v>
      </c>
      <c r="C1489" t="s">
        <v>40</v>
      </c>
      <c r="D1489">
        <v>4.3880189999999999</v>
      </c>
      <c r="E1489">
        <v>0.61967280000000002</v>
      </c>
      <c r="F1489" t="s">
        <v>58</v>
      </c>
      <c r="G1489">
        <v>-201.43539999999999</v>
      </c>
      <c r="H1489" s="1">
        <v>2.5267880000000002E-6</v>
      </c>
      <c r="I1489">
        <v>288.35390000000001</v>
      </c>
      <c r="J1489">
        <v>-193.63059999999999</v>
      </c>
      <c r="K1489">
        <v>1.1035520000000001</v>
      </c>
      <c r="L1489">
        <v>295.0634</v>
      </c>
      <c r="M1489">
        <v>-0.31760110000000003</v>
      </c>
      <c r="N1489">
        <v>-2.1659959999999999E-2</v>
      </c>
      <c r="O1489">
        <v>-0.94797690000000001</v>
      </c>
      <c r="P1489">
        <v>-0.51983579999999996</v>
      </c>
      <c r="Q1489">
        <v>-2.2356040000000001E-2</v>
      </c>
      <c r="R1489">
        <v>-0.85397369999999995</v>
      </c>
      <c r="S1489">
        <v>-2.3616329999999999</v>
      </c>
      <c r="T1489">
        <v>-0.3300285</v>
      </c>
      <c r="U1489">
        <v>-2.0824889999999998</v>
      </c>
      <c r="V1489">
        <v>0.22156590000000001</v>
      </c>
      <c r="W1489">
        <v>-5.1091519999999996E-3</v>
      </c>
      <c r="X1489">
        <v>0.975132</v>
      </c>
      <c r="Y1489">
        <v>0.4974671</v>
      </c>
      <c r="Z1489">
        <v>8.9107619999999998E-2</v>
      </c>
      <c r="AA1489">
        <v>0.86289419999999994</v>
      </c>
      <c r="AB1489">
        <v>29</v>
      </c>
      <c r="AC1489">
        <v>-7.8048000000000002</v>
      </c>
      <c r="AD1489">
        <v>-1.1035494732119999</v>
      </c>
      <c r="AE1489">
        <v>-6.7094999999999896</v>
      </c>
      <c r="AF1489">
        <v>5.20917629934047</v>
      </c>
      <c r="AG1489">
        <v>-1.1035494732119999</v>
      </c>
      <c r="AH1489">
        <v>8.7408523074321707</v>
      </c>
      <c r="AI1489">
        <v>96.189711421716297</v>
      </c>
      <c r="AJ1489">
        <v>59.206855651320801</v>
      </c>
      <c r="AK1489">
        <v>10.2350299568579</v>
      </c>
      <c r="AL1489">
        <v>90.292734124613105</v>
      </c>
      <c r="AM1489">
        <v>77.198807387635298</v>
      </c>
      <c r="AN1489">
        <v>0.99999998445048399</v>
      </c>
    </row>
    <row r="1490" spans="1:40" x14ac:dyDescent="0.25">
      <c r="A1490" t="str">
        <f>"20190305135820094"</f>
        <v>20190305135820094</v>
      </c>
      <c r="B1490" t="str">
        <f>"1551765500090131"</f>
        <v>1551765500090131</v>
      </c>
      <c r="C1490" t="s">
        <v>40</v>
      </c>
      <c r="D1490">
        <v>4.4108519999999896</v>
      </c>
      <c r="E1490">
        <v>0.61948669999999995</v>
      </c>
      <c r="F1490" t="s">
        <v>58</v>
      </c>
      <c r="G1490">
        <v>-201.4913</v>
      </c>
      <c r="H1490" s="1">
        <v>2.555159E-6</v>
      </c>
      <c r="I1490">
        <v>288.31279999999998</v>
      </c>
      <c r="J1490">
        <v>-193.7236</v>
      </c>
      <c r="K1490">
        <v>1.1033649999999999</v>
      </c>
      <c r="L1490">
        <v>294.81650000000002</v>
      </c>
      <c r="M1490">
        <v>-0.3260091</v>
      </c>
      <c r="N1490">
        <v>-2.1690560000000001E-2</v>
      </c>
      <c r="O1490">
        <v>-0.94511780000000001</v>
      </c>
      <c r="P1490">
        <v>-0.53114790000000001</v>
      </c>
      <c r="Q1490">
        <v>-2.4181020000000001E-2</v>
      </c>
      <c r="R1490">
        <v>-0.84693430000000003</v>
      </c>
      <c r="S1490">
        <v>-2.3878330000000001</v>
      </c>
      <c r="T1490">
        <v>-0.33522400000000002</v>
      </c>
      <c r="U1490">
        <v>-2.0506289999999998</v>
      </c>
      <c r="V1490">
        <v>0.2258512</v>
      </c>
      <c r="W1490">
        <v>-7.0979919999999896E-3</v>
      </c>
      <c r="X1490">
        <v>0.97413590000000005</v>
      </c>
      <c r="Y1490">
        <v>0.5009304</v>
      </c>
      <c r="Z1490">
        <v>9.0939649999999997E-2</v>
      </c>
      <c r="AA1490">
        <v>0.86069669999999898</v>
      </c>
      <c r="AB1490">
        <v>28</v>
      </c>
      <c r="AC1490">
        <v>-7.7676999999999898</v>
      </c>
      <c r="AD1490">
        <v>-1.103362444841</v>
      </c>
      <c r="AE1490">
        <v>-6.5037000000000296</v>
      </c>
      <c r="AF1490">
        <v>5.1611357923520202</v>
      </c>
      <c r="AG1490">
        <v>-1.103362444841</v>
      </c>
      <c r="AH1490">
        <v>8.5793812548728408</v>
      </c>
      <c r="AI1490">
        <v>96.288754667461205</v>
      </c>
      <c r="AJ1490">
        <v>58.969962905238297</v>
      </c>
      <c r="AK1490">
        <v>10.0727609952905</v>
      </c>
      <c r="AL1490">
        <v>90.406688420396605</v>
      </c>
      <c r="AM1490">
        <v>76.946727862432297</v>
      </c>
      <c r="AN1490">
        <v>0.99999994885033905</v>
      </c>
    </row>
    <row r="1491" spans="1:40" x14ac:dyDescent="0.25">
      <c r="A1491" t="str">
        <f>"20190305135820116"</f>
        <v>20190305135820116</v>
      </c>
      <c r="B1491" t="str">
        <f>"1551765500110627"</f>
        <v>1551765500110627</v>
      </c>
      <c r="C1491" t="s">
        <v>40</v>
      </c>
      <c r="D1491">
        <v>4.3857249999999999</v>
      </c>
      <c r="E1491">
        <v>0.61931809999999998</v>
      </c>
      <c r="F1491" t="s">
        <v>58</v>
      </c>
      <c r="G1491">
        <v>-201.52979999999999</v>
      </c>
      <c r="H1491" s="1">
        <v>2.5744380000000001E-6</v>
      </c>
      <c r="I1491">
        <v>288.2876</v>
      </c>
      <c r="J1491">
        <v>-193.82599999999999</v>
      </c>
      <c r="K1491">
        <v>1.10314</v>
      </c>
      <c r="L1491">
        <v>294.55279999999999</v>
      </c>
      <c r="M1491">
        <v>-0.33534330000000001</v>
      </c>
      <c r="N1491">
        <v>-2.170033E-2</v>
      </c>
      <c r="O1491">
        <v>-0.94184610000000002</v>
      </c>
      <c r="P1491">
        <v>-0.54334550000000004</v>
      </c>
      <c r="Q1491">
        <v>-2.6814770000000002E-2</v>
      </c>
      <c r="R1491">
        <v>-0.83908099999999997</v>
      </c>
      <c r="S1491">
        <v>-2.413681</v>
      </c>
      <c r="T1491">
        <v>-0.34115830000000003</v>
      </c>
      <c r="U1491">
        <v>-2.0187379999999999</v>
      </c>
      <c r="V1491">
        <v>0.2302777</v>
      </c>
      <c r="W1491">
        <v>-9.9452789999999996E-3</v>
      </c>
      <c r="X1491">
        <v>0.97307410000000005</v>
      </c>
      <c r="Y1491">
        <v>0.50344219999999995</v>
      </c>
      <c r="Z1491">
        <v>9.2997490000000002E-2</v>
      </c>
      <c r="AA1491">
        <v>0.85900959999999904</v>
      </c>
      <c r="AB1491">
        <v>28</v>
      </c>
      <c r="AC1491">
        <v>-7.7038000000000002</v>
      </c>
      <c r="AD1491">
        <v>-1.1031374255619999</v>
      </c>
      <c r="AE1491">
        <v>-6.2651999999999903</v>
      </c>
      <c r="AF1491">
        <v>5.0931565328707498</v>
      </c>
      <c r="AG1491">
        <v>-1.1031374255619999</v>
      </c>
      <c r="AH1491">
        <v>8.3828112210217398</v>
      </c>
      <c r="AI1491">
        <v>96.416779106174999</v>
      </c>
      <c r="AJ1491">
        <v>58.718330354806199</v>
      </c>
      <c r="AK1491">
        <v>9.8705967203248495</v>
      </c>
      <c r="AL1491">
        <v>90.569831926023795</v>
      </c>
      <c r="AM1491">
        <v>76.685907317086404</v>
      </c>
      <c r="AN1491">
        <v>0.99999996589124296</v>
      </c>
    </row>
    <row r="1492" spans="1:40" x14ac:dyDescent="0.25">
      <c r="A1492" t="str">
        <f>"20190305135820137"</f>
        <v>20190305135820137</v>
      </c>
      <c r="B1492" t="str">
        <f>"1551765500130147"</f>
        <v>1551765500130147</v>
      </c>
      <c r="C1492" t="s">
        <v>40</v>
      </c>
      <c r="D1492">
        <v>4.4297300000000002</v>
      </c>
      <c r="E1492">
        <v>0.6189694</v>
      </c>
      <c r="F1492" t="s">
        <v>58</v>
      </c>
      <c r="G1492">
        <v>-201.56549999999999</v>
      </c>
      <c r="H1492" s="1">
        <v>2.592048E-6</v>
      </c>
      <c r="I1492">
        <v>288.2672</v>
      </c>
      <c r="J1492">
        <v>-193.9306</v>
      </c>
      <c r="K1492">
        <v>1.1028899999999999</v>
      </c>
      <c r="L1492">
        <v>294.29230000000001</v>
      </c>
      <c r="M1492">
        <v>-0.34496599999999999</v>
      </c>
      <c r="N1492">
        <v>-2.1670120000000001E-2</v>
      </c>
      <c r="O1492">
        <v>-0.938365</v>
      </c>
      <c r="P1492">
        <v>-0.55535389999999996</v>
      </c>
      <c r="Q1492">
        <v>-2.7956399999999999E-2</v>
      </c>
      <c r="R1492">
        <v>-0.83114409999999905</v>
      </c>
      <c r="S1492">
        <v>-2.4417420000000001</v>
      </c>
      <c r="T1492">
        <v>-0.34803149999999999</v>
      </c>
      <c r="U1492">
        <v>-1.983063</v>
      </c>
      <c r="V1492">
        <v>0.2342899</v>
      </c>
      <c r="W1492">
        <v>-1.1347360000000001E-2</v>
      </c>
      <c r="X1492">
        <v>0.97210059999999998</v>
      </c>
      <c r="Y1492">
        <v>0.506803</v>
      </c>
      <c r="Z1492">
        <v>9.5417450000000001E-2</v>
      </c>
      <c r="AA1492">
        <v>0.856765</v>
      </c>
      <c r="AB1492">
        <v>28</v>
      </c>
      <c r="AC1492">
        <v>-7.6348999999999796</v>
      </c>
      <c r="AD1492">
        <v>-1.1028874079519999</v>
      </c>
      <c r="AE1492">
        <v>-6.0251000000000001</v>
      </c>
      <c r="AF1492">
        <v>5.0224797028381998</v>
      </c>
      <c r="AG1492">
        <v>-1.1028874079519999</v>
      </c>
      <c r="AH1492">
        <v>8.1842309040453696</v>
      </c>
      <c r="AI1492">
        <v>96.551988923820005</v>
      </c>
      <c r="AJ1492">
        <v>58.463489091708098</v>
      </c>
      <c r="AK1492">
        <v>9.6655728485575096</v>
      </c>
      <c r="AL1492">
        <v>90.650169758727301</v>
      </c>
      <c r="AM1492">
        <v>76.449343074592804</v>
      </c>
      <c r="AN1492">
        <v>1.0000000481706599</v>
      </c>
    </row>
    <row r="1493" spans="1:40" x14ac:dyDescent="0.25">
      <c r="A1493" t="str">
        <f>"20190305135820159"</f>
        <v>20190305135820159</v>
      </c>
      <c r="B1493" t="str">
        <f>"1551765500150044"</f>
        <v>1551765500150044</v>
      </c>
      <c r="C1493" t="s">
        <v>40</v>
      </c>
      <c r="D1493">
        <v>4.434361</v>
      </c>
      <c r="E1493">
        <v>0.61852989999999997</v>
      </c>
      <c r="F1493" t="s">
        <v>58</v>
      </c>
      <c r="G1493">
        <v>-201.7252</v>
      </c>
      <c r="H1493" s="1">
        <v>2.6739459999999999E-6</v>
      </c>
      <c r="I1493">
        <v>288.14060000000001</v>
      </c>
      <c r="J1493">
        <v>-194.0325</v>
      </c>
      <c r="K1493">
        <v>1.102614</v>
      </c>
      <c r="L1493">
        <v>294.04739999999998</v>
      </c>
      <c r="M1493">
        <v>-0.3544564</v>
      </c>
      <c r="N1493">
        <v>-2.1590310000000001E-2</v>
      </c>
      <c r="O1493">
        <v>-0.93482330000000002</v>
      </c>
      <c r="P1493">
        <v>-0.56835429999999998</v>
      </c>
      <c r="Q1493">
        <v>-2.7539859999999999E-2</v>
      </c>
      <c r="R1493">
        <v>-0.82232309999999997</v>
      </c>
      <c r="S1493">
        <v>-2.4686129999999999</v>
      </c>
      <c r="T1493">
        <v>-0.34929480000000002</v>
      </c>
      <c r="U1493">
        <v>-1.9483029999999999</v>
      </c>
      <c r="V1493">
        <v>0.2397138</v>
      </c>
      <c r="W1493">
        <v>-1.128589E-2</v>
      </c>
      <c r="X1493">
        <v>0.97077800000000003</v>
      </c>
      <c r="Y1493">
        <v>0.50999559999999999</v>
      </c>
      <c r="Z1493">
        <v>9.6043080000000003E-2</v>
      </c>
      <c r="AA1493">
        <v>0.85479839999999996</v>
      </c>
      <c r="AB1493">
        <v>28</v>
      </c>
      <c r="AC1493">
        <v>-7.6927000000000003</v>
      </c>
      <c r="AD1493">
        <v>-1.102611326054</v>
      </c>
      <c r="AE1493">
        <v>-5.9067999999999703</v>
      </c>
      <c r="AF1493">
        <v>5.0337433842028103</v>
      </c>
      <c r="AG1493">
        <v>-1.102611326054</v>
      </c>
      <c r="AH1493">
        <v>8.1451938008064602</v>
      </c>
      <c r="AI1493">
        <v>96.568898552148099</v>
      </c>
      <c r="AJ1493">
        <v>58.2838654655393</v>
      </c>
      <c r="AK1493">
        <v>9.6383871185507104</v>
      </c>
      <c r="AL1493">
        <v>90.646647592125703</v>
      </c>
      <c r="AM1493">
        <v>76.129449735904899</v>
      </c>
      <c r="AN1493">
        <v>1.00000000125376</v>
      </c>
    </row>
    <row r="1494" spans="1:40" x14ac:dyDescent="0.25">
      <c r="A1494" t="str">
        <f>"20190305135820182"</f>
        <v>20190305135820182</v>
      </c>
      <c r="B1494" t="str">
        <f>"1551765500170540"</f>
        <v>1551765500170540</v>
      </c>
      <c r="C1494" t="s">
        <v>40</v>
      </c>
      <c r="D1494">
        <v>4.3883239999999999</v>
      </c>
      <c r="E1494">
        <v>0.61807919999999905</v>
      </c>
      <c r="F1494" t="s">
        <v>58</v>
      </c>
      <c r="G1494">
        <v>-201.946</v>
      </c>
      <c r="H1494" s="1">
        <v>2.7849650000000001E-6</v>
      </c>
      <c r="I1494">
        <v>287.9905</v>
      </c>
      <c r="J1494">
        <v>-194.14519999999999</v>
      </c>
      <c r="K1494">
        <v>1.1022809999999901</v>
      </c>
      <c r="L1494">
        <v>293.78590000000003</v>
      </c>
      <c r="M1494">
        <v>-0.36508659999999998</v>
      </c>
      <c r="N1494">
        <v>-2.143051E-2</v>
      </c>
      <c r="O1494">
        <v>-0.93072690000000002</v>
      </c>
      <c r="P1494">
        <v>-0.58352380000000004</v>
      </c>
      <c r="Q1494">
        <v>-2.6865E-2</v>
      </c>
      <c r="R1494">
        <v>-0.81165180000000003</v>
      </c>
      <c r="S1494">
        <v>-2.4967039999999998</v>
      </c>
      <c r="T1494">
        <v>-0.34787600000000002</v>
      </c>
      <c r="U1494">
        <v>-1.9109499999999999</v>
      </c>
      <c r="V1494">
        <v>0.24665989999999999</v>
      </c>
      <c r="W1494">
        <v>-1.1113400000000001E-2</v>
      </c>
      <c r="X1494">
        <v>0.96903839999999997</v>
      </c>
      <c r="Y1494">
        <v>0.51293129999999998</v>
      </c>
      <c r="Z1494">
        <v>9.5855640000000006E-2</v>
      </c>
      <c r="AA1494">
        <v>0.85306099999999996</v>
      </c>
      <c r="AB1494">
        <v>28</v>
      </c>
      <c r="AC1494">
        <v>-7.8007999999999997</v>
      </c>
      <c r="AD1494">
        <v>-1.1022782150349999</v>
      </c>
      <c r="AE1494">
        <v>-5.7954000000000203</v>
      </c>
      <c r="AF1494">
        <v>5.0804105700334503</v>
      </c>
      <c r="AG1494">
        <v>-1.1022782150349999</v>
      </c>
      <c r="AH1494">
        <v>8.1390810178049904</v>
      </c>
      <c r="AI1494">
        <v>96.553748741182105</v>
      </c>
      <c r="AJ1494">
        <v>58.027609067877997</v>
      </c>
      <c r="AK1494">
        <v>9.6576513002821702</v>
      </c>
      <c r="AL1494">
        <v>90.636764013021207</v>
      </c>
      <c r="AM1494">
        <v>75.719149700468805</v>
      </c>
      <c r="AN1494">
        <v>1.0000000173010599</v>
      </c>
    </row>
    <row r="1495" spans="1:40" x14ac:dyDescent="0.25">
      <c r="A1495" t="str">
        <f>"20190305135820204"</f>
        <v>20190305135820204</v>
      </c>
      <c r="B1495" t="str">
        <f>"1551765500199819"</f>
        <v>1551765500199819</v>
      </c>
      <c r="C1495" t="s">
        <v>40</v>
      </c>
      <c r="D1495">
        <v>4.4102860000000002</v>
      </c>
      <c r="E1495">
        <v>0.60340930000000004</v>
      </c>
      <c r="F1495" t="s">
        <v>58</v>
      </c>
      <c r="G1495">
        <v>-202.20910000000001</v>
      </c>
      <c r="H1495" s="1">
        <v>2.9152570000000001E-6</v>
      </c>
      <c r="I1495">
        <v>287.83499999999998</v>
      </c>
      <c r="J1495">
        <v>-194.25989999999999</v>
      </c>
      <c r="K1495">
        <v>1.1019429999999999</v>
      </c>
      <c r="L1495">
        <v>293.52910000000003</v>
      </c>
      <c r="M1495">
        <v>-0.37598189999999998</v>
      </c>
      <c r="N1495">
        <v>-2.1195439999999999E-2</v>
      </c>
      <c r="O1495">
        <v>-0.92638469999999995</v>
      </c>
      <c r="P1495">
        <v>-0.59884659999999901</v>
      </c>
      <c r="Q1495">
        <v>-2.738343E-2</v>
      </c>
      <c r="R1495">
        <v>-0.80039569999999904</v>
      </c>
      <c r="S1495">
        <v>-2.529083</v>
      </c>
      <c r="T1495">
        <v>-0.34570630000000002</v>
      </c>
      <c r="U1495">
        <v>-1.8663940000000001</v>
      </c>
      <c r="V1495">
        <v>0.25368469999999999</v>
      </c>
      <c r="W1495">
        <v>-1.2211400000000001E-2</v>
      </c>
      <c r="X1495">
        <v>0.96720989999999996</v>
      </c>
      <c r="Y1495">
        <v>0.51784629999999998</v>
      </c>
      <c r="Z1495">
        <v>9.5544619999999997E-2</v>
      </c>
      <c r="AA1495">
        <v>0.85012140000000003</v>
      </c>
      <c r="AB1495">
        <v>28</v>
      </c>
      <c r="AC1495">
        <v>-7.94920000000001</v>
      </c>
      <c r="AD1495">
        <v>-1.1019400847429901</v>
      </c>
      <c r="AE1495">
        <v>-5.6941000000000397</v>
      </c>
      <c r="AF1495">
        <v>5.1587954093087403</v>
      </c>
      <c r="AG1495">
        <v>-1.1019400847429901</v>
      </c>
      <c r="AH1495">
        <v>8.1618829818280307</v>
      </c>
      <c r="AI1495">
        <v>96.510719553147496</v>
      </c>
      <c r="AJ1495">
        <v>57.704678834379102</v>
      </c>
      <c r="AK1495">
        <v>9.7182187583179296</v>
      </c>
      <c r="AL1495">
        <v>90.699679059256994</v>
      </c>
      <c r="AM1495">
        <v>75.303218344653502</v>
      </c>
      <c r="AN1495">
        <v>1.00000001798102</v>
      </c>
    </row>
    <row r="1496" spans="1:40" x14ac:dyDescent="0.25">
      <c r="A1496" t="str">
        <f>"20190305135820230"</f>
        <v>20190305135820230</v>
      </c>
      <c r="B1496" t="str">
        <f>"1551765500220315"</f>
        <v>1551765500220315</v>
      </c>
      <c r="C1496" t="s">
        <v>40</v>
      </c>
      <c r="D1496">
        <v>4.3899100000000004</v>
      </c>
      <c r="E1496">
        <v>0.60151679999999996</v>
      </c>
      <c r="F1496" t="s">
        <v>58</v>
      </c>
      <c r="G1496">
        <v>-201.93809999999999</v>
      </c>
      <c r="H1496" s="1">
        <v>2.809909E-6</v>
      </c>
      <c r="I1496">
        <v>287.66539999999998</v>
      </c>
      <c r="J1496">
        <v>-194.39230000000001</v>
      </c>
      <c r="K1496">
        <v>1.101585</v>
      </c>
      <c r="L1496">
        <v>293.24329999999998</v>
      </c>
      <c r="M1496">
        <v>-0.38863160000000002</v>
      </c>
      <c r="N1496">
        <v>-2.088626E-2</v>
      </c>
      <c r="O1496">
        <v>-0.9211568</v>
      </c>
      <c r="P1496">
        <v>-0.615573699999999</v>
      </c>
      <c r="Q1496">
        <v>-2.7514E-2</v>
      </c>
      <c r="R1496">
        <v>-0.78759950000000001</v>
      </c>
      <c r="S1496">
        <v>-2.47113</v>
      </c>
      <c r="T1496">
        <v>-0.35464289999999998</v>
      </c>
      <c r="U1496">
        <v>-1.887146</v>
      </c>
      <c r="V1496">
        <v>0.26078960000000001</v>
      </c>
      <c r="W1496">
        <v>-1.301593E-2</v>
      </c>
      <c r="X1496">
        <v>0.9653079</v>
      </c>
      <c r="Y1496">
        <v>0.49166480000000001</v>
      </c>
      <c r="Z1496">
        <v>9.9077600000000002E-2</v>
      </c>
      <c r="AA1496">
        <v>0.865129699999999</v>
      </c>
      <c r="AB1496">
        <v>28</v>
      </c>
      <c r="AC1496">
        <v>-7.5457999999999803</v>
      </c>
      <c r="AD1496">
        <v>-1.1015821900909999</v>
      </c>
      <c r="AE1496">
        <v>-5.5778999999999996</v>
      </c>
      <c r="AF1496">
        <v>4.7191226974741696</v>
      </c>
      <c r="AG1496">
        <v>-1.1015821900909999</v>
      </c>
      <c r="AH1496">
        <v>7.96267823680442</v>
      </c>
      <c r="AI1496">
        <v>96.786973230106597</v>
      </c>
      <c r="AJ1496">
        <v>59.346677084166998</v>
      </c>
      <c r="AK1496">
        <v>9.3213650855558896</v>
      </c>
      <c r="AL1496">
        <v>90.745778924619003</v>
      </c>
      <c r="AM1496">
        <v>74.881769170313106</v>
      </c>
      <c r="AN1496">
        <v>0.99999998585216698</v>
      </c>
    </row>
    <row r="1497" spans="1:40" x14ac:dyDescent="0.25">
      <c r="A1497" t="str">
        <f>"20190305135820252"</f>
        <v>20190305135820252</v>
      </c>
      <c r="B1497" t="str">
        <f>"1551765500239836"</f>
        <v>1551765500239836</v>
      </c>
      <c r="C1497" t="s">
        <v>40</v>
      </c>
      <c r="D1497">
        <v>4.4732419999999999</v>
      </c>
      <c r="E1497">
        <v>0.60036840000000002</v>
      </c>
      <c r="F1497" t="s">
        <v>58</v>
      </c>
      <c r="G1497">
        <v>-202.36859999999999</v>
      </c>
      <c r="H1497" s="1">
        <v>3.027869E-6</v>
      </c>
      <c r="I1497">
        <v>287.35559999999998</v>
      </c>
      <c r="J1497">
        <v>-194.5111</v>
      </c>
      <c r="K1497">
        <v>1.1012740000000001</v>
      </c>
      <c r="L1497">
        <v>292.99630000000002</v>
      </c>
      <c r="M1497">
        <v>-0.4000399</v>
      </c>
      <c r="N1497">
        <v>-2.0613820000000001E-2</v>
      </c>
      <c r="O1497">
        <v>-0.91626600000000002</v>
      </c>
      <c r="P1497">
        <v>-0.63087389999999999</v>
      </c>
      <c r="Q1497">
        <v>-2.8605510000000001E-2</v>
      </c>
      <c r="R1497">
        <v>-0.7753584</v>
      </c>
      <c r="S1497">
        <v>-2.4985050000000002</v>
      </c>
      <c r="T1497">
        <v>-0.34506399999999998</v>
      </c>
      <c r="U1497">
        <v>-1.8442689999999999</v>
      </c>
      <c r="V1497">
        <v>0.26766879999999998</v>
      </c>
      <c r="W1497">
        <v>-1.472555E-2</v>
      </c>
      <c r="X1497">
        <v>0.96339850000000005</v>
      </c>
      <c r="Y1497">
        <v>0.49522969999999999</v>
      </c>
      <c r="Z1497">
        <v>9.6403069999999993E-2</v>
      </c>
      <c r="AA1497">
        <v>0.86339679999999996</v>
      </c>
      <c r="AB1497">
        <v>27</v>
      </c>
      <c r="AC1497">
        <v>-7.8574999999999804</v>
      </c>
      <c r="AD1497">
        <v>-1.1012709721309999</v>
      </c>
      <c r="AE1497">
        <v>-5.64070000000003</v>
      </c>
      <c r="AF1497">
        <v>4.8808343418228004</v>
      </c>
      <c r="AG1497">
        <v>-1.1012709721309999</v>
      </c>
      <c r="AH1497">
        <v>8.2070717047001693</v>
      </c>
      <c r="AI1497">
        <v>96.578939285983196</v>
      </c>
      <c r="AJ1497">
        <v>59.259592708375699</v>
      </c>
      <c r="AK1497">
        <v>9.6120428417930697</v>
      </c>
      <c r="AL1497">
        <v>90.843742319591399</v>
      </c>
      <c r="AM1497">
        <v>74.472680908746796</v>
      </c>
      <c r="AN1497">
        <v>1.00000004905924</v>
      </c>
    </row>
    <row r="1498" spans="1:40" x14ac:dyDescent="0.25">
      <c r="A1498" t="str">
        <f>"20190305135820271"</f>
        <v>20190305135820271</v>
      </c>
      <c r="B1498" t="str">
        <f>"1551765500259863"</f>
        <v>1551765500259863</v>
      </c>
      <c r="C1498" t="s">
        <v>40</v>
      </c>
      <c r="D1498">
        <v>4.4640060000000004</v>
      </c>
      <c r="E1498">
        <v>0.59885600000000005</v>
      </c>
      <c r="F1498" t="s">
        <v>58</v>
      </c>
      <c r="G1498">
        <v>-202.45099999999999</v>
      </c>
      <c r="H1498" s="1">
        <v>3.0655740000000001E-6</v>
      </c>
      <c r="I1498">
        <v>287.3426</v>
      </c>
      <c r="J1498">
        <v>-194.62280000000001</v>
      </c>
      <c r="K1498">
        <v>1.100983</v>
      </c>
      <c r="L1498">
        <v>292.77170000000001</v>
      </c>
      <c r="M1498">
        <v>-0.41084470000000001</v>
      </c>
      <c r="N1498">
        <v>-2.0381380000000001E-2</v>
      </c>
      <c r="O1498">
        <v>-0.9114776</v>
      </c>
      <c r="P1498">
        <v>-0.64552549999999997</v>
      </c>
      <c r="Q1498">
        <v>-3.0111760000000001E-2</v>
      </c>
      <c r="R1498">
        <v>-0.76314499999999996</v>
      </c>
      <c r="S1498">
        <v>-2.5274960000000002</v>
      </c>
      <c r="T1498">
        <v>-0.35056409999999999</v>
      </c>
      <c r="U1498">
        <v>-1.79974399999999</v>
      </c>
      <c r="V1498">
        <v>0.27459149999999999</v>
      </c>
      <c r="W1498">
        <v>-1.681883E-2</v>
      </c>
      <c r="X1498">
        <v>0.96141390000000004</v>
      </c>
      <c r="Y1498">
        <v>0.49954199999999999</v>
      </c>
      <c r="Z1498">
        <v>9.8562839999999999E-2</v>
      </c>
      <c r="AA1498">
        <v>0.8606644</v>
      </c>
      <c r="AB1498">
        <v>27</v>
      </c>
      <c r="AC1498">
        <v>-7.8281999999999803</v>
      </c>
      <c r="AD1498">
        <v>-1.1009799344260001</v>
      </c>
      <c r="AE1498">
        <v>-5.4291</v>
      </c>
      <c r="AF1498">
        <v>4.8410720445782101</v>
      </c>
      <c r="AG1498">
        <v>-1.1009799344260001</v>
      </c>
      <c r="AH1498">
        <v>8.0587386556246798</v>
      </c>
      <c r="AI1498">
        <v>96.679640385941298</v>
      </c>
      <c r="AJ1498">
        <v>59.005781285227599</v>
      </c>
      <c r="AK1498">
        <v>9.4652735869844093</v>
      </c>
      <c r="AL1498">
        <v>90.963693387732604</v>
      </c>
      <c r="AM1498">
        <v>74.060014039278201</v>
      </c>
      <c r="AN1498">
        <v>1.0000000260140101</v>
      </c>
    </row>
    <row r="1499" spans="1:40" x14ac:dyDescent="0.25">
      <c r="A1499" t="str">
        <f>"20190305135820295"</f>
        <v>20190305135820295</v>
      </c>
      <c r="B1499" t="str">
        <f>"1551765500290118"</f>
        <v>1551765500290118</v>
      </c>
      <c r="C1499" t="s">
        <v>40</v>
      </c>
      <c r="D1499">
        <v>4.458037</v>
      </c>
      <c r="E1499">
        <v>0.59656690000000001</v>
      </c>
      <c r="F1499" t="s">
        <v>58</v>
      </c>
      <c r="G1499">
        <v>-202.49270000000001</v>
      </c>
      <c r="H1499" s="1">
        <v>3.083437E-6</v>
      </c>
      <c r="I1499">
        <v>287.34989999999999</v>
      </c>
      <c r="J1499">
        <v>-194.75640000000001</v>
      </c>
      <c r="K1499">
        <v>1.1006229999999999</v>
      </c>
      <c r="L1499">
        <v>292.51240000000001</v>
      </c>
      <c r="M1499">
        <v>-0.42381920000000001</v>
      </c>
      <c r="N1499">
        <v>-2.0141719999999998E-2</v>
      </c>
      <c r="O1499">
        <v>-0.90552299999999997</v>
      </c>
      <c r="P1499">
        <v>-0.66142309999999904</v>
      </c>
      <c r="Q1499">
        <v>-3.1697820000000002E-2</v>
      </c>
      <c r="R1499">
        <v>-0.74934309999999904</v>
      </c>
      <c r="S1499">
        <v>-2.5521240000000001</v>
      </c>
      <c r="T1499">
        <v>-0.35703580000000001</v>
      </c>
      <c r="U1499">
        <v>-1.75824</v>
      </c>
      <c r="V1499">
        <v>0.28103250000000002</v>
      </c>
      <c r="W1499">
        <v>-1.9042030000000001E-2</v>
      </c>
      <c r="X1499">
        <v>0.95950930000000001</v>
      </c>
      <c r="Y1499">
        <v>0.50033559999999999</v>
      </c>
      <c r="Z1499">
        <v>0.1009284</v>
      </c>
      <c r="AA1499">
        <v>0.85992900000000005</v>
      </c>
      <c r="AB1499">
        <v>27</v>
      </c>
      <c r="AC1499">
        <v>-7.7363</v>
      </c>
      <c r="AD1499">
        <v>-1.100619916563</v>
      </c>
      <c r="AE1499">
        <v>-5.1625000000000201</v>
      </c>
      <c r="AF1499">
        <v>4.7518629650185398</v>
      </c>
      <c r="AG1499">
        <v>-1.100619916563</v>
      </c>
      <c r="AH1499">
        <v>7.8453025173016702</v>
      </c>
      <c r="AI1499">
        <v>96.842513209711498</v>
      </c>
      <c r="AJ1499">
        <v>58.796906959816901</v>
      </c>
      <c r="AK1499">
        <v>9.2379834069470999</v>
      </c>
      <c r="AL1499">
        <v>91.091093918249399</v>
      </c>
      <c r="AM1499">
        <v>73.675119762441895</v>
      </c>
      <c r="AN1499">
        <v>0.99999998087463005</v>
      </c>
    </row>
    <row r="1500" spans="1:40" x14ac:dyDescent="0.25">
      <c r="A1500" t="str">
        <f>"20190305135820316"</f>
        <v>20190305135820316</v>
      </c>
      <c r="B1500" t="str">
        <f>"1551765500310614"</f>
        <v>1551765500310614</v>
      </c>
      <c r="C1500" t="s">
        <v>40</v>
      </c>
      <c r="D1500">
        <v>4.4193030000000002</v>
      </c>
      <c r="E1500">
        <v>0.58128169999999901</v>
      </c>
      <c r="F1500" t="s">
        <v>58</v>
      </c>
      <c r="G1500">
        <v>-202.55950000000001</v>
      </c>
      <c r="H1500" s="1">
        <v>3.1160739999999998E-6</v>
      </c>
      <c r="I1500">
        <v>287.31529999999998</v>
      </c>
      <c r="J1500">
        <v>-194.87620000000001</v>
      </c>
      <c r="K1500">
        <v>1.100293</v>
      </c>
      <c r="L1500">
        <v>292.2885</v>
      </c>
      <c r="M1500">
        <v>-0.43548940000000003</v>
      </c>
      <c r="N1500">
        <v>-1.996556E-2</v>
      </c>
      <c r="O1500">
        <v>-0.89997249999999995</v>
      </c>
      <c r="P1500">
        <v>-0.67649910000000002</v>
      </c>
      <c r="Q1500">
        <v>-3.3791359999999999E-2</v>
      </c>
      <c r="R1500">
        <v>-0.73566790000000004</v>
      </c>
      <c r="S1500">
        <v>-2.5751949999999999</v>
      </c>
      <c r="T1500">
        <v>-0.3632283</v>
      </c>
      <c r="U1500">
        <v>-1.715149</v>
      </c>
      <c r="V1500">
        <v>0.28806730000000003</v>
      </c>
      <c r="W1500">
        <v>-2.1728540000000001E-2</v>
      </c>
      <c r="X1500">
        <v>0.95736359999999998</v>
      </c>
      <c r="Y1500">
        <v>0.50244279999999997</v>
      </c>
      <c r="Z1500">
        <v>0.10323980000000001</v>
      </c>
      <c r="AA1500">
        <v>0.85842450000000003</v>
      </c>
      <c r="AB1500">
        <v>27</v>
      </c>
      <c r="AC1500">
        <v>-7.6833</v>
      </c>
      <c r="AD1500">
        <v>-1.100289883926</v>
      </c>
      <c r="AE1500">
        <v>-4.9732000000000198</v>
      </c>
      <c r="AF1500">
        <v>4.68225827113279</v>
      </c>
      <c r="AG1500">
        <v>-1.100289883926</v>
      </c>
      <c r="AH1500">
        <v>7.7118412960291698</v>
      </c>
      <c r="AI1500">
        <v>96.953264036144503</v>
      </c>
      <c r="AJ1500">
        <v>58.735894212909002</v>
      </c>
      <c r="AK1500">
        <v>9.0888215144430102</v>
      </c>
      <c r="AL1500">
        <v>91.245051645055597</v>
      </c>
      <c r="AM1500">
        <v>73.253646035730895</v>
      </c>
      <c r="AN1500">
        <v>0.99999998069239004</v>
      </c>
    </row>
    <row r="1501" spans="1:40" x14ac:dyDescent="0.25">
      <c r="A1501" t="str">
        <f>"20190305135820339"</f>
        <v>20190305135820339</v>
      </c>
      <c r="B1501" t="str">
        <f>"1551765500330134"</f>
        <v>1551765500330134</v>
      </c>
      <c r="C1501" t="s">
        <v>40</v>
      </c>
      <c r="D1501">
        <v>4.478459</v>
      </c>
      <c r="E1501">
        <v>0.58112149999999996</v>
      </c>
      <c r="F1501" t="s">
        <v>58</v>
      </c>
      <c r="G1501">
        <v>-202.00829999999999</v>
      </c>
      <c r="H1501" s="1">
        <v>2.8681870000000002E-6</v>
      </c>
      <c r="I1501">
        <v>287.3546</v>
      </c>
      <c r="J1501">
        <v>-195.01849999999999</v>
      </c>
      <c r="K1501">
        <v>1.0999099999999999</v>
      </c>
      <c r="L1501">
        <v>292.03230000000002</v>
      </c>
      <c r="M1501">
        <v>-0.4493605</v>
      </c>
      <c r="N1501">
        <v>-1.979703E-2</v>
      </c>
      <c r="O1501">
        <v>-0.89313109999999996</v>
      </c>
      <c r="P1501">
        <v>-0.69285249999999998</v>
      </c>
      <c r="Q1501">
        <v>-3.663479E-2</v>
      </c>
      <c r="R1501">
        <v>-0.72014829999999996</v>
      </c>
      <c r="S1501">
        <v>-2.5195919999999998</v>
      </c>
      <c r="T1501">
        <v>-0.38870559999999998</v>
      </c>
      <c r="U1501">
        <v>-1.7430110000000001</v>
      </c>
      <c r="V1501">
        <v>0.29471579999999997</v>
      </c>
      <c r="W1501">
        <v>-2.5201990000000001E-2</v>
      </c>
      <c r="X1501">
        <v>0.95525249999999995</v>
      </c>
      <c r="Y1501">
        <v>0.47286430000000002</v>
      </c>
      <c r="Z1501">
        <v>0.1114875</v>
      </c>
      <c r="AA1501">
        <v>0.87405370000000004</v>
      </c>
      <c r="AB1501">
        <v>27</v>
      </c>
      <c r="AC1501">
        <v>-6.9897999999999998</v>
      </c>
      <c r="AD1501">
        <v>-1.099907131813</v>
      </c>
      <c r="AE1501">
        <v>-4.6777000000000104</v>
      </c>
      <c r="AF1501">
        <v>4.0720047233478596</v>
      </c>
      <c r="AG1501">
        <v>-1.099907131813</v>
      </c>
      <c r="AH1501">
        <v>7.1970864293457204</v>
      </c>
      <c r="AI1501">
        <v>97.576603964966196</v>
      </c>
      <c r="AJ1501">
        <v>60.499462440341297</v>
      </c>
      <c r="AK1501">
        <v>8.3420064275360506</v>
      </c>
      <c r="AL1501">
        <v>91.444120645057595</v>
      </c>
      <c r="AM1501">
        <v>72.853888186585607</v>
      </c>
      <c r="AN1501">
        <v>0.99999994091292299</v>
      </c>
    </row>
    <row r="1502" spans="1:40" x14ac:dyDescent="0.25">
      <c r="A1502" t="str">
        <f>"20190305135820361"</f>
        <v>20190305135820361</v>
      </c>
      <c r="B1502" t="str">
        <f>"1551765500350162"</f>
        <v>1551765500350162</v>
      </c>
      <c r="C1502" t="s">
        <v>40</v>
      </c>
      <c r="D1502">
        <v>4.4886089999999896</v>
      </c>
      <c r="E1502">
        <v>0.57956589999999997</v>
      </c>
      <c r="F1502" t="s">
        <v>58</v>
      </c>
      <c r="G1502">
        <v>-202.1069</v>
      </c>
      <c r="H1502" s="1">
        <v>2.9118650000000001E-6</v>
      </c>
      <c r="I1502">
        <v>287.35550000000001</v>
      </c>
      <c r="J1502">
        <v>-195.1533</v>
      </c>
      <c r="K1502">
        <v>1.099567</v>
      </c>
      <c r="L1502">
        <v>291.79950000000002</v>
      </c>
      <c r="M1502">
        <v>-0.46248299999999998</v>
      </c>
      <c r="N1502">
        <v>-1.96765E-2</v>
      </c>
      <c r="O1502">
        <v>-0.88640980000000003</v>
      </c>
      <c r="P1502">
        <v>-0.7069512</v>
      </c>
      <c r="Q1502">
        <v>-3.9489740000000002E-2</v>
      </c>
      <c r="R1502">
        <v>-0.70615950000000005</v>
      </c>
      <c r="S1502">
        <v>-2.5560909999999999</v>
      </c>
      <c r="T1502">
        <v>-0.39662649999999999</v>
      </c>
      <c r="U1502">
        <v>-1.6864319999999999</v>
      </c>
      <c r="V1502">
        <v>0.29947479999999999</v>
      </c>
      <c r="W1502">
        <v>-2.8572090000000001E-2</v>
      </c>
      <c r="X1502">
        <v>0.95367630000000003</v>
      </c>
      <c r="Y1502">
        <v>0.47879379999999999</v>
      </c>
      <c r="Z1502">
        <v>0.1142074</v>
      </c>
      <c r="AA1502">
        <v>0.870467199999999</v>
      </c>
      <c r="AB1502">
        <v>27</v>
      </c>
      <c r="AC1502">
        <v>-6.95359999999999</v>
      </c>
      <c r="AD1502">
        <v>-1.099564088135</v>
      </c>
      <c r="AE1502">
        <v>-4.4440000000000097</v>
      </c>
      <c r="AF1502">
        <v>4.0375792072733701</v>
      </c>
      <c r="AG1502">
        <v>-1.099564088135</v>
      </c>
      <c r="AH1502">
        <v>7.0316757314068097</v>
      </c>
      <c r="AI1502">
        <v>97.722637754839297</v>
      </c>
      <c r="AJ1502">
        <v>60.135612645582299</v>
      </c>
      <c r="AK1502">
        <v>8.1826371440127996</v>
      </c>
      <c r="AL1502">
        <v>91.637282985945603</v>
      </c>
      <c r="AM1502">
        <v>72.566593506764505</v>
      </c>
      <c r="AN1502">
        <v>1.0000000026718401</v>
      </c>
    </row>
    <row r="1503" spans="1:40" x14ac:dyDescent="0.25">
      <c r="A1503" t="str">
        <f>"20190305135820383"</f>
        <v>20190305135820383</v>
      </c>
      <c r="B1503" t="str">
        <f>"1551765500380419"</f>
        <v>1551765500380419</v>
      </c>
      <c r="C1503" t="s">
        <v>40</v>
      </c>
      <c r="D1503">
        <v>4.4644579999999996</v>
      </c>
      <c r="E1503">
        <v>0.5783104</v>
      </c>
      <c r="F1503" t="s">
        <v>58</v>
      </c>
      <c r="G1503">
        <v>-202.17490000000001</v>
      </c>
      <c r="H1503" s="1">
        <v>2.9443060000000001E-6</v>
      </c>
      <c r="I1503">
        <v>287.32920000000001</v>
      </c>
      <c r="J1503">
        <v>-195.29179999999999</v>
      </c>
      <c r="K1503">
        <v>1.0992379999999999</v>
      </c>
      <c r="L1503">
        <v>291.56909999999999</v>
      </c>
      <c r="M1503">
        <v>-0.47590320000000003</v>
      </c>
      <c r="N1503">
        <v>-1.958381E-2</v>
      </c>
      <c r="O1503">
        <v>-0.879279699999999</v>
      </c>
      <c r="P1503">
        <v>-0.72103139999999999</v>
      </c>
      <c r="Q1503">
        <v>-3.9462980000000002E-2</v>
      </c>
      <c r="R1503">
        <v>-0.691778</v>
      </c>
      <c r="S1503">
        <v>-2.5801850000000002</v>
      </c>
      <c r="T1503">
        <v>-0.4040473</v>
      </c>
      <c r="U1503">
        <v>-1.6426700000000001</v>
      </c>
      <c r="V1503">
        <v>0.30415639999999999</v>
      </c>
      <c r="W1503">
        <v>-2.9019369999999999E-2</v>
      </c>
      <c r="X1503">
        <v>0.95218000000000003</v>
      </c>
      <c r="Y1503">
        <v>0.4793752</v>
      </c>
      <c r="Z1503">
        <v>0.1165731</v>
      </c>
      <c r="AA1503">
        <v>0.86983339999999998</v>
      </c>
      <c r="AB1503">
        <v>27</v>
      </c>
      <c r="AC1503">
        <v>-6.8831000000000104</v>
      </c>
      <c r="AD1503">
        <v>-1.099235055694</v>
      </c>
      <c r="AE1503">
        <v>-4.2398999999999702</v>
      </c>
      <c r="AF1503">
        <v>3.9619104312279201</v>
      </c>
      <c r="AG1503">
        <v>-1.099235055694</v>
      </c>
      <c r="AH1503">
        <v>6.8779251490743203</v>
      </c>
      <c r="AI1503">
        <v>97.884613116882093</v>
      </c>
      <c r="AJ1503">
        <v>60.0566466817736</v>
      </c>
      <c r="AK1503">
        <v>8.0131708036836606</v>
      </c>
      <c r="AL1503">
        <v>91.662920885132905</v>
      </c>
      <c r="AM1503">
        <v>72.284874040735403</v>
      </c>
      <c r="AN1503">
        <v>0.99999999594807798</v>
      </c>
    </row>
    <row r="1504" spans="1:40" x14ac:dyDescent="0.25">
      <c r="A1504" t="str">
        <f>"20190305135820404"</f>
        <v>20190305135820404</v>
      </c>
      <c r="B1504" t="str">
        <f>"1551765500399939"</f>
        <v>1551765500399939</v>
      </c>
      <c r="C1504" t="s">
        <v>40</v>
      </c>
      <c r="D1504">
        <v>4.6115919999999999</v>
      </c>
      <c r="E1504">
        <v>0.63530189999999997</v>
      </c>
      <c r="F1504" t="s">
        <v>58</v>
      </c>
      <c r="G1504">
        <v>-202.70820000000001</v>
      </c>
      <c r="H1504" s="1">
        <v>3.207768E-6</v>
      </c>
      <c r="I1504">
        <v>287.0206</v>
      </c>
      <c r="J1504">
        <v>-195.43219999999999</v>
      </c>
      <c r="K1504">
        <v>1.098929</v>
      </c>
      <c r="L1504">
        <v>291.34429999999998</v>
      </c>
      <c r="M1504">
        <v>-0.48941859999999998</v>
      </c>
      <c r="N1504">
        <v>-1.95163E-2</v>
      </c>
      <c r="O1504">
        <v>-0.87183069999999896</v>
      </c>
      <c r="P1504">
        <v>-0.73621840000000005</v>
      </c>
      <c r="Q1504">
        <v>-3.9446910000000002E-2</v>
      </c>
      <c r="R1504">
        <v>-0.67559360000000002</v>
      </c>
      <c r="S1504">
        <v>-2.6060940000000001</v>
      </c>
      <c r="T1504">
        <v>-0.38626749999999999</v>
      </c>
      <c r="U1504">
        <v>-1.598328</v>
      </c>
      <c r="V1504">
        <v>0.31057249999999997</v>
      </c>
      <c r="W1504">
        <v>-2.9500410000000001E-2</v>
      </c>
      <c r="X1504">
        <v>0.95009180000000004</v>
      </c>
      <c r="Y1504">
        <v>0.48109459999999998</v>
      </c>
      <c r="Z1504">
        <v>0.1107648</v>
      </c>
      <c r="AA1504">
        <v>0.86964319999999895</v>
      </c>
      <c r="AB1504">
        <v>27</v>
      </c>
      <c r="AC1504">
        <v>-7.2760000000000096</v>
      </c>
      <c r="AD1504">
        <v>-1.0989257922319999</v>
      </c>
      <c r="AE1504">
        <v>-4.3236999999999703</v>
      </c>
      <c r="AF1504">
        <v>4.1580481189476997</v>
      </c>
      <c r="AG1504">
        <v>-1.0989257922319999</v>
      </c>
      <c r="AH1504">
        <v>7.2103848340383099</v>
      </c>
      <c r="AI1504">
        <v>97.521172365925096</v>
      </c>
      <c r="AJ1504">
        <v>60.029029351582203</v>
      </c>
      <c r="AK1504">
        <v>8.3956328833058809</v>
      </c>
      <c r="AL1504">
        <v>91.690494262905602</v>
      </c>
      <c r="AM1504">
        <v>71.898113069532201</v>
      </c>
      <c r="AN1504">
        <v>0.99999999018682895</v>
      </c>
    </row>
    <row r="1505" spans="1:40" x14ac:dyDescent="0.25">
      <c r="A1505" t="str">
        <f>"20190305135820430"</f>
        <v>20190305135820430</v>
      </c>
      <c r="B1505" t="str">
        <f>"1551765500420434"</f>
        <v>1551765500420434</v>
      </c>
      <c r="C1505" t="s">
        <v>40</v>
      </c>
      <c r="D1505">
        <v>4.6056540000000004</v>
      </c>
      <c r="E1505">
        <v>0.65194259999999904</v>
      </c>
      <c r="F1505" t="s">
        <v>58</v>
      </c>
      <c r="G1505">
        <v>-204.8467</v>
      </c>
      <c r="H1505" s="1">
        <v>4.1156E-6</v>
      </c>
      <c r="I1505">
        <v>287.48419999999999</v>
      </c>
      <c r="J1505">
        <v>-195.59620000000001</v>
      </c>
      <c r="K1505">
        <v>1.0986129999999901</v>
      </c>
      <c r="L1505">
        <v>291.09199999999998</v>
      </c>
      <c r="M1505">
        <v>-0.50508370000000002</v>
      </c>
      <c r="N1505">
        <v>-1.947316E-2</v>
      </c>
      <c r="O1505">
        <v>-0.86285040000000002</v>
      </c>
      <c r="P1505">
        <v>-0.75371379999999999</v>
      </c>
      <c r="Q1505">
        <v>-4.040233E-2</v>
      </c>
      <c r="R1505">
        <v>-0.65595959999999998</v>
      </c>
      <c r="S1505">
        <v>-2.9474640000000001</v>
      </c>
      <c r="T1505">
        <v>-0.3440473</v>
      </c>
      <c r="U1505">
        <v>-1.208496</v>
      </c>
      <c r="V1505">
        <v>0.31833699999999998</v>
      </c>
      <c r="W1505">
        <v>-3.1001600000000001E-2</v>
      </c>
      <c r="X1505">
        <v>0.94747049999999999</v>
      </c>
      <c r="Y1505">
        <v>0.60150400000000004</v>
      </c>
      <c r="Z1505">
        <v>9.7530720000000001E-2</v>
      </c>
      <c r="AA1505">
        <v>0.79289390000000004</v>
      </c>
      <c r="AB1505">
        <v>27</v>
      </c>
      <c r="AC1505">
        <v>-9.2504999999999793</v>
      </c>
      <c r="AD1505">
        <v>-1.0986088843999999</v>
      </c>
      <c r="AE1505">
        <v>-3.6077999999999899</v>
      </c>
      <c r="AF1505">
        <v>6.0862170333035799</v>
      </c>
      <c r="AG1505">
        <v>-1.0986088843999999</v>
      </c>
      <c r="AH1505">
        <v>7.6925720571440097</v>
      </c>
      <c r="AI1505">
        <v>96.390460183455005</v>
      </c>
      <c r="AJ1505">
        <v>51.649623648528802</v>
      </c>
      <c r="AK1505">
        <v>9.8703922977615299</v>
      </c>
      <c r="AL1505">
        <v>91.776545583375096</v>
      </c>
      <c r="AM1505">
        <v>71.4283626661814</v>
      </c>
      <c r="AN1505">
        <v>0.99999994657090296</v>
      </c>
    </row>
    <row r="1506" spans="1:40" x14ac:dyDescent="0.25">
      <c r="A1506" t="str">
        <f>"20190305135820451"</f>
        <v>20190305135820451</v>
      </c>
      <c r="B1506" t="str">
        <f>"1551765500439954"</f>
        <v>1551765500439954</v>
      </c>
      <c r="C1506" t="s">
        <v>40</v>
      </c>
      <c r="D1506">
        <v>4.6859859999999998</v>
      </c>
      <c r="E1506">
        <v>0.74396399999999996</v>
      </c>
      <c r="F1506" t="s">
        <v>58</v>
      </c>
      <c r="G1506">
        <v>-205.93029999999999</v>
      </c>
      <c r="H1506" s="1">
        <v>4.5851959999999996E-6</v>
      </c>
      <c r="I1506">
        <v>287.60890000000001</v>
      </c>
      <c r="J1506">
        <v>-195.745</v>
      </c>
      <c r="K1506">
        <v>1.098344</v>
      </c>
      <c r="L1506">
        <v>290.8723</v>
      </c>
      <c r="M1506">
        <v>-0.51915540000000004</v>
      </c>
      <c r="N1506">
        <v>-1.9462859999999998E-2</v>
      </c>
      <c r="O1506">
        <v>-0.8544583</v>
      </c>
      <c r="P1506">
        <v>-0.76817069999999998</v>
      </c>
      <c r="Q1506">
        <v>-4.1639019999999999E-2</v>
      </c>
      <c r="R1506">
        <v>-0.6388897</v>
      </c>
      <c r="S1506">
        <v>-3.0640109999999998</v>
      </c>
      <c r="T1506">
        <v>-0.32573439999999998</v>
      </c>
      <c r="U1506">
        <v>-1.032745</v>
      </c>
      <c r="V1506">
        <v>0.3239379</v>
      </c>
      <c r="W1506">
        <v>-3.2647229999999999E-2</v>
      </c>
      <c r="X1506">
        <v>0.94551490000000005</v>
      </c>
      <c r="Y1506">
        <v>0.63912139999999995</v>
      </c>
      <c r="Z1506">
        <v>9.1701710000000006E-2</v>
      </c>
      <c r="AA1506">
        <v>0.76361939999999995</v>
      </c>
      <c r="AB1506">
        <v>27</v>
      </c>
      <c r="AC1506">
        <v>-10.1852999999999</v>
      </c>
      <c r="AD1506">
        <v>-1.098339414804</v>
      </c>
      <c r="AE1506">
        <v>-3.2633999999999901</v>
      </c>
      <c r="AF1506">
        <v>6.9368740631996104</v>
      </c>
      <c r="AG1506">
        <v>-1.098339414804</v>
      </c>
      <c r="AH1506">
        <v>7.9934242645347497</v>
      </c>
      <c r="AI1506">
        <v>95.924738483300203</v>
      </c>
      <c r="AJ1506">
        <v>49.0478173268937</v>
      </c>
      <c r="AK1506">
        <v>10.640554624250401</v>
      </c>
      <c r="AL1506">
        <v>91.870880907181999</v>
      </c>
      <c r="AM1506">
        <v>71.088296307463295</v>
      </c>
      <c r="AN1506">
        <v>1.0000000154025399</v>
      </c>
    </row>
    <row r="1507" spans="1:40" x14ac:dyDescent="0.25">
      <c r="A1507" t="str">
        <f>"20190305135820474"</f>
        <v>20190305135820474</v>
      </c>
      <c r="B1507" t="str">
        <f>"1551765500470210"</f>
        <v>1551765500470210</v>
      </c>
      <c r="C1507" t="s">
        <v>40</v>
      </c>
      <c r="D1507">
        <v>4.2468539999999999</v>
      </c>
      <c r="E1507">
        <v>0.73087500000000005</v>
      </c>
      <c r="F1507" t="s">
        <v>58</v>
      </c>
      <c r="G1507">
        <v>-202.20099999999999</v>
      </c>
      <c r="H1507">
        <v>8.000032E-2</v>
      </c>
      <c r="I1507">
        <v>290.19029999999998</v>
      </c>
      <c r="J1507">
        <v>-195.89830000000001</v>
      </c>
      <c r="K1507">
        <v>1.0980890000000001</v>
      </c>
      <c r="L1507">
        <v>290.65440000000001</v>
      </c>
      <c r="M1507">
        <v>-0.53350600000000004</v>
      </c>
      <c r="N1507">
        <v>-1.9473500000000001E-2</v>
      </c>
      <c r="O1507">
        <v>-0.8455722</v>
      </c>
      <c r="P1507">
        <v>-0.78091109999999997</v>
      </c>
      <c r="Q1507">
        <v>-4.1863369999999997E-2</v>
      </c>
      <c r="R1507">
        <v>-0.62323819999999996</v>
      </c>
      <c r="S1507">
        <v>-3.561966</v>
      </c>
      <c r="T1507">
        <v>-0.56184699999999999</v>
      </c>
      <c r="U1507">
        <v>-0.3762817</v>
      </c>
      <c r="V1507">
        <v>0.32703949999999998</v>
      </c>
      <c r="W1507">
        <v>-3.3167429999999998E-2</v>
      </c>
      <c r="X1507">
        <v>0.94442839999999995</v>
      </c>
      <c r="Y1507">
        <v>0.77028819999999998</v>
      </c>
      <c r="Z1507">
        <v>0.1595241</v>
      </c>
      <c r="AA1507">
        <v>0.61742039999999998</v>
      </c>
      <c r="AB1507">
        <v>26</v>
      </c>
      <c r="AC1507">
        <v>-6.3026999999999802</v>
      </c>
      <c r="AD1507">
        <v>-1.01808868</v>
      </c>
      <c r="AE1507">
        <v>-0.46410000000002999</v>
      </c>
      <c r="AF1507">
        <v>4.9541805485837198</v>
      </c>
      <c r="AG1507">
        <v>-1.01808868</v>
      </c>
      <c r="AH1507">
        <v>3.6606687117413399</v>
      </c>
      <c r="AI1507">
        <v>99.384820709274507</v>
      </c>
      <c r="AJ1507">
        <v>36.460879926127198</v>
      </c>
      <c r="AK1507">
        <v>6.2434689784951596</v>
      </c>
      <c r="AL1507">
        <v>91.900702432058594</v>
      </c>
      <c r="AM1507">
        <v>70.899900080004201</v>
      </c>
      <c r="AN1507">
        <v>0.999999957849806</v>
      </c>
    </row>
    <row r="1508" spans="1:40" x14ac:dyDescent="0.25">
      <c r="A1508" t="str">
        <f>"20190305135820496"</f>
        <v>20190305135820496</v>
      </c>
      <c r="B1508" t="str">
        <f>"1551765500489730"</f>
        <v>1551765500489730</v>
      </c>
      <c r="C1508" t="s">
        <v>40</v>
      </c>
      <c r="D1508">
        <v>4.3042959999999999</v>
      </c>
      <c r="E1508">
        <v>0.72415450000000003</v>
      </c>
      <c r="F1508" t="s">
        <v>58</v>
      </c>
      <c r="G1508">
        <v>-204.50640000000001</v>
      </c>
      <c r="H1508">
        <v>8.0000299999999996E-2</v>
      </c>
      <c r="I1508">
        <v>289.67489999999998</v>
      </c>
      <c r="J1508">
        <v>-196.06</v>
      </c>
      <c r="K1508">
        <v>1.0978270000000001</v>
      </c>
      <c r="L1508">
        <v>290.43340000000001</v>
      </c>
      <c r="M1508">
        <v>-0.54845940000000004</v>
      </c>
      <c r="N1508">
        <v>-1.9501089999999999E-2</v>
      </c>
      <c r="O1508">
        <v>-0.83594999999999997</v>
      </c>
      <c r="P1508">
        <v>-0.79333540000000002</v>
      </c>
      <c r="Q1508">
        <v>-4.1935920000000002E-2</v>
      </c>
      <c r="R1508">
        <v>-0.60733899999999996</v>
      </c>
      <c r="S1508">
        <v>-3.5014799999999999</v>
      </c>
      <c r="T1508">
        <v>-0.41412529999999997</v>
      </c>
      <c r="U1508">
        <v>-0.3984375</v>
      </c>
      <c r="V1508">
        <v>0.32929019999999998</v>
      </c>
      <c r="W1508">
        <v>-3.3488230000000001E-2</v>
      </c>
      <c r="X1508">
        <v>0.94363470000000005</v>
      </c>
      <c r="Y1508">
        <v>0.76071999999999995</v>
      </c>
      <c r="Z1508">
        <v>0.1162441</v>
      </c>
      <c r="AA1508">
        <v>0.63858630000000005</v>
      </c>
      <c r="AB1508">
        <v>26</v>
      </c>
      <c r="AC1508">
        <v>-8.4464000000000095</v>
      </c>
      <c r="AD1508">
        <v>-1.0178267000000001</v>
      </c>
      <c r="AE1508">
        <v>-0.75850000000002604</v>
      </c>
      <c r="AF1508">
        <v>6.5516470028812703</v>
      </c>
      <c r="AG1508">
        <v>-1.0178267000000001</v>
      </c>
      <c r="AH1508">
        <v>5.1927737775975</v>
      </c>
      <c r="AI1508">
        <v>96.941605416829006</v>
      </c>
      <c r="AJ1508">
        <v>38.400012623423898</v>
      </c>
      <c r="AK1508">
        <v>8.4216951468751393</v>
      </c>
      <c r="AL1508">
        <v>91.919093107945102</v>
      </c>
      <c r="AM1508">
        <v>70.763086293414901</v>
      </c>
      <c r="AN1508">
        <v>0.99999997220433101</v>
      </c>
    </row>
    <row r="1509" spans="1:40" x14ac:dyDescent="0.25">
      <c r="A1509" t="str">
        <f>"20190305135820517"</f>
        <v>20190305135820517</v>
      </c>
      <c r="B1509" t="str">
        <f>"1551765500510227"</f>
        <v>1551765500510227</v>
      </c>
      <c r="C1509" t="s">
        <v>40</v>
      </c>
      <c r="D1509">
        <v>4.3612359999999999</v>
      </c>
      <c r="E1509">
        <v>0.71842589999999995</v>
      </c>
      <c r="F1509" t="s">
        <v>58</v>
      </c>
      <c r="G1509">
        <v>-206.74809999999999</v>
      </c>
      <c r="H1509" s="1">
        <v>4.801625E-6</v>
      </c>
      <c r="I1509">
        <v>289.2817</v>
      </c>
      <c r="J1509">
        <v>-196.20920000000001</v>
      </c>
      <c r="K1509">
        <v>1.0976079999999999</v>
      </c>
      <c r="L1509">
        <v>290.23739999999998</v>
      </c>
      <c r="M1509">
        <v>-0.56206849999999997</v>
      </c>
      <c r="N1509">
        <v>-1.9532239999999999E-2</v>
      </c>
      <c r="O1509">
        <v>-0.82686019999999905</v>
      </c>
      <c r="P1509">
        <v>-0.80446949999999995</v>
      </c>
      <c r="Q1509">
        <v>-4.3091600000000001E-2</v>
      </c>
      <c r="R1509">
        <v>-0.59242930000000005</v>
      </c>
      <c r="S1509">
        <v>-3.4758909999999998</v>
      </c>
      <c r="T1509">
        <v>-0.3570256</v>
      </c>
      <c r="U1509">
        <v>-0.37454219999999999</v>
      </c>
      <c r="V1509">
        <v>0.33134829999999998</v>
      </c>
      <c r="W1509">
        <v>-3.485622E-2</v>
      </c>
      <c r="X1509">
        <v>0.94286440000000005</v>
      </c>
      <c r="Y1509">
        <v>0.75606180000000001</v>
      </c>
      <c r="Z1509">
        <v>9.9321439999999997E-2</v>
      </c>
      <c r="AA1509">
        <v>0.6469203</v>
      </c>
      <c r="AB1509">
        <v>26</v>
      </c>
      <c r="AC1509">
        <v>-10.5388999999999</v>
      </c>
      <c r="AD1509">
        <v>-1.0976031983750001</v>
      </c>
      <c r="AE1509">
        <v>-0.95569999999997801</v>
      </c>
      <c r="AF1509">
        <v>8.0915360112526908</v>
      </c>
      <c r="AG1509">
        <v>-1.0976031983750001</v>
      </c>
      <c r="AH1509">
        <v>6.6436200508186403</v>
      </c>
      <c r="AI1509">
        <v>95.984915858707794</v>
      </c>
      <c r="AJ1509">
        <v>39.387979132136202</v>
      </c>
      <c r="AK1509">
        <v>10.526888200324001</v>
      </c>
      <c r="AL1509">
        <v>91.997518989228894</v>
      </c>
      <c r="AM1509">
        <v>70.637132017565605</v>
      </c>
      <c r="AN1509">
        <v>0.99999996438646799</v>
      </c>
    </row>
    <row r="1510" spans="1:40" x14ac:dyDescent="0.25">
      <c r="A1510" t="str">
        <f>"20190305135820539"</f>
        <v>20190305135820539</v>
      </c>
      <c r="B1510" t="str">
        <f>"1551765500529746"</f>
        <v>1551765500529746</v>
      </c>
      <c r="C1510" t="s">
        <v>40</v>
      </c>
      <c r="D1510">
        <v>4.4256679999999999</v>
      </c>
      <c r="E1510">
        <v>0.71481779999999995</v>
      </c>
      <c r="F1510" t="s">
        <v>58</v>
      </c>
      <c r="G1510">
        <v>-208.8552</v>
      </c>
      <c r="H1510" s="1">
        <v>5.7651769999999999E-6</v>
      </c>
      <c r="I1510">
        <v>288.94839999999999</v>
      </c>
      <c r="J1510">
        <v>-196.37979999999999</v>
      </c>
      <c r="K1510">
        <v>1.0973900000000001</v>
      </c>
      <c r="L1510">
        <v>290.02199999999999</v>
      </c>
      <c r="M1510">
        <v>-0.57739149999999995</v>
      </c>
      <c r="N1510">
        <v>-1.9567810000000001E-2</v>
      </c>
      <c r="O1510">
        <v>-0.81623299999999999</v>
      </c>
      <c r="P1510">
        <v>-0.81621049999999995</v>
      </c>
      <c r="Q1510">
        <v>-4.3966560000000002E-2</v>
      </c>
      <c r="R1510">
        <v>-0.57607940000000002</v>
      </c>
      <c r="S1510">
        <v>-3.4538730000000002</v>
      </c>
      <c r="T1510">
        <v>-0.29977749999999997</v>
      </c>
      <c r="U1510">
        <v>-0.3520508</v>
      </c>
      <c r="V1510">
        <v>0.33270050000000001</v>
      </c>
      <c r="W1510">
        <v>-3.591958E-2</v>
      </c>
      <c r="X1510">
        <v>0.94234819999999997</v>
      </c>
      <c r="Y1510">
        <v>0.74943519999999997</v>
      </c>
      <c r="Z1510">
        <v>8.1962370000000007E-2</v>
      </c>
      <c r="AA1510">
        <v>0.65698480000000004</v>
      </c>
      <c r="AB1510">
        <v>26</v>
      </c>
      <c r="AC1510">
        <v>-12.4754</v>
      </c>
      <c r="AD1510">
        <v>-1.0973842348229901</v>
      </c>
      <c r="AE1510">
        <v>-1.0735999999999899</v>
      </c>
      <c r="AF1510">
        <v>9.4918715122493893</v>
      </c>
      <c r="AG1510">
        <v>-1.0973842348229901</v>
      </c>
      <c r="AH1510">
        <v>8.0194488731358007</v>
      </c>
      <c r="AI1510">
        <v>95.046872631972093</v>
      </c>
      <c r="AJ1510">
        <v>40.193645039007002</v>
      </c>
      <c r="AK1510">
        <v>12.4744313374489</v>
      </c>
      <c r="AL1510">
        <v>92.058483177814793</v>
      </c>
      <c r="AM1510">
        <v>70.5541793423873</v>
      </c>
      <c r="AN1510">
        <v>0.99999998448543304</v>
      </c>
    </row>
    <row r="1511" spans="1:40" x14ac:dyDescent="0.25">
      <c r="A1511" t="str">
        <f>"20190305135820562"</f>
        <v>20190305135820562</v>
      </c>
      <c r="B1511" t="str">
        <f>"1551765500560003"</f>
        <v>1551765500560003</v>
      </c>
      <c r="C1511" t="s">
        <v>40</v>
      </c>
      <c r="D1511">
        <v>4.3883289999999997</v>
      </c>
      <c r="E1511">
        <v>0.70954249999999996</v>
      </c>
      <c r="F1511" t="s">
        <v>59</v>
      </c>
      <c r="G1511">
        <v>-210.21619999999999</v>
      </c>
      <c r="H1511" s="1">
        <v>-1.4217089999999999E-6</v>
      </c>
      <c r="I1511">
        <v>288.78109999999998</v>
      </c>
      <c r="J1511">
        <v>-196.55029999999999</v>
      </c>
      <c r="K1511">
        <v>1.097216</v>
      </c>
      <c r="L1511">
        <v>289.81569999999999</v>
      </c>
      <c r="M1511">
        <v>-0.59243040000000002</v>
      </c>
      <c r="N1511">
        <v>-1.9588930000000001E-2</v>
      </c>
      <c r="O1511">
        <v>-0.80538369999999904</v>
      </c>
      <c r="P1511">
        <v>-0.82711780000000001</v>
      </c>
      <c r="Q1511">
        <v>-4.1971969999999997E-2</v>
      </c>
      <c r="R1511">
        <v>-0.56045959999999995</v>
      </c>
      <c r="S1511">
        <v>-3.4428860000000001</v>
      </c>
      <c r="T1511">
        <v>-0.2730612</v>
      </c>
      <c r="U1511">
        <v>-0.30877690000000002</v>
      </c>
      <c r="V1511">
        <v>0.33326749999999999</v>
      </c>
      <c r="W1511">
        <v>-3.4072770000000002E-2</v>
      </c>
      <c r="X1511">
        <v>0.94221650000000001</v>
      </c>
      <c r="Y1511">
        <v>0.74590730000000005</v>
      </c>
      <c r="Z1511">
        <v>7.3908249999999995E-2</v>
      </c>
      <c r="AA1511">
        <v>0.66193649999999904</v>
      </c>
      <c r="AB1511">
        <v>26</v>
      </c>
      <c r="AC1511">
        <v>-13.665899999999899</v>
      </c>
      <c r="AD1511">
        <v>-1.0972174217090001</v>
      </c>
      <c r="AE1511">
        <v>-1.03460000000001</v>
      </c>
      <c r="AF1511">
        <v>10.3291520504114</v>
      </c>
      <c r="AG1511">
        <v>-1.0972174217090001</v>
      </c>
      <c r="AH1511">
        <v>8.8741770635837796</v>
      </c>
      <c r="AI1511">
        <v>94.606527111931797</v>
      </c>
      <c r="AJ1511">
        <v>40.6671599577599</v>
      </c>
      <c r="AK1511">
        <v>13.661855170761299</v>
      </c>
      <c r="AL1511">
        <v>91.952603744988096</v>
      </c>
      <c r="AM1511">
        <v>70.521014396067102</v>
      </c>
      <c r="AN1511">
        <v>1.00000005654198</v>
      </c>
    </row>
    <row r="1512" spans="1:40" x14ac:dyDescent="0.25">
      <c r="A1512" t="str">
        <f>"20190305135820584"</f>
        <v>20190305135820584</v>
      </c>
      <c r="B1512" t="str">
        <f>"1551765500580499"</f>
        <v>1551765500580499</v>
      </c>
      <c r="C1512" t="s">
        <v>40</v>
      </c>
      <c r="D1512">
        <v>4.3599589999999999</v>
      </c>
      <c r="E1512">
        <v>0.70667269999999904</v>
      </c>
      <c r="F1512" t="s">
        <v>59</v>
      </c>
      <c r="G1512">
        <v>-211.81229999999999</v>
      </c>
      <c r="H1512" s="1">
        <v>-5.7236790000000004E-7</v>
      </c>
      <c r="I1512">
        <v>288.56200000000001</v>
      </c>
      <c r="J1512">
        <v>-196.72049999999999</v>
      </c>
      <c r="K1512">
        <v>1.09707</v>
      </c>
      <c r="L1512">
        <v>289.61759999999998</v>
      </c>
      <c r="M1512">
        <v>-0.60715430000000004</v>
      </c>
      <c r="N1512">
        <v>-1.958961E-2</v>
      </c>
      <c r="O1512">
        <v>-0.79434259999999901</v>
      </c>
      <c r="P1512">
        <v>-0.83786830000000001</v>
      </c>
      <c r="Q1512">
        <v>-3.9497570000000003E-2</v>
      </c>
      <c r="R1512">
        <v>-0.54444209999999904</v>
      </c>
      <c r="S1512">
        <v>-3.4239809999999999</v>
      </c>
      <c r="T1512">
        <v>-0.24615629999999999</v>
      </c>
      <c r="U1512">
        <v>-0.28128049999999999</v>
      </c>
      <c r="V1512">
        <v>0.3342137</v>
      </c>
      <c r="W1512">
        <v>-3.1755270000000002E-2</v>
      </c>
      <c r="X1512">
        <v>0.94196219999999997</v>
      </c>
      <c r="Y1512">
        <v>0.73927779999999998</v>
      </c>
      <c r="Z1512">
        <v>6.5769999999999995E-2</v>
      </c>
      <c r="AA1512">
        <v>0.67018109999999997</v>
      </c>
      <c r="AB1512">
        <v>26</v>
      </c>
      <c r="AC1512">
        <v>-15.091799999999999</v>
      </c>
      <c r="AD1512">
        <v>-1.0970705723679</v>
      </c>
      <c r="AE1512">
        <v>-1.0555999999999699</v>
      </c>
      <c r="AF1512">
        <v>11.2899549569155</v>
      </c>
      <c r="AG1512">
        <v>-1.0970705723679</v>
      </c>
      <c r="AH1512">
        <v>9.9511488181125003</v>
      </c>
      <c r="AI1512">
        <v>94.169333691557895</v>
      </c>
      <c r="AJ1512">
        <v>41.393473454267699</v>
      </c>
      <c r="AK1512">
        <v>15.0894668418125</v>
      </c>
      <c r="AL1512">
        <v>91.819748891589896</v>
      </c>
      <c r="AM1512">
        <v>70.4650172035293</v>
      </c>
      <c r="AN1512">
        <v>0.99999999033465103</v>
      </c>
    </row>
    <row r="1513" spans="1:40" x14ac:dyDescent="0.25">
      <c r="A1513" t="str">
        <f>"20190305135820605"</f>
        <v>20190305135820605</v>
      </c>
      <c r="B1513" t="str">
        <f>"1551765500600019"</f>
        <v>1551765500600019</v>
      </c>
      <c r="C1513" t="s">
        <v>40</v>
      </c>
      <c r="D1513">
        <v>4.3221089999999904</v>
      </c>
      <c r="E1513">
        <v>0.70428009999999996</v>
      </c>
      <c r="F1513" t="s">
        <v>59</v>
      </c>
      <c r="G1513">
        <v>-212.58969999999999</v>
      </c>
      <c r="H1513" s="1">
        <v>-1.5868339999999999E-7</v>
      </c>
      <c r="I1513">
        <v>288.52330000000001</v>
      </c>
      <c r="J1513">
        <v>-196.8905</v>
      </c>
      <c r="K1513">
        <v>1.0969519999999999</v>
      </c>
      <c r="L1513">
        <v>289.4273</v>
      </c>
      <c r="M1513">
        <v>-0.62154869999999995</v>
      </c>
      <c r="N1513">
        <v>-1.957478E-2</v>
      </c>
      <c r="O1513">
        <v>-0.78313100000000002</v>
      </c>
      <c r="P1513">
        <v>-0.84843310000000005</v>
      </c>
      <c r="Q1513">
        <v>-3.920829E-2</v>
      </c>
      <c r="R1513">
        <v>-0.5278484</v>
      </c>
      <c r="S1513">
        <v>-3.4163060000000001</v>
      </c>
      <c r="T1513">
        <v>-0.23617579999999999</v>
      </c>
      <c r="U1513">
        <v>-0.23559569999999999</v>
      </c>
      <c r="V1513">
        <v>0.3355689</v>
      </c>
      <c r="W1513">
        <v>-3.1633189999999999E-2</v>
      </c>
      <c r="X1513">
        <v>0.9414844</v>
      </c>
      <c r="Y1513">
        <v>0.73603249999999998</v>
      </c>
      <c r="Z1513">
        <v>6.2788849999999993E-2</v>
      </c>
      <c r="AA1513">
        <v>0.67402790000000001</v>
      </c>
      <c r="AB1513">
        <v>26</v>
      </c>
      <c r="AC1513">
        <v>-15.6991999999999</v>
      </c>
      <c r="AD1513">
        <v>-1.0969521586833999</v>
      </c>
      <c r="AE1513">
        <v>-0.90399999999999603</v>
      </c>
      <c r="AF1513">
        <v>11.678071034129699</v>
      </c>
      <c r="AG1513">
        <v>-1.0969521586833999</v>
      </c>
      <c r="AH1513">
        <v>10.417082051246</v>
      </c>
      <c r="AI1513">
        <v>94.009704614254403</v>
      </c>
      <c r="AJ1513">
        <v>41.733624848295101</v>
      </c>
      <c r="AK1513">
        <v>15.6874550383105</v>
      </c>
      <c r="AL1513">
        <v>91.812750670563005</v>
      </c>
      <c r="AM1513">
        <v>70.3826442552581</v>
      </c>
      <c r="AN1513">
        <v>1.0000000104000699</v>
      </c>
    </row>
    <row r="1514" spans="1:40" x14ac:dyDescent="0.25">
      <c r="A1514" t="str">
        <f>"20190305135820630"</f>
        <v>20190305135820630</v>
      </c>
      <c r="B1514" t="str">
        <f>"1551765500620514"</f>
        <v>1551765500620514</v>
      </c>
      <c r="C1514" t="s">
        <v>40</v>
      </c>
      <c r="D1514">
        <v>4.3436500000000002</v>
      </c>
      <c r="E1514">
        <v>0.70167480000000004</v>
      </c>
      <c r="F1514" t="s">
        <v>59</v>
      </c>
      <c r="G1514">
        <v>-212.5478</v>
      </c>
      <c r="H1514" s="1">
        <v>-1.809702E-7</v>
      </c>
      <c r="I1514">
        <v>288.5761</v>
      </c>
      <c r="J1514">
        <v>-197.09010000000001</v>
      </c>
      <c r="K1514">
        <v>1.0968370000000001</v>
      </c>
      <c r="L1514">
        <v>289.21300000000002</v>
      </c>
      <c r="M1514">
        <v>-0.63804209999999995</v>
      </c>
      <c r="N1514">
        <v>-1.95392E-2</v>
      </c>
      <c r="O1514">
        <v>-0.76975360000000004</v>
      </c>
      <c r="P1514">
        <v>-0.85970170000000001</v>
      </c>
      <c r="Q1514">
        <v>-3.9463999999999999E-2</v>
      </c>
      <c r="R1514">
        <v>-0.50927020000000001</v>
      </c>
      <c r="S1514">
        <v>-3.4095610000000001</v>
      </c>
      <c r="T1514">
        <v>-0.2388738</v>
      </c>
      <c r="U1514">
        <v>-0.1853638</v>
      </c>
      <c r="V1514">
        <v>0.3360223</v>
      </c>
      <c r="W1514">
        <v>-3.203276E-2</v>
      </c>
      <c r="X1514">
        <v>0.94130919999999896</v>
      </c>
      <c r="Y1514">
        <v>0.73140629999999995</v>
      </c>
      <c r="Z1514">
        <v>6.3592629999999997E-2</v>
      </c>
      <c r="AA1514">
        <v>0.67897039999999997</v>
      </c>
      <c r="AB1514">
        <v>26</v>
      </c>
      <c r="AC1514">
        <v>-15.4576999999999</v>
      </c>
      <c r="AD1514">
        <v>-1.0968371809702</v>
      </c>
      <c r="AE1514">
        <v>-0.63689999999996805</v>
      </c>
      <c r="AF1514">
        <v>11.436958141956699</v>
      </c>
      <c r="AG1514">
        <v>-1.0968371809702</v>
      </c>
      <c r="AH1514">
        <v>10.303108076251901</v>
      </c>
      <c r="AI1514">
        <v>94.075638876532807</v>
      </c>
      <c r="AJ1514">
        <v>42.014451822452202</v>
      </c>
      <c r="AK1514">
        <v>15.432468997971601</v>
      </c>
      <c r="AL1514">
        <v>91.835655886401199</v>
      </c>
      <c r="AM1514">
        <v>70.3547897202927</v>
      </c>
      <c r="AN1514">
        <v>1.0000000469075701</v>
      </c>
    </row>
    <row r="1515" spans="1:40" x14ac:dyDescent="0.25">
      <c r="A1515" t="str">
        <f>"20190305135820653"</f>
        <v>20190305135820653</v>
      </c>
      <c r="B1515" t="str">
        <f>"1551765500649796"</f>
        <v>1551765500649796</v>
      </c>
      <c r="C1515" t="s">
        <v>40</v>
      </c>
      <c r="D1515">
        <v>4.3475919999999997</v>
      </c>
      <c r="E1515">
        <v>0.69770290000000001</v>
      </c>
      <c r="F1515" t="s">
        <v>59</v>
      </c>
      <c r="G1515">
        <v>-212.18459999999999</v>
      </c>
      <c r="H1515" s="1">
        <v>-3.7425590000000002E-7</v>
      </c>
      <c r="I1515">
        <v>288.6377</v>
      </c>
      <c r="J1515">
        <v>-197.27879999999999</v>
      </c>
      <c r="K1515">
        <v>1.096757</v>
      </c>
      <c r="L1515">
        <v>289.01859999999999</v>
      </c>
      <c r="M1515">
        <v>-0.65323850000000006</v>
      </c>
      <c r="N1515">
        <v>-1.9487049999999999E-2</v>
      </c>
      <c r="O1515">
        <v>-0.75690170000000001</v>
      </c>
      <c r="P1515">
        <v>-0.86969529999999995</v>
      </c>
      <c r="Q1515">
        <v>-3.7417319999999997E-2</v>
      </c>
      <c r="R1515">
        <v>-0.49216969999999999</v>
      </c>
      <c r="S1515">
        <v>-3.401459</v>
      </c>
      <c r="T1515">
        <v>-0.24716569999999999</v>
      </c>
      <c r="U1515">
        <v>-0.1296387</v>
      </c>
      <c r="V1515">
        <v>0.33602799999999999</v>
      </c>
      <c r="W1515">
        <v>-3.0100490000000001E-2</v>
      </c>
      <c r="X1515">
        <v>0.94137090000000001</v>
      </c>
      <c r="Y1515">
        <v>0.72865630000000003</v>
      </c>
      <c r="Z1515">
        <v>6.6176760000000001E-2</v>
      </c>
      <c r="AA1515">
        <v>0.68167500000000003</v>
      </c>
      <c r="AB1515">
        <v>26</v>
      </c>
      <c r="AC1515">
        <v>-14.905799999999999</v>
      </c>
      <c r="AD1515">
        <v>-1.0967573742559</v>
      </c>
      <c r="AE1515">
        <v>-0.38089999999999602</v>
      </c>
      <c r="AF1515">
        <v>10.9761149246025</v>
      </c>
      <c r="AG1515">
        <v>-1.0967573742559</v>
      </c>
      <c r="AH1515">
        <v>9.9732888390731809</v>
      </c>
      <c r="AI1515">
        <v>94.229506111724106</v>
      </c>
      <c r="AJ1515">
        <v>42.259402879745601</v>
      </c>
      <c r="AK1515">
        <v>14.870926865654599</v>
      </c>
      <c r="AL1515">
        <v>91.724891551302306</v>
      </c>
      <c r="AM1515">
        <v>70.3556710424035</v>
      </c>
      <c r="AN1515">
        <v>1.00000001382452</v>
      </c>
    </row>
    <row r="1516" spans="1:40" x14ac:dyDescent="0.25">
      <c r="A1516" t="str">
        <f>"20190305135820674"</f>
        <v>20190305135820674</v>
      </c>
      <c r="B1516" t="str">
        <f>"1551765500670291"</f>
        <v>1551765500670291</v>
      </c>
      <c r="C1516" t="s">
        <v>40</v>
      </c>
      <c r="D1516">
        <v>4.3178650000000003</v>
      </c>
      <c r="E1516">
        <v>0.66346070000000001</v>
      </c>
      <c r="F1516" t="s">
        <v>59</v>
      </c>
      <c r="G1516">
        <v>-212.3689</v>
      </c>
      <c r="H1516" s="1">
        <v>-2.7618129999999998E-7</v>
      </c>
      <c r="I1516">
        <v>288.61709999999999</v>
      </c>
      <c r="J1516">
        <v>-197.4496</v>
      </c>
      <c r="K1516">
        <v>1.0967</v>
      </c>
      <c r="L1516">
        <v>288.84969999999998</v>
      </c>
      <c r="M1516">
        <v>-0.66663739999999905</v>
      </c>
      <c r="N1516">
        <v>-1.942381E-2</v>
      </c>
      <c r="O1516">
        <v>-0.74512919999999905</v>
      </c>
      <c r="P1516">
        <v>-0.87786160000000002</v>
      </c>
      <c r="Q1516">
        <v>-3.2923830000000001E-2</v>
      </c>
      <c r="R1516">
        <v>-0.47778209999999999</v>
      </c>
      <c r="S1516">
        <v>-3.3878629999999998</v>
      </c>
      <c r="T1516">
        <v>-0.24623220000000001</v>
      </c>
      <c r="U1516">
        <v>-9.0148930000000002E-2</v>
      </c>
      <c r="V1516">
        <v>0.33501300000000001</v>
      </c>
      <c r="W1516">
        <v>-2.5668E-2</v>
      </c>
      <c r="X1516">
        <v>0.94186380000000003</v>
      </c>
      <c r="Y1516">
        <v>0.72430329999999998</v>
      </c>
      <c r="Z1516">
        <v>6.5929870000000002E-2</v>
      </c>
      <c r="AA1516">
        <v>0.68632209999999905</v>
      </c>
      <c r="AB1516">
        <v>26</v>
      </c>
      <c r="AC1516">
        <v>-14.9192999999999</v>
      </c>
      <c r="AD1516">
        <v>-1.0967002761813001</v>
      </c>
      <c r="AE1516">
        <v>-0.23259999999999001</v>
      </c>
      <c r="AF1516">
        <v>10.904902529491199</v>
      </c>
      <c r="AG1516">
        <v>-1.0967002761813001</v>
      </c>
      <c r="AH1516">
        <v>10.066606491561</v>
      </c>
      <c r="AI1516">
        <v>94.226302205380307</v>
      </c>
      <c r="AJ1516">
        <v>42.710929269821598</v>
      </c>
      <c r="AK1516">
        <v>14.881405072419</v>
      </c>
      <c r="AL1516">
        <v>91.470829626142901</v>
      </c>
      <c r="AM1516">
        <v>70.419956781348503</v>
      </c>
      <c r="AN1516">
        <v>0.99999998707172</v>
      </c>
    </row>
    <row r="1517" spans="1:40" x14ac:dyDescent="0.25">
      <c r="A1517" t="str">
        <f>"20190305135820694"</f>
        <v>20190305135820694</v>
      </c>
      <c r="B1517" t="str">
        <f>"1551765500689811"</f>
        <v>1551765500689811</v>
      </c>
      <c r="C1517" t="s">
        <v>40</v>
      </c>
      <c r="D1517">
        <v>4.3413539999999999</v>
      </c>
      <c r="E1517">
        <v>0.6610222</v>
      </c>
      <c r="F1517" t="s">
        <v>59</v>
      </c>
      <c r="G1517">
        <v>-211.4599</v>
      </c>
      <c r="H1517" s="1">
        <v>-7.5992639999999997E-7</v>
      </c>
      <c r="I1517">
        <v>287.6755</v>
      </c>
      <c r="J1517">
        <v>-197.62610000000001</v>
      </c>
      <c r="K1517">
        <v>1.096635</v>
      </c>
      <c r="L1517">
        <v>288.68130000000002</v>
      </c>
      <c r="M1517">
        <v>-0.68013319999999999</v>
      </c>
      <c r="N1517">
        <v>-1.9347949999999999E-2</v>
      </c>
      <c r="O1517">
        <v>-0.73283339999999997</v>
      </c>
      <c r="P1517">
        <v>-0.88553009999999999</v>
      </c>
      <c r="Q1517">
        <v>-3.1274789999999997E-2</v>
      </c>
      <c r="R1517">
        <v>-0.46352910000000003</v>
      </c>
      <c r="S1517">
        <v>-3.2591709999999998</v>
      </c>
      <c r="T1517">
        <v>-0.25512220000000002</v>
      </c>
      <c r="U1517">
        <v>-0.27313229999999999</v>
      </c>
      <c r="V1517">
        <v>0.333134599999999</v>
      </c>
      <c r="W1517">
        <v>-2.4049609999999999E-2</v>
      </c>
      <c r="X1517">
        <v>0.94257250000000004</v>
      </c>
      <c r="Y1517">
        <v>0.67036200000000001</v>
      </c>
      <c r="Z1517">
        <v>6.8386840000000004E-2</v>
      </c>
      <c r="AA1517">
        <v>0.73887619999999998</v>
      </c>
      <c r="AB1517">
        <v>26</v>
      </c>
      <c r="AC1517">
        <v>-13.833799999999901</v>
      </c>
      <c r="AD1517">
        <v>-1.0966357599264001</v>
      </c>
      <c r="AE1517">
        <v>-1.00580000000002</v>
      </c>
      <c r="AF1517">
        <v>9.3968213671751997</v>
      </c>
      <c r="AG1517">
        <v>-1.0966357599264001</v>
      </c>
      <c r="AH1517">
        <v>10.0847682403852</v>
      </c>
      <c r="AI1517">
        <v>94.548741499875504</v>
      </c>
      <c r="AJ1517">
        <v>47.022426378174103</v>
      </c>
      <c r="AK1517">
        <v>13.8277045187852</v>
      </c>
      <c r="AL1517">
        <v>91.378074041663993</v>
      </c>
      <c r="AM1517">
        <v>70.534998924852104</v>
      </c>
      <c r="AN1517">
        <v>0.99999998160727999</v>
      </c>
    </row>
    <row r="1518" spans="1:40" x14ac:dyDescent="0.25">
      <c r="A1518" t="str">
        <f>"20190305135820717"</f>
        <v>20190305135820717</v>
      </c>
      <c r="B1518" t="str">
        <f>"1551765500710306"</f>
        <v>1551765500710306</v>
      </c>
      <c r="C1518" t="s">
        <v>40</v>
      </c>
      <c r="D1518">
        <v>4.3097690000000002</v>
      </c>
      <c r="E1518">
        <v>0.65911390000000003</v>
      </c>
      <c r="F1518" t="s">
        <v>59</v>
      </c>
      <c r="G1518">
        <v>-211.24850000000001</v>
      </c>
      <c r="H1518" s="1">
        <v>-8.7241930000000003E-7</v>
      </c>
      <c r="I1518">
        <v>287.6891</v>
      </c>
      <c r="J1518">
        <v>-197.82259999999999</v>
      </c>
      <c r="K1518">
        <v>1.0965510000000001</v>
      </c>
      <c r="L1518">
        <v>288.5009</v>
      </c>
      <c r="M1518">
        <v>-0.69472149999999999</v>
      </c>
      <c r="N1518">
        <v>-1.9259559999999998E-2</v>
      </c>
      <c r="O1518">
        <v>-0.71902100000000002</v>
      </c>
      <c r="P1518">
        <v>-0.89356270000000004</v>
      </c>
      <c r="Q1518">
        <v>-3.305781E-2</v>
      </c>
      <c r="R1518">
        <v>-0.44772010000000001</v>
      </c>
      <c r="S1518">
        <v>-3.2544710000000001</v>
      </c>
      <c r="T1518">
        <v>-0.26199359999999999</v>
      </c>
      <c r="U1518">
        <v>-0.23702999999999999</v>
      </c>
      <c r="V1518">
        <v>0.3308372</v>
      </c>
      <c r="W1518">
        <v>-2.5850669999999999E-2</v>
      </c>
      <c r="X1518">
        <v>0.94333370000000005</v>
      </c>
      <c r="Y1518">
        <v>0.66334519999999997</v>
      </c>
      <c r="Z1518">
        <v>7.0038199999999995E-2</v>
      </c>
      <c r="AA1518">
        <v>0.74502869999999999</v>
      </c>
      <c r="AB1518">
        <v>25</v>
      </c>
      <c r="AC1518">
        <v>-13.4259</v>
      </c>
      <c r="AD1518">
        <v>-1.0965518724193</v>
      </c>
      <c r="AE1518">
        <v>-0.81180000000000496</v>
      </c>
      <c r="AF1518">
        <v>9.0311900504253995</v>
      </c>
      <c r="AG1518">
        <v>-1.0965518724193</v>
      </c>
      <c r="AH1518">
        <v>9.8473513703585596</v>
      </c>
      <c r="AI1518">
        <v>94.691597381608503</v>
      </c>
      <c r="AJ1518">
        <v>47.475482460667003</v>
      </c>
      <c r="AK1518">
        <v>13.406533808077</v>
      </c>
      <c r="AL1518">
        <v>91.481299316419296</v>
      </c>
      <c r="AM1518">
        <v>70.673686758925001</v>
      </c>
      <c r="AN1518">
        <v>0.99999998979948901</v>
      </c>
    </row>
    <row r="1519" spans="1:40" x14ac:dyDescent="0.25">
      <c r="A1519" t="str">
        <f>"20190305135820740"</f>
        <v>20190305135820740</v>
      </c>
      <c r="B1519" t="str">
        <f>"1551765500730803"</f>
        <v>1551765500730803</v>
      </c>
      <c r="C1519" t="s">
        <v>40</v>
      </c>
      <c r="D1519">
        <v>4.3058540000000001</v>
      </c>
      <c r="E1519">
        <v>0.65702380000000005</v>
      </c>
      <c r="F1519" t="s">
        <v>59</v>
      </c>
      <c r="G1519">
        <v>-211.4504</v>
      </c>
      <c r="H1519" s="1">
        <v>-7.6496910000000002E-7</v>
      </c>
      <c r="I1519">
        <v>287.69290000000001</v>
      </c>
      <c r="J1519">
        <v>-198.02350000000001</v>
      </c>
      <c r="K1519">
        <v>1.0964969999999901</v>
      </c>
      <c r="L1519">
        <v>288.32440000000003</v>
      </c>
      <c r="M1519">
        <v>-0.70915499999999998</v>
      </c>
      <c r="N1519">
        <v>-1.9163570000000001E-2</v>
      </c>
      <c r="O1519">
        <v>-0.70479230000000004</v>
      </c>
      <c r="P1519">
        <v>-0.90119260000000001</v>
      </c>
      <c r="Q1519">
        <v>-3.406617E-2</v>
      </c>
      <c r="R1519">
        <v>-0.43207849999999998</v>
      </c>
      <c r="S1519">
        <v>-3.2510829999999999</v>
      </c>
      <c r="T1519">
        <v>-0.26159640000000001</v>
      </c>
      <c r="U1519">
        <v>-0.19277949999999999</v>
      </c>
      <c r="V1519">
        <v>0.32809440000000001</v>
      </c>
      <c r="W1519">
        <v>-2.6849950000000001E-2</v>
      </c>
      <c r="X1519">
        <v>0.94426330000000003</v>
      </c>
      <c r="Y1519">
        <v>0.65826300000000004</v>
      </c>
      <c r="Z1519">
        <v>6.9519299999999895E-2</v>
      </c>
      <c r="AA1519">
        <v>0.74957109999999905</v>
      </c>
      <c r="AB1519">
        <v>25</v>
      </c>
      <c r="AC1519">
        <v>-13.4268999999999</v>
      </c>
      <c r="AD1519">
        <v>-1.0964977649690999</v>
      </c>
      <c r="AE1519">
        <v>-0.63150000000001605</v>
      </c>
      <c r="AF1519">
        <v>8.95739366229094</v>
      </c>
      <c r="AG1519">
        <v>-1.0964977649690999</v>
      </c>
      <c r="AH1519">
        <v>9.9027627658796895</v>
      </c>
      <c r="AI1519">
        <v>94.694418992502094</v>
      </c>
      <c r="AJ1519">
        <v>47.869560695632103</v>
      </c>
      <c r="AK1519">
        <v>13.3978326219999</v>
      </c>
      <c r="AL1519">
        <v>91.538573690806601</v>
      </c>
      <c r="AM1519">
        <v>70.839669088004101</v>
      </c>
      <c r="AN1519">
        <v>1.0000000174266199</v>
      </c>
    </row>
    <row r="1520" spans="1:40" x14ac:dyDescent="0.25">
      <c r="A1520" t="str">
        <f>"20190305135820763"</f>
        <v>20190305135820763</v>
      </c>
      <c r="B1520" t="str">
        <f>"1551765500760083"</f>
        <v>1551765500760083</v>
      </c>
      <c r="C1520" t="s">
        <v>40</v>
      </c>
      <c r="D1520">
        <v>4.2649679999999996</v>
      </c>
      <c r="E1520">
        <v>0.64476290000000003</v>
      </c>
      <c r="F1520" t="s">
        <v>59</v>
      </c>
      <c r="G1520">
        <v>-211.5129</v>
      </c>
      <c r="H1520" s="1">
        <v>-7.31707E-7</v>
      </c>
      <c r="I1520">
        <v>287.69760000000002</v>
      </c>
      <c r="J1520">
        <v>-198.2242</v>
      </c>
      <c r="K1520">
        <v>1.0964700000000001</v>
      </c>
      <c r="L1520">
        <v>288.15530000000001</v>
      </c>
      <c r="M1520">
        <v>-0.72309979999999996</v>
      </c>
      <c r="N1520">
        <v>-1.906122E-2</v>
      </c>
      <c r="O1520">
        <v>-0.6904806</v>
      </c>
      <c r="P1520">
        <v>-0.90794909999999995</v>
      </c>
      <c r="Q1520">
        <v>-3.466934E-2</v>
      </c>
      <c r="R1520">
        <v>-0.41764410000000002</v>
      </c>
      <c r="S1520">
        <v>-3.2466279999999998</v>
      </c>
      <c r="T1520">
        <v>-0.26390459999999999</v>
      </c>
      <c r="U1520">
        <v>-0.15084839999999999</v>
      </c>
      <c r="V1520">
        <v>0.32425290000000001</v>
      </c>
      <c r="W1520">
        <v>-2.7394249999999998E-2</v>
      </c>
      <c r="X1520">
        <v>0.94557369999999996</v>
      </c>
      <c r="Y1520">
        <v>0.65278239999999998</v>
      </c>
      <c r="Z1520">
        <v>6.9749580000000005E-2</v>
      </c>
      <c r="AA1520">
        <v>0.75432769999999905</v>
      </c>
      <c r="AB1520">
        <v>25</v>
      </c>
      <c r="AC1520">
        <v>-13.2887</v>
      </c>
      <c r="AD1520">
        <v>-1.0964707317069999</v>
      </c>
      <c r="AE1520">
        <v>-0.45769999999998801</v>
      </c>
      <c r="AF1520">
        <v>8.7864846603274707</v>
      </c>
      <c r="AG1520">
        <v>-1.0964707317069999</v>
      </c>
      <c r="AH1520">
        <v>9.8598445131350694</v>
      </c>
      <c r="AI1520">
        <v>94.746003917085204</v>
      </c>
      <c r="AJ1520">
        <v>48.294546359824302</v>
      </c>
      <c r="AK1520">
        <v>13.2522109315713</v>
      </c>
      <c r="AL1520">
        <v>91.569771279481003</v>
      </c>
      <c r="AM1520">
        <v>71.072308317970496</v>
      </c>
      <c r="AN1520">
        <v>1.00000000511158</v>
      </c>
    </row>
    <row r="1521" spans="1:40" x14ac:dyDescent="0.25">
      <c r="A1521" t="str">
        <f>"20190305135820783"</f>
        <v>20190305135820783</v>
      </c>
      <c r="B1521" t="str">
        <f>"1551765500780579"</f>
        <v>1551765500780579</v>
      </c>
      <c r="C1521" t="s">
        <v>40</v>
      </c>
      <c r="D1521">
        <v>4.2739940000000001</v>
      </c>
      <c r="E1521">
        <v>0.64229329999999996</v>
      </c>
      <c r="F1521" t="s">
        <v>59</v>
      </c>
      <c r="G1521">
        <v>-212.19890000000001</v>
      </c>
      <c r="H1521" s="1">
        <v>-3.6662079999999997E-7</v>
      </c>
      <c r="I1521">
        <v>287.33359999999999</v>
      </c>
      <c r="J1521">
        <v>-198.4162</v>
      </c>
      <c r="K1521">
        <v>1.096449</v>
      </c>
      <c r="L1521">
        <v>287.99979999999999</v>
      </c>
      <c r="M1521">
        <v>-0.7360101</v>
      </c>
      <c r="N1521">
        <v>-1.895078E-2</v>
      </c>
      <c r="O1521">
        <v>-0.67670540000000001</v>
      </c>
      <c r="P1521">
        <v>-0.91464250000000002</v>
      </c>
      <c r="Q1521">
        <v>-3.571945E-2</v>
      </c>
      <c r="R1521">
        <v>-0.40268280000000001</v>
      </c>
      <c r="S1521">
        <v>-3.2077789999999999</v>
      </c>
      <c r="T1521">
        <v>-0.2516854</v>
      </c>
      <c r="U1521">
        <v>-0.18859860000000001</v>
      </c>
      <c r="V1521">
        <v>0.32185839999999999</v>
      </c>
      <c r="W1521">
        <v>-2.8444850000000001E-2</v>
      </c>
      <c r="X1521">
        <v>0.94636039999999999</v>
      </c>
      <c r="Y1521">
        <v>0.62928319999999904</v>
      </c>
      <c r="Z1521">
        <v>6.5457219999999997E-2</v>
      </c>
      <c r="AA1521">
        <v>0.77441459999999995</v>
      </c>
      <c r="AB1521">
        <v>25</v>
      </c>
      <c r="AC1521">
        <v>-13.7827</v>
      </c>
      <c r="AD1521">
        <v>-1.0964493666207999</v>
      </c>
      <c r="AE1521">
        <v>-0.66620000000000301</v>
      </c>
      <c r="AF1521">
        <v>8.7826315545785096</v>
      </c>
      <c r="AG1521">
        <v>-1.0964493666207999</v>
      </c>
      <c r="AH1521">
        <v>10.530441760700599</v>
      </c>
      <c r="AI1521">
        <v>94.571729990526407</v>
      </c>
      <c r="AJ1521">
        <v>50.171113523190201</v>
      </c>
      <c r="AK1521">
        <v>13.755981314052001</v>
      </c>
      <c r="AL1521">
        <v>91.629989755144805</v>
      </c>
      <c r="AM1521">
        <v>71.216764425897694</v>
      </c>
      <c r="AN1521">
        <v>0.99999997291511999</v>
      </c>
    </row>
    <row r="1522" spans="1:40" x14ac:dyDescent="0.25">
      <c r="A1522" t="str">
        <f>"20190305135820805"</f>
        <v>20190305135820805</v>
      </c>
      <c r="B1522" t="str">
        <f>"1551765500800099"</f>
        <v>1551765500800099</v>
      </c>
      <c r="C1522" t="s">
        <v>40</v>
      </c>
      <c r="D1522">
        <v>4.3074649999999997</v>
      </c>
      <c r="E1522">
        <v>0.64021499999999998</v>
      </c>
      <c r="F1522" t="s">
        <v>59</v>
      </c>
      <c r="G1522">
        <v>-211.8681</v>
      </c>
      <c r="H1522" s="1">
        <v>-5.4266589999999998E-7</v>
      </c>
      <c r="I1522">
        <v>287.35809999999998</v>
      </c>
      <c r="J1522">
        <v>-198.61660000000001</v>
      </c>
      <c r="K1522">
        <v>1.096438</v>
      </c>
      <c r="L1522">
        <v>287.84379999999999</v>
      </c>
      <c r="M1522">
        <v>-0.74902539999999995</v>
      </c>
      <c r="N1522">
        <v>-1.8827759999999999E-2</v>
      </c>
      <c r="O1522">
        <v>-0.66227360000000002</v>
      </c>
      <c r="P1522">
        <v>-0.92028620000000005</v>
      </c>
      <c r="Q1522">
        <v>-3.8056600000000003E-2</v>
      </c>
      <c r="R1522">
        <v>-0.38939069999999998</v>
      </c>
      <c r="S1522">
        <v>-3.2025299999999999</v>
      </c>
      <c r="T1522">
        <v>-0.26103470000000001</v>
      </c>
      <c r="U1522">
        <v>-0.15277099999999999</v>
      </c>
      <c r="V1522">
        <v>0.31703379999999998</v>
      </c>
      <c r="W1522">
        <v>-3.0693990000000001E-2</v>
      </c>
      <c r="X1522">
        <v>0.94791749999999997</v>
      </c>
      <c r="Y1522">
        <v>0.62251820000000002</v>
      </c>
      <c r="Z1522">
        <v>6.7589990000000003E-2</v>
      </c>
      <c r="AA1522">
        <v>0.77968110000000002</v>
      </c>
      <c r="AB1522">
        <v>25</v>
      </c>
      <c r="AC1522">
        <v>-13.251499999999901</v>
      </c>
      <c r="AD1522">
        <v>-1.0964385426659</v>
      </c>
      <c r="AE1522">
        <v>-0.48570000000000801</v>
      </c>
      <c r="AF1522">
        <v>8.3566757345037601</v>
      </c>
      <c r="AG1522">
        <v>-1.0964385426659</v>
      </c>
      <c r="AH1522">
        <v>10.179597579240999</v>
      </c>
      <c r="AI1522">
        <v>94.758928172790903</v>
      </c>
      <c r="AJ1522">
        <v>50.616606597004001</v>
      </c>
      <c r="AK1522">
        <v>13.215915166373399</v>
      </c>
      <c r="AL1522">
        <v>91.758912220337805</v>
      </c>
      <c r="AM1522">
        <v>71.507336433537404</v>
      </c>
      <c r="AN1522">
        <v>1.0000000690854001</v>
      </c>
    </row>
    <row r="1523" spans="1:40" x14ac:dyDescent="0.25">
      <c r="A1523" t="str">
        <f>"20190305135820830"</f>
        <v>20190305135820830</v>
      </c>
      <c r="B1523" t="str">
        <f>"1551765500820595"</f>
        <v>1551765500820595</v>
      </c>
      <c r="C1523" t="s">
        <v>40</v>
      </c>
      <c r="D1523">
        <v>4.2990769999999996</v>
      </c>
      <c r="E1523">
        <v>0.63856099999999905</v>
      </c>
      <c r="F1523" t="s">
        <v>59</v>
      </c>
      <c r="G1523">
        <v>-211.34739999999999</v>
      </c>
      <c r="H1523" s="1">
        <v>-8.1974579999999998E-7</v>
      </c>
      <c r="I1523">
        <v>287.36439999999999</v>
      </c>
      <c r="J1523">
        <v>-198.84829999999999</v>
      </c>
      <c r="K1523">
        <v>1.0964579999999999</v>
      </c>
      <c r="L1523">
        <v>287.67110000000002</v>
      </c>
      <c r="M1523">
        <v>-0.76350609999999997</v>
      </c>
      <c r="N1523">
        <v>-1.868672E-2</v>
      </c>
      <c r="O1523">
        <v>-0.64553019999999905</v>
      </c>
      <c r="P1523">
        <v>-0.92665989999999998</v>
      </c>
      <c r="Q1523">
        <v>-4.0060940000000003E-2</v>
      </c>
      <c r="R1523">
        <v>-0.37375999999999998</v>
      </c>
      <c r="S1523">
        <v>-3.19754</v>
      </c>
      <c r="T1523">
        <v>-0.27538669999999998</v>
      </c>
      <c r="U1523">
        <v>-0.1204224</v>
      </c>
      <c r="V1523">
        <v>0.31196970000000002</v>
      </c>
      <c r="W1523">
        <v>-3.2604960000000002E-2</v>
      </c>
      <c r="X1523">
        <v>0.94953240000000005</v>
      </c>
      <c r="Y1523">
        <v>0.61263489999999998</v>
      </c>
      <c r="Z1523">
        <v>7.0764380000000002E-2</v>
      </c>
      <c r="AA1523">
        <v>0.78719169999999905</v>
      </c>
      <c r="AB1523">
        <v>25</v>
      </c>
      <c r="AC1523">
        <v>-12.4991</v>
      </c>
      <c r="AD1523">
        <v>-1.0964588197457901</v>
      </c>
      <c r="AE1523">
        <v>-0.306700000000034</v>
      </c>
      <c r="AF1523">
        <v>7.7759449837525603</v>
      </c>
      <c r="AG1523">
        <v>-1.0964588197457901</v>
      </c>
      <c r="AH1523">
        <v>9.6684671731957792</v>
      </c>
      <c r="AI1523">
        <v>95.050170417788607</v>
      </c>
      <c r="AJ1523">
        <v>51.1917305351922</v>
      </c>
      <c r="AK1523">
        <v>12.455793825080301</v>
      </c>
      <c r="AL1523">
        <v>91.868457794693995</v>
      </c>
      <c r="AM1523">
        <v>71.812017238439907</v>
      </c>
      <c r="AN1523">
        <v>0.99999997789222494</v>
      </c>
    </row>
    <row r="1524" spans="1:40" x14ac:dyDescent="0.25">
      <c r="A1524" t="str">
        <f>"20190305135820853"</f>
        <v>20190305135820853</v>
      </c>
      <c r="B1524" t="str">
        <f>"1551765500849874"</f>
        <v>1551765500849874</v>
      </c>
      <c r="C1524" t="s">
        <v>40</v>
      </c>
      <c r="D1524">
        <v>4.373259</v>
      </c>
      <c r="E1524">
        <v>0.63650830000000003</v>
      </c>
      <c r="F1524" t="s">
        <v>59</v>
      </c>
      <c r="G1524">
        <v>-211.26609999999999</v>
      </c>
      <c r="H1524" s="1">
        <v>-8.630363E-7</v>
      </c>
      <c r="I1524">
        <v>287.3673</v>
      </c>
      <c r="J1524">
        <v>-199.0659</v>
      </c>
      <c r="K1524">
        <v>1.0965020000000001</v>
      </c>
      <c r="L1524">
        <v>287.51589999999999</v>
      </c>
      <c r="M1524">
        <v>-0.77655509999999905</v>
      </c>
      <c r="N1524">
        <v>-1.8555189999999999E-2</v>
      </c>
      <c r="O1524">
        <v>-0.62977620000000001</v>
      </c>
      <c r="P1524">
        <v>-0.93247959999999996</v>
      </c>
      <c r="Q1524">
        <v>-4.1004489999999998E-2</v>
      </c>
      <c r="R1524">
        <v>-0.35888799999999998</v>
      </c>
      <c r="S1524">
        <v>-3.1937259999999998</v>
      </c>
      <c r="T1524">
        <v>-0.281997</v>
      </c>
      <c r="U1524">
        <v>-7.8125E-2</v>
      </c>
      <c r="V1524">
        <v>0.30767899999999998</v>
      </c>
      <c r="W1524">
        <v>-3.346478E-2</v>
      </c>
      <c r="X1524">
        <v>0.95090160000000001</v>
      </c>
      <c r="Y1524">
        <v>0.60670459999999904</v>
      </c>
      <c r="Z1524">
        <v>7.1843850000000001E-2</v>
      </c>
      <c r="AA1524">
        <v>0.791674199999999</v>
      </c>
      <c r="AB1524">
        <v>25</v>
      </c>
      <c r="AC1524">
        <v>-12.200199999999899</v>
      </c>
      <c r="AD1524">
        <v>-1.0965028630363001</v>
      </c>
      <c r="AE1524">
        <v>-0.14859999999998699</v>
      </c>
      <c r="AF1524">
        <v>7.5086585689877996</v>
      </c>
      <c r="AG1524">
        <v>-1.0965028630363001</v>
      </c>
      <c r="AH1524">
        <v>9.4926915209596192</v>
      </c>
      <c r="AI1524">
        <v>95.176578081735897</v>
      </c>
      <c r="AJ1524">
        <v>51.656227450234802</v>
      </c>
      <c r="AK1524">
        <v>12.1529199925935</v>
      </c>
      <c r="AL1524">
        <v>91.9177486081756</v>
      </c>
      <c r="AM1524">
        <v>72.070205839071903</v>
      </c>
      <c r="AN1524">
        <v>1.0000000557119999</v>
      </c>
    </row>
    <row r="1525" spans="1:40" x14ac:dyDescent="0.25">
      <c r="A1525" t="str">
        <f>"20190305135820875"</f>
        <v>20190305135820875</v>
      </c>
      <c r="B1525" t="str">
        <f>"1551765500870370"</f>
        <v>1551765500870370</v>
      </c>
      <c r="C1525" t="s">
        <v>40</v>
      </c>
      <c r="D1525">
        <v>4.3185129999999896</v>
      </c>
      <c r="E1525">
        <v>0.62025330000000001</v>
      </c>
      <c r="F1525" t="s">
        <v>59</v>
      </c>
      <c r="G1525">
        <v>-211.1216</v>
      </c>
      <c r="H1525" s="1">
        <v>-9.399026E-7</v>
      </c>
      <c r="I1525">
        <v>287.358</v>
      </c>
      <c r="J1525">
        <v>-199.27189999999999</v>
      </c>
      <c r="K1525">
        <v>1.0965720000000001</v>
      </c>
      <c r="L1525">
        <v>287.375</v>
      </c>
      <c r="M1525">
        <v>-0.78841949999999905</v>
      </c>
      <c r="N1525">
        <v>-1.842485E-2</v>
      </c>
      <c r="O1525">
        <v>-0.61486200000000002</v>
      </c>
      <c r="P1525">
        <v>-0.93781239999999999</v>
      </c>
      <c r="Q1525">
        <v>-4.0254699999999997E-2</v>
      </c>
      <c r="R1525">
        <v>-0.34480100000000002</v>
      </c>
      <c r="S1525">
        <v>-3.1884160000000001</v>
      </c>
      <c r="T1525">
        <v>-0.28999439999999999</v>
      </c>
      <c r="U1525">
        <v>-4.1748050000000002E-2</v>
      </c>
      <c r="V1525">
        <v>0.3039269</v>
      </c>
      <c r="W1525">
        <v>-3.2638299999999898E-2</v>
      </c>
      <c r="X1525">
        <v>0.95213610000000004</v>
      </c>
      <c r="Y1525">
        <v>0.60036309999999904</v>
      </c>
      <c r="Z1525">
        <v>7.3245610000000003E-2</v>
      </c>
      <c r="AA1525">
        <v>0.79636629999999997</v>
      </c>
      <c r="AB1525">
        <v>25</v>
      </c>
      <c r="AC1525">
        <v>-11.8497</v>
      </c>
      <c r="AD1525">
        <v>-1.0965729399026001</v>
      </c>
      <c r="AE1525">
        <v>-1.69999999999959E-2</v>
      </c>
      <c r="AF1525">
        <v>7.2120004950268699</v>
      </c>
      <c r="AG1525">
        <v>-1.0965729399026001</v>
      </c>
      <c r="AH1525">
        <v>9.2751456707908098</v>
      </c>
      <c r="AI1525">
        <v>95.332113248949696</v>
      </c>
      <c r="AJ1525">
        <v>52.132721595290299</v>
      </c>
      <c r="AK1525">
        <v>11.8001589212681</v>
      </c>
      <c r="AL1525">
        <v>91.870369037991196</v>
      </c>
      <c r="AM1525">
        <v>72.296640800993501</v>
      </c>
      <c r="AN1525">
        <v>0.99999998604685503</v>
      </c>
    </row>
    <row r="1526" spans="1:40" x14ac:dyDescent="0.25">
      <c r="A1526" t="str">
        <f>"20190305135820895"</f>
        <v>20190305135820895</v>
      </c>
      <c r="B1526" t="str">
        <f>"1551765500889891"</f>
        <v>1551765500889891</v>
      </c>
      <c r="C1526" t="s">
        <v>40</v>
      </c>
      <c r="D1526">
        <v>4.2508800000000004</v>
      </c>
      <c r="E1526">
        <v>0.61899079999999995</v>
      </c>
      <c r="F1526" t="s">
        <v>59</v>
      </c>
      <c r="G1526">
        <v>-210.57380000000001</v>
      </c>
      <c r="H1526" s="1">
        <v>-1.2314570000000001E-6</v>
      </c>
      <c r="I1526">
        <v>286.96179999999998</v>
      </c>
      <c r="J1526">
        <v>-199.4718</v>
      </c>
      <c r="K1526">
        <v>1.096671</v>
      </c>
      <c r="L1526">
        <v>287.24369999999999</v>
      </c>
      <c r="M1526">
        <v>-0.79946219999999901</v>
      </c>
      <c r="N1526">
        <v>-1.8293179999999999E-2</v>
      </c>
      <c r="O1526">
        <v>-0.60043809999999997</v>
      </c>
      <c r="P1526">
        <v>-0.94230320000000001</v>
      </c>
      <c r="Q1526">
        <v>-3.8594660000000003E-2</v>
      </c>
      <c r="R1526">
        <v>-0.33252900000000002</v>
      </c>
      <c r="S1526">
        <v>-3.1436000000000002</v>
      </c>
      <c r="T1526">
        <v>-0.30501020000000001</v>
      </c>
      <c r="U1526">
        <v>-0.1149292</v>
      </c>
      <c r="V1526">
        <v>0.29915900000000001</v>
      </c>
      <c r="W1526">
        <v>-3.0848750000000001E-2</v>
      </c>
      <c r="X1526">
        <v>0.95370449999999996</v>
      </c>
      <c r="Y1526">
        <v>0.56630709999999995</v>
      </c>
      <c r="Z1526">
        <v>7.569998E-2</v>
      </c>
      <c r="AA1526">
        <v>0.82071050000000001</v>
      </c>
      <c r="AB1526">
        <v>25</v>
      </c>
      <c r="AC1526">
        <v>-11.102</v>
      </c>
      <c r="AD1526">
        <v>-1.0966722314570001</v>
      </c>
      <c r="AE1526">
        <v>-0.28190000000000698</v>
      </c>
      <c r="AF1526">
        <v>6.3795618722223697</v>
      </c>
      <c r="AG1526">
        <v>-1.0966722314570001</v>
      </c>
      <c r="AH1526">
        <v>8.9590409138821308</v>
      </c>
      <c r="AI1526">
        <v>95.694290598293804</v>
      </c>
      <c r="AJ1526">
        <v>54.5460583237737</v>
      </c>
      <c r="AK1526">
        <v>11.0528690285091</v>
      </c>
      <c r="AL1526">
        <v>91.767783614777301</v>
      </c>
      <c r="AM1526">
        <v>72.584348902184502</v>
      </c>
      <c r="AN1526">
        <v>1.0000000129889</v>
      </c>
    </row>
    <row r="1527" spans="1:40" x14ac:dyDescent="0.25">
      <c r="A1527" t="str">
        <f>"20190305135820920"</f>
        <v>20190305135820920</v>
      </c>
      <c r="B1527" t="str">
        <f>"1551765500910387"</f>
        <v>1551765500910387</v>
      </c>
      <c r="C1527" t="s">
        <v>40</v>
      </c>
      <c r="D1527">
        <v>4.2760220000000002</v>
      </c>
      <c r="E1527">
        <v>0.61756560000000005</v>
      </c>
      <c r="F1527" t="s">
        <v>59</v>
      </c>
      <c r="G1527">
        <v>-211.17060000000001</v>
      </c>
      <c r="H1527" s="1">
        <v>-9.1383879999999997E-7</v>
      </c>
      <c r="I1527">
        <v>286.9298</v>
      </c>
      <c r="J1527">
        <v>-199.69990000000001</v>
      </c>
      <c r="K1527">
        <v>1.0968169999999999</v>
      </c>
      <c r="L1527">
        <v>287.09980000000002</v>
      </c>
      <c r="M1527">
        <v>-0.81150529999999998</v>
      </c>
      <c r="N1527">
        <v>-1.8140170000000001E-2</v>
      </c>
      <c r="O1527">
        <v>-0.58406369999999996</v>
      </c>
      <c r="P1527">
        <v>-0.94670569999999998</v>
      </c>
      <c r="Q1527">
        <v>-3.6046849999999998E-2</v>
      </c>
      <c r="R1527">
        <v>-0.32007669999999999</v>
      </c>
      <c r="S1527">
        <v>-3.1418910000000002</v>
      </c>
      <c r="T1527">
        <v>-0.29452679999999998</v>
      </c>
      <c r="U1527">
        <v>-8.4289550000000005E-2</v>
      </c>
      <c r="V1527">
        <v>0.29249160000000002</v>
      </c>
      <c r="W1527">
        <v>-2.808859E-2</v>
      </c>
      <c r="X1527">
        <v>0.95585549999999997</v>
      </c>
      <c r="Y1527">
        <v>0.5579326</v>
      </c>
      <c r="Z1527">
        <v>7.1689840000000005E-2</v>
      </c>
      <c r="AA1527">
        <v>0.82678410000000002</v>
      </c>
      <c r="AB1527">
        <v>25</v>
      </c>
      <c r="AC1527">
        <v>-11.4706999999999</v>
      </c>
      <c r="AD1527">
        <v>-1.0968179138387999</v>
      </c>
      <c r="AE1527">
        <v>-0.170000000000015</v>
      </c>
      <c r="AF1527">
        <v>6.5032957517249796</v>
      </c>
      <c r="AG1527">
        <v>-1.0968179138387999</v>
      </c>
      <c r="AH1527">
        <v>9.3241394447355006</v>
      </c>
      <c r="AI1527">
        <v>95.510984824496703</v>
      </c>
      <c r="AJ1527">
        <v>55.105431670115003</v>
      </c>
      <c r="AK1527">
        <v>11.420833662889599</v>
      </c>
      <c r="AL1527">
        <v>91.609569323149103</v>
      </c>
      <c r="AM1527">
        <v>72.985899322104999</v>
      </c>
      <c r="AN1527">
        <v>1.0000000209194899</v>
      </c>
    </row>
    <row r="1528" spans="1:40" x14ac:dyDescent="0.25">
      <c r="A1528" t="str">
        <f>"20190305135820941"</f>
        <v>20190305135820941</v>
      </c>
      <c r="B1528" t="str">
        <f>"1551765500930883"</f>
        <v>1551765500930883</v>
      </c>
      <c r="C1528" t="s">
        <v>40</v>
      </c>
      <c r="D1528">
        <v>4.1939019999999996</v>
      </c>
      <c r="E1528">
        <v>0.62042169999999996</v>
      </c>
      <c r="F1528" t="s">
        <v>59</v>
      </c>
      <c r="G1528">
        <v>-212.00380000000001</v>
      </c>
      <c r="H1528" s="1">
        <v>-4.7048439999999999E-7</v>
      </c>
      <c r="I1528">
        <v>286.88839999999999</v>
      </c>
      <c r="J1528">
        <v>-199.91929999999999</v>
      </c>
      <c r="K1528">
        <v>1.096997</v>
      </c>
      <c r="L1528">
        <v>286.9676</v>
      </c>
      <c r="M1528">
        <v>-0.8225093</v>
      </c>
      <c r="N1528">
        <v>-1.7990889999999999E-2</v>
      </c>
      <c r="O1528">
        <v>-0.56846730000000001</v>
      </c>
      <c r="P1528">
        <v>-0.95041160000000002</v>
      </c>
      <c r="Q1528">
        <v>-3.3428890000000003E-2</v>
      </c>
      <c r="R1528">
        <v>-0.30919360000000001</v>
      </c>
      <c r="S1528">
        <v>-3.139999</v>
      </c>
      <c r="T1528">
        <v>-0.27991270000000001</v>
      </c>
      <c r="U1528">
        <v>-5.3955080000000002E-2</v>
      </c>
      <c r="V1528">
        <v>0.28535539999999998</v>
      </c>
      <c r="W1528">
        <v>-2.5219599999999998E-2</v>
      </c>
      <c r="X1528">
        <v>0.95808990000000005</v>
      </c>
      <c r="Y1528">
        <v>0.55055359999999998</v>
      </c>
      <c r="Z1528">
        <v>6.6779480000000002E-2</v>
      </c>
      <c r="AA1528">
        <v>0.83212450000000004</v>
      </c>
      <c r="AB1528">
        <v>25</v>
      </c>
      <c r="AC1528">
        <v>-12.0845</v>
      </c>
      <c r="AD1528">
        <v>-1.0969974704844001</v>
      </c>
      <c r="AE1528">
        <v>-7.9200000000014301E-2</v>
      </c>
      <c r="AF1528">
        <v>6.7499799762452097</v>
      </c>
      <c r="AG1528">
        <v>-1.0969974704844001</v>
      </c>
      <c r="AH1528">
        <v>9.9046353532463893</v>
      </c>
      <c r="AI1528">
        <v>95.229329278899201</v>
      </c>
      <c r="AJ1528">
        <v>55.725684550644701</v>
      </c>
      <c r="AK1528">
        <v>12.0360888419261</v>
      </c>
      <c r="AL1528">
        <v>91.445129867125104</v>
      </c>
      <c r="AM1528">
        <v>73.414478538695207</v>
      </c>
      <c r="AN1528">
        <v>0.99999999450766497</v>
      </c>
    </row>
    <row r="1529" spans="1:40" x14ac:dyDescent="0.25">
      <c r="A1529" t="str">
        <f>"20190305135820965"</f>
        <v>20190305135820965</v>
      </c>
      <c r="B1529" t="str">
        <f>"1551765500960164"</f>
        <v>1551765500960164</v>
      </c>
      <c r="C1529" t="s">
        <v>40</v>
      </c>
      <c r="D1529">
        <v>3.9411700000000001</v>
      </c>
      <c r="E1529">
        <v>0.6263514</v>
      </c>
      <c r="F1529" t="s">
        <v>59</v>
      </c>
      <c r="G1529">
        <v>-218.6688</v>
      </c>
      <c r="H1529" s="1">
        <v>3.0763239999999999E-6</v>
      </c>
      <c r="I1529">
        <v>286.9434</v>
      </c>
      <c r="J1529">
        <v>-200.1447</v>
      </c>
      <c r="K1529">
        <v>1.0971900000000001</v>
      </c>
      <c r="L1529">
        <v>286.83730000000003</v>
      </c>
      <c r="M1529">
        <v>-0.83326060000000002</v>
      </c>
      <c r="N1529">
        <v>-1.783875E-2</v>
      </c>
      <c r="O1529">
        <v>-0.55259259999999999</v>
      </c>
      <c r="P1529">
        <v>-0.95397900000000002</v>
      </c>
      <c r="Q1529">
        <v>-3.1409670000000001E-2</v>
      </c>
      <c r="R1529">
        <v>-0.29822419999999999</v>
      </c>
      <c r="S1529">
        <v>-3.1487120000000002</v>
      </c>
      <c r="T1529">
        <v>-0.18422459999999999</v>
      </c>
      <c r="U1529">
        <v>-4.0588380000000004E-3</v>
      </c>
      <c r="V1529">
        <v>0.27812890000000001</v>
      </c>
      <c r="W1529">
        <v>-2.294071E-2</v>
      </c>
      <c r="X1529">
        <v>0.9602697</v>
      </c>
      <c r="Y1529">
        <v>0.55003369999999996</v>
      </c>
      <c r="Z1529">
        <v>4.1519519999999997E-2</v>
      </c>
      <c r="AA1529">
        <v>0.83410969999999995</v>
      </c>
      <c r="AB1529">
        <v>25</v>
      </c>
      <c r="AC1529">
        <v>-18.524100000000001</v>
      </c>
      <c r="AD1529">
        <v>-1.0971869236759999</v>
      </c>
      <c r="AE1529">
        <v>0.106099999999969</v>
      </c>
      <c r="AF1529">
        <v>10.290233300639001</v>
      </c>
      <c r="AG1529">
        <v>-1.0971869236759999</v>
      </c>
      <c r="AH1529">
        <v>15.325456232122701</v>
      </c>
      <c r="AI1529">
        <v>93.401490492744003</v>
      </c>
      <c r="AJ1529">
        <v>56.120728063414397</v>
      </c>
      <c r="AK1529">
        <v>18.492223480419401</v>
      </c>
      <c r="AL1529">
        <v>91.314521272821494</v>
      </c>
      <c r="AM1529">
        <v>73.847068229087</v>
      </c>
      <c r="AN1529">
        <v>0.99999992896429901</v>
      </c>
    </row>
    <row r="1530" spans="1:40" x14ac:dyDescent="0.25">
      <c r="A1530" t="str">
        <f>"20190305135820987"</f>
        <v>20190305135820987</v>
      </c>
      <c r="B1530" t="str">
        <f>"1551765500980660"</f>
        <v>1551765500980660</v>
      </c>
      <c r="C1530" t="s">
        <v>40</v>
      </c>
      <c r="D1530">
        <v>4.2938789999999996</v>
      </c>
      <c r="E1530">
        <v>0.62313209999999997</v>
      </c>
      <c r="F1530" t="s">
        <v>59</v>
      </c>
      <c r="G1530">
        <v>-242.55080000000001</v>
      </c>
      <c r="H1530" s="1">
        <v>-1.7935879999999899E-7</v>
      </c>
      <c r="I1530">
        <v>287.76420000000002</v>
      </c>
      <c r="J1530">
        <v>-200.37129999999999</v>
      </c>
      <c r="K1530">
        <v>1.0974139999999999</v>
      </c>
      <c r="L1530">
        <v>286.71170000000001</v>
      </c>
      <c r="M1530">
        <v>-0.84349839999999998</v>
      </c>
      <c r="N1530">
        <v>-1.7687520000000002E-2</v>
      </c>
      <c r="O1530">
        <v>-0.5368406</v>
      </c>
      <c r="P1530">
        <v>-0.95733610000000002</v>
      </c>
      <c r="Q1530">
        <v>-3.0604159999999998E-2</v>
      </c>
      <c r="R1530">
        <v>-0.28735179999999999</v>
      </c>
      <c r="S1530">
        <v>-3.1636350000000002</v>
      </c>
      <c r="T1530">
        <v>-8.1853990000000001E-2</v>
      </c>
      <c r="U1530">
        <v>6.9152829999999998E-2</v>
      </c>
      <c r="V1530">
        <v>0.2710574</v>
      </c>
      <c r="W1530">
        <v>-2.1869039999999999E-2</v>
      </c>
      <c r="X1530">
        <v>0.96231469999999997</v>
      </c>
      <c r="Y1530">
        <v>0.55492790000000003</v>
      </c>
      <c r="Z1530">
        <v>1.5520890000000001E-2</v>
      </c>
      <c r="AA1530">
        <v>0.83175370000000004</v>
      </c>
      <c r="AB1530">
        <v>25</v>
      </c>
      <c r="AC1530">
        <v>-42.179499999999997</v>
      </c>
      <c r="AD1530">
        <v>-1.0974141793587999</v>
      </c>
      <c r="AE1530">
        <v>1.0525</v>
      </c>
      <c r="AF1530">
        <v>23.519218453284498</v>
      </c>
      <c r="AG1530">
        <v>-1.0974141793587999</v>
      </c>
      <c r="AH1530">
        <v>34.995116031323299</v>
      </c>
      <c r="AI1530">
        <v>91.4909128996985</v>
      </c>
      <c r="AJ1530">
        <v>56.096079035524902</v>
      </c>
      <c r="AK1530">
        <v>42.178384281289802</v>
      </c>
      <c r="AL1530">
        <v>91.253103622170499</v>
      </c>
      <c r="AM1530">
        <v>74.268941993269195</v>
      </c>
      <c r="AN1530">
        <v>0.99999997542068497</v>
      </c>
    </row>
    <row r="1531" spans="1:40" x14ac:dyDescent="0.25">
      <c r="A1531" t="str">
        <f>"20190305135821008"</f>
        <v>20190305135821008</v>
      </c>
      <c r="B1531" t="str">
        <f>"1551765501000179"</f>
        <v>1551765501000179</v>
      </c>
      <c r="C1531" t="s">
        <v>40</v>
      </c>
      <c r="D1531">
        <v>4.2649339999999896</v>
      </c>
      <c r="E1531">
        <v>0.59998750000000001</v>
      </c>
      <c r="F1531" t="s">
        <v>59</v>
      </c>
      <c r="G1531">
        <v>-232.98390000000001</v>
      </c>
      <c r="H1531" s="1">
        <v>-7.7839570000000003E-8</v>
      </c>
      <c r="I1531">
        <v>287.56619999999998</v>
      </c>
      <c r="J1531">
        <v>-200.5943</v>
      </c>
      <c r="K1531">
        <v>1.097674</v>
      </c>
      <c r="L1531">
        <v>286.59300000000002</v>
      </c>
      <c r="M1531">
        <v>-0.85300149999999997</v>
      </c>
      <c r="N1531">
        <v>-1.7535209999999999E-2</v>
      </c>
      <c r="O1531">
        <v>-0.52161409999999997</v>
      </c>
      <c r="P1531">
        <v>-0.96028579999999997</v>
      </c>
      <c r="Q1531">
        <v>-3.116389E-2</v>
      </c>
      <c r="R1531">
        <v>-0.27727299999999999</v>
      </c>
      <c r="S1531">
        <v>-3.1551209999999998</v>
      </c>
      <c r="T1531">
        <v>-0.10616970000000001</v>
      </c>
      <c r="U1531">
        <v>8.2672120000000002E-2</v>
      </c>
      <c r="V1531">
        <v>0.2638817</v>
      </c>
      <c r="W1531">
        <v>-2.2142889999999998E-2</v>
      </c>
      <c r="X1531">
        <v>0.96430090000000002</v>
      </c>
      <c r="Y1531">
        <v>0.54336149999999905</v>
      </c>
      <c r="Z1531">
        <v>2.129261E-2</v>
      </c>
      <c r="AA1531">
        <v>0.83922870000000005</v>
      </c>
      <c r="AB1531">
        <v>25</v>
      </c>
      <c r="AC1531">
        <v>-32.389600000000002</v>
      </c>
      <c r="AD1531">
        <v>-1.0976740778395699</v>
      </c>
      <c r="AE1531">
        <v>0.97319999999996298</v>
      </c>
      <c r="AF1531">
        <v>17.707417209113</v>
      </c>
      <c r="AG1531">
        <v>-1.0976740778395699</v>
      </c>
      <c r="AH1531">
        <v>27.093819347334598</v>
      </c>
      <c r="AI1531">
        <v>91.942343995794005</v>
      </c>
      <c r="AJ1531">
        <v>56.833003819026203</v>
      </c>
      <c r="AK1531">
        <v>32.385684482881601</v>
      </c>
      <c r="AL1531">
        <v>91.268797787284797</v>
      </c>
      <c r="AM1531">
        <v>74.695642632701606</v>
      </c>
      <c r="AN1531">
        <v>1.00000004245662</v>
      </c>
    </row>
    <row r="1532" spans="1:40" x14ac:dyDescent="0.25">
      <c r="A1532" t="str">
        <f>"20190305135821031"</f>
        <v>20190305135821031</v>
      </c>
      <c r="B1532" t="str">
        <f>"1551765501019699"</f>
        <v>1551765501019699</v>
      </c>
      <c r="C1532" t="s">
        <v>40</v>
      </c>
      <c r="D1532">
        <v>4.2527049999999997</v>
      </c>
      <c r="E1532">
        <v>0.59923769999999998</v>
      </c>
      <c r="F1532" t="s">
        <v>59</v>
      </c>
      <c r="G1532">
        <v>-213.90010000000001</v>
      </c>
      <c r="H1532" s="1">
        <v>5.3867319999999895E-7</v>
      </c>
      <c r="I1532">
        <v>286.3809</v>
      </c>
      <c r="J1532">
        <v>-200.81610000000001</v>
      </c>
      <c r="K1532">
        <v>1.0979890000000001</v>
      </c>
      <c r="L1532">
        <v>286.47949999999997</v>
      </c>
      <c r="M1532">
        <v>-0.86186499999999999</v>
      </c>
      <c r="N1532">
        <v>-1.7373650000000001E-2</v>
      </c>
      <c r="O1532">
        <v>-0.50684010000000002</v>
      </c>
      <c r="P1532">
        <v>-0.9629006</v>
      </c>
      <c r="Q1532">
        <v>-3.2836549999999999E-2</v>
      </c>
      <c r="R1532">
        <v>-0.26785150000000002</v>
      </c>
      <c r="S1532">
        <v>-3.101486</v>
      </c>
      <c r="T1532">
        <v>-0.25585989999999997</v>
      </c>
      <c r="U1532">
        <v>-4.943848E-2</v>
      </c>
      <c r="V1532">
        <v>0.25664949999999997</v>
      </c>
      <c r="W1532">
        <v>-2.351139E-2</v>
      </c>
      <c r="X1532">
        <v>0.96621849999999998</v>
      </c>
      <c r="Y1532">
        <v>0.49018430000000002</v>
      </c>
      <c r="Z1532">
        <v>5.5470020000000002E-2</v>
      </c>
      <c r="AA1532">
        <v>0.86985190000000001</v>
      </c>
      <c r="AB1532">
        <v>25</v>
      </c>
      <c r="AC1532">
        <v>-13.084</v>
      </c>
      <c r="AD1532">
        <v>-1.0979884613267901</v>
      </c>
      <c r="AE1532">
        <v>-9.8599999999976207E-2</v>
      </c>
      <c r="AF1532">
        <v>6.5017197298280998</v>
      </c>
      <c r="AG1532">
        <v>-1.0979884613267901</v>
      </c>
      <c r="AH1532">
        <v>11.249110757747999</v>
      </c>
      <c r="AI1532">
        <v>94.830414954357906</v>
      </c>
      <c r="AJ1532">
        <v>59.973104394419003</v>
      </c>
      <c r="AK1532">
        <v>13.039188277899999</v>
      </c>
      <c r="AL1532">
        <v>91.347227597948006</v>
      </c>
      <c r="AM1532">
        <v>75.124444791437796</v>
      </c>
      <c r="AN1532">
        <v>0.999999970526115</v>
      </c>
    </row>
    <row r="1533" spans="1:40" x14ac:dyDescent="0.25">
      <c r="A1533" t="str">
        <f>"20190305135821055"</f>
        <v>20190305135821055</v>
      </c>
      <c r="B1533" t="str">
        <f>"1551765501049955"</f>
        <v>1551765501049955</v>
      </c>
      <c r="C1533" t="s">
        <v>40</v>
      </c>
      <c r="D1533">
        <v>4.2409520000000001</v>
      </c>
      <c r="E1533">
        <v>0.5986918</v>
      </c>
      <c r="F1533" t="s">
        <v>59</v>
      </c>
      <c r="G1533">
        <v>-213.0624</v>
      </c>
      <c r="H1533" s="1">
        <v>9.2883229999999999E-8</v>
      </c>
      <c r="I1533">
        <v>286.3904</v>
      </c>
      <c r="J1533">
        <v>-201.06440000000001</v>
      </c>
      <c r="K1533">
        <v>1.0984119999999999</v>
      </c>
      <c r="L1533">
        <v>286.35719999999998</v>
      </c>
      <c r="M1533">
        <v>-0.87109840000000005</v>
      </c>
      <c r="N1533">
        <v>-1.7178530000000001E-2</v>
      </c>
      <c r="O1533">
        <v>-0.49080790000000002</v>
      </c>
      <c r="P1533">
        <v>-0.9657888</v>
      </c>
      <c r="Q1533">
        <v>-3.5196650000000003E-2</v>
      </c>
      <c r="R1533">
        <v>-0.25692949999999998</v>
      </c>
      <c r="S1533">
        <v>-3.0998540000000001</v>
      </c>
      <c r="T1533">
        <v>-0.27792889999999998</v>
      </c>
      <c r="U1533">
        <v>-2.2552490000000001E-2</v>
      </c>
      <c r="V1533">
        <v>0.24962719999999999</v>
      </c>
      <c r="W1533">
        <v>-2.5546389999999999E-2</v>
      </c>
      <c r="X1533">
        <v>0.968005</v>
      </c>
      <c r="Y1533">
        <v>0.48110609999999998</v>
      </c>
      <c r="Z1533">
        <v>5.9338269999999999E-2</v>
      </c>
      <c r="AA1533">
        <v>0.87465190000000004</v>
      </c>
      <c r="AB1533">
        <v>25</v>
      </c>
      <c r="AC1533">
        <v>-11.9979999999999</v>
      </c>
      <c r="AD1533">
        <v>-1.0984119071167699</v>
      </c>
      <c r="AE1533">
        <v>3.3200000000022101E-2</v>
      </c>
      <c r="AF1533">
        <v>5.8693149690907997</v>
      </c>
      <c r="AG1533">
        <v>-1.0984119071167699</v>
      </c>
      <c r="AH1533">
        <v>10.349938710178501</v>
      </c>
      <c r="AI1533">
        <v>95.274398125617196</v>
      </c>
      <c r="AJ1533">
        <v>60.442994461733697</v>
      </c>
      <c r="AK1533">
        <v>11.9489161947242</v>
      </c>
      <c r="AL1533">
        <v>91.463859554654206</v>
      </c>
      <c r="AM1533">
        <v>75.539725312093395</v>
      </c>
      <c r="AN1533">
        <v>1.0000000185234299</v>
      </c>
    </row>
    <row r="1534" spans="1:40" x14ac:dyDescent="0.25">
      <c r="A1534" t="str">
        <f>"20190305135821077"</f>
        <v>20190305135821077</v>
      </c>
      <c r="B1534" t="str">
        <f>"1551765501070451"</f>
        <v>1551765501070451</v>
      </c>
      <c r="C1534" t="s">
        <v>40</v>
      </c>
      <c r="D1534">
        <v>4.231935</v>
      </c>
      <c r="E1534">
        <v>0.597771099999999</v>
      </c>
      <c r="F1534" t="s">
        <v>59</v>
      </c>
      <c r="G1534">
        <v>-213.50219999999999</v>
      </c>
      <c r="H1534" s="1">
        <v>3.2688290000000001E-7</v>
      </c>
      <c r="I1534">
        <v>286.38940000000002</v>
      </c>
      <c r="J1534">
        <v>-201.28299999999999</v>
      </c>
      <c r="K1534">
        <v>1.098857</v>
      </c>
      <c r="L1534">
        <v>286.25360000000001</v>
      </c>
      <c r="M1534">
        <v>-0.87860579999999999</v>
      </c>
      <c r="N1534">
        <v>-1.6994889999999999E-2</v>
      </c>
      <c r="O1534">
        <v>-0.47724509999999998</v>
      </c>
      <c r="P1534">
        <v>-0.96791419999999995</v>
      </c>
      <c r="Q1534">
        <v>-3.7443949999999997E-2</v>
      </c>
      <c r="R1534">
        <v>-0.24847530000000001</v>
      </c>
      <c r="S1534">
        <v>-3.0984340000000001</v>
      </c>
      <c r="T1534">
        <v>-0.27363120000000002</v>
      </c>
      <c r="U1534">
        <v>8.0261229999999996E-3</v>
      </c>
      <c r="V1534">
        <v>0.243008</v>
      </c>
      <c r="W1534">
        <v>-2.7475360000000001E-2</v>
      </c>
      <c r="X1534">
        <v>0.96963509999999997</v>
      </c>
      <c r="Y1534">
        <v>0.4763078</v>
      </c>
      <c r="Z1534">
        <v>5.7400729999999997E-2</v>
      </c>
      <c r="AA1534">
        <v>0.87740300000000004</v>
      </c>
      <c r="AB1534">
        <v>25</v>
      </c>
      <c r="AC1534">
        <v>-12.219200000000001</v>
      </c>
      <c r="AD1534">
        <v>-1.0988566731170999</v>
      </c>
      <c r="AE1534">
        <v>0.13580000000001699</v>
      </c>
      <c r="AF1534">
        <v>5.9039873190712502</v>
      </c>
      <c r="AG1534">
        <v>-1.0988566731170999</v>
      </c>
      <c r="AH1534">
        <v>10.586984046660501</v>
      </c>
      <c r="AI1534">
        <v>95.179720922823904</v>
      </c>
      <c r="AJ1534">
        <v>60.853134560662902</v>
      </c>
      <c r="AK1534">
        <v>12.171638486911</v>
      </c>
      <c r="AL1534">
        <v>91.574420289731094</v>
      </c>
      <c r="AM1534">
        <v>75.930435987194599</v>
      </c>
      <c r="AN1534">
        <v>1.0000000053115601</v>
      </c>
    </row>
    <row r="1535" spans="1:40" x14ac:dyDescent="0.25">
      <c r="A1535" t="str">
        <f>"20190305135821097"</f>
        <v>20190305135821097</v>
      </c>
      <c r="B1535" t="str">
        <f>"1551765501089972"</f>
        <v>1551765501089972</v>
      </c>
      <c r="C1535" t="s">
        <v>40</v>
      </c>
      <c r="D1535">
        <v>4.2256309999999999</v>
      </c>
      <c r="E1535">
        <v>0.59705949999999997</v>
      </c>
      <c r="F1535" t="s">
        <v>59</v>
      </c>
      <c r="G1535">
        <v>-213.74010000000001</v>
      </c>
      <c r="H1535" s="1">
        <v>4.5351199999999999E-7</v>
      </c>
      <c r="I1535">
        <v>286.36599999999999</v>
      </c>
      <c r="J1535">
        <v>-201.50040000000001</v>
      </c>
      <c r="K1535">
        <v>1.0993729999999999</v>
      </c>
      <c r="L1535">
        <v>286.15390000000002</v>
      </c>
      <c r="M1535">
        <v>-0.88549290000000003</v>
      </c>
      <c r="N1535">
        <v>-1.680487E-2</v>
      </c>
      <c r="O1535">
        <v>-0.46434890000000001</v>
      </c>
      <c r="P1535">
        <v>-0.96975929999999999</v>
      </c>
      <c r="Q1535">
        <v>-3.8865339999999998E-2</v>
      </c>
      <c r="R1535">
        <v>-0.2409491</v>
      </c>
      <c r="S1535">
        <v>-3.0960390000000002</v>
      </c>
      <c r="T1535">
        <v>-0.27310610000000002</v>
      </c>
      <c r="U1535">
        <v>2.792358E-2</v>
      </c>
      <c r="V1535">
        <v>0.23633170000000001</v>
      </c>
      <c r="W1535">
        <v>-2.8562770000000001E-2</v>
      </c>
      <c r="X1535">
        <v>0.97125260000000002</v>
      </c>
      <c r="Y1535">
        <v>0.46915859999999898</v>
      </c>
      <c r="Z1535">
        <v>5.6239610000000002E-2</v>
      </c>
      <c r="AA1535">
        <v>0.88132129999999997</v>
      </c>
      <c r="AB1535">
        <v>25</v>
      </c>
      <c r="AC1535">
        <v>-12.239699999999999</v>
      </c>
      <c r="AD1535">
        <v>-1.099372546488</v>
      </c>
      <c r="AE1535">
        <v>0.21209999999996401</v>
      </c>
      <c r="AF1535">
        <v>5.8251522379678002</v>
      </c>
      <c r="AG1535">
        <v>-1.099372546488</v>
      </c>
      <c r="AH1535">
        <v>10.6552586099706</v>
      </c>
      <c r="AI1535">
        <v>95.172945614387302</v>
      </c>
      <c r="AJ1535">
        <v>61.334893920156297</v>
      </c>
      <c r="AK1535">
        <v>12.1932585733603</v>
      </c>
      <c r="AL1535">
        <v>91.6367486796359</v>
      </c>
      <c r="AM1535">
        <v>76.324177795593599</v>
      </c>
      <c r="AN1535">
        <v>1.00000005863085</v>
      </c>
    </row>
    <row r="1536" spans="1:40" x14ac:dyDescent="0.25">
      <c r="A1536" t="str">
        <f>"20190305135821121"</f>
        <v>20190305135821121</v>
      </c>
      <c r="B1536" t="str">
        <f>"1551765501110467"</f>
        <v>1551765501110467</v>
      </c>
      <c r="C1536" t="s">
        <v>40</v>
      </c>
      <c r="D1536">
        <v>4.2105620000000004</v>
      </c>
      <c r="E1536">
        <v>0.59597959999999905</v>
      </c>
      <c r="F1536" t="s">
        <v>59</v>
      </c>
      <c r="G1536">
        <v>-214.15960000000001</v>
      </c>
      <c r="H1536" s="1">
        <v>6.7675359999999995E-7</v>
      </c>
      <c r="I1536">
        <v>286.34300000000002</v>
      </c>
      <c r="J1536">
        <v>-201.72980000000001</v>
      </c>
      <c r="K1536">
        <v>1.099974</v>
      </c>
      <c r="L1536">
        <v>286.05200000000002</v>
      </c>
      <c r="M1536">
        <v>-0.89213410000000004</v>
      </c>
      <c r="N1536">
        <v>-1.6598760000000001E-2</v>
      </c>
      <c r="O1536">
        <v>-0.45146579999999897</v>
      </c>
      <c r="P1536">
        <v>-0.97151670000000001</v>
      </c>
      <c r="Q1536">
        <v>-4.0170570000000003E-2</v>
      </c>
      <c r="R1536">
        <v>-0.23354179999999999</v>
      </c>
      <c r="S1536">
        <v>-3.0942690000000002</v>
      </c>
      <c r="T1536">
        <v>-0.26871679999999998</v>
      </c>
      <c r="U1536">
        <v>4.6234129999999998E-2</v>
      </c>
      <c r="V1536">
        <v>0.2296474</v>
      </c>
      <c r="W1536">
        <v>-2.952625E-2</v>
      </c>
      <c r="X1536">
        <v>0.97282590000000002</v>
      </c>
      <c r="Y1536">
        <v>0.46173629999999999</v>
      </c>
      <c r="Z1536">
        <v>5.4210340000000003E-2</v>
      </c>
      <c r="AA1536">
        <v>0.88535919999999901</v>
      </c>
      <c r="AB1536">
        <v>25</v>
      </c>
      <c r="AC1536">
        <v>-12.4298</v>
      </c>
      <c r="AD1536">
        <v>-1.0999733232464</v>
      </c>
      <c r="AE1536">
        <v>0.29099999999999598</v>
      </c>
      <c r="AF1536">
        <v>5.8264453261196003</v>
      </c>
      <c r="AG1536">
        <v>-1.0999733232464</v>
      </c>
      <c r="AH1536">
        <v>10.8740690849696</v>
      </c>
      <c r="AI1536">
        <v>95.095194027059406</v>
      </c>
      <c r="AJ1536">
        <v>61.817106483739501</v>
      </c>
      <c r="AK1536">
        <v>12.385587790444401</v>
      </c>
      <c r="AL1536">
        <v>91.691975448763003</v>
      </c>
      <c r="AM1536">
        <v>76.717789201391696</v>
      </c>
      <c r="AN1536">
        <v>0.999999979738316</v>
      </c>
    </row>
    <row r="1537" spans="1:40" x14ac:dyDescent="0.25">
      <c r="A1537" t="str">
        <f>"20190305135821143"</f>
        <v>20190305135821143</v>
      </c>
      <c r="B1537" t="str">
        <f>"1551765501139747"</f>
        <v>1551765501139747</v>
      </c>
      <c r="C1537" t="s">
        <v>40</v>
      </c>
      <c r="D1537">
        <v>4.2154109999999996</v>
      </c>
      <c r="E1537">
        <v>0.59420699999999904</v>
      </c>
      <c r="F1537" t="s">
        <v>59</v>
      </c>
      <c r="G1537">
        <v>-214.27369999999999</v>
      </c>
      <c r="H1537" s="1">
        <v>7.374659E-7</v>
      </c>
      <c r="I1537">
        <v>286.30180000000001</v>
      </c>
      <c r="J1537">
        <v>-201.96549999999999</v>
      </c>
      <c r="K1537">
        <v>1.1005959999999999</v>
      </c>
      <c r="L1537">
        <v>285.9504</v>
      </c>
      <c r="M1537">
        <v>-0.8983565</v>
      </c>
      <c r="N1537">
        <v>-1.6389270000000001E-2</v>
      </c>
      <c r="O1537">
        <v>-0.43896160000000001</v>
      </c>
      <c r="P1537">
        <v>-0.97302010000000005</v>
      </c>
      <c r="Q1537">
        <v>-4.0562519999999998E-2</v>
      </c>
      <c r="R1537">
        <v>-0.22712740000000001</v>
      </c>
      <c r="S1537">
        <v>-3.0915530000000002</v>
      </c>
      <c r="T1537">
        <v>-0.27109670000000002</v>
      </c>
      <c r="U1537">
        <v>6.1553959999999998E-2</v>
      </c>
      <c r="V1537">
        <v>0.2225008</v>
      </c>
      <c r="W1537">
        <v>-2.9581030000000001E-2</v>
      </c>
      <c r="X1537">
        <v>0.97448369999999995</v>
      </c>
      <c r="Y1537">
        <v>0.45373950000000002</v>
      </c>
      <c r="Z1537">
        <v>5.3641849999999998E-2</v>
      </c>
      <c r="AA1537">
        <v>0.88951840000000004</v>
      </c>
      <c r="AB1537">
        <v>25</v>
      </c>
      <c r="AC1537">
        <v>-12.308199999999999</v>
      </c>
      <c r="AD1537">
        <v>-1.1005952625341</v>
      </c>
      <c r="AE1537">
        <v>0.35140000000001198</v>
      </c>
      <c r="AF1537">
        <v>5.6739457366106496</v>
      </c>
      <c r="AG1537">
        <v>-1.1005952625341</v>
      </c>
      <c r="AH1537">
        <v>10.817934909139799</v>
      </c>
      <c r="AI1537">
        <v>95.148298634839307</v>
      </c>
      <c r="AJ1537">
        <v>62.323243624994802</v>
      </c>
      <c r="AK1537">
        <v>12.265100319699799</v>
      </c>
      <c r="AL1537">
        <v>91.695115342960406</v>
      </c>
      <c r="AM1537">
        <v>77.138316335989103</v>
      </c>
      <c r="AN1537">
        <v>1.0000000624510901</v>
      </c>
    </row>
    <row r="1538" spans="1:40" x14ac:dyDescent="0.25">
      <c r="A1538" t="str">
        <f>"20190305135821165"</f>
        <v>20190305135821165</v>
      </c>
      <c r="B1538" t="str">
        <f>"1551765501160244"</f>
        <v>1551765501160244</v>
      </c>
      <c r="C1538" t="s">
        <v>40</v>
      </c>
      <c r="D1538">
        <v>4.1539859999999997</v>
      </c>
      <c r="E1538">
        <v>0.59288629999999998</v>
      </c>
      <c r="F1538" t="s">
        <v>59</v>
      </c>
      <c r="G1538">
        <v>-214.5975</v>
      </c>
      <c r="H1538" s="1">
        <v>9.0978940000000004E-7</v>
      </c>
      <c r="I1538">
        <v>286.22829999999999</v>
      </c>
      <c r="J1538">
        <v>-202.19</v>
      </c>
      <c r="K1538">
        <v>1.101108</v>
      </c>
      <c r="L1538">
        <v>285.85640000000001</v>
      </c>
      <c r="M1538">
        <v>-0.90380939999999999</v>
      </c>
      <c r="N1538">
        <v>-1.6202029999999999E-2</v>
      </c>
      <c r="O1538">
        <v>-0.42762860000000003</v>
      </c>
      <c r="P1538">
        <v>-0.97416550000000002</v>
      </c>
      <c r="Q1538">
        <v>-4.0565610000000002E-2</v>
      </c>
      <c r="R1538">
        <v>-0.22216279999999999</v>
      </c>
      <c r="S1538">
        <v>-3.0878299999999999</v>
      </c>
      <c r="T1538">
        <v>-0.26903440000000001</v>
      </c>
      <c r="U1538">
        <v>6.7932129999999993E-2</v>
      </c>
      <c r="V1538">
        <v>0.21524599999999999</v>
      </c>
      <c r="W1538">
        <v>-2.9303360000000001E-2</v>
      </c>
      <c r="X1538">
        <v>0.97612010000000005</v>
      </c>
      <c r="Y1538">
        <v>0.44448300000000002</v>
      </c>
      <c r="Z1538">
        <v>5.2136990000000001E-2</v>
      </c>
      <c r="AA1538">
        <v>0.89426879999999997</v>
      </c>
      <c r="AB1538">
        <v>25</v>
      </c>
      <c r="AC1538">
        <v>-12.407500000000001</v>
      </c>
      <c r="AD1538">
        <v>-1.1011070902105999</v>
      </c>
      <c r="AE1538">
        <v>0.37189999999998202</v>
      </c>
      <c r="AF1538">
        <v>5.5986152174253103</v>
      </c>
      <c r="AG1538">
        <v>-1.1011070902105999</v>
      </c>
      <c r="AH1538">
        <v>10.9701104485277</v>
      </c>
      <c r="AI1538">
        <v>95.108856798890599</v>
      </c>
      <c r="AJ1538">
        <v>62.9624262522347</v>
      </c>
      <c r="AK1538">
        <v>12.3652841629214</v>
      </c>
      <c r="AL1538">
        <v>91.679199249055102</v>
      </c>
      <c r="AM1538">
        <v>77.564614272151005</v>
      </c>
      <c r="AN1538">
        <v>0.99999998852364902</v>
      </c>
    </row>
    <row r="1539" spans="1:40" x14ac:dyDescent="0.25">
      <c r="A1539" t="str">
        <f>"20190305135821186"</f>
        <v>20190305135821186</v>
      </c>
      <c r="B1539" t="str">
        <f>"1551765501180740"</f>
        <v>1551765501180740</v>
      </c>
      <c r="C1539" t="s">
        <v>40</v>
      </c>
      <c r="D1539">
        <v>4.1998430000000004</v>
      </c>
      <c r="E1539">
        <v>0.59219129999999998</v>
      </c>
      <c r="F1539" t="s">
        <v>59</v>
      </c>
      <c r="G1539">
        <v>-214.9085</v>
      </c>
      <c r="H1539" s="1">
        <v>1.075295E-6</v>
      </c>
      <c r="I1539">
        <v>286.15940000000001</v>
      </c>
      <c r="J1539">
        <v>-202.4084</v>
      </c>
      <c r="K1539">
        <v>1.101558</v>
      </c>
      <c r="L1539">
        <v>285.76729999999998</v>
      </c>
      <c r="M1539">
        <v>-0.90870030000000002</v>
      </c>
      <c r="N1539">
        <v>-1.603313E-2</v>
      </c>
      <c r="O1539">
        <v>-0.41714089999999998</v>
      </c>
      <c r="P1539">
        <v>-0.97457950000000004</v>
      </c>
      <c r="Q1539">
        <v>-4.1828990000000003E-2</v>
      </c>
      <c r="R1539">
        <v>-0.2201032</v>
      </c>
      <c r="S1539">
        <v>-3.0851899999999999</v>
      </c>
      <c r="T1539">
        <v>-0.2670999</v>
      </c>
      <c r="U1539">
        <v>7.3516849999999995E-2</v>
      </c>
      <c r="V1539">
        <v>0.20599000000000001</v>
      </c>
      <c r="W1539">
        <v>-3.028697E-2</v>
      </c>
      <c r="X1539">
        <v>0.97808530000000005</v>
      </c>
      <c r="Y1539">
        <v>0.43584020000000001</v>
      </c>
      <c r="Z1539">
        <v>5.072596E-2</v>
      </c>
      <c r="AA1539">
        <v>0.89859349999999905</v>
      </c>
      <c r="AB1539">
        <v>25</v>
      </c>
      <c r="AC1539">
        <v>-12.5001</v>
      </c>
      <c r="AD1539">
        <v>-1.1015569247050001</v>
      </c>
      <c r="AE1539">
        <v>0.39210000000002698</v>
      </c>
      <c r="AF1539">
        <v>5.5284304114215201</v>
      </c>
      <c r="AG1539">
        <v>-1.1015569247050001</v>
      </c>
      <c r="AH1539">
        <v>11.1105264016762</v>
      </c>
      <c r="AI1539">
        <v>95.072500957905504</v>
      </c>
      <c r="AJ1539">
        <v>63.545754754518001</v>
      </c>
      <c r="AK1539">
        <v>12.458762675107</v>
      </c>
      <c r="AL1539">
        <v>91.735580935651797</v>
      </c>
      <c r="AM1539">
        <v>78.107005714546801</v>
      </c>
      <c r="AN1539">
        <v>1.0000000173639301</v>
      </c>
    </row>
    <row r="1540" spans="1:40" x14ac:dyDescent="0.25">
      <c r="A1540" t="str">
        <f>"20190305135821210"</f>
        <v>20190305135821210</v>
      </c>
      <c r="B1540" t="str">
        <f>"1551765501200259"</f>
        <v>1551765501200259</v>
      </c>
      <c r="C1540" t="s">
        <v>40</v>
      </c>
      <c r="D1540">
        <v>4.1870120000000002</v>
      </c>
      <c r="E1540">
        <v>0.57872250000000003</v>
      </c>
      <c r="F1540" t="s">
        <v>59</v>
      </c>
      <c r="G1540">
        <v>-214.93600000000001</v>
      </c>
      <c r="H1540" s="1">
        <v>1.0898980000000001E-6</v>
      </c>
      <c r="I1540">
        <v>286.07119999999998</v>
      </c>
      <c r="J1540">
        <v>-202.65450000000001</v>
      </c>
      <c r="K1540">
        <v>1.1020030000000001</v>
      </c>
      <c r="L1540">
        <v>285.66989999999998</v>
      </c>
      <c r="M1540">
        <v>-0.91375010000000001</v>
      </c>
      <c r="N1540">
        <v>-1.585255E-2</v>
      </c>
      <c r="O1540">
        <v>-0.40596739999999998</v>
      </c>
      <c r="P1540">
        <v>-0.97546710000000003</v>
      </c>
      <c r="Q1540">
        <v>-4.1201630000000003E-2</v>
      </c>
      <c r="R1540">
        <v>-0.21625620000000001</v>
      </c>
      <c r="S1540">
        <v>-3.0835110000000001</v>
      </c>
      <c r="T1540">
        <v>-0.271134599999999</v>
      </c>
      <c r="U1540">
        <v>7.4798580000000003E-2</v>
      </c>
      <c r="V1540">
        <v>0.19790550000000001</v>
      </c>
      <c r="W1540">
        <v>-2.943693E-2</v>
      </c>
      <c r="X1540">
        <v>0.97977899999999996</v>
      </c>
      <c r="Y1540">
        <v>0.4251491</v>
      </c>
      <c r="Z1540">
        <v>5.0333210000000003E-2</v>
      </c>
      <c r="AA1540">
        <v>0.90372280000000005</v>
      </c>
      <c r="AB1540">
        <v>25</v>
      </c>
      <c r="AC1540">
        <v>-12.2814999999999</v>
      </c>
      <c r="AD1540">
        <v>-1.102001910102</v>
      </c>
      <c r="AE1540">
        <v>0.401299999999992</v>
      </c>
      <c r="AF1540">
        <v>5.3105382866172501</v>
      </c>
      <c r="AG1540">
        <v>-1.102001910102</v>
      </c>
      <c r="AH1540">
        <v>10.9724491648489</v>
      </c>
      <c r="AI1540">
        <v>95.165612524718298</v>
      </c>
      <c r="AJ1540">
        <v>64.173555641539906</v>
      </c>
      <c r="AK1540">
        <v>12.239724906168799</v>
      </c>
      <c r="AL1540">
        <v>91.686855522677504</v>
      </c>
      <c r="AM1540">
        <v>78.580479711924397</v>
      </c>
      <c r="AN1540">
        <v>1.0000000043095301</v>
      </c>
    </row>
    <row r="1541" spans="1:40" x14ac:dyDescent="0.25">
      <c r="A1541" t="str">
        <f>"20190305135821232"</f>
        <v>20190305135821232</v>
      </c>
      <c r="B1541" t="str">
        <f>"1551765501220755"</f>
        <v>1551765501220755</v>
      </c>
      <c r="C1541" t="s">
        <v>40</v>
      </c>
      <c r="D1541">
        <v>4.1369879999999997</v>
      </c>
      <c r="E1541">
        <v>0.57764199999999999</v>
      </c>
      <c r="F1541" t="s">
        <v>59</v>
      </c>
      <c r="G1541">
        <v>-215.24879999999999</v>
      </c>
      <c r="H1541" s="1">
        <v>1.2563379999999999E-6</v>
      </c>
      <c r="I1541">
        <v>285.59379999999999</v>
      </c>
      <c r="J1541">
        <v>-202.8843</v>
      </c>
      <c r="K1541">
        <v>1.102409</v>
      </c>
      <c r="L1541">
        <v>285.5813</v>
      </c>
      <c r="M1541">
        <v>-0.91806940000000004</v>
      </c>
      <c r="N1541">
        <v>-1.568843E-2</v>
      </c>
      <c r="O1541">
        <v>-0.39610879999999998</v>
      </c>
      <c r="P1541">
        <v>-0.97614389999999995</v>
      </c>
      <c r="Q1541">
        <v>-4.1462890000000002E-2</v>
      </c>
      <c r="R1541">
        <v>-0.21312819999999999</v>
      </c>
      <c r="S1541">
        <v>-3.0600589999999999</v>
      </c>
      <c r="T1541">
        <v>-0.26775539999999998</v>
      </c>
      <c r="U1541">
        <v>-1.849365E-2</v>
      </c>
      <c r="V1541">
        <v>0.19051489999999999</v>
      </c>
      <c r="W1541">
        <v>-2.9512969999999999E-2</v>
      </c>
      <c r="X1541">
        <v>0.98124060000000002</v>
      </c>
      <c r="Y1541">
        <v>0.3879109</v>
      </c>
      <c r="Z1541">
        <v>4.7493090000000002E-2</v>
      </c>
      <c r="AA1541">
        <v>0.92047239999999997</v>
      </c>
      <c r="AB1541">
        <v>24</v>
      </c>
      <c r="AC1541">
        <v>-12.3644999999999</v>
      </c>
      <c r="AD1541">
        <v>-1.1024077436619999</v>
      </c>
      <c r="AE1541">
        <v>1.24999999999886E-2</v>
      </c>
      <c r="AF1541">
        <v>4.8710464410827896</v>
      </c>
      <c r="AG1541">
        <v>-1.1024077436619999</v>
      </c>
      <c r="AH1541">
        <v>11.258418885186501</v>
      </c>
      <c r="AI1541">
        <v>95.135251628486401</v>
      </c>
      <c r="AJ1541">
        <v>66.603885620047393</v>
      </c>
      <c r="AK1541">
        <v>12.3164277312374</v>
      </c>
      <c r="AL1541">
        <v>91.691214146051905</v>
      </c>
      <c r="AM1541">
        <v>79.012319857485195</v>
      </c>
      <c r="AN1541">
        <v>1.0000000288042901</v>
      </c>
    </row>
    <row r="1542" spans="1:40" x14ac:dyDescent="0.25">
      <c r="A1542" t="str">
        <f>"20190305135821256"</f>
        <v>20190305135821256</v>
      </c>
      <c r="B1542" t="str">
        <f>"1551765501250035"</f>
        <v>1551765501250035</v>
      </c>
      <c r="C1542" t="s">
        <v>40</v>
      </c>
      <c r="D1542">
        <v>4.1606880000000004</v>
      </c>
      <c r="E1542">
        <v>0.57627869999999903</v>
      </c>
      <c r="F1542" t="s">
        <v>59</v>
      </c>
      <c r="G1542">
        <v>-215.60730000000001</v>
      </c>
      <c r="H1542" s="1">
        <v>1.4471629999999999E-6</v>
      </c>
      <c r="I1542">
        <v>285.50810000000001</v>
      </c>
      <c r="J1542">
        <v>-203.1448</v>
      </c>
      <c r="K1542">
        <v>1.102876</v>
      </c>
      <c r="L1542">
        <v>285.48360000000002</v>
      </c>
      <c r="M1542">
        <v>-0.92256360000000004</v>
      </c>
      <c r="N1542">
        <v>-1.550969E-2</v>
      </c>
      <c r="O1542">
        <v>-0.38553320000000002</v>
      </c>
      <c r="P1542">
        <v>-0.97731849999999998</v>
      </c>
      <c r="Q1542">
        <v>-4.076842E-2</v>
      </c>
      <c r="R1542">
        <v>-0.2078141</v>
      </c>
      <c r="S1542">
        <v>-3.0582280000000002</v>
      </c>
      <c r="T1542">
        <v>-0.26498450000000001</v>
      </c>
      <c r="U1542">
        <v>-1.7608639999999998E-2</v>
      </c>
      <c r="V1542">
        <v>0.18463109999999999</v>
      </c>
      <c r="W1542">
        <v>-2.866192E-2</v>
      </c>
      <c r="X1542">
        <v>0.98238990000000004</v>
      </c>
      <c r="Y1542">
        <v>0.37768780000000002</v>
      </c>
      <c r="Z1542">
        <v>4.583653E-2</v>
      </c>
      <c r="AA1542">
        <v>0.9247978</v>
      </c>
      <c r="AB1542">
        <v>24</v>
      </c>
      <c r="AC1542">
        <v>-12.4625</v>
      </c>
      <c r="AD1542">
        <v>-1.1028745528370001</v>
      </c>
      <c r="AE1542">
        <v>2.4499999999988999E-2</v>
      </c>
      <c r="AF1542">
        <v>4.7903756192492697</v>
      </c>
      <c r="AG1542">
        <v>-1.1028745528370001</v>
      </c>
      <c r="AH1542">
        <v>11.400106344801999</v>
      </c>
      <c r="AI1542">
        <v>95.096629215452097</v>
      </c>
      <c r="AJ1542">
        <v>67.207636529320794</v>
      </c>
      <c r="AK1542">
        <v>12.414767638807801</v>
      </c>
      <c r="AL1542">
        <v>91.642431926092897</v>
      </c>
      <c r="AM1542">
        <v>79.355950906598096</v>
      </c>
      <c r="AN1542">
        <v>1.00000003218365</v>
      </c>
    </row>
    <row r="1543" spans="1:40" x14ac:dyDescent="0.25">
      <c r="A1543" t="str">
        <f>"20190305135821278"</f>
        <v>20190305135821278</v>
      </c>
      <c r="B1543" t="str">
        <f>"1551765501270531"</f>
        <v>1551765501270531</v>
      </c>
      <c r="C1543" t="s">
        <v>40</v>
      </c>
      <c r="D1543">
        <v>4.1241909999999997</v>
      </c>
      <c r="E1543">
        <v>0.57551580000000002</v>
      </c>
      <c r="F1543" t="s">
        <v>59</v>
      </c>
      <c r="G1543">
        <v>-215.87119999999999</v>
      </c>
      <c r="H1543" s="1">
        <v>1.5875550000000001E-6</v>
      </c>
      <c r="I1543">
        <v>285.43299999999999</v>
      </c>
      <c r="J1543">
        <v>-203.36750000000001</v>
      </c>
      <c r="K1543">
        <v>1.103297</v>
      </c>
      <c r="L1543">
        <v>285.40210000000002</v>
      </c>
      <c r="M1543">
        <v>-0.92609169999999996</v>
      </c>
      <c r="N1543">
        <v>-1.536713E-2</v>
      </c>
      <c r="O1543">
        <v>-0.37698599999999999</v>
      </c>
      <c r="P1543">
        <v>-0.97823879999999996</v>
      </c>
      <c r="Q1543">
        <v>-4.0456970000000002E-2</v>
      </c>
      <c r="R1543">
        <v>-0.2035005</v>
      </c>
      <c r="S1543">
        <v>-3.0560149999999999</v>
      </c>
      <c r="T1543">
        <v>-0.26483649999999997</v>
      </c>
      <c r="U1543">
        <v>-1.2146000000000001E-2</v>
      </c>
      <c r="V1543">
        <v>0.17991699999999999</v>
      </c>
      <c r="W1543">
        <v>-2.8217430000000002E-2</v>
      </c>
      <c r="X1543">
        <v>0.98327699999999996</v>
      </c>
      <c r="Y1543">
        <v>0.37081760000000002</v>
      </c>
      <c r="Z1543">
        <v>4.497342E-2</v>
      </c>
      <c r="AA1543">
        <v>0.92761610000000005</v>
      </c>
      <c r="AB1543">
        <v>24</v>
      </c>
      <c r="AC1543">
        <v>-12.503699999999901</v>
      </c>
      <c r="AD1543">
        <v>-1.1032954124450001</v>
      </c>
      <c r="AE1543">
        <v>3.0899999999974101E-2</v>
      </c>
      <c r="AF1543">
        <v>4.7062531105568803</v>
      </c>
      <c r="AG1543">
        <v>-1.1032954124450001</v>
      </c>
      <c r="AH1543">
        <v>11.4799071600636</v>
      </c>
      <c r="AI1543">
        <v>95.081617661332203</v>
      </c>
      <c r="AJ1543">
        <v>67.708544940171805</v>
      </c>
      <c r="AK1543">
        <v>12.4560968008212</v>
      </c>
      <c r="AL1543">
        <v>91.616954265002406</v>
      </c>
      <c r="AM1543">
        <v>79.630900189272595</v>
      </c>
      <c r="AN1543">
        <v>1.0000000044869</v>
      </c>
    </row>
    <row r="1544" spans="1:40" x14ac:dyDescent="0.25">
      <c r="A1544" t="str">
        <f>"20190305135821299"</f>
        <v>20190305135821299</v>
      </c>
      <c r="B1544" t="str">
        <f>"1551765501290052"</f>
        <v>1551765501290052</v>
      </c>
      <c r="C1544" t="s">
        <v>40</v>
      </c>
      <c r="D1544">
        <v>4.1520659999999996</v>
      </c>
      <c r="E1544">
        <v>0.57497049999999905</v>
      </c>
      <c r="F1544" t="s">
        <v>59</v>
      </c>
      <c r="G1544">
        <v>-216.32769999999999</v>
      </c>
      <c r="H1544" s="1">
        <v>1.830503E-6</v>
      </c>
      <c r="I1544">
        <v>285.37970000000001</v>
      </c>
      <c r="J1544">
        <v>-203.59389999999999</v>
      </c>
      <c r="K1544">
        <v>1.1037239999999999</v>
      </c>
      <c r="L1544">
        <v>285.32119999999998</v>
      </c>
      <c r="M1544">
        <v>-0.92940440000000002</v>
      </c>
      <c r="N1544">
        <v>-1.5233729999999999E-2</v>
      </c>
      <c r="O1544">
        <v>-0.36874869999999998</v>
      </c>
      <c r="P1544">
        <v>-0.97921689999999995</v>
      </c>
      <c r="Q1544">
        <v>-3.9683570000000001E-2</v>
      </c>
      <c r="R1544">
        <v>-0.19889660000000001</v>
      </c>
      <c r="S1544">
        <v>-3.0548709999999999</v>
      </c>
      <c r="T1544">
        <v>-0.26006010000000002</v>
      </c>
      <c r="U1544">
        <v>-5.2795409999999996E-3</v>
      </c>
      <c r="V1544">
        <v>0.17586199999999999</v>
      </c>
      <c r="W1544">
        <v>-2.7321979999999999E-2</v>
      </c>
      <c r="X1544">
        <v>0.98403560000000001</v>
      </c>
      <c r="Y1544">
        <v>0.36478680000000002</v>
      </c>
      <c r="Z1544">
        <v>4.3330210000000001E-2</v>
      </c>
      <c r="AA1544">
        <v>0.93008230000000003</v>
      </c>
      <c r="AB1544">
        <v>24</v>
      </c>
      <c r="AC1544">
        <v>-12.7338</v>
      </c>
      <c r="AD1544">
        <v>-1.1037221694970001</v>
      </c>
      <c r="AE1544">
        <v>5.8500000000037702E-2</v>
      </c>
      <c r="AF1544">
        <v>4.7150703363023396</v>
      </c>
      <c r="AG1544">
        <v>-1.1037221694970001</v>
      </c>
      <c r="AH1544">
        <v>11.7265499853657</v>
      </c>
      <c r="AI1544">
        <v>94.990797692626202</v>
      </c>
      <c r="AJ1544">
        <v>68.095678347096396</v>
      </c>
      <c r="AK1544">
        <v>12.687082622218499</v>
      </c>
      <c r="AL1544">
        <v>91.565628974402998</v>
      </c>
      <c r="AM1544">
        <v>79.867352322978505</v>
      </c>
      <c r="AN1544">
        <v>0.99999999785124005</v>
      </c>
    </row>
    <row r="1545" spans="1:40" x14ac:dyDescent="0.25">
      <c r="A1545" t="str">
        <f>"20190305135821320"</f>
        <v>20190305135821320</v>
      </c>
      <c r="B1545" t="str">
        <f>"1551765501311523"</f>
        <v>1551765501311523</v>
      </c>
      <c r="C1545" t="s">
        <v>40</v>
      </c>
      <c r="D1545">
        <v>4.1488800000000001</v>
      </c>
      <c r="E1545">
        <v>0.57419819999999999</v>
      </c>
      <c r="F1545" t="s">
        <v>59</v>
      </c>
      <c r="G1545">
        <v>-216.72399999999999</v>
      </c>
      <c r="H1545" s="1">
        <v>2.0413989999999998E-6</v>
      </c>
      <c r="I1545">
        <v>285.34120000000001</v>
      </c>
      <c r="J1545">
        <v>-203.81270000000001</v>
      </c>
      <c r="K1545">
        <v>1.1041129999999999</v>
      </c>
      <c r="L1545">
        <v>285.24459999999999</v>
      </c>
      <c r="M1545">
        <v>-0.93237499999999995</v>
      </c>
      <c r="N1545">
        <v>-1.511503E-2</v>
      </c>
      <c r="O1545">
        <v>-0.36117660000000001</v>
      </c>
      <c r="P1545">
        <v>-0.97973670000000002</v>
      </c>
      <c r="Q1545">
        <v>-3.6242070000000001E-2</v>
      </c>
      <c r="R1545">
        <v>-0.19698350000000001</v>
      </c>
      <c r="S1545">
        <v>-3.0541990000000001</v>
      </c>
      <c r="T1545">
        <v>-0.25673750000000001</v>
      </c>
      <c r="U1545">
        <v>4.6386719999999999E-3</v>
      </c>
      <c r="V1545">
        <v>0.1698991</v>
      </c>
      <c r="W1545">
        <v>-2.373631E-2</v>
      </c>
      <c r="X1545">
        <v>0.98517549999999998</v>
      </c>
      <c r="Y1545">
        <v>0.36032890000000001</v>
      </c>
      <c r="Z1545">
        <v>4.2079459999999999E-2</v>
      </c>
      <c r="AA1545">
        <v>0.93187569999999997</v>
      </c>
      <c r="AB1545">
        <v>24</v>
      </c>
      <c r="AC1545">
        <v>-12.911300000000001</v>
      </c>
      <c r="AD1545">
        <v>-1.1041109586009901</v>
      </c>
      <c r="AE1545">
        <v>9.66000000000235E-2</v>
      </c>
      <c r="AF1545">
        <v>4.7193596558457003</v>
      </c>
      <c r="AG1545">
        <v>-1.1041109586009901</v>
      </c>
      <c r="AH1545">
        <v>11.917508387047601</v>
      </c>
      <c r="AI1545">
        <v>94.923191544806002</v>
      </c>
      <c r="AJ1545">
        <v>68.396324824099693</v>
      </c>
      <c r="AK1545">
        <v>12.865396329902801</v>
      </c>
      <c r="AL1545">
        <v>91.360118202508005</v>
      </c>
      <c r="AM1545">
        <v>80.215262932926294</v>
      </c>
      <c r="AN1545">
        <v>0.99999994119673596</v>
      </c>
    </row>
    <row r="1546" spans="1:40" x14ac:dyDescent="0.25">
      <c r="A1546" t="str">
        <f>"20190305135821355"</f>
        <v>20190305135821355</v>
      </c>
      <c r="B1546" t="str">
        <f>"1551765501350563"</f>
        <v>1551765501350563</v>
      </c>
      <c r="C1546" t="s">
        <v>40</v>
      </c>
      <c r="D1546">
        <v>4.1078239999999999</v>
      </c>
      <c r="E1546">
        <v>0.60433769999999998</v>
      </c>
      <c r="F1546" t="s">
        <v>59</v>
      </c>
      <c r="G1546">
        <v>-217.41730000000001</v>
      </c>
      <c r="H1546" s="1">
        <v>2.4103009999999998E-6</v>
      </c>
      <c r="I1546">
        <v>285.26310000000001</v>
      </c>
      <c r="J1546">
        <v>-204.16640000000001</v>
      </c>
      <c r="K1546">
        <v>1.1046009999999999</v>
      </c>
      <c r="L1546">
        <v>285.12389999999999</v>
      </c>
      <c r="M1546">
        <v>-0.93678669999999997</v>
      </c>
      <c r="N1546">
        <v>-1.4945190000000001E-2</v>
      </c>
      <c r="O1546">
        <v>-0.34958230000000001</v>
      </c>
      <c r="P1546">
        <v>-0.98125459999999998</v>
      </c>
      <c r="Q1546">
        <v>-3.2999979999999998E-2</v>
      </c>
      <c r="R1546">
        <v>-0.18987029999999999</v>
      </c>
      <c r="S1546">
        <v>-3.053696</v>
      </c>
      <c r="T1546">
        <v>-0.24782960000000001</v>
      </c>
      <c r="U1546">
        <v>4.1503909999999998E-3</v>
      </c>
      <c r="V1546">
        <v>0.16493070000000001</v>
      </c>
      <c r="W1546">
        <v>-2.039059E-2</v>
      </c>
      <c r="X1546">
        <v>0.98609440000000004</v>
      </c>
      <c r="Y1546">
        <v>0.34881479999999998</v>
      </c>
      <c r="Z1546">
        <v>3.9304409999999998E-2</v>
      </c>
      <c r="AA1546">
        <v>0.93636719999999896</v>
      </c>
      <c r="AB1546">
        <v>24</v>
      </c>
      <c r="AC1546">
        <v>-13.2509</v>
      </c>
      <c r="AD1546">
        <v>-1.104598589699</v>
      </c>
      <c r="AE1546">
        <v>0.13920000000001601</v>
      </c>
      <c r="AF1546">
        <v>4.7303444569025404</v>
      </c>
      <c r="AG1546">
        <v>-1.104598589699</v>
      </c>
      <c r="AH1546">
        <v>12.280655204934099</v>
      </c>
      <c r="AI1546">
        <v>94.797866042624904</v>
      </c>
      <c r="AJ1546">
        <v>68.933981186553197</v>
      </c>
      <c r="AK1546">
        <v>13.2064676953297</v>
      </c>
      <c r="AL1546">
        <v>91.168375676734001</v>
      </c>
      <c r="AM1546">
        <v>80.504799244782802</v>
      </c>
      <c r="AN1546">
        <v>1.0000000388371899</v>
      </c>
    </row>
    <row r="1547" spans="1:40" x14ac:dyDescent="0.25">
      <c r="A1547" t="str">
        <f>"20190305135821375"</f>
        <v>20190305135821375</v>
      </c>
      <c r="B1547" t="str">
        <f>"1551765501370083"</f>
        <v>1551765501370083</v>
      </c>
      <c r="C1547" t="s">
        <v>40</v>
      </c>
      <c r="D1547">
        <v>4.1399039999999996</v>
      </c>
      <c r="E1547">
        <v>0.56675229999999999</v>
      </c>
      <c r="F1547" t="s">
        <v>60</v>
      </c>
      <c r="G1547">
        <v>-511.84840000000003</v>
      </c>
      <c r="H1547">
        <v>85.313369999999907</v>
      </c>
      <c r="I1547">
        <v>301.291</v>
      </c>
      <c r="J1547">
        <v>-204.3854</v>
      </c>
      <c r="K1547">
        <v>1.104833</v>
      </c>
      <c r="L1547">
        <v>285.05110000000002</v>
      </c>
      <c r="M1547">
        <v>-0.93930009999999997</v>
      </c>
      <c r="N1547">
        <v>-1.485295E-2</v>
      </c>
      <c r="O1547">
        <v>-0.3427752</v>
      </c>
      <c r="P1547">
        <v>-0.98188750000000002</v>
      </c>
      <c r="Q1547">
        <v>-3.2200399999999997E-2</v>
      </c>
      <c r="R1547">
        <v>-0.1867086</v>
      </c>
      <c r="S1547">
        <v>-3.1176910000000002</v>
      </c>
      <c r="T1547">
        <v>0.85327369999999902</v>
      </c>
      <c r="U1547">
        <v>0.1638184</v>
      </c>
      <c r="V1547">
        <v>0.16098019999999999</v>
      </c>
      <c r="W1547">
        <v>-1.9534309999999999E-2</v>
      </c>
      <c r="X1547">
        <v>0.98676430000000004</v>
      </c>
      <c r="Y1547">
        <v>0.36527300000000001</v>
      </c>
      <c r="Z1547">
        <v>-0.14214959999999999</v>
      </c>
      <c r="AA1547">
        <v>0.9199832</v>
      </c>
      <c r="AB1547">
        <v>24</v>
      </c>
      <c r="AC1547">
        <v>-307.462999999999</v>
      </c>
      <c r="AD1547">
        <v>84.208536999999893</v>
      </c>
      <c r="AE1547">
        <v>16.239899999999899</v>
      </c>
      <c r="AF1547">
        <v>112.26074005591801</v>
      </c>
      <c r="AG1547">
        <v>84.208536999999893</v>
      </c>
      <c r="AH1547">
        <v>263.55037253954703</v>
      </c>
      <c r="AI1547">
        <v>73.6188176622735</v>
      </c>
      <c r="AJ1547">
        <v>66.9281517718929</v>
      </c>
      <c r="AK1547">
        <v>298.58390835294</v>
      </c>
      <c r="AL1547">
        <v>91.119304713399202</v>
      </c>
      <c r="AM1547">
        <v>80.734421326516994</v>
      </c>
      <c r="AN1547">
        <v>0.99999999890685298</v>
      </c>
    </row>
    <row r="1548" spans="1:40" x14ac:dyDescent="0.25">
      <c r="A1548" t="str">
        <f>"20190305135821400"</f>
        <v>20190305135821400</v>
      </c>
      <c r="B1548" t="str">
        <f>"1551765501390579"</f>
        <v>1551765501390579</v>
      </c>
      <c r="C1548" t="s">
        <v>40</v>
      </c>
      <c r="D1548">
        <v>4.143669</v>
      </c>
      <c r="E1548">
        <v>0.56530789999999997</v>
      </c>
      <c r="F1548" t="s">
        <v>59</v>
      </c>
      <c r="G1548">
        <v>-219.6756</v>
      </c>
      <c r="H1548" s="1">
        <v>3.6121000000000001E-6</v>
      </c>
      <c r="I1548">
        <v>284.93220000000002</v>
      </c>
      <c r="J1548">
        <v>-204.63210000000001</v>
      </c>
      <c r="K1548">
        <v>1.105062</v>
      </c>
      <c r="L1548">
        <v>284.9708</v>
      </c>
      <c r="M1548">
        <v>-0.94194290000000003</v>
      </c>
      <c r="N1548">
        <v>-1.4756679999999999E-2</v>
      </c>
      <c r="O1548">
        <v>-0.335449</v>
      </c>
      <c r="P1548">
        <v>-0.98284400000000005</v>
      </c>
      <c r="Q1548">
        <v>-3.251097E-2</v>
      </c>
      <c r="R1548">
        <v>-0.18155160000000001</v>
      </c>
      <c r="S1548">
        <v>-3.0436550000000002</v>
      </c>
      <c r="T1548">
        <v>-0.2199255</v>
      </c>
      <c r="U1548">
        <v>-2.368164E-2</v>
      </c>
      <c r="V1548">
        <v>0.1584777</v>
      </c>
      <c r="W1548">
        <v>-1.981306E-2</v>
      </c>
      <c r="X1548">
        <v>0.98716380000000004</v>
      </c>
      <c r="Y1548">
        <v>0.32659870000000002</v>
      </c>
      <c r="Z1548">
        <v>3.30142E-2</v>
      </c>
      <c r="AA1548">
        <v>0.94458629999999999</v>
      </c>
      <c r="AB1548">
        <v>24</v>
      </c>
      <c r="AC1548">
        <v>-15.0434999999999</v>
      </c>
      <c r="AD1548">
        <v>-1.1050583879</v>
      </c>
      <c r="AE1548">
        <v>-3.8599999999973898E-2</v>
      </c>
      <c r="AF1548">
        <v>4.9836215724607502</v>
      </c>
      <c r="AG1548">
        <v>-1.1050583879</v>
      </c>
      <c r="AH1548">
        <v>14.1084803159609</v>
      </c>
      <c r="AI1548">
        <v>94.223834950210104</v>
      </c>
      <c r="AJ1548">
        <v>70.544951254031204</v>
      </c>
      <c r="AK1548">
        <v>15.003561405347099</v>
      </c>
      <c r="AL1548">
        <v>91.135278941904104</v>
      </c>
      <c r="AM1548">
        <v>80.879647388158702</v>
      </c>
      <c r="AN1548">
        <v>1.00000005338714</v>
      </c>
    </row>
    <row r="1549" spans="1:40" x14ac:dyDescent="0.25">
      <c r="A1549" t="str">
        <f>"20190305135821421"</f>
        <v>20190305135821421</v>
      </c>
      <c r="B1549" t="str">
        <f>"1551765501411076"</f>
        <v>1551765501411076</v>
      </c>
      <c r="C1549" t="s">
        <v>40</v>
      </c>
      <c r="D1549">
        <v>4.139437</v>
      </c>
      <c r="E1549">
        <v>0.5647894</v>
      </c>
      <c r="F1549" t="s">
        <v>59</v>
      </c>
      <c r="G1549">
        <v>-219.47149999999999</v>
      </c>
      <c r="H1549" s="1">
        <v>3.5034679999999898E-6</v>
      </c>
      <c r="I1549">
        <v>284.88150000000002</v>
      </c>
      <c r="J1549">
        <v>-204.86799999999999</v>
      </c>
      <c r="K1549">
        <v>1.1052740000000001</v>
      </c>
      <c r="L1549">
        <v>284.89569999999998</v>
      </c>
      <c r="M1549">
        <v>-0.94429730000000001</v>
      </c>
      <c r="N1549">
        <v>-1.4670269999999999E-2</v>
      </c>
      <c r="O1549">
        <v>-0.32876660000000002</v>
      </c>
      <c r="P1549">
        <v>-0.98371900000000001</v>
      </c>
      <c r="Q1549">
        <v>-3.4042830000000003E-2</v>
      </c>
      <c r="R1549">
        <v>-0.1764598</v>
      </c>
      <c r="S1549">
        <v>-3.0414889999999999</v>
      </c>
      <c r="T1549">
        <v>-0.22649259999999999</v>
      </c>
      <c r="U1549">
        <v>-1.8310549999999998E-2</v>
      </c>
      <c r="V1549">
        <v>0.15657090000000001</v>
      </c>
      <c r="W1549">
        <v>-2.1318299999999998E-2</v>
      </c>
      <c r="X1549">
        <v>0.98743669999999995</v>
      </c>
      <c r="Y1549">
        <v>0.32148959999999999</v>
      </c>
      <c r="Z1549">
        <v>3.3520170000000002E-2</v>
      </c>
      <c r="AA1549">
        <v>0.94631960000000004</v>
      </c>
      <c r="AB1549">
        <v>24</v>
      </c>
      <c r="AC1549">
        <v>-14.603499999999899</v>
      </c>
      <c r="AD1549">
        <v>-1.1052704965319999</v>
      </c>
      <c r="AE1549">
        <v>-1.41999999999598E-2</v>
      </c>
      <c r="AF1549">
        <v>4.7609769807530196</v>
      </c>
      <c r="AG1549">
        <v>-1.1052704965319999</v>
      </c>
      <c r="AH1549">
        <v>13.7176200728599</v>
      </c>
      <c r="AI1549">
        <v>94.352893321938396</v>
      </c>
      <c r="AJ1549">
        <v>70.859636593434203</v>
      </c>
      <c r="AK1549">
        <v>14.5623358409664</v>
      </c>
      <c r="AL1549">
        <v>91.221541060375301</v>
      </c>
      <c r="AM1549">
        <v>80.990021364279102</v>
      </c>
      <c r="AN1549">
        <v>1.00000007657429</v>
      </c>
    </row>
    <row r="1550" spans="1:40" x14ac:dyDescent="0.25">
      <c r="A1550" t="str">
        <f>"20190305135821444"</f>
        <v>20190305135821444</v>
      </c>
      <c r="B1550" t="str">
        <f>"1551765501440356"</f>
        <v>1551765501440356</v>
      </c>
      <c r="C1550" t="s">
        <v>40</v>
      </c>
      <c r="D1550">
        <v>4.0269959999999996</v>
      </c>
      <c r="E1550">
        <v>0.56524010000000002</v>
      </c>
      <c r="F1550" t="s">
        <v>59</v>
      </c>
      <c r="G1550">
        <v>-219.99639999999999</v>
      </c>
      <c r="H1550" s="1">
        <v>-1.538699E-6</v>
      </c>
      <c r="I1550">
        <v>284.85829999999999</v>
      </c>
      <c r="J1550">
        <v>-205.09819999999999</v>
      </c>
      <c r="K1550">
        <v>1.1054580000000001</v>
      </c>
      <c r="L1550">
        <v>284.82380000000001</v>
      </c>
      <c r="M1550">
        <v>-0.9464766</v>
      </c>
      <c r="N1550">
        <v>-1.4594070000000001E-2</v>
      </c>
      <c r="O1550">
        <v>-0.32244210000000001</v>
      </c>
      <c r="P1550">
        <v>-0.98406590000000005</v>
      </c>
      <c r="Q1550">
        <v>-3.710194E-2</v>
      </c>
      <c r="R1550">
        <v>-0.1738905</v>
      </c>
      <c r="S1550">
        <v>-3.0406040000000001</v>
      </c>
      <c r="T1550">
        <v>-0.2221458</v>
      </c>
      <c r="U1550">
        <v>-7.5073240000000001E-3</v>
      </c>
      <c r="V1550">
        <v>0.1524848</v>
      </c>
      <c r="W1550">
        <v>-2.4325800000000002E-2</v>
      </c>
      <c r="X1550">
        <v>0.98800639999999995</v>
      </c>
      <c r="Y1550">
        <v>0.31859739999999998</v>
      </c>
      <c r="Z1550">
        <v>3.2386079999999998E-2</v>
      </c>
      <c r="AA1550">
        <v>0.94733670000000003</v>
      </c>
      <c r="AB1550">
        <v>24</v>
      </c>
      <c r="AC1550">
        <v>-14.898199999999999</v>
      </c>
      <c r="AD1550">
        <v>-1.105459538699</v>
      </c>
      <c r="AE1550">
        <v>3.4499999999979901E-2</v>
      </c>
      <c r="AF1550">
        <v>4.8104905209267903</v>
      </c>
      <c r="AG1550">
        <v>-1.105459538699</v>
      </c>
      <c r="AH1550">
        <v>14.014017639922301</v>
      </c>
      <c r="AI1550">
        <v>94.2668873052301</v>
      </c>
      <c r="AJ1550">
        <v>71.054562028413301</v>
      </c>
      <c r="AK1550">
        <v>14.857844737904699</v>
      </c>
      <c r="AL1550">
        <v>91.393903165130794</v>
      </c>
      <c r="AM1550">
        <v>81.226431390172195</v>
      </c>
      <c r="AN1550">
        <v>1.0000000026088101</v>
      </c>
    </row>
    <row r="1551" spans="1:40" x14ac:dyDescent="0.25">
      <c r="A1551" t="str">
        <f>"20190305135821468"</f>
        <v>20190305135821468</v>
      </c>
      <c r="B1551" t="str">
        <f>"1551765501459875"</f>
        <v>1551765501459875</v>
      </c>
      <c r="C1551" t="s">
        <v>40</v>
      </c>
      <c r="D1551">
        <v>4.1502169999999996</v>
      </c>
      <c r="E1551">
        <v>0.56231219999999904</v>
      </c>
      <c r="F1551" t="s">
        <v>59</v>
      </c>
      <c r="G1551">
        <v>-221.20580000000001</v>
      </c>
      <c r="H1551" s="1">
        <v>-8.9510289999999899E-7</v>
      </c>
      <c r="I1551">
        <v>284.839</v>
      </c>
      <c r="J1551">
        <v>-205.35329999999999</v>
      </c>
      <c r="K1551">
        <v>1.105621</v>
      </c>
      <c r="L1551">
        <v>284.74579999999997</v>
      </c>
      <c r="M1551">
        <v>-0.94877739999999999</v>
      </c>
      <c r="N1551">
        <v>-1.45215E-2</v>
      </c>
      <c r="O1551">
        <v>-0.31561139999999999</v>
      </c>
      <c r="P1551">
        <v>-0.98426820000000004</v>
      </c>
      <c r="Q1551">
        <v>-3.9921699999999997E-2</v>
      </c>
      <c r="R1551">
        <v>-0.17211129999999999</v>
      </c>
      <c r="S1551">
        <v>-3.0412140000000001</v>
      </c>
      <c r="T1551">
        <v>-0.20871709999999999</v>
      </c>
      <c r="U1551">
        <v>2.8686520000000002E-3</v>
      </c>
      <c r="V1551">
        <v>0.14709449999999999</v>
      </c>
      <c r="W1551">
        <v>-2.7086760000000001E-2</v>
      </c>
      <c r="X1551">
        <v>0.98875150000000001</v>
      </c>
      <c r="Y1551">
        <v>0.31520300000000001</v>
      </c>
      <c r="Z1551">
        <v>2.9807879999999998E-2</v>
      </c>
      <c r="AA1551">
        <v>0.94855610000000001</v>
      </c>
      <c r="AB1551">
        <v>24</v>
      </c>
      <c r="AC1551">
        <v>-15.852499999999999</v>
      </c>
      <c r="AD1551">
        <v>-1.1056218951029</v>
      </c>
      <c r="AE1551">
        <v>9.3200000000024305E-2</v>
      </c>
      <c r="AF1551">
        <v>5.0675436929122197</v>
      </c>
      <c r="AG1551">
        <v>-1.1056218951029</v>
      </c>
      <c r="AH1551">
        <v>14.9399921856796</v>
      </c>
      <c r="AI1551">
        <v>94.008868572858702</v>
      </c>
      <c r="AJ1551">
        <v>71.263413392527596</v>
      </c>
      <c r="AK1551">
        <v>15.8147325416104</v>
      </c>
      <c r="AL1551">
        <v>91.552146857638803</v>
      </c>
      <c r="AM1551">
        <v>81.538286660341697</v>
      </c>
      <c r="AN1551">
        <v>1.00000000662489</v>
      </c>
    </row>
    <row r="1552" spans="1:40" x14ac:dyDescent="0.25">
      <c r="A1552" t="str">
        <f>"20190305135821490"</f>
        <v>20190305135821490</v>
      </c>
      <c r="B1552" t="str">
        <f>"1551765501480371"</f>
        <v>1551765501480371</v>
      </c>
      <c r="C1552" t="s">
        <v>40</v>
      </c>
      <c r="D1552">
        <v>4.1623049999999999</v>
      </c>
      <c r="E1552">
        <v>0.56005939999999999</v>
      </c>
      <c r="F1552" t="s">
        <v>59</v>
      </c>
      <c r="G1552">
        <v>-221.19589999999999</v>
      </c>
      <c r="H1552" s="1">
        <v>-9.0037249999999997E-7</v>
      </c>
      <c r="I1552">
        <v>284.67110000000002</v>
      </c>
      <c r="J1552">
        <v>-205.57980000000001</v>
      </c>
      <c r="K1552">
        <v>1.105723</v>
      </c>
      <c r="L1552">
        <v>284.678</v>
      </c>
      <c r="M1552">
        <v>-0.9507331</v>
      </c>
      <c r="N1552">
        <v>-1.446648E-2</v>
      </c>
      <c r="O1552">
        <v>-0.30967309999999998</v>
      </c>
      <c r="P1552">
        <v>-0.98430790000000001</v>
      </c>
      <c r="Q1552">
        <v>-4.0976100000000001E-2</v>
      </c>
      <c r="R1552">
        <v>-0.17163800000000001</v>
      </c>
      <c r="S1552">
        <v>-3.036835</v>
      </c>
      <c r="T1552">
        <v>-0.2119346</v>
      </c>
      <c r="U1552">
        <v>-1.4312739999999999E-2</v>
      </c>
      <c r="V1552">
        <v>0.1413711</v>
      </c>
      <c r="W1552">
        <v>-2.8088990000000001E-2</v>
      </c>
      <c r="X1552">
        <v>0.9895581</v>
      </c>
      <c r="Y1552">
        <v>0.30387819999999999</v>
      </c>
      <c r="Z1552">
        <v>2.956779E-2</v>
      </c>
      <c r="AA1552">
        <v>0.95225190000000004</v>
      </c>
      <c r="AB1552">
        <v>24</v>
      </c>
      <c r="AC1552">
        <v>-15.6160999999999</v>
      </c>
      <c r="AD1552">
        <v>-1.1057239003724999</v>
      </c>
      <c r="AE1552">
        <v>-6.89999999997326E-3</v>
      </c>
      <c r="AF1552">
        <v>4.8057371706021996</v>
      </c>
      <c r="AG1552">
        <v>-1.1057239003724999</v>
      </c>
      <c r="AH1552">
        <v>14.776350476885201</v>
      </c>
      <c r="AI1552">
        <v>94.0704006050467</v>
      </c>
      <c r="AJ1552">
        <v>71.983833492186093</v>
      </c>
      <c r="AK1552">
        <v>15.577492369200799</v>
      </c>
      <c r="AL1552">
        <v>91.609592274084704</v>
      </c>
      <c r="AM1552">
        <v>81.869576646453098</v>
      </c>
      <c r="AN1552">
        <v>1.0000000062750101</v>
      </c>
    </row>
    <row r="1553" spans="1:40" x14ac:dyDescent="0.25">
      <c r="A1553" t="str">
        <f>"20190305135821510"</f>
        <v>20190305135821510</v>
      </c>
      <c r="B1553" t="str">
        <f>"1551765501499892"</f>
        <v>1551765501499892</v>
      </c>
      <c r="C1553" t="s">
        <v>40</v>
      </c>
      <c r="D1553">
        <v>4.1618240000000002</v>
      </c>
      <c r="E1553">
        <v>0.52908069999999996</v>
      </c>
      <c r="F1553" t="s">
        <v>59</v>
      </c>
      <c r="G1553">
        <v>-221.6095</v>
      </c>
      <c r="H1553" s="1">
        <v>-6.8028829999999999E-7</v>
      </c>
      <c r="I1553">
        <v>284.51459999999997</v>
      </c>
      <c r="J1553">
        <v>-205.78970000000001</v>
      </c>
      <c r="K1553">
        <v>1.1057900000000001</v>
      </c>
      <c r="L1553">
        <v>284.61649999999997</v>
      </c>
      <c r="M1553">
        <v>-0.95248460000000001</v>
      </c>
      <c r="N1553">
        <v>-1.4421979999999999E-2</v>
      </c>
      <c r="O1553">
        <v>-0.3042455</v>
      </c>
      <c r="P1553">
        <v>-0.98455879999999996</v>
      </c>
      <c r="Q1553">
        <v>-3.9876139999999997E-2</v>
      </c>
      <c r="R1553">
        <v>-0.17045289999999999</v>
      </c>
      <c r="S1553">
        <v>-3.0337369999999999</v>
      </c>
      <c r="T1553">
        <v>-0.20926610000000001</v>
      </c>
      <c r="U1553">
        <v>-3.091431E-2</v>
      </c>
      <c r="V1553">
        <v>0.13694679999999901</v>
      </c>
      <c r="W1553">
        <v>-2.6960810000000002E-2</v>
      </c>
      <c r="X1553">
        <v>0.99021139999999996</v>
      </c>
      <c r="Y1553">
        <v>0.29328179999999998</v>
      </c>
      <c r="Z1553">
        <v>2.848065E-2</v>
      </c>
      <c r="AA1553">
        <v>0.9556017</v>
      </c>
      <c r="AB1553">
        <v>24</v>
      </c>
      <c r="AC1553">
        <v>-15.819799999999899</v>
      </c>
      <c r="AD1553">
        <v>-1.1057906802883</v>
      </c>
      <c r="AE1553">
        <v>-0.1019</v>
      </c>
      <c r="AF1553">
        <v>4.69360327730055</v>
      </c>
      <c r="AG1553">
        <v>-1.1057906802883</v>
      </c>
      <c r="AH1553">
        <v>15.027268683778299</v>
      </c>
      <c r="AI1553">
        <v>94.0178113342985</v>
      </c>
      <c r="AJ1553">
        <v>72.654375491489205</v>
      </c>
      <c r="AK1553">
        <v>15.7819988863186</v>
      </c>
      <c r="AL1553">
        <v>91.544927883664101</v>
      </c>
      <c r="AM1553">
        <v>82.125910263663698</v>
      </c>
      <c r="AN1553">
        <v>0.99999996399802704</v>
      </c>
    </row>
    <row r="1554" spans="1:40" x14ac:dyDescent="0.25">
      <c r="A1554" t="str">
        <f>"20190305135821532"</f>
        <v>20190305135821532</v>
      </c>
      <c r="B1554" t="str">
        <f>"1551765501520387"</f>
        <v>1551765501520387</v>
      </c>
      <c r="C1554" t="s">
        <v>40</v>
      </c>
      <c r="D1554">
        <v>4.1440760000000001</v>
      </c>
      <c r="E1554">
        <v>0.53072799999999998</v>
      </c>
      <c r="F1554" t="s">
        <v>59</v>
      </c>
      <c r="G1554">
        <v>-226.7603</v>
      </c>
      <c r="H1554" s="1">
        <v>2.060691E-6</v>
      </c>
      <c r="I1554">
        <v>282.67469999999997</v>
      </c>
      <c r="J1554">
        <v>-206.01419999999999</v>
      </c>
      <c r="K1554">
        <v>1.105823</v>
      </c>
      <c r="L1554">
        <v>284.5521</v>
      </c>
      <c r="M1554">
        <v>-0.95430950000000003</v>
      </c>
      <c r="N1554">
        <v>-1.4363280000000001E-2</v>
      </c>
      <c r="O1554">
        <v>-0.29847489999999999</v>
      </c>
      <c r="P1554">
        <v>-0.98487469999999999</v>
      </c>
      <c r="Q1554">
        <v>-3.7385509999999997E-2</v>
      </c>
      <c r="R1554">
        <v>-0.16918749999999999</v>
      </c>
      <c r="S1554">
        <v>-2.9926759999999999</v>
      </c>
      <c r="T1554">
        <v>-0.1578051</v>
      </c>
      <c r="U1554">
        <v>-0.277099599999999</v>
      </c>
      <c r="V1554">
        <v>0.13228129999999999</v>
      </c>
      <c r="W1554">
        <v>-2.4464719999999999E-2</v>
      </c>
      <c r="X1554">
        <v>0.99091019999999996</v>
      </c>
      <c r="Y1554">
        <v>0.2086711</v>
      </c>
      <c r="Z1554">
        <v>1.8105989999999999E-2</v>
      </c>
      <c r="AA1554">
        <v>0.97781830000000003</v>
      </c>
      <c r="AB1554">
        <v>24</v>
      </c>
      <c r="AC1554">
        <v>-20.746099999999998</v>
      </c>
      <c r="AD1554">
        <v>-1.1058209393089999</v>
      </c>
      <c r="AE1554">
        <v>-1.8774000000000199</v>
      </c>
      <c r="AF1554">
        <v>4.3886554233892499</v>
      </c>
      <c r="AG1554">
        <v>-1.1058209393089999</v>
      </c>
      <c r="AH1554">
        <v>20.303438604096101</v>
      </c>
      <c r="AI1554">
        <v>93.047279968778696</v>
      </c>
      <c r="AJ1554">
        <v>77.802974701267999</v>
      </c>
      <c r="AK1554">
        <v>20.8017488573763</v>
      </c>
      <c r="AL1554">
        <v>91.401865145590193</v>
      </c>
      <c r="AM1554">
        <v>82.396270410857994</v>
      </c>
      <c r="AN1554">
        <v>0.99999994465920194</v>
      </c>
    </row>
    <row r="1555" spans="1:40" x14ac:dyDescent="0.25">
      <c r="A1555" t="str">
        <f>"20190305135821553"</f>
        <v>20190305135821553</v>
      </c>
      <c r="B1555" t="str">
        <f>"1551765501550644"</f>
        <v>1551765501550644</v>
      </c>
      <c r="C1555" t="s">
        <v>40</v>
      </c>
      <c r="D1555">
        <v>4.1334939999999998</v>
      </c>
      <c r="E1555">
        <v>0.531686199999999</v>
      </c>
      <c r="F1555" t="s">
        <v>59</v>
      </c>
      <c r="G1555">
        <v>-227.94409999999999</v>
      </c>
      <c r="H1555" s="1">
        <v>2.6906729999999998E-6</v>
      </c>
      <c r="I1555">
        <v>282.64609999999999</v>
      </c>
      <c r="J1555">
        <v>-206.24299999999999</v>
      </c>
      <c r="K1555">
        <v>1.105796</v>
      </c>
      <c r="L1555">
        <v>284.48790000000002</v>
      </c>
      <c r="M1555">
        <v>-0.95613729999999997</v>
      </c>
      <c r="N1555">
        <v>-1.4212880000000001E-2</v>
      </c>
      <c r="O1555">
        <v>-0.292574</v>
      </c>
      <c r="P1555">
        <v>-0.98528669999999996</v>
      </c>
      <c r="Q1555">
        <v>-3.5526500000000003E-2</v>
      </c>
      <c r="R1555">
        <v>-0.16717660000000001</v>
      </c>
      <c r="S1555">
        <v>-2.9956049999999999</v>
      </c>
      <c r="T1555">
        <v>-0.1510541</v>
      </c>
      <c r="U1555">
        <v>-0.26034550000000001</v>
      </c>
      <c r="V1555">
        <v>0.12821939999999901</v>
      </c>
      <c r="W1555">
        <v>-2.2709770000000001E-2</v>
      </c>
      <c r="X1555">
        <v>0.99148579999999997</v>
      </c>
      <c r="Y1555">
        <v>0.2081974</v>
      </c>
      <c r="Z1555">
        <v>1.7016110000000001E-2</v>
      </c>
      <c r="AA1555">
        <v>0.9779388</v>
      </c>
      <c r="AB1555">
        <v>24</v>
      </c>
      <c r="AC1555">
        <v>-21.7011</v>
      </c>
      <c r="AD1555">
        <v>-1.105793309327</v>
      </c>
      <c r="AE1555">
        <v>-1.8418000000000301</v>
      </c>
      <c r="AF1555">
        <v>4.5768285976865801</v>
      </c>
      <c r="AG1555">
        <v>-1.105793309327</v>
      </c>
      <c r="AH1555">
        <v>21.235500346923502</v>
      </c>
      <c r="AI1555">
        <v>92.914068404302796</v>
      </c>
      <c r="AJ1555">
        <v>77.837249500034801</v>
      </c>
      <c r="AK1555">
        <v>21.751243960742599</v>
      </c>
      <c r="AL1555">
        <v>91.301285817984194</v>
      </c>
      <c r="AM1555">
        <v>82.631378889100503</v>
      </c>
      <c r="AN1555">
        <v>1.00000001989572</v>
      </c>
    </row>
    <row r="1556" spans="1:40" x14ac:dyDescent="0.25">
      <c r="A1556" t="str">
        <f>"20190305135821576"</f>
        <v>20190305135821576</v>
      </c>
      <c r="B1556" t="str">
        <f>"1551765501570164"</f>
        <v>1551765501570164</v>
      </c>
      <c r="C1556" t="s">
        <v>40</v>
      </c>
      <c r="D1556">
        <v>4.0999569999999999</v>
      </c>
      <c r="E1556">
        <v>0.53248409999999902</v>
      </c>
      <c r="F1556" t="s">
        <v>59</v>
      </c>
      <c r="G1556">
        <v>-228.99719999999999</v>
      </c>
      <c r="H1556" s="1">
        <v>3.2510680000000001E-6</v>
      </c>
      <c r="I1556">
        <v>282.61500000000001</v>
      </c>
      <c r="J1556">
        <v>-206.4753</v>
      </c>
      <c r="K1556">
        <v>1.1056900000000001</v>
      </c>
      <c r="L1556">
        <v>284.42430000000002</v>
      </c>
      <c r="M1556">
        <v>-0.95797200000000005</v>
      </c>
      <c r="N1556">
        <v>-1.3885110000000001E-2</v>
      </c>
      <c r="O1556">
        <v>-0.2865258</v>
      </c>
      <c r="P1556">
        <v>-0.98569819999999997</v>
      </c>
      <c r="Q1556">
        <v>-3.3769599999999997E-2</v>
      </c>
      <c r="R1556">
        <v>-0.16510250000000001</v>
      </c>
      <c r="S1556">
        <v>-2.9976959999999999</v>
      </c>
      <c r="T1556">
        <v>-0.1456797</v>
      </c>
      <c r="U1556">
        <v>-0.2467346</v>
      </c>
      <c r="V1556">
        <v>0.1240701</v>
      </c>
      <c r="W1556">
        <v>-2.1239560000000001E-2</v>
      </c>
      <c r="X1556">
        <v>0.99204610000000004</v>
      </c>
      <c r="Y1556">
        <v>0.2065254</v>
      </c>
      <c r="Z1556">
        <v>1.6122939999999999E-2</v>
      </c>
      <c r="AA1556">
        <v>0.97830839999999997</v>
      </c>
      <c r="AB1556">
        <v>24</v>
      </c>
      <c r="AC1556">
        <v>-22.521899999999899</v>
      </c>
      <c r="AD1556">
        <v>-1.1056867489319999</v>
      </c>
      <c r="AE1556">
        <v>-1.8092999999999999</v>
      </c>
      <c r="AF1556">
        <v>4.7090243531317899</v>
      </c>
      <c r="AG1556">
        <v>-1.1056867489319999</v>
      </c>
      <c r="AH1556">
        <v>22.043101062840599</v>
      </c>
      <c r="AI1556">
        <v>92.808300723747294</v>
      </c>
      <c r="AJ1556">
        <v>77.941275708615393</v>
      </c>
      <c r="AK1556">
        <v>22.567582015177301</v>
      </c>
      <c r="AL1556">
        <v>91.217028678862604</v>
      </c>
      <c r="AM1556">
        <v>82.871325024311105</v>
      </c>
      <c r="AN1556">
        <v>0.99999998657410605</v>
      </c>
    </row>
    <row r="1557" spans="1:40" x14ac:dyDescent="0.25">
      <c r="A1557" t="str">
        <f>"20190305135821599"</f>
        <v>20190305135821599</v>
      </c>
      <c r="B1557" t="str">
        <f>"1551765501590660"</f>
        <v>1551765501590660</v>
      </c>
      <c r="C1557" t="s">
        <v>40</v>
      </c>
      <c r="D1557">
        <v>4.118652</v>
      </c>
      <c r="E1557">
        <v>0.53317150000000002</v>
      </c>
      <c r="F1557" t="s">
        <v>59</v>
      </c>
      <c r="G1557">
        <v>-230.08330000000001</v>
      </c>
      <c r="H1557" s="1">
        <v>-1.4035049999999999E-6</v>
      </c>
      <c r="I1557">
        <v>282.5813</v>
      </c>
      <c r="J1557">
        <v>-206.72630000000001</v>
      </c>
      <c r="K1557">
        <v>1.105529</v>
      </c>
      <c r="L1557">
        <v>284.35730000000001</v>
      </c>
      <c r="M1557">
        <v>-0.95992679999999997</v>
      </c>
      <c r="N1557">
        <v>-1.334782E-2</v>
      </c>
      <c r="O1557">
        <v>-0.27993269999999998</v>
      </c>
      <c r="P1557">
        <v>-0.98630969999999996</v>
      </c>
      <c r="Q1557">
        <v>-3.2261390000000001E-2</v>
      </c>
      <c r="R1557">
        <v>-0.16171779999999999</v>
      </c>
      <c r="S1557">
        <v>-2.9995120000000002</v>
      </c>
      <c r="T1557">
        <v>-0.14048359999999999</v>
      </c>
      <c r="U1557">
        <v>-0.23416139999999999</v>
      </c>
      <c r="V1557">
        <v>0.1206755</v>
      </c>
      <c r="W1557">
        <v>-2.0236870000000001E-2</v>
      </c>
      <c r="X1557">
        <v>0.99248570000000003</v>
      </c>
      <c r="Y1557">
        <v>0.2039591</v>
      </c>
      <c r="Z1557">
        <v>1.5267609999999999E-2</v>
      </c>
      <c r="AA1557">
        <v>0.97886039999999996</v>
      </c>
      <c r="AB1557">
        <v>24</v>
      </c>
      <c r="AC1557">
        <v>-23.356999999999999</v>
      </c>
      <c r="AD1557">
        <v>-1.105530403505</v>
      </c>
      <c r="AE1557">
        <v>-1.77600000000001</v>
      </c>
      <c r="AF1557">
        <v>4.8232454292597096</v>
      </c>
      <c r="AG1557">
        <v>-1.105530403505</v>
      </c>
      <c r="AH1557">
        <v>22.869273632173801</v>
      </c>
      <c r="AI1557">
        <v>92.708115073457606</v>
      </c>
      <c r="AJ1557">
        <v>78.090564312479103</v>
      </c>
      <c r="AK1557">
        <v>23.3984950457757</v>
      </c>
      <c r="AL1557">
        <v>91.159566413407404</v>
      </c>
      <c r="AM1557">
        <v>83.067484055767906</v>
      </c>
      <c r="AN1557">
        <v>0.99999998595606798</v>
      </c>
    </row>
    <row r="1558" spans="1:40" x14ac:dyDescent="0.25">
      <c r="A1558" t="str">
        <f>"20190305135821620"</f>
        <v>20190305135821620</v>
      </c>
      <c r="B1558" t="str">
        <f>"1551765501610183"</f>
        <v>1551765501610183</v>
      </c>
      <c r="C1558" t="s">
        <v>40</v>
      </c>
      <c r="D1558">
        <v>4.1131120000000001</v>
      </c>
      <c r="E1558">
        <v>0.53400329999999996</v>
      </c>
      <c r="F1558" t="s">
        <v>59</v>
      </c>
      <c r="G1558">
        <v>-231.0942</v>
      </c>
      <c r="H1558" s="1">
        <v>-8.6558839999999998E-7</v>
      </c>
      <c r="I1558">
        <v>282.5822</v>
      </c>
      <c r="J1558">
        <v>-206.95400000000001</v>
      </c>
      <c r="K1558">
        <v>1.1053919999999999</v>
      </c>
      <c r="L1558">
        <v>284.29820000000001</v>
      </c>
      <c r="M1558">
        <v>-0.96167400000000003</v>
      </c>
      <c r="N1558">
        <v>-1.277266E-2</v>
      </c>
      <c r="O1558">
        <v>-0.27389790000000003</v>
      </c>
      <c r="P1558">
        <v>-0.98689439999999995</v>
      </c>
      <c r="Q1558">
        <v>-3.109336E-2</v>
      </c>
      <c r="R1558">
        <v>-0.1583445</v>
      </c>
      <c r="S1558">
        <v>-3.0013429999999999</v>
      </c>
      <c r="T1558">
        <v>-0.1361656</v>
      </c>
      <c r="U1558">
        <v>-0.21862789999999999</v>
      </c>
      <c r="V1558">
        <v>0.1178486</v>
      </c>
      <c r="W1558">
        <v>-1.961384E-2</v>
      </c>
      <c r="X1558">
        <v>0.99283779999999999</v>
      </c>
      <c r="Y1558">
        <v>0.20292189999999999</v>
      </c>
      <c r="Z1558">
        <v>1.4609550000000001E-2</v>
      </c>
      <c r="AA1558">
        <v>0.97908589999999995</v>
      </c>
      <c r="AB1558">
        <v>24</v>
      </c>
      <c r="AC1558">
        <v>-24.1402</v>
      </c>
      <c r="AD1558">
        <v>-1.1053928655884</v>
      </c>
      <c r="AE1558">
        <v>-1.716</v>
      </c>
      <c r="AF1558">
        <v>4.9517914892594899</v>
      </c>
      <c r="AG1558">
        <v>-1.1053928655884</v>
      </c>
      <c r="AH1558">
        <v>23.637629165261799</v>
      </c>
      <c r="AI1558">
        <v>92.620631943869199</v>
      </c>
      <c r="AJ1558">
        <v>78.168339128117793</v>
      </c>
      <c r="AK1558">
        <v>24.1760138338567</v>
      </c>
      <c r="AL1558">
        <v>91.123862379215296</v>
      </c>
      <c r="AM1558">
        <v>83.230735958595702</v>
      </c>
      <c r="AN1558">
        <v>0.99999994617517096</v>
      </c>
    </row>
    <row r="1559" spans="1:40" x14ac:dyDescent="0.25">
      <c r="A1559" t="str">
        <f>"20190305135821643"</f>
        <v>20190305135821643</v>
      </c>
      <c r="B1559" t="str">
        <f>"1551765501640436"</f>
        <v>1551765501640436</v>
      </c>
      <c r="C1559" t="s">
        <v>40</v>
      </c>
      <c r="D1559">
        <v>4.1148119999999997</v>
      </c>
      <c r="E1559">
        <v>0.53477159999999901</v>
      </c>
      <c r="F1559" t="s">
        <v>59</v>
      </c>
      <c r="G1559">
        <v>-232.39519999999999</v>
      </c>
      <c r="H1559" s="1">
        <v>-1.73446E-7</v>
      </c>
      <c r="I1559">
        <v>282.58600000000001</v>
      </c>
      <c r="J1559">
        <v>-207.18969999999999</v>
      </c>
      <c r="K1559">
        <v>1.1052690000000001</v>
      </c>
      <c r="L1559">
        <v>284.23860000000002</v>
      </c>
      <c r="M1559">
        <v>-0.96344980000000002</v>
      </c>
      <c r="N1559">
        <v>-1.217421E-2</v>
      </c>
      <c r="O1559">
        <v>-0.26761259999999998</v>
      </c>
      <c r="P1559">
        <v>-0.98759059999999999</v>
      </c>
      <c r="Q1559">
        <v>-3.1208980000000001E-2</v>
      </c>
      <c r="R1559">
        <v>-0.15392049999999999</v>
      </c>
      <c r="S1559">
        <v>-3.0032960000000002</v>
      </c>
      <c r="T1559">
        <v>-0.13048979999999999</v>
      </c>
      <c r="U1559">
        <v>-0.20211789999999999</v>
      </c>
      <c r="V1559">
        <v>0.1158045</v>
      </c>
      <c r="W1559">
        <v>-2.030496E-2</v>
      </c>
      <c r="X1559">
        <v>0.99306450000000002</v>
      </c>
      <c r="Y1559">
        <v>0.20196510000000001</v>
      </c>
      <c r="Z1559">
        <v>1.3796249999999999E-2</v>
      </c>
      <c r="AA1559">
        <v>0.97929560000000004</v>
      </c>
      <c r="AB1559">
        <v>24</v>
      </c>
      <c r="AC1559">
        <v>-25.205500000000001</v>
      </c>
      <c r="AD1559">
        <v>-1.1052691734460001</v>
      </c>
      <c r="AE1559">
        <v>-1.6526000000000001</v>
      </c>
      <c r="AF1559">
        <v>5.1436454434104402</v>
      </c>
      <c r="AG1559">
        <v>-1.1052691734460001</v>
      </c>
      <c r="AH1559">
        <v>24.681065366273</v>
      </c>
      <c r="AI1559">
        <v>92.510247940650302</v>
      </c>
      <c r="AJ1559">
        <v>78.227802396413594</v>
      </c>
      <c r="AK1559">
        <v>25.2355641111414</v>
      </c>
      <c r="AL1559">
        <v>91.163468425021804</v>
      </c>
      <c r="AM1559">
        <v>83.348593217540994</v>
      </c>
      <c r="AN1559">
        <v>1.00000003739055</v>
      </c>
    </row>
    <row r="1560" spans="1:40" x14ac:dyDescent="0.25">
      <c r="A1560" t="str">
        <f>"20190305135821667"</f>
        <v>20190305135821667</v>
      </c>
      <c r="B1560" t="str">
        <f>"1551765501659955"</f>
        <v>1551765501659955</v>
      </c>
      <c r="C1560" t="s">
        <v>40</v>
      </c>
      <c r="D1560">
        <v>4.1334220000000004</v>
      </c>
      <c r="E1560">
        <v>0.53504719999999995</v>
      </c>
      <c r="F1560" t="s">
        <v>59</v>
      </c>
      <c r="G1560">
        <v>-232.95599999999999</v>
      </c>
      <c r="H1560" s="1">
        <v>1.212359E-7</v>
      </c>
      <c r="I1560">
        <v>282.67259999999999</v>
      </c>
      <c r="J1560">
        <v>-207.4511</v>
      </c>
      <c r="K1560">
        <v>1.1051530000000001</v>
      </c>
      <c r="L1560">
        <v>284.17430000000002</v>
      </c>
      <c r="M1560">
        <v>-0.96537569999999995</v>
      </c>
      <c r="N1560">
        <v>-1.152894E-2</v>
      </c>
      <c r="O1560">
        <v>-0.26060870000000003</v>
      </c>
      <c r="P1560">
        <v>-0.98827670000000001</v>
      </c>
      <c r="Q1560">
        <v>-3.2201029999999999E-2</v>
      </c>
      <c r="R1560">
        <v>-0.1492396</v>
      </c>
      <c r="S1560">
        <v>-3.005188</v>
      </c>
      <c r="T1560">
        <v>-0.12890989999999999</v>
      </c>
      <c r="U1560">
        <v>-0.1826477</v>
      </c>
      <c r="V1560">
        <v>0.1132697</v>
      </c>
      <c r="W1560">
        <v>-2.191564E-2</v>
      </c>
      <c r="X1560">
        <v>0.99332259999999994</v>
      </c>
      <c r="Y1560">
        <v>0.20122190000000001</v>
      </c>
      <c r="Z1560">
        <v>1.3481760000000001E-2</v>
      </c>
      <c r="AA1560">
        <v>0.97945289999999996</v>
      </c>
      <c r="AB1560">
        <v>24</v>
      </c>
      <c r="AC1560">
        <v>-25.5048999999999</v>
      </c>
      <c r="AD1560">
        <v>-1.1051528787641001</v>
      </c>
      <c r="AE1560">
        <v>-1.50170000000002</v>
      </c>
      <c r="AF1560">
        <v>5.1877327192761102</v>
      </c>
      <c r="AG1560">
        <v>-1.1051528787641001</v>
      </c>
      <c r="AH1560">
        <v>24.968111044596</v>
      </c>
      <c r="AI1560">
        <v>92.4814759025803</v>
      </c>
      <c r="AJ1560">
        <v>78.262410335326905</v>
      </c>
      <c r="AK1560">
        <v>25.525291433936001</v>
      </c>
      <c r="AL1560">
        <v>91.255774146997595</v>
      </c>
      <c r="AM1560">
        <v>83.494597120528795</v>
      </c>
      <c r="AN1560">
        <v>1.0000000539427201</v>
      </c>
    </row>
    <row r="1561" spans="1:40" x14ac:dyDescent="0.25">
      <c r="A1561" t="str">
        <f>"20190305135821689"</f>
        <v>20190305135821689</v>
      </c>
      <c r="B1561" t="str">
        <f>"1551765501680452"</f>
        <v>1551765501680452</v>
      </c>
      <c r="C1561" t="s">
        <v>40</v>
      </c>
      <c r="D1561">
        <v>4.1534779999999998</v>
      </c>
      <c r="E1561">
        <v>0.53510059999999904</v>
      </c>
      <c r="F1561" t="s">
        <v>59</v>
      </c>
      <c r="G1561">
        <v>-232.9222</v>
      </c>
      <c r="H1561" s="1">
        <v>9.9210530000000003E-8</v>
      </c>
      <c r="I1561">
        <v>282.76479999999998</v>
      </c>
      <c r="J1561">
        <v>-207.69479999999999</v>
      </c>
      <c r="K1561">
        <v>1.1050390000000001</v>
      </c>
      <c r="L1561">
        <v>284.11599999999999</v>
      </c>
      <c r="M1561">
        <v>-0.96712450000000005</v>
      </c>
      <c r="N1561">
        <v>-1.0947500000000001E-2</v>
      </c>
      <c r="O1561">
        <v>-0.25406849999999997</v>
      </c>
      <c r="P1561">
        <v>-0.98881189999999997</v>
      </c>
      <c r="Q1561">
        <v>-3.3618049999999997E-2</v>
      </c>
      <c r="R1561">
        <v>-0.14533109999999999</v>
      </c>
      <c r="S1561">
        <v>-3.0062259999999998</v>
      </c>
      <c r="T1561">
        <v>-0.1304353</v>
      </c>
      <c r="U1561">
        <v>-0.16635129999999901</v>
      </c>
      <c r="V1561">
        <v>0.1104376</v>
      </c>
      <c r="W1561">
        <v>-2.388827E-2</v>
      </c>
      <c r="X1561">
        <v>0.99359600000000003</v>
      </c>
      <c r="Y1561">
        <v>0.19989560000000001</v>
      </c>
      <c r="Z1561">
        <v>1.3519349999999999E-2</v>
      </c>
      <c r="AA1561">
        <v>0.97972389999999998</v>
      </c>
      <c r="AB1561">
        <v>25</v>
      </c>
      <c r="AC1561">
        <v>-25.227399999999999</v>
      </c>
      <c r="AD1561">
        <v>-1.1050389007894701</v>
      </c>
      <c r="AE1561">
        <v>-1.3512</v>
      </c>
      <c r="AF1561">
        <v>5.0932691386976296</v>
      </c>
      <c r="AG1561">
        <v>-1.1050389007894701</v>
      </c>
      <c r="AH1561">
        <v>24.695562975559699</v>
      </c>
      <c r="AI1561">
        <v>92.509331082358798</v>
      </c>
      <c r="AJ1561">
        <v>78.346583857461695</v>
      </c>
      <c r="AK1561">
        <v>25.2395192539656</v>
      </c>
      <c r="AL1561">
        <v>91.368827173688103</v>
      </c>
      <c r="AM1561">
        <v>83.657641181866097</v>
      </c>
      <c r="AN1561">
        <v>1.00000006207667</v>
      </c>
    </row>
    <row r="1562" spans="1:40" x14ac:dyDescent="0.25">
      <c r="A1562" t="str">
        <f>"20190305135821710"</f>
        <v>20190305135821710</v>
      </c>
      <c r="B1562" t="str">
        <f>"1551765501699975"</f>
        <v>1551765501699975</v>
      </c>
      <c r="C1562" t="s">
        <v>40</v>
      </c>
      <c r="D1562">
        <v>4.1280359999999998</v>
      </c>
      <c r="E1562">
        <v>0.53509969999999996</v>
      </c>
      <c r="F1562" t="s">
        <v>59</v>
      </c>
      <c r="G1562">
        <v>-232.5324</v>
      </c>
      <c r="H1562" s="1">
        <v>-1.116912E-7</v>
      </c>
      <c r="I1562">
        <v>282.84390000000002</v>
      </c>
      <c r="J1562">
        <v>-207.9212</v>
      </c>
      <c r="K1562">
        <v>1.1049329999999999</v>
      </c>
      <c r="L1562">
        <v>284.0634</v>
      </c>
      <c r="M1562">
        <v>-0.96870489999999998</v>
      </c>
      <c r="N1562">
        <v>-1.043237E-2</v>
      </c>
      <c r="O1562">
        <v>-0.24799660000000001</v>
      </c>
      <c r="P1562">
        <v>-0.98925909999999995</v>
      </c>
      <c r="Q1562">
        <v>-3.382491E-2</v>
      </c>
      <c r="R1562">
        <v>-0.1422062</v>
      </c>
      <c r="S1562">
        <v>-3.0067599999999999</v>
      </c>
      <c r="T1562">
        <v>-0.1337721</v>
      </c>
      <c r="U1562">
        <v>-0.15399170000000001</v>
      </c>
      <c r="V1562">
        <v>0.1073311</v>
      </c>
      <c r="W1562">
        <v>-2.4583750000000001E-2</v>
      </c>
      <c r="X1562">
        <v>0.99391940000000001</v>
      </c>
      <c r="Y1562">
        <v>0.19775680000000001</v>
      </c>
      <c r="Z1562">
        <v>1.373366E-2</v>
      </c>
      <c r="AA1562">
        <v>0.98015490000000005</v>
      </c>
      <c r="AB1562">
        <v>25</v>
      </c>
      <c r="AC1562">
        <v>-24.6112</v>
      </c>
      <c r="AD1562">
        <v>-1.1049331116912</v>
      </c>
      <c r="AE1562">
        <v>-1.21949999999998</v>
      </c>
      <c r="AF1562">
        <v>4.9125478266706697</v>
      </c>
      <c r="AG1562">
        <v>-1.1049331116912</v>
      </c>
      <c r="AH1562">
        <v>24.096282075000701</v>
      </c>
      <c r="AI1562">
        <v>92.572608423130603</v>
      </c>
      <c r="AJ1562">
        <v>78.476932077711794</v>
      </c>
      <c r="AK1562">
        <v>24.616758786823201</v>
      </c>
      <c r="AL1562">
        <v>91.4086869663507</v>
      </c>
      <c r="AM1562">
        <v>83.836642460936403</v>
      </c>
      <c r="AN1562">
        <v>1.00000004974381</v>
      </c>
    </row>
    <row r="1563" spans="1:40" x14ac:dyDescent="0.25">
      <c r="A1563" t="str">
        <f>"20190305135821733"</f>
        <v>20190305135821733</v>
      </c>
      <c r="B1563" t="str">
        <f>"1551765501730228"</f>
        <v>1551765501730228</v>
      </c>
      <c r="C1563" t="s">
        <v>40</v>
      </c>
      <c r="D1563">
        <v>4.1817500000000001</v>
      </c>
      <c r="E1563">
        <v>0.53507179999999999</v>
      </c>
      <c r="F1563" t="s">
        <v>59</v>
      </c>
      <c r="G1563">
        <v>-232.8937</v>
      </c>
      <c r="H1563" s="1">
        <v>7.9689639999999999E-8</v>
      </c>
      <c r="I1563">
        <v>282.86360000000002</v>
      </c>
      <c r="J1563">
        <v>-208.172</v>
      </c>
      <c r="K1563">
        <v>1.104816</v>
      </c>
      <c r="L1563">
        <v>284.00670000000002</v>
      </c>
      <c r="M1563">
        <v>-0.97040510000000002</v>
      </c>
      <c r="N1563">
        <v>-9.8859359999999997E-3</v>
      </c>
      <c r="O1563">
        <v>-0.24128069999999999</v>
      </c>
      <c r="P1563">
        <v>-0.98985909999999999</v>
      </c>
      <c r="Q1563">
        <v>-3.2539129999999999E-2</v>
      </c>
      <c r="R1563">
        <v>-0.1382767</v>
      </c>
      <c r="S1563">
        <v>-3.0072480000000001</v>
      </c>
      <c r="T1563">
        <v>-0.13305890000000001</v>
      </c>
      <c r="U1563">
        <v>-0.14447019999999999</v>
      </c>
      <c r="V1563">
        <v>0.104407399999999</v>
      </c>
      <c r="W1563">
        <v>-2.3822139999999999E-2</v>
      </c>
      <c r="X1563">
        <v>0.9942493</v>
      </c>
      <c r="Y1563">
        <v>0.19407840000000001</v>
      </c>
      <c r="Z1563">
        <v>1.341409E-2</v>
      </c>
      <c r="AA1563">
        <v>0.9808943</v>
      </c>
      <c r="AB1563">
        <v>25</v>
      </c>
      <c r="AC1563">
        <v>-24.721699999999998</v>
      </c>
      <c r="AD1563">
        <v>-1.10481592031036</v>
      </c>
      <c r="AE1563">
        <v>-1.1431</v>
      </c>
      <c r="AF1563">
        <v>4.8461777256462302</v>
      </c>
      <c r="AG1563">
        <v>-1.10481592031036</v>
      </c>
      <c r="AH1563">
        <v>24.218788822982098</v>
      </c>
      <c r="AI1563">
        <v>92.561213074845199</v>
      </c>
      <c r="AJ1563">
        <v>78.684562784826298</v>
      </c>
      <c r="AK1563">
        <v>24.7235877011918</v>
      </c>
      <c r="AL1563">
        <v>91.365037162380602</v>
      </c>
      <c r="AM1563">
        <v>84.005267326005495</v>
      </c>
      <c r="AN1563">
        <v>1.00000003503971</v>
      </c>
    </row>
    <row r="1564" spans="1:40" x14ac:dyDescent="0.25">
      <c r="A1564" t="str">
        <f>"20190305135821754"</f>
        <v>20190305135821754</v>
      </c>
      <c r="B1564" t="str">
        <f>"1551765501750724"</f>
        <v>1551765501750724</v>
      </c>
      <c r="C1564" t="s">
        <v>40</v>
      </c>
      <c r="D1564">
        <v>4.147106</v>
      </c>
      <c r="E1564">
        <v>0.53484909999999997</v>
      </c>
      <c r="F1564" t="s">
        <v>59</v>
      </c>
      <c r="G1564">
        <v>-234.0359</v>
      </c>
      <c r="H1564" s="1">
        <v>6.8755899999999896E-7</v>
      </c>
      <c r="I1564">
        <v>282.86340000000001</v>
      </c>
      <c r="J1564">
        <v>-208.40369999999999</v>
      </c>
      <c r="K1564">
        <v>1.1047149999999999</v>
      </c>
      <c r="L1564">
        <v>283.95609999999999</v>
      </c>
      <c r="M1564">
        <v>-0.97193169999999995</v>
      </c>
      <c r="N1564">
        <v>-9.3879849999999997E-3</v>
      </c>
      <c r="O1564">
        <v>-0.23507639999999999</v>
      </c>
      <c r="P1564">
        <v>-0.99036380000000002</v>
      </c>
      <c r="Q1564">
        <v>-3.053958E-2</v>
      </c>
      <c r="R1564">
        <v>-0.13508290000000001</v>
      </c>
      <c r="S1564">
        <v>-3.0079500000000001</v>
      </c>
      <c r="T1564">
        <v>-0.12848889999999999</v>
      </c>
      <c r="U1564">
        <v>-0.1329651</v>
      </c>
      <c r="V1564">
        <v>0.1012902</v>
      </c>
      <c r="W1564">
        <v>-2.2294379999999999E-2</v>
      </c>
      <c r="X1564">
        <v>0.99460709999999997</v>
      </c>
      <c r="Y1564">
        <v>0.19159499999999999</v>
      </c>
      <c r="Z1564">
        <v>1.2712799999999899E-2</v>
      </c>
      <c r="AA1564">
        <v>0.98139169999999998</v>
      </c>
      <c r="AB1564">
        <v>25</v>
      </c>
      <c r="AC1564">
        <v>-25.632200000000001</v>
      </c>
      <c r="AD1564">
        <v>-1.1047143124409999</v>
      </c>
      <c r="AE1564">
        <v>-1.09269999999997</v>
      </c>
      <c r="AF1564">
        <v>4.95452725737956</v>
      </c>
      <c r="AG1564">
        <v>-1.1047143124409999</v>
      </c>
      <c r="AH1564">
        <v>25.124138073102198</v>
      </c>
      <c r="AI1564">
        <v>92.470175235519605</v>
      </c>
      <c r="AJ1564">
        <v>78.844304452097603</v>
      </c>
      <c r="AK1564">
        <v>25.631817102432102</v>
      </c>
      <c r="AL1564">
        <v>91.277479704573295</v>
      </c>
      <c r="AM1564">
        <v>84.185079031811895</v>
      </c>
      <c r="AN1564">
        <v>1.0000000136830101</v>
      </c>
    </row>
    <row r="1565" spans="1:40" x14ac:dyDescent="0.25">
      <c r="A1565" t="str">
        <f>"20190305135821777"</f>
        <v>20190305135821777</v>
      </c>
      <c r="B1565" t="str">
        <f>"1551765501770244"</f>
        <v>1551765501770244</v>
      </c>
      <c r="C1565" t="s">
        <v>40</v>
      </c>
      <c r="D1565">
        <v>4.1131699999999896</v>
      </c>
      <c r="E1565">
        <v>0.53457500000000002</v>
      </c>
      <c r="F1565" t="s">
        <v>59</v>
      </c>
      <c r="G1565">
        <v>-235.1738</v>
      </c>
      <c r="H1565" s="1">
        <v>1.293806E-6</v>
      </c>
      <c r="I1565">
        <v>282.84699999999998</v>
      </c>
      <c r="J1565">
        <v>-208.65309999999999</v>
      </c>
      <c r="K1565">
        <v>1.1046100000000001</v>
      </c>
      <c r="L1565">
        <v>283.90320000000003</v>
      </c>
      <c r="M1565">
        <v>-0.97352810000000001</v>
      </c>
      <c r="N1565">
        <v>-8.8476470000000002E-3</v>
      </c>
      <c r="O1565">
        <v>-0.22839670000000001</v>
      </c>
      <c r="P1565">
        <v>-0.99079819999999996</v>
      </c>
      <c r="Q1565">
        <v>-2.8609099999999998E-2</v>
      </c>
      <c r="R1565">
        <v>-0.132291299999999</v>
      </c>
      <c r="S1565">
        <v>-3.0083769999999999</v>
      </c>
      <c r="T1565">
        <v>-0.124145699999999</v>
      </c>
      <c r="U1565">
        <v>-0.1246338</v>
      </c>
      <c r="V1565">
        <v>9.7288250000000007E-2</v>
      </c>
      <c r="W1565">
        <v>-2.0866800000000001E-2</v>
      </c>
      <c r="X1565">
        <v>0.99503750000000002</v>
      </c>
      <c r="Y1565">
        <v>0.18760109999999999</v>
      </c>
      <c r="Z1565">
        <v>1.2005999999999999E-2</v>
      </c>
      <c r="AA1565">
        <v>0.98217200000000005</v>
      </c>
      <c r="AB1565">
        <v>25</v>
      </c>
      <c r="AC1565">
        <v>-26.520700000000001</v>
      </c>
      <c r="AD1565">
        <v>-1.104608706194</v>
      </c>
      <c r="AE1565">
        <v>-1.05620000000004</v>
      </c>
      <c r="AF1565">
        <v>5.0205003668158303</v>
      </c>
      <c r="AG1565">
        <v>-1.104608706194</v>
      </c>
      <c r="AH1565">
        <v>26.015834941628</v>
      </c>
      <c r="AI1565">
        <v>92.387273189283107</v>
      </c>
      <c r="AJ1565">
        <v>79.077406245491304</v>
      </c>
      <c r="AK1565">
        <v>26.518847109877001</v>
      </c>
      <c r="AL1565">
        <v>91.195666320933</v>
      </c>
      <c r="AM1565">
        <v>84.415743295786996</v>
      </c>
      <c r="AN1565">
        <v>1.00000002666827</v>
      </c>
    </row>
    <row r="1566" spans="1:40" x14ac:dyDescent="0.25">
      <c r="A1566" t="str">
        <f>"20190305135821799"</f>
        <v>20190305135821799</v>
      </c>
      <c r="B1566" t="str">
        <f>"1551765501790740"</f>
        <v>1551765501790740</v>
      </c>
      <c r="C1566" t="s">
        <v>40</v>
      </c>
      <c r="D1566">
        <v>4.1368019999999897</v>
      </c>
      <c r="E1566">
        <v>0.534354</v>
      </c>
      <c r="F1566" t="s">
        <v>59</v>
      </c>
      <c r="G1566">
        <v>-236.66569999999999</v>
      </c>
      <c r="H1566" s="1">
        <v>2.0896330000000001E-6</v>
      </c>
      <c r="I1566">
        <v>282.803</v>
      </c>
      <c r="J1566">
        <v>-208.91200000000001</v>
      </c>
      <c r="K1566">
        <v>1.104511</v>
      </c>
      <c r="L1566">
        <v>283.85019999999997</v>
      </c>
      <c r="M1566">
        <v>-0.97513229999999995</v>
      </c>
      <c r="N1566">
        <v>-8.2801880000000008E-3</v>
      </c>
      <c r="O1566">
        <v>-0.22146930000000001</v>
      </c>
      <c r="P1566">
        <v>-0.99109669999999905</v>
      </c>
      <c r="Q1566">
        <v>-2.660883E-2</v>
      </c>
      <c r="R1566">
        <v>-0.13045909999999999</v>
      </c>
      <c r="S1566">
        <v>-3.008667</v>
      </c>
      <c r="T1566">
        <v>-0.11863949999999999</v>
      </c>
      <c r="U1566">
        <v>-0.11816409999999999</v>
      </c>
      <c r="V1566">
        <v>9.2078060000000003E-2</v>
      </c>
      <c r="W1566">
        <v>-1.9380020000000001E-2</v>
      </c>
      <c r="X1566">
        <v>0.99556319999999998</v>
      </c>
      <c r="Y1566">
        <v>0.1827608</v>
      </c>
      <c r="Z1566">
        <v>1.1173809999999999E-2</v>
      </c>
      <c r="AA1566">
        <v>0.98309389999999997</v>
      </c>
      <c r="AB1566">
        <v>25</v>
      </c>
      <c r="AC1566">
        <v>-27.753699999999899</v>
      </c>
      <c r="AD1566">
        <v>-1.1045089103670001</v>
      </c>
      <c r="AE1566">
        <v>-1.0471999999999699</v>
      </c>
      <c r="AF1566">
        <v>5.1175155989808596</v>
      </c>
      <c r="AG1566">
        <v>-1.1045089103670001</v>
      </c>
      <c r="AH1566">
        <v>27.253282769414401</v>
      </c>
      <c r="AI1566">
        <v>92.280966077035004</v>
      </c>
      <c r="AJ1566">
        <v>79.365062474687093</v>
      </c>
      <c r="AK1566">
        <v>27.751582433233501</v>
      </c>
      <c r="AL1566">
        <v>91.110462850573896</v>
      </c>
      <c r="AM1566">
        <v>84.715837185552104</v>
      </c>
      <c r="AN1566">
        <v>1.0000000197514001</v>
      </c>
    </row>
    <row r="1567" spans="1:40" x14ac:dyDescent="0.25">
      <c r="A1567" t="str">
        <f>"20190305135821821"</f>
        <v>20190305135821821</v>
      </c>
      <c r="B1567" t="str">
        <f>"1551765501810260"</f>
        <v>1551765501810260</v>
      </c>
      <c r="C1567" t="s">
        <v>40</v>
      </c>
      <c r="D1567">
        <v>4.1554039999999999</v>
      </c>
      <c r="E1567">
        <v>0.53412720000000002</v>
      </c>
      <c r="F1567" t="s">
        <v>59</v>
      </c>
      <c r="G1567">
        <v>-238.1583</v>
      </c>
      <c r="H1567" s="1">
        <v>2.8866169999999999E-6</v>
      </c>
      <c r="I1567">
        <v>282.74130000000002</v>
      </c>
      <c r="J1567">
        <v>-209.1628</v>
      </c>
      <c r="K1567">
        <v>1.1044160000000001</v>
      </c>
      <c r="L1567">
        <v>283.80059999999997</v>
      </c>
      <c r="M1567">
        <v>-0.97663230000000001</v>
      </c>
      <c r="N1567">
        <v>-7.735965E-3</v>
      </c>
      <c r="O1567">
        <v>-0.21477830000000001</v>
      </c>
      <c r="P1567">
        <v>-0.99130569999999896</v>
      </c>
      <c r="Q1567">
        <v>-2.4294900000000001E-2</v>
      </c>
      <c r="R1567">
        <v>-0.12931769999999901</v>
      </c>
      <c r="S1567">
        <v>-3.0088650000000001</v>
      </c>
      <c r="T1567">
        <v>-0.11363180000000001</v>
      </c>
      <c r="U1567">
        <v>-0.1140747</v>
      </c>
      <c r="V1567">
        <v>8.6428630000000006E-2</v>
      </c>
      <c r="W1567">
        <v>-1.7548620000000001E-2</v>
      </c>
      <c r="X1567">
        <v>0.99610350000000003</v>
      </c>
      <c r="Y1567">
        <v>0.17738289999999901</v>
      </c>
      <c r="Z1567">
        <v>1.0411149999999999E-2</v>
      </c>
      <c r="AA1567">
        <v>0.98408689999999999</v>
      </c>
      <c r="AB1567">
        <v>25</v>
      </c>
      <c r="AC1567">
        <v>-28.9955</v>
      </c>
      <c r="AD1567">
        <v>-1.104413113383</v>
      </c>
      <c r="AE1567">
        <v>-1.0592999999999499</v>
      </c>
      <c r="AF1567">
        <v>5.1856991597673696</v>
      </c>
      <c r="AG1567">
        <v>-1.104413113383</v>
      </c>
      <c r="AH1567">
        <v>28.505008256303402</v>
      </c>
      <c r="AI1567">
        <v>92.182993835738898</v>
      </c>
      <c r="AJ1567">
        <v>79.689374144909493</v>
      </c>
      <c r="AK1567">
        <v>28.993907977238099</v>
      </c>
      <c r="AL1567">
        <v>91.005513452886902</v>
      </c>
      <c r="AM1567">
        <v>85.041052873281899</v>
      </c>
      <c r="AN1567">
        <v>1.0000000224299099</v>
      </c>
    </row>
    <row r="1568" spans="1:40" x14ac:dyDescent="0.25">
      <c r="A1568" t="str">
        <f>"20190305135821844"</f>
        <v>20190305135821844</v>
      </c>
      <c r="B1568" t="str">
        <f>"1551765501840516"</f>
        <v>1551765501840516</v>
      </c>
      <c r="C1568" t="s">
        <v>40</v>
      </c>
      <c r="D1568">
        <v>4.1368739999999997</v>
      </c>
      <c r="E1568">
        <v>0.53389299999999995</v>
      </c>
      <c r="F1568" t="s">
        <v>59</v>
      </c>
      <c r="G1568">
        <v>-239.8845</v>
      </c>
      <c r="H1568" s="1">
        <v>3.809066E-6</v>
      </c>
      <c r="I1568">
        <v>282.65339999999998</v>
      </c>
      <c r="J1568">
        <v>-209.4153</v>
      </c>
      <c r="K1568">
        <v>1.1043320000000001</v>
      </c>
      <c r="L1568">
        <v>283.75240000000002</v>
      </c>
      <c r="M1568">
        <v>-0.97808640000000002</v>
      </c>
      <c r="N1568">
        <v>-7.2129339999999998E-3</v>
      </c>
      <c r="O1568">
        <v>-0.20807439999999999</v>
      </c>
      <c r="P1568">
        <v>-0.99165809999999999</v>
      </c>
      <c r="Q1568">
        <v>-2.146963E-2</v>
      </c>
      <c r="R1568">
        <v>-0.1270955</v>
      </c>
      <c r="S1568">
        <v>-3.0089869999999999</v>
      </c>
      <c r="T1568">
        <v>-0.10816969999999999</v>
      </c>
      <c r="U1568">
        <v>-0.1123657</v>
      </c>
      <c r="V1568">
        <v>8.1865960000000002E-2</v>
      </c>
      <c r="W1568">
        <v>-1.519675E-2</v>
      </c>
      <c r="X1568">
        <v>0.99652750000000001</v>
      </c>
      <c r="Y1568">
        <v>0.17121810000000001</v>
      </c>
      <c r="Z1568">
        <v>9.6101559999999999E-3</v>
      </c>
      <c r="AA1568">
        <v>0.98518629999999996</v>
      </c>
      <c r="AB1568">
        <v>25</v>
      </c>
      <c r="AC1568">
        <v>-30.469200000000001</v>
      </c>
      <c r="AD1568">
        <v>-1.1043281909339999</v>
      </c>
      <c r="AE1568">
        <v>-1.0990000000000399</v>
      </c>
      <c r="AF1568">
        <v>5.2581821997111398</v>
      </c>
      <c r="AG1568">
        <v>-1.1043281909339999</v>
      </c>
      <c r="AH1568">
        <v>29.9916184883371</v>
      </c>
      <c r="AI1568">
        <v>92.077095646379206</v>
      </c>
      <c r="AJ1568">
        <v>80.055869902231294</v>
      </c>
      <c r="AK1568">
        <v>30.469085978227401</v>
      </c>
      <c r="AL1568">
        <v>90.870743139404297</v>
      </c>
      <c r="AM1568">
        <v>85.303627282621704</v>
      </c>
      <c r="AN1568">
        <v>1.00000001743676</v>
      </c>
    </row>
    <row r="1569" spans="1:40" x14ac:dyDescent="0.25">
      <c r="A1569" t="str">
        <f>"20190305135821868"</f>
        <v>20190305135821868</v>
      </c>
      <c r="B1569" t="str">
        <f>"1551765501860088"</f>
        <v>1551765501860088</v>
      </c>
      <c r="C1569" t="s">
        <v>40</v>
      </c>
      <c r="D1569">
        <v>4.0888929999999997</v>
      </c>
      <c r="E1569">
        <v>0.53388669999999905</v>
      </c>
      <c r="F1569" t="s">
        <v>59</v>
      </c>
      <c r="G1569">
        <v>-242.1549</v>
      </c>
      <c r="H1569" s="1">
        <v>-3.9008029999999999E-7</v>
      </c>
      <c r="I1569">
        <v>282.58139999999997</v>
      </c>
      <c r="J1569">
        <v>-209.7</v>
      </c>
      <c r="K1569">
        <v>1.1042379999999901</v>
      </c>
      <c r="L1569">
        <v>283.7</v>
      </c>
      <c r="M1569">
        <v>-0.97965440000000004</v>
      </c>
      <c r="N1569">
        <v>-6.6592639999999998E-3</v>
      </c>
      <c r="O1569">
        <v>-0.20058200000000001</v>
      </c>
      <c r="P1569">
        <v>-0.99253080000000005</v>
      </c>
      <c r="Q1569">
        <v>-2.071506E-2</v>
      </c>
      <c r="R1569">
        <v>-0.12022330000000001</v>
      </c>
      <c r="S1569">
        <v>-3.0092620000000001</v>
      </c>
      <c r="T1569">
        <v>-0.10150480000000001</v>
      </c>
      <c r="U1569">
        <v>-0.1076355</v>
      </c>
      <c r="V1569">
        <v>8.114499E-2</v>
      </c>
      <c r="W1569">
        <v>-1.4991269999999999E-2</v>
      </c>
      <c r="X1569">
        <v>0.99658950000000002</v>
      </c>
      <c r="Y1569">
        <v>0.1652554</v>
      </c>
      <c r="Z1569">
        <v>8.7138990000000006E-3</v>
      </c>
      <c r="AA1569">
        <v>0.98621230000000004</v>
      </c>
      <c r="AB1569">
        <v>26</v>
      </c>
      <c r="AC1569">
        <v>-32.454900000000002</v>
      </c>
      <c r="AD1569">
        <v>-1.1042383900802999</v>
      </c>
      <c r="AE1569">
        <v>-1.11860000000001</v>
      </c>
      <c r="AF1569">
        <v>5.40789392605127</v>
      </c>
      <c r="AG1569">
        <v>-1.1042383900802999</v>
      </c>
      <c r="AH1569">
        <v>31.982683149973798</v>
      </c>
      <c r="AI1569">
        <v>91.949761861517899</v>
      </c>
      <c r="AJ1569">
        <v>80.402737913169105</v>
      </c>
      <c r="AK1569">
        <v>32.4554568695184</v>
      </c>
      <c r="AL1569">
        <v>90.858968728365696</v>
      </c>
      <c r="AM1569">
        <v>85.345092645324399</v>
      </c>
      <c r="AN1569">
        <v>0.99999993954427902</v>
      </c>
    </row>
    <row r="1570" spans="1:40" x14ac:dyDescent="0.25">
      <c r="A1570" t="str">
        <f>"20190305135821892"</f>
        <v>20190305135821892</v>
      </c>
      <c r="B1570" t="str">
        <f>"1551765501880584"</f>
        <v>1551765501880584</v>
      </c>
      <c r="C1570" t="s">
        <v>40</v>
      </c>
      <c r="D1570">
        <v>4.0866680000000004</v>
      </c>
      <c r="E1570">
        <v>0.53380760000000005</v>
      </c>
      <c r="F1570" t="s">
        <v>59</v>
      </c>
      <c r="G1570">
        <v>-242.79150000000001</v>
      </c>
      <c r="H1570" s="1">
        <v>-5.1293449999999999E-8</v>
      </c>
      <c r="I1570">
        <v>282.74380000000002</v>
      </c>
      <c r="J1570">
        <v>-209.96549999999999</v>
      </c>
      <c r="K1570">
        <v>1.1041529999999999</v>
      </c>
      <c r="L1570">
        <v>283.65309999999999</v>
      </c>
      <c r="M1570">
        <v>-0.9810449</v>
      </c>
      <c r="N1570">
        <v>-6.1806059999999999E-3</v>
      </c>
      <c r="O1570">
        <v>-0.19368170000000001</v>
      </c>
      <c r="P1570">
        <v>-0.9929441</v>
      </c>
      <c r="Q1570">
        <v>-2.344771E-2</v>
      </c>
      <c r="R1570">
        <v>-0.1162427</v>
      </c>
      <c r="S1570">
        <v>-3.0099640000000001</v>
      </c>
      <c r="T1570">
        <v>-0.1004403</v>
      </c>
      <c r="U1570">
        <v>-8.69751E-2</v>
      </c>
      <c r="V1570">
        <v>7.8077480000000005E-2</v>
      </c>
      <c r="W1570">
        <v>-1.8169000000000001E-2</v>
      </c>
      <c r="X1570">
        <v>0.99678169999999999</v>
      </c>
      <c r="Y1570">
        <v>0.16508900000000001</v>
      </c>
      <c r="Z1570">
        <v>8.4849219999999902E-3</v>
      </c>
      <c r="AA1570">
        <v>0.98624219999999896</v>
      </c>
      <c r="AB1570">
        <v>26</v>
      </c>
      <c r="AC1570">
        <v>-32.826000000000001</v>
      </c>
      <c r="AD1570">
        <v>-1.1041530512934501</v>
      </c>
      <c r="AE1570">
        <v>-0.90929999999997302</v>
      </c>
      <c r="AF1570">
        <v>5.4596636184217999</v>
      </c>
      <c r="AG1570">
        <v>-1.1041530512934501</v>
      </c>
      <c r="AH1570">
        <v>32.3439483746047</v>
      </c>
      <c r="AI1570">
        <v>91.927942807341594</v>
      </c>
      <c r="AJ1570">
        <v>80.418782794388804</v>
      </c>
      <c r="AK1570">
        <v>32.820086490533399</v>
      </c>
      <c r="AL1570">
        <v>91.041064320712906</v>
      </c>
      <c r="AM1570">
        <v>85.521191342623396</v>
      </c>
      <c r="AN1570">
        <v>0.99999998144951996</v>
      </c>
    </row>
    <row r="1571" spans="1:40" x14ac:dyDescent="0.25">
      <c r="A1571" t="str">
        <f>"20190305135821913"</f>
        <v>20190305135821913</v>
      </c>
      <c r="B1571" t="str">
        <f>"1551765501909864"</f>
        <v>1551765501909864</v>
      </c>
      <c r="C1571" t="s">
        <v>40</v>
      </c>
      <c r="D1571">
        <v>4.1086619999999998</v>
      </c>
      <c r="E1571">
        <v>0.53379200000000004</v>
      </c>
      <c r="F1571" t="s">
        <v>59</v>
      </c>
      <c r="G1571">
        <v>-240.2148</v>
      </c>
      <c r="H1571" s="1">
        <v>-1.422511E-6</v>
      </c>
      <c r="I1571">
        <v>282.89370000000002</v>
      </c>
      <c r="J1571">
        <v>-210.21440000000001</v>
      </c>
      <c r="K1571">
        <v>1.104088</v>
      </c>
      <c r="L1571">
        <v>283.61070000000001</v>
      </c>
      <c r="M1571">
        <v>-0.98228289999999996</v>
      </c>
      <c r="N1571">
        <v>-5.771066E-3</v>
      </c>
      <c r="O1571">
        <v>-0.18731510000000001</v>
      </c>
      <c r="P1571">
        <v>-0.99311300000000002</v>
      </c>
      <c r="Q1571">
        <v>-2.7706270000000002E-2</v>
      </c>
      <c r="R1571">
        <v>-0.1138372</v>
      </c>
      <c r="S1571">
        <v>-3.0098880000000001</v>
      </c>
      <c r="T1571">
        <v>-0.1098667</v>
      </c>
      <c r="U1571">
        <v>-7.5561519999999993E-2</v>
      </c>
      <c r="V1571">
        <v>7.3953459999999999E-2</v>
      </c>
      <c r="W1571">
        <v>-2.2789179999999999E-2</v>
      </c>
      <c r="X1571">
        <v>0.99700129999999998</v>
      </c>
      <c r="Y1571">
        <v>0.16239489999999901</v>
      </c>
      <c r="Z1571">
        <v>9.1447400000000002E-3</v>
      </c>
      <c r="AA1571">
        <v>0.98668350000000005</v>
      </c>
      <c r="AB1571">
        <v>26</v>
      </c>
      <c r="AC1571">
        <v>-30.0003999999999</v>
      </c>
      <c r="AD1571">
        <v>-1.1040894225110001</v>
      </c>
      <c r="AE1571">
        <v>-0.71699999999998398</v>
      </c>
      <c r="AF1571">
        <v>4.9086684497224997</v>
      </c>
      <c r="AG1571">
        <v>-1.1040894225110001</v>
      </c>
      <c r="AH1571">
        <v>29.563659748722198</v>
      </c>
      <c r="AI1571">
        <v>92.109924656480203</v>
      </c>
      <c r="AJ1571">
        <v>80.572770208305599</v>
      </c>
      <c r="AK1571">
        <v>29.988731502689799</v>
      </c>
      <c r="AL1571">
        <v>91.305836844828207</v>
      </c>
      <c r="AM1571">
        <v>85.757803384919498</v>
      </c>
      <c r="AN1571">
        <v>1.00000002658636</v>
      </c>
    </row>
    <row r="1572" spans="1:40" x14ac:dyDescent="0.25">
      <c r="A1572" t="str">
        <f>"20190305135821936"</f>
        <v>20190305135821936</v>
      </c>
      <c r="B1572" t="str">
        <f>"1551765501930360"</f>
        <v>1551765501930360</v>
      </c>
      <c r="C1572" t="s">
        <v>40</v>
      </c>
      <c r="D1572">
        <v>4.085324</v>
      </c>
      <c r="E1572">
        <v>0.53379200000000004</v>
      </c>
      <c r="F1572" t="s">
        <v>59</v>
      </c>
      <c r="G1572">
        <v>-237.28540000000001</v>
      </c>
      <c r="H1572" s="1">
        <v>2.411112E-6</v>
      </c>
      <c r="I1572">
        <v>282.99279999999999</v>
      </c>
      <c r="J1572">
        <v>-210.48560000000001</v>
      </c>
      <c r="K1572">
        <v>1.104042</v>
      </c>
      <c r="L1572">
        <v>283.56619999999998</v>
      </c>
      <c r="M1572">
        <v>-0.98355979999999998</v>
      </c>
      <c r="N1572">
        <v>-5.3694110000000001E-3</v>
      </c>
      <c r="O1572">
        <v>-0.18050240000000001</v>
      </c>
      <c r="P1572">
        <v>-0.99331000000000003</v>
      </c>
      <c r="Q1572">
        <v>-3.1608909999999997E-2</v>
      </c>
      <c r="R1572">
        <v>-0.111068</v>
      </c>
      <c r="S1572">
        <v>-3.0095209999999999</v>
      </c>
      <c r="T1572">
        <v>-0.1227429</v>
      </c>
      <c r="U1572">
        <v>-6.8695069999999997E-2</v>
      </c>
      <c r="V1572">
        <v>6.9753579999999996E-2</v>
      </c>
      <c r="W1572">
        <v>-2.704235E-2</v>
      </c>
      <c r="X1572">
        <v>0.99719760000000002</v>
      </c>
      <c r="Y1572">
        <v>0.15775310000000001</v>
      </c>
      <c r="Z1572">
        <v>9.9892479999999992E-3</v>
      </c>
      <c r="AA1572">
        <v>0.98742810000000003</v>
      </c>
      <c r="AB1572">
        <v>26</v>
      </c>
      <c r="AC1572">
        <v>-26.799800000000001</v>
      </c>
      <c r="AD1572">
        <v>-1.1040395888879999</v>
      </c>
      <c r="AE1572">
        <v>-0.57339999999999203</v>
      </c>
      <c r="AF1572">
        <v>4.2662800337841</v>
      </c>
      <c r="AG1572">
        <v>-1.1040395888879999</v>
      </c>
      <c r="AH1572">
        <v>26.4182759541834</v>
      </c>
      <c r="AI1572">
        <v>92.362469456252995</v>
      </c>
      <c r="AJ1572">
        <v>80.826518244553498</v>
      </c>
      <c r="AK1572">
        <v>26.783303626175002</v>
      </c>
      <c r="AL1572">
        <v>91.549601504281796</v>
      </c>
      <c r="AM1572">
        <v>85.998700309432607</v>
      </c>
      <c r="AN1572">
        <v>0.99999995203104797</v>
      </c>
    </row>
    <row r="1573" spans="1:40" x14ac:dyDescent="0.25">
      <c r="A1573" t="str">
        <f>"20190305135821957"</f>
        <v>20190305135821957</v>
      </c>
      <c r="B1573" t="str">
        <f>"1551765501949880"</f>
        <v>1551765501949880</v>
      </c>
      <c r="C1573" t="s">
        <v>40</v>
      </c>
      <c r="D1573">
        <v>4.0892049999999998</v>
      </c>
      <c r="E1573">
        <v>0.53363329999999998</v>
      </c>
      <c r="F1573" t="s">
        <v>59</v>
      </c>
      <c r="G1573">
        <v>-235.25470000000001</v>
      </c>
      <c r="H1573" s="1">
        <v>1.3271340000000001E-6</v>
      </c>
      <c r="I1573">
        <v>283.06880000000001</v>
      </c>
      <c r="J1573">
        <v>-210.7285</v>
      </c>
      <c r="K1573">
        <v>1.1040129999999999</v>
      </c>
      <c r="L1573">
        <v>283.52789999999999</v>
      </c>
      <c r="M1573">
        <v>-0.98464030000000002</v>
      </c>
      <c r="N1573">
        <v>-5.047742E-3</v>
      </c>
      <c r="O1573">
        <v>-0.1745225</v>
      </c>
      <c r="P1573">
        <v>-0.99353530000000001</v>
      </c>
      <c r="Q1573">
        <v>-3.3823069999999997E-2</v>
      </c>
      <c r="R1573">
        <v>-0.10836809999999999</v>
      </c>
      <c r="S1573">
        <v>-3.0091709999999998</v>
      </c>
      <c r="T1573">
        <v>-0.13412879999999899</v>
      </c>
      <c r="U1573">
        <v>-6.0424800000000001E-2</v>
      </c>
      <c r="V1573">
        <v>6.6364489999999998E-2</v>
      </c>
      <c r="W1573">
        <v>-2.9534950000000001E-2</v>
      </c>
      <c r="X1573">
        <v>0.99735819999999997</v>
      </c>
      <c r="Y1573">
        <v>0.15441640000000001</v>
      </c>
      <c r="Z1573">
        <v>1.0686029999999999E-2</v>
      </c>
      <c r="AA1573">
        <v>0.9879481</v>
      </c>
      <c r="AB1573">
        <v>26</v>
      </c>
      <c r="AC1573">
        <v>-24.526199999999999</v>
      </c>
      <c r="AD1573">
        <v>-1.1040116728660001</v>
      </c>
      <c r="AE1573">
        <v>-0.45909999999997803</v>
      </c>
      <c r="AF1573">
        <v>3.8206352141624502</v>
      </c>
      <c r="AG1573">
        <v>-1.1040116728660001</v>
      </c>
      <c r="AH1573">
        <v>24.180936885159898</v>
      </c>
      <c r="AI1573">
        <v>92.582109080178995</v>
      </c>
      <c r="AJ1573">
        <v>81.021379966215903</v>
      </c>
      <c r="AK1573">
        <v>24.505791231005201</v>
      </c>
      <c r="AL1573">
        <v>91.692474157799893</v>
      </c>
      <c r="AM1573">
        <v>86.193134829430207</v>
      </c>
      <c r="AN1573">
        <v>0.99999996895584997</v>
      </c>
    </row>
    <row r="1574" spans="1:40" x14ac:dyDescent="0.25">
      <c r="A1574" t="str">
        <f>"20190305135821981"</f>
        <v>20190305135821981</v>
      </c>
      <c r="B1574" t="str">
        <f>"1551765501970376"</f>
        <v>1551765501970376</v>
      </c>
      <c r="C1574" t="s">
        <v>40</v>
      </c>
      <c r="D1574">
        <v>4.0824290000000003</v>
      </c>
      <c r="E1574">
        <v>0.5335394</v>
      </c>
      <c r="F1574" t="s">
        <v>59</v>
      </c>
      <c r="G1574">
        <v>-234.2638</v>
      </c>
      <c r="H1574" s="1">
        <v>7.980605E-7</v>
      </c>
      <c r="I1574">
        <v>283.10939999999999</v>
      </c>
      <c r="J1574">
        <v>-211.0128</v>
      </c>
      <c r="K1574">
        <v>1.1040019999999999</v>
      </c>
      <c r="L1574">
        <v>283.48480000000001</v>
      </c>
      <c r="M1574">
        <v>-0.98583189999999998</v>
      </c>
      <c r="N1574">
        <v>-4.7015080000000001E-3</v>
      </c>
      <c r="O1574">
        <v>-0.16767079999999901</v>
      </c>
      <c r="P1574">
        <v>-0.9939017</v>
      </c>
      <c r="Q1574">
        <v>-3.4988369999999998E-2</v>
      </c>
      <c r="R1574">
        <v>-0.10457279999999999</v>
      </c>
      <c r="S1574">
        <v>-3.0088810000000001</v>
      </c>
      <c r="T1574">
        <v>-0.14114299999999999</v>
      </c>
      <c r="U1574">
        <v>-5.3497309999999999E-2</v>
      </c>
      <c r="V1574">
        <v>6.3216750000000002E-2</v>
      </c>
      <c r="W1574">
        <v>-3.100398E-2</v>
      </c>
      <c r="X1574">
        <v>0.99751809999999996</v>
      </c>
      <c r="Y1574">
        <v>0.14979210000000001</v>
      </c>
      <c r="Z1574">
        <v>1.090181E-2</v>
      </c>
      <c r="AA1574">
        <v>0.98865740000000002</v>
      </c>
      <c r="AB1574">
        <v>26</v>
      </c>
      <c r="AC1574">
        <v>-23.251000000000001</v>
      </c>
      <c r="AD1574">
        <v>-1.1040012019395</v>
      </c>
      <c r="AE1574">
        <v>-0.375400000000013</v>
      </c>
      <c r="AF1574">
        <v>3.5205361498424899</v>
      </c>
      <c r="AG1574">
        <v>-1.1040012019395</v>
      </c>
      <c r="AH1574">
        <v>22.933083761443399</v>
      </c>
      <c r="AI1574">
        <v>92.724233155094197</v>
      </c>
      <c r="AJ1574">
        <v>81.272462047026195</v>
      </c>
      <c r="AK1574">
        <v>23.227985798291002</v>
      </c>
      <c r="AL1574">
        <v>91.776681949878594</v>
      </c>
      <c r="AM1574">
        <v>86.373784520627495</v>
      </c>
      <c r="AN1574">
        <v>0.99999998204200602</v>
      </c>
    </row>
    <row r="1575" spans="1:40" x14ac:dyDescent="0.25">
      <c r="A1575" t="str">
        <f>"20190305135822003"</f>
        <v>20190305135822003</v>
      </c>
      <c r="B1575" t="str">
        <f>"1551765502000632"</f>
        <v>1551765502000632</v>
      </c>
      <c r="C1575" t="s">
        <v>40</v>
      </c>
      <c r="D1575">
        <v>4.1222659999999998</v>
      </c>
      <c r="E1575">
        <v>0.53340180000000004</v>
      </c>
      <c r="F1575" t="s">
        <v>59</v>
      </c>
      <c r="G1575">
        <v>-234.06720000000001</v>
      </c>
      <c r="H1575" s="1">
        <v>6.9139659999999895E-7</v>
      </c>
      <c r="I1575">
        <v>283.15649999999999</v>
      </c>
      <c r="J1575">
        <v>-211.28890000000001</v>
      </c>
      <c r="K1575">
        <v>1.1039939999999999</v>
      </c>
      <c r="L1575">
        <v>283.44479999999999</v>
      </c>
      <c r="M1575">
        <v>-0.98691759999999995</v>
      </c>
      <c r="N1575">
        <v>-4.3889619999999997E-3</v>
      </c>
      <c r="O1575">
        <v>-0.16116529999999901</v>
      </c>
      <c r="P1575">
        <v>-0.99420050000000004</v>
      </c>
      <c r="Q1575">
        <v>-3.5315260000000001E-2</v>
      </c>
      <c r="R1575">
        <v>-0.1015789</v>
      </c>
      <c r="S1575">
        <v>-3.008804</v>
      </c>
      <c r="T1575">
        <v>-0.14408180000000001</v>
      </c>
      <c r="U1575">
        <v>-4.2846679999999998E-2</v>
      </c>
      <c r="V1575">
        <v>5.963649E-2</v>
      </c>
      <c r="W1575">
        <v>-3.1596140000000002E-2</v>
      </c>
      <c r="X1575">
        <v>0.99772000000000005</v>
      </c>
      <c r="Y1575">
        <v>0.14676330000000001</v>
      </c>
      <c r="Z1575">
        <v>1.0809900000000001E-2</v>
      </c>
      <c r="AA1575">
        <v>0.98911260000000001</v>
      </c>
      <c r="AB1575">
        <v>27</v>
      </c>
      <c r="AC1575">
        <v>-22.778300000000002</v>
      </c>
      <c r="AD1575">
        <v>-1.1039933086033999</v>
      </c>
      <c r="AE1575">
        <v>-0.28829999999999201</v>
      </c>
      <c r="AF1575">
        <v>3.3786407651525998</v>
      </c>
      <c r="AG1575">
        <v>-1.1039933086033999</v>
      </c>
      <c r="AH1575">
        <v>22.474203272977199</v>
      </c>
      <c r="AI1575">
        <v>92.7810611837794</v>
      </c>
      <c r="AJ1575">
        <v>81.450509921528393</v>
      </c>
      <c r="AK1575">
        <v>22.753545380895901</v>
      </c>
      <c r="AL1575">
        <v>91.810626796130407</v>
      </c>
      <c r="AM1575">
        <v>86.579342322498803</v>
      </c>
      <c r="AN1575">
        <v>1.0000000127012001</v>
      </c>
    </row>
    <row r="1576" spans="1:40" x14ac:dyDescent="0.25">
      <c r="A1576" t="str">
        <f>"20190305135822026"</f>
        <v>20190305135822026</v>
      </c>
      <c r="B1576" t="str">
        <f>"1551765502020152"</f>
        <v>1551765502020152</v>
      </c>
      <c r="C1576" t="s">
        <v>40</v>
      </c>
      <c r="D1576">
        <v>4.0754950000000001</v>
      </c>
      <c r="E1576">
        <v>0.53332829999999998</v>
      </c>
      <c r="F1576" t="s">
        <v>59</v>
      </c>
      <c r="G1576">
        <v>-234.49340000000001</v>
      </c>
      <c r="H1576" s="1">
        <v>9.1738839999999995E-7</v>
      </c>
      <c r="I1576">
        <v>283.17430000000002</v>
      </c>
      <c r="J1576">
        <v>-211.56800000000001</v>
      </c>
      <c r="K1576">
        <v>1.1039890000000001</v>
      </c>
      <c r="L1576">
        <v>283.40589999999997</v>
      </c>
      <c r="M1576">
        <v>-0.98795120000000003</v>
      </c>
      <c r="N1576">
        <v>-4.0965369999999999E-3</v>
      </c>
      <c r="O1576">
        <v>-0.1547116</v>
      </c>
      <c r="P1576">
        <v>-0.99447019999999997</v>
      </c>
      <c r="Q1576">
        <v>-3.4666959999999997E-2</v>
      </c>
      <c r="R1576">
        <v>-9.9132629999999999E-2</v>
      </c>
      <c r="S1576">
        <v>-3.0088499999999998</v>
      </c>
      <c r="T1576">
        <v>-0.14315120000000001</v>
      </c>
      <c r="U1576">
        <v>-3.5064699999999997E-2</v>
      </c>
      <c r="V1576">
        <v>5.558018E-2</v>
      </c>
      <c r="W1576">
        <v>-3.1189479999999999E-2</v>
      </c>
      <c r="X1576">
        <v>0.99796689999999999</v>
      </c>
      <c r="Y1576">
        <v>0.1428693</v>
      </c>
      <c r="Z1576">
        <v>1.038623E-2</v>
      </c>
      <c r="AA1576">
        <v>0.98968710000000004</v>
      </c>
      <c r="AB1576">
        <v>27</v>
      </c>
      <c r="AC1576">
        <v>-22.9254</v>
      </c>
      <c r="AD1576">
        <v>-1.1039880826116</v>
      </c>
      <c r="AE1576">
        <v>-0.23159999999995701</v>
      </c>
      <c r="AF1576">
        <v>3.3103677443660899</v>
      </c>
      <c r="AG1576">
        <v>-1.1039880826116</v>
      </c>
      <c r="AH1576">
        <v>22.632718390623499</v>
      </c>
      <c r="AI1576">
        <v>92.763229094350393</v>
      </c>
      <c r="AJ1576">
        <v>81.678655772601005</v>
      </c>
      <c r="AK1576">
        <v>22.900158646584799</v>
      </c>
      <c r="AL1576">
        <v>91.787315540682698</v>
      </c>
      <c r="AM1576">
        <v>86.812295749898794</v>
      </c>
      <c r="AN1576">
        <v>0.99999993678355403</v>
      </c>
    </row>
    <row r="1577" spans="1:40" x14ac:dyDescent="0.25">
      <c r="A1577" t="str">
        <f>"20190305135822046"</f>
        <v>20190305135822046</v>
      </c>
      <c r="B1577" t="str">
        <f>"1551765502040648"</f>
        <v>1551765502040648</v>
      </c>
      <c r="C1577" t="s">
        <v>40</v>
      </c>
      <c r="D1577">
        <v>4.1046139999999998</v>
      </c>
      <c r="E1577">
        <v>0.5332848</v>
      </c>
      <c r="F1577" t="s">
        <v>59</v>
      </c>
      <c r="G1577">
        <v>-235.2722</v>
      </c>
      <c r="H1577" s="1">
        <v>1.3314700000000001E-6</v>
      </c>
      <c r="I1577">
        <v>283.18259999999998</v>
      </c>
      <c r="J1577">
        <v>-211.80879999999999</v>
      </c>
      <c r="K1577">
        <v>1.1039810000000001</v>
      </c>
      <c r="L1577">
        <v>283.37380000000002</v>
      </c>
      <c r="M1577">
        <v>-0.98879360000000005</v>
      </c>
      <c r="N1577">
        <v>-3.8585960000000002E-3</v>
      </c>
      <c r="O1577">
        <v>-0.14924019999999999</v>
      </c>
      <c r="P1577">
        <v>-0.9946296</v>
      </c>
      <c r="Q1577">
        <v>-3.4017569999999997E-2</v>
      </c>
      <c r="R1577">
        <v>-9.7748989999999994E-2</v>
      </c>
      <c r="S1577">
        <v>-3.008972</v>
      </c>
      <c r="T1577">
        <v>-0.1401385</v>
      </c>
      <c r="U1577">
        <v>-2.835083E-2</v>
      </c>
      <c r="V1577">
        <v>5.1453619999999999E-2</v>
      </c>
      <c r="W1577">
        <v>-3.0728559999999999E-2</v>
      </c>
      <c r="X1577">
        <v>0.99820249999999999</v>
      </c>
      <c r="Y1577">
        <v>0.13961960000000001</v>
      </c>
      <c r="Z1577">
        <v>9.8676430000000006E-3</v>
      </c>
      <c r="AA1577">
        <v>0.99015609999999998</v>
      </c>
      <c r="AB1577">
        <v>27</v>
      </c>
      <c r="AC1577">
        <v>-23.4634</v>
      </c>
      <c r="AD1577">
        <v>-1.1039796685299901</v>
      </c>
      <c r="AE1577">
        <v>-0.19120000000003701</v>
      </c>
      <c r="AF1577">
        <v>3.30533242979324</v>
      </c>
      <c r="AG1577">
        <v>-1.1039796685299901</v>
      </c>
      <c r="AH1577">
        <v>23.1778558614043</v>
      </c>
      <c r="AI1577">
        <v>92.699709856214298</v>
      </c>
      <c r="AJ1577">
        <v>81.883924390836</v>
      </c>
      <c r="AK1577">
        <v>23.4383658967941</v>
      </c>
      <c r="AL1577">
        <v>91.760894035407105</v>
      </c>
      <c r="AM1577">
        <v>87.049227595366702</v>
      </c>
      <c r="AN1577">
        <v>0.99999997520851303</v>
      </c>
    </row>
    <row r="1578" spans="1:40" x14ac:dyDescent="0.25">
      <c r="A1578" t="str">
        <f>"20190305135822072"</f>
        <v>20190305135822072</v>
      </c>
      <c r="B1578" t="str">
        <f>"1551765502060673"</f>
        <v>1551765502060673</v>
      </c>
      <c r="C1578" t="s">
        <v>40</v>
      </c>
      <c r="D1578">
        <v>4.1002150000000004</v>
      </c>
      <c r="E1578">
        <v>0.55415559999999997</v>
      </c>
      <c r="F1578" t="s">
        <v>59</v>
      </c>
      <c r="G1578">
        <v>-236.03870000000001</v>
      </c>
      <c r="H1578" s="1">
        <v>1.7397499999999999E-6</v>
      </c>
      <c r="I1578">
        <v>283.17430000000002</v>
      </c>
      <c r="J1578">
        <v>-212.12520000000001</v>
      </c>
      <c r="K1578">
        <v>1.1039699999999999</v>
      </c>
      <c r="L1578">
        <v>283.33339999999998</v>
      </c>
      <c r="M1578">
        <v>-0.98983319999999997</v>
      </c>
      <c r="N1578">
        <v>-3.5614219999999999E-3</v>
      </c>
      <c r="O1578">
        <v>-0.1421886</v>
      </c>
      <c r="P1578">
        <v>-0.99499269999999995</v>
      </c>
      <c r="Q1578">
        <v>-3.3631559999999998E-2</v>
      </c>
      <c r="R1578">
        <v>-9.412065E-2</v>
      </c>
      <c r="S1578">
        <v>-3.009064</v>
      </c>
      <c r="T1578">
        <v>-0.13710079999999999</v>
      </c>
      <c r="U1578">
        <v>-2.478027E-2</v>
      </c>
      <c r="V1578">
        <v>4.7984649999999997E-2</v>
      </c>
      <c r="W1578">
        <v>-3.0597579999999999E-2</v>
      </c>
      <c r="X1578">
        <v>0.99837929999999997</v>
      </c>
      <c r="Y1578">
        <v>0.1337594</v>
      </c>
      <c r="Z1578">
        <v>9.2339259999999999E-3</v>
      </c>
      <c r="AA1578">
        <v>0.99097080000000004</v>
      </c>
      <c r="AB1578">
        <v>27</v>
      </c>
      <c r="AC1578">
        <v>-23.913499999999999</v>
      </c>
      <c r="AD1578">
        <v>-1.1039682602500001</v>
      </c>
      <c r="AE1578">
        <v>-0.15909999999996599</v>
      </c>
      <c r="AF1578">
        <v>3.2358690939205199</v>
      </c>
      <c r="AG1578">
        <v>-1.1039682602500001</v>
      </c>
      <c r="AH1578">
        <v>23.642762618253101</v>
      </c>
      <c r="AI1578">
        <v>92.648753060417107</v>
      </c>
      <c r="AJ1578">
        <v>82.206628585278807</v>
      </c>
      <c r="AK1578">
        <v>23.888696467905</v>
      </c>
      <c r="AL1578">
        <v>91.753385890553005</v>
      </c>
      <c r="AM1578">
        <v>87.248336505591297</v>
      </c>
      <c r="AN1578">
        <v>0.99999998260298395</v>
      </c>
    </row>
    <row r="1579" spans="1:40" x14ac:dyDescent="0.25">
      <c r="A1579" t="str">
        <f>"20190305135822092"</f>
        <v>20190305135822092</v>
      </c>
      <c r="B1579" t="str">
        <f>"1551765502081169"</f>
        <v>1551765502081169</v>
      </c>
      <c r="C1579" t="s">
        <v>40</v>
      </c>
      <c r="D1579">
        <v>4.1138890000000004</v>
      </c>
      <c r="E1579">
        <v>0.55962880000000004</v>
      </c>
      <c r="F1579" t="s">
        <v>59</v>
      </c>
      <c r="G1579">
        <v>-248.28190000000001</v>
      </c>
      <c r="H1579" s="1">
        <v>2.8704340000000002E-6</v>
      </c>
      <c r="I1579">
        <v>285.10849999999999</v>
      </c>
      <c r="J1579">
        <v>-212.38390000000001</v>
      </c>
      <c r="K1579">
        <v>1.1039620000000001</v>
      </c>
      <c r="L1579">
        <v>283.30189999999999</v>
      </c>
      <c r="M1579">
        <v>-0.99062919999999999</v>
      </c>
      <c r="N1579">
        <v>-3.3285609999999998E-3</v>
      </c>
      <c r="O1579">
        <v>-0.1365392</v>
      </c>
      <c r="P1579">
        <v>-0.99519089999999999</v>
      </c>
      <c r="Q1579">
        <v>-3.3140120000000002E-2</v>
      </c>
      <c r="R1579">
        <v>-9.2181150000000003E-2</v>
      </c>
      <c r="S1579">
        <v>-3.0260310000000001</v>
      </c>
      <c r="T1579">
        <v>-9.2393400000000001E-2</v>
      </c>
      <c r="U1579">
        <v>0.14855960000000001</v>
      </c>
      <c r="V1579">
        <v>4.4241700000000002E-2</v>
      </c>
      <c r="W1579">
        <v>-3.029507E-2</v>
      </c>
      <c r="X1579">
        <v>0.99856140000000004</v>
      </c>
      <c r="Y1579">
        <v>0.18480569999999999</v>
      </c>
      <c r="Z1579">
        <v>6.8311489999999999E-3</v>
      </c>
      <c r="AA1579">
        <v>0.98275129999999999</v>
      </c>
      <c r="AB1579">
        <v>27</v>
      </c>
      <c r="AC1579">
        <v>-35.898000000000003</v>
      </c>
      <c r="AD1579">
        <v>-1.1039591295660001</v>
      </c>
      <c r="AE1579">
        <v>1.8066</v>
      </c>
      <c r="AF1579">
        <v>6.6848850634258303</v>
      </c>
      <c r="AG1579">
        <v>-1.1039591295660001</v>
      </c>
      <c r="AH1579">
        <v>35.281843948469302</v>
      </c>
      <c r="AI1579">
        <v>91.760876228196196</v>
      </c>
      <c r="AJ1579">
        <v>79.271291033713297</v>
      </c>
      <c r="AK1579">
        <v>35.926521213096997</v>
      </c>
      <c r="AL1579">
        <v>91.7360452843498</v>
      </c>
      <c r="AM1579">
        <v>87.463144461718102</v>
      </c>
      <c r="AN1579">
        <v>0.99999999442757703</v>
      </c>
    </row>
    <row r="1580" spans="1:40" x14ac:dyDescent="0.25">
      <c r="A1580" t="str">
        <f>"20190305135822118"</f>
        <v>20190305135822118</v>
      </c>
      <c r="B1580" t="str">
        <f>"1551765502110449"</f>
        <v>1551765502110449</v>
      </c>
      <c r="C1580" t="s">
        <v>40</v>
      </c>
      <c r="D1580">
        <v>4.0915499999999998</v>
      </c>
      <c r="E1580">
        <v>0.56150789999999995</v>
      </c>
      <c r="F1580" t="s">
        <v>59</v>
      </c>
      <c r="G1580">
        <v>-236.19739999999999</v>
      </c>
      <c r="H1580" s="1">
        <v>1.748941E-6</v>
      </c>
      <c r="I1580">
        <v>284.89640000000003</v>
      </c>
      <c r="J1580">
        <v>-212.69319999999999</v>
      </c>
      <c r="K1580">
        <v>1.1039559999999999</v>
      </c>
      <c r="L1580">
        <v>283.26589999999999</v>
      </c>
      <c r="M1580">
        <v>-0.99152130000000005</v>
      </c>
      <c r="N1580">
        <v>-3.055449E-3</v>
      </c>
      <c r="O1580">
        <v>-0.12990869999999999</v>
      </c>
      <c r="P1580">
        <v>-0.99552149999999995</v>
      </c>
      <c r="Q1580">
        <v>-3.1764920000000002E-2</v>
      </c>
      <c r="R1580">
        <v>-8.9039629999999995E-2</v>
      </c>
      <c r="S1580">
        <v>-3.0286409999999999</v>
      </c>
      <c r="T1580">
        <v>-0.14040349999999999</v>
      </c>
      <c r="U1580">
        <v>0.20278930000000001</v>
      </c>
      <c r="V1580">
        <v>4.073251E-2</v>
      </c>
      <c r="W1580">
        <v>-2.915148E-2</v>
      </c>
      <c r="X1580">
        <v>0.99874470000000004</v>
      </c>
      <c r="Y1580">
        <v>0.19551640000000001</v>
      </c>
      <c r="Z1580">
        <v>1.0433110000000001E-2</v>
      </c>
      <c r="AA1580">
        <v>0.98064490000000004</v>
      </c>
      <c r="AB1580">
        <v>28</v>
      </c>
      <c r="AC1580">
        <v>-23.504200000000001</v>
      </c>
      <c r="AD1580">
        <v>-1.1039542510589999</v>
      </c>
      <c r="AE1580">
        <v>1.63050000000004</v>
      </c>
      <c r="AF1580">
        <v>4.6598665570228004</v>
      </c>
      <c r="AG1580">
        <v>-1.1039542510589999</v>
      </c>
      <c r="AH1580">
        <v>23.0426162812477</v>
      </c>
      <c r="AI1580">
        <v>92.688557211103401</v>
      </c>
      <c r="AJ1580">
        <v>78.567364697973503</v>
      </c>
      <c r="AK1580">
        <v>23.534978997282099</v>
      </c>
      <c r="AL1580">
        <v>91.670493492773801</v>
      </c>
      <c r="AM1580">
        <v>87.664560065778403</v>
      </c>
      <c r="AN1580">
        <v>0.99999996096758903</v>
      </c>
    </row>
    <row r="1581" spans="1:40" x14ac:dyDescent="0.25">
      <c r="A1581" t="str">
        <f>"20190305135822134"</f>
        <v>20190305135822134</v>
      </c>
      <c r="B1581" t="str">
        <f>"1551765502129970"</f>
        <v>1551765502129970</v>
      </c>
      <c r="C1581" t="s">
        <v>40</v>
      </c>
      <c r="D1581">
        <v>4.1018369999999997</v>
      </c>
      <c r="E1581">
        <v>0.5617029</v>
      </c>
      <c r="F1581" t="s">
        <v>59</v>
      </c>
      <c r="G1581">
        <v>-234.95820000000001</v>
      </c>
      <c r="H1581" s="1">
        <v>1.087326E-6</v>
      </c>
      <c r="I1581">
        <v>284.94600000000003</v>
      </c>
      <c r="J1581">
        <v>-212.9143</v>
      </c>
      <c r="K1581">
        <v>1.1039639999999999</v>
      </c>
      <c r="L1581">
        <v>283.24149999999997</v>
      </c>
      <c r="M1581">
        <v>-0.99212040000000001</v>
      </c>
      <c r="N1581">
        <v>-2.8590149999999999E-3</v>
      </c>
      <c r="O1581">
        <v>-0.12525600000000001</v>
      </c>
      <c r="P1581">
        <v>-0.99570749999999997</v>
      </c>
      <c r="Q1581">
        <v>-2.946445E-2</v>
      </c>
      <c r="R1581">
        <v>-8.7741810000000003E-2</v>
      </c>
      <c r="S1581">
        <v>-3.0291440000000001</v>
      </c>
      <c r="T1581">
        <v>-0.150192299999999</v>
      </c>
      <c r="U1581">
        <v>0.22857669999999999</v>
      </c>
      <c r="V1581">
        <v>3.7381980000000002E-2</v>
      </c>
      <c r="W1581">
        <v>-2.700893E-2</v>
      </c>
      <c r="X1581">
        <v>0.99893600000000005</v>
      </c>
      <c r="Y1581">
        <v>0.19916049999999999</v>
      </c>
      <c r="Z1581">
        <v>1.1047970000000001E-2</v>
      </c>
      <c r="AA1581">
        <v>0.97990460000000001</v>
      </c>
      <c r="AB1581">
        <v>28</v>
      </c>
      <c r="AC1581">
        <v>-22.043900000000001</v>
      </c>
      <c r="AD1581">
        <v>-1.103962912674</v>
      </c>
      <c r="AE1581">
        <v>1.7044999999999899</v>
      </c>
      <c r="AF1581">
        <v>4.4411455616406599</v>
      </c>
      <c r="AG1581">
        <v>-1.103962912674</v>
      </c>
      <c r="AH1581">
        <v>21.6029324509696</v>
      </c>
      <c r="AI1581">
        <v>92.865585272502202</v>
      </c>
      <c r="AJ1581">
        <v>78.382948669517504</v>
      </c>
      <c r="AK1581">
        <v>22.082327741735</v>
      </c>
      <c r="AL1581">
        <v>91.547685884553303</v>
      </c>
      <c r="AM1581">
        <v>87.8568890064154</v>
      </c>
      <c r="AN1581">
        <v>1.00000001341223</v>
      </c>
    </row>
    <row r="1582" spans="1:40" x14ac:dyDescent="0.25">
      <c r="A1582" t="str">
        <f>"20190305135822157"</f>
        <v>20190305135822157</v>
      </c>
      <c r="B1582" t="str">
        <f>"1551765502150465"</f>
        <v>1551765502150465</v>
      </c>
      <c r="C1582" t="s">
        <v>40</v>
      </c>
      <c r="D1582">
        <v>3.9997549999999999</v>
      </c>
      <c r="E1582">
        <v>0.56216719999999998</v>
      </c>
      <c r="F1582" t="s">
        <v>59</v>
      </c>
      <c r="G1582">
        <v>-235.2851</v>
      </c>
      <c r="H1582" s="1">
        <v>1.2601359999999999E-6</v>
      </c>
      <c r="I1582">
        <v>284.97219999999999</v>
      </c>
      <c r="J1582">
        <v>-213.20439999999999</v>
      </c>
      <c r="K1582">
        <v>1.103963</v>
      </c>
      <c r="L1582">
        <v>283.21080000000001</v>
      </c>
      <c r="M1582">
        <v>-0.99286240000000003</v>
      </c>
      <c r="N1582">
        <v>-2.6042959999999999E-3</v>
      </c>
      <c r="O1582">
        <v>-0.1192381</v>
      </c>
      <c r="P1582">
        <v>-0.99600500000000003</v>
      </c>
      <c r="Q1582">
        <v>-2.6730380000000002E-2</v>
      </c>
      <c r="R1582">
        <v>-8.5204580000000002E-2</v>
      </c>
      <c r="S1582">
        <v>-3.0291899999999998</v>
      </c>
      <c r="T1582">
        <v>-0.14948520000000001</v>
      </c>
      <c r="U1582">
        <v>0.23434450000000001</v>
      </c>
      <c r="V1582">
        <v>3.3907609999999998E-2</v>
      </c>
      <c r="W1582">
        <v>-2.4489730000000001E-2</v>
      </c>
      <c r="X1582">
        <v>0.99912489999999998</v>
      </c>
      <c r="Y1582">
        <v>0.19508639999999999</v>
      </c>
      <c r="Z1582">
        <v>1.061609E-2</v>
      </c>
      <c r="AA1582">
        <v>0.98072859999999995</v>
      </c>
      <c r="AB1582">
        <v>28</v>
      </c>
      <c r="AC1582">
        <v>-22.0807</v>
      </c>
      <c r="AD1582">
        <v>-1.103961739864</v>
      </c>
      <c r="AE1582">
        <v>1.7613999999999801</v>
      </c>
      <c r="AF1582">
        <v>4.3708462720802599</v>
      </c>
      <c r="AG1582">
        <v>-1.103961739864</v>
      </c>
      <c r="AH1582">
        <v>21.659342874859</v>
      </c>
      <c r="AI1582">
        <v>92.8602422219044</v>
      </c>
      <c r="AJ1582">
        <v>78.590959348822295</v>
      </c>
      <c r="AK1582">
        <v>22.123520570378201</v>
      </c>
      <c r="AL1582">
        <v>91.403298437749896</v>
      </c>
      <c r="AM1582">
        <v>88.056281443710105</v>
      </c>
      <c r="AN1582">
        <v>1.0000000193456899</v>
      </c>
    </row>
    <row r="1583" spans="1:40" x14ac:dyDescent="0.25">
      <c r="A1583" t="str">
        <f>"20190305135822181"</f>
        <v>20190305135822181</v>
      </c>
      <c r="B1583" t="str">
        <f>"1551765502169985"</f>
        <v>1551765502169985</v>
      </c>
      <c r="C1583" t="s">
        <v>40</v>
      </c>
      <c r="D1583">
        <v>3.940763</v>
      </c>
      <c r="E1583">
        <v>0.56321269999999901</v>
      </c>
      <c r="F1583" t="s">
        <v>59</v>
      </c>
      <c r="G1583">
        <v>-238.2559</v>
      </c>
      <c r="H1583" s="1">
        <v>2.829471E-6</v>
      </c>
      <c r="I1583">
        <v>285.23649999999998</v>
      </c>
      <c r="J1583">
        <v>-213.50120000000001</v>
      </c>
      <c r="K1583">
        <v>1.103953</v>
      </c>
      <c r="L1583">
        <v>283.18110000000001</v>
      </c>
      <c r="M1583">
        <v>-0.99356900000000004</v>
      </c>
      <c r="N1583">
        <v>-2.3585350000000001E-3</v>
      </c>
      <c r="O1583">
        <v>-0.11320379999999999</v>
      </c>
      <c r="P1583">
        <v>-0.99619669999999905</v>
      </c>
      <c r="Q1583">
        <v>-2.3721679999999998E-2</v>
      </c>
      <c r="R1583">
        <v>-8.3844249999999995E-2</v>
      </c>
      <c r="S1583">
        <v>-3.0294189999999999</v>
      </c>
      <c r="T1583">
        <v>-0.13349939999999999</v>
      </c>
      <c r="U1583">
        <v>0.2449646</v>
      </c>
      <c r="V1583">
        <v>2.924094E-2</v>
      </c>
      <c r="W1583">
        <v>-2.1675170000000001E-2</v>
      </c>
      <c r="X1583">
        <v>0.99933740000000004</v>
      </c>
      <c r="Y1583">
        <v>0.19262280000000001</v>
      </c>
      <c r="Z1583">
        <v>9.1720929999999992E-3</v>
      </c>
      <c r="AA1583">
        <v>0.98123000000000005</v>
      </c>
      <c r="AB1583">
        <v>28</v>
      </c>
      <c r="AC1583">
        <v>-24.7546999999999</v>
      </c>
      <c r="AD1583">
        <v>-1.103950170529</v>
      </c>
      <c r="AE1583">
        <v>2.0553999999999601</v>
      </c>
      <c r="AF1583">
        <v>4.8349714664825196</v>
      </c>
      <c r="AG1583">
        <v>-1.103950170529</v>
      </c>
      <c r="AH1583">
        <v>24.3148654657234</v>
      </c>
      <c r="AI1583">
        <v>92.549721066993698</v>
      </c>
      <c r="AJ1583">
        <v>78.753527033567096</v>
      </c>
      <c r="AK1583">
        <v>24.815485844064</v>
      </c>
      <c r="AL1583">
        <v>91.241992972372898</v>
      </c>
      <c r="AM1583">
        <v>88.323984911542993</v>
      </c>
      <c r="AN1583">
        <v>1.00000004230268</v>
      </c>
    </row>
    <row r="1584" spans="1:40" x14ac:dyDescent="0.25">
      <c r="A1584" t="str">
        <f>"20190305135822203"</f>
        <v>20190305135822203</v>
      </c>
      <c r="B1584" t="str">
        <f>"1551765502190481"</f>
        <v>1551765502190481</v>
      </c>
      <c r="C1584" t="s">
        <v>40</v>
      </c>
      <c r="D1584">
        <v>3.985303</v>
      </c>
      <c r="E1584">
        <v>0.56422609999999995</v>
      </c>
      <c r="F1584" t="s">
        <v>59</v>
      </c>
      <c r="G1584">
        <v>-244.93770000000001</v>
      </c>
      <c r="H1584" s="1">
        <v>1.0908180000000001E-6</v>
      </c>
      <c r="I1584">
        <v>285.83620000000002</v>
      </c>
      <c r="J1584">
        <v>-213.7877</v>
      </c>
      <c r="K1584">
        <v>1.103925</v>
      </c>
      <c r="L1584">
        <v>283.154</v>
      </c>
      <c r="M1584">
        <v>-0.99420399999999998</v>
      </c>
      <c r="N1584">
        <v>-2.1419910000000002E-3</v>
      </c>
      <c r="O1584">
        <v>-0.1074893</v>
      </c>
      <c r="P1584">
        <v>-0.99638409999999999</v>
      </c>
      <c r="Q1584">
        <v>-2.1000930000000001E-2</v>
      </c>
      <c r="R1584">
        <v>-8.2327360000000002E-2</v>
      </c>
      <c r="S1584">
        <v>-3.0304720000000001</v>
      </c>
      <c r="T1584">
        <v>-0.1064206</v>
      </c>
      <c r="U1584">
        <v>0.25595089999999998</v>
      </c>
      <c r="V1584">
        <v>2.5050220000000002E-2</v>
      </c>
      <c r="W1584">
        <v>-1.9125400000000001E-2</v>
      </c>
      <c r="X1584">
        <v>0.99950329999999998</v>
      </c>
      <c r="Y1584">
        <v>0.19059809999999999</v>
      </c>
      <c r="Z1584">
        <v>7.0799779999999998E-3</v>
      </c>
      <c r="AA1584">
        <v>0.98164260000000003</v>
      </c>
      <c r="AB1584">
        <v>29</v>
      </c>
      <c r="AC1584">
        <v>-31.15</v>
      </c>
      <c r="AD1584">
        <v>-1.1039239091819999</v>
      </c>
      <c r="AE1584">
        <v>2.6822000000000199</v>
      </c>
      <c r="AF1584">
        <v>6.0074696906210399</v>
      </c>
      <c r="AG1584">
        <v>-1.1039239091819999</v>
      </c>
      <c r="AH1584">
        <v>30.643013216396501</v>
      </c>
      <c r="AI1584">
        <v>92.024696538355201</v>
      </c>
      <c r="AJ1584">
        <v>78.908013228169295</v>
      </c>
      <c r="AK1584">
        <v>31.245841308264499</v>
      </c>
      <c r="AL1584">
        <v>91.095871439219195</v>
      </c>
      <c r="AM1584">
        <v>88.564315416347597</v>
      </c>
      <c r="AN1584">
        <v>1.0000000705790399</v>
      </c>
    </row>
    <row r="1585" spans="1:40" x14ac:dyDescent="0.25">
      <c r="A1585" t="str">
        <f>"20190305135822224"</f>
        <v>20190305135822224</v>
      </c>
      <c r="B1585" t="str">
        <f>"1551765502220737"</f>
        <v>1551765502220737</v>
      </c>
      <c r="C1585" t="s">
        <v>40</v>
      </c>
      <c r="D1585">
        <v>4.1255430000000004</v>
      </c>
      <c r="E1585">
        <v>0.56453900000000001</v>
      </c>
      <c r="F1585" t="s">
        <v>59</v>
      </c>
      <c r="G1585">
        <v>-253.3476</v>
      </c>
      <c r="H1585" s="1">
        <v>2.4463030000000002E-7</v>
      </c>
      <c r="I1585">
        <v>286.64729999999997</v>
      </c>
      <c r="J1585">
        <v>-214.06610000000001</v>
      </c>
      <c r="K1585">
        <v>1.103907</v>
      </c>
      <c r="L1585">
        <v>283.12920000000003</v>
      </c>
      <c r="M1585">
        <v>-0.99477990000000005</v>
      </c>
      <c r="N1585">
        <v>-1.952004E-3</v>
      </c>
      <c r="O1585">
        <v>-0.1020269</v>
      </c>
      <c r="P1585">
        <v>-0.99653559999999997</v>
      </c>
      <c r="Q1585">
        <v>-1.770876E-2</v>
      </c>
      <c r="R1585">
        <v>-8.1261379999999994E-2</v>
      </c>
      <c r="S1585">
        <v>-3.0312350000000001</v>
      </c>
      <c r="T1585">
        <v>-8.4587099999999998E-2</v>
      </c>
      <c r="U1585">
        <v>0.26766970000000001</v>
      </c>
      <c r="V1585">
        <v>2.0668789999999999E-2</v>
      </c>
      <c r="W1585">
        <v>-1.597637E-2</v>
      </c>
      <c r="X1585">
        <v>0.99965870000000001</v>
      </c>
      <c r="Y1585">
        <v>0.18902179999999999</v>
      </c>
      <c r="Z1585">
        <v>5.4583030000000003E-3</v>
      </c>
      <c r="AA1585">
        <v>0.98195770000000004</v>
      </c>
      <c r="AB1585">
        <v>29</v>
      </c>
      <c r="AC1585">
        <v>-39.281500000000001</v>
      </c>
      <c r="AD1585">
        <v>-1.1039067553697</v>
      </c>
      <c r="AE1585">
        <v>3.5180999999999401</v>
      </c>
      <c r="AF1585">
        <v>7.5016405704650699</v>
      </c>
      <c r="AG1585">
        <v>-1.1039067553697</v>
      </c>
      <c r="AH1585">
        <v>38.687262756422001</v>
      </c>
      <c r="AI1585">
        <v>91.604570070415093</v>
      </c>
      <c r="AJ1585">
        <v>79.026262752034896</v>
      </c>
      <c r="AK1585">
        <v>39.423311897371498</v>
      </c>
      <c r="AL1585">
        <v>90.915417536706201</v>
      </c>
      <c r="AM1585">
        <v>88.815530012191104</v>
      </c>
      <c r="AN1585">
        <v>0.99999997988206502</v>
      </c>
    </row>
    <row r="1586" spans="1:40" x14ac:dyDescent="0.25">
      <c r="A1586" t="str">
        <f>"20190305135822247"</f>
        <v>20190305135822247</v>
      </c>
      <c r="B1586" t="str">
        <f>"1551765502240257"</f>
        <v>1551765502240257</v>
      </c>
      <c r="C1586" t="s">
        <v>40</v>
      </c>
      <c r="D1586">
        <v>3.968944</v>
      </c>
      <c r="E1586">
        <v>0.56532729999999998</v>
      </c>
      <c r="F1586" t="s">
        <v>59</v>
      </c>
      <c r="G1586">
        <v>-265.24689999999998</v>
      </c>
      <c r="H1586" s="1">
        <v>1.2553329999999999E-6</v>
      </c>
      <c r="I1586">
        <v>287.73020000000002</v>
      </c>
      <c r="J1586">
        <v>-214.36959999999999</v>
      </c>
      <c r="K1586">
        <v>1.1038809999999999</v>
      </c>
      <c r="L1586">
        <v>283.10379999999998</v>
      </c>
      <c r="M1586">
        <v>-0.99536279999999999</v>
      </c>
      <c r="N1586">
        <v>-1.7681769999999999E-3</v>
      </c>
      <c r="O1586">
        <v>-9.6176150000000002E-2</v>
      </c>
      <c r="P1586">
        <v>-0.99670110000000001</v>
      </c>
      <c r="Q1586">
        <v>-1.37684E-2</v>
      </c>
      <c r="R1586">
        <v>-7.9982839999999999E-2</v>
      </c>
      <c r="S1586">
        <v>-3.0314939999999999</v>
      </c>
      <c r="T1586">
        <v>-6.5385579999999999E-2</v>
      </c>
      <c r="U1586">
        <v>0.27252199999999999</v>
      </c>
      <c r="V1586">
        <v>1.6119330000000001E-2</v>
      </c>
      <c r="W1586">
        <v>-1.2171410000000001E-2</v>
      </c>
      <c r="X1586">
        <v>0.99979600000000002</v>
      </c>
      <c r="Y1586">
        <v>0.18484590000000001</v>
      </c>
      <c r="Z1586">
        <v>4.0530870000000004E-3</v>
      </c>
      <c r="AA1586">
        <v>0.98275919999999894</v>
      </c>
      <c r="AB1586">
        <v>29</v>
      </c>
      <c r="AC1586">
        <v>-50.877299999999899</v>
      </c>
      <c r="AD1586">
        <v>-1.1038797446669999</v>
      </c>
      <c r="AE1586">
        <v>4.6264000000000403</v>
      </c>
      <c r="AF1586">
        <v>9.4937111878297902</v>
      </c>
      <c r="AG1586">
        <v>-1.1038797446669999</v>
      </c>
      <c r="AH1586">
        <v>50.173073305248003</v>
      </c>
      <c r="AI1586">
        <v>91.238418061852101</v>
      </c>
      <c r="AJ1586">
        <v>79.285214270828902</v>
      </c>
      <c r="AK1586">
        <v>51.075301149404901</v>
      </c>
      <c r="AL1586">
        <v>90.697387637171204</v>
      </c>
      <c r="AM1586">
        <v>89.076322003501005</v>
      </c>
      <c r="AN1586">
        <v>1.0000000088185099</v>
      </c>
    </row>
    <row r="1587" spans="1:40" x14ac:dyDescent="0.25">
      <c r="A1587" t="str">
        <f>"20190305135822270"</f>
        <v>20190305135822270</v>
      </c>
      <c r="B1587" t="str">
        <f>"1551765502260753"</f>
        <v>1551765502260753</v>
      </c>
      <c r="C1587" t="s">
        <v>40</v>
      </c>
      <c r="D1587">
        <v>4.0608219999999999</v>
      </c>
      <c r="E1587">
        <v>0.58301190000000003</v>
      </c>
      <c r="F1587" t="s">
        <v>61</v>
      </c>
      <c r="G1587">
        <v>-287.46019999999999</v>
      </c>
      <c r="H1587">
        <v>8.0000199999999994E-2</v>
      </c>
      <c r="I1587">
        <v>289.89699999999999</v>
      </c>
      <c r="J1587">
        <v>-214.6687</v>
      </c>
      <c r="K1587">
        <v>1.1038760000000001</v>
      </c>
      <c r="L1587">
        <v>283.08030000000002</v>
      </c>
      <c r="M1587">
        <v>-0.99589329999999998</v>
      </c>
      <c r="N1587">
        <v>-1.6087040000000001E-3</v>
      </c>
      <c r="O1587">
        <v>-9.0520420000000004E-2</v>
      </c>
      <c r="P1587">
        <v>-0.99682579999999998</v>
      </c>
      <c r="Q1587">
        <v>-7.8485459999999996E-3</v>
      </c>
      <c r="R1587">
        <v>-7.9226699999999997E-2</v>
      </c>
      <c r="S1587">
        <v>-3.031952</v>
      </c>
      <c r="T1587">
        <v>-4.2472719999999999E-2</v>
      </c>
      <c r="U1587">
        <v>0.28179929999999997</v>
      </c>
      <c r="V1587">
        <v>1.12652E-2</v>
      </c>
      <c r="W1587">
        <v>-6.3591069999999897E-3</v>
      </c>
      <c r="X1587">
        <v>0.99991629999999998</v>
      </c>
      <c r="Y1587">
        <v>0.18226980000000001</v>
      </c>
      <c r="Z1587">
        <v>2.540764E-3</v>
      </c>
      <c r="AA1587">
        <v>0.98324529999999999</v>
      </c>
      <c r="AB1587">
        <v>29</v>
      </c>
      <c r="AC1587">
        <v>-72.7914999999999</v>
      </c>
      <c r="AD1587">
        <v>-1.0238757999999999</v>
      </c>
      <c r="AE1587">
        <v>6.81669999999996</v>
      </c>
      <c r="AF1587">
        <v>13.3752170612876</v>
      </c>
      <c r="AG1587">
        <v>-1.0238757999999999</v>
      </c>
      <c r="AH1587">
        <v>71.861515521539303</v>
      </c>
      <c r="AI1587">
        <v>90.802509136164701</v>
      </c>
      <c r="AJ1587">
        <v>79.456475521804506</v>
      </c>
      <c r="AK1587">
        <v>73.1028191395026</v>
      </c>
      <c r="AL1587">
        <v>90.364352457341795</v>
      </c>
      <c r="AM1587">
        <v>89.354524864337904</v>
      </c>
      <c r="AN1587">
        <v>0.99999997498928295</v>
      </c>
    </row>
    <row r="1588" spans="1:40" x14ac:dyDescent="0.25">
      <c r="A1588" t="str">
        <f>"20190305135822458"</f>
        <v>20190305135822458</v>
      </c>
      <c r="B1588" t="str">
        <f>"1551765502450098"</f>
        <v>1551765502450098</v>
      </c>
      <c r="C1588" t="s">
        <v>40</v>
      </c>
      <c r="D1588">
        <v>4.226038</v>
      </c>
      <c r="E1588">
        <v>0.58301190000000003</v>
      </c>
      <c r="F1588" t="s">
        <v>62</v>
      </c>
      <c r="G1588">
        <v>-440.20049999999998</v>
      </c>
      <c r="H1588">
        <v>7.7376610000000001</v>
      </c>
      <c r="I1588">
        <v>313.78930000000003</v>
      </c>
      <c r="J1588">
        <v>-217.2619</v>
      </c>
      <c r="K1588">
        <v>1.1045769999999999</v>
      </c>
      <c r="L1588">
        <v>282.93579999999997</v>
      </c>
      <c r="M1588">
        <v>-0.99884050000000002</v>
      </c>
      <c r="N1588">
        <v>-8.1431029999999897E-4</v>
      </c>
      <c r="O1588">
        <v>-4.8139359999999999E-2</v>
      </c>
      <c r="P1588">
        <v>-0.99354609999999999</v>
      </c>
      <c r="Q1588">
        <v>7.2636099999999995E-2</v>
      </c>
      <c r="R1588">
        <v>-8.7123569999999997E-2</v>
      </c>
      <c r="S1588">
        <v>-3.0431819999999998</v>
      </c>
      <c r="T1588">
        <v>8.9512229999999998E-2</v>
      </c>
      <c r="U1588">
        <v>0.41436770000000001</v>
      </c>
      <c r="V1588">
        <v>-3.852013E-2</v>
      </c>
      <c r="W1588">
        <v>7.380333E-2</v>
      </c>
      <c r="X1588">
        <v>0.99652859999999999</v>
      </c>
      <c r="Y1588">
        <v>0.18236350000000001</v>
      </c>
      <c r="Z1588">
        <v>-4.0434290000000003E-3</v>
      </c>
      <c r="AA1588">
        <v>0.98322279999999995</v>
      </c>
      <c r="AB1588">
        <v>31</v>
      </c>
      <c r="AC1588">
        <v>-222.93860000000001</v>
      </c>
      <c r="AD1588">
        <v>6.6330839999999904</v>
      </c>
      <c r="AE1588">
        <v>30.8535</v>
      </c>
      <c r="AF1588">
        <v>41.513793259575202</v>
      </c>
      <c r="AG1588">
        <v>6.6330839999999904</v>
      </c>
      <c r="AH1588">
        <v>221.002899781585</v>
      </c>
      <c r="AI1588">
        <v>88.310398433819401</v>
      </c>
      <c r="AJ1588">
        <v>79.361374527135794</v>
      </c>
      <c r="AK1588">
        <v>224.965940857764</v>
      </c>
      <c r="AL1588">
        <v>85.767532366626796</v>
      </c>
      <c r="AM1588">
        <v>92.213627023389805</v>
      </c>
      <c r="AN1588">
        <v>0.99999999127613204</v>
      </c>
    </row>
    <row r="1589" spans="1:40" x14ac:dyDescent="0.25">
      <c r="A1589" t="str">
        <f>"20190305135822485"</f>
        <v>20190305135822485</v>
      </c>
      <c r="B1589" t="str">
        <f>"1551765502470594"</f>
        <v>1551765502470594</v>
      </c>
      <c r="C1589" t="s">
        <v>40</v>
      </c>
      <c r="D1589">
        <v>4.1682739999999896</v>
      </c>
      <c r="E1589">
        <v>0.53580950000000005</v>
      </c>
      <c r="F1589" t="s">
        <v>63</v>
      </c>
      <c r="G1589">
        <v>-459.875</v>
      </c>
      <c r="H1589">
        <v>27.460439999999998</v>
      </c>
      <c r="I1589">
        <v>314.27210000000002</v>
      </c>
      <c r="J1589">
        <v>-217.62690000000001</v>
      </c>
      <c r="K1589">
        <v>1.1046419999999999</v>
      </c>
      <c r="L1589">
        <v>282.923</v>
      </c>
      <c r="M1589">
        <v>-0.99906470000000003</v>
      </c>
      <c r="N1589">
        <v>-7.6161879999999999E-4</v>
      </c>
      <c r="O1589">
        <v>-4.3231159999999998E-2</v>
      </c>
      <c r="P1589">
        <v>-0.99389850000000002</v>
      </c>
      <c r="Q1589">
        <v>6.8928760000000006E-2</v>
      </c>
      <c r="R1589">
        <v>-8.6108080000000004E-2</v>
      </c>
      <c r="S1589">
        <v>-3.0297550000000002</v>
      </c>
      <c r="T1589">
        <v>0.32913219999999999</v>
      </c>
      <c r="U1589">
        <v>0.39132689999999998</v>
      </c>
      <c r="V1589">
        <v>-4.2440140000000001E-2</v>
      </c>
      <c r="W1589">
        <v>7.0067480000000001E-2</v>
      </c>
      <c r="X1589">
        <v>0.9966391</v>
      </c>
      <c r="Y1589">
        <v>0.16962249999999901</v>
      </c>
      <c r="Z1589">
        <v>-1.378178E-2</v>
      </c>
      <c r="AA1589">
        <v>0.98541270000000003</v>
      </c>
      <c r="AB1589">
        <v>31</v>
      </c>
      <c r="AC1589">
        <v>-242.24809999999999</v>
      </c>
      <c r="AD1589">
        <v>26.355798</v>
      </c>
      <c r="AE1589">
        <v>31.3491</v>
      </c>
      <c r="AF1589">
        <v>41.311523087248801</v>
      </c>
      <c r="AG1589">
        <v>26.355798</v>
      </c>
      <c r="AH1589">
        <v>237.896823914723</v>
      </c>
      <c r="AI1589">
        <v>83.770648454398795</v>
      </c>
      <c r="AJ1589">
        <v>80.148649611033093</v>
      </c>
      <c r="AK1589">
        <v>242.89126961815199</v>
      </c>
      <c r="AL1589">
        <v>85.982137173255794</v>
      </c>
      <c r="AM1589">
        <v>92.4383678191451</v>
      </c>
      <c r="AN1589">
        <v>1.00000005644278</v>
      </c>
    </row>
    <row r="1590" spans="1:40" x14ac:dyDescent="0.25">
      <c r="A1590" t="str">
        <f>"20190305135822527"</f>
        <v>20190305135822527</v>
      </c>
      <c r="B1590" t="str">
        <f>"1551765502520369"</f>
        <v>1551765502520369</v>
      </c>
      <c r="C1590" t="s">
        <v>40</v>
      </c>
      <c r="D1590">
        <v>4.189381</v>
      </c>
      <c r="E1590">
        <v>0.53701580000000004</v>
      </c>
      <c r="F1590" t="s">
        <v>55</v>
      </c>
      <c r="G1590">
        <v>0</v>
      </c>
      <c r="H1590">
        <v>0</v>
      </c>
      <c r="I1590">
        <v>0</v>
      </c>
      <c r="J1590">
        <v>-218.2252</v>
      </c>
      <c r="K1590">
        <v>1.104762</v>
      </c>
      <c r="L1590">
        <v>282.9051</v>
      </c>
      <c r="M1590">
        <v>-0.99936519999999995</v>
      </c>
      <c r="N1590">
        <v>-7.0106940000000005E-4</v>
      </c>
      <c r="O1590">
        <v>-3.5623699999999897E-2</v>
      </c>
      <c r="P1590">
        <v>-0.99386909999999895</v>
      </c>
      <c r="Q1590">
        <v>6.8612019999999996E-2</v>
      </c>
      <c r="R1590">
        <v>-8.6700659999999999E-2</v>
      </c>
      <c r="S1590">
        <v>-3.0168460000000001</v>
      </c>
      <c r="T1590">
        <v>7.1671609999999997E-2</v>
      </c>
      <c r="U1590">
        <v>3.9154050000000003E-2</v>
      </c>
      <c r="V1590">
        <v>-5.0650859999999999E-2</v>
      </c>
      <c r="W1590">
        <v>6.9742579999999998E-2</v>
      </c>
      <c r="X1590">
        <v>0.99627829999999995</v>
      </c>
      <c r="Y1590">
        <v>4.8565900000000002E-2</v>
      </c>
      <c r="Z1590">
        <v>-1.4308089999999999E-3</v>
      </c>
      <c r="AA1590">
        <v>0.99881889999999995</v>
      </c>
      <c r="AB1590">
        <v>32</v>
      </c>
      <c r="AC1590">
        <v>-3.0168460000000001</v>
      </c>
      <c r="AD1590">
        <v>7.1671609999999997E-2</v>
      </c>
      <c r="AE1590">
        <v>3.9154050000000003E-2</v>
      </c>
      <c r="AF1590">
        <v>0.14651774189963501</v>
      </c>
      <c r="AG1590">
        <v>7.1671609999999997E-2</v>
      </c>
      <c r="AH1590">
        <v>3.0118367201720102</v>
      </c>
      <c r="AI1590">
        <v>88.638419509206003</v>
      </c>
      <c r="AJ1590">
        <v>87.214910336666094</v>
      </c>
      <c r="AK1590">
        <v>3.01625010523794</v>
      </c>
      <c r="AL1590">
        <v>86.000797972626998</v>
      </c>
      <c r="AM1590">
        <v>92.910415723091404</v>
      </c>
      <c r="AN1590">
        <v>0.99999999406734297</v>
      </c>
    </row>
    <row r="1591" spans="1:40" x14ac:dyDescent="0.25">
      <c r="A1591" t="str">
        <f>"20190305135822547"</f>
        <v>20190305135822547</v>
      </c>
      <c r="B1591" t="str">
        <f>"1551765502539890"</f>
        <v>1551765502539890</v>
      </c>
      <c r="C1591" t="s">
        <v>40</v>
      </c>
      <c r="D1591">
        <v>4.1759829999999996</v>
      </c>
      <c r="E1591">
        <v>0.53698440000000003</v>
      </c>
      <c r="F1591" t="s">
        <v>61</v>
      </c>
      <c r="G1591">
        <v>-303.83120000000002</v>
      </c>
      <c r="H1591" s="1">
        <v>3.3013929999999999E-6</v>
      </c>
      <c r="I1591">
        <v>284.42899999999997</v>
      </c>
      <c r="J1591">
        <v>-218.53970000000001</v>
      </c>
      <c r="K1591">
        <v>1.104816</v>
      </c>
      <c r="L1591">
        <v>282.89729999999997</v>
      </c>
      <c r="M1591">
        <v>-0.99949310000000002</v>
      </c>
      <c r="N1591">
        <v>-6.8115190000000005E-4</v>
      </c>
      <c r="O1591">
        <v>-3.1832480000000003E-2</v>
      </c>
      <c r="P1591">
        <v>-0.99391870000000004</v>
      </c>
      <c r="Q1591">
        <v>6.8735409999999997E-2</v>
      </c>
      <c r="R1591">
        <v>-8.6030809999999999E-2</v>
      </c>
      <c r="S1591">
        <v>-3.0258940000000001</v>
      </c>
      <c r="T1591">
        <v>-3.9049630000000002E-2</v>
      </c>
      <c r="U1591">
        <v>5.386353E-2</v>
      </c>
      <c r="V1591">
        <v>-5.377084E-2</v>
      </c>
      <c r="W1591">
        <v>6.9862460000000001E-2</v>
      </c>
      <c r="X1591">
        <v>0.99610639999999995</v>
      </c>
      <c r="Y1591">
        <v>4.9609739999999999E-2</v>
      </c>
      <c r="Z1591">
        <v>7.2601890000000002E-4</v>
      </c>
      <c r="AA1591">
        <v>0.9987684</v>
      </c>
      <c r="AB1591">
        <v>32</v>
      </c>
      <c r="AC1591">
        <v>-85.291499999999999</v>
      </c>
      <c r="AD1591">
        <v>-1.1048126986069999</v>
      </c>
      <c r="AE1591">
        <v>1.53170000000005</v>
      </c>
      <c r="AF1591">
        <v>4.2452519700401004</v>
      </c>
      <c r="AG1591">
        <v>-1.1048126986069999</v>
      </c>
      <c r="AH1591">
        <v>85.1852293812493</v>
      </c>
      <c r="AI1591">
        <v>90.742136975087504</v>
      </c>
      <c r="AJ1591">
        <v>87.146994173580893</v>
      </c>
      <c r="AK1591">
        <v>85.298101269161904</v>
      </c>
      <c r="AL1591">
        <v>85.993912637155802</v>
      </c>
      <c r="AM1591">
        <v>93.089885719037298</v>
      </c>
      <c r="AN1591">
        <v>1.0000000133362501</v>
      </c>
    </row>
    <row r="1592" spans="1:40" x14ac:dyDescent="0.25">
      <c r="A1592" t="str">
        <f>"20190305135822571"</f>
        <v>20190305135822571</v>
      </c>
      <c r="B1592" t="str">
        <f>"1551765502560386"</f>
        <v>1551765502560386</v>
      </c>
      <c r="C1592" t="s">
        <v>40</v>
      </c>
      <c r="D1592">
        <v>4.2081629999999999</v>
      </c>
      <c r="E1592">
        <v>0.53676590000000002</v>
      </c>
      <c r="F1592" t="s">
        <v>61</v>
      </c>
      <c r="G1592">
        <v>-289.50959999999998</v>
      </c>
      <c r="H1592" s="1">
        <v>4.274778E-6</v>
      </c>
      <c r="I1592">
        <v>284.18259999999998</v>
      </c>
      <c r="J1592">
        <v>-218.87569999999999</v>
      </c>
      <c r="K1592">
        <v>1.10486</v>
      </c>
      <c r="L1592">
        <v>282.89019999999999</v>
      </c>
      <c r="M1592">
        <v>-0.99960990000000005</v>
      </c>
      <c r="N1592">
        <v>-6.6717479999999895E-4</v>
      </c>
      <c r="O1592">
        <v>-2.7921229999999998E-2</v>
      </c>
      <c r="P1592">
        <v>-0.99408229999999997</v>
      </c>
      <c r="Q1592">
        <v>6.7455230000000005E-2</v>
      </c>
      <c r="R1592">
        <v>-8.5150219999999999E-2</v>
      </c>
      <c r="S1592">
        <v>-3.0263520000000002</v>
      </c>
      <c r="T1592">
        <v>-4.7112229999999998E-2</v>
      </c>
      <c r="U1592">
        <v>5.4809570000000002E-2</v>
      </c>
      <c r="V1592">
        <v>-5.6806019999999999E-2</v>
      </c>
      <c r="W1592">
        <v>6.8583320000000003E-2</v>
      </c>
      <c r="X1592">
        <v>0.99602679999999999</v>
      </c>
      <c r="Y1592">
        <v>4.6008500000000001E-2</v>
      </c>
      <c r="Z1592">
        <v>7.893698E-4</v>
      </c>
      <c r="AA1592">
        <v>0.99894079999999996</v>
      </c>
      <c r="AB1592">
        <v>32</v>
      </c>
      <c r="AC1592">
        <v>-70.633899999999898</v>
      </c>
      <c r="AD1592">
        <v>-1.1048557252219999</v>
      </c>
      <c r="AE1592">
        <v>1.29239999999998</v>
      </c>
      <c r="AF1592">
        <v>3.2632837734779798</v>
      </c>
      <c r="AG1592">
        <v>-1.1048557252219999</v>
      </c>
      <c r="AH1592">
        <v>70.553019701949196</v>
      </c>
      <c r="AI1592">
        <v>90.896216882343296</v>
      </c>
      <c r="AJ1592">
        <v>87.351789800686007</v>
      </c>
      <c r="AK1592">
        <v>70.637088814753895</v>
      </c>
      <c r="AL1592">
        <v>86.067378104514205</v>
      </c>
      <c r="AM1592">
        <v>93.264192432606706</v>
      </c>
      <c r="AN1592">
        <v>0.999999991004351</v>
      </c>
    </row>
    <row r="1593" spans="1:40" x14ac:dyDescent="0.25">
      <c r="A1593" t="str">
        <f>"20190305135822592"</f>
        <v>20190305135822592</v>
      </c>
      <c r="B1593" t="str">
        <f>"1551765502579909"</f>
        <v>1551765502579909</v>
      </c>
      <c r="C1593" t="s">
        <v>40</v>
      </c>
      <c r="D1593">
        <v>4.1881959999999996</v>
      </c>
      <c r="E1593">
        <v>0.53655799999999998</v>
      </c>
      <c r="F1593" t="s">
        <v>59</v>
      </c>
      <c r="G1593">
        <v>-277.78449999999998</v>
      </c>
      <c r="H1593" s="1">
        <v>2.6344909999999999E-6</v>
      </c>
      <c r="I1593">
        <v>283.9588</v>
      </c>
      <c r="J1593">
        <v>-219.1883</v>
      </c>
      <c r="K1593">
        <v>1.10491299999999</v>
      </c>
      <c r="L1593">
        <v>282.8845</v>
      </c>
      <c r="M1593">
        <v>-0.99970179999999997</v>
      </c>
      <c r="N1593">
        <v>-6.5990000000000005E-4</v>
      </c>
      <c r="O1593">
        <v>-2.4413799999999999E-2</v>
      </c>
      <c r="P1593">
        <v>-0.99410449999999995</v>
      </c>
      <c r="Q1593">
        <v>6.7717799999999995E-2</v>
      </c>
      <c r="R1593">
        <v>-8.4681569999999998E-2</v>
      </c>
      <c r="S1593">
        <v>-3.0264129999999998</v>
      </c>
      <c r="T1593">
        <v>-5.6761499999999999E-2</v>
      </c>
      <c r="U1593">
        <v>5.4901119999999998E-2</v>
      </c>
      <c r="V1593">
        <v>-5.9840940000000002E-2</v>
      </c>
      <c r="W1593">
        <v>6.8853049999999999E-2</v>
      </c>
      <c r="X1593">
        <v>0.99583049999999995</v>
      </c>
      <c r="Y1593">
        <v>4.2530320000000003E-2</v>
      </c>
      <c r="Z1593">
        <v>8.5449829999999997E-4</v>
      </c>
      <c r="AA1593">
        <v>0.99909479999999995</v>
      </c>
      <c r="AB1593">
        <v>32</v>
      </c>
      <c r="AC1593">
        <v>-58.596199999999897</v>
      </c>
      <c r="AD1593">
        <v>-1.10491036550899</v>
      </c>
      <c r="AE1593">
        <v>1.07429999999999</v>
      </c>
      <c r="AF1593">
        <v>2.5036459967929301</v>
      </c>
      <c r="AG1593">
        <v>-1.10491036550899</v>
      </c>
      <c r="AH1593">
        <v>58.5317023415977</v>
      </c>
      <c r="AI1593">
        <v>91.080463510291594</v>
      </c>
      <c r="AJ1593">
        <v>87.550712633713999</v>
      </c>
      <c r="AK1593">
        <v>58.595641895950401</v>
      </c>
      <c r="AL1593">
        <v>86.0518872594306</v>
      </c>
      <c r="AM1593">
        <v>93.438853605392893</v>
      </c>
      <c r="AN1593">
        <v>1.00000003266231</v>
      </c>
    </row>
    <row r="1594" spans="1:40" x14ac:dyDescent="0.25">
      <c r="A1594" t="str">
        <f>"20190305135822613"</f>
        <v>20190305135822613</v>
      </c>
      <c r="B1594" t="str">
        <f>"1551765502600401"</f>
        <v>1551765502600401</v>
      </c>
      <c r="C1594" t="s">
        <v>40</v>
      </c>
      <c r="D1594">
        <v>4.2245269999999904</v>
      </c>
      <c r="E1594">
        <v>0.53636709999999999</v>
      </c>
      <c r="F1594" t="s">
        <v>59</v>
      </c>
      <c r="G1594">
        <v>-275.54750000000001</v>
      </c>
      <c r="H1594" s="1">
        <v>1.447466E-6</v>
      </c>
      <c r="I1594">
        <v>283.88080000000002</v>
      </c>
      <c r="J1594">
        <v>-219.49639999999999</v>
      </c>
      <c r="K1594">
        <v>1.1049800000000001</v>
      </c>
      <c r="L1594">
        <v>282.87990000000002</v>
      </c>
      <c r="M1594">
        <v>-0.99977780000000005</v>
      </c>
      <c r="N1594">
        <v>-6.5750229999999904E-4</v>
      </c>
      <c r="O1594">
        <v>-2.1073990000000001E-2</v>
      </c>
      <c r="P1594">
        <v>-0.99402239999999997</v>
      </c>
      <c r="Q1594">
        <v>6.8380399999999994E-2</v>
      </c>
      <c r="R1594">
        <v>-8.5112430000000003E-2</v>
      </c>
      <c r="S1594">
        <v>-3.0263819999999999</v>
      </c>
      <c r="T1594">
        <v>-5.9331660000000001E-2</v>
      </c>
      <c r="U1594">
        <v>5.3497309999999999E-2</v>
      </c>
      <c r="V1594">
        <v>-6.3605430000000004E-2</v>
      </c>
      <c r="W1594">
        <v>6.9532830000000004E-2</v>
      </c>
      <c r="X1594">
        <v>0.99554989999999999</v>
      </c>
      <c r="Y1594">
        <v>3.8729529999999998E-2</v>
      </c>
      <c r="Z1594">
        <v>7.9153289999999896E-4</v>
      </c>
      <c r="AA1594">
        <v>0.99924939999999995</v>
      </c>
      <c r="AB1594">
        <v>33</v>
      </c>
      <c r="AC1594">
        <v>-56.051099999999998</v>
      </c>
      <c r="AD1594">
        <v>-1.1049785525339999</v>
      </c>
      <c r="AE1594">
        <v>1.0008999999999999</v>
      </c>
      <c r="AF1594">
        <v>2.1810508224646998</v>
      </c>
      <c r="AG1594">
        <v>-1.1049785525339999</v>
      </c>
      <c r="AH1594">
        <v>55.995804275604698</v>
      </c>
      <c r="AI1594">
        <v>91.129628206705306</v>
      </c>
      <c r="AJ1594">
        <v>87.769442364906396</v>
      </c>
      <c r="AK1594">
        <v>56.049157502709697</v>
      </c>
      <c r="AL1594">
        <v>86.012845169081302</v>
      </c>
      <c r="AM1594">
        <v>93.655644197871197</v>
      </c>
      <c r="AN1594">
        <v>1.00000003428165</v>
      </c>
    </row>
    <row r="1595" spans="1:40" x14ac:dyDescent="0.25">
      <c r="A1595" t="str">
        <f>"20190305135822636"</f>
        <v>20190305135822636</v>
      </c>
      <c r="B1595" t="str">
        <f>"1551765502630658"</f>
        <v>1551765502630658</v>
      </c>
      <c r="C1595" t="s">
        <v>40</v>
      </c>
      <c r="D1595">
        <v>4.2219230000000003</v>
      </c>
      <c r="E1595">
        <v>0.53567290000000001</v>
      </c>
      <c r="F1595" t="s">
        <v>59</v>
      </c>
      <c r="G1595">
        <v>-275.77809999999999</v>
      </c>
      <c r="H1595" s="1">
        <v>1.573075E-6</v>
      </c>
      <c r="I1595">
        <v>283.8141</v>
      </c>
      <c r="J1595">
        <v>-219.8374</v>
      </c>
      <c r="K1595">
        <v>1.1050500000000001</v>
      </c>
      <c r="L1595">
        <v>282.8759</v>
      </c>
      <c r="M1595">
        <v>-0.99984660000000003</v>
      </c>
      <c r="N1595">
        <v>-6.5984020000000004E-4</v>
      </c>
      <c r="O1595">
        <v>-1.7497499999999999E-2</v>
      </c>
      <c r="P1595">
        <v>-0.99383129999999997</v>
      </c>
      <c r="Q1595">
        <v>7.1412020000000007E-2</v>
      </c>
      <c r="R1595">
        <v>-8.4850910000000002E-2</v>
      </c>
      <c r="S1595">
        <v>-3.0264280000000001</v>
      </c>
      <c r="T1595">
        <v>-5.941784E-2</v>
      </c>
      <c r="U1595">
        <v>5.0231930000000001E-2</v>
      </c>
      <c r="V1595">
        <v>-6.689784E-2</v>
      </c>
      <c r="W1595">
        <v>7.2580179999999994E-2</v>
      </c>
      <c r="X1595">
        <v>0.99511649999999996</v>
      </c>
      <c r="Y1595">
        <v>3.4078089999999998E-2</v>
      </c>
      <c r="Z1595">
        <v>6.7764429999999905E-4</v>
      </c>
      <c r="AA1595">
        <v>0.9994189</v>
      </c>
      <c r="AB1595">
        <v>33</v>
      </c>
      <c r="AC1595">
        <v>-55.9406999999999</v>
      </c>
      <c r="AD1595">
        <v>-1.105048426925</v>
      </c>
      <c r="AE1595">
        <v>0.93819999999999404</v>
      </c>
      <c r="AF1595">
        <v>1.9161315688513401</v>
      </c>
      <c r="AG1595">
        <v>-1.105048426925</v>
      </c>
      <c r="AH1595">
        <v>55.893915052228401</v>
      </c>
      <c r="AI1595">
        <v>91.131951597623697</v>
      </c>
      <c r="AJ1595">
        <v>88.036579220122505</v>
      </c>
      <c r="AK1595">
        <v>55.9376655937725</v>
      </c>
      <c r="AL1595">
        <v>85.837802320997199</v>
      </c>
      <c r="AM1595">
        <v>93.845987202761293</v>
      </c>
      <c r="AN1595">
        <v>1.0000000260488699</v>
      </c>
    </row>
    <row r="1596" spans="1:40" x14ac:dyDescent="0.25">
      <c r="A1596" t="str">
        <f>"20190305135822658"</f>
        <v>20190305135822658</v>
      </c>
      <c r="B1596" t="str">
        <f>"1551765502650178"</f>
        <v>1551765502650178</v>
      </c>
      <c r="C1596" t="s">
        <v>40</v>
      </c>
      <c r="D1596">
        <v>4.2438859999999998</v>
      </c>
      <c r="E1596">
        <v>0.53461599999999998</v>
      </c>
      <c r="F1596" t="s">
        <v>61</v>
      </c>
      <c r="G1596">
        <v>-289.36340000000001</v>
      </c>
      <c r="H1596" s="1">
        <v>4.3948779999999999E-6</v>
      </c>
      <c r="I1596">
        <v>283.91500000000002</v>
      </c>
      <c r="J1596">
        <v>-220.1755</v>
      </c>
      <c r="K1596">
        <v>1.105119</v>
      </c>
      <c r="L1596">
        <v>282.87299999999999</v>
      </c>
      <c r="M1596">
        <v>-0.99990069999999998</v>
      </c>
      <c r="N1596">
        <v>-6.6686350000000002E-4</v>
      </c>
      <c r="O1596">
        <v>-1.407543E-2</v>
      </c>
      <c r="P1596">
        <v>-0.99371580000000004</v>
      </c>
      <c r="Q1596">
        <v>7.3820109999999994E-2</v>
      </c>
      <c r="R1596">
        <v>-8.4138829999999998E-2</v>
      </c>
      <c r="S1596">
        <v>-3.0259399999999999</v>
      </c>
      <c r="T1596">
        <v>-4.8094270000000001E-2</v>
      </c>
      <c r="U1596">
        <v>4.5227049999999998E-2</v>
      </c>
      <c r="V1596">
        <v>-6.9586469999999997E-2</v>
      </c>
      <c r="W1596">
        <v>7.5004489999999993E-2</v>
      </c>
      <c r="X1596">
        <v>0.99475219999999998</v>
      </c>
      <c r="Y1596">
        <v>2.901171E-2</v>
      </c>
      <c r="Z1596">
        <v>4.545064E-4</v>
      </c>
      <c r="AA1596">
        <v>0.999579</v>
      </c>
      <c r="AB1596">
        <v>33</v>
      </c>
      <c r="AC1596">
        <v>-69.187899999999999</v>
      </c>
      <c r="AD1596">
        <v>-1.105114605122</v>
      </c>
      <c r="AE1596">
        <v>1.04200000000003</v>
      </c>
      <c r="AF1596">
        <v>2.0152324276775802</v>
      </c>
      <c r="AG1596">
        <v>-1.105114605122</v>
      </c>
      <c r="AH1596">
        <v>69.148741755006299</v>
      </c>
      <c r="AI1596">
        <v>90.915217626420997</v>
      </c>
      <c r="AJ1596">
        <v>88.330676205156706</v>
      </c>
      <c r="AK1596">
        <v>69.186927423672799</v>
      </c>
      <c r="AL1596">
        <v>85.698519473026593</v>
      </c>
      <c r="AM1596">
        <v>94.001525795125801</v>
      </c>
      <c r="AN1596">
        <v>0.99999994486602894</v>
      </c>
    </row>
    <row r="1597" spans="1:40" x14ac:dyDescent="0.25">
      <c r="A1597" t="str">
        <f>"20190305135822684"</f>
        <v>20190305135822684</v>
      </c>
      <c r="B1597" t="str">
        <f>"1551765502670673"</f>
        <v>1551765502670673</v>
      </c>
      <c r="C1597" t="s">
        <v>40</v>
      </c>
      <c r="D1597">
        <v>4.2469000000000001</v>
      </c>
      <c r="E1597">
        <v>0.53365209999999996</v>
      </c>
      <c r="F1597" t="s">
        <v>61</v>
      </c>
      <c r="G1597">
        <v>-315.05869999999999</v>
      </c>
      <c r="H1597" s="1">
        <v>4.507353E-6</v>
      </c>
      <c r="I1597">
        <v>284.07819999999998</v>
      </c>
      <c r="J1597">
        <v>-220.54650000000001</v>
      </c>
      <c r="K1597">
        <v>1.105173</v>
      </c>
      <c r="L1597">
        <v>282.87099999999998</v>
      </c>
      <c r="M1597">
        <v>-0.99994499999999997</v>
      </c>
      <c r="N1597">
        <v>-6.7950179999999897E-4</v>
      </c>
      <c r="O1597">
        <v>-1.0457849999999999E-2</v>
      </c>
      <c r="P1597">
        <v>-0.99388960000000004</v>
      </c>
      <c r="Q1597">
        <v>7.3230020000000007E-2</v>
      </c>
      <c r="R1597">
        <v>-8.2587670000000002E-2</v>
      </c>
      <c r="S1597">
        <v>-3.0248409999999999</v>
      </c>
      <c r="T1597">
        <v>-3.5230640000000001E-2</v>
      </c>
      <c r="U1597">
        <v>3.8421629999999998E-2</v>
      </c>
      <c r="V1597">
        <v>-7.1648489999999995E-2</v>
      </c>
      <c r="W1597">
        <v>7.4430540000000003E-2</v>
      </c>
      <c r="X1597">
        <v>0.99464900000000001</v>
      </c>
      <c r="Y1597">
        <v>2.3155040000000002E-2</v>
      </c>
      <c r="Z1597">
        <v>2.573915E-4</v>
      </c>
      <c r="AA1597">
        <v>0.99973179999999995</v>
      </c>
      <c r="AB1597">
        <v>33</v>
      </c>
      <c r="AC1597">
        <v>-94.512199999999893</v>
      </c>
      <c r="AD1597">
        <v>-1.105168492647</v>
      </c>
      <c r="AE1597">
        <v>1.2072000000000001</v>
      </c>
      <c r="AF1597">
        <v>2.1952285900550002</v>
      </c>
      <c r="AG1597">
        <v>-1.105168492647</v>
      </c>
      <c r="AH1597">
        <v>94.481490029397804</v>
      </c>
      <c r="AI1597">
        <v>90.669988587191895</v>
      </c>
      <c r="AJ1597">
        <v>88.669001649919394</v>
      </c>
      <c r="AK1597">
        <v>94.513450810638204</v>
      </c>
      <c r="AL1597">
        <v>85.731496898675402</v>
      </c>
      <c r="AM1597">
        <v>94.120124496173304</v>
      </c>
      <c r="AN1597">
        <v>1.0000000223024801</v>
      </c>
    </row>
    <row r="1598" spans="1:40" x14ac:dyDescent="0.25">
      <c r="A1598" t="str">
        <f>"20190305135822705"</f>
        <v>20190305135822705</v>
      </c>
      <c r="B1598" t="str">
        <f>"1551765502699954"</f>
        <v>1551765502699954</v>
      </c>
      <c r="C1598" t="s">
        <v>40</v>
      </c>
      <c r="D1598">
        <v>4.4208509999999999</v>
      </c>
      <c r="E1598">
        <v>0.53290409999999999</v>
      </c>
      <c r="F1598" t="s">
        <v>59</v>
      </c>
      <c r="G1598">
        <v>-324.65980000000002</v>
      </c>
      <c r="H1598" s="1">
        <v>9.6640309999999999E-7</v>
      </c>
      <c r="I1598">
        <v>284.07940000000002</v>
      </c>
      <c r="J1598">
        <v>-220.87880000000001</v>
      </c>
      <c r="K1598">
        <v>1.1052109999999999</v>
      </c>
      <c r="L1598">
        <v>282.87029999999999</v>
      </c>
      <c r="M1598">
        <v>-0.99997309999999995</v>
      </c>
      <c r="N1598">
        <v>-6.9456940000000005E-4</v>
      </c>
      <c r="O1598">
        <v>-7.3063030000000001E-3</v>
      </c>
      <c r="P1598">
        <v>-0.99403620000000004</v>
      </c>
      <c r="Q1598">
        <v>7.3139029999999994E-2</v>
      </c>
      <c r="R1598">
        <v>-8.0887870000000001E-2</v>
      </c>
      <c r="S1598">
        <v>-3.0237120000000002</v>
      </c>
      <c r="T1598">
        <v>-3.2096979999999997E-2</v>
      </c>
      <c r="U1598">
        <v>3.5095210000000002E-2</v>
      </c>
      <c r="V1598">
        <v>-7.3092069999999995E-2</v>
      </c>
      <c r="W1598">
        <v>7.4355889999999994E-2</v>
      </c>
      <c r="X1598">
        <v>0.99454949999999998</v>
      </c>
      <c r="Y1598">
        <v>1.8909889999999999E-2</v>
      </c>
      <c r="Z1598">
        <v>1.794047E-4</v>
      </c>
      <c r="AA1598">
        <v>0.99982119999999997</v>
      </c>
      <c r="AB1598">
        <v>33</v>
      </c>
      <c r="AC1598">
        <v>-103.78100000000001</v>
      </c>
      <c r="AD1598">
        <v>-1.1052100335969</v>
      </c>
      <c r="AE1598">
        <v>1.20910000000003</v>
      </c>
      <c r="AF1598">
        <v>1.9671002573579599</v>
      </c>
      <c r="AG1598">
        <v>-1.1052100335969</v>
      </c>
      <c r="AH1598">
        <v>103.757630261206</v>
      </c>
      <c r="AI1598">
        <v>90.610172954060005</v>
      </c>
      <c r="AJ1598">
        <v>88.913881881007995</v>
      </c>
      <c r="AK1598">
        <v>103.78216036517099</v>
      </c>
      <c r="AL1598">
        <v>85.735785726367396</v>
      </c>
      <c r="AM1598">
        <v>94.203261552476107</v>
      </c>
      <c r="AN1598">
        <v>0.99999997851241296</v>
      </c>
    </row>
    <row r="1599" spans="1:40" x14ac:dyDescent="0.25">
      <c r="A1599" t="str">
        <f>"20190305135822725"</f>
        <v>20190305135822725</v>
      </c>
      <c r="B1599" t="str">
        <f>"1551765502720450"</f>
        <v>1551765502720450</v>
      </c>
      <c r="C1599" t="s">
        <v>40</v>
      </c>
      <c r="D1599">
        <v>4.2686960000000003</v>
      </c>
      <c r="E1599">
        <v>0.53240739999999998</v>
      </c>
      <c r="F1599" t="s">
        <v>59</v>
      </c>
      <c r="G1599">
        <v>-334.22910000000002</v>
      </c>
      <c r="H1599" s="1">
        <v>7.3397439999999997E-7</v>
      </c>
      <c r="I1599">
        <v>284.15300000000002</v>
      </c>
      <c r="J1599">
        <v>-221.17599999999999</v>
      </c>
      <c r="K1599">
        <v>1.1052299999999999</v>
      </c>
      <c r="L1599">
        <v>282.87040000000002</v>
      </c>
      <c r="M1599">
        <v>-0.99998940000000003</v>
      </c>
      <c r="N1599">
        <v>-7.1066779999999995E-4</v>
      </c>
      <c r="O1599">
        <v>-4.5574159999999999E-3</v>
      </c>
      <c r="P1599">
        <v>-0.99427750000000004</v>
      </c>
      <c r="Q1599">
        <v>7.2685860000000005E-2</v>
      </c>
      <c r="R1599">
        <v>-7.828736E-2</v>
      </c>
      <c r="S1599">
        <v>-3.0229490000000001</v>
      </c>
      <c r="T1599">
        <v>-2.947497E-2</v>
      </c>
      <c r="U1599">
        <v>3.4210209999999998E-2</v>
      </c>
      <c r="V1599">
        <v>-7.3233909999999999E-2</v>
      </c>
      <c r="W1599">
        <v>7.3912690000000003E-2</v>
      </c>
      <c r="X1599">
        <v>0.99457209999999996</v>
      </c>
      <c r="Y1599">
        <v>1.587212E-2</v>
      </c>
      <c r="Z1599">
        <v>1.2421139999999999E-4</v>
      </c>
      <c r="AA1599">
        <v>0.99987400000000004</v>
      </c>
      <c r="AB1599">
        <v>34</v>
      </c>
      <c r="AC1599">
        <v>-113.0531</v>
      </c>
      <c r="AD1599">
        <v>-1.1052292660256</v>
      </c>
      <c r="AE1599">
        <v>1.2826</v>
      </c>
      <c r="AF1599">
        <v>1.79764501159384</v>
      </c>
      <c r="AG1599">
        <v>-1.1052292660256</v>
      </c>
      <c r="AH1599">
        <v>113.035278747264</v>
      </c>
      <c r="AI1599">
        <v>90.560134405656498</v>
      </c>
      <c r="AJ1599">
        <v>89.088879229751598</v>
      </c>
      <c r="AK1599">
        <v>113.054974683955</v>
      </c>
      <c r="AL1599">
        <v>85.761249277847895</v>
      </c>
      <c r="AM1599">
        <v>94.211293588736098</v>
      </c>
      <c r="AN1599">
        <v>0.99999997670766605</v>
      </c>
    </row>
    <row r="1600" spans="1:40" x14ac:dyDescent="0.25">
      <c r="A1600" t="str">
        <f>"20190305135822749"</f>
        <v>20190305135822749</v>
      </c>
      <c r="B1600" t="str">
        <f>"1551765502739970"</f>
        <v>1551765502739970</v>
      </c>
      <c r="C1600" t="s">
        <v>40</v>
      </c>
      <c r="D1600">
        <v>4.2522440000000001</v>
      </c>
      <c r="E1600">
        <v>0.53192039999999996</v>
      </c>
      <c r="F1600" t="s">
        <v>59</v>
      </c>
      <c r="G1600">
        <v>-333.63639999999998</v>
      </c>
      <c r="H1600" s="1">
        <v>4.1207250000000003E-7</v>
      </c>
      <c r="I1600">
        <v>284.30119999999999</v>
      </c>
      <c r="J1600">
        <v>-221.55799999999999</v>
      </c>
      <c r="K1600">
        <v>1.1052679999999999</v>
      </c>
      <c r="L1600">
        <v>282.87169999999998</v>
      </c>
      <c r="M1600">
        <v>-0.99999899999999997</v>
      </c>
      <c r="N1600">
        <v>-7.3392429999999897E-4</v>
      </c>
      <c r="O1600">
        <v>-1.1253509999999999E-3</v>
      </c>
      <c r="P1600">
        <v>-0.99458749999999996</v>
      </c>
      <c r="Q1600">
        <v>7.1953719999999999E-2</v>
      </c>
      <c r="R1600">
        <v>-7.4954759999999995E-2</v>
      </c>
      <c r="S1600">
        <v>-3.0224299999999999</v>
      </c>
      <c r="T1600">
        <v>-2.970362E-2</v>
      </c>
      <c r="U1600">
        <v>3.8452149999999997E-2</v>
      </c>
      <c r="V1600">
        <v>-7.3328379999999999E-2</v>
      </c>
      <c r="W1600">
        <v>7.3195079999999996E-2</v>
      </c>
      <c r="X1600">
        <v>0.99461820000000001</v>
      </c>
      <c r="Y1600">
        <v>1.3845720000000001E-2</v>
      </c>
      <c r="Z1600" s="1">
        <v>8.3345859999999893E-5</v>
      </c>
      <c r="AA1600">
        <v>0.99990420000000002</v>
      </c>
      <c r="AB1600">
        <v>34</v>
      </c>
      <c r="AC1600">
        <v>-112.0784</v>
      </c>
      <c r="AD1600">
        <v>-1.1052675879275</v>
      </c>
      <c r="AE1600">
        <v>1.42950000000001</v>
      </c>
      <c r="AF1600">
        <v>1.5554754347356099</v>
      </c>
      <c r="AG1600">
        <v>-1.1052675879275</v>
      </c>
      <c r="AH1600">
        <v>112.065823676996</v>
      </c>
      <c r="AI1600">
        <v>90.565016291956695</v>
      </c>
      <c r="AJ1600">
        <v>89.204784723736793</v>
      </c>
      <c r="AK1600">
        <v>112.08206795322999</v>
      </c>
      <c r="AL1600">
        <v>85.802476940725199</v>
      </c>
      <c r="AM1600">
        <v>94.216511738008904</v>
      </c>
      <c r="AN1600">
        <v>0.99999996741043395</v>
      </c>
    </row>
    <row r="1601" spans="1:40" x14ac:dyDescent="0.25">
      <c r="A1601" t="str">
        <f>"20190305135822772"</f>
        <v>20190305135822772</v>
      </c>
      <c r="B1601" t="str">
        <f>"1551765502760465"</f>
        <v>1551765502760465</v>
      </c>
      <c r="C1601" t="s">
        <v>40</v>
      </c>
      <c r="D1601">
        <v>4.3017909999999997</v>
      </c>
      <c r="E1601">
        <v>0.53131700000000004</v>
      </c>
      <c r="F1601" t="s">
        <v>59</v>
      </c>
      <c r="G1601">
        <v>-327.82260000000002</v>
      </c>
      <c r="H1601" s="1">
        <v>2.6332699999999999E-6</v>
      </c>
      <c r="I1601">
        <v>284.45030000000003</v>
      </c>
      <c r="J1601">
        <v>-221.90180000000001</v>
      </c>
      <c r="K1601">
        <v>1.105297</v>
      </c>
      <c r="L1601">
        <v>282.87380000000002</v>
      </c>
      <c r="M1601">
        <v>-0.99999800000000005</v>
      </c>
      <c r="N1601">
        <v>-7.5671889999999996E-4</v>
      </c>
      <c r="O1601">
        <v>1.8656619999999999E-3</v>
      </c>
      <c r="P1601">
        <v>-0.99488120000000002</v>
      </c>
      <c r="Q1601">
        <v>7.099606E-2</v>
      </c>
      <c r="R1601">
        <v>-7.1910509999999997E-2</v>
      </c>
      <c r="S1601">
        <v>-3.0219879999999999</v>
      </c>
      <c r="T1601">
        <v>-3.143191E-2</v>
      </c>
      <c r="U1601">
        <v>4.4891359999999998E-2</v>
      </c>
      <c r="V1601">
        <v>-7.3274629999999993E-2</v>
      </c>
      <c r="W1601">
        <v>7.2251079999999995E-2</v>
      </c>
      <c r="X1601">
        <v>0.9946912</v>
      </c>
      <c r="Y1601">
        <v>1.298713E-2</v>
      </c>
      <c r="Z1601" s="1">
        <v>5.445714E-5</v>
      </c>
      <c r="AA1601">
        <v>0.99991569999999996</v>
      </c>
      <c r="AB1601">
        <v>34</v>
      </c>
      <c r="AC1601">
        <v>-105.9208</v>
      </c>
      <c r="AD1601">
        <v>-1.1052943667299999</v>
      </c>
      <c r="AE1601">
        <v>1.57650000000001</v>
      </c>
      <c r="AF1601">
        <v>1.3787346944183201</v>
      </c>
      <c r="AG1601">
        <v>-1.1052943667299999</v>
      </c>
      <c r="AH1601">
        <v>105.912026527687</v>
      </c>
      <c r="AI1601">
        <v>90.597864481581198</v>
      </c>
      <c r="AJ1601">
        <v>89.2541808530938</v>
      </c>
      <c r="AK1601">
        <v>105.9267669109</v>
      </c>
      <c r="AL1601">
        <v>85.856707834208805</v>
      </c>
      <c r="AM1601">
        <v>94.2131240439859</v>
      </c>
      <c r="AN1601">
        <v>0.99999998666012102</v>
      </c>
    </row>
    <row r="1602" spans="1:40" x14ac:dyDescent="0.25">
      <c r="A1602" t="str">
        <f>"20190305135822793"</f>
        <v>20190305135822793</v>
      </c>
      <c r="B1602" t="str">
        <f>"1551765502790722"</f>
        <v>1551765502790722</v>
      </c>
      <c r="C1602" t="s">
        <v>40</v>
      </c>
      <c r="D1602">
        <v>4.3192849999999998</v>
      </c>
      <c r="E1602">
        <v>0.53045159999999902</v>
      </c>
      <c r="F1602" t="s">
        <v>59</v>
      </c>
      <c r="G1602">
        <v>-323.92509999999999</v>
      </c>
      <c r="H1602" s="1">
        <v>5.5476879999999997E-7</v>
      </c>
      <c r="I1602">
        <v>284.55250000000001</v>
      </c>
      <c r="J1602">
        <v>-222.2319</v>
      </c>
      <c r="K1602">
        <v>1.1053360000000001</v>
      </c>
      <c r="L1602">
        <v>282.8768</v>
      </c>
      <c r="M1602">
        <v>-0.99998889999999996</v>
      </c>
      <c r="N1602">
        <v>-7.8010000000000004E-4</v>
      </c>
      <c r="O1602">
        <v>4.6459759999999996E-3</v>
      </c>
      <c r="P1602">
        <v>-0.9951354</v>
      </c>
      <c r="Q1602">
        <v>6.9774859999999994E-2</v>
      </c>
      <c r="R1602">
        <v>-6.9548949999999998E-2</v>
      </c>
      <c r="S1602">
        <v>-3.0213619999999999</v>
      </c>
      <c r="T1602">
        <v>-3.2732730000000002E-2</v>
      </c>
      <c r="U1602">
        <v>4.9713130000000001E-2</v>
      </c>
      <c r="V1602">
        <v>-7.3696510000000007E-2</v>
      </c>
      <c r="W1602">
        <v>7.1046349999999994E-2</v>
      </c>
      <c r="X1602">
        <v>0.99474680000000004</v>
      </c>
      <c r="Y1602">
        <v>1.1805619999999999E-2</v>
      </c>
      <c r="Z1602" s="1">
        <v>2.1844800000000001E-5</v>
      </c>
      <c r="AA1602">
        <v>0.99993030000000005</v>
      </c>
      <c r="AB1602">
        <v>34</v>
      </c>
      <c r="AC1602">
        <v>-101.6932</v>
      </c>
      <c r="AD1602">
        <v>-1.1053354452312001</v>
      </c>
      <c r="AE1602">
        <v>1.6757</v>
      </c>
      <c r="AF1602">
        <v>1.2030755078461199</v>
      </c>
      <c r="AG1602">
        <v>-1.1053354452312001</v>
      </c>
      <c r="AH1602">
        <v>101.687877379752</v>
      </c>
      <c r="AI1602">
        <v>90.622730379704507</v>
      </c>
      <c r="AJ1602">
        <v>89.322161747382907</v>
      </c>
      <c r="AK1602">
        <v>101.70100079706</v>
      </c>
      <c r="AL1602">
        <v>85.925911606334694</v>
      </c>
      <c r="AM1602">
        <v>94.237057108069493</v>
      </c>
      <c r="AN1602">
        <v>0.99999997777237104</v>
      </c>
    </row>
    <row r="1603" spans="1:40" x14ac:dyDescent="0.25">
      <c r="A1603" t="str">
        <f>"20190305135822815"</f>
        <v>20190305135822815</v>
      </c>
      <c r="B1603" t="str">
        <f>"1551765502810242"</f>
        <v>1551765502810242</v>
      </c>
      <c r="C1603" t="s">
        <v>40</v>
      </c>
      <c r="D1603">
        <v>4.166855</v>
      </c>
      <c r="E1603">
        <v>0.53046110000000002</v>
      </c>
      <c r="F1603" t="s">
        <v>61</v>
      </c>
      <c r="G1603">
        <v>-316.4135</v>
      </c>
      <c r="H1603" s="1">
        <v>5.0755739999999999E-6</v>
      </c>
      <c r="I1603">
        <v>284.45060000000001</v>
      </c>
      <c r="J1603">
        <v>-222.56610000000001</v>
      </c>
      <c r="K1603">
        <v>1.1053850000000001</v>
      </c>
      <c r="L1603">
        <v>282.88060000000002</v>
      </c>
      <c r="M1603">
        <v>-0.99997259999999999</v>
      </c>
      <c r="N1603">
        <v>-8.0882800000000004E-4</v>
      </c>
      <c r="O1603">
        <v>7.3641619999999996E-3</v>
      </c>
      <c r="P1603">
        <v>-0.9953147</v>
      </c>
      <c r="Q1603">
        <v>6.9462930000000006E-2</v>
      </c>
      <c r="R1603">
        <v>-6.7259559999999996E-2</v>
      </c>
      <c r="S1603">
        <v>-3.0206759999999999</v>
      </c>
      <c r="T1603">
        <v>-3.5451169999999997E-2</v>
      </c>
      <c r="U1603">
        <v>5.0476069999999998E-2</v>
      </c>
      <c r="V1603">
        <v>-7.4123999999999995E-2</v>
      </c>
      <c r="W1603">
        <v>7.0755739999999998E-2</v>
      </c>
      <c r="X1603">
        <v>0.99473579999999995</v>
      </c>
      <c r="Y1603">
        <v>9.3440260000000001E-3</v>
      </c>
      <c r="Z1603" s="1">
        <v>-2.18552E-5</v>
      </c>
      <c r="AA1603">
        <v>0.99995639999999997</v>
      </c>
      <c r="AB1603">
        <v>34</v>
      </c>
      <c r="AC1603">
        <v>-93.847399999999993</v>
      </c>
      <c r="AD1603">
        <v>-1.1053799244259901</v>
      </c>
      <c r="AE1603">
        <v>1.5699999999999901</v>
      </c>
      <c r="AF1603">
        <v>0.87872790074197804</v>
      </c>
      <c r="AG1603">
        <v>-1.1053799244259901</v>
      </c>
      <c r="AH1603">
        <v>93.843401487707695</v>
      </c>
      <c r="AI1603">
        <v>90.674825279379803</v>
      </c>
      <c r="AJ1603">
        <v>89.463511255530406</v>
      </c>
      <c r="AK1603">
        <v>93.8540251149835</v>
      </c>
      <c r="AL1603">
        <v>85.942604542866107</v>
      </c>
      <c r="AM1603">
        <v>94.261591594748296</v>
      </c>
      <c r="AN1603">
        <v>1.00000002696029</v>
      </c>
    </row>
    <row r="1604" spans="1:40" x14ac:dyDescent="0.25">
      <c r="A1604" t="str">
        <f>"20190305135822840"</f>
        <v>20190305135822840</v>
      </c>
      <c r="B1604" t="str">
        <f>"1551765502830738"</f>
        <v>1551765502830738</v>
      </c>
      <c r="C1604" t="s">
        <v>40</v>
      </c>
      <c r="D1604">
        <v>4.2707110000000004</v>
      </c>
      <c r="E1604">
        <v>0.53015179999999995</v>
      </c>
      <c r="F1604" t="s">
        <v>59</v>
      </c>
      <c r="G1604">
        <v>-331.11950000000002</v>
      </c>
      <c r="H1604" s="1">
        <v>-9.5584849999999998E-7</v>
      </c>
      <c r="I1604">
        <v>284.95479999999998</v>
      </c>
      <c r="J1604">
        <v>-222.94749999999999</v>
      </c>
      <c r="K1604">
        <v>1.1054489999999999</v>
      </c>
      <c r="L1604">
        <v>282.88600000000002</v>
      </c>
      <c r="M1604">
        <v>-0.99994620000000001</v>
      </c>
      <c r="N1604">
        <v>-8.4924509999999905E-4</v>
      </c>
      <c r="O1604">
        <v>1.0340899999999899E-2</v>
      </c>
      <c r="P1604">
        <v>-0.99542520000000001</v>
      </c>
      <c r="Q1604">
        <v>7.0226570000000002E-2</v>
      </c>
      <c r="R1604">
        <v>-6.478428E-2</v>
      </c>
      <c r="S1604">
        <v>-3.020187</v>
      </c>
      <c r="T1604">
        <v>-3.0754210000000001E-2</v>
      </c>
      <c r="U1604">
        <v>5.7708740000000001E-2</v>
      </c>
      <c r="V1604">
        <v>-7.4618249999999997E-2</v>
      </c>
      <c r="W1604">
        <v>7.1550030000000001E-2</v>
      </c>
      <c r="X1604">
        <v>0.99464200000000003</v>
      </c>
      <c r="Y1604">
        <v>8.7640989999999992E-3</v>
      </c>
      <c r="Z1604" s="1">
        <v>-4.8164039999999998E-5</v>
      </c>
      <c r="AA1604">
        <v>0.99996160000000001</v>
      </c>
      <c r="AB1604">
        <v>35</v>
      </c>
      <c r="AC1604">
        <v>-108.172</v>
      </c>
      <c r="AD1604">
        <v>-1.10544995584849</v>
      </c>
      <c r="AE1604">
        <v>2.0688000000000102</v>
      </c>
      <c r="AF1604">
        <v>0.949994001772834</v>
      </c>
      <c r="AG1604">
        <v>-1.10544995584849</v>
      </c>
      <c r="AH1604">
        <v>108.176316133895</v>
      </c>
      <c r="AI1604">
        <v>90.5854605947967</v>
      </c>
      <c r="AJ1604">
        <v>89.496846910575798</v>
      </c>
      <c r="AK1604">
        <v>108.186135343253</v>
      </c>
      <c r="AL1604">
        <v>85.896979323227995</v>
      </c>
      <c r="AM1604">
        <v>94.290304699536193</v>
      </c>
      <c r="AN1604">
        <v>0.99999999909503101</v>
      </c>
    </row>
    <row r="1605" spans="1:40" x14ac:dyDescent="0.25">
      <c r="A1605" t="str">
        <f>"20190305135822861"</f>
        <v>20190305135822861</v>
      </c>
      <c r="B1605" t="str">
        <f>"1551765502850258"</f>
        <v>1551765502850258</v>
      </c>
      <c r="C1605" t="s">
        <v>40</v>
      </c>
      <c r="D1605">
        <v>4.2400949999999904</v>
      </c>
      <c r="E1605">
        <v>0.52958169999999904</v>
      </c>
      <c r="F1605" t="s">
        <v>59</v>
      </c>
      <c r="G1605">
        <v>-350.32190000000003</v>
      </c>
      <c r="H1605" s="1">
        <v>-1.3654849999999999E-6</v>
      </c>
      <c r="I1605">
        <v>285.5197</v>
      </c>
      <c r="J1605">
        <v>-223.30179999999999</v>
      </c>
      <c r="K1605">
        <v>1.1055280000000001</v>
      </c>
      <c r="L1605">
        <v>282.89190000000002</v>
      </c>
      <c r="M1605">
        <v>-0.99991549999999996</v>
      </c>
      <c r="N1605">
        <v>-8.9216259999999896E-4</v>
      </c>
      <c r="O1605">
        <v>1.2976680000000001E-2</v>
      </c>
      <c r="P1605">
        <v>-0.99555550000000004</v>
      </c>
      <c r="Q1605">
        <v>7.0867869999999999E-2</v>
      </c>
      <c r="R1605">
        <v>-6.2026850000000001E-2</v>
      </c>
      <c r="S1605">
        <v>-3.0196990000000001</v>
      </c>
      <c r="T1605">
        <v>-2.6207210000000002E-2</v>
      </c>
      <c r="U1605">
        <v>6.2438960000000002E-2</v>
      </c>
      <c r="V1605">
        <v>-7.4491790000000002E-2</v>
      </c>
      <c r="W1605">
        <v>7.2220640000000003E-2</v>
      </c>
      <c r="X1605">
        <v>0.99460300000000001</v>
      </c>
      <c r="Y1605">
        <v>7.6972209999999998E-3</v>
      </c>
      <c r="Z1605" s="1">
        <v>-6.4193549999999998E-5</v>
      </c>
      <c r="AA1605">
        <v>0.99997040000000004</v>
      </c>
      <c r="AB1605">
        <v>35</v>
      </c>
      <c r="AC1605">
        <v>-127.0201</v>
      </c>
      <c r="AD1605">
        <v>-1.105529365485</v>
      </c>
      <c r="AE1605">
        <v>2.6277999999999802</v>
      </c>
      <c r="AF1605">
        <v>0.97920490748481404</v>
      </c>
      <c r="AG1605">
        <v>-1.105529365485</v>
      </c>
      <c r="AH1605">
        <v>127.033885959017</v>
      </c>
      <c r="AI1605">
        <v>90.498596777634503</v>
      </c>
      <c r="AJ1605">
        <v>89.558360378278607</v>
      </c>
      <c r="AK1605">
        <v>127.042470140018</v>
      </c>
      <c r="AL1605">
        <v>85.858456489935406</v>
      </c>
      <c r="AM1605">
        <v>94.283228065000401</v>
      </c>
      <c r="AN1605">
        <v>0.99999998761420605</v>
      </c>
    </row>
    <row r="1606" spans="1:40" x14ac:dyDescent="0.25">
      <c r="A1606" t="str">
        <f>"20190305135822885"</f>
        <v>20190305135822885</v>
      </c>
      <c r="B1606" t="str">
        <f>"1551765502880513"</f>
        <v>1551765502880513</v>
      </c>
      <c r="C1606" t="s">
        <v>40</v>
      </c>
      <c r="D1606">
        <v>4.2250199999999998</v>
      </c>
      <c r="E1606">
        <v>0.52882810000000002</v>
      </c>
      <c r="F1606" t="s">
        <v>59</v>
      </c>
      <c r="G1606">
        <v>-358.4273</v>
      </c>
      <c r="H1606" s="1">
        <v>2.9478080000000002E-6</v>
      </c>
      <c r="I1606">
        <v>285.84339999999997</v>
      </c>
      <c r="J1606">
        <v>-223.6696</v>
      </c>
      <c r="K1606">
        <v>1.1055980000000001</v>
      </c>
      <c r="L1606">
        <v>282.89890000000003</v>
      </c>
      <c r="M1606">
        <v>-0.99987789999999999</v>
      </c>
      <c r="N1606">
        <v>-9.3957039999999995E-4</v>
      </c>
      <c r="O1606">
        <v>1.560391E-2</v>
      </c>
      <c r="P1606">
        <v>-0.9956391</v>
      </c>
      <c r="Q1606">
        <v>7.2008230000000006E-2</v>
      </c>
      <c r="R1606">
        <v>-5.9309210000000001E-2</v>
      </c>
      <c r="S1606">
        <v>-3.0192410000000001</v>
      </c>
      <c r="T1606">
        <v>-2.4701830000000001E-2</v>
      </c>
      <c r="U1606">
        <v>6.5948489999999999E-2</v>
      </c>
      <c r="V1606">
        <v>-7.4394349999999998E-2</v>
      </c>
      <c r="W1606">
        <v>7.3395310000000005E-2</v>
      </c>
      <c r="X1606">
        <v>0.99452430000000003</v>
      </c>
      <c r="Y1606">
        <v>6.2348500000000001E-3</v>
      </c>
      <c r="Z1606" s="1">
        <v>-8.4545070000000003E-5</v>
      </c>
      <c r="AA1606">
        <v>0.9999806</v>
      </c>
      <c r="AB1606">
        <v>35</v>
      </c>
      <c r="AC1606">
        <v>-134.7577</v>
      </c>
      <c r="AD1606">
        <v>-1.1055950521919999</v>
      </c>
      <c r="AE1606">
        <v>2.9444999999999402</v>
      </c>
      <c r="AF1606">
        <v>0.84133714564551099</v>
      </c>
      <c r="AG1606">
        <v>-1.1055950521919999</v>
      </c>
      <c r="AH1606">
        <v>134.77817147891099</v>
      </c>
      <c r="AI1606">
        <v>90.469981709598699</v>
      </c>
      <c r="AJ1606">
        <v>89.642342369410997</v>
      </c>
      <c r="AK1606">
        <v>134.785331901549</v>
      </c>
      <c r="AL1606">
        <v>85.790973748804504</v>
      </c>
      <c r="AM1606">
        <v>94.277983387880994</v>
      </c>
      <c r="AN1606">
        <v>0.99999998706620397</v>
      </c>
    </row>
    <row r="1607" spans="1:40" x14ac:dyDescent="0.25">
      <c r="A1607" t="str">
        <f>"20190305135822906"</f>
        <v>20190305135822906</v>
      </c>
      <c r="B1607" t="str">
        <f>"1551765502900034"</f>
        <v>1551765502900034</v>
      </c>
      <c r="C1607" t="s">
        <v>40</v>
      </c>
      <c r="D1607">
        <v>4.1375469999999996</v>
      </c>
      <c r="E1607">
        <v>0.52876069999999997</v>
      </c>
      <c r="F1607" t="s">
        <v>59</v>
      </c>
      <c r="G1607">
        <v>-378.3141</v>
      </c>
      <c r="H1607" s="1">
        <v>2.887564E-6</v>
      </c>
      <c r="I1607">
        <v>286.35550000000001</v>
      </c>
      <c r="J1607">
        <v>-224.00739999999999</v>
      </c>
      <c r="K1607">
        <v>1.105669</v>
      </c>
      <c r="L1607">
        <v>282.90609999999998</v>
      </c>
      <c r="M1607">
        <v>-0.99983920000000004</v>
      </c>
      <c r="N1607">
        <v>-9.8519959999999996E-4</v>
      </c>
      <c r="O1607">
        <v>1.79087E-2</v>
      </c>
      <c r="P1607">
        <v>-0.99574779999999996</v>
      </c>
      <c r="Q1607">
        <v>7.2221770000000005E-2</v>
      </c>
      <c r="R1607">
        <v>-5.71891E-2</v>
      </c>
      <c r="S1607">
        <v>-3.0187379999999999</v>
      </c>
      <c r="T1607">
        <v>-2.158177E-2</v>
      </c>
      <c r="U1607">
        <v>6.7474370000000006E-2</v>
      </c>
      <c r="V1607">
        <v>-7.457888E-2</v>
      </c>
      <c r="W1607">
        <v>7.3643059999999996E-2</v>
      </c>
      <c r="X1607">
        <v>0.99449219999999905</v>
      </c>
      <c r="Y1607">
        <v>4.4386540000000002E-3</v>
      </c>
      <c r="Z1607" s="1">
        <v>-9.2310970000000002E-5</v>
      </c>
      <c r="AA1607">
        <v>0.99999020000000005</v>
      </c>
      <c r="AB1607">
        <v>35</v>
      </c>
      <c r="AC1607">
        <v>-154.30670000000001</v>
      </c>
      <c r="AD1607">
        <v>-1.1056661124359899</v>
      </c>
      <c r="AE1607">
        <v>3.4494000000000198</v>
      </c>
      <c r="AF1607">
        <v>0.68537805882194902</v>
      </c>
      <c r="AG1607">
        <v>-1.1056661124359899</v>
      </c>
      <c r="AH1607">
        <v>154.33580749538899</v>
      </c>
      <c r="AI1607">
        <v>90.410457524140995</v>
      </c>
      <c r="AJ1607">
        <v>89.745561236632298</v>
      </c>
      <c r="AK1607">
        <v>154.341289731198</v>
      </c>
      <c r="AL1607">
        <v>85.776740351374301</v>
      </c>
      <c r="AM1607">
        <v>94.288692996642396</v>
      </c>
      <c r="AN1607">
        <v>1.00000002274452</v>
      </c>
    </row>
    <row r="1608" spans="1:40" x14ac:dyDescent="0.25">
      <c r="A1608" t="str">
        <f>"20190305135822928"</f>
        <v>20190305135822928</v>
      </c>
      <c r="B1608" t="str">
        <f>"1551765502920530"</f>
        <v>1551765502920530</v>
      </c>
      <c r="C1608" t="s">
        <v>40</v>
      </c>
      <c r="D1608">
        <v>4.1154400000000004</v>
      </c>
      <c r="E1608">
        <v>0.52865119999999999</v>
      </c>
      <c r="F1608" t="s">
        <v>61</v>
      </c>
      <c r="G1608">
        <v>-406.9024</v>
      </c>
      <c r="H1608" s="1">
        <v>4.7833969999999999E-6</v>
      </c>
      <c r="I1608">
        <v>287.31650000000002</v>
      </c>
      <c r="J1608">
        <v>-224.3477</v>
      </c>
      <c r="K1608">
        <v>1.105747</v>
      </c>
      <c r="L1608">
        <v>282.91399999999999</v>
      </c>
      <c r="M1608">
        <v>-0.99979720000000005</v>
      </c>
      <c r="N1608">
        <v>-1.033829E-3</v>
      </c>
      <c r="O1608">
        <v>2.011071E-2</v>
      </c>
      <c r="P1608">
        <v>-0.99578469999999997</v>
      </c>
      <c r="Q1608">
        <v>7.325922E-2</v>
      </c>
      <c r="R1608">
        <v>-5.5191509999999999E-2</v>
      </c>
      <c r="S1608">
        <v>-3.0182950000000002</v>
      </c>
      <c r="T1608">
        <v>-1.824665E-2</v>
      </c>
      <c r="U1608">
        <v>7.2784420000000002E-2</v>
      </c>
      <c r="V1608">
        <v>-7.4780589999999994E-2</v>
      </c>
      <c r="W1608">
        <v>7.4716309999999994E-2</v>
      </c>
      <c r="X1608">
        <v>0.99439699999999998</v>
      </c>
      <c r="Y1608">
        <v>3.9978189999999997E-3</v>
      </c>
      <c r="Z1608" s="1">
        <v>-8.6604709999999995E-5</v>
      </c>
      <c r="AA1608">
        <v>0.99999199999999999</v>
      </c>
      <c r="AB1608">
        <v>35</v>
      </c>
      <c r="AC1608">
        <v>-182.5547</v>
      </c>
      <c r="AD1608">
        <v>-1.105742216603</v>
      </c>
      <c r="AE1608">
        <v>4.4025000000000301</v>
      </c>
      <c r="AF1608">
        <v>0.73027617382322496</v>
      </c>
      <c r="AG1608">
        <v>-1.105742216603</v>
      </c>
      <c r="AH1608">
        <v>182.59962211854801</v>
      </c>
      <c r="AI1608">
        <v>90.346950779448093</v>
      </c>
      <c r="AJ1608">
        <v>89.770856483302097</v>
      </c>
      <c r="AK1608">
        <v>182.60443030489799</v>
      </c>
      <c r="AL1608">
        <v>85.715077792514904</v>
      </c>
      <c r="AM1608">
        <v>94.3006591168363</v>
      </c>
      <c r="AN1608">
        <v>1.00000002861488</v>
      </c>
    </row>
    <row r="1609" spans="1:40" x14ac:dyDescent="0.25">
      <c r="A1609" t="str">
        <f>"20190305135822950"</f>
        <v>20190305135822950</v>
      </c>
      <c r="B1609" t="str">
        <f>"1551765502941027"</f>
        <v>1551765502941027</v>
      </c>
      <c r="C1609" t="s">
        <v>40</v>
      </c>
      <c r="D1609">
        <v>3.9378489999999999</v>
      </c>
      <c r="E1609">
        <v>0.52860810000000003</v>
      </c>
      <c r="F1609" t="s">
        <v>58</v>
      </c>
      <c r="G1609">
        <v>-485.4982</v>
      </c>
      <c r="H1609" s="1">
        <v>3.6176779999999999E-6</v>
      </c>
      <c r="I1609">
        <v>289.61099999999999</v>
      </c>
      <c r="J1609">
        <v>-224.71520000000001</v>
      </c>
      <c r="K1609">
        <v>1.105847</v>
      </c>
      <c r="L1609">
        <v>282.92320000000001</v>
      </c>
      <c r="M1609">
        <v>-0.99974980000000002</v>
      </c>
      <c r="N1609">
        <v>-1.0883119999999999E-3</v>
      </c>
      <c r="O1609">
        <v>2.2345460000000001E-2</v>
      </c>
      <c r="P1609">
        <v>-0.99576620000000005</v>
      </c>
      <c r="Q1609">
        <v>7.5171760000000004E-2</v>
      </c>
      <c r="R1609">
        <v>-5.2907040000000002E-2</v>
      </c>
      <c r="S1609">
        <v>-3.0179290000000001</v>
      </c>
      <c r="T1609">
        <v>-1.2778279999999999E-2</v>
      </c>
      <c r="U1609">
        <v>7.7392580000000002E-2</v>
      </c>
      <c r="V1609">
        <v>-7.4725399999999997E-2</v>
      </c>
      <c r="W1609">
        <v>7.6664800000000005E-2</v>
      </c>
      <c r="X1609">
        <v>0.99425280000000005</v>
      </c>
      <c r="Y1609">
        <v>3.29138E-3</v>
      </c>
      <c r="Z1609" s="1">
        <v>-6.1508559999999898E-5</v>
      </c>
      <c r="AA1609">
        <v>0.99999459999999996</v>
      </c>
      <c r="AB1609">
        <v>36</v>
      </c>
      <c r="AC1609">
        <v>-260.78300000000002</v>
      </c>
      <c r="AD1609">
        <v>-1.105843382322</v>
      </c>
      <c r="AE1609">
        <v>6.6877999999999798</v>
      </c>
      <c r="AF1609">
        <v>0.85879562193374603</v>
      </c>
      <c r="AG1609">
        <v>-1.105843382322</v>
      </c>
      <c r="AH1609">
        <v>260.86263916987201</v>
      </c>
      <c r="AI1609">
        <v>90.242884285497396</v>
      </c>
      <c r="AJ1609">
        <v>89.811375109162697</v>
      </c>
      <c r="AK1609">
        <v>260.866396713293</v>
      </c>
      <c r="AL1609">
        <v>85.603116236590495</v>
      </c>
      <c r="AM1609">
        <v>94.298117960597494</v>
      </c>
      <c r="AN1609">
        <v>1.0000000036360199</v>
      </c>
    </row>
    <row r="1610" spans="1:40" x14ac:dyDescent="0.25">
      <c r="A1610" t="str">
        <f>"20190305135822974"</f>
        <v>20190305135822974</v>
      </c>
      <c r="B1610" t="str">
        <f>"1551765502970306"</f>
        <v>1551765502970306</v>
      </c>
      <c r="C1610" t="s">
        <v>40</v>
      </c>
      <c r="D1610">
        <v>4.4282680000000001</v>
      </c>
      <c r="E1610">
        <v>0.52316430000000003</v>
      </c>
      <c r="F1610" t="s">
        <v>54</v>
      </c>
      <c r="G1610">
        <v>-807.87130000000002</v>
      </c>
      <c r="H1610">
        <v>-0.1</v>
      </c>
      <c r="I1610">
        <v>299.02330000000001</v>
      </c>
      <c r="J1610">
        <v>-225.0958</v>
      </c>
      <c r="K1610">
        <v>1.1059589999999999</v>
      </c>
      <c r="L1610">
        <v>282.93349999999998</v>
      </c>
      <c r="M1610">
        <v>-0.99969920000000001</v>
      </c>
      <c r="N1610">
        <v>-1.145425E-3</v>
      </c>
      <c r="O1610">
        <v>2.4502159999999999E-2</v>
      </c>
      <c r="P1610">
        <v>-0.99576169999999997</v>
      </c>
      <c r="Q1610">
        <v>7.6236369999999998E-2</v>
      </c>
      <c r="R1610">
        <v>-5.1447010000000001E-2</v>
      </c>
      <c r="S1610">
        <v>-3.0176539999999998</v>
      </c>
      <c r="T1610">
        <v>-6.239891E-3</v>
      </c>
      <c r="U1610">
        <v>8.3312990000000003E-2</v>
      </c>
      <c r="V1610">
        <v>-7.5424850000000002E-2</v>
      </c>
      <c r="W1610">
        <v>7.7770140000000001E-2</v>
      </c>
      <c r="X1610">
        <v>0.9941141</v>
      </c>
      <c r="Y1610">
        <v>3.096882E-3</v>
      </c>
      <c r="Z1610" s="1">
        <v>-1.7607939999999899E-5</v>
      </c>
      <c r="AA1610">
        <v>0.99999519999999997</v>
      </c>
      <c r="AB1610">
        <v>36</v>
      </c>
      <c r="AC1610">
        <v>-582.77549999999997</v>
      </c>
      <c r="AD1610">
        <v>-1.205959</v>
      </c>
      <c r="AE1610">
        <v>16.0898</v>
      </c>
      <c r="AF1610">
        <v>1.80569495829849</v>
      </c>
      <c r="AG1610">
        <v>-1.205959</v>
      </c>
      <c r="AH1610">
        <v>582.99227771425603</v>
      </c>
      <c r="AI1610">
        <v>90.118519461800801</v>
      </c>
      <c r="AJ1610">
        <v>89.822539039842795</v>
      </c>
      <c r="AK1610">
        <v>582.99632138277605</v>
      </c>
      <c r="AL1610">
        <v>85.539595124529299</v>
      </c>
      <c r="AM1610">
        <v>94.338799591264504</v>
      </c>
      <c r="AN1610">
        <v>0.999999973245975</v>
      </c>
    </row>
    <row r="1611" spans="1:40" x14ac:dyDescent="0.25">
      <c r="A1611" t="str">
        <f>"20190305135822996"</f>
        <v>20190305135822996</v>
      </c>
      <c r="B1611" t="str">
        <f>"1551765502990803"</f>
        <v>1551765502990803</v>
      </c>
      <c r="C1611" t="s">
        <v>40</v>
      </c>
      <c r="D1611">
        <v>4.0886649999999998</v>
      </c>
      <c r="E1611">
        <v>0.52933940000000002</v>
      </c>
      <c r="F1611" t="s">
        <v>55</v>
      </c>
      <c r="G1611">
        <v>0</v>
      </c>
      <c r="H1611">
        <v>0</v>
      </c>
      <c r="I1611">
        <v>0</v>
      </c>
      <c r="J1611">
        <v>-225.45500000000001</v>
      </c>
      <c r="K1611">
        <v>1.1060700000000001</v>
      </c>
      <c r="L1611">
        <v>282.94389999999999</v>
      </c>
      <c r="M1611">
        <v>-0.99965110000000001</v>
      </c>
      <c r="N1611">
        <v>-1.201199E-3</v>
      </c>
      <c r="O1611">
        <v>2.6388189999999999E-2</v>
      </c>
      <c r="P1611">
        <v>-0.99582590000000004</v>
      </c>
      <c r="Q1611">
        <v>7.6167979999999996E-2</v>
      </c>
      <c r="R1611">
        <v>-5.0292650000000001E-2</v>
      </c>
      <c r="S1611">
        <v>-2.9722749999999998</v>
      </c>
      <c r="T1611">
        <v>0.53728659999999995</v>
      </c>
      <c r="U1611">
        <v>1.248169E-2</v>
      </c>
      <c r="V1611">
        <v>-7.6168760000000002E-2</v>
      </c>
      <c r="W1611">
        <v>7.7740649999999994E-2</v>
      </c>
      <c r="X1611">
        <v>0.99405969999999999</v>
      </c>
      <c r="Y1611">
        <v>-2.141216E-2</v>
      </c>
      <c r="Z1611">
        <v>6.6694600000000003E-3</v>
      </c>
      <c r="AA1611">
        <v>0.99974850000000004</v>
      </c>
      <c r="AB1611">
        <v>36</v>
      </c>
      <c r="AC1611">
        <v>-2.9722749999999998</v>
      </c>
      <c r="AD1611">
        <v>0.53728659999999995</v>
      </c>
      <c r="AE1611">
        <v>1.248169E-2</v>
      </c>
      <c r="AF1611">
        <v>-6.3868704778235696E-2</v>
      </c>
      <c r="AG1611">
        <v>0.53728659999999995</v>
      </c>
      <c r="AH1611">
        <v>2.8775432741506601</v>
      </c>
      <c r="AI1611">
        <v>79.426228519890202</v>
      </c>
      <c r="AJ1611">
        <v>91.271503546039</v>
      </c>
      <c r="AK1611">
        <v>2.9279705252272099</v>
      </c>
      <c r="AL1611">
        <v>85.541289973656504</v>
      </c>
      <c r="AM1611">
        <v>94.381665882468099</v>
      </c>
      <c r="AN1611">
        <v>0.99999998791322497</v>
      </c>
    </row>
    <row r="1612" spans="1:40" x14ac:dyDescent="0.25">
      <c r="A1612" t="str">
        <f>"20190305135823018"</f>
        <v>20190305135823018</v>
      </c>
      <c r="B1612" t="str">
        <f>"1551765503010323"</f>
        <v>1551765503010323</v>
      </c>
      <c r="C1612" t="s">
        <v>40</v>
      </c>
      <c r="D1612">
        <v>4.0687980000000001</v>
      </c>
      <c r="E1612">
        <v>0.52957109999999996</v>
      </c>
      <c r="F1612" t="s">
        <v>60</v>
      </c>
      <c r="G1612">
        <v>-541.25239999999997</v>
      </c>
      <c r="H1612">
        <v>6.1356630000000001</v>
      </c>
      <c r="I1612">
        <v>292.75510000000003</v>
      </c>
      <c r="J1612">
        <v>-225.80799999999999</v>
      </c>
      <c r="K1612">
        <v>1.1061730000000001</v>
      </c>
      <c r="L1612">
        <v>282.95460000000003</v>
      </c>
      <c r="M1612">
        <v>-0.99960420000000005</v>
      </c>
      <c r="N1612">
        <v>-1.258416E-3</v>
      </c>
      <c r="O1612">
        <v>2.810988E-2</v>
      </c>
      <c r="P1612">
        <v>-0.99598260000000005</v>
      </c>
      <c r="Q1612">
        <v>7.4814599999999995E-2</v>
      </c>
      <c r="R1612">
        <v>-4.9207569999999999E-2</v>
      </c>
      <c r="S1612">
        <v>-3.0136409999999998</v>
      </c>
      <c r="T1612">
        <v>4.7997949999999998E-2</v>
      </c>
      <c r="U1612">
        <v>9.3627929999999998E-2</v>
      </c>
      <c r="V1612">
        <v>-7.6826420000000006E-2</v>
      </c>
      <c r="W1612">
        <v>7.6428029999999994E-2</v>
      </c>
      <c r="X1612">
        <v>0.99411090000000002</v>
      </c>
      <c r="Y1612">
        <v>2.9482419999999998E-3</v>
      </c>
      <c r="Z1612">
        <v>4.6122870000000002E-4</v>
      </c>
      <c r="AA1612">
        <v>0.99999550000000004</v>
      </c>
      <c r="AB1612">
        <v>36</v>
      </c>
      <c r="AC1612">
        <v>-315.44439999999997</v>
      </c>
      <c r="AD1612">
        <v>5.02949</v>
      </c>
      <c r="AE1612">
        <v>9.8004999999999995</v>
      </c>
      <c r="AF1612">
        <v>0.92928131536105896</v>
      </c>
      <c r="AG1612">
        <v>5.02949</v>
      </c>
      <c r="AH1612">
        <v>315.515108125013</v>
      </c>
      <c r="AI1612">
        <v>89.086754045043605</v>
      </c>
      <c r="AJ1612">
        <v>89.831248196925898</v>
      </c>
      <c r="AK1612">
        <v>315.55656036368799</v>
      </c>
      <c r="AL1612">
        <v>85.616722114472495</v>
      </c>
      <c r="AM1612">
        <v>94.419122328142194</v>
      </c>
      <c r="AN1612">
        <v>1.00000001203925</v>
      </c>
    </row>
    <row r="1613" spans="1:40" x14ac:dyDescent="0.25">
      <c r="A1613" t="str">
        <f>"20190305135823040"</f>
        <v>20190305135823040</v>
      </c>
      <c r="B1613" t="str">
        <f>"1551765503029842"</f>
        <v>1551765503029842</v>
      </c>
      <c r="C1613" t="s">
        <v>40</v>
      </c>
      <c r="D1613">
        <v>4.0673149999999998</v>
      </c>
      <c r="E1613">
        <v>0.52884409999999904</v>
      </c>
      <c r="F1613" t="s">
        <v>60</v>
      </c>
      <c r="G1613">
        <v>-526.68880000000001</v>
      </c>
      <c r="H1613">
        <v>6.2321589999999896</v>
      </c>
      <c r="I1613">
        <v>292.75510000000003</v>
      </c>
      <c r="J1613">
        <v>-226.18709999999999</v>
      </c>
      <c r="K1613">
        <v>1.1062809999999901</v>
      </c>
      <c r="L1613">
        <v>282.9667</v>
      </c>
      <c r="M1613">
        <v>-0.99955430000000001</v>
      </c>
      <c r="N1613">
        <v>-1.32152299999999E-3</v>
      </c>
      <c r="O1613">
        <v>2.9823309999999999E-2</v>
      </c>
      <c r="P1613">
        <v>-0.99603129999999995</v>
      </c>
      <c r="Q1613">
        <v>7.4651819999999994E-2</v>
      </c>
      <c r="R1613">
        <v>-4.8461780000000003E-2</v>
      </c>
      <c r="S1613">
        <v>-3.0130919999999999</v>
      </c>
      <c r="T1613">
        <v>5.1333669999999998E-2</v>
      </c>
      <c r="U1613">
        <v>9.8144529999999994E-2</v>
      </c>
      <c r="V1613">
        <v>-7.7806429999999996E-2</v>
      </c>
      <c r="W1613">
        <v>7.6312500000000005E-2</v>
      </c>
      <c r="X1613">
        <v>0.99404349999999997</v>
      </c>
      <c r="Y1613">
        <v>2.7380730000000002E-3</v>
      </c>
      <c r="Z1613">
        <v>5.2570769999999995E-4</v>
      </c>
      <c r="AA1613">
        <v>0.99999610000000005</v>
      </c>
      <c r="AB1613">
        <v>36</v>
      </c>
      <c r="AC1613">
        <v>-300.50170000000003</v>
      </c>
      <c r="AD1613">
        <v>5.1258779999999904</v>
      </c>
      <c r="AE1613">
        <v>9.7884000000000206</v>
      </c>
      <c r="AF1613">
        <v>0.82184380828421399</v>
      </c>
      <c r="AG1613">
        <v>5.1258779999999904</v>
      </c>
      <c r="AH1613">
        <v>300.57259140109198</v>
      </c>
      <c r="AI1613">
        <v>89.022992713772993</v>
      </c>
      <c r="AJ1613">
        <v>89.843338795237102</v>
      </c>
      <c r="AK1613">
        <v>300.61741924593099</v>
      </c>
      <c r="AL1613">
        <v>85.623360651780999</v>
      </c>
      <c r="AM1613">
        <v>94.475567998409304</v>
      </c>
      <c r="AN1613">
        <v>0.99999995904892103</v>
      </c>
    </row>
    <row r="1614" spans="1:40" x14ac:dyDescent="0.25">
      <c r="A1614" t="str">
        <f>"20190305135823063"</f>
        <v>20190305135823063</v>
      </c>
      <c r="B1614" t="str">
        <f>"1551765503050338"</f>
        <v>1551765503050338</v>
      </c>
      <c r="C1614" t="s">
        <v>40</v>
      </c>
      <c r="D1614">
        <v>3.9953530000000002</v>
      </c>
      <c r="E1614">
        <v>0.52905449999999998</v>
      </c>
      <c r="F1614" t="s">
        <v>60</v>
      </c>
      <c r="G1614">
        <v>-536.85299999999995</v>
      </c>
      <c r="H1614">
        <v>5.7163250000000003</v>
      </c>
      <c r="I1614">
        <v>292.75510000000003</v>
      </c>
      <c r="J1614">
        <v>-226.55680000000001</v>
      </c>
      <c r="K1614">
        <v>1.1063799999999999</v>
      </c>
      <c r="L1614">
        <v>282.97899999999998</v>
      </c>
      <c r="M1614">
        <v>-0.99950640000000002</v>
      </c>
      <c r="N1614">
        <v>-1.3857909999999999E-3</v>
      </c>
      <c r="O1614">
        <v>3.1389999999999897E-2</v>
      </c>
      <c r="P1614">
        <v>-0.99597409999999997</v>
      </c>
      <c r="Q1614">
        <v>7.5911000000000006E-2</v>
      </c>
      <c r="R1614">
        <v>-4.7680899999999998E-2</v>
      </c>
      <c r="S1614">
        <v>-3.0132140000000001</v>
      </c>
      <c r="T1614">
        <v>4.4714570000000002E-2</v>
      </c>
      <c r="U1614">
        <v>9.4940189999999994E-2</v>
      </c>
      <c r="V1614">
        <v>-7.8592369999999995E-2</v>
      </c>
      <c r="W1614">
        <v>7.7622280000000002E-2</v>
      </c>
      <c r="X1614">
        <v>0.99388030000000005</v>
      </c>
      <c r="Y1614">
        <v>1.064529E-4</v>
      </c>
      <c r="Z1614">
        <v>5.0833720000000005E-4</v>
      </c>
      <c r="AA1614">
        <v>0.99999990000000005</v>
      </c>
      <c r="AB1614">
        <v>37</v>
      </c>
      <c r="AC1614">
        <v>-310.2962</v>
      </c>
      <c r="AD1614">
        <v>4.6099449999999997</v>
      </c>
      <c r="AE1614">
        <v>9.77609999999998</v>
      </c>
      <c r="AF1614">
        <v>3.1069973363333499E-2</v>
      </c>
      <c r="AG1614">
        <v>4.6099449999999997</v>
      </c>
      <c r="AH1614">
        <v>310.381722671082</v>
      </c>
      <c r="AI1614">
        <v>89.149076920009094</v>
      </c>
      <c r="AJ1614">
        <v>89.994264551655803</v>
      </c>
      <c r="AK1614">
        <v>310.41595694569997</v>
      </c>
      <c r="AL1614">
        <v>85.548092751402294</v>
      </c>
      <c r="AM1614">
        <v>94.521329474203895</v>
      </c>
      <c r="AN1614">
        <v>1.0000000148513499</v>
      </c>
    </row>
    <row r="1615" spans="1:40" x14ac:dyDescent="0.25">
      <c r="A1615" t="str">
        <f>"20190305135823086"</f>
        <v>20190305135823086</v>
      </c>
      <c r="B1615" t="str">
        <f>"1551765503080594"</f>
        <v>1551765503080594</v>
      </c>
      <c r="C1615" t="s">
        <v>40</v>
      </c>
      <c r="D1615">
        <v>4.0097160000000001</v>
      </c>
      <c r="E1615">
        <v>0.52821899999999999</v>
      </c>
      <c r="F1615" t="s">
        <v>60</v>
      </c>
      <c r="G1615">
        <v>-550.76909999999998</v>
      </c>
      <c r="H1615">
        <v>4.9378640000000003</v>
      </c>
      <c r="I1615">
        <v>293.69319999999999</v>
      </c>
      <c r="J1615">
        <v>-226.93879999999999</v>
      </c>
      <c r="K1615">
        <v>1.1064689999999999</v>
      </c>
      <c r="L1615">
        <v>282.9923</v>
      </c>
      <c r="M1615">
        <v>-0.99945680000000003</v>
      </c>
      <c r="N1615">
        <v>-1.4543500000000001E-3</v>
      </c>
      <c r="O1615">
        <v>3.2929739999999999E-2</v>
      </c>
      <c r="P1615">
        <v>-0.99595199999999995</v>
      </c>
      <c r="Q1615">
        <v>7.6782020000000006E-2</v>
      </c>
      <c r="R1615">
        <v>-4.6739410000000002E-2</v>
      </c>
      <c r="S1615">
        <v>-3.0141749999999998</v>
      </c>
      <c r="T1615">
        <v>3.5621760000000002E-2</v>
      </c>
      <c r="U1615">
        <v>9.9609379999999997E-2</v>
      </c>
      <c r="V1615">
        <v>-7.9191789999999998E-2</v>
      </c>
      <c r="W1615">
        <v>7.8549770000000005E-2</v>
      </c>
      <c r="X1615">
        <v>0.99375979999999997</v>
      </c>
      <c r="Y1615">
        <v>1.021161E-4</v>
      </c>
      <c r="Z1615">
        <v>4.3630129999999999E-4</v>
      </c>
      <c r="AA1615">
        <v>0.99999990000000005</v>
      </c>
      <c r="AB1615">
        <v>37</v>
      </c>
      <c r="AC1615">
        <v>-323.83030000000002</v>
      </c>
      <c r="AD1615">
        <v>3.8313949999999899</v>
      </c>
      <c r="AE1615">
        <v>10.700899999999899</v>
      </c>
      <c r="AF1615">
        <v>3.1435319658944701E-2</v>
      </c>
      <c r="AG1615">
        <v>3.8313949999999899</v>
      </c>
      <c r="AH1615">
        <v>323.96175461354301</v>
      </c>
      <c r="AI1615">
        <v>89.322412214029299</v>
      </c>
      <c r="AJ1615">
        <v>89.994440358737407</v>
      </c>
      <c r="AK1615">
        <v>323.984411705426</v>
      </c>
      <c r="AL1615">
        <v>85.494788541739993</v>
      </c>
      <c r="AM1615">
        <v>94.556218892629104</v>
      </c>
      <c r="AN1615">
        <v>0.99999997303324795</v>
      </c>
    </row>
    <row r="1616" spans="1:40" x14ac:dyDescent="0.25">
      <c r="A1616" t="str">
        <f>"20190305135823107"</f>
        <v>20190305135823107</v>
      </c>
      <c r="B1616" t="str">
        <f>"1551765503100114"</f>
        <v>1551765503100114</v>
      </c>
      <c r="C1616" t="s">
        <v>40</v>
      </c>
      <c r="D1616">
        <v>4.0062610000000003</v>
      </c>
      <c r="E1616">
        <v>0.52813549999999998</v>
      </c>
      <c r="F1616" t="s">
        <v>55</v>
      </c>
      <c r="G1616">
        <v>0</v>
      </c>
      <c r="H1616">
        <v>0</v>
      </c>
      <c r="I1616">
        <v>0</v>
      </c>
      <c r="J1616">
        <v>-227.30590000000001</v>
      </c>
      <c r="K1616">
        <v>1.1065449999999999</v>
      </c>
      <c r="L1616">
        <v>283.00549999999998</v>
      </c>
      <c r="M1616">
        <v>-0.99940870000000004</v>
      </c>
      <c r="N1616">
        <v>-1.520541E-3</v>
      </c>
      <c r="O1616">
        <v>3.4354419999999997E-2</v>
      </c>
      <c r="P1616">
        <v>-0.99581679999999995</v>
      </c>
      <c r="Q1616">
        <v>7.8897159999999994E-2</v>
      </c>
      <c r="R1616">
        <v>-4.6093080000000002E-2</v>
      </c>
      <c r="S1616">
        <v>-3.0139469999999999</v>
      </c>
      <c r="T1616">
        <v>3.5616759999999997E-2</v>
      </c>
      <c r="U1616">
        <v>9.5977779999999999E-2</v>
      </c>
      <c r="V1616">
        <v>-7.9960169999999997E-2</v>
      </c>
      <c r="W1616">
        <v>8.0722920000000004E-2</v>
      </c>
      <c r="X1616">
        <v>0.99352410000000002</v>
      </c>
      <c r="Y1616">
        <v>-2.5242120000000001E-3</v>
      </c>
      <c r="Z1616">
        <v>4.7097220000000002E-4</v>
      </c>
      <c r="AA1616">
        <v>0.99999669999999896</v>
      </c>
      <c r="AB1616">
        <v>37</v>
      </c>
      <c r="AC1616">
        <v>-3.0139469999999999</v>
      </c>
      <c r="AD1616">
        <v>3.5616759999999997E-2</v>
      </c>
      <c r="AE1616">
        <v>9.5977779999999999E-2</v>
      </c>
      <c r="AF1616">
        <v>-7.6203173795441701E-3</v>
      </c>
      <c r="AG1616">
        <v>3.5616759999999997E-2</v>
      </c>
      <c r="AH1616">
        <v>3.0150445448548902</v>
      </c>
      <c r="AI1616">
        <v>89.323197861806904</v>
      </c>
      <c r="AJ1616">
        <v>90.144810827245493</v>
      </c>
      <c r="AK1616">
        <v>3.0152645373646898</v>
      </c>
      <c r="AL1616">
        <v>85.369879499405101</v>
      </c>
      <c r="AM1616">
        <v>94.6013246732347</v>
      </c>
      <c r="AN1616">
        <v>0.99999997794028195</v>
      </c>
    </row>
    <row r="1617" spans="1:40" x14ac:dyDescent="0.25">
      <c r="A1617" t="str">
        <f>"20190305135823129"</f>
        <v>20190305135823129</v>
      </c>
      <c r="B1617" t="str">
        <f>"1551765503120610"</f>
        <v>1551765503120610</v>
      </c>
      <c r="C1617" t="s">
        <v>40</v>
      </c>
      <c r="D1617">
        <v>3.964019</v>
      </c>
      <c r="E1617">
        <v>0.52795530000000002</v>
      </c>
      <c r="F1617" t="s">
        <v>60</v>
      </c>
      <c r="G1617">
        <v>-534.62639999999999</v>
      </c>
      <c r="H1617">
        <v>5.517506</v>
      </c>
      <c r="I1617">
        <v>292.91730000000001</v>
      </c>
      <c r="J1617">
        <v>-227.66820000000001</v>
      </c>
      <c r="K1617">
        <v>1.1065910000000001</v>
      </c>
      <c r="L1617">
        <v>283.01900000000001</v>
      </c>
      <c r="M1617">
        <v>-0.99936049999999998</v>
      </c>
      <c r="N1617">
        <v>-1.5850230000000001E-3</v>
      </c>
      <c r="O1617">
        <v>3.572289E-2</v>
      </c>
      <c r="P1617">
        <v>-0.99579910000000005</v>
      </c>
      <c r="Q1617">
        <v>7.9771889999999998E-2</v>
      </c>
      <c r="R1617">
        <v>-4.4953569999999998E-2</v>
      </c>
      <c r="S1617">
        <v>-3.013687</v>
      </c>
      <c r="T1617">
        <v>4.3256160000000002E-2</v>
      </c>
      <c r="U1617">
        <v>9.7198489999999999E-2</v>
      </c>
      <c r="V1617">
        <v>-8.0185729999999997E-2</v>
      </c>
      <c r="W1617">
        <v>8.1654439999999995E-2</v>
      </c>
      <c r="X1617">
        <v>0.99342980000000003</v>
      </c>
      <c r="Y1617">
        <v>-3.4845100000000001E-3</v>
      </c>
      <c r="Z1617">
        <v>5.9128169999999995E-4</v>
      </c>
      <c r="AA1617">
        <v>0.99999369999999999</v>
      </c>
      <c r="AB1617">
        <v>37</v>
      </c>
      <c r="AC1617">
        <v>-306.95819999999998</v>
      </c>
      <c r="AD1617">
        <v>4.4109150000000001</v>
      </c>
      <c r="AE1617">
        <v>9.8983000000000008</v>
      </c>
      <c r="AF1617">
        <v>-1.0732439158523599</v>
      </c>
      <c r="AG1617">
        <v>4.4109150000000001</v>
      </c>
      <c r="AH1617">
        <v>307.052537413442</v>
      </c>
      <c r="AI1617">
        <v>89.176988115441404</v>
      </c>
      <c r="AJ1617">
        <v>90.200265716300294</v>
      </c>
      <c r="AK1617">
        <v>307.08609339348698</v>
      </c>
      <c r="AL1617">
        <v>85.316330577926806</v>
      </c>
      <c r="AM1617">
        <v>94.614684708856998</v>
      </c>
      <c r="AN1617">
        <v>0.99999998319769301</v>
      </c>
    </row>
    <row r="1618" spans="1:40" x14ac:dyDescent="0.25">
      <c r="A1618" t="str">
        <f>"20190305135823151"</f>
        <v>20190305135823151</v>
      </c>
      <c r="B1618" t="str">
        <f>"1551765503140130"</f>
        <v>1551765503140130</v>
      </c>
      <c r="C1618" t="s">
        <v>40</v>
      </c>
      <c r="D1618">
        <v>4.0041359999999999</v>
      </c>
      <c r="E1618">
        <v>0.52783539999999995</v>
      </c>
      <c r="F1618" t="s">
        <v>60</v>
      </c>
      <c r="G1618">
        <v>-523.84299999999996</v>
      </c>
      <c r="H1618">
        <v>5.6256389999999996</v>
      </c>
      <c r="I1618">
        <v>292.75510000000003</v>
      </c>
      <c r="J1618">
        <v>-228.0394</v>
      </c>
      <c r="K1618">
        <v>1.106638</v>
      </c>
      <c r="L1618">
        <v>283.03339999999997</v>
      </c>
      <c r="M1618">
        <v>-0.99931029999999998</v>
      </c>
      <c r="N1618">
        <v>-1.64948E-3</v>
      </c>
      <c r="O1618">
        <v>3.7098249999999999E-2</v>
      </c>
      <c r="P1618">
        <v>-0.99579269999999998</v>
      </c>
      <c r="Q1618">
        <v>8.0530840000000006E-2</v>
      </c>
      <c r="R1618">
        <v>-4.3723819999999997E-2</v>
      </c>
      <c r="S1618">
        <v>-3.0134430000000001</v>
      </c>
      <c r="T1618">
        <v>4.5980100000000003E-2</v>
      </c>
      <c r="U1618">
        <v>9.9060060000000005E-2</v>
      </c>
      <c r="V1618">
        <v>-8.0328109999999994E-2</v>
      </c>
      <c r="W1618">
        <v>8.2470879999999996E-2</v>
      </c>
      <c r="X1618">
        <v>0.99335090000000004</v>
      </c>
      <c r="Y1618">
        <v>-4.2401899999999996E-3</v>
      </c>
      <c r="Z1618">
        <v>6.557205E-4</v>
      </c>
      <c r="AA1618">
        <v>0.99999079999999996</v>
      </c>
      <c r="AB1618">
        <v>37</v>
      </c>
      <c r="AC1618">
        <v>-295.80360000000002</v>
      </c>
      <c r="AD1618">
        <v>4.5190009999999896</v>
      </c>
      <c r="AE1618">
        <v>9.72170000000005</v>
      </c>
      <c r="AF1618">
        <v>-1.2585092207717801</v>
      </c>
      <c r="AG1618">
        <v>4.5190009999999896</v>
      </c>
      <c r="AH1618">
        <v>295.89165063708498</v>
      </c>
      <c r="AI1618">
        <v>89.125026965536094</v>
      </c>
      <c r="AJ1618">
        <v>90.243693364994698</v>
      </c>
      <c r="AK1618">
        <v>295.92883288425202</v>
      </c>
      <c r="AL1618">
        <v>85.269393925812295</v>
      </c>
      <c r="AM1618">
        <v>94.623208779149707</v>
      </c>
      <c r="AN1618">
        <v>1.0000000309174699</v>
      </c>
    </row>
    <row r="1619" spans="1:40" x14ac:dyDescent="0.25">
      <c r="A1619" t="str">
        <f>"20190305135823172"</f>
        <v>20190305135823172</v>
      </c>
      <c r="B1619" t="str">
        <f>"1551765503160626"</f>
        <v>1551765503160626</v>
      </c>
      <c r="C1619" t="s">
        <v>40</v>
      </c>
      <c r="D1619">
        <v>3.9976720000000001</v>
      </c>
      <c r="E1619">
        <v>0.52758989999999995</v>
      </c>
      <c r="F1619" t="s">
        <v>60</v>
      </c>
      <c r="G1619">
        <v>-516.80520000000001</v>
      </c>
      <c r="H1619">
        <v>5.8672139999999997</v>
      </c>
      <c r="I1619">
        <v>292.75510000000003</v>
      </c>
      <c r="J1619">
        <v>-228.3982</v>
      </c>
      <c r="K1619">
        <v>1.1066750000000001</v>
      </c>
      <c r="L1619">
        <v>283.0478</v>
      </c>
      <c r="M1619">
        <v>-0.9992607</v>
      </c>
      <c r="N1619">
        <v>-1.7099369999999999E-3</v>
      </c>
      <c r="O1619">
        <v>3.8406339999999997E-2</v>
      </c>
      <c r="P1619">
        <v>-0.99571929999999997</v>
      </c>
      <c r="Q1619">
        <v>8.1985820000000001E-2</v>
      </c>
      <c r="R1619">
        <v>-4.2680839999999998E-2</v>
      </c>
      <c r="S1619">
        <v>-3.0131070000000002</v>
      </c>
      <c r="T1619">
        <v>4.9674749999999997E-2</v>
      </c>
      <c r="U1619">
        <v>0.1014404</v>
      </c>
      <c r="V1619">
        <v>-8.0583619999999995E-2</v>
      </c>
      <c r="W1619">
        <v>8.3980550000000001E-2</v>
      </c>
      <c r="X1619">
        <v>0.99320370000000002</v>
      </c>
      <c r="Y1619">
        <v>-4.75523E-3</v>
      </c>
      <c r="Z1619">
        <v>7.3352300000000003E-4</v>
      </c>
      <c r="AA1619">
        <v>0.9999884</v>
      </c>
      <c r="AB1619">
        <v>38</v>
      </c>
      <c r="AC1619">
        <v>-288.40699999999998</v>
      </c>
      <c r="AD1619">
        <v>4.7605389999999996</v>
      </c>
      <c r="AE1619">
        <v>9.7073000000000302</v>
      </c>
      <c r="AF1619">
        <v>-1.37616145368465</v>
      </c>
      <c r="AG1619">
        <v>4.7605389999999996</v>
      </c>
      <c r="AH1619">
        <v>288.488524096025</v>
      </c>
      <c r="AI1619">
        <v>89.054621193267593</v>
      </c>
      <c r="AJ1619">
        <v>90.273312934749598</v>
      </c>
      <c r="AK1619">
        <v>288.53108166542501</v>
      </c>
      <c r="AL1619">
        <v>85.182595024064398</v>
      </c>
      <c r="AM1619">
        <v>94.638534729404398</v>
      </c>
      <c r="AN1619">
        <v>1.00000002114214</v>
      </c>
    </row>
    <row r="1620" spans="1:40" x14ac:dyDescent="0.25">
      <c r="A1620" t="str">
        <f>"20190305135823193"</f>
        <v>20190305135823193</v>
      </c>
      <c r="B1620" t="str">
        <f>"1551765503189906"</f>
        <v>1551765503189906</v>
      </c>
      <c r="C1620" t="s">
        <v>40</v>
      </c>
      <c r="D1620">
        <v>3.989811</v>
      </c>
      <c r="E1620">
        <v>0.52699280000000004</v>
      </c>
      <c r="F1620" t="s">
        <v>60</v>
      </c>
      <c r="G1620">
        <v>-514.13900000000001</v>
      </c>
      <c r="H1620">
        <v>6.1383619999999999</v>
      </c>
      <c r="I1620">
        <v>292.75510000000003</v>
      </c>
      <c r="J1620">
        <v>-228.7629</v>
      </c>
      <c r="K1620">
        <v>1.106708</v>
      </c>
      <c r="L1620">
        <v>283.06279999999998</v>
      </c>
      <c r="M1620">
        <v>-0.99920960000000003</v>
      </c>
      <c r="N1620">
        <v>-1.7693749999999999E-3</v>
      </c>
      <c r="O1620">
        <v>3.9712690000000002E-2</v>
      </c>
      <c r="P1620">
        <v>-0.99573579999999995</v>
      </c>
      <c r="Q1620">
        <v>8.2070799999999999E-2</v>
      </c>
      <c r="R1620">
        <v>-4.2128859999999997E-2</v>
      </c>
      <c r="S1620">
        <v>-3.0129090000000001</v>
      </c>
      <c r="T1620">
        <v>5.3055999999999902E-2</v>
      </c>
      <c r="U1620">
        <v>0.102356</v>
      </c>
      <c r="V1620">
        <v>-8.1336130000000006E-2</v>
      </c>
      <c r="W1620">
        <v>8.4122139999999998E-2</v>
      </c>
      <c r="X1620">
        <v>0.99313030000000002</v>
      </c>
      <c r="Y1620">
        <v>-5.7555169999999999E-3</v>
      </c>
      <c r="Z1620">
        <v>8.1464149999999904E-4</v>
      </c>
      <c r="AA1620">
        <v>0.99998310000000001</v>
      </c>
      <c r="AB1620">
        <v>38</v>
      </c>
      <c r="AC1620">
        <v>-285.37610000000001</v>
      </c>
      <c r="AD1620">
        <v>5.0316539999999996</v>
      </c>
      <c r="AE1620">
        <v>9.6923000000000403</v>
      </c>
      <c r="AF1620">
        <v>-1.6479042205326999</v>
      </c>
      <c r="AG1620">
        <v>5.0316539999999996</v>
      </c>
      <c r="AH1620">
        <v>285.44724912506098</v>
      </c>
      <c r="AI1620">
        <v>88.990153583083696</v>
      </c>
      <c r="AJ1620">
        <v>90.330768323257601</v>
      </c>
      <c r="AK1620">
        <v>285.49634877413098</v>
      </c>
      <c r="AL1620">
        <v>85.174453345729106</v>
      </c>
      <c r="AM1620">
        <v>94.682003340164002</v>
      </c>
      <c r="AN1620">
        <v>0.99999994662982095</v>
      </c>
    </row>
    <row r="1621" spans="1:40" x14ac:dyDescent="0.25">
      <c r="A1621" t="str">
        <f>"20190305135823218"</f>
        <v>20190305135823218</v>
      </c>
      <c r="B1621" t="str">
        <f>"1551765503210402"</f>
        <v>1551765503210402</v>
      </c>
      <c r="C1621" t="s">
        <v>40</v>
      </c>
      <c r="D1621">
        <v>3.9785940000000002</v>
      </c>
      <c r="E1621">
        <v>0.52668939999999997</v>
      </c>
      <c r="F1621" t="s">
        <v>60</v>
      </c>
      <c r="G1621">
        <v>-522.37260000000003</v>
      </c>
      <c r="H1621">
        <v>6.0719059999999896</v>
      </c>
      <c r="I1621">
        <v>292.75510000000003</v>
      </c>
      <c r="J1621">
        <v>-229.1643</v>
      </c>
      <c r="K1621">
        <v>1.1067370000000001</v>
      </c>
      <c r="L1621">
        <v>283.07990000000001</v>
      </c>
      <c r="M1621">
        <v>-0.99915279999999995</v>
      </c>
      <c r="N1621">
        <v>-1.8322150000000001E-3</v>
      </c>
      <c r="O1621">
        <v>4.1116680000000003E-2</v>
      </c>
      <c r="P1621">
        <v>-0.99582990000000005</v>
      </c>
      <c r="Q1621">
        <v>8.1444559999999999E-2</v>
      </c>
      <c r="R1621">
        <v>-4.1105740000000002E-2</v>
      </c>
      <c r="S1621">
        <v>-3.012848</v>
      </c>
      <c r="T1621">
        <v>5.0950769999999999E-2</v>
      </c>
      <c r="U1621">
        <v>9.9456790000000003E-2</v>
      </c>
      <c r="V1621">
        <v>-8.1722210000000003E-2</v>
      </c>
      <c r="W1621">
        <v>8.3552899999999999E-2</v>
      </c>
      <c r="X1621">
        <v>0.99314669999999905</v>
      </c>
      <c r="Y1621">
        <v>-8.1211069999999903E-3</v>
      </c>
      <c r="Z1621">
        <v>8.3136699999999996E-4</v>
      </c>
      <c r="AA1621">
        <v>0.99996669999999999</v>
      </c>
      <c r="AB1621">
        <v>38</v>
      </c>
      <c r="AC1621">
        <v>-293.20830000000001</v>
      </c>
      <c r="AD1621">
        <v>4.9651690000000004</v>
      </c>
      <c r="AE1621">
        <v>9.6752000000000091</v>
      </c>
      <c r="AF1621">
        <v>-2.3880683246225001</v>
      </c>
      <c r="AG1621">
        <v>4.9651690000000004</v>
      </c>
      <c r="AH1621">
        <v>293.27415362473698</v>
      </c>
      <c r="AI1621">
        <v>89.030099922300494</v>
      </c>
      <c r="AJ1621">
        <v>90.4665368923024</v>
      </c>
      <c r="AK1621">
        <v>293.325902296111</v>
      </c>
      <c r="AL1621">
        <v>85.207183821413594</v>
      </c>
      <c r="AM1621">
        <v>94.704050672765504</v>
      </c>
      <c r="AN1621">
        <v>0.99999998721329098</v>
      </c>
    </row>
    <row r="1622" spans="1:40" x14ac:dyDescent="0.25">
      <c r="A1622" t="str">
        <f>"20190305135823240"</f>
        <v>20190305135823240</v>
      </c>
      <c r="B1622" t="str">
        <f>"1551765503229926"</f>
        <v>1551765503229926</v>
      </c>
      <c r="C1622" t="s">
        <v>40</v>
      </c>
      <c r="D1622">
        <v>4.2358089999999997</v>
      </c>
      <c r="E1622">
        <v>0.52675090000000002</v>
      </c>
      <c r="F1622" t="s">
        <v>60</v>
      </c>
      <c r="G1622">
        <v>-520.91420000000005</v>
      </c>
      <c r="H1622">
        <v>5.6483589999999904</v>
      </c>
      <c r="I1622">
        <v>292.75510000000003</v>
      </c>
      <c r="J1622">
        <v>-229.55240000000001</v>
      </c>
      <c r="K1622">
        <v>1.106778</v>
      </c>
      <c r="L1622">
        <v>283.09679999999997</v>
      </c>
      <c r="M1622">
        <v>-0.99909800000000004</v>
      </c>
      <c r="N1622">
        <v>-1.8904830000000001E-3</v>
      </c>
      <c r="O1622">
        <v>4.2423509999999998E-2</v>
      </c>
      <c r="P1622">
        <v>-0.99589119999999998</v>
      </c>
      <c r="Q1622">
        <v>8.1514809999999993E-2</v>
      </c>
      <c r="R1622">
        <v>-3.9450119999999998E-2</v>
      </c>
      <c r="S1622">
        <v>-3.012848</v>
      </c>
      <c r="T1622">
        <v>4.6901350000000001E-2</v>
      </c>
      <c r="U1622">
        <v>9.9914550000000005E-2</v>
      </c>
      <c r="V1622">
        <v>-8.1377110000000002E-2</v>
      </c>
      <c r="W1622">
        <v>8.3672170000000004E-2</v>
      </c>
      <c r="X1622">
        <v>0.99316499999999996</v>
      </c>
      <c r="Y1622">
        <v>-9.2780710000000006E-3</v>
      </c>
      <c r="Z1622">
        <v>8.0355050000000005E-4</v>
      </c>
      <c r="AA1622">
        <v>0.99995659999999997</v>
      </c>
      <c r="AB1622">
        <v>38</v>
      </c>
      <c r="AC1622">
        <v>-291.36180000000002</v>
      </c>
      <c r="AD1622">
        <v>4.5415809999999901</v>
      </c>
      <c r="AE1622">
        <v>9.6583000000000503</v>
      </c>
      <c r="AF1622">
        <v>-2.7103488699175702</v>
      </c>
      <c r="AG1622">
        <v>4.5415809999999901</v>
      </c>
      <c r="AH1622">
        <v>291.43849842488299</v>
      </c>
      <c r="AI1622">
        <v>89.107252077356506</v>
      </c>
      <c r="AJ1622">
        <v>90.5328296548563</v>
      </c>
      <c r="AK1622">
        <v>291.48648392871797</v>
      </c>
      <c r="AL1622">
        <v>85.200326161759193</v>
      </c>
      <c r="AM1622">
        <v>94.684188865329105</v>
      </c>
      <c r="AN1622">
        <v>0.99999999164472997</v>
      </c>
    </row>
    <row r="1623" spans="1:40" x14ac:dyDescent="0.25">
      <c r="A1623" t="str">
        <f>"20190305135823263"</f>
        <v>20190305135823263</v>
      </c>
      <c r="B1623" t="str">
        <f>"1551765503250418"</f>
        <v>1551765503250418</v>
      </c>
      <c r="C1623" t="s">
        <v>40</v>
      </c>
      <c r="D1623">
        <v>3.9817550000000002</v>
      </c>
      <c r="E1623">
        <v>0.52650450000000004</v>
      </c>
      <c r="F1623" t="s">
        <v>60</v>
      </c>
      <c r="G1623">
        <v>-538.80340000000001</v>
      </c>
      <c r="H1623">
        <v>5.5161199999999999</v>
      </c>
      <c r="I1623">
        <v>293.93759999999997</v>
      </c>
      <c r="J1623">
        <v>-229.94649999999999</v>
      </c>
      <c r="K1623">
        <v>1.1068249999999999</v>
      </c>
      <c r="L1623">
        <v>283.1146</v>
      </c>
      <c r="M1623">
        <v>-0.99904360000000003</v>
      </c>
      <c r="N1623">
        <v>-1.9474500000000001E-3</v>
      </c>
      <c r="O1623">
        <v>4.3683609999999998E-2</v>
      </c>
      <c r="P1623">
        <v>-0.99592420000000004</v>
      </c>
      <c r="Q1623">
        <v>8.2172410000000001E-2</v>
      </c>
      <c r="R1623">
        <v>-3.7188020000000002E-2</v>
      </c>
      <c r="S1623">
        <v>-3.0130309999999998</v>
      </c>
      <c r="T1623">
        <v>4.2960999999999999E-2</v>
      </c>
      <c r="U1623">
        <v>0.1056213</v>
      </c>
      <c r="V1623">
        <v>-8.0378740000000004E-2</v>
      </c>
      <c r="W1623">
        <v>8.4373970000000006E-2</v>
      </c>
      <c r="X1623">
        <v>0.99318700000000004</v>
      </c>
      <c r="Y1623">
        <v>-8.6505039999999998E-3</v>
      </c>
      <c r="Z1623">
        <v>7.6066809999999997E-4</v>
      </c>
      <c r="AA1623">
        <v>0.99996229999999997</v>
      </c>
      <c r="AB1623">
        <v>38</v>
      </c>
      <c r="AC1623">
        <v>-308.8569</v>
      </c>
      <c r="AD1623">
        <v>4.4092949999999904</v>
      </c>
      <c r="AE1623">
        <v>10.822999999999899</v>
      </c>
      <c r="AF1623">
        <v>-2.67879504891763</v>
      </c>
      <c r="AG1623">
        <v>4.4092949999999904</v>
      </c>
      <c r="AH1623">
        <v>308.97196340186298</v>
      </c>
      <c r="AI1623">
        <v>89.182426293687996</v>
      </c>
      <c r="AJ1623">
        <v>90.496743468926397</v>
      </c>
      <c r="AK1623">
        <v>309.01503522274299</v>
      </c>
      <c r="AL1623">
        <v>85.159973632338307</v>
      </c>
      <c r="AM1623">
        <v>94.626870203635093</v>
      </c>
      <c r="AN1623">
        <v>1.0000000628132699</v>
      </c>
    </row>
    <row r="1624" spans="1:40" x14ac:dyDescent="0.25">
      <c r="A1624" t="str">
        <f>"20190305135823285"</f>
        <v>20190305135823285</v>
      </c>
      <c r="B1624" t="str">
        <f>"1551765503280674"</f>
        <v>1551765503280674</v>
      </c>
      <c r="C1624" t="s">
        <v>40</v>
      </c>
      <c r="D1624">
        <v>3.9647260000000002</v>
      </c>
      <c r="E1624">
        <v>0.52651519999999996</v>
      </c>
      <c r="F1624" t="s">
        <v>60</v>
      </c>
      <c r="G1624">
        <v>-537.11500000000001</v>
      </c>
      <c r="H1624">
        <v>5.51668</v>
      </c>
      <c r="I1624">
        <v>294.36540000000002</v>
      </c>
      <c r="J1624">
        <v>-230.32849999999999</v>
      </c>
      <c r="K1624">
        <v>1.1068690000000001</v>
      </c>
      <c r="L1624">
        <v>283.13220000000001</v>
      </c>
      <c r="M1624">
        <v>-0.99899210000000005</v>
      </c>
      <c r="N1624">
        <v>-2.0010900000000001E-3</v>
      </c>
      <c r="O1624">
        <v>4.4842840000000002E-2</v>
      </c>
      <c r="P1624">
        <v>-0.99596189999999996</v>
      </c>
      <c r="Q1624">
        <v>8.2626489999999997E-2</v>
      </c>
      <c r="R1624">
        <v>-3.5108819999999999E-2</v>
      </c>
      <c r="S1624">
        <v>-3.0128020000000002</v>
      </c>
      <c r="T1624">
        <v>4.3254019999999997E-2</v>
      </c>
      <c r="U1624">
        <v>0.11035159999999999</v>
      </c>
      <c r="V1624">
        <v>-7.9464149999999997E-2</v>
      </c>
      <c r="W1624">
        <v>8.4869050000000001E-2</v>
      </c>
      <c r="X1624">
        <v>0.99321839999999995</v>
      </c>
      <c r="Y1624">
        <v>-8.2399789999999997E-3</v>
      </c>
      <c r="Z1624">
        <v>7.8387369999999995E-4</v>
      </c>
      <c r="AA1624">
        <v>0.99996569999999996</v>
      </c>
      <c r="AB1624">
        <v>39</v>
      </c>
      <c r="AC1624">
        <v>-306.78649999999999</v>
      </c>
      <c r="AD1624">
        <v>4.4098110000000004</v>
      </c>
      <c r="AE1624">
        <v>11.2332</v>
      </c>
      <c r="AF1624">
        <v>-2.5347817951723499</v>
      </c>
      <c r="AG1624">
        <v>4.4098110000000004</v>
      </c>
      <c r="AH1624">
        <v>306.91828784565598</v>
      </c>
      <c r="AI1624">
        <v>89.176857262538903</v>
      </c>
      <c r="AJ1624">
        <v>90.473184566487006</v>
      </c>
      <c r="AK1624">
        <v>306.96043224805697</v>
      </c>
      <c r="AL1624">
        <v>85.131505458849603</v>
      </c>
      <c r="AM1624">
        <v>94.574304043595802</v>
      </c>
      <c r="AN1624">
        <v>1.00000004844084</v>
      </c>
    </row>
    <row r="1625" spans="1:40" x14ac:dyDescent="0.25">
      <c r="A1625" t="str">
        <f>"20190305135823308"</f>
        <v>20190305135823308</v>
      </c>
      <c r="B1625" t="str">
        <f>"1551765503300194"</f>
        <v>1551765503300194</v>
      </c>
      <c r="C1625" t="s">
        <v>40</v>
      </c>
      <c r="D1625">
        <v>4.3547500000000001</v>
      </c>
      <c r="E1625">
        <v>0.526644</v>
      </c>
      <c r="F1625" t="s">
        <v>60</v>
      </c>
      <c r="G1625">
        <v>-510.95530000000002</v>
      </c>
      <c r="H1625">
        <v>5.072222</v>
      </c>
      <c r="I1625">
        <v>293.98820000000001</v>
      </c>
      <c r="J1625">
        <v>-230.7191</v>
      </c>
      <c r="K1625">
        <v>1.1069249999999999</v>
      </c>
      <c r="L1625">
        <v>283.15050000000002</v>
      </c>
      <c r="M1625">
        <v>-0.99894170000000004</v>
      </c>
      <c r="N1625">
        <v>-2.0543089999999998E-3</v>
      </c>
      <c r="O1625">
        <v>4.5947349999999998E-2</v>
      </c>
      <c r="P1625">
        <v>-0.99599930000000003</v>
      </c>
      <c r="Q1625">
        <v>8.3077830000000005E-2</v>
      </c>
      <c r="R1625">
        <v>-3.291152E-2</v>
      </c>
      <c r="S1625">
        <v>-3.0127259999999998</v>
      </c>
      <c r="T1625">
        <v>4.2571779999999997E-2</v>
      </c>
      <c r="U1625">
        <v>0.1165466</v>
      </c>
      <c r="V1625">
        <v>-7.8379589999999999E-2</v>
      </c>
      <c r="W1625">
        <v>8.5358400000000001E-2</v>
      </c>
      <c r="X1625">
        <v>0.9932626</v>
      </c>
      <c r="Y1625">
        <v>-7.29144699999999E-3</v>
      </c>
      <c r="Z1625">
        <v>7.87073E-4</v>
      </c>
      <c r="AA1625">
        <v>0.99997309999999995</v>
      </c>
      <c r="AB1625">
        <v>39</v>
      </c>
      <c r="AC1625">
        <v>-280.2362</v>
      </c>
      <c r="AD1625">
        <v>3.9652970000000001</v>
      </c>
      <c r="AE1625">
        <v>10.8376999999999</v>
      </c>
      <c r="AF1625">
        <v>-2.04947500194816</v>
      </c>
      <c r="AG1625">
        <v>3.9652970000000001</v>
      </c>
      <c r="AH1625">
        <v>280.38214181926901</v>
      </c>
      <c r="AI1625">
        <v>89.189771617144501</v>
      </c>
      <c r="AJ1625">
        <v>90.418800483424107</v>
      </c>
      <c r="AK1625">
        <v>280.41766952038199</v>
      </c>
      <c r="AL1625">
        <v>85.103365442374596</v>
      </c>
      <c r="AM1625">
        <v>94.511931645604406</v>
      </c>
      <c r="AN1625">
        <v>1.0000000045689399</v>
      </c>
    </row>
    <row r="1626" spans="1:40" x14ac:dyDescent="0.25">
      <c r="A1626" t="str">
        <f>"20190305135823329"</f>
        <v>20190305135823329</v>
      </c>
      <c r="B1626" t="str">
        <f>"1551765503320690"</f>
        <v>1551765503320690</v>
      </c>
      <c r="C1626" t="s">
        <v>40</v>
      </c>
      <c r="D1626">
        <v>3.9410280000000002</v>
      </c>
      <c r="E1626">
        <v>0.52637369999999895</v>
      </c>
      <c r="F1626" t="s">
        <v>60</v>
      </c>
      <c r="G1626">
        <v>-510.95530000000002</v>
      </c>
      <c r="H1626">
        <v>5.015854</v>
      </c>
      <c r="I1626">
        <v>294.69850000000002</v>
      </c>
      <c r="J1626">
        <v>-231.10339999999999</v>
      </c>
      <c r="K1626">
        <v>1.1069929999999999</v>
      </c>
      <c r="L1626">
        <v>283.16890000000001</v>
      </c>
      <c r="M1626">
        <v>-0.99889589999999995</v>
      </c>
      <c r="N1626">
        <v>-2.105244E-3</v>
      </c>
      <c r="O1626">
        <v>4.6933420000000003E-2</v>
      </c>
      <c r="P1626">
        <v>-0.99602849999999998</v>
      </c>
      <c r="Q1626">
        <v>8.3135459999999994E-2</v>
      </c>
      <c r="R1626">
        <v>-3.1876729999999999E-2</v>
      </c>
      <c r="S1626">
        <v>-3.0126499999999998</v>
      </c>
      <c r="T1626">
        <v>4.2023419999999999E-2</v>
      </c>
      <c r="U1626">
        <v>0.12414550000000001</v>
      </c>
      <c r="V1626">
        <v>-7.8341999999999995E-2</v>
      </c>
      <c r="W1626">
        <v>8.5453420000000002E-2</v>
      </c>
      <c r="X1626">
        <v>0.99325739999999996</v>
      </c>
      <c r="Y1626">
        <v>-5.7594519999999904E-3</v>
      </c>
      <c r="Z1626">
        <v>7.86921E-4</v>
      </c>
      <c r="AA1626">
        <v>0.99998310000000001</v>
      </c>
      <c r="AB1626">
        <v>39</v>
      </c>
      <c r="AC1626">
        <v>-279.8519</v>
      </c>
      <c r="AD1626">
        <v>3.9088609999999999</v>
      </c>
      <c r="AE1626">
        <v>11.5296</v>
      </c>
      <c r="AF1626">
        <v>-1.61722504075129</v>
      </c>
      <c r="AG1626">
        <v>3.9088609999999999</v>
      </c>
      <c r="AH1626">
        <v>280.03009254269398</v>
      </c>
      <c r="AI1626">
        <v>89.200289662935901</v>
      </c>
      <c r="AJ1626">
        <v>90.330889935364993</v>
      </c>
      <c r="AK1626">
        <v>280.06204194895702</v>
      </c>
      <c r="AL1626">
        <v>85.097901255788003</v>
      </c>
      <c r="AM1626">
        <v>94.509800213174003</v>
      </c>
      <c r="AN1626">
        <v>1.0000000093042201</v>
      </c>
    </row>
    <row r="1627" spans="1:40" x14ac:dyDescent="0.25">
      <c r="A1627" t="str">
        <f>"20190305135823351"</f>
        <v>20190305135823351</v>
      </c>
      <c r="B1627" t="str">
        <f>"1551765503340214"</f>
        <v>1551765503340214</v>
      </c>
      <c r="C1627" t="s">
        <v>40</v>
      </c>
      <c r="D1627">
        <v>3.9171339999999999</v>
      </c>
      <c r="E1627">
        <v>0.52613589999999999</v>
      </c>
      <c r="F1627" t="s">
        <v>60</v>
      </c>
      <c r="G1627">
        <v>-510.95519999999999</v>
      </c>
      <c r="H1627">
        <v>4.8570849999999997</v>
      </c>
      <c r="I1627">
        <v>294.79759999999999</v>
      </c>
      <c r="J1627">
        <v>-231.49799999999999</v>
      </c>
      <c r="K1627">
        <v>1.107078</v>
      </c>
      <c r="L1627">
        <v>283.18819999999999</v>
      </c>
      <c r="M1627">
        <v>-0.99885360000000001</v>
      </c>
      <c r="N1627">
        <v>-2.1560519999999999E-3</v>
      </c>
      <c r="O1627">
        <v>4.7821660000000002E-2</v>
      </c>
      <c r="P1627">
        <v>-0.99607829999999997</v>
      </c>
      <c r="Q1627">
        <v>8.2893800000000004E-2</v>
      </c>
      <c r="R1627">
        <v>-3.0934759999999999E-2</v>
      </c>
      <c r="S1627">
        <v>-3.0126189999999999</v>
      </c>
      <c r="T1627">
        <v>4.0370820000000002E-2</v>
      </c>
      <c r="U1627">
        <v>0.12518309999999999</v>
      </c>
      <c r="V1627">
        <v>-7.8305979999999997E-2</v>
      </c>
      <c r="W1627">
        <v>8.5245329999999994E-2</v>
      </c>
      <c r="X1627">
        <v>0.99327810000000005</v>
      </c>
      <c r="Y1627">
        <v>-6.3047009999999898E-3</v>
      </c>
      <c r="Z1627">
        <v>7.7872509999999903E-4</v>
      </c>
      <c r="AA1627">
        <v>0.99997979999999997</v>
      </c>
      <c r="AB1627">
        <v>39</v>
      </c>
      <c r="AC1627">
        <v>-279.4572</v>
      </c>
      <c r="AD1627">
        <v>3.7500070000000001</v>
      </c>
      <c r="AE1627">
        <v>11.6093999999999</v>
      </c>
      <c r="AF1627">
        <v>-1.76770250702958</v>
      </c>
      <c r="AG1627">
        <v>3.7500070000000001</v>
      </c>
      <c r="AH1627">
        <v>279.64238324105401</v>
      </c>
      <c r="AI1627">
        <v>89.231724454645999</v>
      </c>
      <c r="AJ1627">
        <v>90.362178804628599</v>
      </c>
      <c r="AK1627">
        <v>279.673112453432</v>
      </c>
      <c r="AL1627">
        <v>85.109867495983096</v>
      </c>
      <c r="AM1627">
        <v>94.5076416953615</v>
      </c>
      <c r="AN1627">
        <v>0.99999998836508897</v>
      </c>
    </row>
    <row r="1628" spans="1:40" x14ac:dyDescent="0.25">
      <c r="A1628" t="str">
        <f>"20190305135823373"</f>
        <v>20190305135823373</v>
      </c>
      <c r="B1628" t="str">
        <f>"1551765503360706"</f>
        <v>1551765503360706</v>
      </c>
      <c r="C1628" t="s">
        <v>40</v>
      </c>
      <c r="D1628">
        <v>3.9024009999999998</v>
      </c>
      <c r="E1628">
        <v>0.52588979999999996</v>
      </c>
      <c r="F1628" t="s">
        <v>60</v>
      </c>
      <c r="G1628">
        <v>-510.95519999999999</v>
      </c>
      <c r="H1628">
        <v>4.7579880000000001</v>
      </c>
      <c r="I1628">
        <v>294.90570000000002</v>
      </c>
      <c r="J1628">
        <v>-231.8715</v>
      </c>
      <c r="K1628">
        <v>1.107181</v>
      </c>
      <c r="L1628">
        <v>283.20659999999998</v>
      </c>
      <c r="M1628">
        <v>-0.99881920000000002</v>
      </c>
      <c r="N1628">
        <v>-2.203057E-3</v>
      </c>
      <c r="O1628">
        <v>4.8531289999999998E-2</v>
      </c>
      <c r="P1628">
        <v>-0.99606969999999995</v>
      </c>
      <c r="Q1628">
        <v>8.3269490000000002E-2</v>
      </c>
      <c r="R1628">
        <v>-3.0187579999999999E-2</v>
      </c>
      <c r="S1628">
        <v>-3.0124819999999999</v>
      </c>
      <c r="T1628">
        <v>3.9356830000000002E-2</v>
      </c>
      <c r="U1628">
        <v>0.12631229999999999</v>
      </c>
      <c r="V1628">
        <v>-7.8284790000000007E-2</v>
      </c>
      <c r="W1628">
        <v>8.564869E-2</v>
      </c>
      <c r="X1628">
        <v>0.99324509999999999</v>
      </c>
      <c r="Y1628">
        <v>-6.6392350000000003E-3</v>
      </c>
      <c r="Z1628">
        <v>7.763437E-4</v>
      </c>
      <c r="AA1628">
        <v>0.99997760000000002</v>
      </c>
      <c r="AB1628">
        <v>39</v>
      </c>
      <c r="AC1628">
        <v>-279.08370000000002</v>
      </c>
      <c r="AD1628">
        <v>3.6508069999999999</v>
      </c>
      <c r="AE1628">
        <v>11.6991</v>
      </c>
      <c r="AF1628">
        <v>-1.85869334151082</v>
      </c>
      <c r="AG1628">
        <v>3.6508069999999999</v>
      </c>
      <c r="AH1628">
        <v>279.27491088690903</v>
      </c>
      <c r="AI1628">
        <v>89.251063096025803</v>
      </c>
      <c r="AJ1628">
        <v>90.381322157401996</v>
      </c>
      <c r="AK1628">
        <v>279.30495696206299</v>
      </c>
      <c r="AL1628">
        <v>85.086671980614199</v>
      </c>
      <c r="AM1628">
        <v>94.506576036087296</v>
      </c>
      <c r="AN1628">
        <v>1.00000001755903</v>
      </c>
    </row>
    <row r="1629" spans="1:40" x14ac:dyDescent="0.25">
      <c r="A1629" t="str">
        <f>"20190305135823395"</f>
        <v>20190305135823395</v>
      </c>
      <c r="B1629" t="str">
        <f>"1551765503390962"</f>
        <v>1551765503390962</v>
      </c>
      <c r="C1629" t="s">
        <v>40</v>
      </c>
      <c r="D1629">
        <v>3.9069940000000001</v>
      </c>
      <c r="E1629">
        <v>0.52559560000000005</v>
      </c>
      <c r="F1629" t="s">
        <v>60</v>
      </c>
      <c r="G1629">
        <v>-510.95519999999999</v>
      </c>
      <c r="H1629">
        <v>4.8300219999999996</v>
      </c>
      <c r="I1629">
        <v>294.9203</v>
      </c>
      <c r="J1629">
        <v>-232.26439999999999</v>
      </c>
      <c r="K1629">
        <v>1.1072959999999901</v>
      </c>
      <c r="L1629">
        <v>283.22609999999997</v>
      </c>
      <c r="M1629">
        <v>-0.9987897</v>
      </c>
      <c r="N1629">
        <v>-2.2520000000000001E-3</v>
      </c>
      <c r="O1629">
        <v>4.913389E-2</v>
      </c>
      <c r="P1629">
        <v>-0.99603770000000003</v>
      </c>
      <c r="Q1629">
        <v>8.3877049999999995E-2</v>
      </c>
      <c r="R1629">
        <v>-2.9558540000000001E-2</v>
      </c>
      <c r="S1629">
        <v>-3.0123289999999998</v>
      </c>
      <c r="T1629">
        <v>4.0183900000000002E-2</v>
      </c>
      <c r="U1629">
        <v>0.1264343</v>
      </c>
      <c r="V1629">
        <v>-7.8276709999999999E-2</v>
      </c>
      <c r="W1629">
        <v>8.6282419999999999E-2</v>
      </c>
      <c r="X1629">
        <v>0.99319089999999999</v>
      </c>
      <c r="Y1629">
        <v>-7.199591E-3</v>
      </c>
      <c r="Z1629">
        <v>8.0529660000000004E-4</v>
      </c>
      <c r="AA1629">
        <v>0.99997380000000002</v>
      </c>
      <c r="AB1629">
        <v>39</v>
      </c>
      <c r="AC1629">
        <v>-278.69080000000002</v>
      </c>
      <c r="AD1629">
        <v>3.7227260000000002</v>
      </c>
      <c r="AE1629">
        <v>11.6942</v>
      </c>
      <c r="AF1629">
        <v>-2.0127631167639199</v>
      </c>
      <c r="AG1629">
        <v>3.7227260000000002</v>
      </c>
      <c r="AH1629">
        <v>278.879104862568</v>
      </c>
      <c r="AI1629">
        <v>89.235230383593702</v>
      </c>
      <c r="AJ1629">
        <v>90.4135154890335</v>
      </c>
      <c r="AK1629">
        <v>278.911213530726</v>
      </c>
      <c r="AL1629">
        <v>85.050227080604003</v>
      </c>
      <c r="AM1629">
        <v>94.506357707928998</v>
      </c>
      <c r="AN1629">
        <v>1.0000000315861399</v>
      </c>
    </row>
    <row r="1630" spans="1:40" x14ac:dyDescent="0.25">
      <c r="A1630" t="str">
        <f>"20190305135823420"</f>
        <v>20190305135823420</v>
      </c>
      <c r="B1630" t="str">
        <f>"1551765503410483"</f>
        <v>1551765503410483</v>
      </c>
      <c r="C1630" t="s">
        <v>40</v>
      </c>
      <c r="D1630">
        <v>3.8945280000000002</v>
      </c>
      <c r="E1630">
        <v>0.52539840000000004</v>
      </c>
      <c r="F1630" t="s">
        <v>60</v>
      </c>
      <c r="G1630">
        <v>-510.95530000000002</v>
      </c>
      <c r="H1630">
        <v>4.9426709999999998</v>
      </c>
      <c r="I1630">
        <v>294.87869999999998</v>
      </c>
      <c r="J1630">
        <v>-232.69110000000001</v>
      </c>
      <c r="K1630">
        <v>1.1074360000000001</v>
      </c>
      <c r="L1630">
        <v>283.24740000000003</v>
      </c>
      <c r="M1630">
        <v>-0.99876549999999997</v>
      </c>
      <c r="N1630">
        <v>-2.304651E-3</v>
      </c>
      <c r="O1630">
        <v>4.9621619999999998E-2</v>
      </c>
      <c r="P1630">
        <v>-0.99595750000000005</v>
      </c>
      <c r="Q1630">
        <v>8.490267E-2</v>
      </c>
      <c r="R1630">
        <v>-2.933123E-2</v>
      </c>
      <c r="S1630">
        <v>-3.0121920000000002</v>
      </c>
      <c r="T1630">
        <v>4.1455029999999997E-2</v>
      </c>
      <c r="U1630">
        <v>0.125946</v>
      </c>
      <c r="V1630">
        <v>-7.8556940000000006E-2</v>
      </c>
      <c r="W1630">
        <v>8.7335120000000002E-2</v>
      </c>
      <c r="X1630">
        <v>0.99307670000000003</v>
      </c>
      <c r="Y1630">
        <v>-7.8472850000000007E-3</v>
      </c>
      <c r="Z1630">
        <v>8.4149050000000003E-4</v>
      </c>
      <c r="AA1630">
        <v>0.99996879999999999</v>
      </c>
      <c r="AB1630">
        <v>40</v>
      </c>
      <c r="AC1630">
        <v>-278.26420000000002</v>
      </c>
      <c r="AD1630">
        <v>3.8352349999999999</v>
      </c>
      <c r="AE1630">
        <v>11.6312999999999</v>
      </c>
      <c r="AF1630">
        <v>-2.19056949485371</v>
      </c>
      <c r="AG1630">
        <v>3.8352349999999999</v>
      </c>
      <c r="AH1630">
        <v>278.44576466053502</v>
      </c>
      <c r="AI1630">
        <v>89.210898086163994</v>
      </c>
      <c r="AJ1630">
        <v>90.450744142872594</v>
      </c>
      <c r="AK1630">
        <v>278.480791940139</v>
      </c>
      <c r="AL1630">
        <v>84.9896829701988</v>
      </c>
      <c r="AM1630">
        <v>94.522941532349606</v>
      </c>
      <c r="AN1630">
        <v>0.999999974045233</v>
      </c>
    </row>
    <row r="1631" spans="1:40" x14ac:dyDescent="0.25">
      <c r="A1631" t="str">
        <f>"20190305135823440"</f>
        <v>20190305135823440</v>
      </c>
      <c r="B1631" t="str">
        <f>"1551765503430978"</f>
        <v>1551765503430978</v>
      </c>
      <c r="C1631" t="s">
        <v>40</v>
      </c>
      <c r="D1631">
        <v>4.2219769999999999</v>
      </c>
      <c r="E1631">
        <v>0.52561150000000001</v>
      </c>
      <c r="F1631" t="s">
        <v>60</v>
      </c>
      <c r="G1631">
        <v>-510.9554</v>
      </c>
      <c r="H1631">
        <v>5.2013410000000002</v>
      </c>
      <c r="I1631">
        <v>294.76990000000001</v>
      </c>
      <c r="J1631">
        <v>-233.07839999999999</v>
      </c>
      <c r="K1631">
        <v>1.1075569999999999</v>
      </c>
      <c r="L1631">
        <v>283.26690000000002</v>
      </c>
      <c r="M1631">
        <v>-0.99875020000000003</v>
      </c>
      <c r="N1631">
        <v>-2.351863E-3</v>
      </c>
      <c r="O1631">
        <v>4.992357E-2</v>
      </c>
      <c r="P1631">
        <v>-0.99591700000000005</v>
      </c>
      <c r="Q1631">
        <v>8.5361999999999993E-2</v>
      </c>
      <c r="R1631">
        <v>-2.9365820000000001E-2</v>
      </c>
      <c r="S1631">
        <v>-3.01207</v>
      </c>
      <c r="T1631">
        <v>4.4315340000000002E-2</v>
      </c>
      <c r="U1631">
        <v>0.1247253</v>
      </c>
      <c r="V1631">
        <v>-7.8914399999999996E-2</v>
      </c>
      <c r="W1631">
        <v>8.7819140000000004E-2</v>
      </c>
      <c r="X1631">
        <v>0.99300569999999999</v>
      </c>
      <c r="Y1631">
        <v>-8.5514649999999994E-3</v>
      </c>
      <c r="Z1631">
        <v>9.0397100000000005E-4</v>
      </c>
      <c r="AA1631">
        <v>0.99996300000000005</v>
      </c>
      <c r="AB1631">
        <v>40</v>
      </c>
      <c r="AC1631">
        <v>-277.87700000000001</v>
      </c>
      <c r="AD1631">
        <v>4.0937839999999897</v>
      </c>
      <c r="AE1631">
        <v>11.502999999999901</v>
      </c>
      <c r="AF1631">
        <v>-2.3834786440465101</v>
      </c>
      <c r="AG1631">
        <v>4.0937839999999897</v>
      </c>
      <c r="AH1631">
        <v>278.04452507313999</v>
      </c>
      <c r="AI1631">
        <v>89.156498468386502</v>
      </c>
      <c r="AJ1631">
        <v>90.491144078076005</v>
      </c>
      <c r="AK1631">
        <v>278.08487546257101</v>
      </c>
      <c r="AL1631">
        <v>84.961843841810904</v>
      </c>
      <c r="AM1631">
        <v>94.543759929767702</v>
      </c>
      <c r="AN1631">
        <v>1.0000000020550901</v>
      </c>
    </row>
    <row r="1632" spans="1:40" x14ac:dyDescent="0.25">
      <c r="A1632" t="str">
        <f>"20190305135823473"</f>
        <v>20190305135823473</v>
      </c>
      <c r="B1632" t="str">
        <f>"1551765503460258"</f>
        <v>1551765503460258</v>
      </c>
      <c r="C1632" t="s">
        <v>40</v>
      </c>
      <c r="D1632">
        <v>3.8452470000000001</v>
      </c>
      <c r="E1632">
        <v>0.52547819999999901</v>
      </c>
      <c r="F1632" t="s">
        <v>60</v>
      </c>
      <c r="G1632">
        <v>-510.9554</v>
      </c>
      <c r="H1632">
        <v>5.331474</v>
      </c>
      <c r="I1632">
        <v>294.88600000000002</v>
      </c>
      <c r="J1632">
        <v>-233.6688</v>
      </c>
      <c r="K1632">
        <v>1.107718</v>
      </c>
      <c r="L1632">
        <v>283.29660000000001</v>
      </c>
      <c r="M1632">
        <v>-0.99873619999999996</v>
      </c>
      <c r="N1632">
        <v>-2.4230020000000001E-3</v>
      </c>
      <c r="O1632">
        <v>5.0202990000000003E-2</v>
      </c>
      <c r="P1632">
        <v>-0.99591410000000002</v>
      </c>
      <c r="Q1632">
        <v>8.510914E-2</v>
      </c>
      <c r="R1632">
        <v>-3.0198610000000001E-2</v>
      </c>
      <c r="S1632">
        <v>-3.01207</v>
      </c>
      <c r="T1632">
        <v>4.5786380000000002E-2</v>
      </c>
      <c r="U1632">
        <v>0.125946</v>
      </c>
      <c r="V1632">
        <v>-8.0057000000000003E-2</v>
      </c>
      <c r="W1632">
        <v>8.7608259999999993E-2</v>
      </c>
      <c r="X1632">
        <v>0.99293290000000001</v>
      </c>
      <c r="Y1632">
        <v>-8.4261070000000004E-3</v>
      </c>
      <c r="Z1632">
        <v>9.3776500000000002E-4</v>
      </c>
      <c r="AA1632">
        <v>0.99996410000000002</v>
      </c>
      <c r="AB1632">
        <v>40</v>
      </c>
      <c r="AC1632">
        <v>-277.28660000000002</v>
      </c>
      <c r="AD1632">
        <v>4.2237559999999998</v>
      </c>
      <c r="AE1632">
        <v>11.5893999999999</v>
      </c>
      <c r="AF1632">
        <v>-2.34532650072516</v>
      </c>
      <c r="AG1632">
        <v>4.2237559999999998</v>
      </c>
      <c r="AH1632">
        <v>277.45450859330202</v>
      </c>
      <c r="AI1632">
        <v>89.127871238129202</v>
      </c>
      <c r="AJ1632">
        <v>90.484310420173799</v>
      </c>
      <c r="AK1632">
        <v>277.49656756416499</v>
      </c>
      <c r="AL1632">
        <v>84.973973302400793</v>
      </c>
      <c r="AM1632">
        <v>94.609603956208204</v>
      </c>
      <c r="AN1632">
        <v>1.00000003718581</v>
      </c>
    </row>
    <row r="1633" spans="1:40" x14ac:dyDescent="0.25">
      <c r="A1633" t="str">
        <f>"20190305135823496"</f>
        <v>20190305135823496</v>
      </c>
      <c r="B1633" t="str">
        <f>"1551765503490514"</f>
        <v>1551765503490514</v>
      </c>
      <c r="C1633" t="s">
        <v>40</v>
      </c>
      <c r="D1633">
        <v>3.9148489999999998</v>
      </c>
      <c r="E1633">
        <v>0.52517150000000001</v>
      </c>
      <c r="F1633" t="s">
        <v>60</v>
      </c>
      <c r="G1633">
        <v>-510.95530000000002</v>
      </c>
      <c r="H1633">
        <v>5.1991800000000001</v>
      </c>
      <c r="I1633">
        <v>294.55040000000002</v>
      </c>
      <c r="J1633">
        <v>-234.0771</v>
      </c>
      <c r="K1633">
        <v>1.1078079999999999</v>
      </c>
      <c r="L1633">
        <v>283.31720000000001</v>
      </c>
      <c r="M1633">
        <v>-0.99873049999999997</v>
      </c>
      <c r="N1633">
        <v>-2.4716030000000002E-3</v>
      </c>
      <c r="O1633">
        <v>5.0312900000000001E-2</v>
      </c>
      <c r="P1633">
        <v>-0.99581600000000003</v>
      </c>
      <c r="Q1633">
        <v>8.5864280000000001E-2</v>
      </c>
      <c r="R1633">
        <v>-3.1272210000000002E-2</v>
      </c>
      <c r="S1633">
        <v>-3.012238</v>
      </c>
      <c r="T1633">
        <v>4.4447540000000001E-2</v>
      </c>
      <c r="U1633">
        <v>0.122253399999999</v>
      </c>
      <c r="V1633">
        <v>-8.1250530000000001E-2</v>
      </c>
      <c r="W1633">
        <v>8.8396240000000001E-2</v>
      </c>
      <c r="X1633">
        <v>0.99276609999999998</v>
      </c>
      <c r="Y1633">
        <v>-9.762494E-3</v>
      </c>
      <c r="Z1633">
        <v>9.2591790000000004E-4</v>
      </c>
      <c r="AA1633">
        <v>0.9999519</v>
      </c>
      <c r="AB1633">
        <v>40</v>
      </c>
      <c r="AC1633">
        <v>-276.87819999999999</v>
      </c>
      <c r="AD1633">
        <v>4.0913719999999998</v>
      </c>
      <c r="AE1633">
        <v>11.2332</v>
      </c>
      <c r="AF1633">
        <v>-2.7110228827478799</v>
      </c>
      <c r="AG1633">
        <v>4.0913719999999998</v>
      </c>
      <c r="AH1633">
        <v>277.03231772990102</v>
      </c>
      <c r="AI1633">
        <v>89.153925116513605</v>
      </c>
      <c r="AJ1633">
        <v>90.560675420541699</v>
      </c>
      <c r="AK1633">
        <v>277.07579114154697</v>
      </c>
      <c r="AL1633">
        <v>84.928649527789005</v>
      </c>
      <c r="AM1633">
        <v>94.678805959571207</v>
      </c>
      <c r="AN1633">
        <v>1.0000000365903099</v>
      </c>
    </row>
    <row r="1634" spans="1:40" x14ac:dyDescent="0.25">
      <c r="A1634" t="str">
        <f>"20190305135823519"</f>
        <v>20190305135823519</v>
      </c>
      <c r="B1634" t="str">
        <f>"1551765503510034"</f>
        <v>1551765503510034</v>
      </c>
      <c r="C1634" t="s">
        <v>40</v>
      </c>
      <c r="D1634">
        <v>3.8295170000000001</v>
      </c>
      <c r="E1634">
        <v>0.52492919999999998</v>
      </c>
      <c r="F1634" t="s">
        <v>60</v>
      </c>
      <c r="G1634">
        <v>-510.9554</v>
      </c>
      <c r="H1634">
        <v>5.2437459999999998</v>
      </c>
      <c r="I1634">
        <v>294.03500000000003</v>
      </c>
      <c r="J1634">
        <v>-234.49539999999999</v>
      </c>
      <c r="K1634">
        <v>1.1078840000000001</v>
      </c>
      <c r="L1634">
        <v>283.33839999999998</v>
      </c>
      <c r="M1634">
        <v>-0.99872709999999998</v>
      </c>
      <c r="N1634">
        <v>-2.5208489999999999E-3</v>
      </c>
      <c r="O1634">
        <v>5.0378579999999999E-2</v>
      </c>
      <c r="P1634">
        <v>-0.99569229999999997</v>
      </c>
      <c r="Q1634">
        <v>8.6801760000000006E-2</v>
      </c>
      <c r="R1634">
        <v>-3.2598040000000002E-2</v>
      </c>
      <c r="S1634">
        <v>-3.012375</v>
      </c>
      <c r="T1634">
        <v>4.4998999999999997E-2</v>
      </c>
      <c r="U1634">
        <v>0.11660769999999999</v>
      </c>
      <c r="V1634">
        <v>-8.2647769999999995E-2</v>
      </c>
      <c r="W1634">
        <v>8.9369889999999994E-2</v>
      </c>
      <c r="X1634">
        <v>0.99256350000000004</v>
      </c>
      <c r="Y1634">
        <v>-1.1700830000000001E-2</v>
      </c>
      <c r="Z1634">
        <v>9.514263E-4</v>
      </c>
      <c r="AA1634">
        <v>0.99993109999999996</v>
      </c>
      <c r="AB1634">
        <v>40</v>
      </c>
      <c r="AC1634">
        <v>-276.45999999999998</v>
      </c>
      <c r="AD1634">
        <v>4.1358620000000004</v>
      </c>
      <c r="AE1634">
        <v>10.6966</v>
      </c>
      <c r="AF1634">
        <v>-3.24396302639932</v>
      </c>
      <c r="AG1634">
        <v>4.1358620000000004</v>
      </c>
      <c r="AH1634">
        <v>276.586019730977</v>
      </c>
      <c r="AI1634">
        <v>89.143364206849895</v>
      </c>
      <c r="AJ1634">
        <v>90.671967688973496</v>
      </c>
      <c r="AK1634">
        <v>276.63596107741301</v>
      </c>
      <c r="AL1634">
        <v>84.872641455903306</v>
      </c>
      <c r="AM1634">
        <v>94.759866403837705</v>
      </c>
      <c r="AN1634">
        <v>0.99999996632841603</v>
      </c>
    </row>
    <row r="1635" spans="1:40" x14ac:dyDescent="0.25">
      <c r="A1635" t="str">
        <f>"20190305135823541"</f>
        <v>20190305135823541</v>
      </c>
      <c r="B1635" t="str">
        <f>"1551765503530531"</f>
        <v>1551765503530531</v>
      </c>
      <c r="C1635" t="s">
        <v>40</v>
      </c>
      <c r="D1635">
        <v>3.8294899999999998</v>
      </c>
      <c r="E1635">
        <v>0.49155749999999998</v>
      </c>
      <c r="F1635" t="s">
        <v>60</v>
      </c>
      <c r="G1635">
        <v>-516.41269999999997</v>
      </c>
      <c r="H1635">
        <v>5.5235469999999998</v>
      </c>
      <c r="I1635">
        <v>293.70249999999999</v>
      </c>
      <c r="J1635">
        <v>-234.89850000000001</v>
      </c>
      <c r="K1635">
        <v>1.1079410000000001</v>
      </c>
      <c r="L1635">
        <v>283.35879999999997</v>
      </c>
      <c r="M1635">
        <v>-0.99872519999999998</v>
      </c>
      <c r="N1635">
        <v>-2.5677859999999999E-3</v>
      </c>
      <c r="O1635">
        <v>5.0414059999999997E-2</v>
      </c>
      <c r="P1635">
        <v>-0.99559660000000005</v>
      </c>
      <c r="Q1635">
        <v>8.7605520000000006E-2</v>
      </c>
      <c r="R1635">
        <v>-3.3363770000000001E-2</v>
      </c>
      <c r="S1635">
        <v>-3.0124970000000002</v>
      </c>
      <c r="T1635">
        <v>4.7185539999999998E-2</v>
      </c>
      <c r="U1635">
        <v>0.11074829999999999</v>
      </c>
      <c r="V1635">
        <v>-8.3453109999999997E-2</v>
      </c>
      <c r="W1635">
        <v>9.0209540000000005E-2</v>
      </c>
      <c r="X1635">
        <v>0.99242019999999997</v>
      </c>
      <c r="Y1635">
        <v>-1.36789999999999E-2</v>
      </c>
      <c r="Z1635">
        <v>1.007888E-3</v>
      </c>
      <c r="AA1635">
        <v>0.99990590000000001</v>
      </c>
      <c r="AB1635">
        <v>41</v>
      </c>
      <c r="AC1635">
        <v>-281.51420000000002</v>
      </c>
      <c r="AD1635">
        <v>4.4156060000000004</v>
      </c>
      <c r="AE1635">
        <v>10.3437</v>
      </c>
      <c r="AF1635">
        <v>-3.8608236909459701</v>
      </c>
      <c r="AG1635">
        <v>4.4156060000000004</v>
      </c>
      <c r="AH1635">
        <v>281.60850517279101</v>
      </c>
      <c r="AI1635">
        <v>89.101763317439506</v>
      </c>
      <c r="AJ1635">
        <v>90.785470043927006</v>
      </c>
      <c r="AK1635">
        <v>281.66958252813401</v>
      </c>
      <c r="AL1635">
        <v>84.824338209644296</v>
      </c>
      <c r="AM1635">
        <v>94.806722200664296</v>
      </c>
      <c r="AN1635">
        <v>1.00000001802186</v>
      </c>
    </row>
    <row r="1636" spans="1:40" x14ac:dyDescent="0.25">
      <c r="A1636" t="str">
        <f>"20190305135823563"</f>
        <v>20190305135823563</v>
      </c>
      <c r="B1636" t="str">
        <f>"1551765503560787"</f>
        <v>1551765503560787</v>
      </c>
      <c r="C1636" t="s">
        <v>40</v>
      </c>
      <c r="D1636">
        <v>3.8059319999999999</v>
      </c>
      <c r="E1636">
        <v>0.48951099999999997</v>
      </c>
      <c r="F1636" t="s">
        <v>61</v>
      </c>
      <c r="G1636">
        <v>-313.28539999999998</v>
      </c>
      <c r="H1636">
        <v>8.0001240000000001E-2</v>
      </c>
      <c r="I1636">
        <v>279.34429999999998</v>
      </c>
      <c r="J1636">
        <v>-235.297</v>
      </c>
      <c r="K1636">
        <v>1.10798</v>
      </c>
      <c r="L1636">
        <v>283.37900000000002</v>
      </c>
      <c r="M1636">
        <v>-0.9987239</v>
      </c>
      <c r="N1636">
        <v>-2.613883E-3</v>
      </c>
      <c r="O1636">
        <v>5.043607E-2</v>
      </c>
      <c r="P1636">
        <v>-0.99551020000000001</v>
      </c>
      <c r="Q1636">
        <v>8.8277289999999994E-2</v>
      </c>
      <c r="R1636">
        <v>-3.415812E-2</v>
      </c>
      <c r="S1636">
        <v>-3.0115970000000001</v>
      </c>
      <c r="T1636">
        <v>-3.949308E-2</v>
      </c>
      <c r="U1636">
        <v>-0.15423580000000001</v>
      </c>
      <c r="V1636">
        <v>-8.4273870000000001E-2</v>
      </c>
      <c r="W1636">
        <v>9.0918529999999997E-2</v>
      </c>
      <c r="X1636">
        <v>0.99228609999999995</v>
      </c>
      <c r="Y1636">
        <v>-0.101438899999999</v>
      </c>
      <c r="Z1636">
        <v>-1.3265229999999901E-3</v>
      </c>
      <c r="AA1636">
        <v>0.99484090000000003</v>
      </c>
      <c r="AB1636">
        <v>41</v>
      </c>
      <c r="AC1636">
        <v>-77.988399999999899</v>
      </c>
      <c r="AD1636">
        <v>-1.0279787600000001</v>
      </c>
      <c r="AE1636">
        <v>-4.0347000000000399</v>
      </c>
      <c r="AF1636">
        <v>-7.9616271057420898</v>
      </c>
      <c r="AG1636">
        <v>-1.0279787600000001</v>
      </c>
      <c r="AH1636">
        <v>77.672188723022501</v>
      </c>
      <c r="AI1636">
        <v>90.754304168466206</v>
      </c>
      <c r="AJ1636">
        <v>95.852545253029604</v>
      </c>
      <c r="AK1636">
        <v>78.085934376984397</v>
      </c>
      <c r="AL1636">
        <v>84.783548278150803</v>
      </c>
      <c r="AM1636">
        <v>94.8544242935657</v>
      </c>
      <c r="AN1636">
        <v>0.999999984257673</v>
      </c>
    </row>
    <row r="1637" spans="1:40" x14ac:dyDescent="0.25">
      <c r="A1637" t="str">
        <f>"20190305135823585"</f>
        <v>20190305135823585</v>
      </c>
      <c r="B1637" t="str">
        <f>"1551765503580306"</f>
        <v>1551765503580306</v>
      </c>
      <c r="C1637" t="s">
        <v>40</v>
      </c>
      <c r="D1637">
        <v>3.7997879999999999</v>
      </c>
      <c r="E1637">
        <v>0.48953530000000001</v>
      </c>
      <c r="F1637" t="s">
        <v>59</v>
      </c>
      <c r="G1637">
        <v>-337.86219999999997</v>
      </c>
      <c r="H1637">
        <v>8.0000940000000006E-2</v>
      </c>
      <c r="I1637">
        <v>277.45740000000001</v>
      </c>
      <c r="J1637">
        <v>-235.69159999999999</v>
      </c>
      <c r="K1637">
        <v>1.1080219999999901</v>
      </c>
      <c r="L1637">
        <v>283.399</v>
      </c>
      <c r="M1637">
        <v>-0.99872300000000003</v>
      </c>
      <c r="N1637">
        <v>-2.6594470000000001E-3</v>
      </c>
      <c r="O1637">
        <v>5.045202E-2</v>
      </c>
      <c r="P1637">
        <v>-0.99538249999999995</v>
      </c>
      <c r="Q1637">
        <v>8.9382929999999999E-2</v>
      </c>
      <c r="R1637">
        <v>-3.4994520000000001E-2</v>
      </c>
      <c r="S1637">
        <v>-3.0102389999999999</v>
      </c>
      <c r="T1637">
        <v>-3.0170679999999998E-2</v>
      </c>
      <c r="U1637">
        <v>-0.1737976</v>
      </c>
      <c r="V1637">
        <v>-8.5126010000000002E-2</v>
      </c>
      <c r="W1637">
        <v>9.206193E-2</v>
      </c>
      <c r="X1637">
        <v>0.99210790000000004</v>
      </c>
      <c r="Y1637">
        <v>-0.1079262</v>
      </c>
      <c r="Z1637">
        <v>-1.0552280000000001E-3</v>
      </c>
      <c r="AA1637">
        <v>0.99415830000000005</v>
      </c>
      <c r="AB1637">
        <v>41</v>
      </c>
      <c r="AC1637">
        <v>-102.170599999999</v>
      </c>
      <c r="AD1637">
        <v>-1.0280210599999999</v>
      </c>
      <c r="AE1637">
        <v>-5.9415999999999896</v>
      </c>
      <c r="AF1637">
        <v>-11.0876456068713</v>
      </c>
      <c r="AG1637">
        <v>-1.0280210599999999</v>
      </c>
      <c r="AH1637">
        <v>101.73045215210399</v>
      </c>
      <c r="AI1637">
        <v>90.575565544464695</v>
      </c>
      <c r="AJ1637">
        <v>96.220139617310195</v>
      </c>
      <c r="AK1637">
        <v>102.338055519317</v>
      </c>
      <c r="AL1637">
        <v>84.717760239102802</v>
      </c>
      <c r="AM1637">
        <v>94.904148379802805</v>
      </c>
      <c r="AN1637">
        <v>0.99999996088812604</v>
      </c>
    </row>
    <row r="1638" spans="1:40" x14ac:dyDescent="0.25">
      <c r="A1638" t="str">
        <f>"20190305135823608"</f>
        <v>20190305135823608</v>
      </c>
      <c r="B1638" t="str">
        <f>"1551765503600803"</f>
        <v>1551765503600803</v>
      </c>
      <c r="C1638" t="s">
        <v>40</v>
      </c>
      <c r="D1638">
        <v>3.870765</v>
      </c>
      <c r="E1638">
        <v>0.48931409999999997</v>
      </c>
      <c r="F1638" t="s">
        <v>45</v>
      </c>
      <c r="G1638">
        <v>-354.92259999999999</v>
      </c>
      <c r="H1638">
        <v>0.1638356</v>
      </c>
      <c r="I1638">
        <v>276.40780000000001</v>
      </c>
      <c r="J1638">
        <v>-236.1311</v>
      </c>
      <c r="K1638">
        <v>1.10806</v>
      </c>
      <c r="L1638">
        <v>283.4212</v>
      </c>
      <c r="M1638">
        <v>-0.99872209999999995</v>
      </c>
      <c r="N1638">
        <v>-2.7099009999999998E-3</v>
      </c>
      <c r="O1638">
        <v>5.046664E-2</v>
      </c>
      <c r="P1638">
        <v>-0.99539840000000002</v>
      </c>
      <c r="Q1638">
        <v>8.9160829999999996E-2</v>
      </c>
      <c r="R1638">
        <v>-3.5108790000000001E-2</v>
      </c>
      <c r="S1638">
        <v>-3.0098569999999998</v>
      </c>
      <c r="T1638">
        <v>-2.383327E-2</v>
      </c>
      <c r="U1638">
        <v>-0.17648320000000001</v>
      </c>
      <c r="V1638">
        <v>-8.526367E-2</v>
      </c>
      <c r="W1638">
        <v>9.1882459999999999E-2</v>
      </c>
      <c r="X1638">
        <v>0.99211280000000002</v>
      </c>
      <c r="Y1638">
        <v>-0.108835</v>
      </c>
      <c r="Z1638">
        <v>-8.4077209999999997E-4</v>
      </c>
      <c r="AA1638">
        <v>0.99405949999999998</v>
      </c>
      <c r="AB1638">
        <v>41</v>
      </c>
      <c r="AC1638">
        <v>-118.791499999999</v>
      </c>
      <c r="AD1638">
        <v>-0.94422439999999996</v>
      </c>
      <c r="AE1638">
        <v>-7.0133999999999901</v>
      </c>
      <c r="AF1638">
        <v>-12.998674390140399</v>
      </c>
      <c r="AG1638">
        <v>-0.94422439999999996</v>
      </c>
      <c r="AH1638">
        <v>118.278737585667</v>
      </c>
      <c r="AI1638">
        <v>90.454647831915096</v>
      </c>
      <c r="AJ1638">
        <v>96.271561308622694</v>
      </c>
      <c r="AK1638">
        <v>118.994608535334</v>
      </c>
      <c r="AL1638">
        <v>84.728087320640796</v>
      </c>
      <c r="AM1638">
        <v>94.912016122467804</v>
      </c>
      <c r="AN1638">
        <v>1.00000004390067</v>
      </c>
    </row>
    <row r="1639" spans="1:40" x14ac:dyDescent="0.25">
      <c r="A1639" t="str">
        <f>"20190305135823630"</f>
        <v>20190305135823630</v>
      </c>
      <c r="B1639" t="str">
        <f>"1551765503620326"</f>
        <v>1551765503620326</v>
      </c>
      <c r="C1639" t="s">
        <v>40</v>
      </c>
      <c r="D1639">
        <v>3.7323520000000001</v>
      </c>
      <c r="E1639">
        <v>0.48941469999999998</v>
      </c>
      <c r="F1639" t="s">
        <v>59</v>
      </c>
      <c r="G1639">
        <v>-343.85539999999997</v>
      </c>
      <c r="H1639">
        <v>8.0000329999999995E-2</v>
      </c>
      <c r="I1639">
        <v>277.02229999999997</v>
      </c>
      <c r="J1639">
        <v>-236.5394</v>
      </c>
      <c r="K1639">
        <v>1.1080909999999999</v>
      </c>
      <c r="L1639">
        <v>283.44200000000001</v>
      </c>
      <c r="M1639">
        <v>-0.99872139999999998</v>
      </c>
      <c r="N1639">
        <v>-2.7565039999999999E-3</v>
      </c>
      <c r="O1639">
        <v>5.0479490000000002E-2</v>
      </c>
      <c r="P1639">
        <v>-0.99542969999999997</v>
      </c>
      <c r="Q1639">
        <v>8.8395459999999995E-2</v>
      </c>
      <c r="R1639">
        <v>-3.6140529999999997E-2</v>
      </c>
      <c r="S1639">
        <v>-3.0101010000000001</v>
      </c>
      <c r="T1639">
        <v>-2.8726700000000001E-2</v>
      </c>
      <c r="U1639">
        <v>-0.1788025</v>
      </c>
      <c r="V1639">
        <v>-8.6314909999999995E-2</v>
      </c>
      <c r="W1639">
        <v>9.11574E-2</v>
      </c>
      <c r="X1639">
        <v>0.99208870000000005</v>
      </c>
      <c r="Y1639">
        <v>-0.10960399999999999</v>
      </c>
      <c r="Z1639">
        <v>-1.016051E-3</v>
      </c>
      <c r="AA1639">
        <v>0.99397480000000005</v>
      </c>
      <c r="AB1639">
        <v>41</v>
      </c>
      <c r="AC1639">
        <v>-107.31599999999899</v>
      </c>
      <c r="AD1639">
        <v>-1.0280906700000001</v>
      </c>
      <c r="AE1639">
        <v>-6.4197000000000299</v>
      </c>
      <c r="AF1639">
        <v>-11.827710764611799</v>
      </c>
      <c r="AG1639">
        <v>-1.0280906700000001</v>
      </c>
      <c r="AH1639">
        <v>106.84534623113299</v>
      </c>
      <c r="AI1639">
        <v>90.547949296614703</v>
      </c>
      <c r="AJ1639">
        <v>96.316886434190394</v>
      </c>
      <c r="AK1639">
        <v>107.502928907113</v>
      </c>
      <c r="AL1639">
        <v>84.769804847956394</v>
      </c>
      <c r="AM1639">
        <v>94.972396169300694</v>
      </c>
      <c r="AN1639">
        <v>0.99999996196537799</v>
      </c>
    </row>
    <row r="1640" spans="1:40" x14ac:dyDescent="0.25">
      <c r="A1640" t="str">
        <f>"20190305135823653"</f>
        <v>20190305135823653</v>
      </c>
      <c r="B1640" t="str">
        <f>"1551765503650579"</f>
        <v>1551765503650579</v>
      </c>
      <c r="C1640" t="s">
        <v>40</v>
      </c>
      <c r="D1640">
        <v>3.811534</v>
      </c>
      <c r="E1640">
        <v>0.48927860000000001</v>
      </c>
      <c r="F1640" t="s">
        <v>59</v>
      </c>
      <c r="G1640">
        <v>-322.75749999999999</v>
      </c>
      <c r="H1640">
        <v>8.0000929999999998E-2</v>
      </c>
      <c r="I1640">
        <v>278.24939999999998</v>
      </c>
      <c r="J1640">
        <v>-236.9633</v>
      </c>
      <c r="K1640">
        <v>1.1081179999999999</v>
      </c>
      <c r="L1640">
        <v>283.46339999999998</v>
      </c>
      <c r="M1640">
        <v>-0.99872050000000001</v>
      </c>
      <c r="N1640">
        <v>-2.804763E-3</v>
      </c>
      <c r="O1640">
        <v>5.0491870000000001E-2</v>
      </c>
      <c r="P1640">
        <v>-0.99542810000000004</v>
      </c>
      <c r="Q1640">
        <v>8.8098319999999994E-2</v>
      </c>
      <c r="R1640">
        <v>-3.6900099999999998E-2</v>
      </c>
      <c r="S1640">
        <v>-3.0103909999999998</v>
      </c>
      <c r="T1640">
        <v>-3.5896780000000003E-2</v>
      </c>
      <c r="U1640">
        <v>-0.18130489999999999</v>
      </c>
      <c r="V1640">
        <v>-8.7090840000000003E-2</v>
      </c>
      <c r="W1640">
        <v>9.0903330000000004E-2</v>
      </c>
      <c r="X1640">
        <v>0.99204420000000004</v>
      </c>
      <c r="Y1640">
        <v>-0.11042970000000001</v>
      </c>
      <c r="Z1640">
        <v>-1.2728640000000001E-3</v>
      </c>
      <c r="AA1640">
        <v>0.99388310000000002</v>
      </c>
      <c r="AB1640">
        <v>41</v>
      </c>
      <c r="AC1640">
        <v>-85.794199999999904</v>
      </c>
      <c r="AD1640">
        <v>-1.02811707</v>
      </c>
      <c r="AE1640">
        <v>-5.2139999999999898</v>
      </c>
      <c r="AF1640">
        <v>-9.5379114715723894</v>
      </c>
      <c r="AG1640">
        <v>-1.02811707</v>
      </c>
      <c r="AH1640">
        <v>85.409280517990197</v>
      </c>
      <c r="AI1640">
        <v>90.685406399787894</v>
      </c>
      <c r="AJ1640">
        <v>96.371991623932701</v>
      </c>
      <c r="AK1640">
        <v>85.946343601981795</v>
      </c>
      <c r="AL1640">
        <v>84.784422680448799</v>
      </c>
      <c r="AM1640">
        <v>95.017092425997006</v>
      </c>
      <c r="AN1640">
        <v>0.99999996228531596</v>
      </c>
    </row>
    <row r="1641" spans="1:40" x14ac:dyDescent="0.25">
      <c r="A1641" t="str">
        <f>"20190305135823675"</f>
        <v>20190305135823675</v>
      </c>
      <c r="B1641" t="str">
        <f>"1551765503670689"</f>
        <v>1551765503670689</v>
      </c>
      <c r="C1641" t="s">
        <v>40</v>
      </c>
      <c r="D1641">
        <v>3.8280530000000002</v>
      </c>
      <c r="E1641">
        <v>0.48942780000000002</v>
      </c>
      <c r="F1641" t="s">
        <v>61</v>
      </c>
      <c r="G1641">
        <v>-311.93599999999998</v>
      </c>
      <c r="H1641">
        <v>8.0001050000000004E-2</v>
      </c>
      <c r="I1641">
        <v>278.87090000000001</v>
      </c>
      <c r="J1641">
        <v>-237.3741</v>
      </c>
      <c r="K1641">
        <v>1.1081399999999999</v>
      </c>
      <c r="L1641">
        <v>283.48419999999999</v>
      </c>
      <c r="M1641">
        <v>-0.99872000000000005</v>
      </c>
      <c r="N1641">
        <v>-2.8513499999999999E-3</v>
      </c>
      <c r="O1641">
        <v>5.0502600000000002E-2</v>
      </c>
      <c r="P1641">
        <v>-0.99537960000000003</v>
      </c>
      <c r="Q1641">
        <v>8.8474049999999999E-2</v>
      </c>
      <c r="R1641">
        <v>-3.7313730000000003E-2</v>
      </c>
      <c r="S1641">
        <v>-3.010605</v>
      </c>
      <c r="T1641">
        <v>-4.1285040000000002E-2</v>
      </c>
      <c r="U1641">
        <v>-0.18441769999999999</v>
      </c>
      <c r="V1641">
        <v>-8.751652E-2</v>
      </c>
      <c r="W1641">
        <v>9.1321200000000005E-2</v>
      </c>
      <c r="X1641">
        <v>0.99196839999999997</v>
      </c>
      <c r="Y1641">
        <v>-0.1114561</v>
      </c>
      <c r="Z1641">
        <v>-1.470584E-3</v>
      </c>
      <c r="AA1641">
        <v>0.99376830000000005</v>
      </c>
      <c r="AB1641">
        <v>42</v>
      </c>
      <c r="AC1641">
        <v>-74.561899999999895</v>
      </c>
      <c r="AD1641">
        <v>-1.02813895</v>
      </c>
      <c r="AE1641">
        <v>-4.6132999999999802</v>
      </c>
      <c r="AF1641">
        <v>-8.3714119905850399</v>
      </c>
      <c r="AG1641">
        <v>-1.02813895</v>
      </c>
      <c r="AH1641">
        <v>74.219710258799694</v>
      </c>
      <c r="AI1641">
        <v>90.788646930096206</v>
      </c>
      <c r="AJ1641">
        <v>96.435324562851704</v>
      </c>
      <c r="AK1641">
        <v>74.697409589066694</v>
      </c>
      <c r="AL1641">
        <v>84.760380714516998</v>
      </c>
      <c r="AM1641">
        <v>95.041872000324304</v>
      </c>
      <c r="AN1641">
        <v>1.00000000472045</v>
      </c>
    </row>
    <row r="1642" spans="1:40" x14ac:dyDescent="0.25">
      <c r="A1642" t="str">
        <f>"20190305135823699"</f>
        <v>20190305135823699</v>
      </c>
      <c r="B1642" t="str">
        <f>"1551765503690209"</f>
        <v>1551765503690209</v>
      </c>
      <c r="C1642" t="s">
        <v>40</v>
      </c>
      <c r="D1642">
        <v>3.8438829999999999</v>
      </c>
      <c r="E1642">
        <v>0.48956319999999998</v>
      </c>
      <c r="F1642" t="s">
        <v>61</v>
      </c>
      <c r="G1642">
        <v>-312.87209999999999</v>
      </c>
      <c r="H1642">
        <v>8.0001279999999994E-2</v>
      </c>
      <c r="I1642">
        <v>278.85419999999999</v>
      </c>
      <c r="J1642">
        <v>-237.8252</v>
      </c>
      <c r="K1642">
        <v>1.1081589999999999</v>
      </c>
      <c r="L1642">
        <v>283.50700000000001</v>
      </c>
      <c r="M1642">
        <v>-0.99871929999999998</v>
      </c>
      <c r="N1642">
        <v>-2.9024150000000002E-3</v>
      </c>
      <c r="O1642">
        <v>5.051249E-2</v>
      </c>
      <c r="P1642">
        <v>-0.9953303</v>
      </c>
      <c r="Q1642">
        <v>8.8824429999999996E-2</v>
      </c>
      <c r="R1642">
        <v>-3.7792300000000001E-2</v>
      </c>
      <c r="S1642">
        <v>-3.0106660000000001</v>
      </c>
      <c r="T1642">
        <v>-4.0999529999999999E-2</v>
      </c>
      <c r="U1642">
        <v>-0.1846313</v>
      </c>
      <c r="V1642">
        <v>-8.800521E-2</v>
      </c>
      <c r="W1642">
        <v>9.1718649999999999E-2</v>
      </c>
      <c r="X1642">
        <v>0.99188849999999995</v>
      </c>
      <c r="Y1642">
        <v>-0.1115352</v>
      </c>
      <c r="Z1642">
        <v>-1.46152E-3</v>
      </c>
      <c r="AA1642">
        <v>0.99375939999999996</v>
      </c>
      <c r="AB1642">
        <v>42</v>
      </c>
      <c r="AC1642">
        <v>-75.046899999999994</v>
      </c>
      <c r="AD1642">
        <v>-1.0281577200000001</v>
      </c>
      <c r="AE1642">
        <v>-4.6528000000000098</v>
      </c>
      <c r="AF1642">
        <v>-8.4361043864309</v>
      </c>
      <c r="AG1642">
        <v>-1.0281577200000001</v>
      </c>
      <c r="AH1642">
        <v>74.702103494167801</v>
      </c>
      <c r="AI1642">
        <v>90.783557118479806</v>
      </c>
      <c r="AJ1642">
        <v>96.443111683124201</v>
      </c>
      <c r="AK1642">
        <v>75.183969248565901</v>
      </c>
      <c r="AL1642">
        <v>84.7375125736461</v>
      </c>
      <c r="AM1642">
        <v>95.070285627189506</v>
      </c>
      <c r="AN1642">
        <v>1.0000000120885999</v>
      </c>
    </row>
    <row r="1643" spans="1:40" x14ac:dyDescent="0.25">
      <c r="A1643" t="str">
        <f>"20190305135823722"</f>
        <v>20190305135823722</v>
      </c>
      <c r="B1643" t="str">
        <f>"1551765503710705"</f>
        <v>1551765503710705</v>
      </c>
      <c r="C1643" t="s">
        <v>40</v>
      </c>
      <c r="D1643">
        <v>3.803709</v>
      </c>
      <c r="E1643">
        <v>0.48996400000000001</v>
      </c>
      <c r="F1643" t="s">
        <v>61</v>
      </c>
      <c r="G1643">
        <v>-314.8673</v>
      </c>
      <c r="H1643">
        <v>8.0001409999999995E-2</v>
      </c>
      <c r="I1643">
        <v>278.76979999999998</v>
      </c>
      <c r="J1643">
        <v>-238.25710000000001</v>
      </c>
      <c r="K1643">
        <v>1.1081730000000001</v>
      </c>
      <c r="L1643">
        <v>283.52890000000002</v>
      </c>
      <c r="M1643">
        <v>-0.99871869999999996</v>
      </c>
      <c r="N1643">
        <v>-2.9509269999999999E-3</v>
      </c>
      <c r="O1643">
        <v>5.0519759999999997E-2</v>
      </c>
      <c r="P1643">
        <v>-0.99528799999999995</v>
      </c>
      <c r="Q1643">
        <v>8.9138729999999999E-2</v>
      </c>
      <c r="R1643">
        <v>-3.8160769999999997E-2</v>
      </c>
      <c r="S1643">
        <v>-3.0106199999999999</v>
      </c>
      <c r="T1643">
        <v>-4.0177940000000002E-2</v>
      </c>
      <c r="U1643">
        <v>-0.1851196</v>
      </c>
      <c r="V1643">
        <v>-8.8381100000000004E-2</v>
      </c>
      <c r="W1643">
        <v>9.2078090000000001E-2</v>
      </c>
      <c r="X1643">
        <v>0.99182179999999998</v>
      </c>
      <c r="Y1643">
        <v>-0.1117045</v>
      </c>
      <c r="Z1643">
        <v>-1.434278E-3</v>
      </c>
      <c r="AA1643">
        <v>0.99374039999999997</v>
      </c>
      <c r="AB1643">
        <v>42</v>
      </c>
      <c r="AC1643">
        <v>-76.610199999999907</v>
      </c>
      <c r="AD1643">
        <v>-1.0281715899999999</v>
      </c>
      <c r="AE1643">
        <v>-4.7591000000000401</v>
      </c>
      <c r="AF1643">
        <v>-8.6218216680681401</v>
      </c>
      <c r="AG1643">
        <v>-1.0281715899999999</v>
      </c>
      <c r="AH1643">
        <v>76.258260295094104</v>
      </c>
      <c r="AI1643">
        <v>90.767568615417204</v>
      </c>
      <c r="AJ1643">
        <v>96.4505159421077</v>
      </c>
      <c r="AK1643">
        <v>76.750994839993893</v>
      </c>
      <c r="AL1643">
        <v>84.716830799514895</v>
      </c>
      <c r="AM1643">
        <v>95.092168976138794</v>
      </c>
      <c r="AN1643">
        <v>1.0000000382252401</v>
      </c>
    </row>
    <row r="1644" spans="1:40" x14ac:dyDescent="0.25">
      <c r="A1644" t="str">
        <f>"20190305135823745"</f>
        <v>20190305135823745</v>
      </c>
      <c r="B1644" t="str">
        <f>"1551765503739985"</f>
        <v>1551765503739985</v>
      </c>
      <c r="C1644" t="s">
        <v>40</v>
      </c>
      <c r="D1644">
        <v>3.905713</v>
      </c>
      <c r="E1644">
        <v>0.49009920000000001</v>
      </c>
      <c r="F1644" t="s">
        <v>59</v>
      </c>
      <c r="G1644">
        <v>-331.35449999999997</v>
      </c>
      <c r="H1644">
        <v>8.0001359999999994E-2</v>
      </c>
      <c r="I1644">
        <v>277.85079999999999</v>
      </c>
      <c r="J1644">
        <v>-238.69220000000001</v>
      </c>
      <c r="K1644">
        <v>1.108188</v>
      </c>
      <c r="L1644">
        <v>283.55090000000001</v>
      </c>
      <c r="M1644">
        <v>-0.99871840000000001</v>
      </c>
      <c r="N1644">
        <v>-2.9998389999999998E-3</v>
      </c>
      <c r="O1644">
        <v>5.052508E-2</v>
      </c>
      <c r="P1644">
        <v>-0.99528070000000002</v>
      </c>
      <c r="Q1644">
        <v>8.9066480000000003E-2</v>
      </c>
      <c r="R1644">
        <v>-3.851765E-2</v>
      </c>
      <c r="S1644">
        <v>-3.0101619999999998</v>
      </c>
      <c r="T1644">
        <v>-3.3244370000000002E-2</v>
      </c>
      <c r="U1644">
        <v>-0.1835938</v>
      </c>
      <c r="V1644">
        <v>-8.8744509999999999E-2</v>
      </c>
      <c r="W1644">
        <v>9.2052910000000002E-2</v>
      </c>
      <c r="X1644">
        <v>0.99179170000000005</v>
      </c>
      <c r="Y1644">
        <v>-0.1112218</v>
      </c>
      <c r="Z1644">
        <v>-1.186655E-3</v>
      </c>
      <c r="AA1644">
        <v>0.99379490000000004</v>
      </c>
      <c r="AB1644">
        <v>42</v>
      </c>
      <c r="AC1644">
        <v>-92.662299999999902</v>
      </c>
      <c r="AD1644">
        <v>-1.0281866399999999</v>
      </c>
      <c r="AE1644">
        <v>-5.7001000000000097</v>
      </c>
      <c r="AF1644">
        <v>-10.373338007227201</v>
      </c>
      <c r="AG1644">
        <v>-1.0281866399999999</v>
      </c>
      <c r="AH1644">
        <v>92.244636122120994</v>
      </c>
      <c r="AI1644">
        <v>90.634609940786305</v>
      </c>
      <c r="AJ1644">
        <v>96.416220667380799</v>
      </c>
      <c r="AK1644">
        <v>92.831762896550501</v>
      </c>
      <c r="AL1644">
        <v>84.718279729513199</v>
      </c>
      <c r="AM1644">
        <v>95.113150814180997</v>
      </c>
      <c r="AN1644">
        <v>1.00000005124174</v>
      </c>
    </row>
    <row r="1645" spans="1:40" x14ac:dyDescent="0.25">
      <c r="A1645" t="str">
        <f>"20190305135823764"</f>
        <v>20190305135823764</v>
      </c>
      <c r="B1645" t="str">
        <f>"1551765503760481"</f>
        <v>1551765503760481</v>
      </c>
      <c r="C1645" t="s">
        <v>40</v>
      </c>
      <c r="D1645">
        <v>3.8675000000000002</v>
      </c>
      <c r="E1645">
        <v>0.49000199999999999</v>
      </c>
      <c r="F1645" t="s">
        <v>59</v>
      </c>
      <c r="G1645">
        <v>-341.48790000000002</v>
      </c>
      <c r="H1645">
        <v>8.0001030000000001E-2</v>
      </c>
      <c r="I1645">
        <v>277.27949999999998</v>
      </c>
      <c r="J1645">
        <v>-239.05779999999999</v>
      </c>
      <c r="K1645">
        <v>1.108195</v>
      </c>
      <c r="L1645">
        <v>283.56950000000001</v>
      </c>
      <c r="M1645">
        <v>-0.99871810000000005</v>
      </c>
      <c r="N1645">
        <v>-3.0407400000000001E-3</v>
      </c>
      <c r="O1645">
        <v>5.0526309999999998E-2</v>
      </c>
      <c r="P1645">
        <v>-0.99522100000000002</v>
      </c>
      <c r="Q1645">
        <v>8.971026E-2</v>
      </c>
      <c r="R1645">
        <v>-3.856557E-2</v>
      </c>
      <c r="S1645">
        <v>-3.009827</v>
      </c>
      <c r="T1645">
        <v>-3.0104990000000002E-2</v>
      </c>
      <c r="U1645">
        <v>-0.18362429999999999</v>
      </c>
      <c r="V1645">
        <v>-8.8792319999999994E-2</v>
      </c>
      <c r="W1645">
        <v>9.2735200000000004E-2</v>
      </c>
      <c r="X1645">
        <v>0.99172380000000004</v>
      </c>
      <c r="Y1645">
        <v>-0.1112416</v>
      </c>
      <c r="Z1645">
        <v>-1.0765379999999999E-3</v>
      </c>
      <c r="AA1645">
        <v>0.99379280000000003</v>
      </c>
      <c r="AB1645">
        <v>42</v>
      </c>
      <c r="AC1645">
        <v>-102.4301</v>
      </c>
      <c r="AD1645">
        <v>-1.02819397</v>
      </c>
      <c r="AE1645">
        <v>-6.2900000000000196</v>
      </c>
      <c r="AF1645">
        <v>-11.4562548046903</v>
      </c>
      <c r="AG1645">
        <v>-1.02819397</v>
      </c>
      <c r="AH1645">
        <v>101.971219785325</v>
      </c>
      <c r="AI1645">
        <v>90.574092462794198</v>
      </c>
      <c r="AJ1645">
        <v>96.410182146082704</v>
      </c>
      <c r="AK1645">
        <v>102.61789620479</v>
      </c>
      <c r="AL1645">
        <v>84.679019155286198</v>
      </c>
      <c r="AM1645">
        <v>95.116239255687702</v>
      </c>
      <c r="AN1645">
        <v>0.99999999444823096</v>
      </c>
    </row>
    <row r="1646" spans="1:40" x14ac:dyDescent="0.25">
      <c r="A1646" t="str">
        <f>"20190305135823787"</f>
        <v>20190305135823787</v>
      </c>
      <c r="B1646" t="str">
        <f>"1551765503780000"</f>
        <v>1551765503780000</v>
      </c>
      <c r="C1646" t="s">
        <v>40</v>
      </c>
      <c r="D1646">
        <v>3.9121969999999999</v>
      </c>
      <c r="E1646">
        <v>0.48974119999999999</v>
      </c>
      <c r="F1646" t="s">
        <v>59</v>
      </c>
      <c r="G1646">
        <v>-340.36439999999999</v>
      </c>
      <c r="H1646">
        <v>8.0001349999999999E-2</v>
      </c>
      <c r="I1646">
        <v>277.36259999999999</v>
      </c>
      <c r="J1646">
        <v>-239.50210000000001</v>
      </c>
      <c r="K1646">
        <v>1.108217</v>
      </c>
      <c r="L1646">
        <v>283.59190000000001</v>
      </c>
      <c r="M1646">
        <v>-0.99871869999999996</v>
      </c>
      <c r="N1646">
        <v>-3.0903300000000001E-3</v>
      </c>
      <c r="O1646">
        <v>5.0513370000000002E-2</v>
      </c>
      <c r="P1646">
        <v>-0.99516990000000005</v>
      </c>
      <c r="Q1646">
        <v>9.0551439999999997E-2</v>
      </c>
      <c r="R1646">
        <v>-3.7913519999999999E-2</v>
      </c>
      <c r="S1646">
        <v>-3.01004</v>
      </c>
      <c r="T1646">
        <v>-3.0549880000000001E-2</v>
      </c>
      <c r="U1646">
        <v>-0.18441769999999999</v>
      </c>
      <c r="V1646">
        <v>-8.8128579999999998E-2</v>
      </c>
      <c r="W1646">
        <v>9.3622540000000004E-2</v>
      </c>
      <c r="X1646">
        <v>0.99169960000000001</v>
      </c>
      <c r="Y1646">
        <v>-0.1114851</v>
      </c>
      <c r="Z1646">
        <v>-1.0939089999999999E-3</v>
      </c>
      <c r="AA1646">
        <v>0.99376549999999997</v>
      </c>
      <c r="AB1646">
        <v>43</v>
      </c>
      <c r="AC1646">
        <v>-100.862299999999</v>
      </c>
      <c r="AD1646">
        <v>-1.0282156499999999</v>
      </c>
      <c r="AE1646">
        <v>-6.2293000000000198</v>
      </c>
      <c r="AF1646">
        <v>-11.315094596561</v>
      </c>
      <c r="AG1646">
        <v>-1.0282156499999999</v>
      </c>
      <c r="AH1646">
        <v>100.408476970409</v>
      </c>
      <c r="AI1646">
        <v>90.583017034610805</v>
      </c>
      <c r="AJ1646">
        <v>96.429572327649495</v>
      </c>
      <c r="AK1646">
        <v>101.04924957994101</v>
      </c>
      <c r="AL1646">
        <v>84.627955984011706</v>
      </c>
      <c r="AM1646">
        <v>95.078318357750405</v>
      </c>
      <c r="AN1646">
        <v>0.99999996162451299</v>
      </c>
    </row>
    <row r="1647" spans="1:40" x14ac:dyDescent="0.25">
      <c r="A1647" t="str">
        <f>"20190305135823810"</f>
        <v>20190305135823810</v>
      </c>
      <c r="B1647" t="str">
        <f>"1551765503800497"</f>
        <v>1551765503800497</v>
      </c>
      <c r="C1647" t="s">
        <v>40</v>
      </c>
      <c r="D1647">
        <v>3.9188420000000002</v>
      </c>
      <c r="E1647">
        <v>0.48951600000000001</v>
      </c>
      <c r="F1647" t="s">
        <v>59</v>
      </c>
      <c r="G1647">
        <v>-336.20429999999999</v>
      </c>
      <c r="H1647">
        <v>8.0001409999999995E-2</v>
      </c>
      <c r="I1647">
        <v>277.66210000000001</v>
      </c>
      <c r="J1647">
        <v>-239.9332</v>
      </c>
      <c r="K1647">
        <v>1.1082379999999901</v>
      </c>
      <c r="L1647">
        <v>283.61380000000003</v>
      </c>
      <c r="M1647">
        <v>-0.99872059999999996</v>
      </c>
      <c r="N1647">
        <v>-3.1386230000000001E-3</v>
      </c>
      <c r="O1647">
        <v>5.0471790000000002E-2</v>
      </c>
      <c r="P1647">
        <v>-0.99507100000000004</v>
      </c>
      <c r="Q1647">
        <v>9.1979690000000003E-2</v>
      </c>
      <c r="R1647">
        <v>-3.7060889999999999E-2</v>
      </c>
      <c r="S1647">
        <v>-3.010437</v>
      </c>
      <c r="T1647">
        <v>-3.2009360000000001E-2</v>
      </c>
      <c r="U1647">
        <v>-0.18460080000000001</v>
      </c>
      <c r="V1647">
        <v>-8.723533E-2</v>
      </c>
      <c r="W1647">
        <v>9.5094600000000001E-2</v>
      </c>
      <c r="X1647">
        <v>0.99163849999999998</v>
      </c>
      <c r="Y1647">
        <v>-0.1114952</v>
      </c>
      <c r="Z1647">
        <v>-1.1452459999999999E-3</v>
      </c>
      <c r="AA1647">
        <v>0.99376430000000004</v>
      </c>
      <c r="AB1647">
        <v>43</v>
      </c>
      <c r="AC1647">
        <v>-96.271100000000004</v>
      </c>
      <c r="AD1647">
        <v>-1.0282365899999999</v>
      </c>
      <c r="AE1647">
        <v>-5.9517000000000104</v>
      </c>
      <c r="AF1647">
        <v>-10.8018853209038</v>
      </c>
      <c r="AG1647">
        <v>-1.0282365899999999</v>
      </c>
      <c r="AH1647">
        <v>95.837114527928506</v>
      </c>
      <c r="AI1647">
        <v>90.610835537316703</v>
      </c>
      <c r="AJ1647">
        <v>96.430717861514793</v>
      </c>
      <c r="AK1647">
        <v>96.449419479902801</v>
      </c>
      <c r="AL1647">
        <v>84.543235084283296</v>
      </c>
      <c r="AM1647">
        <v>95.027419007142896</v>
      </c>
      <c r="AN1647">
        <v>0.99999995021580801</v>
      </c>
    </row>
    <row r="1648" spans="1:40" x14ac:dyDescent="0.25">
      <c r="A1648" t="str">
        <f>"20190305135823832"</f>
        <v>20190305135823832</v>
      </c>
      <c r="B1648" t="str">
        <f>"1551765503820017"</f>
        <v>1551765503820017</v>
      </c>
      <c r="C1648" t="s">
        <v>40</v>
      </c>
      <c r="D1648">
        <v>3.8572660000000001</v>
      </c>
      <c r="E1648">
        <v>0.48955500000000002</v>
      </c>
      <c r="F1648" t="s">
        <v>59</v>
      </c>
      <c r="G1648">
        <v>-337.7373</v>
      </c>
      <c r="H1648">
        <v>8.0000970000000005E-2</v>
      </c>
      <c r="I1648">
        <v>277.63619999999997</v>
      </c>
      <c r="J1648">
        <v>-240.36580000000001</v>
      </c>
      <c r="K1648">
        <v>1.108271</v>
      </c>
      <c r="L1648">
        <v>283.63560000000001</v>
      </c>
      <c r="M1648">
        <v>-0.99872490000000003</v>
      </c>
      <c r="N1648">
        <v>-3.1871069999999998E-3</v>
      </c>
      <c r="O1648">
        <v>5.038372E-2</v>
      </c>
      <c r="P1648">
        <v>-0.99517389999999994</v>
      </c>
      <c r="Q1648">
        <v>9.1245439999999997E-2</v>
      </c>
      <c r="R1648">
        <v>-3.6097270000000001E-2</v>
      </c>
      <c r="S1648">
        <v>-3.0109409999999999</v>
      </c>
      <c r="T1648">
        <v>-3.1654719999999997E-2</v>
      </c>
      <c r="U1648">
        <v>-0.18402099999999999</v>
      </c>
      <c r="V1648">
        <v>-8.6198360000000002E-2</v>
      </c>
      <c r="W1648">
        <v>9.4402020000000003E-2</v>
      </c>
      <c r="X1648">
        <v>0.99179539999999999</v>
      </c>
      <c r="Y1648">
        <v>-0.1112069</v>
      </c>
      <c r="Z1648">
        <v>-1.130205E-3</v>
      </c>
      <c r="AA1648">
        <v>0.99379660000000003</v>
      </c>
      <c r="AB1648">
        <v>43</v>
      </c>
      <c r="AC1648">
        <v>-97.371499999999997</v>
      </c>
      <c r="AD1648">
        <v>-1.0282700300000001</v>
      </c>
      <c r="AE1648">
        <v>-5.9994000000000298</v>
      </c>
      <c r="AF1648">
        <v>-10.8965327651685</v>
      </c>
      <c r="AG1648">
        <v>-1.0282700300000001</v>
      </c>
      <c r="AH1648">
        <v>96.934787667535005</v>
      </c>
      <c r="AI1648">
        <v>90.603958825260094</v>
      </c>
      <c r="AJ1648">
        <v>96.413748956526902</v>
      </c>
      <c r="AK1648">
        <v>97.550729498590101</v>
      </c>
      <c r="AL1648">
        <v>84.583096632250601</v>
      </c>
      <c r="AM1648">
        <v>94.967176742399204</v>
      </c>
      <c r="AN1648">
        <v>1.0000000070539601</v>
      </c>
    </row>
    <row r="1649" spans="1:40" x14ac:dyDescent="0.25">
      <c r="A1649" t="str">
        <f>"20190305135823855"</f>
        <v>20190305135823855</v>
      </c>
      <c r="B1649" t="str">
        <f>"1551765503850274"</f>
        <v>1551765503850274</v>
      </c>
      <c r="C1649" t="s">
        <v>40</v>
      </c>
      <c r="D1649">
        <v>3.8929499999999999</v>
      </c>
      <c r="E1649">
        <v>0.48977229999999999</v>
      </c>
      <c r="F1649" t="s">
        <v>59</v>
      </c>
      <c r="G1649">
        <v>-331.12180000000001</v>
      </c>
      <c r="H1649">
        <v>8.0001409999999995E-2</v>
      </c>
      <c r="I1649">
        <v>278.18290000000002</v>
      </c>
      <c r="J1649">
        <v>-240.78059999999999</v>
      </c>
      <c r="K1649">
        <v>1.1083190000000001</v>
      </c>
      <c r="L1649">
        <v>283.65640000000002</v>
      </c>
      <c r="M1649">
        <v>-0.99873210000000001</v>
      </c>
      <c r="N1649">
        <v>-3.2336399999999999E-3</v>
      </c>
      <c r="O1649">
        <v>5.0237850000000001E-2</v>
      </c>
      <c r="P1649">
        <v>-0.9951179</v>
      </c>
      <c r="Q1649">
        <v>9.2127730000000005E-2</v>
      </c>
      <c r="R1649">
        <v>-3.5397430000000001E-2</v>
      </c>
      <c r="S1649">
        <v>-3.0111240000000001</v>
      </c>
      <c r="T1649">
        <v>-3.4116149999999998E-2</v>
      </c>
      <c r="U1649">
        <v>-0.18090819999999999</v>
      </c>
      <c r="V1649">
        <v>-8.5361790000000007E-2</v>
      </c>
      <c r="W1649">
        <v>9.5321020000000006E-2</v>
      </c>
      <c r="X1649">
        <v>0.99177990000000005</v>
      </c>
      <c r="Y1649">
        <v>-0.11003309999999999</v>
      </c>
      <c r="Z1649">
        <v>-1.2072389999999999E-3</v>
      </c>
      <c r="AA1649">
        <v>0.99392720000000001</v>
      </c>
      <c r="AB1649">
        <v>43</v>
      </c>
      <c r="AC1649">
        <v>-90.341200000000001</v>
      </c>
      <c r="AD1649">
        <v>-1.0283175899999999</v>
      </c>
      <c r="AE1649">
        <v>-5.4734999999999996</v>
      </c>
      <c r="AF1649">
        <v>-10.0038681887071</v>
      </c>
      <c r="AG1649">
        <v>-1.0283175899999999</v>
      </c>
      <c r="AH1649">
        <v>89.940534667430896</v>
      </c>
      <c r="AI1649">
        <v>90.651037147103395</v>
      </c>
      <c r="AJ1649">
        <v>96.346783566531897</v>
      </c>
      <c r="AK1649">
        <v>90.5010198399237</v>
      </c>
      <c r="AL1649">
        <v>84.530203526983399</v>
      </c>
      <c r="AM1649">
        <v>94.919283636769805</v>
      </c>
      <c r="AN1649">
        <v>1.0000000510449201</v>
      </c>
    </row>
    <row r="1650" spans="1:40" x14ac:dyDescent="0.25">
      <c r="A1650" t="str">
        <f>"20190305135823876"</f>
        <v>20190305135823876</v>
      </c>
      <c r="B1650" t="str">
        <f>"1551765503870605"</f>
        <v>1551765503870605</v>
      </c>
      <c r="C1650" t="s">
        <v>40</v>
      </c>
      <c r="D1650">
        <v>3.8900190000000001</v>
      </c>
      <c r="E1650">
        <v>0.48976629999999899</v>
      </c>
      <c r="F1650" t="s">
        <v>59</v>
      </c>
      <c r="G1650">
        <v>-333.59730000000002</v>
      </c>
      <c r="H1650">
        <v>8.0000689999999999E-2</v>
      </c>
      <c r="I1650">
        <v>278.20299999999997</v>
      </c>
      <c r="J1650">
        <v>-241.21270000000001</v>
      </c>
      <c r="K1650">
        <v>1.1083719999999999</v>
      </c>
      <c r="L1650">
        <v>283.678</v>
      </c>
      <c r="M1650">
        <v>-0.99874320000000005</v>
      </c>
      <c r="N1650">
        <v>-3.2822319999999999E-3</v>
      </c>
      <c r="O1650">
        <v>5.0011420000000001E-2</v>
      </c>
      <c r="P1650">
        <v>-0.99524299999999999</v>
      </c>
      <c r="Q1650">
        <v>9.1088119999999995E-2</v>
      </c>
      <c r="R1650">
        <v>-3.4558569999999997E-2</v>
      </c>
      <c r="S1650">
        <v>-3.0115050000000001</v>
      </c>
      <c r="T1650">
        <v>-3.3364530000000003E-2</v>
      </c>
      <c r="U1650">
        <v>-0.17694089999999901</v>
      </c>
      <c r="V1650">
        <v>-8.4319019999999995E-2</v>
      </c>
      <c r="W1650">
        <v>9.4317529999999997E-2</v>
      </c>
      <c r="X1650">
        <v>0.99196499999999999</v>
      </c>
      <c r="Y1650">
        <v>-0.10849589999999899</v>
      </c>
      <c r="Z1650">
        <v>-1.168311E-3</v>
      </c>
      <c r="AA1650">
        <v>0.99409619999999999</v>
      </c>
      <c r="AB1650">
        <v>43</v>
      </c>
      <c r="AC1650">
        <v>-92.384600000000006</v>
      </c>
      <c r="AD1650">
        <v>-1.02837130999999</v>
      </c>
      <c r="AE1650">
        <v>-5.4750000000000201</v>
      </c>
      <c r="AF1650">
        <v>-10.087213408996201</v>
      </c>
      <c r="AG1650">
        <v>-1.02837130999999</v>
      </c>
      <c r="AH1650">
        <v>91.983821209904306</v>
      </c>
      <c r="AI1650">
        <v>90.636718449124501</v>
      </c>
      <c r="AJ1650">
        <v>96.258214800095502</v>
      </c>
      <c r="AK1650">
        <v>92.540978956814101</v>
      </c>
      <c r="AL1650">
        <v>84.587959359341596</v>
      </c>
      <c r="AM1650">
        <v>94.858577323404006</v>
      </c>
      <c r="AN1650">
        <v>1.00000002741203</v>
      </c>
    </row>
    <row r="1651" spans="1:40" x14ac:dyDescent="0.25">
      <c r="A1651" t="str">
        <f>"20190305135823901"</f>
        <v>20190305135823901</v>
      </c>
      <c r="B1651" t="str">
        <f>"1551765503890124"</f>
        <v>1551765503890124</v>
      </c>
      <c r="C1651" t="s">
        <v>40</v>
      </c>
      <c r="D1651">
        <v>3.8603969999999999</v>
      </c>
      <c r="E1651">
        <v>0.4897569</v>
      </c>
      <c r="F1651" t="s">
        <v>59</v>
      </c>
      <c r="G1651">
        <v>-323.63529999999997</v>
      </c>
      <c r="H1651">
        <v>8.0000650000000006E-2</v>
      </c>
      <c r="I1651">
        <v>278.91840000000002</v>
      </c>
      <c r="J1651">
        <v>-241.67920000000001</v>
      </c>
      <c r="K1651">
        <v>1.1084400000000001</v>
      </c>
      <c r="L1651">
        <v>283.7011</v>
      </c>
      <c r="M1651">
        <v>-0.99876019999999999</v>
      </c>
      <c r="N1651">
        <v>-3.3343499999999998E-3</v>
      </c>
      <c r="O1651">
        <v>4.966885E-2</v>
      </c>
      <c r="P1651">
        <v>-0.99547169999999896</v>
      </c>
      <c r="Q1651">
        <v>8.8655970000000001E-2</v>
      </c>
      <c r="R1651">
        <v>-3.4300249999999997E-2</v>
      </c>
      <c r="S1651">
        <v>-3.011749</v>
      </c>
      <c r="T1651">
        <v>-3.7577029999999997E-2</v>
      </c>
      <c r="U1651">
        <v>-0.17391970000000001</v>
      </c>
      <c r="V1651">
        <v>-8.3748459999999997E-2</v>
      </c>
      <c r="W1651">
        <v>9.1922809999999994E-2</v>
      </c>
      <c r="X1651">
        <v>0.99223799999999995</v>
      </c>
      <c r="Y1651">
        <v>-0.10715379999999999</v>
      </c>
      <c r="Z1651">
        <v>-1.3004259999999999E-3</v>
      </c>
      <c r="AA1651">
        <v>0.99424159999999995</v>
      </c>
      <c r="AB1651">
        <v>43</v>
      </c>
      <c r="AC1651">
        <v>-81.956099999999907</v>
      </c>
      <c r="AD1651">
        <v>-1.02843934999999</v>
      </c>
      <c r="AE1651">
        <v>-4.78269999999997</v>
      </c>
      <c r="AF1651">
        <v>-8.8460963518322302</v>
      </c>
      <c r="AG1651">
        <v>-1.02843934999999</v>
      </c>
      <c r="AH1651">
        <v>81.604584728429899</v>
      </c>
      <c r="AI1651">
        <v>90.717839276073803</v>
      </c>
      <c r="AJ1651">
        <v>96.186816143529398</v>
      </c>
      <c r="AK1651">
        <v>82.089094019011</v>
      </c>
      <c r="AL1651">
        <v>84.725764998052597</v>
      </c>
      <c r="AM1651">
        <v>94.824535171089707</v>
      </c>
      <c r="AN1651">
        <v>0.99999992809733096</v>
      </c>
    </row>
    <row r="1652" spans="1:40" x14ac:dyDescent="0.25">
      <c r="A1652" t="str">
        <f>"20190305135823924"</f>
        <v>20190305135823924</v>
      </c>
      <c r="B1652" t="str">
        <f>"1551765503920382"</f>
        <v>1551765503920382</v>
      </c>
      <c r="C1652" t="s">
        <v>40</v>
      </c>
      <c r="D1652">
        <v>3.867801</v>
      </c>
      <c r="E1652">
        <v>0.48991980000000002</v>
      </c>
      <c r="F1652" t="s">
        <v>61</v>
      </c>
      <c r="G1652">
        <v>-313.3766</v>
      </c>
      <c r="H1652">
        <v>6.5992940000000003E-3</v>
      </c>
      <c r="I1652">
        <v>279.58850000000001</v>
      </c>
      <c r="J1652">
        <v>-242.1225</v>
      </c>
      <c r="K1652">
        <v>1.10853</v>
      </c>
      <c r="L1652">
        <v>283.72289999999998</v>
      </c>
      <c r="M1652">
        <v>-0.99878060000000002</v>
      </c>
      <c r="N1652">
        <v>-3.383835E-3</v>
      </c>
      <c r="O1652">
        <v>4.9255210000000001E-2</v>
      </c>
      <c r="P1652">
        <v>-0.9955503</v>
      </c>
      <c r="Q1652">
        <v>8.7869779999999995E-2</v>
      </c>
      <c r="R1652">
        <v>-3.4041479999999999E-2</v>
      </c>
      <c r="S1652">
        <v>-3.0117950000000002</v>
      </c>
      <c r="T1652">
        <v>-4.6285029999999998E-2</v>
      </c>
      <c r="U1652">
        <v>-0.17276</v>
      </c>
      <c r="V1652">
        <v>-8.3098909999999998E-2</v>
      </c>
      <c r="W1652">
        <v>9.1171619999999995E-2</v>
      </c>
      <c r="X1652">
        <v>0.99236199999999997</v>
      </c>
      <c r="Y1652">
        <v>-0.1063533</v>
      </c>
      <c r="Z1652">
        <v>-1.5864E-3</v>
      </c>
      <c r="AA1652">
        <v>0.99432710000000002</v>
      </c>
      <c r="AB1652">
        <v>44</v>
      </c>
      <c r="AC1652">
        <v>-71.254099999999994</v>
      </c>
      <c r="AD1652">
        <v>-1.1019307059999901</v>
      </c>
      <c r="AE1652">
        <v>-4.1343999999999701</v>
      </c>
      <c r="AF1652">
        <v>-7.6372167035701102</v>
      </c>
      <c r="AG1652">
        <v>-1.1019307059999901</v>
      </c>
      <c r="AH1652">
        <v>70.947059957644299</v>
      </c>
      <c r="AI1652">
        <v>90.884720726837898</v>
      </c>
      <c r="AJ1652">
        <v>96.144042337311902</v>
      </c>
      <c r="AK1652">
        <v>71.365444347328804</v>
      </c>
      <c r="AL1652">
        <v>84.768986978943104</v>
      </c>
      <c r="AM1652">
        <v>94.786695424930102</v>
      </c>
      <c r="AN1652">
        <v>1.0000000160903</v>
      </c>
    </row>
    <row r="1653" spans="1:40" x14ac:dyDescent="0.25">
      <c r="A1653" t="str">
        <f>"20190305135823947"</f>
        <v>20190305135823947</v>
      </c>
      <c r="B1653" t="str">
        <f>"1551765503940877"</f>
        <v>1551765503940877</v>
      </c>
      <c r="C1653" t="s">
        <v>40</v>
      </c>
      <c r="D1653">
        <v>4.1298389999999996</v>
      </c>
      <c r="E1653">
        <v>0.49007079999999997</v>
      </c>
      <c r="F1653" t="s">
        <v>61</v>
      </c>
      <c r="G1653">
        <v>-308.53710000000001</v>
      </c>
      <c r="H1653" s="1">
        <v>2.8562639999999999E-6</v>
      </c>
      <c r="I1653">
        <v>279.97210000000001</v>
      </c>
      <c r="J1653">
        <v>-242.58320000000001</v>
      </c>
      <c r="K1653">
        <v>1.108608</v>
      </c>
      <c r="L1653">
        <v>283.74529999999999</v>
      </c>
      <c r="M1653">
        <v>-0.99880500000000005</v>
      </c>
      <c r="N1653">
        <v>-3.4352219999999999E-3</v>
      </c>
      <c r="O1653">
        <v>4.8754779999999998E-2</v>
      </c>
      <c r="P1653">
        <v>-0.99554540000000002</v>
      </c>
      <c r="Q1653">
        <v>8.7504280000000004E-2</v>
      </c>
      <c r="R1653">
        <v>-3.5108489999999999E-2</v>
      </c>
      <c r="S1653">
        <v>-3.0120239999999998</v>
      </c>
      <c r="T1653">
        <v>-5.0273659999999998E-2</v>
      </c>
      <c r="U1653">
        <v>-0.17010500000000001</v>
      </c>
      <c r="V1653">
        <v>-8.3682049999999994E-2</v>
      </c>
      <c r="W1653">
        <v>9.0842549999999994E-2</v>
      </c>
      <c r="X1653">
        <v>0.99234319999999998</v>
      </c>
      <c r="Y1653">
        <v>-0.1049741</v>
      </c>
      <c r="Z1653">
        <v>-1.7015310000000001E-3</v>
      </c>
      <c r="AA1653">
        <v>0.99447350000000001</v>
      </c>
      <c r="AB1653">
        <v>44</v>
      </c>
      <c r="AC1653">
        <v>-65.953900000000004</v>
      </c>
      <c r="AD1653">
        <v>-1.1086051437360001</v>
      </c>
      <c r="AE1653">
        <v>-3.7731999999999699</v>
      </c>
      <c r="AF1653">
        <v>-6.9823329017310103</v>
      </c>
      <c r="AG1653">
        <v>-1.1086051437360001</v>
      </c>
      <c r="AH1653">
        <v>65.673008290273401</v>
      </c>
      <c r="AI1653">
        <v>90.961680899083703</v>
      </c>
      <c r="AJ1653">
        <v>96.0688699396689</v>
      </c>
      <c r="AK1653">
        <v>66.052448826743998</v>
      </c>
      <c r="AL1653">
        <v>84.787919995235498</v>
      </c>
      <c r="AM1653">
        <v>94.820218851581899</v>
      </c>
      <c r="AN1653">
        <v>1.00000004048447</v>
      </c>
    </row>
    <row r="1654" spans="1:40" x14ac:dyDescent="0.25">
      <c r="A1654" t="str">
        <f>"20190305135823967"</f>
        <v>20190305135823967</v>
      </c>
      <c r="B1654" t="str">
        <f>"1551765503960397"</f>
        <v>1551765503960397</v>
      </c>
      <c r="C1654" t="s">
        <v>40</v>
      </c>
      <c r="D1654">
        <v>4.1431509999999996</v>
      </c>
      <c r="E1654">
        <v>0.49025809999999997</v>
      </c>
      <c r="F1654" t="s">
        <v>61</v>
      </c>
      <c r="G1654">
        <v>-306.49110000000002</v>
      </c>
      <c r="H1654" s="1">
        <v>3.206903E-6</v>
      </c>
      <c r="I1654">
        <v>280.11270000000002</v>
      </c>
      <c r="J1654">
        <v>-242.977</v>
      </c>
      <c r="K1654">
        <v>1.1086769999999999</v>
      </c>
      <c r="L1654">
        <v>283.76420000000002</v>
      </c>
      <c r="M1654">
        <v>-0.99882780000000004</v>
      </c>
      <c r="N1654">
        <v>-3.4789719999999999E-3</v>
      </c>
      <c r="O1654">
        <v>4.8282749999999999E-2</v>
      </c>
      <c r="P1654">
        <v>-0.99539730000000004</v>
      </c>
      <c r="Q1654">
        <v>8.8422329999999993E-2</v>
      </c>
      <c r="R1654">
        <v>-3.6959619999999999E-2</v>
      </c>
      <c r="S1654">
        <v>-3.011978</v>
      </c>
      <c r="T1654">
        <v>-5.224848E-2</v>
      </c>
      <c r="U1654">
        <v>-0.17120360000000001</v>
      </c>
      <c r="V1654">
        <v>-8.5068060000000001E-2</v>
      </c>
      <c r="W1654">
        <v>9.1790830000000004E-2</v>
      </c>
      <c r="X1654">
        <v>0.99213799999999996</v>
      </c>
      <c r="Y1654">
        <v>-0.10486479999999999</v>
      </c>
      <c r="Z1654">
        <v>-1.7603530000000001E-3</v>
      </c>
      <c r="AA1654">
        <v>0.9944849</v>
      </c>
      <c r="AB1654">
        <v>44</v>
      </c>
      <c r="AC1654">
        <v>-63.514099999999999</v>
      </c>
      <c r="AD1654">
        <v>-1.1086737930969901</v>
      </c>
      <c r="AE1654">
        <v>-3.6514999999999902</v>
      </c>
      <c r="AF1654">
        <v>-6.7118564012621604</v>
      </c>
      <c r="AG1654">
        <v>-1.1086737930969901</v>
      </c>
      <c r="AH1654">
        <v>63.244510741681601</v>
      </c>
      <c r="AI1654">
        <v>90.998682899909795</v>
      </c>
      <c r="AJ1654">
        <v>96.057869622695307</v>
      </c>
      <c r="AK1654">
        <v>63.609325675449</v>
      </c>
      <c r="AL1654">
        <v>84.733359228833095</v>
      </c>
      <c r="AM1654">
        <v>94.900678159617698</v>
      </c>
      <c r="AN1654">
        <v>0.99999997117412498</v>
      </c>
    </row>
    <row r="1655" spans="1:40" x14ac:dyDescent="0.25">
      <c r="A1655" t="str">
        <f>"20190305135823990"</f>
        <v>20190305135823990</v>
      </c>
      <c r="B1655" t="str">
        <f>"1551765503980425"</f>
        <v>1551765503980425</v>
      </c>
      <c r="C1655" t="s">
        <v>40</v>
      </c>
      <c r="D1655">
        <v>3.8243459999999998</v>
      </c>
      <c r="E1655">
        <v>0.49019590000000002</v>
      </c>
      <c r="F1655" t="s">
        <v>61</v>
      </c>
      <c r="G1655">
        <v>-309.31799999999998</v>
      </c>
      <c r="H1655" s="1">
        <v>2.7238500000000002E-6</v>
      </c>
      <c r="I1655">
        <v>279.9024</v>
      </c>
      <c r="J1655">
        <v>-243.42920000000001</v>
      </c>
      <c r="K1655">
        <v>1.1087590000000001</v>
      </c>
      <c r="L1655">
        <v>283.78570000000002</v>
      </c>
      <c r="M1655">
        <v>-0.99885539999999995</v>
      </c>
      <c r="N1655">
        <v>-3.528878E-3</v>
      </c>
      <c r="O1655">
        <v>4.7703339999999997E-2</v>
      </c>
      <c r="P1655">
        <v>-0.99508640000000004</v>
      </c>
      <c r="Q1655">
        <v>9.1217229999999996E-2</v>
      </c>
      <c r="R1655">
        <v>-3.8503969999999998E-2</v>
      </c>
      <c r="S1655">
        <v>-3.0118260000000001</v>
      </c>
      <c r="T1655">
        <v>-5.03329E-2</v>
      </c>
      <c r="U1655">
        <v>-0.17532349999999999</v>
      </c>
      <c r="V1655">
        <v>-8.6035269999999997E-2</v>
      </c>
      <c r="W1655">
        <v>9.462226E-2</v>
      </c>
      <c r="X1655">
        <v>0.99178860000000002</v>
      </c>
      <c r="Y1655">
        <v>-0.1056482</v>
      </c>
      <c r="Z1655">
        <v>-1.69690799999999E-3</v>
      </c>
      <c r="AA1655">
        <v>0.99440209999999996</v>
      </c>
      <c r="AB1655">
        <v>44</v>
      </c>
      <c r="AC1655">
        <v>-65.888799999999904</v>
      </c>
      <c r="AD1655">
        <v>-1.1087562761500001</v>
      </c>
      <c r="AE1655">
        <v>-3.8833000000000202</v>
      </c>
      <c r="AF1655">
        <v>-7.0200331334536097</v>
      </c>
      <c r="AG1655">
        <v>-1.1087562761500001</v>
      </c>
      <c r="AH1655">
        <v>65.6100257469095</v>
      </c>
      <c r="AI1655">
        <v>90.962666411683003</v>
      </c>
      <c r="AJ1655">
        <v>96.107204340326604</v>
      </c>
      <c r="AK1655">
        <v>65.993830652454307</v>
      </c>
      <c r="AL1655">
        <v>84.570421213976502</v>
      </c>
      <c r="AM1655">
        <v>94.957859396998998</v>
      </c>
      <c r="AN1655">
        <v>1.00000003343071</v>
      </c>
    </row>
    <row r="1656" spans="1:40" x14ac:dyDescent="0.25">
      <c r="A1656" t="str">
        <f>"20190305135824012"</f>
        <v>20190305135824012</v>
      </c>
      <c r="B1656" t="str">
        <f>"1551765503999944"</f>
        <v>1551765503999944</v>
      </c>
      <c r="C1656" t="s">
        <v>40</v>
      </c>
      <c r="D1656">
        <v>3.840554</v>
      </c>
      <c r="E1656">
        <v>0.4901722</v>
      </c>
      <c r="F1656" t="s">
        <v>61</v>
      </c>
      <c r="G1656">
        <v>-315.69450000000001</v>
      </c>
      <c r="H1656">
        <v>8.0001500000000003E-2</v>
      </c>
      <c r="I1656">
        <v>279.45740000000001</v>
      </c>
      <c r="J1656">
        <v>-243.86529999999999</v>
      </c>
      <c r="K1656">
        <v>1.108833</v>
      </c>
      <c r="L1656">
        <v>283.80619999999999</v>
      </c>
      <c r="M1656">
        <v>-0.99888290000000002</v>
      </c>
      <c r="N1656">
        <v>-3.57669E-3</v>
      </c>
      <c r="O1656">
        <v>4.7119040000000001E-2</v>
      </c>
      <c r="P1656">
        <v>-0.99462890000000004</v>
      </c>
      <c r="Q1656">
        <v>9.5421339999999993E-2</v>
      </c>
      <c r="R1656">
        <v>-4.010528E-2</v>
      </c>
      <c r="S1656">
        <v>-3.0117799999999999</v>
      </c>
      <c r="T1656">
        <v>-4.2875290000000003E-2</v>
      </c>
      <c r="U1656">
        <v>-0.18038940000000001</v>
      </c>
      <c r="V1656">
        <v>-8.7047689999999997E-2</v>
      </c>
      <c r="W1656">
        <v>9.8860950000000003E-2</v>
      </c>
      <c r="X1656">
        <v>0.99128660000000002</v>
      </c>
      <c r="Y1656">
        <v>-0.10674</v>
      </c>
      <c r="Z1656">
        <v>-1.4519559999999999E-3</v>
      </c>
      <c r="AA1656">
        <v>0.99428589999999994</v>
      </c>
      <c r="AB1656">
        <v>44</v>
      </c>
      <c r="AC1656">
        <v>-71.8292</v>
      </c>
      <c r="AD1656">
        <v>-1.0288314999999999</v>
      </c>
      <c r="AE1656">
        <v>-4.3487999999999802</v>
      </c>
      <c r="AF1656">
        <v>-7.72693472017143</v>
      </c>
      <c r="AG1656">
        <v>-1.0288314999999999</v>
      </c>
      <c r="AH1656">
        <v>71.529883086133793</v>
      </c>
      <c r="AI1656">
        <v>90.8192765317675</v>
      </c>
      <c r="AJ1656">
        <v>96.165404264726106</v>
      </c>
      <c r="AK1656">
        <v>71.953375103195498</v>
      </c>
      <c r="AL1656">
        <v>84.326417050532299</v>
      </c>
      <c r="AM1656">
        <v>95.018432242604604</v>
      </c>
      <c r="AN1656">
        <v>0.99999995555439802</v>
      </c>
    </row>
    <row r="1657" spans="1:40" x14ac:dyDescent="0.25">
      <c r="A1657" t="str">
        <f>"20190305135824035"</f>
        <v>20190305135824035</v>
      </c>
      <c r="B1657" t="str">
        <f>"1551765504030202"</f>
        <v>1551765504030202</v>
      </c>
      <c r="C1657" t="s">
        <v>40</v>
      </c>
      <c r="D1657">
        <v>3.8935599999999999</v>
      </c>
      <c r="E1657">
        <v>0.49040669999999997</v>
      </c>
      <c r="F1657" t="s">
        <v>59</v>
      </c>
      <c r="G1657">
        <v>-344.41980000000001</v>
      </c>
      <c r="H1657">
        <v>8.0000160000000001E-2</v>
      </c>
      <c r="I1657">
        <v>277.60289999999998</v>
      </c>
      <c r="J1657">
        <v>-244.31979999999999</v>
      </c>
      <c r="K1657">
        <v>1.108892</v>
      </c>
      <c r="L1657">
        <v>283.82729999999998</v>
      </c>
      <c r="M1657">
        <v>-0.99891220000000003</v>
      </c>
      <c r="N1657">
        <v>-3.6263839999999999E-3</v>
      </c>
      <c r="O1657">
        <v>4.6493189999999997E-2</v>
      </c>
      <c r="P1657">
        <v>-0.99426979999999998</v>
      </c>
      <c r="Q1657">
        <v>9.8378110000000005E-2</v>
      </c>
      <c r="R1657">
        <v>-4.1831470000000003E-2</v>
      </c>
      <c r="S1657">
        <v>-3.0116580000000002</v>
      </c>
      <c r="T1657">
        <v>-3.0814049999999999E-2</v>
      </c>
      <c r="U1657">
        <v>-0.18579100000000001</v>
      </c>
      <c r="V1657">
        <v>-8.8147249999999996E-2</v>
      </c>
      <c r="W1657">
        <v>0.1018565</v>
      </c>
      <c r="X1657">
        <v>0.99088620000000005</v>
      </c>
      <c r="Y1657">
        <v>-0.1079036</v>
      </c>
      <c r="Z1657">
        <v>-1.054169E-3</v>
      </c>
      <c r="AA1657">
        <v>0.99416079999999996</v>
      </c>
      <c r="AB1657">
        <v>44</v>
      </c>
      <c r="AC1657">
        <v>-100.1</v>
      </c>
      <c r="AD1657">
        <v>-1.02889184</v>
      </c>
      <c r="AE1657">
        <v>-6.2244000000000002</v>
      </c>
      <c r="AF1657">
        <v>-10.870522943519701</v>
      </c>
      <c r="AG1657">
        <v>-1.02889184</v>
      </c>
      <c r="AH1657">
        <v>99.691865182916501</v>
      </c>
      <c r="AI1657">
        <v>90.587828645980807</v>
      </c>
      <c r="AJ1657">
        <v>96.223015750097503</v>
      </c>
      <c r="AK1657">
        <v>100.288059464388</v>
      </c>
      <c r="AL1657">
        <v>84.153914377075793</v>
      </c>
      <c r="AM1657">
        <v>95.083536306478706</v>
      </c>
      <c r="AN1657">
        <v>1.0000000728126199</v>
      </c>
    </row>
    <row r="1658" spans="1:40" x14ac:dyDescent="0.25">
      <c r="A1658" t="str">
        <f>"20190305135824056"</f>
        <v>20190305135824056</v>
      </c>
      <c r="B1658" t="str">
        <f>"1551765504050698"</f>
        <v>1551765504050698</v>
      </c>
      <c r="C1658" t="s">
        <v>40</v>
      </c>
      <c r="D1658">
        <v>4.1879900000000001</v>
      </c>
      <c r="E1658">
        <v>0.49061650000000001</v>
      </c>
      <c r="F1658" t="s">
        <v>45</v>
      </c>
      <c r="G1658">
        <v>-355.17009999999999</v>
      </c>
      <c r="H1658">
        <v>0.32868209999999998</v>
      </c>
      <c r="I1658">
        <v>276.84570000000002</v>
      </c>
      <c r="J1658">
        <v>-244.75110000000001</v>
      </c>
      <c r="K1658">
        <v>1.10893</v>
      </c>
      <c r="L1658">
        <v>283.84699999999998</v>
      </c>
      <c r="M1658">
        <v>-0.99893980000000004</v>
      </c>
      <c r="N1658">
        <v>-3.673351E-3</v>
      </c>
      <c r="O1658">
        <v>4.5890920000000002E-2</v>
      </c>
      <c r="P1658">
        <v>-0.99401130000000004</v>
      </c>
      <c r="Q1658">
        <v>0.1000306</v>
      </c>
      <c r="R1658">
        <v>-4.399455E-2</v>
      </c>
      <c r="S1658">
        <v>-3.0114290000000001</v>
      </c>
      <c r="T1658">
        <v>-2.1193859999999998E-2</v>
      </c>
      <c r="U1658">
        <v>-0.18966669999999999</v>
      </c>
      <c r="V1658">
        <v>-8.9709540000000004E-2</v>
      </c>
      <c r="W1658">
        <v>0.1035446</v>
      </c>
      <c r="X1658">
        <v>0.99057090000000003</v>
      </c>
      <c r="Y1658">
        <v>-0.1085877</v>
      </c>
      <c r="Z1658">
        <v>-7.3565860000000002E-4</v>
      </c>
      <c r="AA1658">
        <v>0.99408660000000004</v>
      </c>
      <c r="AB1658">
        <v>44</v>
      </c>
      <c r="AC1658">
        <v>-110.418999999999</v>
      </c>
      <c r="AD1658">
        <v>-0.78024789999999999</v>
      </c>
      <c r="AE1658">
        <v>-7.0012999999999499</v>
      </c>
      <c r="AF1658">
        <v>-12.0605871250651</v>
      </c>
      <c r="AG1658">
        <v>-0.78024789999999999</v>
      </c>
      <c r="AH1658">
        <v>109.97589971507399</v>
      </c>
      <c r="AI1658">
        <v>90.4040680943681</v>
      </c>
      <c r="AJ1658">
        <v>96.258374411597401</v>
      </c>
      <c r="AK1658">
        <v>110.63799106422201</v>
      </c>
      <c r="AL1658">
        <v>84.056678765143999</v>
      </c>
      <c r="AM1658">
        <v>95.174788109193898</v>
      </c>
      <c r="AN1658">
        <v>0.99999999684148999</v>
      </c>
    </row>
    <row r="1659" spans="1:40" x14ac:dyDescent="0.25">
      <c r="A1659" t="str">
        <f>"20190305135824078"</f>
        <v>20190305135824078</v>
      </c>
      <c r="B1659" t="str">
        <f>"1551765504070217"</f>
        <v>1551765504070217</v>
      </c>
      <c r="C1659" t="s">
        <v>40</v>
      </c>
      <c r="D1659">
        <v>3.8418950000000001</v>
      </c>
      <c r="E1659">
        <v>0.49056270000000002</v>
      </c>
      <c r="F1659" t="s">
        <v>45</v>
      </c>
      <c r="G1659">
        <v>-355.21379999999999</v>
      </c>
      <c r="H1659">
        <v>0.52425529999999998</v>
      </c>
      <c r="I1659">
        <v>276.702</v>
      </c>
      <c r="J1659">
        <v>-245.17789999999999</v>
      </c>
      <c r="K1659">
        <v>1.1089709999999999</v>
      </c>
      <c r="L1659">
        <v>283.8664</v>
      </c>
      <c r="M1659">
        <v>-0.99896700000000005</v>
      </c>
      <c r="N1659">
        <v>-3.719637E-3</v>
      </c>
      <c r="O1659">
        <v>4.5288849999999999E-2</v>
      </c>
      <c r="P1659">
        <v>-0.9936178</v>
      </c>
      <c r="Q1659">
        <v>0.1026479</v>
      </c>
      <c r="R1659">
        <v>-4.6765479999999998E-2</v>
      </c>
      <c r="S1659">
        <v>-3.011047</v>
      </c>
      <c r="T1659">
        <v>-1.5935540000000002E-2</v>
      </c>
      <c r="U1659">
        <v>-0.1947632</v>
      </c>
      <c r="V1659">
        <v>-9.1873720000000006E-2</v>
      </c>
      <c r="W1659">
        <v>0.1061964</v>
      </c>
      <c r="X1659">
        <v>0.99009170000000002</v>
      </c>
      <c r="Y1659">
        <v>-0.1096738</v>
      </c>
      <c r="Z1659">
        <v>-5.652961E-4</v>
      </c>
      <c r="AA1659">
        <v>0.9939675</v>
      </c>
      <c r="AB1659">
        <v>45</v>
      </c>
      <c r="AC1659">
        <v>-110.0359</v>
      </c>
      <c r="AD1659">
        <v>-0.58471569999999995</v>
      </c>
      <c r="AE1659">
        <v>-7.1643999999999997</v>
      </c>
      <c r="AF1659">
        <v>-12.1401412799447</v>
      </c>
      <c r="AG1659">
        <v>-0.58471569999999995</v>
      </c>
      <c r="AH1659">
        <v>109.595443015721</v>
      </c>
      <c r="AI1659">
        <v>90.303824315812193</v>
      </c>
      <c r="AJ1659">
        <v>96.321016350451799</v>
      </c>
      <c r="AK1659">
        <v>110.26733901096399</v>
      </c>
      <c r="AL1659">
        <v>83.903899438605094</v>
      </c>
      <c r="AM1659">
        <v>95.301473970410896</v>
      </c>
      <c r="AN1659">
        <v>1.0000000151042401</v>
      </c>
    </row>
    <row r="1660" spans="1:40" x14ac:dyDescent="0.25">
      <c r="A1660" t="str">
        <f>"20190305135824102"</f>
        <v>20190305135824102</v>
      </c>
      <c r="B1660" t="str">
        <f>"1551765504090713"</f>
        <v>1551765504090713</v>
      </c>
      <c r="C1660" t="s">
        <v>40</v>
      </c>
      <c r="D1660">
        <v>3.8520690000000002</v>
      </c>
      <c r="E1660">
        <v>0.49058429999999997</v>
      </c>
      <c r="F1660" t="s">
        <v>64</v>
      </c>
      <c r="G1660">
        <v>-448.28190000000001</v>
      </c>
      <c r="H1660">
        <v>0.51822760000000001</v>
      </c>
      <c r="I1660">
        <v>270.14850000000001</v>
      </c>
      <c r="J1660">
        <v>-245.6498</v>
      </c>
      <c r="K1660">
        <v>1.109016</v>
      </c>
      <c r="L1660">
        <v>283.88740000000001</v>
      </c>
      <c r="M1660">
        <v>-0.99899740000000004</v>
      </c>
      <c r="N1660">
        <v>-3.770837E-3</v>
      </c>
      <c r="O1660">
        <v>4.4609000000000003E-2</v>
      </c>
      <c r="P1660">
        <v>-0.99327299999999996</v>
      </c>
      <c r="Q1660">
        <v>0.10485369999999999</v>
      </c>
      <c r="R1660">
        <v>-4.913737E-2</v>
      </c>
      <c r="S1660">
        <v>-3.0105900000000001</v>
      </c>
      <c r="T1660">
        <v>-8.7563989999999998E-3</v>
      </c>
      <c r="U1660">
        <v>-0.20333860000000001</v>
      </c>
      <c r="V1660">
        <v>-9.356689E-2</v>
      </c>
      <c r="W1660">
        <v>0.1084407</v>
      </c>
      <c r="X1660">
        <v>0.98968979999999995</v>
      </c>
      <c r="Y1660">
        <v>-0.1118273</v>
      </c>
      <c r="Z1660">
        <v>-3.3513869999999998E-4</v>
      </c>
      <c r="AA1660">
        <v>0.99372760000000004</v>
      </c>
      <c r="AB1660">
        <v>45</v>
      </c>
      <c r="AC1660">
        <v>-202.63210000000001</v>
      </c>
      <c r="AD1660">
        <v>-0.59078839999999999</v>
      </c>
      <c r="AE1660">
        <v>-13.738899999999999</v>
      </c>
      <c r="AF1660">
        <v>-22.764310095721498</v>
      </c>
      <c r="AG1660">
        <v>-0.59078839999999999</v>
      </c>
      <c r="AH1660">
        <v>201.815790899718</v>
      </c>
      <c r="AI1660">
        <v>90.166668231956194</v>
      </c>
      <c r="AJ1660">
        <v>96.435616787931394</v>
      </c>
      <c r="AK1660">
        <v>203.09647043103999</v>
      </c>
      <c r="AL1660">
        <v>83.774563596390806</v>
      </c>
      <c r="AM1660">
        <v>95.40078378986</v>
      </c>
      <c r="AN1660">
        <v>1.0000000242724001</v>
      </c>
    </row>
    <row r="1661" spans="1:40" x14ac:dyDescent="0.25">
      <c r="A1661" t="str">
        <f>"20190305135824124"</f>
        <v>20190305135824124</v>
      </c>
      <c r="B1661" t="str">
        <f>"1551765504110233"</f>
        <v>1551765504110233</v>
      </c>
      <c r="C1661" t="s">
        <v>40</v>
      </c>
      <c r="D1661">
        <v>3.853685</v>
      </c>
      <c r="E1661">
        <v>0.49060150000000002</v>
      </c>
      <c r="F1661" t="s">
        <v>64</v>
      </c>
      <c r="G1661">
        <v>-440.40789999999998</v>
      </c>
      <c r="H1661">
        <v>0.9381313</v>
      </c>
      <c r="I1661">
        <v>270.27339999999998</v>
      </c>
      <c r="J1661">
        <v>-246.1139</v>
      </c>
      <c r="K1661">
        <v>1.109065</v>
      </c>
      <c r="L1661">
        <v>283.90769999999998</v>
      </c>
      <c r="M1661">
        <v>-0.99902849999999999</v>
      </c>
      <c r="N1661">
        <v>-3.821133E-3</v>
      </c>
      <c r="O1661">
        <v>4.3907149999999999E-2</v>
      </c>
      <c r="P1661">
        <v>-0.99299859999999895</v>
      </c>
      <c r="Q1661">
        <v>0.10657990000000001</v>
      </c>
      <c r="R1661">
        <v>-5.093843E-2</v>
      </c>
      <c r="S1661">
        <v>-3.0101930000000001</v>
      </c>
      <c r="T1661">
        <v>-2.6410819999999999E-3</v>
      </c>
      <c r="U1661">
        <v>-0.21041869999999999</v>
      </c>
      <c r="V1661">
        <v>-9.4672950000000006E-2</v>
      </c>
      <c r="W1661">
        <v>0.11020430000000001</v>
      </c>
      <c r="X1661">
        <v>0.98938970000000004</v>
      </c>
      <c r="Y1661">
        <v>-0.1134648</v>
      </c>
      <c r="Z1661">
        <v>-1.3769680000000001E-4</v>
      </c>
      <c r="AA1661">
        <v>0.99354200000000004</v>
      </c>
      <c r="AB1661">
        <v>45</v>
      </c>
      <c r="AC1661">
        <v>-194.29400000000001</v>
      </c>
      <c r="AD1661">
        <v>-0.17093369999999899</v>
      </c>
      <c r="AE1661">
        <v>-13.6342999999999</v>
      </c>
      <c r="AF1661">
        <v>-22.152090502073499</v>
      </c>
      <c r="AG1661">
        <v>-0.17093369999999899</v>
      </c>
      <c r="AH1661">
        <v>193.50782677268</v>
      </c>
      <c r="AI1661">
        <v>90.050283381933596</v>
      </c>
      <c r="AJ1661">
        <v>96.530589396074504</v>
      </c>
      <c r="AK1661">
        <v>194.77172113586599</v>
      </c>
      <c r="AL1661">
        <v>83.672907090472094</v>
      </c>
      <c r="AM1661">
        <v>95.4658899853912</v>
      </c>
      <c r="AN1661">
        <v>0.99999996683313996</v>
      </c>
    </row>
    <row r="1662" spans="1:40" x14ac:dyDescent="0.25">
      <c r="A1662" t="str">
        <f>"20190305135824146"</f>
        <v>20190305135824146</v>
      </c>
      <c r="B1662" t="str">
        <f>"1551765504140491"</f>
        <v>1551765504140491</v>
      </c>
      <c r="C1662" t="s">
        <v>40</v>
      </c>
      <c r="D1662">
        <v>3.867229</v>
      </c>
      <c r="E1662">
        <v>0.49061569999999999</v>
      </c>
      <c r="F1662" t="s">
        <v>64</v>
      </c>
      <c r="G1662">
        <v>-440.40789999999998</v>
      </c>
      <c r="H1662">
        <v>1.2110299999999901</v>
      </c>
      <c r="I1662">
        <v>269.97410000000002</v>
      </c>
      <c r="J1662">
        <v>-246.56039999999999</v>
      </c>
      <c r="K1662">
        <v>1.109113</v>
      </c>
      <c r="L1662">
        <v>283.92689999999999</v>
      </c>
      <c r="M1662">
        <v>-0.99905929999999998</v>
      </c>
      <c r="N1662">
        <v>-3.8696450000000001E-3</v>
      </c>
      <c r="O1662">
        <v>4.3194120000000003E-2</v>
      </c>
      <c r="P1662">
        <v>-0.99287689999999995</v>
      </c>
      <c r="Q1662">
        <v>0.10696849999999999</v>
      </c>
      <c r="R1662">
        <v>-5.2471860000000002E-2</v>
      </c>
      <c r="S1662">
        <v>-3.0098880000000001</v>
      </c>
      <c r="T1662">
        <v>1.579762E-3</v>
      </c>
      <c r="U1662">
        <v>-0.21585080000000001</v>
      </c>
      <c r="V1662">
        <v>-9.5506740000000007E-2</v>
      </c>
      <c r="W1662">
        <v>0.1106275</v>
      </c>
      <c r="X1662">
        <v>0.98926230000000004</v>
      </c>
      <c r="Y1662">
        <v>-0.11454689999999999</v>
      </c>
      <c r="Z1662" s="1">
        <v>-2.3396279999999999E-6</v>
      </c>
      <c r="AA1662">
        <v>0.99341789999999996</v>
      </c>
      <c r="AB1662">
        <v>45</v>
      </c>
      <c r="AC1662">
        <v>-193.8475</v>
      </c>
      <c r="AD1662">
        <v>0.10191699999999899</v>
      </c>
      <c r="AE1662">
        <v>-13.9527999999999</v>
      </c>
      <c r="AF1662">
        <v>-22.3129055691475</v>
      </c>
      <c r="AG1662">
        <v>0.10191699999999899</v>
      </c>
      <c r="AH1662">
        <v>193.06384269202499</v>
      </c>
      <c r="AI1662">
        <v>89.969953974423504</v>
      </c>
      <c r="AJ1662">
        <v>96.5925781211334</v>
      </c>
      <c r="AK1662">
        <v>194.34897349104699</v>
      </c>
      <c r="AL1662">
        <v>83.648510167712999</v>
      </c>
      <c r="AM1662">
        <v>95.514438717460806</v>
      </c>
      <c r="AN1662">
        <v>0.99999993967148204</v>
      </c>
    </row>
    <row r="1663" spans="1:40" x14ac:dyDescent="0.25">
      <c r="A1663" t="str">
        <f>"20190305135824168"</f>
        <v>20190305135824168</v>
      </c>
      <c r="B1663" t="str">
        <f>"1551765504160011"</f>
        <v>1551765504160011</v>
      </c>
      <c r="C1663" t="s">
        <v>40</v>
      </c>
      <c r="D1663">
        <v>3.8725309999999999</v>
      </c>
      <c r="E1663">
        <v>0.49062869999999997</v>
      </c>
      <c r="F1663" t="s">
        <v>64</v>
      </c>
      <c r="G1663">
        <v>-440.40789999999998</v>
      </c>
      <c r="H1663">
        <v>1.200785</v>
      </c>
      <c r="I1663">
        <v>269.72000000000003</v>
      </c>
      <c r="J1663">
        <v>-247.00020000000001</v>
      </c>
      <c r="K1663">
        <v>1.109186</v>
      </c>
      <c r="L1663">
        <v>283.94560000000001</v>
      </c>
      <c r="M1663">
        <v>-0.99909199999999998</v>
      </c>
      <c r="N1663">
        <v>-3.9177530000000004E-3</v>
      </c>
      <c r="O1663">
        <v>4.242638E-2</v>
      </c>
      <c r="P1663">
        <v>-0.99271050000000005</v>
      </c>
      <c r="Q1663">
        <v>0.1076691</v>
      </c>
      <c r="R1663">
        <v>-5.4161029999999999E-2</v>
      </c>
      <c r="S1663">
        <v>-3.009735</v>
      </c>
      <c r="T1663">
        <v>1.4234779999999999E-3</v>
      </c>
      <c r="U1663">
        <v>-0.2205811</v>
      </c>
      <c r="V1663">
        <v>-9.6445039999999996E-2</v>
      </c>
      <c r="W1663">
        <v>0.11135879999999999</v>
      </c>
      <c r="X1663">
        <v>0.98908929999999995</v>
      </c>
      <c r="Y1663">
        <v>-0.1153402</v>
      </c>
      <c r="Z1663" s="1">
        <v>-1.299253E-5</v>
      </c>
      <c r="AA1663">
        <v>0.99332609999999999</v>
      </c>
      <c r="AB1663">
        <v>45</v>
      </c>
      <c r="AC1663">
        <v>-193.40770000000001</v>
      </c>
      <c r="AD1663">
        <v>9.1599E-2</v>
      </c>
      <c r="AE1663">
        <v>-14.225599999999901</v>
      </c>
      <c r="AF1663">
        <v>-22.4184368610135</v>
      </c>
      <c r="AG1663">
        <v>9.1599E-2</v>
      </c>
      <c r="AH1663">
        <v>192.62996397915501</v>
      </c>
      <c r="AI1663">
        <v>89.972937489728196</v>
      </c>
      <c r="AJ1663">
        <v>96.638267718738604</v>
      </c>
      <c r="AK1663">
        <v>193.93013619414199</v>
      </c>
      <c r="AL1663">
        <v>83.606349872266406</v>
      </c>
      <c r="AM1663">
        <v>95.569243949933394</v>
      </c>
      <c r="AN1663">
        <v>1.00000003572626</v>
      </c>
    </row>
    <row r="1664" spans="1:40" x14ac:dyDescent="0.25">
      <c r="A1664" t="str">
        <f>"20190305135824189"</f>
        <v>20190305135824189</v>
      </c>
      <c r="B1664" t="str">
        <f>"1551765504181012"</f>
        <v>1551765504181012</v>
      </c>
      <c r="C1664" t="s">
        <v>40</v>
      </c>
      <c r="D1664">
        <v>3.874139</v>
      </c>
      <c r="E1664">
        <v>0.49066860000000001</v>
      </c>
      <c r="F1664" t="s">
        <v>64</v>
      </c>
      <c r="G1664">
        <v>-440.40789999999998</v>
      </c>
      <c r="H1664">
        <v>1.2355320000000001</v>
      </c>
      <c r="I1664">
        <v>269.46980000000002</v>
      </c>
      <c r="J1664">
        <v>-247.44450000000001</v>
      </c>
      <c r="K1664">
        <v>1.109289</v>
      </c>
      <c r="L1664">
        <v>283.964</v>
      </c>
      <c r="M1664">
        <v>-0.99912889999999999</v>
      </c>
      <c r="N1664">
        <v>-3.9670080000000002E-3</v>
      </c>
      <c r="O1664">
        <v>4.1544940000000002E-2</v>
      </c>
      <c r="P1664">
        <v>-0.99233749999999998</v>
      </c>
      <c r="Q1664">
        <v>0.1100869</v>
      </c>
      <c r="R1664">
        <v>-5.6103989999999999E-2</v>
      </c>
      <c r="S1664">
        <v>-3.0095209999999999</v>
      </c>
      <c r="T1664">
        <v>1.9662379999999999E-3</v>
      </c>
      <c r="U1664">
        <v>-0.22525020000000001</v>
      </c>
      <c r="V1664">
        <v>-9.7526630000000003E-2</v>
      </c>
      <c r="W1664">
        <v>0.11380120000000001</v>
      </c>
      <c r="X1664">
        <v>0.98870519999999995</v>
      </c>
      <c r="Y1664">
        <v>-0.1160017</v>
      </c>
      <c r="Z1664" s="1">
        <v>-9.100186E-7</v>
      </c>
      <c r="AA1664">
        <v>0.99324900000000005</v>
      </c>
      <c r="AB1664">
        <v>45</v>
      </c>
      <c r="AC1664">
        <v>-192.96340000000001</v>
      </c>
      <c r="AD1664">
        <v>0.12624299999999999</v>
      </c>
      <c r="AE1664">
        <v>-14.4941999999999</v>
      </c>
      <c r="AF1664">
        <v>-22.4983913055218</v>
      </c>
      <c r="AG1664">
        <v>0.12624299999999999</v>
      </c>
      <c r="AH1664">
        <v>192.19455269932499</v>
      </c>
      <c r="AI1664">
        <v>89.962620507365799</v>
      </c>
      <c r="AJ1664">
        <v>96.676686269008599</v>
      </c>
      <c r="AK1664">
        <v>193.506949838824</v>
      </c>
      <c r="AL1664">
        <v>83.465515485588796</v>
      </c>
      <c r="AM1664">
        <v>95.633475032183995</v>
      </c>
      <c r="AN1664">
        <v>1.0000000645938101</v>
      </c>
    </row>
    <row r="1665" spans="1:40" x14ac:dyDescent="0.25">
      <c r="A1665" t="str">
        <f>"20190305135824213"</f>
        <v>20190305135824213</v>
      </c>
      <c r="B1665" t="str">
        <f>"1551765504200532"</f>
        <v>1551765504200532</v>
      </c>
      <c r="C1665" t="s">
        <v>40</v>
      </c>
      <c r="D1665">
        <v>3.8855219999999999</v>
      </c>
      <c r="E1665">
        <v>0.49074960000000001</v>
      </c>
      <c r="F1665" t="s">
        <v>64</v>
      </c>
      <c r="G1665">
        <v>-440.6841</v>
      </c>
      <c r="H1665">
        <v>1.6097399999999999</v>
      </c>
      <c r="I1665">
        <v>269.16050000000001</v>
      </c>
      <c r="J1665">
        <v>-247.9229</v>
      </c>
      <c r="K1665">
        <v>1.1094269999999999</v>
      </c>
      <c r="L1665">
        <v>283.98320000000001</v>
      </c>
      <c r="M1665">
        <v>-0.99917409999999995</v>
      </c>
      <c r="N1665">
        <v>-4.0212080000000001E-3</v>
      </c>
      <c r="O1665">
        <v>4.0434560000000001E-2</v>
      </c>
      <c r="P1665">
        <v>-0.9920137</v>
      </c>
      <c r="Q1665">
        <v>0.1118656</v>
      </c>
      <c r="R1665">
        <v>-5.8266190000000002E-2</v>
      </c>
      <c r="S1665">
        <v>-3.0092620000000001</v>
      </c>
      <c r="T1665">
        <v>7.7935460000000002E-3</v>
      </c>
      <c r="U1665">
        <v>-0.23052980000000001</v>
      </c>
      <c r="V1665">
        <v>-9.8614800000000002E-2</v>
      </c>
      <c r="W1665">
        <v>0.1155993</v>
      </c>
      <c r="X1665">
        <v>0.9883885</v>
      </c>
      <c r="Y1665">
        <v>-0.11663660000000001</v>
      </c>
      <c r="Z1665">
        <v>1.8287429999999999E-4</v>
      </c>
      <c r="AA1665">
        <v>0.99317469999999997</v>
      </c>
      <c r="AB1665">
        <v>46</v>
      </c>
      <c r="AC1665">
        <v>-192.7612</v>
      </c>
      <c r="AD1665">
        <v>0.50031300000000001</v>
      </c>
      <c r="AE1665">
        <v>-14.8226999999999</v>
      </c>
      <c r="AF1665">
        <v>-22.604703550163599</v>
      </c>
      <c r="AG1665">
        <v>0.50031300000000001</v>
      </c>
      <c r="AH1665">
        <v>192.002915126235</v>
      </c>
      <c r="AI1665">
        <v>89.851725487357001</v>
      </c>
      <c r="AJ1665">
        <v>96.714583035815494</v>
      </c>
      <c r="AK1665">
        <v>193.329620991355</v>
      </c>
      <c r="AL1665">
        <v>83.361806727786501</v>
      </c>
      <c r="AM1665">
        <v>95.6977335137164</v>
      </c>
      <c r="AN1665">
        <v>0.99999995193588798</v>
      </c>
    </row>
    <row r="1666" spans="1:40" x14ac:dyDescent="0.25">
      <c r="A1666" t="str">
        <f>"20190305135824235"</f>
        <v>20190305135824235</v>
      </c>
      <c r="B1666" t="str">
        <f>"1551765504220052"</f>
        <v>1551765504220052</v>
      </c>
      <c r="C1666" t="s">
        <v>40</v>
      </c>
      <c r="D1666">
        <v>3.9036219999999999</v>
      </c>
      <c r="E1666">
        <v>0.49083130000000003</v>
      </c>
      <c r="F1666" t="s">
        <v>64</v>
      </c>
      <c r="G1666">
        <v>-440.6841</v>
      </c>
      <c r="H1666">
        <v>1.856841</v>
      </c>
      <c r="I1666">
        <v>268.88470000000001</v>
      </c>
      <c r="J1666">
        <v>-248.3604</v>
      </c>
      <c r="K1666">
        <v>1.1095870000000001</v>
      </c>
      <c r="L1666">
        <v>284.00029999999998</v>
      </c>
      <c r="M1666">
        <v>-0.99922200000000005</v>
      </c>
      <c r="N1666">
        <v>-4.0722359999999999E-3</v>
      </c>
      <c r="O1666">
        <v>3.922987E-2</v>
      </c>
      <c r="P1666">
        <v>-0.99185889999999999</v>
      </c>
      <c r="Q1666">
        <v>0.1124405</v>
      </c>
      <c r="R1666">
        <v>-5.9773109999999997E-2</v>
      </c>
      <c r="S1666">
        <v>-3.0089869999999999</v>
      </c>
      <c r="T1666">
        <v>1.1667250000000001E-2</v>
      </c>
      <c r="U1666">
        <v>-0.23568729999999999</v>
      </c>
      <c r="V1666">
        <v>-9.8967109999999997E-2</v>
      </c>
      <c r="W1666">
        <v>0.1161866</v>
      </c>
      <c r="X1666">
        <v>0.98828450000000001</v>
      </c>
      <c r="Y1666">
        <v>-0.1171377</v>
      </c>
      <c r="Z1666">
        <v>2.9926509999999998E-4</v>
      </c>
      <c r="AA1666">
        <v>0.99311570000000005</v>
      </c>
      <c r="AB1666">
        <v>46</v>
      </c>
      <c r="AC1666">
        <v>-192.3237</v>
      </c>
      <c r="AD1666">
        <v>0.74725399999999897</v>
      </c>
      <c r="AE1666">
        <v>-15.115599999999899</v>
      </c>
      <c r="AF1666">
        <v>-22.648519859506099</v>
      </c>
      <c r="AG1666">
        <v>0.74725399999999897</v>
      </c>
      <c r="AH1666">
        <v>191.57978688075499</v>
      </c>
      <c r="AI1666">
        <v>89.778065303731097</v>
      </c>
      <c r="AJ1666">
        <v>96.742201062664606</v>
      </c>
      <c r="AK1666">
        <v>192.915340451822</v>
      </c>
      <c r="AL1666">
        <v>83.327929183328607</v>
      </c>
      <c r="AM1666">
        <v>95.718552246175094</v>
      </c>
      <c r="AN1666">
        <v>1.00000003391078</v>
      </c>
    </row>
    <row r="1667" spans="1:40" x14ac:dyDescent="0.25">
      <c r="A1667" t="str">
        <f>"20190305135824257"</f>
        <v>20190305135824257</v>
      </c>
      <c r="B1667" t="str">
        <f>"1551765504250308"</f>
        <v>1551765504250308</v>
      </c>
      <c r="C1667" t="s">
        <v>40</v>
      </c>
      <c r="D1667">
        <v>3.9795289999999999</v>
      </c>
      <c r="E1667">
        <v>0.49096040000000002</v>
      </c>
      <c r="F1667" t="s">
        <v>64</v>
      </c>
      <c r="G1667">
        <v>-440.6841</v>
      </c>
      <c r="H1667">
        <v>1.869162</v>
      </c>
      <c r="I1667">
        <v>268.70510000000002</v>
      </c>
      <c r="J1667">
        <v>-248.81610000000001</v>
      </c>
      <c r="K1667">
        <v>1.1097919999999999</v>
      </c>
      <c r="L1667">
        <v>284.01729999999998</v>
      </c>
      <c r="M1667">
        <v>-0.99927869999999996</v>
      </c>
      <c r="N1667">
        <v>-4.1271349999999997E-3</v>
      </c>
      <c r="O1667">
        <v>3.7751310000000003E-2</v>
      </c>
      <c r="P1667">
        <v>-0.99158860000000004</v>
      </c>
      <c r="Q1667">
        <v>0.1146109</v>
      </c>
      <c r="R1667">
        <v>-6.0136670000000003E-2</v>
      </c>
      <c r="S1667">
        <v>-3.0088499999999998</v>
      </c>
      <c r="T1667">
        <v>1.18835E-2</v>
      </c>
      <c r="U1667">
        <v>-0.23928830000000001</v>
      </c>
      <c r="V1667">
        <v>-9.7919049999999994E-2</v>
      </c>
      <c r="W1667">
        <v>0.1183678</v>
      </c>
      <c r="X1667">
        <v>0.98812999999999995</v>
      </c>
      <c r="Y1667">
        <v>-0.116853</v>
      </c>
      <c r="Z1667">
        <v>2.9329760000000002E-4</v>
      </c>
      <c r="AA1667">
        <v>0.99314919999999995</v>
      </c>
      <c r="AB1667">
        <v>46</v>
      </c>
      <c r="AC1667">
        <v>-191.86799999999999</v>
      </c>
      <c r="AD1667">
        <v>0.75936999999999899</v>
      </c>
      <c r="AE1667">
        <v>-15.312199999999899</v>
      </c>
      <c r="AF1667">
        <v>-22.544263468772801</v>
      </c>
      <c r="AG1667">
        <v>0.75936999999999899</v>
      </c>
      <c r="AH1667">
        <v>191.15019178337801</v>
      </c>
      <c r="AI1667">
        <v>89.773952658151202</v>
      </c>
      <c r="AJ1667">
        <v>96.726394312412694</v>
      </c>
      <c r="AK1667">
        <v>192.47653435410899</v>
      </c>
      <c r="AL1667">
        <v>83.202086876492402</v>
      </c>
      <c r="AM1667">
        <v>95.659266928366193</v>
      </c>
      <c r="AN1667">
        <v>0.999999986664871</v>
      </c>
    </row>
    <row r="1668" spans="1:40" x14ac:dyDescent="0.25">
      <c r="A1668" t="str">
        <f>"20190305135824279"</f>
        <v>20190305135824279</v>
      </c>
      <c r="B1668" t="str">
        <f>"1551765504270804"</f>
        <v>1551765504270804</v>
      </c>
      <c r="C1668" t="s">
        <v>40</v>
      </c>
      <c r="D1668">
        <v>3.905246</v>
      </c>
      <c r="E1668">
        <v>0.47537020000000002</v>
      </c>
      <c r="F1668" t="s">
        <v>64</v>
      </c>
      <c r="G1668">
        <v>-440.6841</v>
      </c>
      <c r="H1668">
        <v>2.2063950000000001</v>
      </c>
      <c r="I1668">
        <v>268.74130000000002</v>
      </c>
      <c r="J1668">
        <v>-249.27289999999999</v>
      </c>
      <c r="K1668">
        <v>1.110031</v>
      </c>
      <c r="L1668">
        <v>284.03359999999998</v>
      </c>
      <c r="M1668">
        <v>-0.99934279999999998</v>
      </c>
      <c r="N1668">
        <v>-4.1837970000000004E-3</v>
      </c>
      <c r="O1668">
        <v>3.6008859999999997E-2</v>
      </c>
      <c r="P1668">
        <v>-0.99101620000000001</v>
      </c>
      <c r="Q1668">
        <v>0.1191276</v>
      </c>
      <c r="R1668">
        <v>-6.0792690000000003E-2</v>
      </c>
      <c r="S1668">
        <v>-3.0089419999999998</v>
      </c>
      <c r="T1668">
        <v>1.7197489999999999E-2</v>
      </c>
      <c r="U1668">
        <v>-0.239563</v>
      </c>
      <c r="V1668">
        <v>-9.691168E-2</v>
      </c>
      <c r="W1668">
        <v>0.12288930000000001</v>
      </c>
      <c r="X1668">
        <v>0.98767729999999998</v>
      </c>
      <c r="Y1668">
        <v>-0.1152078</v>
      </c>
      <c r="Z1668">
        <v>4.4323030000000002E-4</v>
      </c>
      <c r="AA1668">
        <v>0.99334129999999998</v>
      </c>
      <c r="AB1668">
        <v>46</v>
      </c>
      <c r="AC1668">
        <v>-191.41120000000001</v>
      </c>
      <c r="AD1668">
        <v>1.0963639999999999</v>
      </c>
      <c r="AE1668">
        <v>-15.2922999999999</v>
      </c>
      <c r="AF1668">
        <v>-22.1742182817718</v>
      </c>
      <c r="AG1668">
        <v>1.0963639999999999</v>
      </c>
      <c r="AH1668">
        <v>190.73018129764199</v>
      </c>
      <c r="AI1668">
        <v>89.6728568061245</v>
      </c>
      <c r="AJ1668">
        <v>96.631415054454493</v>
      </c>
      <c r="AK1668">
        <v>192.01796798284099</v>
      </c>
      <c r="AL1668">
        <v>82.9411185626129</v>
      </c>
      <c r="AM1668">
        <v>95.603968843453004</v>
      </c>
      <c r="AN1668">
        <v>1.00000005135509</v>
      </c>
    </row>
    <row r="1669" spans="1:40" x14ac:dyDescent="0.25">
      <c r="A1669" t="str">
        <f>"20190305135824303"</f>
        <v>20190305135824303</v>
      </c>
      <c r="B1669" t="str">
        <f>"1551765504290324"</f>
        <v>1551765504290324</v>
      </c>
      <c r="C1669" t="s">
        <v>40</v>
      </c>
      <c r="D1669">
        <v>3.9215019999999998</v>
      </c>
      <c r="E1669">
        <v>0.47155619999999998</v>
      </c>
      <c r="F1669" t="s">
        <v>61</v>
      </c>
      <c r="G1669">
        <v>-307.43860000000001</v>
      </c>
      <c r="H1669" s="1">
        <v>3.7645449999999999E-6</v>
      </c>
      <c r="I1669">
        <v>277.03969999999998</v>
      </c>
      <c r="J1669">
        <v>-249.7492</v>
      </c>
      <c r="K1669">
        <v>1.1102890000000001</v>
      </c>
      <c r="L1669">
        <v>284.04950000000002</v>
      </c>
      <c r="M1669">
        <v>-0.99941619999999998</v>
      </c>
      <c r="N1669">
        <v>-4.2443569999999998E-3</v>
      </c>
      <c r="O1669">
        <v>3.3901430000000003E-2</v>
      </c>
      <c r="P1669">
        <v>-0.99066929999999997</v>
      </c>
      <c r="Q1669">
        <v>0.1216747</v>
      </c>
      <c r="R1669">
        <v>-6.1396079999999999E-2</v>
      </c>
      <c r="S1669">
        <v>-3.0119020000000001</v>
      </c>
      <c r="T1669">
        <v>-5.7478790000000002E-2</v>
      </c>
      <c r="U1669">
        <v>-0.36215209999999998</v>
      </c>
      <c r="V1669">
        <v>-9.5507030000000007E-2</v>
      </c>
      <c r="W1669">
        <v>0.12544240000000001</v>
      </c>
      <c r="X1669">
        <v>0.98749310000000001</v>
      </c>
      <c r="Y1669">
        <v>-0.15293380000000001</v>
      </c>
      <c r="Z1669">
        <v>-2.2811870000000001E-3</v>
      </c>
      <c r="AA1669">
        <v>0.98823380000000005</v>
      </c>
      <c r="AB1669">
        <v>46</v>
      </c>
      <c r="AC1669">
        <v>-57.689399999999999</v>
      </c>
      <c r="AD1669">
        <v>-1.1102852354549999</v>
      </c>
      <c r="AE1669">
        <v>-7.0098000000000402</v>
      </c>
      <c r="AF1669">
        <v>-8.9582713630404598</v>
      </c>
      <c r="AG1669">
        <v>-1.1102852354549999</v>
      </c>
      <c r="AH1669">
        <v>57.397643028465602</v>
      </c>
      <c r="AI1669">
        <v>91.0949244719192</v>
      </c>
      <c r="AJ1669">
        <v>98.870806993326696</v>
      </c>
      <c r="AK1669">
        <v>58.1031219844606</v>
      </c>
      <c r="AL1669">
        <v>82.793695507368795</v>
      </c>
      <c r="AM1669">
        <v>95.524274036351699</v>
      </c>
      <c r="AN1669">
        <v>1.0000000055223901</v>
      </c>
    </row>
    <row r="1670" spans="1:40" x14ac:dyDescent="0.25">
      <c r="A1670" t="str">
        <f>"20190305135824325"</f>
        <v>20190305135824325</v>
      </c>
      <c r="B1670" t="str">
        <f>"1551765504320581"</f>
        <v>1551765504320581</v>
      </c>
      <c r="C1670" t="s">
        <v>40</v>
      </c>
      <c r="D1670">
        <v>3.8869590000000001</v>
      </c>
      <c r="E1670">
        <v>0.47028399999999998</v>
      </c>
      <c r="F1670" t="s">
        <v>61</v>
      </c>
      <c r="G1670">
        <v>-307.47129999999999</v>
      </c>
      <c r="H1670" s="1">
        <v>3.9032049999999997E-6</v>
      </c>
      <c r="I1670">
        <v>276.4941</v>
      </c>
      <c r="J1670">
        <v>-250.21600000000001</v>
      </c>
      <c r="K1670">
        <v>1.1105240000000001</v>
      </c>
      <c r="L1670">
        <v>284.06389999999999</v>
      </c>
      <c r="M1670">
        <v>-0.99949100000000002</v>
      </c>
      <c r="N1670">
        <v>-4.3033500000000001E-3</v>
      </c>
      <c r="O1670">
        <v>3.1609669999999999E-2</v>
      </c>
      <c r="P1670">
        <v>-0.9907494</v>
      </c>
      <c r="Q1670">
        <v>0.12076679999999999</v>
      </c>
      <c r="R1670">
        <v>-6.189389E-2</v>
      </c>
      <c r="S1670">
        <v>-3.0109249999999999</v>
      </c>
      <c r="T1670">
        <v>-5.7915210000000002E-2</v>
      </c>
      <c r="U1670">
        <v>-0.39410400000000001</v>
      </c>
      <c r="V1670">
        <v>-9.3810169999999998E-2</v>
      </c>
      <c r="W1670">
        <v>0.1245468</v>
      </c>
      <c r="X1670">
        <v>0.98776909999999896</v>
      </c>
      <c r="Y1670">
        <v>-0.16102259999999999</v>
      </c>
      <c r="Z1670">
        <v>-2.360123E-3</v>
      </c>
      <c r="AA1670">
        <v>0.98694789999999999</v>
      </c>
      <c r="AB1670">
        <v>46</v>
      </c>
      <c r="AC1670">
        <v>-57.255299999999998</v>
      </c>
      <c r="AD1670">
        <v>-1.110520096795</v>
      </c>
      <c r="AE1670">
        <v>-7.5697999999999803</v>
      </c>
      <c r="AF1670">
        <v>-9.3723898231992901</v>
      </c>
      <c r="AG1670">
        <v>-1.110520096795</v>
      </c>
      <c r="AH1670">
        <v>56.966344596047499</v>
      </c>
      <c r="AI1670">
        <v>91.101989467523197</v>
      </c>
      <c r="AJ1670">
        <v>99.3428908233832</v>
      </c>
      <c r="AK1670">
        <v>57.742872828765897</v>
      </c>
      <c r="AL1670">
        <v>82.845415358930396</v>
      </c>
      <c r="AM1670">
        <v>95.4252089393446</v>
      </c>
      <c r="AN1670">
        <v>1.00000002415023</v>
      </c>
    </row>
    <row r="1671" spans="1:40" x14ac:dyDescent="0.25">
      <c r="A1671" t="str">
        <f>"20190305135824346"</f>
        <v>20190305135824346</v>
      </c>
      <c r="B1671" t="str">
        <f>"1551765504340100"</f>
        <v>1551765504340100</v>
      </c>
      <c r="C1671" t="s">
        <v>40</v>
      </c>
      <c r="D1671">
        <v>3.9546649999999999</v>
      </c>
      <c r="E1671">
        <v>0.46989189999999997</v>
      </c>
      <c r="F1671" t="s">
        <v>61</v>
      </c>
      <c r="G1671">
        <v>-301.08890000000002</v>
      </c>
      <c r="H1671" s="1">
        <v>5.0091500000000001E-6</v>
      </c>
      <c r="I1671">
        <v>277.2097</v>
      </c>
      <c r="J1671">
        <v>-250.67359999999999</v>
      </c>
      <c r="K1671">
        <v>1.1107450000000001</v>
      </c>
      <c r="L1671">
        <v>284.077</v>
      </c>
      <c r="M1671">
        <v>-0.99956480000000003</v>
      </c>
      <c r="N1671">
        <v>-4.359707E-3</v>
      </c>
      <c r="O1671">
        <v>2.917237E-2</v>
      </c>
      <c r="P1671">
        <v>-0.99088869999999896</v>
      </c>
      <c r="Q1671">
        <v>0.1189327</v>
      </c>
      <c r="R1671">
        <v>-6.3201800000000002E-2</v>
      </c>
      <c r="S1671">
        <v>-3.0106959999999998</v>
      </c>
      <c r="T1671">
        <v>-6.5721390000000005E-2</v>
      </c>
      <c r="U1671">
        <v>-0.40563959999999999</v>
      </c>
      <c r="V1671">
        <v>-9.2769699999999997E-2</v>
      </c>
      <c r="W1671">
        <v>0.1227246</v>
      </c>
      <c r="X1671">
        <v>0.98809530000000001</v>
      </c>
      <c r="Y1671">
        <v>-0.1623309</v>
      </c>
      <c r="Z1671">
        <v>-2.6266760000000001E-3</v>
      </c>
      <c r="AA1671">
        <v>0.98673290000000002</v>
      </c>
      <c r="AB1671">
        <v>46</v>
      </c>
      <c r="AC1671">
        <v>-50.415300000000002</v>
      </c>
      <c r="AD1671">
        <v>-1.11073999085</v>
      </c>
      <c r="AE1671">
        <v>-6.8673000000000002</v>
      </c>
      <c r="AF1671">
        <v>-8.3311548054049904</v>
      </c>
      <c r="AG1671">
        <v>-1.11073999085</v>
      </c>
      <c r="AH1671">
        <v>50.169596560715</v>
      </c>
      <c r="AI1671">
        <v>91.251176110428304</v>
      </c>
      <c r="AJ1671">
        <v>99.428489554093403</v>
      </c>
      <c r="AK1671">
        <v>50.868755663804102</v>
      </c>
      <c r="AL1671">
        <v>82.950626314973803</v>
      </c>
      <c r="AM1671">
        <v>95.363628871219007</v>
      </c>
      <c r="AN1671">
        <v>0.99999993328266701</v>
      </c>
    </row>
    <row r="1672" spans="1:40" x14ac:dyDescent="0.25">
      <c r="A1672" t="str">
        <f>"20190305135824369"</f>
        <v>20190305135824369</v>
      </c>
      <c r="B1672" t="str">
        <f>"1551765504360596"</f>
        <v>1551765504360596</v>
      </c>
      <c r="C1672" t="s">
        <v>40</v>
      </c>
      <c r="D1672">
        <v>3.9272140000000002</v>
      </c>
      <c r="E1672">
        <v>0.46965059999999897</v>
      </c>
      <c r="F1672" t="s">
        <v>61</v>
      </c>
      <c r="G1672">
        <v>-295.17880000000002</v>
      </c>
      <c r="H1672" s="1">
        <v>4.1385619999999999E-6</v>
      </c>
      <c r="I1672">
        <v>277.98390000000001</v>
      </c>
      <c r="J1672">
        <v>-251.1283</v>
      </c>
      <c r="K1672">
        <v>1.1109560000000001</v>
      </c>
      <c r="L1672">
        <v>284.08890000000002</v>
      </c>
      <c r="M1672">
        <v>-0.99963650000000004</v>
      </c>
      <c r="N1672">
        <v>-4.4134650000000001E-3</v>
      </c>
      <c r="O1672">
        <v>2.6599020000000001E-2</v>
      </c>
      <c r="P1672">
        <v>-0.99083310000000002</v>
      </c>
      <c r="Q1672">
        <v>0.11857620000000001</v>
      </c>
      <c r="R1672">
        <v>-6.4730579999999996E-2</v>
      </c>
      <c r="S1672">
        <v>-3.0103300000000002</v>
      </c>
      <c r="T1672">
        <v>-7.5130459999999996E-2</v>
      </c>
      <c r="U1672">
        <v>-0.4121399</v>
      </c>
      <c r="V1672">
        <v>-9.1809589999999996E-2</v>
      </c>
      <c r="W1672">
        <v>0.122382</v>
      </c>
      <c r="X1672">
        <v>0.98822750000000004</v>
      </c>
      <c r="Y1672">
        <v>-0.16188469999999999</v>
      </c>
      <c r="Z1672">
        <v>-2.9135089999999999E-3</v>
      </c>
      <c r="AA1672">
        <v>0.98680540000000005</v>
      </c>
      <c r="AB1672">
        <v>47</v>
      </c>
      <c r="AC1672">
        <v>-44.0505</v>
      </c>
      <c r="AD1672">
        <v>-1.1109518614380001</v>
      </c>
      <c r="AE1672">
        <v>-6.1050000000000102</v>
      </c>
      <c r="AF1672">
        <v>-7.2700144572355896</v>
      </c>
      <c r="AG1672">
        <v>-1.1109518614380001</v>
      </c>
      <c r="AH1672">
        <v>43.845163310377302</v>
      </c>
      <c r="AI1672">
        <v>91.431911733616204</v>
      </c>
      <c r="AJ1672">
        <v>99.414619733574298</v>
      </c>
      <c r="AK1672">
        <v>44.457684037301199</v>
      </c>
      <c r="AL1672">
        <v>82.970405225447394</v>
      </c>
      <c r="AM1672">
        <v>95.307731257285297</v>
      </c>
      <c r="AN1672">
        <v>0.99999997324810797</v>
      </c>
    </row>
    <row r="1673" spans="1:40" x14ac:dyDescent="0.25">
      <c r="A1673" t="str">
        <f>"20190305135824391"</f>
        <v>20190305135824391</v>
      </c>
      <c r="B1673" t="str">
        <f>"1551765504380116"</f>
        <v>1551765504380116</v>
      </c>
      <c r="C1673" t="s">
        <v>40</v>
      </c>
      <c r="D1673">
        <v>3.9499379999999999</v>
      </c>
      <c r="E1673">
        <v>0.4693988</v>
      </c>
      <c r="F1673" t="s">
        <v>61</v>
      </c>
      <c r="G1673">
        <v>-292.53440000000001</v>
      </c>
      <c r="H1673" s="1">
        <v>3.5447039999999998E-6</v>
      </c>
      <c r="I1673">
        <v>278.33690000000001</v>
      </c>
      <c r="J1673">
        <v>-251.6189</v>
      </c>
      <c r="K1673">
        <v>1.1111610000000001</v>
      </c>
      <c r="L1673">
        <v>284.1003</v>
      </c>
      <c r="M1673">
        <v>-0.99970919999999996</v>
      </c>
      <c r="N1673">
        <v>-4.4688250000000001E-3</v>
      </c>
      <c r="O1673">
        <v>2.3698440000000001E-2</v>
      </c>
      <c r="P1673">
        <v>-0.99047099999999999</v>
      </c>
      <c r="Q1673">
        <v>0.1203688</v>
      </c>
      <c r="R1673">
        <v>-6.6923930000000006E-2</v>
      </c>
      <c r="S1673">
        <v>-3.0101010000000001</v>
      </c>
      <c r="T1673">
        <v>-8.0762979999999998E-2</v>
      </c>
      <c r="U1673">
        <v>-0.41815190000000002</v>
      </c>
      <c r="V1673">
        <v>-9.1194709999999998E-2</v>
      </c>
      <c r="W1673">
        <v>0.1241901</v>
      </c>
      <c r="X1673">
        <v>0.98805889999999996</v>
      </c>
      <c r="Y1673">
        <v>-0.16095719999999999</v>
      </c>
      <c r="Z1673">
        <v>-3.037596E-3</v>
      </c>
      <c r="AA1673">
        <v>0.98695670000000002</v>
      </c>
      <c r="AB1673">
        <v>47</v>
      </c>
      <c r="AC1673">
        <v>-40.915500000000002</v>
      </c>
      <c r="AD1673">
        <v>-1.111157455296</v>
      </c>
      <c r="AE1673">
        <v>-5.7633999999999901</v>
      </c>
      <c r="AF1673">
        <v>-6.7265600292863796</v>
      </c>
      <c r="AG1673">
        <v>-1.111157455296</v>
      </c>
      <c r="AH1673">
        <v>40.737963182586398</v>
      </c>
      <c r="AI1673">
        <v>91.541534010989196</v>
      </c>
      <c r="AJ1673">
        <v>99.375951659745198</v>
      </c>
      <c r="AK1673">
        <v>41.304514583563602</v>
      </c>
      <c r="AL1673">
        <v>82.866012670050694</v>
      </c>
      <c r="AM1673">
        <v>95.273279176936697</v>
      </c>
      <c r="AN1673">
        <v>1.0000000229696</v>
      </c>
    </row>
    <row r="1674" spans="1:40" x14ac:dyDescent="0.25">
      <c r="A1674" t="str">
        <f>"20190305135824414"</f>
        <v>20190305135824414</v>
      </c>
      <c r="B1674" t="str">
        <f>"1551765504400612"</f>
        <v>1551765504400612</v>
      </c>
      <c r="C1674" t="s">
        <v>40</v>
      </c>
      <c r="D1674">
        <v>3.9502660000000001</v>
      </c>
      <c r="E1674">
        <v>0.4691207</v>
      </c>
      <c r="F1674" t="s">
        <v>61</v>
      </c>
      <c r="G1674">
        <v>-295.03530000000001</v>
      </c>
      <c r="H1674" s="1">
        <v>4.1262800000000001E-6</v>
      </c>
      <c r="I1674">
        <v>277.94659999999999</v>
      </c>
      <c r="J1674">
        <v>-252.065</v>
      </c>
      <c r="K1674">
        <v>1.111345</v>
      </c>
      <c r="L1674">
        <v>284.1096</v>
      </c>
      <c r="M1674">
        <v>-0.99976920000000002</v>
      </c>
      <c r="N1674">
        <v>-4.5531629999999998E-3</v>
      </c>
      <c r="O1674">
        <v>2.099842E-2</v>
      </c>
      <c r="P1674">
        <v>-0.99001320000000004</v>
      </c>
      <c r="Q1674">
        <v>0.12312819999999999</v>
      </c>
      <c r="R1674">
        <v>-6.8653409999999998E-2</v>
      </c>
      <c r="S1674">
        <v>-3.0093990000000002</v>
      </c>
      <c r="T1674">
        <v>-7.7019690000000002E-2</v>
      </c>
      <c r="U1674">
        <v>-0.42654419999999998</v>
      </c>
      <c r="V1674">
        <v>-9.0311340000000004E-2</v>
      </c>
      <c r="W1674">
        <v>0.12700339999999999</v>
      </c>
      <c r="X1674">
        <v>0.98778239999999995</v>
      </c>
      <c r="Y1674">
        <v>-0.16102900000000001</v>
      </c>
      <c r="Z1674">
        <v>-2.858256E-3</v>
      </c>
      <c r="AA1674">
        <v>0.98694559999999998</v>
      </c>
      <c r="AB1674">
        <v>47</v>
      </c>
      <c r="AC1674">
        <v>-42.970300000000002</v>
      </c>
      <c r="AD1674">
        <v>-1.1113408737199999</v>
      </c>
      <c r="AE1674">
        <v>-6.16300000000001</v>
      </c>
      <c r="AF1674">
        <v>-7.0593320172692602</v>
      </c>
      <c r="AG1674">
        <v>-1.1113408737199999</v>
      </c>
      <c r="AH1674">
        <v>42.803356782174703</v>
      </c>
      <c r="AI1674">
        <v>91.467471150594207</v>
      </c>
      <c r="AJ1674">
        <v>99.365186636378198</v>
      </c>
      <c r="AK1674">
        <v>43.395813149309497</v>
      </c>
      <c r="AL1674">
        <v>82.703535901238496</v>
      </c>
      <c r="AM1674">
        <v>95.223936453124296</v>
      </c>
      <c r="AN1674">
        <v>1.0000000357469501</v>
      </c>
    </row>
    <row r="1675" spans="1:40" x14ac:dyDescent="0.25">
      <c r="A1675" t="str">
        <f>"20190305135824435"</f>
        <v>20190305135824435</v>
      </c>
      <c r="B1675" t="str">
        <f>"1551765504430869"</f>
        <v>1551765504430869</v>
      </c>
      <c r="C1675" t="s">
        <v>40</v>
      </c>
      <c r="D1675">
        <v>3.9299689999999998</v>
      </c>
      <c r="E1675">
        <v>0.4687597</v>
      </c>
      <c r="F1675" t="s">
        <v>61</v>
      </c>
      <c r="G1675">
        <v>-300.43549999999999</v>
      </c>
      <c r="H1675" s="1">
        <v>5.1830570000000003E-6</v>
      </c>
      <c r="I1675">
        <v>277.12759999999997</v>
      </c>
      <c r="J1675">
        <v>-252.5231</v>
      </c>
      <c r="K1675">
        <v>1.111529</v>
      </c>
      <c r="L1675">
        <v>284.11790000000002</v>
      </c>
      <c r="M1675">
        <v>-0.99982260000000001</v>
      </c>
      <c r="N1675">
        <v>-4.7466000000000001E-3</v>
      </c>
      <c r="O1675">
        <v>1.8230240000000002E-2</v>
      </c>
      <c r="P1675">
        <v>-0.98955890000000002</v>
      </c>
      <c r="Q1675">
        <v>0.12569739999999999</v>
      </c>
      <c r="R1675">
        <v>-7.0521230000000004E-2</v>
      </c>
      <c r="S1675">
        <v>-3.0087280000000001</v>
      </c>
      <c r="T1675">
        <v>-6.9127320000000006E-2</v>
      </c>
      <c r="U1675">
        <v>-0.43429570000000001</v>
      </c>
      <c r="V1675">
        <v>-8.9496569999999998E-2</v>
      </c>
      <c r="W1675">
        <v>0.1297381</v>
      </c>
      <c r="X1675">
        <v>0.98750110000000002</v>
      </c>
      <c r="Y1675">
        <v>-0.160831</v>
      </c>
      <c r="Z1675">
        <v>-2.5522650000000002E-3</v>
      </c>
      <c r="AA1675">
        <v>0.98697869999999999</v>
      </c>
      <c r="AB1675">
        <v>47</v>
      </c>
      <c r="AC1675">
        <v>-47.912399999999899</v>
      </c>
      <c r="AD1675">
        <v>-1.111523816943</v>
      </c>
      <c r="AE1675">
        <v>-6.9903000000000404</v>
      </c>
      <c r="AF1675">
        <v>-7.8584613856896697</v>
      </c>
      <c r="AG1675">
        <v>-1.111523816943</v>
      </c>
      <c r="AH1675">
        <v>47.751836969539397</v>
      </c>
      <c r="AI1675">
        <v>91.315746505984094</v>
      </c>
      <c r="AJ1675">
        <v>99.345330973350698</v>
      </c>
      <c r="AK1675">
        <v>48.4069089543164</v>
      </c>
      <c r="AL1675">
        <v>82.5455417394177</v>
      </c>
      <c r="AM1675">
        <v>95.178531172950599</v>
      </c>
      <c r="AN1675">
        <v>1.00000001656729</v>
      </c>
    </row>
    <row r="1676" spans="1:40" x14ac:dyDescent="0.25">
      <c r="A1676" t="str">
        <f>"20190305135824457"</f>
        <v>20190305135824457</v>
      </c>
      <c r="B1676" t="str">
        <f>"1551765504450389"</f>
        <v>1551765504450389</v>
      </c>
      <c r="C1676" t="s">
        <v>40</v>
      </c>
      <c r="D1676">
        <v>3.9467249999999998</v>
      </c>
      <c r="E1676">
        <v>0.46863650000000001</v>
      </c>
      <c r="F1676" t="s">
        <v>61</v>
      </c>
      <c r="G1676">
        <v>-306.25110000000001</v>
      </c>
      <c r="H1676" s="1">
        <v>4.2198010000000001E-6</v>
      </c>
      <c r="I1676">
        <v>276.2047</v>
      </c>
      <c r="J1676">
        <v>-252.97550000000001</v>
      </c>
      <c r="K1676">
        <v>1.111718</v>
      </c>
      <c r="L1676">
        <v>284.12479999999999</v>
      </c>
      <c r="M1676">
        <v>-0.99986589999999997</v>
      </c>
      <c r="N1676">
        <v>-5.108324E-3</v>
      </c>
      <c r="O1676">
        <v>1.555777E-2</v>
      </c>
      <c r="P1676">
        <v>-0.98926610000000004</v>
      </c>
      <c r="Q1676">
        <v>0.1266573</v>
      </c>
      <c r="R1676">
        <v>-7.287399E-2</v>
      </c>
      <c r="S1676">
        <v>-3.0079959999999999</v>
      </c>
      <c r="T1676">
        <v>-6.2229390000000002E-2</v>
      </c>
      <c r="U1676">
        <v>-0.44302370000000002</v>
      </c>
      <c r="V1676">
        <v>-8.9246710000000007E-2</v>
      </c>
      <c r="W1676">
        <v>0.1310335</v>
      </c>
      <c r="X1676">
        <v>0.98735269999999997</v>
      </c>
      <c r="Y1676">
        <v>-0.161040299999999</v>
      </c>
      <c r="Z1676">
        <v>-2.3114350000000001E-3</v>
      </c>
      <c r="AA1676">
        <v>0.98694510000000002</v>
      </c>
      <c r="AB1676">
        <v>47</v>
      </c>
      <c r="AC1676">
        <v>-53.275599999999997</v>
      </c>
      <c r="AD1676">
        <v>-1.111713780199</v>
      </c>
      <c r="AE1676">
        <v>-7.9200999999999899</v>
      </c>
      <c r="AF1676">
        <v>-8.7442764885439495</v>
      </c>
      <c r="AG1676">
        <v>-1.111713780199</v>
      </c>
      <c r="AH1676">
        <v>53.1232993298742</v>
      </c>
      <c r="AI1676">
        <v>91.182942705528902</v>
      </c>
      <c r="AJ1676">
        <v>99.347263272966401</v>
      </c>
      <c r="AK1676">
        <v>53.849635194016003</v>
      </c>
      <c r="AL1676">
        <v>82.470682009264394</v>
      </c>
      <c r="AM1676">
        <v>95.164923808205998</v>
      </c>
      <c r="AN1676">
        <v>1.0000000537826801</v>
      </c>
    </row>
    <row r="1677" spans="1:40" x14ac:dyDescent="0.25">
      <c r="A1677" t="str">
        <f>"20190305135824480"</f>
        <v>20190305135824480</v>
      </c>
      <c r="B1677" t="str">
        <f>"1551765504470884"</f>
        <v>1551765504470884</v>
      </c>
      <c r="C1677" t="s">
        <v>40</v>
      </c>
      <c r="D1677">
        <v>3.9363579999999998</v>
      </c>
      <c r="E1677">
        <v>0.46842620000000001</v>
      </c>
      <c r="F1677" t="s">
        <v>61</v>
      </c>
      <c r="G1677">
        <v>-307.62180000000001</v>
      </c>
      <c r="H1677" s="1">
        <v>4.0290389999999999E-6</v>
      </c>
      <c r="I1677">
        <v>275.91820000000001</v>
      </c>
      <c r="J1677">
        <v>-253.46799999999999</v>
      </c>
      <c r="K1677">
        <v>1.1119239999999999</v>
      </c>
      <c r="L1677">
        <v>284.13099999999997</v>
      </c>
      <c r="M1677">
        <v>-0.99990190000000001</v>
      </c>
      <c r="N1677">
        <v>-5.7600999999999998E-3</v>
      </c>
      <c r="O1677">
        <v>1.27741E-2</v>
      </c>
      <c r="P1677">
        <v>-0.98903920000000001</v>
      </c>
      <c r="Q1677">
        <v>0.12672719999999901</v>
      </c>
      <c r="R1677">
        <v>-7.5775209999999996E-2</v>
      </c>
      <c r="S1677">
        <v>-3.0070950000000001</v>
      </c>
      <c r="T1677">
        <v>-6.1175819999999999E-2</v>
      </c>
      <c r="U1677">
        <v>-0.45159909999999998</v>
      </c>
      <c r="V1677">
        <v>-8.9421529999999999E-2</v>
      </c>
      <c r="W1677">
        <v>0.13173070000000001</v>
      </c>
      <c r="X1677">
        <v>0.98724409999999896</v>
      </c>
      <c r="Y1677">
        <v>-0.1610896</v>
      </c>
      <c r="Z1677">
        <v>-2.281192E-3</v>
      </c>
      <c r="AA1677">
        <v>0.98693719999999996</v>
      </c>
      <c r="AB1677">
        <v>47</v>
      </c>
      <c r="AC1677">
        <v>-54.153799999999997</v>
      </c>
      <c r="AD1677">
        <v>-1.1119199709609999</v>
      </c>
      <c r="AE1677">
        <v>-8.2127999999999499</v>
      </c>
      <c r="AF1677">
        <v>-8.9002394716405</v>
      </c>
      <c r="AG1677">
        <v>-1.1119199709609999</v>
      </c>
      <c r="AH1677">
        <v>54.022205353932002</v>
      </c>
      <c r="AI1677">
        <v>91.163452583696795</v>
      </c>
      <c r="AJ1677">
        <v>99.355524008065601</v>
      </c>
      <c r="AK1677">
        <v>54.761750337044198</v>
      </c>
      <c r="AL1677">
        <v>82.430386072706398</v>
      </c>
      <c r="AM1677">
        <v>95.175552359531295</v>
      </c>
      <c r="AN1677">
        <v>1.00000005016741</v>
      </c>
    </row>
    <row r="1678" spans="1:40" x14ac:dyDescent="0.25">
      <c r="A1678" t="str">
        <f>"20190305135824503"</f>
        <v>20190305135824503</v>
      </c>
      <c r="B1678" t="str">
        <f>"1551765504490404"</f>
        <v>1551765504490404</v>
      </c>
      <c r="C1678" t="s">
        <v>40</v>
      </c>
      <c r="D1678">
        <v>3.9379170000000001</v>
      </c>
      <c r="E1678">
        <v>0.4683755</v>
      </c>
      <c r="F1678" t="s">
        <v>61</v>
      </c>
      <c r="G1678">
        <v>-306.19659999999999</v>
      </c>
      <c r="H1678" s="1">
        <v>4.297242E-6</v>
      </c>
      <c r="I1678">
        <v>276.01979999999998</v>
      </c>
      <c r="J1678">
        <v>-253.94139999999999</v>
      </c>
      <c r="K1678">
        <v>1.1121080000000001</v>
      </c>
      <c r="L1678">
        <v>284.13560000000001</v>
      </c>
      <c r="M1678">
        <v>-0.99992579999999998</v>
      </c>
      <c r="N1678">
        <v>-6.5907989999999996E-3</v>
      </c>
      <c r="O1678">
        <v>1.024445E-2</v>
      </c>
      <c r="P1678">
        <v>-0.98887899999999995</v>
      </c>
      <c r="Q1678">
        <v>0.12617509999999901</v>
      </c>
      <c r="R1678">
        <v>-7.8727999999999895E-2</v>
      </c>
      <c r="S1678">
        <v>-3.005951</v>
      </c>
      <c r="T1678">
        <v>-6.3388230000000004E-2</v>
      </c>
      <c r="U1678">
        <v>-0.46240229999999999</v>
      </c>
      <c r="V1678">
        <v>-8.9877810000000002E-2</v>
      </c>
      <c r="W1678">
        <v>0.1319931</v>
      </c>
      <c r="X1678">
        <v>0.98716760000000003</v>
      </c>
      <c r="Y1678">
        <v>-0.1621107</v>
      </c>
      <c r="Z1678">
        <v>-2.3841829999999998E-3</v>
      </c>
      <c r="AA1678">
        <v>0.98676969999999997</v>
      </c>
      <c r="AB1678">
        <v>47</v>
      </c>
      <c r="AC1678">
        <v>-52.255200000000002</v>
      </c>
      <c r="AD1678">
        <v>-1.1121037027580001</v>
      </c>
      <c r="AE1678">
        <v>-8.1158000000000303</v>
      </c>
      <c r="AF1678">
        <v>-8.6468873179423706</v>
      </c>
      <c r="AG1678">
        <v>-1.1121037027580001</v>
      </c>
      <c r="AH1678">
        <v>52.146251706803596</v>
      </c>
      <c r="AI1678">
        <v>91.205287443537202</v>
      </c>
      <c r="AJ1678">
        <v>99.415111976245399</v>
      </c>
      <c r="AK1678">
        <v>52.870000964669998</v>
      </c>
      <c r="AL1678">
        <v>82.415219108452604</v>
      </c>
      <c r="AM1678">
        <v>95.2022173862145</v>
      </c>
      <c r="AN1678">
        <v>1.00000003483388</v>
      </c>
    </row>
    <row r="1679" spans="1:40" x14ac:dyDescent="0.25">
      <c r="A1679" t="str">
        <f>"20190305135824537"</f>
        <v>20190305135824537</v>
      </c>
      <c r="B1679" t="str">
        <f>"1551765504530420"</f>
        <v>1551765504530420</v>
      </c>
      <c r="C1679" t="s">
        <v>40</v>
      </c>
      <c r="D1679">
        <v>3.91621</v>
      </c>
      <c r="E1679">
        <v>0.46831729999999999</v>
      </c>
      <c r="F1679" t="s">
        <v>61</v>
      </c>
      <c r="G1679">
        <v>-305.08150000000001</v>
      </c>
      <c r="H1679" s="1">
        <v>4.5123339999999996E-6</v>
      </c>
      <c r="I1679">
        <v>276.11079999999998</v>
      </c>
      <c r="J1679">
        <v>-254.6593</v>
      </c>
      <c r="K1679">
        <v>1.1122719999999999</v>
      </c>
      <c r="L1679">
        <v>284.1404</v>
      </c>
      <c r="M1679">
        <v>-0.99994769999999999</v>
      </c>
      <c r="N1679">
        <v>-7.8418440000000006E-3</v>
      </c>
      <c r="O1679">
        <v>6.5858000000000002E-3</v>
      </c>
      <c r="P1679">
        <v>-0.98865250000000005</v>
      </c>
      <c r="Q1679">
        <v>0.1248431</v>
      </c>
      <c r="R1679">
        <v>-8.354955E-2</v>
      </c>
      <c r="S1679">
        <v>-3.0045320000000002</v>
      </c>
      <c r="T1679">
        <v>-6.5337179999999995E-2</v>
      </c>
      <c r="U1679">
        <v>-0.4714661</v>
      </c>
      <c r="V1679">
        <v>-9.1067469999999998E-2</v>
      </c>
      <c r="W1679">
        <v>0.13189709999999999</v>
      </c>
      <c r="X1679">
        <v>0.98707129999999998</v>
      </c>
      <c r="Y1679">
        <v>-0.1614727</v>
      </c>
      <c r="Z1679">
        <v>-2.472938E-3</v>
      </c>
      <c r="AA1679">
        <v>0.98687409999999998</v>
      </c>
      <c r="AB1679">
        <v>47</v>
      </c>
      <c r="AC1679">
        <v>-50.422199999999997</v>
      </c>
      <c r="AD1679">
        <v>-1.1122674876659999</v>
      </c>
      <c r="AE1679">
        <v>-8.0296000000000092</v>
      </c>
      <c r="AF1679">
        <v>-8.3575403220625102</v>
      </c>
      <c r="AG1679">
        <v>-1.1122674876659999</v>
      </c>
      <c r="AH1679">
        <v>50.3443316674634</v>
      </c>
      <c r="AI1679">
        <v>91.248559554146098</v>
      </c>
      <c r="AJ1679">
        <v>99.425575637980103</v>
      </c>
      <c r="AK1679">
        <v>51.045443971451299</v>
      </c>
      <c r="AL1679">
        <v>82.420767295458205</v>
      </c>
      <c r="AM1679">
        <v>95.271202111662404</v>
      </c>
      <c r="AN1679">
        <v>0.99999994018214799</v>
      </c>
    </row>
    <row r="1680" spans="1:40" x14ac:dyDescent="0.25">
      <c r="A1680" t="str">
        <f>"20190305135824560"</f>
        <v>20190305135824560</v>
      </c>
      <c r="B1680" t="str">
        <f>"1551765504549941"</f>
        <v>1551765504549941</v>
      </c>
      <c r="C1680" t="s">
        <v>40</v>
      </c>
      <c r="D1680">
        <v>3.909179</v>
      </c>
      <c r="E1680">
        <v>0.46833200000000003</v>
      </c>
      <c r="F1680" t="s">
        <v>61</v>
      </c>
      <c r="G1680">
        <v>-301.47300000000001</v>
      </c>
      <c r="H1680" s="1">
        <v>5.1533630000000001E-6</v>
      </c>
      <c r="I1680">
        <v>276.56079999999997</v>
      </c>
      <c r="J1680">
        <v>-255.14259999999999</v>
      </c>
      <c r="K1680">
        <v>1.112295</v>
      </c>
      <c r="L1680">
        <v>284.1422</v>
      </c>
      <c r="M1680">
        <v>-0.99995400000000001</v>
      </c>
      <c r="N1680">
        <v>-8.5698919999999904E-3</v>
      </c>
      <c r="O1680">
        <v>4.3325129999999996E-3</v>
      </c>
      <c r="P1680">
        <v>-0.98832739999999997</v>
      </c>
      <c r="Q1680">
        <v>0.12531149999999999</v>
      </c>
      <c r="R1680">
        <v>-8.6639110000000005E-2</v>
      </c>
      <c r="S1680">
        <v>-3.00238</v>
      </c>
      <c r="T1680">
        <v>-7.1334839999999997E-2</v>
      </c>
      <c r="U1680">
        <v>-0.4861145</v>
      </c>
      <c r="V1680">
        <v>-9.1913949999999994E-2</v>
      </c>
      <c r="W1680">
        <v>0.13309289999999999</v>
      </c>
      <c r="X1680">
        <v>0.98683240000000005</v>
      </c>
      <c r="Y1680">
        <v>-0.16404160000000001</v>
      </c>
      <c r="Z1680">
        <v>-2.7088780000000001E-3</v>
      </c>
      <c r="AA1680">
        <v>0.98644969999999998</v>
      </c>
      <c r="AB1680">
        <v>47</v>
      </c>
      <c r="AC1680">
        <v>-46.330399999999997</v>
      </c>
      <c r="AD1680">
        <v>-1.1122898466369999</v>
      </c>
      <c r="AE1680">
        <v>-7.5814000000000297</v>
      </c>
      <c r="AF1680">
        <v>-7.7776973018456097</v>
      </c>
      <c r="AG1680">
        <v>-1.1122898466369999</v>
      </c>
      <c r="AH1680">
        <v>46.271143483762103</v>
      </c>
      <c r="AI1680">
        <v>91.357997005436204</v>
      </c>
      <c r="AJ1680">
        <v>99.541627630406694</v>
      </c>
      <c r="AK1680">
        <v>46.933447383683301</v>
      </c>
      <c r="AL1680">
        <v>82.351644344224695</v>
      </c>
      <c r="AM1680">
        <v>95.3211990509282</v>
      </c>
      <c r="AN1680">
        <v>1.0000000399623801</v>
      </c>
    </row>
    <row r="1681" spans="1:40" x14ac:dyDescent="0.25">
      <c r="A1681" t="str">
        <f>"20190305135824581"</f>
        <v>20190305135824581</v>
      </c>
      <c r="B1681" t="str">
        <f>"1551765504570436"</f>
        <v>1551765504570436</v>
      </c>
      <c r="C1681" t="s">
        <v>40</v>
      </c>
      <c r="D1681">
        <v>3.9291659999999999</v>
      </c>
      <c r="E1681">
        <v>0.4683891</v>
      </c>
      <c r="F1681" t="s">
        <v>61</v>
      </c>
      <c r="G1681">
        <v>-302.23439999999999</v>
      </c>
      <c r="H1681" s="1">
        <v>5.0502789999999998E-6</v>
      </c>
      <c r="I1681">
        <v>276.37479999999999</v>
      </c>
      <c r="J1681">
        <v>-255.58269999999999</v>
      </c>
      <c r="K1681">
        <v>1.112241</v>
      </c>
      <c r="L1681">
        <v>284.1429</v>
      </c>
      <c r="M1681">
        <v>-0.99995509999999999</v>
      </c>
      <c r="N1681">
        <v>-9.1551670000000005E-3</v>
      </c>
      <c r="O1681">
        <v>2.4973510000000001E-3</v>
      </c>
      <c r="P1681">
        <v>-0.9879907</v>
      </c>
      <c r="Q1681">
        <v>0.12616910000000001</v>
      </c>
      <c r="R1681">
        <v>-8.9196280000000003E-2</v>
      </c>
      <c r="S1681">
        <v>-3.0010379999999999</v>
      </c>
      <c r="T1681">
        <v>-7.0883390000000004E-2</v>
      </c>
      <c r="U1681">
        <v>-0.49499510000000002</v>
      </c>
      <c r="V1681">
        <v>-9.2630119999999996E-2</v>
      </c>
      <c r="W1681">
        <v>0.1345469</v>
      </c>
      <c r="X1681">
        <v>0.98656820000000001</v>
      </c>
      <c r="Y1681">
        <v>-0.16514319999999999</v>
      </c>
      <c r="Z1681">
        <v>-2.7340260000000001E-3</v>
      </c>
      <c r="AA1681">
        <v>0.98626579999999997</v>
      </c>
      <c r="AB1681">
        <v>47</v>
      </c>
      <c r="AC1681">
        <v>-46.651699999999998</v>
      </c>
      <c r="AD1681">
        <v>-1.1122359497209999</v>
      </c>
      <c r="AE1681">
        <v>-7.7680999999999996</v>
      </c>
      <c r="AF1681">
        <v>-7.8802279813208997</v>
      </c>
      <c r="AG1681">
        <v>-1.1122359497209999</v>
      </c>
      <c r="AH1681">
        <v>46.606377362942801</v>
      </c>
      <c r="AI1681">
        <v>91.3479485287492</v>
      </c>
      <c r="AJ1681">
        <v>99.596831946696199</v>
      </c>
      <c r="AK1681">
        <v>47.280963111409598</v>
      </c>
      <c r="AL1681">
        <v>82.267579944846503</v>
      </c>
      <c r="AM1681">
        <v>95.363847369106793</v>
      </c>
      <c r="AN1681">
        <v>1.00000001034103</v>
      </c>
    </row>
    <row r="1682" spans="1:40" x14ac:dyDescent="0.25">
      <c r="A1682" t="str">
        <f>"20190305135824603"</f>
        <v>20190305135824603</v>
      </c>
      <c r="B1682" t="str">
        <f>"1551765504589956"</f>
        <v>1551765504589956</v>
      </c>
      <c r="C1682" t="s">
        <v>40</v>
      </c>
      <c r="D1682">
        <v>3.915394</v>
      </c>
      <c r="E1682">
        <v>0.46841870000000002</v>
      </c>
      <c r="F1682" t="s">
        <v>61</v>
      </c>
      <c r="G1682">
        <v>-303.61939999999998</v>
      </c>
      <c r="H1682" s="1">
        <v>4.8388969999999997E-6</v>
      </c>
      <c r="I1682">
        <v>276.10410000000002</v>
      </c>
      <c r="J1682">
        <v>-256.05180000000001</v>
      </c>
      <c r="K1682">
        <v>1.1121160000000001</v>
      </c>
      <c r="L1682">
        <v>284.1429</v>
      </c>
      <c r="M1682">
        <v>-0.99995270000000003</v>
      </c>
      <c r="N1682">
        <v>-9.7117269999999999E-3</v>
      </c>
      <c r="O1682">
        <v>7.4781000000000001E-4</v>
      </c>
      <c r="P1682">
        <v>-0.98781269999999999</v>
      </c>
      <c r="Q1682">
        <v>0.1258225</v>
      </c>
      <c r="R1682">
        <v>-9.1624549999999999E-2</v>
      </c>
      <c r="S1682">
        <v>-3</v>
      </c>
      <c r="T1682">
        <v>-6.9461579999999995E-2</v>
      </c>
      <c r="U1682">
        <v>-0.50204470000000001</v>
      </c>
      <c r="V1682">
        <v>-9.3277219999999994E-2</v>
      </c>
      <c r="W1682">
        <v>0.13478129999999999</v>
      </c>
      <c r="X1682">
        <v>0.9864752</v>
      </c>
      <c r="Y1682">
        <v>-0.16572870000000001</v>
      </c>
      <c r="Z1682">
        <v>-2.7255949999999999E-3</v>
      </c>
      <c r="AA1682">
        <v>0.98616760000000003</v>
      </c>
      <c r="AB1682">
        <v>47</v>
      </c>
      <c r="AC1682">
        <v>-47.567599999999899</v>
      </c>
      <c r="AD1682">
        <v>-1.1121111611029999</v>
      </c>
      <c r="AE1682">
        <v>-8.0387999999999806</v>
      </c>
      <c r="AF1682">
        <v>-8.0700822859065404</v>
      </c>
      <c r="AG1682">
        <v>-1.1121111611029999</v>
      </c>
      <c r="AH1682">
        <v>47.536312804305297</v>
      </c>
      <c r="AI1682">
        <v>91.321291042265301</v>
      </c>
      <c r="AJ1682">
        <v>99.635052384926595</v>
      </c>
      <c r="AK1682">
        <v>48.229286272603197</v>
      </c>
      <c r="AL1682">
        <v>82.254026117689605</v>
      </c>
      <c r="AM1682">
        <v>95.401603743118301</v>
      </c>
      <c r="AN1682">
        <v>0.99999997940782803</v>
      </c>
    </row>
    <row r="1683" spans="1:40" x14ac:dyDescent="0.25">
      <c r="A1683" t="str">
        <f>"20190305135824625"</f>
        <v>20190305135824625</v>
      </c>
      <c r="B1683" t="str">
        <f>"1551765504620213"</f>
        <v>1551765504620213</v>
      </c>
      <c r="C1683" t="s">
        <v>40</v>
      </c>
      <c r="D1683">
        <v>3.941907</v>
      </c>
      <c r="E1683">
        <v>0.46852480000000002</v>
      </c>
      <c r="F1683" t="s">
        <v>61</v>
      </c>
      <c r="G1683">
        <v>-302.67090000000002</v>
      </c>
      <c r="H1683" s="1">
        <v>5.0051120000000001E-6</v>
      </c>
      <c r="I1683">
        <v>276.22879999999998</v>
      </c>
      <c r="J1683">
        <v>-256.50389999999999</v>
      </c>
      <c r="K1683">
        <v>1.1119600000000001</v>
      </c>
      <c r="L1683">
        <v>284.14210000000003</v>
      </c>
      <c r="M1683">
        <v>-0.99994780000000005</v>
      </c>
      <c r="N1683">
        <v>-1.01913E-2</v>
      </c>
      <c r="O1683">
        <v>-7.4703529999999897E-4</v>
      </c>
      <c r="P1683">
        <v>-0.98783869999999896</v>
      </c>
      <c r="Q1683">
        <v>0.1239333</v>
      </c>
      <c r="R1683">
        <v>-9.3891660000000002E-2</v>
      </c>
      <c r="S1683">
        <v>-2.998901</v>
      </c>
      <c r="T1683">
        <v>-7.1539640000000002E-2</v>
      </c>
      <c r="U1683">
        <v>-0.50909420000000005</v>
      </c>
      <c r="V1683">
        <v>-9.3996679999999999E-2</v>
      </c>
      <c r="W1683">
        <v>0.13340479999999999</v>
      </c>
      <c r="X1683">
        <v>0.98659399999999997</v>
      </c>
      <c r="Y1683">
        <v>-0.16656299999999999</v>
      </c>
      <c r="Z1683">
        <v>-2.8171519999999999E-3</v>
      </c>
      <c r="AA1683">
        <v>0.98602679999999998</v>
      </c>
      <c r="AB1683">
        <v>47</v>
      </c>
      <c r="AC1683">
        <v>-46.167000000000002</v>
      </c>
      <c r="AD1683">
        <v>-1.1119549948880001</v>
      </c>
      <c r="AE1683">
        <v>-7.9133000000000404</v>
      </c>
      <c r="AF1683">
        <v>-7.8743699911454401</v>
      </c>
      <c r="AG1683">
        <v>-1.1119549948880001</v>
      </c>
      <c r="AH1683">
        <v>46.146892681410101</v>
      </c>
      <c r="AI1683">
        <v>91.360671684834102</v>
      </c>
      <c r="AJ1683">
        <v>99.683517056542499</v>
      </c>
      <c r="AK1683">
        <v>46.827105941086003</v>
      </c>
      <c r="AL1683">
        <v>82.333612448940102</v>
      </c>
      <c r="AM1683">
        <v>95.442366306355098</v>
      </c>
      <c r="AN1683">
        <v>0.99999996867503005</v>
      </c>
    </row>
    <row r="1684" spans="1:40" x14ac:dyDescent="0.25">
      <c r="A1684" t="str">
        <f>"20190305135824646"</f>
        <v>20190305135824646</v>
      </c>
      <c r="B1684" t="str">
        <f>"1551765504640709"</f>
        <v>1551765504640709</v>
      </c>
      <c r="C1684" t="s">
        <v>40</v>
      </c>
      <c r="D1684">
        <v>3.9090419999999999</v>
      </c>
      <c r="E1684">
        <v>0.4686304</v>
      </c>
      <c r="F1684" t="s">
        <v>61</v>
      </c>
      <c r="G1684">
        <v>-298.50209999999998</v>
      </c>
      <c r="H1684" s="1">
        <v>5.1022110000000001E-6</v>
      </c>
      <c r="I1684">
        <v>276.92540000000002</v>
      </c>
      <c r="J1684">
        <v>-256.96510000000001</v>
      </c>
      <c r="K1684">
        <v>1.1117649999999999</v>
      </c>
      <c r="L1684">
        <v>284.14080000000001</v>
      </c>
      <c r="M1684">
        <v>-0.99994130000000003</v>
      </c>
      <c r="N1684">
        <v>-1.0626470000000001E-2</v>
      </c>
      <c r="O1684">
        <v>-2.0791820000000002E-3</v>
      </c>
      <c r="P1684">
        <v>-0.98773500000000003</v>
      </c>
      <c r="Q1684">
        <v>0.1232486</v>
      </c>
      <c r="R1684">
        <v>-9.5859089999999994E-2</v>
      </c>
      <c r="S1684">
        <v>-2.9978940000000001</v>
      </c>
      <c r="T1684">
        <v>-7.9373120000000005E-2</v>
      </c>
      <c r="U1684">
        <v>-0.5151367</v>
      </c>
      <c r="V1684">
        <v>-9.4577069999999999E-2</v>
      </c>
      <c r="W1684">
        <v>0.13319539999999999</v>
      </c>
      <c r="X1684">
        <v>0.98656679999999997</v>
      </c>
      <c r="Y1684">
        <v>-0.16722110000000001</v>
      </c>
      <c r="Z1684">
        <v>-3.0597010000000002E-3</v>
      </c>
      <c r="AA1684">
        <v>0.98591459999999997</v>
      </c>
      <c r="AB1684">
        <v>47</v>
      </c>
      <c r="AC1684">
        <v>-41.5369999999999</v>
      </c>
      <c r="AD1684">
        <v>-1.111759897789</v>
      </c>
      <c r="AE1684">
        <v>-7.2153999999999803</v>
      </c>
      <c r="AF1684">
        <v>-7.1240623952505198</v>
      </c>
      <c r="AG1684">
        <v>-1.111759897789</v>
      </c>
      <c r="AH1684">
        <v>41.523037668488499</v>
      </c>
      <c r="AI1684">
        <v>91.511625070577693</v>
      </c>
      <c r="AJ1684">
        <v>99.735389732153195</v>
      </c>
      <c r="AK1684">
        <v>42.144405705864003</v>
      </c>
      <c r="AL1684">
        <v>82.345718029380606</v>
      </c>
      <c r="AM1684">
        <v>95.475917056434994</v>
      </c>
      <c r="AN1684">
        <v>0.99999994380658996</v>
      </c>
    </row>
    <row r="1685" spans="1:40" x14ac:dyDescent="0.25">
      <c r="A1685" t="str">
        <f>"20190305135824669"</f>
        <v>20190305135824669</v>
      </c>
      <c r="B1685" t="str">
        <f>"1551765504661205"</f>
        <v>1551765504661205</v>
      </c>
      <c r="C1685" t="s">
        <v>40</v>
      </c>
      <c r="D1685">
        <v>3.9266040000000002</v>
      </c>
      <c r="E1685">
        <v>0.46871469999999998</v>
      </c>
      <c r="F1685" t="s">
        <v>61</v>
      </c>
      <c r="G1685">
        <v>-297.04399999999998</v>
      </c>
      <c r="H1685" s="1">
        <v>4.7512679999999997E-6</v>
      </c>
      <c r="I1685">
        <v>277.1866</v>
      </c>
      <c r="J1685">
        <v>-257.45639999999997</v>
      </c>
      <c r="K1685">
        <v>1.1115459999999999</v>
      </c>
      <c r="L1685">
        <v>284.1388</v>
      </c>
      <c r="M1685">
        <v>-0.99993379999999998</v>
      </c>
      <c r="N1685">
        <v>-1.1034530000000001E-2</v>
      </c>
      <c r="O1685">
        <v>-3.2887630000000001E-3</v>
      </c>
      <c r="P1685">
        <v>-0.98777700000000002</v>
      </c>
      <c r="Q1685">
        <v>0.1220202</v>
      </c>
      <c r="R1685">
        <v>-9.6994650000000002E-2</v>
      </c>
      <c r="S1685">
        <v>-2.9971920000000001</v>
      </c>
      <c r="T1685">
        <v>-8.3139899999999906E-2</v>
      </c>
      <c r="U1685">
        <v>-0.52005000000000001</v>
      </c>
      <c r="V1685">
        <v>-9.4434939999999995E-2</v>
      </c>
      <c r="W1685">
        <v>0.1324265</v>
      </c>
      <c r="X1685">
        <v>0.98668400000000001</v>
      </c>
      <c r="Y1685">
        <v>-0.1676289</v>
      </c>
      <c r="Z1685">
        <v>-3.184751E-3</v>
      </c>
      <c r="AA1685">
        <v>0.98584499999999997</v>
      </c>
      <c r="AB1685">
        <v>47</v>
      </c>
      <c r="AC1685">
        <v>-39.587600000000002</v>
      </c>
      <c r="AD1685">
        <v>-1.111541248732</v>
      </c>
      <c r="AE1685">
        <v>-6.9522000000000004</v>
      </c>
      <c r="AF1685">
        <v>-6.8167468807154696</v>
      </c>
      <c r="AG1685">
        <v>-1.111541248732</v>
      </c>
      <c r="AH1685">
        <v>39.579981108177599</v>
      </c>
      <c r="AI1685">
        <v>91.585310749484705</v>
      </c>
      <c r="AJ1685">
        <v>99.772020909161199</v>
      </c>
      <c r="AK1685">
        <v>40.178084405644299</v>
      </c>
      <c r="AL1685">
        <v>82.390167137608302</v>
      </c>
      <c r="AM1685">
        <v>95.467092248445695</v>
      </c>
      <c r="AN1685">
        <v>1.0000000258255199</v>
      </c>
    </row>
    <row r="1686" spans="1:40" x14ac:dyDescent="0.25">
      <c r="A1686" t="str">
        <f>"20190305135824692"</f>
        <v>20190305135824692</v>
      </c>
      <c r="B1686" t="str">
        <f>"1551765504680724"</f>
        <v>1551765504680724</v>
      </c>
      <c r="C1686" t="s">
        <v>40</v>
      </c>
      <c r="D1686">
        <v>3.9203709999999998</v>
      </c>
      <c r="E1686">
        <v>0.46883979999999997</v>
      </c>
      <c r="F1686" t="s">
        <v>61</v>
      </c>
      <c r="G1686">
        <v>-295.00810000000001</v>
      </c>
      <c r="H1686" s="1">
        <v>4.2488830000000003E-6</v>
      </c>
      <c r="I1686">
        <v>277.58620000000002</v>
      </c>
      <c r="J1686">
        <v>-257.9237</v>
      </c>
      <c r="K1686">
        <v>1.1113249999999999</v>
      </c>
      <c r="L1686">
        <v>284.13650000000001</v>
      </c>
      <c r="M1686">
        <v>-0.99992630000000005</v>
      </c>
      <c r="N1686">
        <v>-1.1373869999999999E-2</v>
      </c>
      <c r="O1686">
        <v>-4.2486440000000002E-3</v>
      </c>
      <c r="P1686">
        <v>-0.98773310000000003</v>
      </c>
      <c r="Q1686">
        <v>0.1225536</v>
      </c>
      <c r="R1686">
        <v>-9.676825E-2</v>
      </c>
      <c r="S1686">
        <v>-2.9967350000000001</v>
      </c>
      <c r="T1686">
        <v>-8.8704229999999995E-2</v>
      </c>
      <c r="U1686">
        <v>-0.52291869999999996</v>
      </c>
      <c r="V1686">
        <v>-9.3190980000000007E-2</v>
      </c>
      <c r="W1686">
        <v>0.13335279999999899</v>
      </c>
      <c r="X1686">
        <v>0.98667749999999999</v>
      </c>
      <c r="Y1686">
        <v>-0.16761289999999901</v>
      </c>
      <c r="Z1686">
        <v>-3.3454130000000002E-3</v>
      </c>
      <c r="AA1686">
        <v>0.98584720000000003</v>
      </c>
      <c r="AB1686">
        <v>47</v>
      </c>
      <c r="AC1686">
        <v>-37.084400000000002</v>
      </c>
      <c r="AD1686">
        <v>-1.11132075111699</v>
      </c>
      <c r="AE1686">
        <v>-6.5502999999999902</v>
      </c>
      <c r="AF1686">
        <v>-6.3871099189085596</v>
      </c>
      <c r="AG1686">
        <v>-1.11132075111699</v>
      </c>
      <c r="AH1686">
        <v>37.079605386697203</v>
      </c>
      <c r="AI1686">
        <v>91.691809177051496</v>
      </c>
      <c r="AJ1686">
        <v>99.773514985633994</v>
      </c>
      <c r="AK1686">
        <v>37.642095352959103</v>
      </c>
      <c r="AL1686">
        <v>82.336618997069607</v>
      </c>
      <c r="AM1686">
        <v>95.3955392062485</v>
      </c>
      <c r="AN1686">
        <v>1.00000000851372</v>
      </c>
    </row>
    <row r="1687" spans="1:40" x14ac:dyDescent="0.25">
      <c r="A1687" t="str">
        <f>"20190305135824714"</f>
        <v>20190305135824714</v>
      </c>
      <c r="B1687" t="str">
        <f>"1551765504700244"</f>
        <v>1551765504700244</v>
      </c>
      <c r="C1687" t="s">
        <v>40</v>
      </c>
      <c r="D1687">
        <v>3.9549660000000002</v>
      </c>
      <c r="E1687">
        <v>0.46898509999999999</v>
      </c>
      <c r="F1687" t="s">
        <v>61</v>
      </c>
      <c r="G1687">
        <v>-295.49889999999999</v>
      </c>
      <c r="H1687" s="1">
        <v>4.3326410000000003E-6</v>
      </c>
      <c r="I1687">
        <v>277.59550000000002</v>
      </c>
      <c r="J1687">
        <v>-258.39359999999999</v>
      </c>
      <c r="K1687">
        <v>1.1111070000000001</v>
      </c>
      <c r="L1687">
        <v>284.13389999999998</v>
      </c>
      <c r="M1687">
        <v>-0.99991909999999895</v>
      </c>
      <c r="N1687">
        <v>-1.1671910000000001E-2</v>
      </c>
      <c r="O1687">
        <v>-5.0514069999999999E-3</v>
      </c>
      <c r="P1687">
        <v>-0.98789059999999995</v>
      </c>
      <c r="Q1687">
        <v>0.1225576</v>
      </c>
      <c r="R1687">
        <v>-9.5140459999999996E-2</v>
      </c>
      <c r="S1687">
        <v>-2.9971009999999998</v>
      </c>
      <c r="T1687">
        <v>-8.8641999999999999E-2</v>
      </c>
      <c r="U1687">
        <v>-0.52172850000000004</v>
      </c>
      <c r="V1687">
        <v>-9.0699260000000004E-2</v>
      </c>
      <c r="W1687">
        <v>0.13371340000000001</v>
      </c>
      <c r="X1687">
        <v>0.98686090000000004</v>
      </c>
      <c r="Y1687">
        <v>-0.16642119999999999</v>
      </c>
      <c r="Z1687">
        <v>-3.331222E-3</v>
      </c>
      <c r="AA1687">
        <v>0.98604910000000001</v>
      </c>
      <c r="AB1687">
        <v>47</v>
      </c>
      <c r="AC1687">
        <v>-37.1053</v>
      </c>
      <c r="AD1687">
        <v>-1.1111026673590001</v>
      </c>
      <c r="AE1687">
        <v>-6.5383999999999602</v>
      </c>
      <c r="AF1687">
        <v>-6.3453514369458697</v>
      </c>
      <c r="AG1687">
        <v>-1.1111026673590001</v>
      </c>
      <c r="AH1687">
        <v>37.1055871365988</v>
      </c>
      <c r="AI1687">
        <v>91.690644633089605</v>
      </c>
      <c r="AJ1687">
        <v>99.704166671630105</v>
      </c>
      <c r="AK1687">
        <v>37.660624407296901</v>
      </c>
      <c r="AL1687">
        <v>82.315771621285606</v>
      </c>
      <c r="AM1687">
        <v>95.251121626847706</v>
      </c>
      <c r="AN1687">
        <v>1.00000003252645</v>
      </c>
    </row>
    <row r="1688" spans="1:40" x14ac:dyDescent="0.25">
      <c r="A1688" t="str">
        <f>"20190305135824738"</f>
        <v>20190305135824738</v>
      </c>
      <c r="B1688" t="str">
        <f>"1551765504730500"</f>
        <v>1551765504730500</v>
      </c>
      <c r="C1688" t="s">
        <v>40</v>
      </c>
      <c r="D1688">
        <v>3.9621949999999999</v>
      </c>
      <c r="E1688">
        <v>0.46912009999999998</v>
      </c>
      <c r="F1688" t="s">
        <v>61</v>
      </c>
      <c r="G1688">
        <v>-296.03960000000001</v>
      </c>
      <c r="H1688" s="1">
        <v>4.411206E-6</v>
      </c>
      <c r="I1688">
        <v>277.64449999999999</v>
      </c>
      <c r="J1688">
        <v>-258.87369999999999</v>
      </c>
      <c r="K1688">
        <v>1.110894</v>
      </c>
      <c r="L1688">
        <v>284.1309</v>
      </c>
      <c r="M1688">
        <v>-0.99991229999999998</v>
      </c>
      <c r="N1688">
        <v>-1.19367E-2</v>
      </c>
      <c r="O1688">
        <v>-5.7423319999999898E-3</v>
      </c>
      <c r="P1688">
        <v>-0.98815359999999997</v>
      </c>
      <c r="Q1688">
        <v>0.1228071</v>
      </c>
      <c r="R1688">
        <v>-9.203865E-2</v>
      </c>
      <c r="S1688">
        <v>-2.997986</v>
      </c>
      <c r="T1688">
        <v>-8.8484049999999995E-2</v>
      </c>
      <c r="U1688">
        <v>-0.51678469999999999</v>
      </c>
      <c r="V1688">
        <v>-8.6849570000000001E-2</v>
      </c>
      <c r="W1688">
        <v>0.1342856</v>
      </c>
      <c r="X1688">
        <v>0.98712940000000005</v>
      </c>
      <c r="Y1688">
        <v>-0.1641126</v>
      </c>
      <c r="Z1688">
        <v>-3.2904520000000001E-3</v>
      </c>
      <c r="AA1688">
        <v>0.98643610000000004</v>
      </c>
      <c r="AB1688">
        <v>47</v>
      </c>
      <c r="AC1688">
        <v>-37.165900000000001</v>
      </c>
      <c r="AD1688">
        <v>-1.110889588794</v>
      </c>
      <c r="AE1688">
        <v>-6.4863999999999997</v>
      </c>
      <c r="AF1688">
        <v>-6.2674250155616598</v>
      </c>
      <c r="AG1688">
        <v>-1.110889588794</v>
      </c>
      <c r="AH1688">
        <v>37.170310009882499</v>
      </c>
      <c r="AI1688">
        <v>91.688045582433801</v>
      </c>
      <c r="AJ1688">
        <v>99.570831832997897</v>
      </c>
      <c r="AK1688">
        <v>37.711359538406299</v>
      </c>
      <c r="AL1688">
        <v>82.282688061096707</v>
      </c>
      <c r="AM1688">
        <v>95.028047366535901</v>
      </c>
      <c r="AN1688">
        <v>0.99999996126045099</v>
      </c>
    </row>
    <row r="1689" spans="1:40" x14ac:dyDescent="0.25">
      <c r="A1689" t="str">
        <f>"20190305135824760"</f>
        <v>20190305135824760</v>
      </c>
      <c r="B1689" t="str">
        <f>"1551765504750996"</f>
        <v>1551765504750996</v>
      </c>
      <c r="C1689" t="s">
        <v>40</v>
      </c>
      <c r="D1689">
        <v>3.963813</v>
      </c>
      <c r="E1689">
        <v>0.46916560000000002</v>
      </c>
      <c r="F1689" t="s">
        <v>61</v>
      </c>
      <c r="G1689">
        <v>-296.62990000000002</v>
      </c>
      <c r="H1689" s="1">
        <v>4.482228E-6</v>
      </c>
      <c r="I1689">
        <v>277.7398</v>
      </c>
      <c r="J1689">
        <v>-259.3578</v>
      </c>
      <c r="K1689">
        <v>1.110716</v>
      </c>
      <c r="L1689">
        <v>284.1275</v>
      </c>
      <c r="M1689">
        <v>-0.99990599999999996</v>
      </c>
      <c r="N1689">
        <v>-1.2164629999999999E-2</v>
      </c>
      <c r="O1689">
        <v>-6.33784E-3</v>
      </c>
      <c r="P1689">
        <v>-0.98868230000000001</v>
      </c>
      <c r="Q1689">
        <v>0.1205962</v>
      </c>
      <c r="R1689">
        <v>-8.9243699999999995E-2</v>
      </c>
      <c r="S1689">
        <v>-2.9996339999999999</v>
      </c>
      <c r="T1689">
        <v>-8.8257429999999998E-2</v>
      </c>
      <c r="U1689">
        <v>-0.50775150000000002</v>
      </c>
      <c r="V1689">
        <v>-8.3399970000000004E-2</v>
      </c>
      <c r="W1689">
        <v>0.13235420000000001</v>
      </c>
      <c r="X1689">
        <v>0.9876876</v>
      </c>
      <c r="Y1689">
        <v>-0.160549</v>
      </c>
      <c r="Z1689">
        <v>-3.2199170000000001E-3</v>
      </c>
      <c r="AA1689">
        <v>0.98702259999999997</v>
      </c>
      <c r="AB1689">
        <v>47</v>
      </c>
      <c r="AC1689">
        <v>-37.272100000000002</v>
      </c>
      <c r="AD1689">
        <v>-1.1107115177719999</v>
      </c>
      <c r="AE1689">
        <v>-6.3876999999999899</v>
      </c>
      <c r="AF1689">
        <v>-6.1460274057993196</v>
      </c>
      <c r="AG1689">
        <v>-1.1107115177719999</v>
      </c>
      <c r="AH1689">
        <v>37.279677116582199</v>
      </c>
      <c r="AI1689">
        <v>91.683850355104596</v>
      </c>
      <c r="AJ1689">
        <v>99.361725486944906</v>
      </c>
      <c r="AK1689">
        <v>37.799228283989699</v>
      </c>
      <c r="AL1689">
        <v>82.394346152670394</v>
      </c>
      <c r="AM1689">
        <v>94.826584569995106</v>
      </c>
      <c r="AN1689">
        <v>0.99999999222369995</v>
      </c>
    </row>
    <row r="1690" spans="1:40" x14ac:dyDescent="0.25">
      <c r="A1690" t="str">
        <f>"20190305135824782"</f>
        <v>20190305135824782</v>
      </c>
      <c r="B1690" t="str">
        <f>"1551765504770518"</f>
        <v>1551765504770518</v>
      </c>
      <c r="C1690" t="s">
        <v>40</v>
      </c>
      <c r="D1690">
        <v>4.0049519999999896</v>
      </c>
      <c r="E1690">
        <v>0.46919349999999999</v>
      </c>
      <c r="F1690" t="s">
        <v>61</v>
      </c>
      <c r="G1690">
        <v>-293.8877</v>
      </c>
      <c r="H1690" s="1">
        <v>3.7679829999999999E-6</v>
      </c>
      <c r="I1690">
        <v>278.3843</v>
      </c>
      <c r="J1690">
        <v>-259.81659999999999</v>
      </c>
      <c r="K1690">
        <v>1.1105670000000001</v>
      </c>
      <c r="L1690">
        <v>284.1241</v>
      </c>
      <c r="M1690">
        <v>-0.99990049999999997</v>
      </c>
      <c r="N1690">
        <v>-1.23479E-2</v>
      </c>
      <c r="O1690">
        <v>-6.8442769999999898E-3</v>
      </c>
      <c r="P1690">
        <v>-0.98958559999999995</v>
      </c>
      <c r="Q1690">
        <v>0.1166411</v>
      </c>
      <c r="R1690">
        <v>-8.4353310000000001E-2</v>
      </c>
      <c r="S1690">
        <v>-3.0010379999999999</v>
      </c>
      <c r="T1690">
        <v>-9.6533419999999995E-2</v>
      </c>
      <c r="U1690">
        <v>-0.49914550000000002</v>
      </c>
      <c r="V1690">
        <v>-7.7948089999999998E-2</v>
      </c>
      <c r="W1690">
        <v>0.128635</v>
      </c>
      <c r="X1690">
        <v>0.9886239</v>
      </c>
      <c r="Y1690">
        <v>-0.1572056</v>
      </c>
      <c r="Z1690">
        <v>-3.3534559999999999E-3</v>
      </c>
      <c r="AA1690">
        <v>0.9875602</v>
      </c>
      <c r="AB1690">
        <v>47</v>
      </c>
      <c r="AC1690">
        <v>-34.071100000000001</v>
      </c>
      <c r="AD1690">
        <v>-1.110563232017</v>
      </c>
      <c r="AE1690">
        <v>-5.7397999999999998</v>
      </c>
      <c r="AF1690">
        <v>-5.5007726679025799</v>
      </c>
      <c r="AG1690">
        <v>-1.110563232017</v>
      </c>
      <c r="AH1690">
        <v>34.074385912955499</v>
      </c>
      <c r="AI1690">
        <v>91.842898800948703</v>
      </c>
      <c r="AJ1690">
        <v>99.170383773245902</v>
      </c>
      <c r="AK1690">
        <v>34.533398703013198</v>
      </c>
      <c r="AL1690">
        <v>82.609279000773398</v>
      </c>
      <c r="AM1690">
        <v>94.508161686238793</v>
      </c>
      <c r="AN1690">
        <v>1.00000004180542</v>
      </c>
    </row>
    <row r="1691" spans="1:40" x14ac:dyDescent="0.25">
      <c r="A1691" t="str">
        <f>"20190305135824803"</f>
        <v>20190305135824803</v>
      </c>
      <c r="B1691" t="str">
        <f>"1551765504800773"</f>
        <v>1551765504800773</v>
      </c>
      <c r="C1691" t="s">
        <v>40</v>
      </c>
      <c r="D1691">
        <v>4.3694240000000004</v>
      </c>
      <c r="E1691">
        <v>0.46924480000000002</v>
      </c>
      <c r="F1691" t="s">
        <v>61</v>
      </c>
      <c r="G1691">
        <v>-290.15640000000002</v>
      </c>
      <c r="H1691" s="1">
        <v>2.7794500000000001E-6</v>
      </c>
      <c r="I1691">
        <v>279.23860000000002</v>
      </c>
      <c r="J1691">
        <v>-260.25349999999997</v>
      </c>
      <c r="K1691">
        <v>1.1103730000000001</v>
      </c>
      <c r="L1691">
        <v>284.12060000000002</v>
      </c>
      <c r="M1691">
        <v>-0.99989850000000002</v>
      </c>
      <c r="N1691">
        <v>-1.2238590000000001E-2</v>
      </c>
      <c r="O1691">
        <v>-7.2896940000000002E-3</v>
      </c>
      <c r="P1691">
        <v>-0.99039670000000002</v>
      </c>
      <c r="Q1691">
        <v>0.11291229999999999</v>
      </c>
      <c r="R1691">
        <v>-7.9782580000000006E-2</v>
      </c>
      <c r="S1691">
        <v>-3.0032960000000002</v>
      </c>
      <c r="T1691">
        <v>-0.1099334</v>
      </c>
      <c r="U1691">
        <v>-0.48361209999999999</v>
      </c>
      <c r="V1691">
        <v>-7.2884790000000005E-2</v>
      </c>
      <c r="W1691">
        <v>0.124843</v>
      </c>
      <c r="X1691">
        <v>0.98949589999999998</v>
      </c>
      <c r="Y1691">
        <v>-0.1516467</v>
      </c>
      <c r="Z1691">
        <v>-3.5147849999999999E-3</v>
      </c>
      <c r="AA1691">
        <v>0.98842850000000004</v>
      </c>
      <c r="AB1691">
        <v>47</v>
      </c>
      <c r="AC1691">
        <v>-29.902899999999999</v>
      </c>
      <c r="AD1691">
        <v>-1.1103702205499999</v>
      </c>
      <c r="AE1691">
        <v>-4.8819999999999997</v>
      </c>
      <c r="AF1691">
        <v>-4.6576156368165904</v>
      </c>
      <c r="AG1691">
        <v>-1.1103702205499999</v>
      </c>
      <c r="AH1691">
        <v>29.897543103042501</v>
      </c>
      <c r="AI1691">
        <v>92.101614416263004</v>
      </c>
      <c r="AJ1691">
        <v>98.8547000217998</v>
      </c>
      <c r="AK1691">
        <v>30.278530166526998</v>
      </c>
      <c r="AL1691">
        <v>82.828311049520494</v>
      </c>
      <c r="AM1691">
        <v>94.212713730095203</v>
      </c>
      <c r="AN1691">
        <v>1.00000005168957</v>
      </c>
    </row>
    <row r="1692" spans="1:40" x14ac:dyDescent="0.25">
      <c r="A1692" t="str">
        <f>"20190305135824825"</f>
        <v>20190305135824825</v>
      </c>
      <c r="B1692" t="str">
        <f>"1551765504820292"</f>
        <v>1551765504820292</v>
      </c>
      <c r="C1692" t="s">
        <v>40</v>
      </c>
      <c r="D1692">
        <v>4.0212690000000002</v>
      </c>
      <c r="E1692">
        <v>0.50060859999999996</v>
      </c>
      <c r="F1692" t="s">
        <v>61</v>
      </c>
      <c r="G1692">
        <v>-287.50749999999999</v>
      </c>
      <c r="H1692" s="1">
        <v>6.0543300000000002E-6</v>
      </c>
      <c r="I1692">
        <v>279.86709999999999</v>
      </c>
      <c r="J1692">
        <v>-260.71030000000002</v>
      </c>
      <c r="K1692">
        <v>1.109939</v>
      </c>
      <c r="L1692">
        <v>284.11689999999999</v>
      </c>
      <c r="M1692">
        <v>-0.99990800000000002</v>
      </c>
      <c r="N1692">
        <v>-1.116436E-2</v>
      </c>
      <c r="O1692">
        <v>-7.7181169999999896E-3</v>
      </c>
      <c r="P1692">
        <v>-0.99078759999999999</v>
      </c>
      <c r="Q1692">
        <v>0.1122052</v>
      </c>
      <c r="R1692">
        <v>-7.5829690000000005E-2</v>
      </c>
      <c r="S1692">
        <v>-3.0052189999999999</v>
      </c>
      <c r="T1692">
        <v>-0.12243709999999999</v>
      </c>
      <c r="U1692">
        <v>-0.46902470000000002</v>
      </c>
      <c r="V1692">
        <v>-6.8463369999999996E-2</v>
      </c>
      <c r="W1692">
        <v>0.12310889999999999</v>
      </c>
      <c r="X1692">
        <v>0.99002880000000004</v>
      </c>
      <c r="Y1692">
        <v>-0.146424</v>
      </c>
      <c r="Z1692">
        <v>-3.5596080000000001E-3</v>
      </c>
      <c r="AA1692">
        <v>0.98921550000000003</v>
      </c>
      <c r="AB1692">
        <v>47</v>
      </c>
      <c r="AC1692">
        <v>-26.797199999999901</v>
      </c>
      <c r="AD1692">
        <v>-1.10993294567</v>
      </c>
      <c r="AE1692">
        <v>-4.2497999999999898</v>
      </c>
      <c r="AF1692">
        <v>-4.0360822111916903</v>
      </c>
      <c r="AG1692">
        <v>-1.10993294567</v>
      </c>
      <c r="AH1692">
        <v>26.784380471273501</v>
      </c>
      <c r="AI1692">
        <v>92.346493139265803</v>
      </c>
      <c r="AJ1692">
        <v>98.569308531246406</v>
      </c>
      <c r="AK1692">
        <v>27.1094992205559</v>
      </c>
      <c r="AL1692">
        <v>82.928439985126005</v>
      </c>
      <c r="AM1692">
        <v>93.955871936278797</v>
      </c>
      <c r="AN1692">
        <v>1.0000000295602001</v>
      </c>
    </row>
    <row r="1693" spans="1:40" x14ac:dyDescent="0.25">
      <c r="A1693" t="str">
        <f>"20190305135824848"</f>
        <v>20190305135824848</v>
      </c>
      <c r="B1693" t="str">
        <f>"1551765504840788"</f>
        <v>1551765504840788</v>
      </c>
      <c r="C1693" t="s">
        <v>40</v>
      </c>
      <c r="D1693">
        <v>4.0603939999999996</v>
      </c>
      <c r="E1693">
        <v>0.55495740000000005</v>
      </c>
      <c r="F1693" t="s">
        <v>61</v>
      </c>
      <c r="G1693">
        <v>-284.32249999999999</v>
      </c>
      <c r="H1693" s="1">
        <v>6.920312E-6</v>
      </c>
      <c r="I1693">
        <v>282.51170000000002</v>
      </c>
      <c r="J1693">
        <v>-261.21890000000002</v>
      </c>
      <c r="K1693">
        <v>1.109464</v>
      </c>
      <c r="L1693">
        <v>284.11250000000001</v>
      </c>
      <c r="M1693">
        <v>-0.99992000000000003</v>
      </c>
      <c r="N1693">
        <v>-9.6681419999999994E-3</v>
      </c>
      <c r="O1693">
        <v>-8.1638140000000001E-3</v>
      </c>
      <c r="P1693">
        <v>-0.9909713</v>
      </c>
      <c r="Q1693">
        <v>0.1125032</v>
      </c>
      <c r="R1693">
        <v>-7.293318E-2</v>
      </c>
      <c r="S1693">
        <v>-3.0282589999999998</v>
      </c>
      <c r="T1693">
        <v>-0.14234849999999999</v>
      </c>
      <c r="U1693">
        <v>-0.20587159999999999</v>
      </c>
      <c r="V1693">
        <v>-6.5081819999999999E-2</v>
      </c>
      <c r="W1693">
        <v>0.1219556</v>
      </c>
      <c r="X1693">
        <v>0.99039949999999999</v>
      </c>
      <c r="Y1693">
        <v>-5.9605890000000002E-2</v>
      </c>
      <c r="Z1693">
        <v>-1.3829630000000001E-3</v>
      </c>
      <c r="AA1693">
        <v>0.99822100000000002</v>
      </c>
      <c r="AB1693">
        <v>47</v>
      </c>
      <c r="AC1693">
        <v>-23.103599999999901</v>
      </c>
      <c r="AD1693">
        <v>-1.1094570796879999</v>
      </c>
      <c r="AE1693">
        <v>-1.60079999999999</v>
      </c>
      <c r="AF1693">
        <v>-1.4088909547851201</v>
      </c>
      <c r="AG1693">
        <v>-1.1094570796879999</v>
      </c>
      <c r="AH1693">
        <v>23.062969858391899</v>
      </c>
      <c r="AI1693">
        <v>92.749005607564499</v>
      </c>
      <c r="AJ1693">
        <v>93.495790620678207</v>
      </c>
      <c r="AK1693">
        <v>23.132584106044899</v>
      </c>
      <c r="AL1693">
        <v>82.995020654043401</v>
      </c>
      <c r="AM1693">
        <v>93.759654691020501</v>
      </c>
      <c r="AN1693">
        <v>0.999999990633061</v>
      </c>
    </row>
    <row r="1694" spans="1:40" x14ac:dyDescent="0.25">
      <c r="A1694" t="str">
        <f>"20190305135824870"</f>
        <v>20190305135824870</v>
      </c>
      <c r="B1694" t="str">
        <f>"1551765504860309"</f>
        <v>1551765504860309</v>
      </c>
      <c r="C1694" t="s">
        <v>40</v>
      </c>
      <c r="D1694">
        <v>4.1379950000000001</v>
      </c>
      <c r="E1694">
        <v>0.55556419999999995</v>
      </c>
      <c r="F1694" t="s">
        <v>61</v>
      </c>
      <c r="G1694">
        <v>-292.15960000000001</v>
      </c>
      <c r="H1694" s="1">
        <v>2.4248219999999998E-6</v>
      </c>
      <c r="I1694">
        <v>286.49239999999998</v>
      </c>
      <c r="J1694">
        <v>-261.6841</v>
      </c>
      <c r="K1694">
        <v>1.1091390000000001</v>
      </c>
      <c r="L1694">
        <v>284.10849999999999</v>
      </c>
      <c r="M1694">
        <v>-0.9999285</v>
      </c>
      <c r="N1694">
        <v>-8.3800219999999905E-3</v>
      </c>
      <c r="O1694">
        <v>-8.5444590000000008E-3</v>
      </c>
      <c r="P1694">
        <v>-0.99073160000000005</v>
      </c>
      <c r="Q1694">
        <v>0.115342899999999</v>
      </c>
      <c r="R1694">
        <v>-7.1744130000000003E-2</v>
      </c>
      <c r="S1694">
        <v>-3.0570979999999999</v>
      </c>
      <c r="T1694">
        <v>-0.1096206</v>
      </c>
      <c r="U1694">
        <v>0.23513790000000001</v>
      </c>
      <c r="V1694">
        <v>-6.3486669999999995E-2</v>
      </c>
      <c r="W1694">
        <v>0.1235381</v>
      </c>
      <c r="X1694">
        <v>0.99030689999999999</v>
      </c>
      <c r="Y1694">
        <v>8.5135290000000002E-2</v>
      </c>
      <c r="Z1694">
        <v>2.115413E-3</v>
      </c>
      <c r="AA1694">
        <v>0.99636720000000001</v>
      </c>
      <c r="AB1694">
        <v>48</v>
      </c>
      <c r="AC1694">
        <v>-30.4755</v>
      </c>
      <c r="AD1694">
        <v>-1.10913657517799</v>
      </c>
      <c r="AE1694">
        <v>2.3838999999999801</v>
      </c>
      <c r="AF1694">
        <v>2.6407422209300901</v>
      </c>
      <c r="AG1694">
        <v>-1.10913657517799</v>
      </c>
      <c r="AH1694">
        <v>30.4139777433784</v>
      </c>
      <c r="AI1694">
        <v>92.080714808933294</v>
      </c>
      <c r="AJ1694">
        <v>85.037647567661594</v>
      </c>
      <c r="AK1694">
        <v>30.548547356535899</v>
      </c>
      <c r="AL1694">
        <v>82.903659177782401</v>
      </c>
      <c r="AM1694">
        <v>93.668102570999594</v>
      </c>
      <c r="AN1694">
        <v>0.999999987803454</v>
      </c>
    </row>
    <row r="1695" spans="1:40" x14ac:dyDescent="0.25">
      <c r="A1695" t="str">
        <f>"20190305135824892"</f>
        <v>20190305135824892</v>
      </c>
      <c r="B1695" t="str">
        <f>"1551765504880804"</f>
        <v>1551765504880804</v>
      </c>
      <c r="C1695" t="s">
        <v>40</v>
      </c>
      <c r="D1695">
        <v>4.1621750000000004</v>
      </c>
      <c r="E1695">
        <v>0.55371079999999995</v>
      </c>
      <c r="F1695" t="s">
        <v>61</v>
      </c>
      <c r="G1695">
        <v>-289.6302</v>
      </c>
      <c r="H1695" s="1">
        <v>3.7753040000000002E-6</v>
      </c>
      <c r="I1695">
        <v>286.34100000000001</v>
      </c>
      <c r="J1695">
        <v>-262.16129999999998</v>
      </c>
      <c r="K1695">
        <v>1.1089199999999999</v>
      </c>
      <c r="L1695">
        <v>284.10419999999999</v>
      </c>
      <c r="M1695">
        <v>-0.99993410000000005</v>
      </c>
      <c r="N1695">
        <v>-7.2962309999999898E-3</v>
      </c>
      <c r="O1695">
        <v>-8.8772239999999995E-3</v>
      </c>
      <c r="P1695">
        <v>-0.99010679999999995</v>
      </c>
      <c r="Q1695">
        <v>0.1201685</v>
      </c>
      <c r="R1695">
        <v>-7.2444220000000004E-2</v>
      </c>
      <c r="S1695">
        <v>-3.0599059999999998</v>
      </c>
      <c r="T1695">
        <v>-0.121443</v>
      </c>
      <c r="U1695">
        <v>0.24444579999999999</v>
      </c>
      <c r="V1695">
        <v>-6.3836649999999995E-2</v>
      </c>
      <c r="W1695">
        <v>0.12730139999999901</v>
      </c>
      <c r="X1695">
        <v>0.98980769999999996</v>
      </c>
      <c r="Y1695">
        <v>8.8392570000000004E-2</v>
      </c>
      <c r="Z1695">
        <v>2.3607519999999998E-3</v>
      </c>
      <c r="AA1695">
        <v>0.99608289999999999</v>
      </c>
      <c r="AB1695">
        <v>48</v>
      </c>
      <c r="AC1695">
        <v>-27.468900000000001</v>
      </c>
      <c r="AD1695">
        <v>-1.108916224696</v>
      </c>
      <c r="AE1695">
        <v>2.2368000000000099</v>
      </c>
      <c r="AF1695">
        <v>2.47655637256215</v>
      </c>
      <c r="AG1695">
        <v>-1.108916224696</v>
      </c>
      <c r="AH1695">
        <v>27.403594277572399</v>
      </c>
      <c r="AI1695">
        <v>92.307876467276898</v>
      </c>
      <c r="AJ1695">
        <v>84.836013008007299</v>
      </c>
      <c r="AK1695">
        <v>27.5376107531076</v>
      </c>
      <c r="AL1695">
        <v>82.686321948937504</v>
      </c>
      <c r="AM1695">
        <v>93.690122890189997</v>
      </c>
      <c r="AN1695">
        <v>1.00000002365223</v>
      </c>
    </row>
    <row r="1696" spans="1:40" x14ac:dyDescent="0.25">
      <c r="A1696" t="str">
        <f>"20190305135824915"</f>
        <v>20190305135824915</v>
      </c>
      <c r="B1696" t="str">
        <f>"1551765504900324"</f>
        <v>1551765504900324</v>
      </c>
      <c r="C1696" t="s">
        <v>40</v>
      </c>
      <c r="D1696">
        <v>4.1346489999999996</v>
      </c>
      <c r="E1696">
        <v>0.55220040000000004</v>
      </c>
      <c r="F1696" t="s">
        <v>61</v>
      </c>
      <c r="G1696">
        <v>-292.23039999999997</v>
      </c>
      <c r="H1696" s="1">
        <v>2.450604E-6</v>
      </c>
      <c r="I1696">
        <v>286.34109999999998</v>
      </c>
      <c r="J1696">
        <v>-262.65530000000001</v>
      </c>
      <c r="K1696">
        <v>1.1087800000000001</v>
      </c>
      <c r="L1696">
        <v>284.09980000000002</v>
      </c>
      <c r="M1696">
        <v>-0.99993750000000003</v>
      </c>
      <c r="N1696">
        <v>-6.4925060000000003E-3</v>
      </c>
      <c r="O1696">
        <v>-9.1136940000000003E-3</v>
      </c>
      <c r="P1696">
        <v>-0.98952110000000004</v>
      </c>
      <c r="Q1696">
        <v>0.12390180000000001</v>
      </c>
      <c r="R1696">
        <v>-7.4138280000000001E-2</v>
      </c>
      <c r="S1696">
        <v>-3.060333</v>
      </c>
      <c r="T1696">
        <v>-0.1128622</v>
      </c>
      <c r="U1696">
        <v>0.22766110000000001</v>
      </c>
      <c r="V1696">
        <v>-6.5273070000000002E-2</v>
      </c>
      <c r="W1696">
        <v>0.13025019999999901</v>
      </c>
      <c r="X1696">
        <v>0.98933020000000005</v>
      </c>
      <c r="Y1696">
        <v>8.3201269999999994E-2</v>
      </c>
      <c r="Z1696">
        <v>2.0786160000000001E-3</v>
      </c>
      <c r="AA1696">
        <v>0.99653060000000004</v>
      </c>
      <c r="AB1696">
        <v>48</v>
      </c>
      <c r="AC1696">
        <v>-29.5750999999999</v>
      </c>
      <c r="AD1696">
        <v>-1.1087775493959999</v>
      </c>
      <c r="AE1696">
        <v>2.2412999999999599</v>
      </c>
      <c r="AF1696">
        <v>2.5072471191628898</v>
      </c>
      <c r="AG1696">
        <v>-1.1087775493959999</v>
      </c>
      <c r="AH1696">
        <v>29.512201660779301</v>
      </c>
      <c r="AI1696">
        <v>92.143882845094893</v>
      </c>
      <c r="AJ1696">
        <v>85.144023608344597</v>
      </c>
      <c r="AK1696">
        <v>29.639259819319001</v>
      </c>
      <c r="AL1696">
        <v>82.515949096195598</v>
      </c>
      <c r="AM1696">
        <v>93.774734705733806</v>
      </c>
      <c r="AN1696">
        <v>0.99999996644965194</v>
      </c>
    </row>
    <row r="1697" spans="1:40" x14ac:dyDescent="0.25">
      <c r="A1697" t="str">
        <f>"20190305135824939"</f>
        <v>20190305135824939</v>
      </c>
      <c r="B1697" t="str">
        <f>"1551765504930581"</f>
        <v>1551765504930581</v>
      </c>
      <c r="C1697" t="s">
        <v>40</v>
      </c>
      <c r="D1697">
        <v>4.1696879999999998</v>
      </c>
      <c r="E1697">
        <v>0.55045549999999999</v>
      </c>
      <c r="F1697" t="s">
        <v>61</v>
      </c>
      <c r="G1697">
        <v>-293.9162</v>
      </c>
      <c r="H1697" s="1">
        <v>2.7572309999999998E-6</v>
      </c>
      <c r="I1697">
        <v>286.25420000000003</v>
      </c>
      <c r="J1697">
        <v>-263.17110000000002</v>
      </c>
      <c r="K1697">
        <v>1.1086879999999999</v>
      </c>
      <c r="L1697">
        <v>284.09519999999998</v>
      </c>
      <c r="M1697">
        <v>-0.9999401</v>
      </c>
      <c r="N1697">
        <v>-5.9518870000000003E-3</v>
      </c>
      <c r="O1697">
        <v>-9.1846310000000004E-3</v>
      </c>
      <c r="P1697">
        <v>-0.98911329999999997</v>
      </c>
      <c r="Q1697">
        <v>0.12623709999999999</v>
      </c>
      <c r="R1697">
        <v>-7.5627929999999996E-2</v>
      </c>
      <c r="S1697">
        <v>-3.0611269999999999</v>
      </c>
      <c r="T1697">
        <v>-0.1085737</v>
      </c>
      <c r="U1697">
        <v>0.21096799999999999</v>
      </c>
      <c r="V1697">
        <v>-6.6656060000000003E-2</v>
      </c>
      <c r="W1697">
        <v>0.13206679999999901</v>
      </c>
      <c r="X1697">
        <v>0.98899720000000002</v>
      </c>
      <c r="Y1697">
        <v>7.7854560000000003E-2</v>
      </c>
      <c r="Z1697">
        <v>1.881394E-3</v>
      </c>
      <c r="AA1697">
        <v>0.99696300000000004</v>
      </c>
      <c r="AB1697">
        <v>48</v>
      </c>
      <c r="AC1697">
        <v>-30.745099999999901</v>
      </c>
      <c r="AD1697">
        <v>-1.1086852427689999</v>
      </c>
      <c r="AE1697">
        <v>2.1590000000000402</v>
      </c>
      <c r="AF1697">
        <v>2.4381414211863799</v>
      </c>
      <c r="AG1697">
        <v>-1.1086852427689999</v>
      </c>
      <c r="AH1697">
        <v>30.684268263875602</v>
      </c>
      <c r="AI1697">
        <v>92.062817113263094</v>
      </c>
      <c r="AJ1697">
        <v>85.456879682243098</v>
      </c>
      <c r="AK1697">
        <v>30.800942119466399</v>
      </c>
      <c r="AL1697">
        <v>82.410959352926398</v>
      </c>
      <c r="AM1697">
        <v>93.855768179195096</v>
      </c>
      <c r="AN1697">
        <v>1.00000006580239</v>
      </c>
    </row>
    <row r="1698" spans="1:40" x14ac:dyDescent="0.25">
      <c r="A1698" t="str">
        <f>"20190305135824961"</f>
        <v>20190305135824961</v>
      </c>
      <c r="B1698" t="str">
        <f>"1551765504950101"</f>
        <v>1551765504950101</v>
      </c>
      <c r="C1698" t="s">
        <v>40</v>
      </c>
      <c r="D1698">
        <v>4.1717690000000003</v>
      </c>
      <c r="E1698">
        <v>0.54987390000000003</v>
      </c>
      <c r="F1698" t="s">
        <v>61</v>
      </c>
      <c r="G1698">
        <v>-296.7543</v>
      </c>
      <c r="H1698" s="1">
        <v>3.2650469999999999E-6</v>
      </c>
      <c r="I1698">
        <v>286.20409999999998</v>
      </c>
      <c r="J1698">
        <v>-263.66410000000002</v>
      </c>
      <c r="K1698">
        <v>1.108587</v>
      </c>
      <c r="L1698">
        <v>284.0908</v>
      </c>
      <c r="M1698">
        <v>-0.99994340000000004</v>
      </c>
      <c r="N1698">
        <v>-5.6222989999999999E-3</v>
      </c>
      <c r="O1698">
        <v>-9.028922E-3</v>
      </c>
      <c r="P1698">
        <v>-0.98871310000000001</v>
      </c>
      <c r="Q1698">
        <v>0.1284526</v>
      </c>
      <c r="R1698">
        <v>-7.7112239999999999E-2</v>
      </c>
      <c r="S1698">
        <v>-3.0606080000000002</v>
      </c>
      <c r="T1698">
        <v>-0.1010399</v>
      </c>
      <c r="U1698">
        <v>0.1921997</v>
      </c>
      <c r="V1698">
        <v>-6.8249249999999997E-2</v>
      </c>
      <c r="W1698">
        <v>0.13397890000000001</v>
      </c>
      <c r="X1698">
        <v>0.98863120000000004</v>
      </c>
      <c r="Y1698">
        <v>7.1634290000000003E-2</v>
      </c>
      <c r="Z1698">
        <v>1.6296030000000001E-3</v>
      </c>
      <c r="AA1698">
        <v>0.99742960000000003</v>
      </c>
      <c r="AB1698">
        <v>49</v>
      </c>
      <c r="AC1698">
        <v>-33.090199999999903</v>
      </c>
      <c r="AD1698">
        <v>-1.1085837349530001</v>
      </c>
      <c r="AE1698">
        <v>2.1132999999999802</v>
      </c>
      <c r="AF1698">
        <v>2.4092942740357102</v>
      </c>
      <c r="AG1698">
        <v>-1.1085837349530001</v>
      </c>
      <c r="AH1698">
        <v>33.0328453716929</v>
      </c>
      <c r="AI1698">
        <v>91.917039001549099</v>
      </c>
      <c r="AJ1698">
        <v>85.828443217771195</v>
      </c>
      <c r="AK1698">
        <v>33.139138946968401</v>
      </c>
      <c r="AL1698">
        <v>82.300421048780706</v>
      </c>
      <c r="AM1698">
        <v>93.949096239697397</v>
      </c>
      <c r="AN1698">
        <v>0.99999997769210602</v>
      </c>
    </row>
    <row r="1699" spans="1:40" x14ac:dyDescent="0.25">
      <c r="A1699" t="str">
        <f>"20190305135824984"</f>
        <v>20190305135824984</v>
      </c>
      <c r="B1699" t="str">
        <f>"1551765504980356"</f>
        <v>1551765504980356</v>
      </c>
      <c r="C1699" t="s">
        <v>40</v>
      </c>
      <c r="D1699">
        <v>4.2130669999999997</v>
      </c>
      <c r="E1699">
        <v>0.54926469999999905</v>
      </c>
      <c r="F1699" t="s">
        <v>61</v>
      </c>
      <c r="G1699">
        <v>-297.83760000000001</v>
      </c>
      <c r="H1699" s="1">
        <v>3.4640460000000002E-6</v>
      </c>
      <c r="I1699">
        <v>286.1259</v>
      </c>
      <c r="J1699">
        <v>-264.14760000000001</v>
      </c>
      <c r="K1699">
        <v>1.1084529999999999</v>
      </c>
      <c r="L1699">
        <v>284.08670000000001</v>
      </c>
      <c r="M1699">
        <v>-0.99994780000000005</v>
      </c>
      <c r="N1699">
        <v>-5.3821059999999898E-3</v>
      </c>
      <c r="O1699">
        <v>-8.6922079999999999E-3</v>
      </c>
      <c r="P1699">
        <v>-0.98896110000000004</v>
      </c>
      <c r="Q1699">
        <v>0.12555479999999999</v>
      </c>
      <c r="R1699">
        <v>-7.8688720000000004E-2</v>
      </c>
      <c r="S1699">
        <v>-3.0613709999999998</v>
      </c>
      <c r="T1699">
        <v>-9.9310280000000001E-2</v>
      </c>
      <c r="U1699">
        <v>0.182312</v>
      </c>
      <c r="V1699">
        <v>-7.0102399999999995E-2</v>
      </c>
      <c r="W1699">
        <v>0.1308723</v>
      </c>
      <c r="X1699">
        <v>0.98891759999999995</v>
      </c>
      <c r="Y1699">
        <v>6.8077020000000002E-2</v>
      </c>
      <c r="Z1699">
        <v>1.521292E-3</v>
      </c>
      <c r="AA1699">
        <v>0.99767890000000004</v>
      </c>
      <c r="AB1699">
        <v>49</v>
      </c>
      <c r="AC1699">
        <v>-33.69</v>
      </c>
      <c r="AD1699">
        <v>-1.1084495359540001</v>
      </c>
      <c r="AE1699">
        <v>2.0391999999999899</v>
      </c>
      <c r="AF1699">
        <v>2.3294552300770799</v>
      </c>
      <c r="AG1699">
        <v>-1.1084495359540001</v>
      </c>
      <c r="AH1699">
        <v>33.634724973475599</v>
      </c>
      <c r="AI1699">
        <v>91.883021158419595</v>
      </c>
      <c r="AJ1699">
        <v>86.038166858717702</v>
      </c>
      <c r="AK1699">
        <v>33.733510728710598</v>
      </c>
      <c r="AL1699">
        <v>82.4799976244677</v>
      </c>
      <c r="AM1699">
        <v>94.054800887031803</v>
      </c>
      <c r="AN1699">
        <v>0.99999996249140399</v>
      </c>
    </row>
    <row r="1700" spans="1:40" x14ac:dyDescent="0.25">
      <c r="A1700" t="str">
        <f>"20190305135825006"</f>
        <v>20190305135825006</v>
      </c>
      <c r="B1700" t="str">
        <f>"1551765505000853"</f>
        <v>1551765505000853</v>
      </c>
      <c r="C1700" t="s">
        <v>40</v>
      </c>
      <c r="D1700">
        <v>4.1694870000000002</v>
      </c>
      <c r="E1700">
        <v>0.54897640000000003</v>
      </c>
      <c r="F1700" t="s">
        <v>61</v>
      </c>
      <c r="G1700">
        <v>-295.0881</v>
      </c>
      <c r="H1700" s="1">
        <v>3.002215E-6</v>
      </c>
      <c r="I1700">
        <v>285.82979999999998</v>
      </c>
      <c r="J1700">
        <v>-264.63819999999998</v>
      </c>
      <c r="K1700">
        <v>1.108293</v>
      </c>
      <c r="L1700">
        <v>284.0829</v>
      </c>
      <c r="M1700">
        <v>-0.99995330000000004</v>
      </c>
      <c r="N1700">
        <v>-5.1949179999999998E-3</v>
      </c>
      <c r="O1700">
        <v>-8.1487750000000005E-3</v>
      </c>
      <c r="P1700">
        <v>-0.98922719999999997</v>
      </c>
      <c r="Q1700">
        <v>0.1232732</v>
      </c>
      <c r="R1700">
        <v>-7.8950489999999998E-2</v>
      </c>
      <c r="S1700">
        <v>-3.0611570000000001</v>
      </c>
      <c r="T1700">
        <v>-0.10966670000000001</v>
      </c>
      <c r="U1700">
        <v>0.17245479999999899</v>
      </c>
      <c r="V1700">
        <v>-7.0842820000000001E-2</v>
      </c>
      <c r="W1700">
        <v>0.12843779999999999</v>
      </c>
      <c r="X1700">
        <v>0.98918399999999995</v>
      </c>
      <c r="Y1700">
        <v>6.4330479999999995E-2</v>
      </c>
      <c r="Z1700">
        <v>1.5676729999999999E-3</v>
      </c>
      <c r="AA1700">
        <v>0.99792740000000002</v>
      </c>
      <c r="AB1700">
        <v>49</v>
      </c>
      <c r="AC1700">
        <v>-30.4499</v>
      </c>
      <c r="AD1700">
        <v>-1.108289997785</v>
      </c>
      <c r="AE1700">
        <v>1.7468999999999799</v>
      </c>
      <c r="AF1700">
        <v>1.9923440248775</v>
      </c>
      <c r="AG1700">
        <v>-1.108289997785</v>
      </c>
      <c r="AH1700">
        <v>30.394520534352001</v>
      </c>
      <c r="AI1700">
        <v>92.083810303655497</v>
      </c>
      <c r="AJ1700">
        <v>86.249658575683796</v>
      </c>
      <c r="AK1700">
        <v>30.479905182690398</v>
      </c>
      <c r="AL1700">
        <v>82.620671776716705</v>
      </c>
      <c r="AM1700">
        <v>94.096382744098406</v>
      </c>
      <c r="AN1700">
        <v>0.99999997973519505</v>
      </c>
    </row>
    <row r="1701" spans="1:40" x14ac:dyDescent="0.25">
      <c r="A1701" t="str">
        <f>"20190305135825029"</f>
        <v>20190305135825029</v>
      </c>
      <c r="B1701" t="str">
        <f>"1551765505020373"</f>
        <v>1551765505020373</v>
      </c>
      <c r="C1701" t="s">
        <v>40</v>
      </c>
      <c r="D1701">
        <v>4.1808560000000003</v>
      </c>
      <c r="E1701">
        <v>0.54867279999999996</v>
      </c>
      <c r="F1701" t="s">
        <v>61</v>
      </c>
      <c r="G1701">
        <v>-293.4375</v>
      </c>
      <c r="H1701" s="1">
        <v>2.7232449999999998E-6</v>
      </c>
      <c r="I1701">
        <v>285.67160000000001</v>
      </c>
      <c r="J1701">
        <v>-265.13310000000001</v>
      </c>
      <c r="K1701">
        <v>1.1081160000000001</v>
      </c>
      <c r="L1701">
        <v>284.07929999999999</v>
      </c>
      <c r="M1701">
        <v>-0.99995999999999996</v>
      </c>
      <c r="N1701">
        <v>-5.0518079999999996E-3</v>
      </c>
      <c r="O1701">
        <v>-7.3817880000000002E-3</v>
      </c>
      <c r="P1701">
        <v>-0.98939619999999995</v>
      </c>
      <c r="Q1701">
        <v>0.12229950000000001</v>
      </c>
      <c r="R1701">
        <v>-7.8345979999999996E-2</v>
      </c>
      <c r="S1701">
        <v>-3.0608219999999999</v>
      </c>
      <c r="T1701">
        <v>-0.1177907</v>
      </c>
      <c r="U1701">
        <v>0.168853799999999</v>
      </c>
      <c r="V1701">
        <v>-7.0934380000000005E-2</v>
      </c>
      <c r="W1701">
        <v>0.1273581</v>
      </c>
      <c r="X1701">
        <v>0.98931709999999995</v>
      </c>
      <c r="Y1701">
        <v>6.2395350000000002E-2</v>
      </c>
      <c r="Z1701">
        <v>1.603546E-3</v>
      </c>
      <c r="AA1701">
        <v>0.9980502</v>
      </c>
      <c r="AB1701">
        <v>49</v>
      </c>
      <c r="AC1701">
        <v>-28.304399999999902</v>
      </c>
      <c r="AD1701">
        <v>-1.1081132767549999</v>
      </c>
      <c r="AE1701">
        <v>1.59230000000002</v>
      </c>
      <c r="AF1701">
        <v>1.7984485539410899</v>
      </c>
      <c r="AG1701">
        <v>-1.1081132767549999</v>
      </c>
      <c r="AH1701">
        <v>28.2487140989243</v>
      </c>
      <c r="AI1701">
        <v>92.241857645183899</v>
      </c>
      <c r="AJ1701">
        <v>86.357192395166805</v>
      </c>
      <c r="AK1701">
        <v>28.3275869159033</v>
      </c>
      <c r="AL1701">
        <v>82.6830467986331</v>
      </c>
      <c r="AM1701">
        <v>94.101109066678106</v>
      </c>
      <c r="AN1701">
        <v>1.0000000481269999</v>
      </c>
    </row>
    <row r="1702" spans="1:40" x14ac:dyDescent="0.25">
      <c r="A1702" t="str">
        <f>"20190305135825049"</f>
        <v>20190305135825049</v>
      </c>
      <c r="B1702" t="str">
        <f>"1551765505040869"</f>
        <v>1551765505040869</v>
      </c>
      <c r="C1702" t="s">
        <v>40</v>
      </c>
      <c r="D1702">
        <v>4.1784299999999996</v>
      </c>
      <c r="E1702">
        <v>0.54849359999999903</v>
      </c>
      <c r="F1702" t="s">
        <v>61</v>
      </c>
      <c r="G1702">
        <v>-292.86239999999998</v>
      </c>
      <c r="H1702" s="1">
        <v>2.627621E-6</v>
      </c>
      <c r="I1702">
        <v>285.59859999999998</v>
      </c>
      <c r="J1702">
        <v>-265.6001</v>
      </c>
      <c r="K1702">
        <v>1.1079349999999999</v>
      </c>
      <c r="L1702">
        <v>284.07639999999998</v>
      </c>
      <c r="M1702">
        <v>-0.99996689999999999</v>
      </c>
      <c r="N1702">
        <v>-4.9526589999999999E-3</v>
      </c>
      <c r="O1702">
        <v>-6.4617809999999998E-3</v>
      </c>
      <c r="P1702">
        <v>-0.98963440000000003</v>
      </c>
      <c r="Q1702">
        <v>0.1212362</v>
      </c>
      <c r="R1702">
        <v>-7.6979339999999993E-2</v>
      </c>
      <c r="S1702">
        <v>-3.0605470000000001</v>
      </c>
      <c r="T1702">
        <v>-0.1223052</v>
      </c>
      <c r="U1702">
        <v>0.16769410000000001</v>
      </c>
      <c r="V1702">
        <v>-7.0416229999999996E-2</v>
      </c>
      <c r="W1702">
        <v>0.12623190000000001</v>
      </c>
      <c r="X1702">
        <v>0.9894984</v>
      </c>
      <c r="Y1702">
        <v>6.1102570000000002E-2</v>
      </c>
      <c r="Z1702">
        <v>1.59695E-3</v>
      </c>
      <c r="AA1702">
        <v>0.99813019999999997</v>
      </c>
      <c r="AB1702">
        <v>49</v>
      </c>
      <c r="AC1702">
        <v>-27.2622999999999</v>
      </c>
      <c r="AD1702">
        <v>-1.107932372379</v>
      </c>
      <c r="AE1702">
        <v>1.52219999999999</v>
      </c>
      <c r="AF1702">
        <v>1.69554175276865</v>
      </c>
      <c r="AG1702">
        <v>-1.107932372379</v>
      </c>
      <c r="AH1702">
        <v>27.207099328409001</v>
      </c>
      <c r="AI1702">
        <v>92.327410367947294</v>
      </c>
      <c r="AJ1702">
        <v>86.433948663031401</v>
      </c>
      <c r="AK1702">
        <v>27.282386806199</v>
      </c>
      <c r="AL1702">
        <v>82.748098068657697</v>
      </c>
      <c r="AM1702">
        <v>94.070509607289296</v>
      </c>
      <c r="AN1702">
        <v>1.0000000108137901</v>
      </c>
    </row>
    <row r="1703" spans="1:40" x14ac:dyDescent="0.25">
      <c r="A1703" t="str">
        <f>"20190305135825072"</f>
        <v>20190305135825072</v>
      </c>
      <c r="B1703" t="str">
        <f>"1551765505060389"</f>
        <v>1551765505060389</v>
      </c>
      <c r="C1703" t="s">
        <v>40</v>
      </c>
      <c r="D1703">
        <v>4.2444680000000004</v>
      </c>
      <c r="E1703">
        <v>0.54830939999999995</v>
      </c>
      <c r="F1703" t="s">
        <v>61</v>
      </c>
      <c r="G1703">
        <v>-292.41079999999999</v>
      </c>
      <c r="H1703" s="1">
        <v>2.5508569999999999E-6</v>
      </c>
      <c r="I1703">
        <v>285.56029999999998</v>
      </c>
      <c r="J1703">
        <v>-266.09120000000001</v>
      </c>
      <c r="K1703">
        <v>1.1077330000000001</v>
      </c>
      <c r="L1703">
        <v>284.07389999999998</v>
      </c>
      <c r="M1703">
        <v>-0.99997409999999998</v>
      </c>
      <c r="N1703">
        <v>-4.8847099999999996E-3</v>
      </c>
      <c r="O1703">
        <v>-5.3098470000000004E-3</v>
      </c>
      <c r="P1703">
        <v>-0.98963829999999997</v>
      </c>
      <c r="Q1703">
        <v>0.12252150000000001</v>
      </c>
      <c r="R1703">
        <v>-7.486611E-2</v>
      </c>
      <c r="S1703">
        <v>-3.06012</v>
      </c>
      <c r="T1703">
        <v>-0.12645729999999999</v>
      </c>
      <c r="U1703">
        <v>0.16937260000000001</v>
      </c>
      <c r="V1703">
        <v>-6.9375919999999994E-2</v>
      </c>
      <c r="W1703">
        <v>0.12748389999999901</v>
      </c>
      <c r="X1703">
        <v>0.98941140000000005</v>
      </c>
      <c r="Y1703">
        <v>6.0503679999999997E-2</v>
      </c>
      <c r="Z1703">
        <v>1.589869E-3</v>
      </c>
      <c r="AA1703">
        <v>0.99816669999999996</v>
      </c>
      <c r="AB1703">
        <v>49</v>
      </c>
      <c r="AC1703">
        <v>-26.319599999999902</v>
      </c>
      <c r="AD1703">
        <v>-1.107730449143</v>
      </c>
      <c r="AE1703">
        <v>1.4863999999999999</v>
      </c>
      <c r="AF1703">
        <v>1.6232674760213599</v>
      </c>
      <c r="AG1703">
        <v>-1.107730449143</v>
      </c>
      <c r="AH1703">
        <v>26.264959225119</v>
      </c>
      <c r="AI1703">
        <v>92.410437188421</v>
      </c>
      <c r="AJ1703">
        <v>86.463416252440496</v>
      </c>
      <c r="AK1703">
        <v>26.338377838124899</v>
      </c>
      <c r="AL1703">
        <v>82.675779699841698</v>
      </c>
      <c r="AM1703">
        <v>94.010922225796193</v>
      </c>
      <c r="AN1703">
        <v>1.0000000407425</v>
      </c>
    </row>
    <row r="1704" spans="1:40" x14ac:dyDescent="0.25">
      <c r="A1704" t="str">
        <f>"20190305135825094"</f>
        <v>20190305135825094</v>
      </c>
      <c r="B1704" t="str">
        <f>"1551765505090645"</f>
        <v>1551765505090645</v>
      </c>
      <c r="C1704" t="s">
        <v>40</v>
      </c>
      <c r="D1704">
        <v>4.2373649999999996</v>
      </c>
      <c r="E1704">
        <v>0.54807450000000002</v>
      </c>
      <c r="F1704" t="s">
        <v>61</v>
      </c>
      <c r="G1704">
        <v>-293.75229999999999</v>
      </c>
      <c r="H1704" s="1">
        <v>2.781702E-6</v>
      </c>
      <c r="I1704">
        <v>285.64179999999999</v>
      </c>
      <c r="J1704">
        <v>-266.58539999999999</v>
      </c>
      <c r="K1704">
        <v>1.107537</v>
      </c>
      <c r="L1704">
        <v>284.07190000000003</v>
      </c>
      <c r="M1704">
        <v>-0.99998030000000004</v>
      </c>
      <c r="N1704">
        <v>-4.8739050000000004E-3</v>
      </c>
      <c r="O1704">
        <v>-3.9973559999999997E-3</v>
      </c>
      <c r="P1704">
        <v>-0.98985970000000001</v>
      </c>
      <c r="Q1704">
        <v>0.1225043</v>
      </c>
      <c r="R1704">
        <v>-7.1907769999999996E-2</v>
      </c>
      <c r="S1704">
        <v>-3.0596920000000001</v>
      </c>
      <c r="T1704">
        <v>-0.1225301</v>
      </c>
      <c r="U1704">
        <v>0.17343140000000001</v>
      </c>
      <c r="V1704">
        <v>-6.7651420000000004E-2</v>
      </c>
      <c r="W1704">
        <v>0.12748769999999901</v>
      </c>
      <c r="X1704">
        <v>0.98953029999999997</v>
      </c>
      <c r="Y1704">
        <v>6.0525610000000001E-2</v>
      </c>
      <c r="Z1704">
        <v>1.4985809999999999E-3</v>
      </c>
      <c r="AA1704">
        <v>0.99816550000000004</v>
      </c>
      <c r="AB1704">
        <v>49</v>
      </c>
      <c r="AC1704">
        <v>-27.166899999999998</v>
      </c>
      <c r="AD1704">
        <v>-1.1075342182979999</v>
      </c>
      <c r="AE1704">
        <v>1.5698999999999601</v>
      </c>
      <c r="AF1704">
        <v>1.6757087209347901</v>
      </c>
      <c r="AG1704">
        <v>-1.1075342182979999</v>
      </c>
      <c r="AH1704">
        <v>27.115491145348098</v>
      </c>
      <c r="AI1704">
        <v>92.334501506832297</v>
      </c>
      <c r="AJ1704">
        <v>86.463678616475605</v>
      </c>
      <c r="AK1704">
        <v>27.189786534939401</v>
      </c>
      <c r="AL1704">
        <v>82.675560042640996</v>
      </c>
      <c r="AM1704">
        <v>93.911066291043696</v>
      </c>
      <c r="AN1704">
        <v>1.0000000214486899</v>
      </c>
    </row>
    <row r="1705" spans="1:40" x14ac:dyDescent="0.25">
      <c r="A1705" t="str">
        <f>"20190305135825116"</f>
        <v>20190305135825116</v>
      </c>
      <c r="B1705" t="str">
        <f>"1551765505110165"</f>
        <v>1551765505110165</v>
      </c>
      <c r="C1705" t="s">
        <v>40</v>
      </c>
      <c r="D1705">
        <v>4.8387650000000004</v>
      </c>
      <c r="E1705">
        <v>0.54763280000000003</v>
      </c>
      <c r="F1705" t="s">
        <v>61</v>
      </c>
      <c r="G1705">
        <v>-293.88670000000002</v>
      </c>
      <c r="H1705" s="1">
        <v>2.8013749999999999E-6</v>
      </c>
      <c r="I1705">
        <v>285.6893</v>
      </c>
      <c r="J1705">
        <v>-267.05189999999999</v>
      </c>
      <c r="K1705">
        <v>1.107397</v>
      </c>
      <c r="L1705">
        <v>284.07060000000001</v>
      </c>
      <c r="M1705">
        <v>-0.99998410000000004</v>
      </c>
      <c r="N1705">
        <v>-4.9777930000000003E-3</v>
      </c>
      <c r="O1705">
        <v>-2.654057E-3</v>
      </c>
      <c r="P1705">
        <v>-0.98983399999999999</v>
      </c>
      <c r="Q1705">
        <v>0.12399979999999999</v>
      </c>
      <c r="R1705">
        <v>-6.9663539999999996E-2</v>
      </c>
      <c r="S1705">
        <v>-3.0592649999999999</v>
      </c>
      <c r="T1705">
        <v>-0.12410590000000001</v>
      </c>
      <c r="U1705">
        <v>0.18124390000000001</v>
      </c>
      <c r="V1705">
        <v>-6.6675139999999994E-2</v>
      </c>
      <c r="W1705">
        <v>0.12911349999999999</v>
      </c>
      <c r="X1705">
        <v>0.98938570000000003</v>
      </c>
      <c r="Y1705">
        <v>6.1731290000000001E-2</v>
      </c>
      <c r="Z1705">
        <v>1.4987100000000001E-3</v>
      </c>
      <c r="AA1705">
        <v>0.99809170000000003</v>
      </c>
      <c r="AB1705">
        <v>50</v>
      </c>
      <c r="AC1705">
        <v>-26.834800000000001</v>
      </c>
      <c r="AD1705">
        <v>-1.107394198625</v>
      </c>
      <c r="AE1705">
        <v>1.61869999999998</v>
      </c>
      <c r="AF1705">
        <v>1.6870536781386201</v>
      </c>
      <c r="AG1705">
        <v>-1.107394198625</v>
      </c>
      <c r="AH1705">
        <v>26.784960615373699</v>
      </c>
      <c r="AI1705">
        <v>92.362804716153704</v>
      </c>
      <c r="AJ1705">
        <v>86.395979885281307</v>
      </c>
      <c r="AK1705">
        <v>26.860874654247301</v>
      </c>
      <c r="AL1705">
        <v>82.581631865045907</v>
      </c>
      <c r="AM1705">
        <v>93.855358644753906</v>
      </c>
      <c r="AN1705">
        <v>0.99999996677037895</v>
      </c>
    </row>
    <row r="1706" spans="1:40" x14ac:dyDescent="0.25">
      <c r="A1706" t="str">
        <f>"20190305135825141"</f>
        <v>20190305135825141</v>
      </c>
      <c r="B1706" t="str">
        <f>"1551765505130660"</f>
        <v>1551765505130660</v>
      </c>
      <c r="C1706" t="s">
        <v>40</v>
      </c>
      <c r="D1706">
        <v>4.1852980000000004</v>
      </c>
      <c r="E1706">
        <v>0.54810890000000001</v>
      </c>
      <c r="F1706" t="s">
        <v>61</v>
      </c>
      <c r="G1706">
        <v>-295.1404</v>
      </c>
      <c r="H1706" s="1">
        <v>3.0163190000000001E-6</v>
      </c>
      <c r="I1706">
        <v>285.77460000000002</v>
      </c>
      <c r="J1706">
        <v>-267.62090000000001</v>
      </c>
      <c r="K1706">
        <v>1.107273</v>
      </c>
      <c r="L1706">
        <v>284.06990000000002</v>
      </c>
      <c r="M1706">
        <v>-0.99998529999999997</v>
      </c>
      <c r="N1706">
        <v>-5.3430960000000003E-3</v>
      </c>
      <c r="O1706">
        <v>-9.2477029999999999E-4</v>
      </c>
      <c r="P1706">
        <v>-0.99003419999999998</v>
      </c>
      <c r="Q1706">
        <v>0.123476</v>
      </c>
      <c r="R1706">
        <v>-6.7720160000000001E-2</v>
      </c>
      <c r="S1706">
        <v>-3.0589900000000001</v>
      </c>
      <c r="T1706">
        <v>-0.1206009</v>
      </c>
      <c r="U1706">
        <v>0.1855774</v>
      </c>
      <c r="V1706">
        <v>-6.6376690000000002E-2</v>
      </c>
      <c r="W1706">
        <v>0.12898579999999901</v>
      </c>
      <c r="X1706">
        <v>0.98942240000000004</v>
      </c>
      <c r="Y1706">
        <v>6.1423409999999998E-2</v>
      </c>
      <c r="Z1706">
        <v>1.4050270000000001E-3</v>
      </c>
      <c r="AA1706">
        <v>0.99811079999999996</v>
      </c>
      <c r="AB1706">
        <v>50</v>
      </c>
      <c r="AC1706">
        <v>-27.519499999999901</v>
      </c>
      <c r="AD1706">
        <v>-1.107269983681</v>
      </c>
      <c r="AE1706">
        <v>1.7047000000000001</v>
      </c>
      <c r="AF1706">
        <v>1.727363073727</v>
      </c>
      <c r="AG1706">
        <v>-1.107269983681</v>
      </c>
      <c r="AH1706">
        <v>27.473604143791398</v>
      </c>
      <c r="AI1706">
        <v>92.303402094327794</v>
      </c>
      <c r="AJ1706">
        <v>86.402346459192003</v>
      </c>
      <c r="AK1706">
        <v>27.550113514375699</v>
      </c>
      <c r="AL1706">
        <v>82.589010060588095</v>
      </c>
      <c r="AM1706">
        <v>93.838011117251995</v>
      </c>
      <c r="AN1706">
        <v>0.99999994359937605</v>
      </c>
    </row>
    <row r="1707" spans="1:40" x14ac:dyDescent="0.25">
      <c r="A1707" t="str">
        <f>"20190305135825162"</f>
        <v>20190305135825162</v>
      </c>
      <c r="B1707" t="str">
        <f>"1551765505150181"</f>
        <v>1551765505150181</v>
      </c>
      <c r="C1707" t="s">
        <v>40</v>
      </c>
      <c r="D1707">
        <v>4.3664519999999998</v>
      </c>
      <c r="E1707">
        <v>0.54823520000000003</v>
      </c>
      <c r="F1707" t="s">
        <v>61</v>
      </c>
      <c r="G1707">
        <v>-295.97370000000001</v>
      </c>
      <c r="H1707" s="1">
        <v>3.153923E-6</v>
      </c>
      <c r="I1707">
        <v>285.8913</v>
      </c>
      <c r="J1707">
        <v>-268.1121</v>
      </c>
      <c r="K1707">
        <v>1.107229</v>
      </c>
      <c r="L1707">
        <v>284.07029999999997</v>
      </c>
      <c r="M1707">
        <v>-0.9999825</v>
      </c>
      <c r="N1707">
        <v>-5.9032440000000002E-3</v>
      </c>
      <c r="O1707">
        <v>6.2573890000000001E-4</v>
      </c>
      <c r="P1707">
        <v>-0.99051829999999996</v>
      </c>
      <c r="Q1707">
        <v>0.12026439999999999</v>
      </c>
      <c r="R1707">
        <v>-6.6411609999999996E-2</v>
      </c>
      <c r="S1707">
        <v>-3.0585330000000002</v>
      </c>
      <c r="T1707">
        <v>-0.1194458</v>
      </c>
      <c r="U1707">
        <v>0.19647220000000001</v>
      </c>
      <c r="V1707">
        <v>-6.6560250000000001E-2</v>
      </c>
      <c r="W1707">
        <v>0.12635869999999999</v>
      </c>
      <c r="X1707">
        <v>0.98974910000000005</v>
      </c>
      <c r="Y1707">
        <v>6.3425679999999998E-2</v>
      </c>
      <c r="Z1707">
        <v>1.403517E-3</v>
      </c>
      <c r="AA1707">
        <v>0.99798560000000003</v>
      </c>
      <c r="AB1707">
        <v>50</v>
      </c>
      <c r="AC1707">
        <v>-27.861599999999999</v>
      </c>
      <c r="AD1707">
        <v>-1.1072258460769999</v>
      </c>
      <c r="AE1707">
        <v>1.8210000000000199</v>
      </c>
      <c r="AF1707">
        <v>1.80073348138384</v>
      </c>
      <c r="AG1707">
        <v>-1.1072258460769999</v>
      </c>
      <c r="AH1707">
        <v>27.818986823704599</v>
      </c>
      <c r="AI1707">
        <v>92.274476085453799</v>
      </c>
      <c r="AJ1707">
        <v>86.296389608746495</v>
      </c>
      <c r="AK1707">
        <v>27.899186691418901</v>
      </c>
      <c r="AL1707">
        <v>82.740774492859899</v>
      </c>
      <c r="AM1707">
        <v>93.847326468494401</v>
      </c>
      <c r="AN1707">
        <v>1.00000003444828</v>
      </c>
    </row>
    <row r="1708" spans="1:40" x14ac:dyDescent="0.25">
      <c r="A1708" t="str">
        <f>"20190305135825183"</f>
        <v>20190305135825183</v>
      </c>
      <c r="B1708" t="str">
        <f>"1551765505170677"</f>
        <v>1551765505170677</v>
      </c>
      <c r="C1708" t="s">
        <v>40</v>
      </c>
      <c r="D1708">
        <v>4.2092900000000002</v>
      </c>
      <c r="E1708">
        <v>0.54837659999999999</v>
      </c>
      <c r="F1708" t="s">
        <v>61</v>
      </c>
      <c r="G1708">
        <v>-294.8972</v>
      </c>
      <c r="H1708" s="1">
        <v>2.9671879999999998E-6</v>
      </c>
      <c r="I1708">
        <v>285.84300000000002</v>
      </c>
      <c r="J1708">
        <v>-268.56630000000001</v>
      </c>
      <c r="K1708">
        <v>1.1072280000000001</v>
      </c>
      <c r="L1708">
        <v>284.07119999999998</v>
      </c>
      <c r="M1708">
        <v>-0.99997630000000004</v>
      </c>
      <c r="N1708">
        <v>-6.5622369999999899E-3</v>
      </c>
      <c r="O1708">
        <v>2.0885330000000001E-3</v>
      </c>
      <c r="P1708">
        <v>-0.99060340000000002</v>
      </c>
      <c r="Q1708">
        <v>0.1203323</v>
      </c>
      <c r="R1708">
        <v>-6.5004069999999997E-2</v>
      </c>
      <c r="S1708">
        <v>-3.057617</v>
      </c>
      <c r="T1708">
        <v>-0.12639400000000001</v>
      </c>
      <c r="U1708">
        <v>0.20236209999999999</v>
      </c>
      <c r="V1708">
        <v>-6.6555779999999995E-2</v>
      </c>
      <c r="W1708">
        <v>0.1271013</v>
      </c>
      <c r="X1708">
        <v>0.98965429999999999</v>
      </c>
      <c r="Y1708">
        <v>6.3892560000000001E-2</v>
      </c>
      <c r="Z1708">
        <v>1.456031E-3</v>
      </c>
      <c r="AA1708">
        <v>0.9979557</v>
      </c>
      <c r="AB1708">
        <v>50</v>
      </c>
      <c r="AC1708">
        <v>-26.3308999999999</v>
      </c>
      <c r="AD1708">
        <v>-1.1072250328119999</v>
      </c>
      <c r="AE1708">
        <v>1.77180000000004</v>
      </c>
      <c r="AF1708">
        <v>1.7137852800900299</v>
      </c>
      <c r="AG1708">
        <v>-1.1072250328119999</v>
      </c>
      <c r="AH1708">
        <v>26.288268758839799</v>
      </c>
      <c r="AI1708">
        <v>92.406689677525307</v>
      </c>
      <c r="AJ1708">
        <v>86.270050651033799</v>
      </c>
      <c r="AK1708">
        <v>26.367329815446499</v>
      </c>
      <c r="AL1708">
        <v>82.697880721644694</v>
      </c>
      <c r="AM1708">
        <v>93.847436276631598</v>
      </c>
      <c r="AN1708">
        <v>1.0000000229107899</v>
      </c>
    </row>
    <row r="1709" spans="1:40" x14ac:dyDescent="0.25">
      <c r="A1709" t="str">
        <f>"20190305135825207"</f>
        <v>20190305135825207</v>
      </c>
      <c r="B1709" t="str">
        <f>"1551765505199957"</f>
        <v>1551765505199957</v>
      </c>
      <c r="C1709" t="s">
        <v>40</v>
      </c>
      <c r="D1709">
        <v>4.2190070000000004</v>
      </c>
      <c r="E1709">
        <v>0.54869169999999901</v>
      </c>
      <c r="F1709" t="s">
        <v>61</v>
      </c>
      <c r="G1709">
        <v>-295.99590000000001</v>
      </c>
      <c r="H1709" s="1">
        <v>3.1539840000000002E-6</v>
      </c>
      <c r="I1709">
        <v>285.93560000000002</v>
      </c>
      <c r="J1709">
        <v>-269.09300000000002</v>
      </c>
      <c r="K1709">
        <v>1.1072599999999999</v>
      </c>
      <c r="L1709">
        <v>284.07330000000002</v>
      </c>
      <c r="M1709">
        <v>-0.9999652</v>
      </c>
      <c r="N1709">
        <v>-7.4292539999999997E-3</v>
      </c>
      <c r="O1709">
        <v>3.804329E-3</v>
      </c>
      <c r="P1709">
        <v>-0.99071929999999997</v>
      </c>
      <c r="Q1709">
        <v>0.120292899999999</v>
      </c>
      <c r="R1709">
        <v>-6.3285859999999999E-2</v>
      </c>
      <c r="S1709">
        <v>-3.0570979999999999</v>
      </c>
      <c r="T1709">
        <v>-0.12340329999999999</v>
      </c>
      <c r="U1709">
        <v>0.20779420000000001</v>
      </c>
      <c r="V1709">
        <v>-6.6491889999999998E-2</v>
      </c>
      <c r="W1709">
        <v>0.12794169999999999</v>
      </c>
      <c r="X1709">
        <v>0.98955029999999999</v>
      </c>
      <c r="Y1709">
        <v>6.395903E-2</v>
      </c>
      <c r="Z1709">
        <v>1.4017560000000001E-3</v>
      </c>
      <c r="AA1709">
        <v>0.99795160000000005</v>
      </c>
      <c r="AB1709">
        <v>50</v>
      </c>
      <c r="AC1709">
        <v>-26.902899999999899</v>
      </c>
      <c r="AD1709">
        <v>-1.1072568460159999</v>
      </c>
      <c r="AE1709">
        <v>1.8623000000000001</v>
      </c>
      <c r="AF1709">
        <v>1.7569741999533699</v>
      </c>
      <c r="AG1709">
        <v>-1.1072568460159999</v>
      </c>
      <c r="AH1709">
        <v>26.864500417878599</v>
      </c>
      <c r="AI1709">
        <v>92.355161586357497</v>
      </c>
      <c r="AJ1709">
        <v>86.258108547404902</v>
      </c>
      <c r="AK1709">
        <v>26.9446536211649</v>
      </c>
      <c r="AL1709">
        <v>82.649332996755405</v>
      </c>
      <c r="AM1709">
        <v>93.844156780278794</v>
      </c>
      <c r="AN1709">
        <v>1.00000002313237</v>
      </c>
    </row>
    <row r="1710" spans="1:40" x14ac:dyDescent="0.25">
      <c r="A1710" t="str">
        <f>"20190305135825228"</f>
        <v>20190305135825228</v>
      </c>
      <c r="B1710" t="str">
        <f>"1551765505220453"</f>
        <v>1551765505220453</v>
      </c>
      <c r="C1710" t="s">
        <v>40</v>
      </c>
      <c r="D1710">
        <v>4.4258470000000001</v>
      </c>
      <c r="E1710">
        <v>0.55065559999999902</v>
      </c>
      <c r="F1710" t="s">
        <v>61</v>
      </c>
      <c r="G1710">
        <v>-297.33749999999998</v>
      </c>
      <c r="H1710" s="1">
        <v>3.3806910000000001E-6</v>
      </c>
      <c r="I1710">
        <v>286.06459999999998</v>
      </c>
      <c r="J1710">
        <v>-269.57690000000002</v>
      </c>
      <c r="K1710">
        <v>1.107289</v>
      </c>
      <c r="L1710">
        <v>284.07600000000002</v>
      </c>
      <c r="M1710">
        <v>-0.9999517</v>
      </c>
      <c r="N1710">
        <v>-8.2289549999999996E-3</v>
      </c>
      <c r="O1710">
        <v>5.3905350000000001E-3</v>
      </c>
      <c r="P1710">
        <v>-0.99093140000000002</v>
      </c>
      <c r="Q1710">
        <v>0.11945269999999999</v>
      </c>
      <c r="R1710">
        <v>-6.1531540000000003E-2</v>
      </c>
      <c r="S1710">
        <v>-3.0564269999999998</v>
      </c>
      <c r="T1710">
        <v>-0.1198196</v>
      </c>
      <c r="U1710">
        <v>0.2154846</v>
      </c>
      <c r="V1710">
        <v>-6.6278429999999999E-2</v>
      </c>
      <c r="W1710">
        <v>0.12790950000000001</v>
      </c>
      <c r="X1710">
        <v>0.98956880000000003</v>
      </c>
      <c r="Y1710">
        <v>6.4891690000000002E-2</v>
      </c>
      <c r="Z1710">
        <v>1.370675E-3</v>
      </c>
      <c r="AA1710">
        <v>0.99789139999999998</v>
      </c>
      <c r="AB1710">
        <v>50</v>
      </c>
      <c r="AC1710">
        <v>-27.760599999999901</v>
      </c>
      <c r="AD1710">
        <v>-1.1072856193089999</v>
      </c>
      <c r="AE1710">
        <v>1.9886000000000199</v>
      </c>
      <c r="AF1710">
        <v>1.8360154355056999</v>
      </c>
      <c r="AG1710">
        <v>-1.1072856193089999</v>
      </c>
      <c r="AH1710">
        <v>27.727028989560001</v>
      </c>
      <c r="AI1710">
        <v>92.281913562574502</v>
      </c>
      <c r="AJ1710">
        <v>86.211545570837998</v>
      </c>
      <c r="AK1710">
        <v>27.809803500025801</v>
      </c>
      <c r="AL1710">
        <v>82.651193330858803</v>
      </c>
      <c r="AM1710">
        <v>93.831781222396899</v>
      </c>
      <c r="AN1710">
        <v>1.0000000402034701</v>
      </c>
    </row>
    <row r="1711" spans="1:40" x14ac:dyDescent="0.25">
      <c r="A1711" t="str">
        <f>"20190305135825249"</f>
        <v>20190305135825249</v>
      </c>
      <c r="B1711" t="str">
        <f>"1551765505239973"</f>
        <v>1551765505239973</v>
      </c>
      <c r="C1711" t="s">
        <v>40</v>
      </c>
      <c r="D1711">
        <v>4.4101860000000004</v>
      </c>
      <c r="E1711">
        <v>0.64362730000000001</v>
      </c>
      <c r="F1711" t="s">
        <v>61</v>
      </c>
      <c r="G1711">
        <v>-297.72949999999997</v>
      </c>
      <c r="H1711" s="1">
        <v>3.4333400000000001E-6</v>
      </c>
      <c r="I1711">
        <v>286.25779999999997</v>
      </c>
      <c r="J1711">
        <v>-270.05470000000003</v>
      </c>
      <c r="K1711">
        <v>1.10731</v>
      </c>
      <c r="L1711">
        <v>284.0795</v>
      </c>
      <c r="M1711">
        <v>-0.99993560000000004</v>
      </c>
      <c r="N1711">
        <v>-8.9710220000000004E-3</v>
      </c>
      <c r="O1711">
        <v>6.9492119999999998E-3</v>
      </c>
      <c r="P1711">
        <v>-0.99106399999999994</v>
      </c>
      <c r="Q1711">
        <v>0.11966300000000001</v>
      </c>
      <c r="R1711">
        <v>-5.8933560000000003E-2</v>
      </c>
      <c r="S1711">
        <v>-3.05661</v>
      </c>
      <c r="T1711">
        <v>-0.1202213</v>
      </c>
      <c r="U1711">
        <v>0.23687739999999999</v>
      </c>
      <c r="V1711">
        <v>-6.5197749999999999E-2</v>
      </c>
      <c r="W1711">
        <v>0.12886149999999999</v>
      </c>
      <c r="X1711">
        <v>0.98951699999999998</v>
      </c>
      <c r="Y1711">
        <v>7.0271319999999998E-2</v>
      </c>
      <c r="Z1711">
        <v>1.4846169999999999E-3</v>
      </c>
      <c r="AA1711">
        <v>0.99752680000000005</v>
      </c>
      <c r="AB1711">
        <v>50</v>
      </c>
      <c r="AC1711">
        <v>-27.674799999999902</v>
      </c>
      <c r="AD1711">
        <v>-1.1073065666599999</v>
      </c>
      <c r="AE1711">
        <v>2.1782999999999801</v>
      </c>
      <c r="AF1711">
        <v>1.9827669185575001</v>
      </c>
      <c r="AG1711">
        <v>-1.1073065666599999</v>
      </c>
      <c r="AH1711">
        <v>27.645284692352799</v>
      </c>
      <c r="AI1711">
        <v>92.287833400211198</v>
      </c>
      <c r="AJ1711">
        <v>85.897673579261095</v>
      </c>
      <c r="AK1711">
        <v>27.7384076364728</v>
      </c>
      <c r="AL1711">
        <v>82.596192006682401</v>
      </c>
      <c r="AM1711">
        <v>93.769681811057893</v>
      </c>
      <c r="AN1711">
        <v>0.99999996303815497</v>
      </c>
    </row>
    <row r="1712" spans="1:40" x14ac:dyDescent="0.25">
      <c r="A1712" t="str">
        <f>"20190305135825273"</f>
        <v>20190305135825273</v>
      </c>
      <c r="B1712" t="str">
        <f>"1551765505260469"</f>
        <v>1551765505260469</v>
      </c>
      <c r="C1712" t="s">
        <v>40</v>
      </c>
      <c r="D1712">
        <v>4.2962259999999999</v>
      </c>
      <c r="E1712">
        <v>0.64534009999999997</v>
      </c>
      <c r="F1712" t="s">
        <v>61</v>
      </c>
      <c r="G1712">
        <v>-285.3494</v>
      </c>
      <c r="H1712" s="1">
        <v>5.1370439999999996E-6</v>
      </c>
      <c r="I1712">
        <v>288.93790000000001</v>
      </c>
      <c r="J1712">
        <v>-270.5575</v>
      </c>
      <c r="K1712">
        <v>1.107329</v>
      </c>
      <c r="L1712">
        <v>284.08390000000003</v>
      </c>
      <c r="M1712">
        <v>-0.99991640000000004</v>
      </c>
      <c r="N1712">
        <v>-9.6862159999999992E-3</v>
      </c>
      <c r="O1712">
        <v>8.5630319999999999E-3</v>
      </c>
      <c r="P1712">
        <v>-0.99112120000000004</v>
      </c>
      <c r="Q1712">
        <v>0.1206561</v>
      </c>
      <c r="R1712">
        <v>-5.5868719999999997E-2</v>
      </c>
      <c r="S1712">
        <v>-3.1130979999999999</v>
      </c>
      <c r="T1712">
        <v>-0.2253822</v>
      </c>
      <c r="U1712">
        <v>0.98889159999999998</v>
      </c>
      <c r="V1712">
        <v>-6.3706970000000002E-2</v>
      </c>
      <c r="W1712">
        <v>0.13056309999999999</v>
      </c>
      <c r="X1712">
        <v>0.98939109999999997</v>
      </c>
      <c r="Y1712">
        <v>0.29379139999999998</v>
      </c>
      <c r="Z1712">
        <v>1.1302609999999999E-2</v>
      </c>
      <c r="AA1712">
        <v>0.95580270000000001</v>
      </c>
      <c r="AB1712">
        <v>50</v>
      </c>
      <c r="AC1712">
        <v>-14.791899999999901</v>
      </c>
      <c r="AD1712">
        <v>-1.107323862956</v>
      </c>
      <c r="AE1712">
        <v>4.8539999999999797</v>
      </c>
      <c r="AF1712">
        <v>4.7033571379552299</v>
      </c>
      <c r="AG1712">
        <v>-1.107323862956</v>
      </c>
      <c r="AH1712">
        <v>14.758258929557901</v>
      </c>
      <c r="AI1712">
        <v>94.089016205067793</v>
      </c>
      <c r="AJ1712">
        <v>72.323272000025398</v>
      </c>
      <c r="AK1712">
        <v>15.529132014909999</v>
      </c>
      <c r="AL1712">
        <v>82.4978672755649</v>
      </c>
      <c r="AM1712">
        <v>93.684193666783401</v>
      </c>
      <c r="AN1712">
        <v>1.0000000249337</v>
      </c>
    </row>
    <row r="1713" spans="1:40" x14ac:dyDescent="0.25">
      <c r="A1713" t="str">
        <f>"20190305135825294"</f>
        <v>20190305135825294</v>
      </c>
      <c r="B1713" t="str">
        <f>"1551765505279989"</f>
        <v>1551765505279989</v>
      </c>
      <c r="C1713" t="s">
        <v>40</v>
      </c>
      <c r="D1713">
        <v>4.3299289999999999</v>
      </c>
      <c r="E1713">
        <v>0.64417930000000001</v>
      </c>
      <c r="F1713" t="s">
        <v>61</v>
      </c>
      <c r="G1713">
        <v>-285.90719999999999</v>
      </c>
      <c r="H1713" s="1">
        <v>4.8620150000000004E-6</v>
      </c>
      <c r="I1713">
        <v>289.07190000000003</v>
      </c>
      <c r="J1713">
        <v>-271.04309999999998</v>
      </c>
      <c r="K1713">
        <v>1.107348</v>
      </c>
      <c r="L1713">
        <v>284.08909999999997</v>
      </c>
      <c r="M1713">
        <v>-0.99989589999999995</v>
      </c>
      <c r="N1713">
        <v>-1.0313660000000001E-2</v>
      </c>
      <c r="O1713">
        <v>1.0086009999999999E-2</v>
      </c>
      <c r="P1713">
        <v>-0.99128289999999997</v>
      </c>
      <c r="Q1713">
        <v>0.12085129999999999</v>
      </c>
      <c r="R1713">
        <v>-5.2471480000000001E-2</v>
      </c>
      <c r="S1713">
        <v>-3.1111759999999999</v>
      </c>
      <c r="T1713">
        <v>-0.22443949999999999</v>
      </c>
      <c r="U1713">
        <v>1.0109859999999999</v>
      </c>
      <c r="V1713">
        <v>-6.1807880000000003E-2</v>
      </c>
      <c r="W1713">
        <v>0.13137480000000001</v>
      </c>
      <c r="X1713">
        <v>0.98940410000000001</v>
      </c>
      <c r="Y1713">
        <v>0.29864439999999998</v>
      </c>
      <c r="Z1713">
        <v>1.146314E-2</v>
      </c>
      <c r="AA1713">
        <v>0.95429560000000002</v>
      </c>
      <c r="AB1713">
        <v>50</v>
      </c>
      <c r="AC1713">
        <v>-14.864100000000001</v>
      </c>
      <c r="AD1713">
        <v>-1.1073431379850001</v>
      </c>
      <c r="AE1713">
        <v>4.9828000000000499</v>
      </c>
      <c r="AF1713">
        <v>4.8086275953336504</v>
      </c>
      <c r="AG1713">
        <v>-1.1073431379850001</v>
      </c>
      <c r="AH1713">
        <v>14.8395646812408</v>
      </c>
      <c r="AI1713">
        <v>94.060449728919195</v>
      </c>
      <c r="AJ1713">
        <v>72.045549006936</v>
      </c>
      <c r="AK1713">
        <v>15.6384714120203</v>
      </c>
      <c r="AL1713">
        <v>82.450956127761103</v>
      </c>
      <c r="AM1713">
        <v>93.574610988563705</v>
      </c>
      <c r="AN1713">
        <v>1.00000001260097</v>
      </c>
    </row>
    <row r="1714" spans="1:40" x14ac:dyDescent="0.25">
      <c r="A1714" t="str">
        <f>"20190305135825316"</f>
        <v>20190305135825316</v>
      </c>
      <c r="B1714" t="str">
        <f>"1551765505310245"</f>
        <v>1551765505310245</v>
      </c>
      <c r="C1714" t="s">
        <v>40</v>
      </c>
      <c r="D1714">
        <v>4.3536140000000003</v>
      </c>
      <c r="E1714">
        <v>0.64388420000000002</v>
      </c>
      <c r="F1714" t="s">
        <v>61</v>
      </c>
      <c r="G1714">
        <v>-286.52730000000003</v>
      </c>
      <c r="H1714" s="1">
        <v>4.575031E-6</v>
      </c>
      <c r="I1714">
        <v>289.12979999999999</v>
      </c>
      <c r="J1714">
        <v>-271.52620000000002</v>
      </c>
      <c r="K1714">
        <v>1.1073820000000001</v>
      </c>
      <c r="L1714">
        <v>284.09480000000002</v>
      </c>
      <c r="M1714">
        <v>-0.99987409999999999</v>
      </c>
      <c r="N1714">
        <v>-1.0877970000000001E-2</v>
      </c>
      <c r="O1714">
        <v>1.15611E-2</v>
      </c>
      <c r="P1714">
        <v>-0.9913421</v>
      </c>
      <c r="Q1714">
        <v>0.12143809999999999</v>
      </c>
      <c r="R1714">
        <v>-4.9939789999999998E-2</v>
      </c>
      <c r="S1714">
        <v>-3.106995</v>
      </c>
      <c r="T1714">
        <v>-0.2221938</v>
      </c>
      <c r="U1714">
        <v>1.011444</v>
      </c>
      <c r="V1714">
        <v>-6.0732769999999998E-2</v>
      </c>
      <c r="W1714">
        <v>0.13251479999999999</v>
      </c>
      <c r="X1714">
        <v>0.98931860000000005</v>
      </c>
      <c r="Y1714">
        <v>0.29775259999999998</v>
      </c>
      <c r="Z1714">
        <v>1.1346820000000001E-2</v>
      </c>
      <c r="AA1714">
        <v>0.95457570000000003</v>
      </c>
      <c r="AB1714">
        <v>50</v>
      </c>
      <c r="AC1714">
        <v>-15.001099999999999</v>
      </c>
      <c r="AD1714">
        <v>-1.1073774249689901</v>
      </c>
      <c r="AE1714">
        <v>5.0349999999999602</v>
      </c>
      <c r="AF1714">
        <v>4.8375316486124396</v>
      </c>
      <c r="AG1714">
        <v>-1.1073774249689901</v>
      </c>
      <c r="AH1714">
        <v>14.9849205835378</v>
      </c>
      <c r="AI1714">
        <v>94.022742144945397</v>
      </c>
      <c r="AJ1714">
        <v>72.108537971539405</v>
      </c>
      <c r="AK1714">
        <v>15.785304625112399</v>
      </c>
      <c r="AL1714">
        <v>82.385062485639693</v>
      </c>
      <c r="AM1714">
        <v>93.512892692353901</v>
      </c>
      <c r="AN1714">
        <v>0.99999996693843596</v>
      </c>
    </row>
    <row r="1715" spans="1:40" x14ac:dyDescent="0.25">
      <c r="A1715" t="str">
        <f>"20190305135825340"</f>
        <v>20190305135825340</v>
      </c>
      <c r="B1715" t="str">
        <f>"1551765505330741"</f>
        <v>1551765505330741</v>
      </c>
      <c r="C1715" t="s">
        <v>40</v>
      </c>
      <c r="D1715">
        <v>4.3512750000000002</v>
      </c>
      <c r="E1715">
        <v>0.64376709999999904</v>
      </c>
      <c r="F1715" t="s">
        <v>61</v>
      </c>
      <c r="G1715">
        <v>-287.0575</v>
      </c>
      <c r="H1715" s="1">
        <v>4.3297640000000003E-6</v>
      </c>
      <c r="I1715">
        <v>289.17899999999997</v>
      </c>
      <c r="J1715">
        <v>-272.05549999999999</v>
      </c>
      <c r="K1715">
        <v>1.107424</v>
      </c>
      <c r="L1715">
        <v>284.10199999999998</v>
      </c>
      <c r="M1715">
        <v>-0.99984870000000003</v>
      </c>
      <c r="N1715">
        <v>-1.1428489999999999E-2</v>
      </c>
      <c r="O1715">
        <v>1.312551E-2</v>
      </c>
      <c r="P1715">
        <v>-0.9915988</v>
      </c>
      <c r="Q1715">
        <v>0.12022670000000001</v>
      </c>
      <c r="R1715">
        <v>-4.772713E-2</v>
      </c>
      <c r="S1715">
        <v>-3.1045229999999999</v>
      </c>
      <c r="T1715">
        <v>-0.2213523</v>
      </c>
      <c r="U1715">
        <v>1.0162659999999999</v>
      </c>
      <c r="V1715">
        <v>-6.0083419999999998E-2</v>
      </c>
      <c r="W1715">
        <v>0.13184370000000001</v>
      </c>
      <c r="X1715">
        <v>0.98944799999999999</v>
      </c>
      <c r="Y1715">
        <v>0.29782380000000003</v>
      </c>
      <c r="Z1715">
        <v>1.131827E-2</v>
      </c>
      <c r="AA1715">
        <v>0.95455380000000001</v>
      </c>
      <c r="AB1715">
        <v>50</v>
      </c>
      <c r="AC1715">
        <v>-15.002000000000001</v>
      </c>
      <c r="AD1715">
        <v>-1.107419670236</v>
      </c>
      <c r="AE1715">
        <v>5.0769999999999902</v>
      </c>
      <c r="AF1715">
        <v>4.85589956778795</v>
      </c>
      <c r="AG1715">
        <v>-1.107419670236</v>
      </c>
      <c r="AH1715">
        <v>14.9940417194881</v>
      </c>
      <c r="AI1715">
        <v>94.019249454916107</v>
      </c>
      <c r="AJ1715">
        <v>72.055180144494798</v>
      </c>
      <c r="AK1715">
        <v>15.7996020843633</v>
      </c>
      <c r="AL1715">
        <v>82.423854770846305</v>
      </c>
      <c r="AM1715">
        <v>93.474972275230996</v>
      </c>
      <c r="AN1715">
        <v>1.0000000616462901</v>
      </c>
    </row>
    <row r="1716" spans="1:40" x14ac:dyDescent="0.25">
      <c r="A1716" t="str">
        <f>"20190305135825364"</f>
        <v>20190305135825364</v>
      </c>
      <c r="B1716" t="str">
        <f>"1551765505350261"</f>
        <v>1551765505350261</v>
      </c>
      <c r="C1716" t="s">
        <v>40</v>
      </c>
      <c r="D1716">
        <v>4.3582900000000002</v>
      </c>
      <c r="E1716">
        <v>0.64362129999999995</v>
      </c>
      <c r="F1716" t="s">
        <v>61</v>
      </c>
      <c r="G1716">
        <v>-287.19049999999999</v>
      </c>
      <c r="H1716" s="1">
        <v>4.2886080000000001E-6</v>
      </c>
      <c r="I1716">
        <v>289.0926</v>
      </c>
      <c r="J1716">
        <v>-272.59320000000002</v>
      </c>
      <c r="K1716">
        <v>1.1074740000000001</v>
      </c>
      <c r="L1716">
        <v>284.11020000000002</v>
      </c>
      <c r="M1716">
        <v>-0.99982159999999998</v>
      </c>
      <c r="N1716">
        <v>-1.191702E-2</v>
      </c>
      <c r="O1716">
        <v>1.465408E-2</v>
      </c>
      <c r="P1716">
        <v>-0.99190350000000005</v>
      </c>
      <c r="Q1716">
        <v>0.1185215</v>
      </c>
      <c r="R1716">
        <v>-4.5608160000000002E-2</v>
      </c>
      <c r="S1716">
        <v>-3.1021420000000002</v>
      </c>
      <c r="T1716">
        <v>-0.22698090000000001</v>
      </c>
      <c r="U1716">
        <v>1.022888</v>
      </c>
      <c r="V1716">
        <v>-5.9503399999999998E-2</v>
      </c>
      <c r="W1716">
        <v>0.13061610000000001</v>
      </c>
      <c r="X1716">
        <v>0.98964580000000002</v>
      </c>
      <c r="Y1716">
        <v>0.29837829999999999</v>
      </c>
      <c r="Z1716">
        <v>1.157508E-2</v>
      </c>
      <c r="AA1716">
        <v>0.95437749999999999</v>
      </c>
      <c r="AB1716">
        <v>49</v>
      </c>
      <c r="AC1716">
        <v>-14.597299999999899</v>
      </c>
      <c r="AD1716">
        <v>-1.107469711392</v>
      </c>
      <c r="AE1716">
        <v>4.9823999999999797</v>
      </c>
      <c r="AF1716">
        <v>4.7434853456589199</v>
      </c>
      <c r="AG1716">
        <v>-1.107469711392</v>
      </c>
      <c r="AH1716">
        <v>14.593515167343799</v>
      </c>
      <c r="AI1716">
        <v>94.127937662041404</v>
      </c>
      <c r="AJ1716">
        <v>71.993732953207697</v>
      </c>
      <c r="AK1716">
        <v>15.384987075900501</v>
      </c>
      <c r="AL1716">
        <v>82.494804293861606</v>
      </c>
      <c r="AM1716">
        <v>93.440821178387395</v>
      </c>
      <c r="AN1716">
        <v>1.0000000148242001</v>
      </c>
    </row>
    <row r="1717" spans="1:40" x14ac:dyDescent="0.25">
      <c r="A1717" t="str">
        <f>"20190305135825385"</f>
        <v>20190305135825385</v>
      </c>
      <c r="B1717" t="str">
        <f>"1551765505380517"</f>
        <v>1551765505380517</v>
      </c>
      <c r="C1717" t="s">
        <v>40</v>
      </c>
      <c r="D1717">
        <v>4.4007399999999999</v>
      </c>
      <c r="E1717">
        <v>0.64385239999999999</v>
      </c>
      <c r="F1717" t="s">
        <v>61</v>
      </c>
      <c r="G1717">
        <v>-287.36070000000001</v>
      </c>
      <c r="H1717" s="1">
        <v>4.2295550000000004E-6</v>
      </c>
      <c r="I1717">
        <v>289.01310000000001</v>
      </c>
      <c r="J1717">
        <v>-273.03680000000003</v>
      </c>
      <c r="K1717">
        <v>1.1075219999999999</v>
      </c>
      <c r="L1717">
        <v>284.11750000000001</v>
      </c>
      <c r="M1717">
        <v>-0.99979870000000004</v>
      </c>
      <c r="N1717">
        <v>-1.227491E-2</v>
      </c>
      <c r="O1717">
        <v>1.5875070000000002E-2</v>
      </c>
      <c r="P1717">
        <v>-0.99209020000000003</v>
      </c>
      <c r="Q1717">
        <v>0.11760909999999999</v>
      </c>
      <c r="R1717">
        <v>-4.3874669999999998E-2</v>
      </c>
      <c r="S1717">
        <v>-3.0995789999999999</v>
      </c>
      <c r="T1717">
        <v>-0.23244890000000001</v>
      </c>
      <c r="U1717">
        <v>1.029083</v>
      </c>
      <c r="V1717">
        <v>-5.9000039999999997E-2</v>
      </c>
      <c r="W1717">
        <v>0.1300511</v>
      </c>
      <c r="X1717">
        <v>0.98975029999999997</v>
      </c>
      <c r="Y1717">
        <v>0.29912529999999998</v>
      </c>
      <c r="Z1717">
        <v>1.1828190000000001E-2</v>
      </c>
      <c r="AA1717">
        <v>0.95414049999999995</v>
      </c>
      <c r="AB1717">
        <v>49</v>
      </c>
      <c r="AC1717">
        <v>-14.323899999999901</v>
      </c>
      <c r="AD1717">
        <v>-1.1075177704450001</v>
      </c>
      <c r="AE1717">
        <v>4.8956</v>
      </c>
      <c r="AF1717">
        <v>4.6427203869267402</v>
      </c>
      <c r="AG1717">
        <v>-1.1075177704450001</v>
      </c>
      <c r="AH1717">
        <v>14.3231464789749</v>
      </c>
      <c r="AI1717">
        <v>94.206870004457798</v>
      </c>
      <c r="AJ1717">
        <v>72.040359851136998</v>
      </c>
      <c r="AK1717">
        <v>15.0974823484318</v>
      </c>
      <c r="AL1717">
        <v>82.527454612100698</v>
      </c>
      <c r="AM1717">
        <v>93.411423749290506</v>
      </c>
      <c r="AN1717">
        <v>0.99999997484064995</v>
      </c>
    </row>
    <row r="1718" spans="1:40" x14ac:dyDescent="0.25">
      <c r="A1718" t="str">
        <f>"20190305135825405"</f>
        <v>20190305135825405</v>
      </c>
      <c r="B1718" t="str">
        <f>"1551765505400037"</f>
        <v>1551765505400037</v>
      </c>
      <c r="C1718" t="s">
        <v>40</v>
      </c>
      <c r="D1718">
        <v>4.316236</v>
      </c>
      <c r="E1718">
        <v>0.64404459999999997</v>
      </c>
      <c r="F1718" t="s">
        <v>61</v>
      </c>
      <c r="G1718">
        <v>-287.39519999999999</v>
      </c>
      <c r="H1718" s="1">
        <v>4.2329270000000003E-6</v>
      </c>
      <c r="I1718">
        <v>288.92290000000003</v>
      </c>
      <c r="J1718">
        <v>-273.50470000000001</v>
      </c>
      <c r="K1718">
        <v>1.1075759999999999</v>
      </c>
      <c r="L1718">
        <v>284.12580000000003</v>
      </c>
      <c r="M1718">
        <v>-0.99977419999999995</v>
      </c>
      <c r="N1718">
        <v>-1.2609469999999999E-2</v>
      </c>
      <c r="O1718">
        <v>1.7114609999999999E-2</v>
      </c>
      <c r="P1718">
        <v>-0.99220399999999997</v>
      </c>
      <c r="Q1718">
        <v>0.11731370000000001</v>
      </c>
      <c r="R1718">
        <v>-4.2060609999999998E-2</v>
      </c>
      <c r="S1718">
        <v>-3.0981139999999998</v>
      </c>
      <c r="T1718">
        <v>-0.2389705</v>
      </c>
      <c r="U1718">
        <v>1.0368649999999999</v>
      </c>
      <c r="V1718">
        <v>-5.8432539999999998E-2</v>
      </c>
      <c r="W1718">
        <v>0.1300781</v>
      </c>
      <c r="X1718">
        <v>0.9897804</v>
      </c>
      <c r="Y1718">
        <v>0.30018420000000001</v>
      </c>
      <c r="Z1718">
        <v>1.2128079999999999E-2</v>
      </c>
      <c r="AA1718">
        <v>0.95380410000000004</v>
      </c>
      <c r="AB1718">
        <v>49</v>
      </c>
      <c r="AC1718">
        <v>-13.8904999999999</v>
      </c>
      <c r="AD1718">
        <v>-1.1075717670730001</v>
      </c>
      <c r="AE1718">
        <v>4.7971000000000004</v>
      </c>
      <c r="AF1718">
        <v>4.5328995299289199</v>
      </c>
      <c r="AG1718">
        <v>-1.1075717670730001</v>
      </c>
      <c r="AH1718">
        <v>13.8916628714144</v>
      </c>
      <c r="AI1718">
        <v>94.334510325740894</v>
      </c>
      <c r="AJ1718">
        <v>71.928309327420706</v>
      </c>
      <c r="AK1718">
        <v>14.6544256353049</v>
      </c>
      <c r="AL1718">
        <v>82.525894238694704</v>
      </c>
      <c r="AM1718">
        <v>93.3785843742493</v>
      </c>
      <c r="AN1718">
        <v>0.99999995702730904</v>
      </c>
    </row>
    <row r="1719" spans="1:40" x14ac:dyDescent="0.25">
      <c r="A1719" t="str">
        <f>"20190305135825429"</f>
        <v>20190305135825429</v>
      </c>
      <c r="B1719" t="str">
        <f>"1551765505420533"</f>
        <v>1551765505420533</v>
      </c>
      <c r="C1719" t="s">
        <v>40</v>
      </c>
      <c r="D1719">
        <v>4.3435870000000003</v>
      </c>
      <c r="E1719">
        <v>0.64383299999999999</v>
      </c>
      <c r="F1719" t="s">
        <v>61</v>
      </c>
      <c r="G1719">
        <v>-287.822</v>
      </c>
      <c r="H1719" s="1">
        <v>4.0369869999999999E-6</v>
      </c>
      <c r="I1719">
        <v>288.95510000000002</v>
      </c>
      <c r="J1719">
        <v>-274.02569999999997</v>
      </c>
      <c r="K1719">
        <v>1.1076440000000001</v>
      </c>
      <c r="L1719">
        <v>284.13560000000001</v>
      </c>
      <c r="M1719">
        <v>-0.99974660000000004</v>
      </c>
      <c r="N1719">
        <v>-1.293529E-2</v>
      </c>
      <c r="O1719">
        <v>1.8427300000000001E-2</v>
      </c>
      <c r="P1719">
        <v>-0.99242739999999996</v>
      </c>
      <c r="Q1719">
        <v>0.1159641</v>
      </c>
      <c r="R1719">
        <v>-4.0504419999999999E-2</v>
      </c>
      <c r="S1719">
        <v>-3.0961609999999999</v>
      </c>
      <c r="T1719">
        <v>-0.23951510000000001</v>
      </c>
      <c r="U1719">
        <v>1.0443420000000001</v>
      </c>
      <c r="V1719">
        <v>-5.8207330000000002E-2</v>
      </c>
      <c r="W1719">
        <v>0.12904260000000001</v>
      </c>
      <c r="X1719">
        <v>0.98992930000000001</v>
      </c>
      <c r="Y1719">
        <v>0.30117379999999999</v>
      </c>
      <c r="Z1719">
        <v>1.217119E-2</v>
      </c>
      <c r="AA1719">
        <v>0.95349159999999999</v>
      </c>
      <c r="AB1719">
        <v>49</v>
      </c>
      <c r="AC1719">
        <v>-13.7963</v>
      </c>
      <c r="AD1719">
        <v>-1.1076399630130001</v>
      </c>
      <c r="AE1719">
        <v>4.8194999999999997</v>
      </c>
      <c r="AF1719">
        <v>4.5383602663032496</v>
      </c>
      <c r="AG1719">
        <v>-1.1076399630130001</v>
      </c>
      <c r="AH1719">
        <v>13.8034782043971</v>
      </c>
      <c r="AI1719">
        <v>94.359175690719496</v>
      </c>
      <c r="AJ1719">
        <v>71.799971717330493</v>
      </c>
      <c r="AK1719">
        <v>14.5725629432056</v>
      </c>
      <c r="AL1719">
        <v>82.585729044564005</v>
      </c>
      <c r="AM1719">
        <v>93.365087594113106</v>
      </c>
      <c r="AN1719">
        <v>1.0000000524394801</v>
      </c>
    </row>
    <row r="1720" spans="1:40" x14ac:dyDescent="0.25">
      <c r="A1720" t="str">
        <f>"20190305135825451"</f>
        <v>20190305135825451</v>
      </c>
      <c r="B1720" t="str">
        <f>"1551765505440052"</f>
        <v>1551765505440052</v>
      </c>
      <c r="C1720" t="s">
        <v>40</v>
      </c>
      <c r="D1720">
        <v>4.362711</v>
      </c>
      <c r="E1720">
        <v>0.64384849999999905</v>
      </c>
      <c r="F1720" t="s">
        <v>61</v>
      </c>
      <c r="G1720">
        <v>-288.32569999999998</v>
      </c>
      <c r="H1720" s="1">
        <v>3.8084580000000002E-6</v>
      </c>
      <c r="I1720">
        <v>288.98</v>
      </c>
      <c r="J1720">
        <v>-274.5145</v>
      </c>
      <c r="K1720">
        <v>1.107718</v>
      </c>
      <c r="L1720">
        <v>284.1454</v>
      </c>
      <c r="M1720">
        <v>-0.99972099999999997</v>
      </c>
      <c r="N1720">
        <v>-1.3201259999999999E-2</v>
      </c>
      <c r="O1720">
        <v>1.9587130000000001E-2</v>
      </c>
      <c r="P1720">
        <v>-0.99260429999999999</v>
      </c>
      <c r="Q1720">
        <v>0.1148484</v>
      </c>
      <c r="R1720">
        <v>-3.9328580000000002E-2</v>
      </c>
      <c r="S1720">
        <v>-3.093658</v>
      </c>
      <c r="T1720">
        <v>-0.23962649999999999</v>
      </c>
      <c r="U1720">
        <v>1.048035</v>
      </c>
      <c r="V1720">
        <v>-5.821105E-2</v>
      </c>
      <c r="W1720">
        <v>0.128182399999999</v>
      </c>
      <c r="X1720">
        <v>0.99004080000000005</v>
      </c>
      <c r="Y1720">
        <v>0.30131940000000002</v>
      </c>
      <c r="Z1720">
        <v>1.216217E-2</v>
      </c>
      <c r="AA1720">
        <v>0.95344569999999995</v>
      </c>
      <c r="AB1720">
        <v>49</v>
      </c>
      <c r="AC1720">
        <v>-13.8111999999999</v>
      </c>
      <c r="AD1720">
        <v>-1.1077141915419999</v>
      </c>
      <c r="AE1720">
        <v>4.8346000000000204</v>
      </c>
      <c r="AF1720">
        <v>4.5371269635881699</v>
      </c>
      <c r="AG1720">
        <v>-1.1077141915419999</v>
      </c>
      <c r="AH1720">
        <v>13.8240353929294</v>
      </c>
      <c r="AI1720">
        <v>94.353752212051702</v>
      </c>
      <c r="AJ1720">
        <v>71.829870168274795</v>
      </c>
      <c r="AK1720">
        <v>14.5916587939421</v>
      </c>
      <c r="AL1720">
        <v>82.635427382082199</v>
      </c>
      <c r="AM1720">
        <v>93.364924025982702</v>
      </c>
      <c r="AN1720">
        <v>1.0000000198382499</v>
      </c>
    </row>
    <row r="1721" spans="1:40" x14ac:dyDescent="0.25">
      <c r="A1721" t="str">
        <f>"20190305135825473"</f>
        <v>20190305135825473</v>
      </c>
      <c r="B1721" t="str">
        <f>"1551765505460549"</f>
        <v>1551765505460549</v>
      </c>
      <c r="C1721" t="s">
        <v>40</v>
      </c>
      <c r="D1721">
        <v>4.3766319999999999</v>
      </c>
      <c r="E1721">
        <v>0.64393809999999996</v>
      </c>
      <c r="F1721" t="s">
        <v>61</v>
      </c>
      <c r="G1721">
        <v>-288.76049999999998</v>
      </c>
      <c r="H1721" s="1">
        <v>3.6124349999999998E-6</v>
      </c>
      <c r="I1721">
        <v>288.9957</v>
      </c>
      <c r="J1721">
        <v>-274.98390000000001</v>
      </c>
      <c r="K1721">
        <v>1.107804</v>
      </c>
      <c r="L1721">
        <v>284.15539999999999</v>
      </c>
      <c r="M1721">
        <v>-0.99969710000000001</v>
      </c>
      <c r="N1721">
        <v>-1.342382E-2</v>
      </c>
      <c r="O1721">
        <v>2.0625520000000001E-2</v>
      </c>
      <c r="P1721">
        <v>-0.99258690000000005</v>
      </c>
      <c r="Q1721">
        <v>0.1152654</v>
      </c>
      <c r="R1721">
        <v>-3.8540169999999999E-2</v>
      </c>
      <c r="S1721">
        <v>-3.091888</v>
      </c>
      <c r="T1721">
        <v>-0.2404144</v>
      </c>
      <c r="U1721">
        <v>1.052673</v>
      </c>
      <c r="V1721">
        <v>-5.8474400000000003E-2</v>
      </c>
      <c r="W1721">
        <v>0.12880899999999901</v>
      </c>
      <c r="X1721">
        <v>0.98994389999999999</v>
      </c>
      <c r="Y1721">
        <v>0.30176920000000002</v>
      </c>
      <c r="Z1721">
        <v>1.219216E-2</v>
      </c>
      <c r="AA1721">
        <v>0.95330300000000001</v>
      </c>
      <c r="AB1721">
        <v>49</v>
      </c>
      <c r="AC1721">
        <v>-13.776599999999901</v>
      </c>
      <c r="AD1721">
        <v>-1.107800387565</v>
      </c>
      <c r="AE1721">
        <v>4.8403000000000098</v>
      </c>
      <c r="AF1721">
        <v>4.52902783687989</v>
      </c>
      <c r="AG1721">
        <v>-1.107800387565</v>
      </c>
      <c r="AH1721">
        <v>13.7941184474992</v>
      </c>
      <c r="AI1721">
        <v>94.363335907254097</v>
      </c>
      <c r="AJ1721">
        <v>71.823421691463807</v>
      </c>
      <c r="AK1721">
        <v>14.560804187597601</v>
      </c>
      <c r="AL1721">
        <v>82.599225363176402</v>
      </c>
      <c r="AM1721">
        <v>93.380442003693005</v>
      </c>
      <c r="AN1721">
        <v>0.99999996954178405</v>
      </c>
    </row>
    <row r="1722" spans="1:40" x14ac:dyDescent="0.25">
      <c r="A1722" t="str">
        <f>"20190305135825495"</f>
        <v>20190305135825495</v>
      </c>
      <c r="B1722" t="str">
        <f>"1551765505490805"</f>
        <v>1551765505490805</v>
      </c>
      <c r="C1722" t="s">
        <v>40</v>
      </c>
      <c r="D1722">
        <v>4.365119</v>
      </c>
      <c r="E1722">
        <v>0.64358090000000001</v>
      </c>
      <c r="F1722" t="s">
        <v>61</v>
      </c>
      <c r="G1722">
        <v>-289.44810000000001</v>
      </c>
      <c r="H1722" s="1">
        <v>3.2863709999999998E-6</v>
      </c>
      <c r="I1722">
        <v>289.09800000000001</v>
      </c>
      <c r="J1722">
        <v>-275.47160000000002</v>
      </c>
      <c r="K1722">
        <v>1.1079110000000001</v>
      </c>
      <c r="L1722">
        <v>284.16609999999997</v>
      </c>
      <c r="M1722">
        <v>-0.99967360000000005</v>
      </c>
      <c r="N1722">
        <v>-1.3625379999999999E-2</v>
      </c>
      <c r="O1722">
        <v>2.161505E-2</v>
      </c>
      <c r="P1722">
        <v>-0.99255890000000002</v>
      </c>
      <c r="Q1722">
        <v>0.1156126</v>
      </c>
      <c r="R1722">
        <v>-3.8221199999999997E-2</v>
      </c>
      <c r="S1722">
        <v>-3.0909119999999999</v>
      </c>
      <c r="T1722">
        <v>-0.23673140000000001</v>
      </c>
      <c r="U1722">
        <v>1.0562129999999901</v>
      </c>
      <c r="V1722">
        <v>-5.916366E-2</v>
      </c>
      <c r="W1722">
        <v>0.12934380000000001</v>
      </c>
      <c r="X1722">
        <v>0.98983319999999997</v>
      </c>
      <c r="Y1722">
        <v>0.30192010000000002</v>
      </c>
      <c r="Z1722">
        <v>1.202495E-2</v>
      </c>
      <c r="AA1722">
        <v>0.95325740000000003</v>
      </c>
      <c r="AB1722">
        <v>49</v>
      </c>
      <c r="AC1722">
        <v>-13.9764999999999</v>
      </c>
      <c r="AD1722">
        <v>-1.1079077136290001</v>
      </c>
      <c r="AE1722">
        <v>4.9319000000000397</v>
      </c>
      <c r="AF1722">
        <v>4.6028965176123</v>
      </c>
      <c r="AG1722">
        <v>-1.1079077136290001</v>
      </c>
      <c r="AH1722">
        <v>14.001608436354299</v>
      </c>
      <c r="AI1722">
        <v>94.298813763196094</v>
      </c>
      <c r="AJ1722">
        <v>71.802208760738694</v>
      </c>
      <c r="AK1722">
        <v>14.780363820243201</v>
      </c>
      <c r="AL1722">
        <v>82.568325020135603</v>
      </c>
      <c r="AM1722">
        <v>93.420576114604003</v>
      </c>
      <c r="AN1722">
        <v>0.99999996054263696</v>
      </c>
    </row>
    <row r="1723" spans="1:40" x14ac:dyDescent="0.25">
      <c r="A1723" t="str">
        <f>"20190305135825519"</f>
        <v>20190305135825519</v>
      </c>
      <c r="B1723" t="str">
        <f>"1551765505510325"</f>
        <v>1551765505510325</v>
      </c>
      <c r="C1723" t="s">
        <v>40</v>
      </c>
      <c r="D1723">
        <v>4.4382849999999996</v>
      </c>
      <c r="E1723">
        <v>0.64409289999999997</v>
      </c>
      <c r="F1723" t="s">
        <v>61</v>
      </c>
      <c r="G1723">
        <v>-290.23509999999999</v>
      </c>
      <c r="H1723" s="1">
        <v>1.8463180000000001E-6</v>
      </c>
      <c r="I1723">
        <v>289.2047</v>
      </c>
      <c r="J1723">
        <v>-275.9853</v>
      </c>
      <c r="K1723">
        <v>1.1080380000000001</v>
      </c>
      <c r="L1723">
        <v>284.17790000000002</v>
      </c>
      <c r="M1723">
        <v>-0.9996505</v>
      </c>
      <c r="N1723">
        <v>-1.380938E-2</v>
      </c>
      <c r="O1723">
        <v>2.2547580000000001E-2</v>
      </c>
      <c r="P1723">
        <v>-0.99257470000000003</v>
      </c>
      <c r="Q1723">
        <v>0.1153967</v>
      </c>
      <c r="R1723">
        <v>-3.8461580000000002E-2</v>
      </c>
      <c r="S1723">
        <v>-3.0901179999999999</v>
      </c>
      <c r="T1723">
        <v>-0.23189389999999999</v>
      </c>
      <c r="U1723">
        <v>1.0546260000000001</v>
      </c>
      <c r="V1723">
        <v>-6.0364729999999998E-2</v>
      </c>
      <c r="W1723">
        <v>0.12929740000000001</v>
      </c>
      <c r="X1723">
        <v>0.98976679999999995</v>
      </c>
      <c r="Y1723">
        <v>0.3007029</v>
      </c>
      <c r="Z1723">
        <v>1.175584E-2</v>
      </c>
      <c r="AA1723">
        <v>0.95364539999999998</v>
      </c>
      <c r="AB1723">
        <v>49</v>
      </c>
      <c r="AC1723">
        <v>-14.249799999999899</v>
      </c>
      <c r="AD1723">
        <v>-1.10803615368199</v>
      </c>
      <c r="AE1723">
        <v>5.0267999999999802</v>
      </c>
      <c r="AF1723">
        <v>4.6790327532497002</v>
      </c>
      <c r="AG1723">
        <v>-1.10803615368199</v>
      </c>
      <c r="AH1723">
        <v>14.282728970378299</v>
      </c>
      <c r="AI1723">
        <v>94.216415325221405</v>
      </c>
      <c r="AJ1723">
        <v>71.8611652320416</v>
      </c>
      <c r="AK1723">
        <v>15.0704160017278</v>
      </c>
      <c r="AL1723">
        <v>82.571006489237902</v>
      </c>
      <c r="AM1723">
        <v>93.490080191894606</v>
      </c>
      <c r="AN1723">
        <v>1.0000000183284801</v>
      </c>
    </row>
    <row r="1724" spans="1:40" x14ac:dyDescent="0.25">
      <c r="A1724" t="str">
        <f>"20190305135825542"</f>
        <v>20190305135825542</v>
      </c>
      <c r="B1724" t="str">
        <f>"1551765505530820"</f>
        <v>1551765505530820</v>
      </c>
      <c r="C1724" t="s">
        <v>40</v>
      </c>
      <c r="D1724">
        <v>4.2156799999999999</v>
      </c>
      <c r="E1724">
        <v>0.5988658</v>
      </c>
      <c r="F1724" t="s">
        <v>61</v>
      </c>
      <c r="G1724">
        <v>-290.73059999999998</v>
      </c>
      <c r="H1724" s="1">
        <v>1.9322969999999998E-6</v>
      </c>
      <c r="I1724">
        <v>289.22660000000002</v>
      </c>
      <c r="J1724">
        <v>-276.49689999999998</v>
      </c>
      <c r="K1724">
        <v>1.10816</v>
      </c>
      <c r="L1724">
        <v>284.19</v>
      </c>
      <c r="M1724">
        <v>-0.99963089999999999</v>
      </c>
      <c r="N1724">
        <v>-1.3913129999999999E-2</v>
      </c>
      <c r="O1724">
        <v>2.3331850000000001E-2</v>
      </c>
      <c r="P1724">
        <v>-0.99264240000000004</v>
      </c>
      <c r="Q1724">
        <v>0.1146093</v>
      </c>
      <c r="R1724">
        <v>-3.906192E-2</v>
      </c>
      <c r="S1724">
        <v>-3.0904539999999998</v>
      </c>
      <c r="T1724">
        <v>-0.23223299999999999</v>
      </c>
      <c r="U1724">
        <v>1.0581670000000001</v>
      </c>
      <c r="V1724">
        <v>-6.1788099999999999E-2</v>
      </c>
      <c r="W1724">
        <v>0.12859809999999999</v>
      </c>
      <c r="X1724">
        <v>0.98977009999999999</v>
      </c>
      <c r="Y1724">
        <v>0.30089890000000002</v>
      </c>
      <c r="Z1724">
        <v>1.1747519999999999E-2</v>
      </c>
      <c r="AA1724">
        <v>0.95358370000000003</v>
      </c>
      <c r="AB1724">
        <v>49</v>
      </c>
      <c r="AC1724">
        <v>-14.233700000000001</v>
      </c>
      <c r="AD1724">
        <v>-1.1081580677030001</v>
      </c>
      <c r="AE1724">
        <v>5.0366000000000204</v>
      </c>
      <c r="AF1724">
        <v>4.67789882841456</v>
      </c>
      <c r="AG1724">
        <v>-1.1081580677030001</v>
      </c>
      <c r="AH1724">
        <v>14.2704762697464</v>
      </c>
      <c r="AI1724">
        <v>94.220233983609205</v>
      </c>
      <c r="AJ1724">
        <v>71.850723149764306</v>
      </c>
      <c r="AK1724">
        <v>15.0584609013435</v>
      </c>
      <c r="AL1724">
        <v>82.611410951061401</v>
      </c>
      <c r="AM1724">
        <v>93.572152006573504</v>
      </c>
      <c r="AN1724">
        <v>1.0000000457396101</v>
      </c>
    </row>
    <row r="1725" spans="1:40" x14ac:dyDescent="0.25">
      <c r="A1725" t="str">
        <f>"20190305135825574"</f>
        <v>20190305135825574</v>
      </c>
      <c r="B1725" t="str">
        <f>"1551765505570837"</f>
        <v>1551765505570837</v>
      </c>
      <c r="C1725" t="s">
        <v>40</v>
      </c>
      <c r="D1725">
        <v>4.2028990000000004</v>
      </c>
      <c r="E1725">
        <v>0.52462039999999999</v>
      </c>
      <c r="F1725" t="s">
        <v>61</v>
      </c>
      <c r="G1725">
        <v>-296.37020000000001</v>
      </c>
      <c r="H1725" s="1">
        <v>2.9806619999999999E-6</v>
      </c>
      <c r="I1725">
        <v>288.67770000000002</v>
      </c>
      <c r="J1725">
        <v>-277.20170000000002</v>
      </c>
      <c r="K1725">
        <v>1.1083050000000001</v>
      </c>
      <c r="L1725">
        <v>284.2072</v>
      </c>
      <c r="M1725">
        <v>-0.99961199999999995</v>
      </c>
      <c r="N1725">
        <v>-1.383321E-2</v>
      </c>
      <c r="O1725">
        <v>2.4174589999999999E-2</v>
      </c>
      <c r="P1725">
        <v>-0.99274790000000002</v>
      </c>
      <c r="Q1725">
        <v>0.1135077</v>
      </c>
      <c r="R1725">
        <v>-3.9594339999999999E-2</v>
      </c>
      <c r="S1725">
        <v>-3.0692439999999999</v>
      </c>
      <c r="T1725">
        <v>-0.17114460000000001</v>
      </c>
      <c r="U1725">
        <v>0.6930847</v>
      </c>
      <c r="V1725">
        <v>-6.3225630000000005E-2</v>
      </c>
      <c r="W1725">
        <v>0.1273917</v>
      </c>
      <c r="X1725">
        <v>0.98983529999999997</v>
      </c>
      <c r="Y1725">
        <v>0.1962777</v>
      </c>
      <c r="Z1725">
        <v>5.7771219999999896E-3</v>
      </c>
      <c r="AA1725">
        <v>0.98053129999999999</v>
      </c>
      <c r="AB1725">
        <v>49</v>
      </c>
      <c r="AC1725">
        <v>-19.168499999999899</v>
      </c>
      <c r="AD1725">
        <v>-1.10830201933799</v>
      </c>
      <c r="AE1725">
        <v>4.4705000000000101</v>
      </c>
      <c r="AF1725">
        <v>3.9930978537172299</v>
      </c>
      <c r="AG1725">
        <v>-1.10830201933799</v>
      </c>
      <c r="AH1725">
        <v>19.210072869880801</v>
      </c>
      <c r="AI1725">
        <v>93.232995292437593</v>
      </c>
      <c r="AJ1725">
        <v>78.257442065942001</v>
      </c>
      <c r="AK1725">
        <v>19.6519735268894</v>
      </c>
      <c r="AL1725">
        <v>82.681105668285198</v>
      </c>
      <c r="AM1725">
        <v>93.654797009414807</v>
      </c>
      <c r="AN1725">
        <v>1.0000000233219299</v>
      </c>
    </row>
    <row r="1726" spans="1:40" x14ac:dyDescent="0.25">
      <c r="A1726" t="str">
        <f>"20190305135825596"</f>
        <v>20190305135825596</v>
      </c>
      <c r="B1726" t="str">
        <f>"1551765505590358"</f>
        <v>1551765505590358</v>
      </c>
      <c r="C1726" t="s">
        <v>40</v>
      </c>
      <c r="D1726">
        <v>4.1428609999999999</v>
      </c>
      <c r="E1726">
        <v>0.52604910000000005</v>
      </c>
      <c r="F1726" t="s">
        <v>61</v>
      </c>
      <c r="G1726">
        <v>-304.4117</v>
      </c>
      <c r="H1726" s="1">
        <v>3.1421349999999999E-6</v>
      </c>
      <c r="I1726">
        <v>285.07279999999997</v>
      </c>
      <c r="J1726">
        <v>-277.6875</v>
      </c>
      <c r="K1726">
        <v>1.1084240000000001</v>
      </c>
      <c r="L1726">
        <v>284.2192</v>
      </c>
      <c r="M1726">
        <v>-0.99960389999999999</v>
      </c>
      <c r="N1726">
        <v>-1.3676799999999999E-2</v>
      </c>
      <c r="O1726">
        <v>2.4599099999999999E-2</v>
      </c>
      <c r="P1726">
        <v>-0.99231259999999999</v>
      </c>
      <c r="Q1726">
        <v>0.1173037</v>
      </c>
      <c r="R1726">
        <v>-3.9442850000000002E-2</v>
      </c>
      <c r="S1726">
        <v>-3.0399479999999999</v>
      </c>
      <c r="T1726">
        <v>-0.1238213</v>
      </c>
      <c r="U1726">
        <v>9.6710210000000005E-2</v>
      </c>
      <c r="V1726">
        <v>-6.3521149999999998E-2</v>
      </c>
      <c r="W1726">
        <v>0.1310037</v>
      </c>
      <c r="X1726">
        <v>0.98934480000000002</v>
      </c>
      <c r="Y1726">
        <v>7.199464E-3</v>
      </c>
      <c r="Z1726">
        <v>-4.6898079999999997E-4</v>
      </c>
      <c r="AA1726">
        <v>0.99997400000000003</v>
      </c>
      <c r="AB1726">
        <v>49</v>
      </c>
      <c r="AC1726">
        <v>-26.7242</v>
      </c>
      <c r="AD1726">
        <v>-1.1084208578650001</v>
      </c>
      <c r="AE1726">
        <v>0.85359999999997105</v>
      </c>
      <c r="AF1726">
        <v>0.19555286672650601</v>
      </c>
      <c r="AG1726">
        <v>-1.1084208578650001</v>
      </c>
      <c r="AH1726">
        <v>26.691241704692299</v>
      </c>
      <c r="AI1726">
        <v>92.377921076182403</v>
      </c>
      <c r="AJ1726">
        <v>89.580231088822899</v>
      </c>
      <c r="AK1726">
        <v>26.7149625015672</v>
      </c>
      <c r="AL1726">
        <v>82.472404010626306</v>
      </c>
      <c r="AM1726">
        <v>93.673648549388005</v>
      </c>
      <c r="AN1726">
        <v>1.00000001959902</v>
      </c>
    </row>
    <row r="1727" spans="1:40" x14ac:dyDescent="0.25">
      <c r="A1727" t="str">
        <f>"20190305135825618"</f>
        <v>20190305135825618</v>
      </c>
      <c r="B1727" t="str">
        <f>"1551765505610853"</f>
        <v>1551765505610853</v>
      </c>
      <c r="C1727" t="s">
        <v>40</v>
      </c>
      <c r="D1727">
        <v>4.0921669999999999</v>
      </c>
      <c r="E1727">
        <v>0.52719179999999999</v>
      </c>
      <c r="F1727" t="s">
        <v>61</v>
      </c>
      <c r="G1727">
        <v>-312.95510000000002</v>
      </c>
      <c r="H1727" s="1">
        <v>3.453298E-6</v>
      </c>
      <c r="I1727">
        <v>285.46449999999999</v>
      </c>
      <c r="J1727">
        <v>-278.18560000000002</v>
      </c>
      <c r="K1727">
        <v>1.1085400000000001</v>
      </c>
      <c r="L1727">
        <v>284.23160000000001</v>
      </c>
      <c r="M1727">
        <v>-0.99959929999999997</v>
      </c>
      <c r="N1727">
        <v>-1.346282E-2</v>
      </c>
      <c r="O1727">
        <v>2.490233E-2</v>
      </c>
      <c r="P1727">
        <v>-0.99185570000000001</v>
      </c>
      <c r="Q1727">
        <v>0.1207686</v>
      </c>
      <c r="R1727">
        <v>-4.0468129999999998E-2</v>
      </c>
      <c r="S1727">
        <v>-3.0387270000000002</v>
      </c>
      <c r="T1727">
        <v>-9.5503690000000002E-2</v>
      </c>
      <c r="U1727">
        <v>0.1072998</v>
      </c>
      <c r="V1727">
        <v>-6.4878859999999997E-2</v>
      </c>
      <c r="W1727">
        <v>0.1342284</v>
      </c>
      <c r="X1727">
        <v>0.98882429999999999</v>
      </c>
      <c r="Y1727">
        <v>1.0385459999999999E-2</v>
      </c>
      <c r="Z1727">
        <v>-2.138176E-4</v>
      </c>
      <c r="AA1727">
        <v>0.99994609999999995</v>
      </c>
      <c r="AB1727">
        <v>49</v>
      </c>
      <c r="AC1727">
        <v>-34.769499999999901</v>
      </c>
      <c r="AD1727">
        <v>-1.1085365467020001</v>
      </c>
      <c r="AE1727">
        <v>1.2328999999999699</v>
      </c>
      <c r="AF1727">
        <v>0.36622581598519699</v>
      </c>
      <c r="AG1727">
        <v>-1.1085365467020001</v>
      </c>
      <c r="AH1727">
        <v>34.754137629163999</v>
      </c>
      <c r="AI1727">
        <v>91.826816054275298</v>
      </c>
      <c r="AJ1727">
        <v>89.396261325408901</v>
      </c>
      <c r="AK1727">
        <v>34.773740911362196</v>
      </c>
      <c r="AL1727">
        <v>82.285995723929801</v>
      </c>
      <c r="AM1727">
        <v>93.753917001414806</v>
      </c>
      <c r="AN1727">
        <v>1.0000000130559701</v>
      </c>
    </row>
    <row r="1728" spans="1:40" x14ac:dyDescent="0.25">
      <c r="A1728" t="str">
        <f>"20190305135825641"</f>
        <v>20190305135825641</v>
      </c>
      <c r="B1728" t="str">
        <f>"1551765505630373"</f>
        <v>1551765505630373</v>
      </c>
      <c r="C1728" t="s">
        <v>40</v>
      </c>
      <c r="D1728">
        <v>4.0357690000000002</v>
      </c>
      <c r="E1728">
        <v>0.52775699999999903</v>
      </c>
      <c r="F1728" t="s">
        <v>59</v>
      </c>
      <c r="G1728">
        <v>-320.3888</v>
      </c>
      <c r="H1728" s="1">
        <v>-1.3814020000000001E-6</v>
      </c>
      <c r="I1728">
        <v>285.79419999999999</v>
      </c>
      <c r="J1728">
        <v>-278.67410000000001</v>
      </c>
      <c r="K1728">
        <v>1.1086579999999999</v>
      </c>
      <c r="L1728">
        <v>284.2439</v>
      </c>
      <c r="M1728">
        <v>-0.99959830000000005</v>
      </c>
      <c r="N1728">
        <v>-1.323775E-2</v>
      </c>
      <c r="O1728">
        <v>2.5061239999999999E-2</v>
      </c>
      <c r="P1728">
        <v>-0.99190400000000001</v>
      </c>
      <c r="Q1728">
        <v>0.11983480000000001</v>
      </c>
      <c r="R1728">
        <v>-4.2023970000000001E-2</v>
      </c>
      <c r="S1728">
        <v>-3.0389400000000002</v>
      </c>
      <c r="T1728">
        <v>-7.9823259999999993E-2</v>
      </c>
      <c r="U1728">
        <v>0.1125183</v>
      </c>
      <c r="V1728">
        <v>-6.6645789999999996E-2</v>
      </c>
      <c r="W1728">
        <v>0.1330499</v>
      </c>
      <c r="X1728">
        <v>0.98886600000000002</v>
      </c>
      <c r="Y1728">
        <v>1.193819E-2</v>
      </c>
      <c r="Z1728" s="1">
        <v>-9.0343860000000005E-5</v>
      </c>
      <c r="AA1728">
        <v>0.9999287</v>
      </c>
      <c r="AB1728">
        <v>49</v>
      </c>
      <c r="AC1728">
        <v>-41.714699999999901</v>
      </c>
      <c r="AD1728">
        <v>-1.1086593814019901</v>
      </c>
      <c r="AE1728">
        <v>1.55029999999999</v>
      </c>
      <c r="AF1728">
        <v>0.50394383979561297</v>
      </c>
      <c r="AG1728">
        <v>-1.1086593814019901</v>
      </c>
      <c r="AH1728">
        <v>41.711029885019599</v>
      </c>
      <c r="AI1728">
        <v>91.5224250984934</v>
      </c>
      <c r="AJ1728">
        <v>89.307798190725293</v>
      </c>
      <c r="AK1728">
        <v>41.728804189511997</v>
      </c>
      <c r="AL1728">
        <v>82.354129490695499</v>
      </c>
      <c r="AM1728">
        <v>93.855685846497593</v>
      </c>
      <c r="AN1728">
        <v>0.99999995158536503</v>
      </c>
    </row>
    <row r="1729" spans="1:40" x14ac:dyDescent="0.25">
      <c r="A1729" t="str">
        <f>"20190305135825663"</f>
        <v>20190305135825663</v>
      </c>
      <c r="B1729" t="str">
        <f>"1551765505650869"</f>
        <v>1551765505650869</v>
      </c>
      <c r="C1729" t="s">
        <v>40</v>
      </c>
      <c r="D1729">
        <v>4.029725</v>
      </c>
      <c r="E1729">
        <v>0.52876339999999999</v>
      </c>
      <c r="F1729" t="s">
        <v>59</v>
      </c>
      <c r="G1729">
        <v>-320.40940000000001</v>
      </c>
      <c r="H1729" s="1">
        <v>-1.370123E-6</v>
      </c>
      <c r="I1729">
        <v>285.78699999999998</v>
      </c>
      <c r="J1729">
        <v>-279.17540000000002</v>
      </c>
      <c r="K1729">
        <v>1.1087819999999999</v>
      </c>
      <c r="L1729">
        <v>284.25650000000002</v>
      </c>
      <c r="M1729">
        <v>-0.99960000000000004</v>
      </c>
      <c r="N1729">
        <v>-1.301689E-2</v>
      </c>
      <c r="O1729">
        <v>2.510884E-2</v>
      </c>
      <c r="P1729">
        <v>-0.99201209999999995</v>
      </c>
      <c r="Q1729">
        <v>0.11859459999999999</v>
      </c>
      <c r="R1729">
        <v>-4.2981800000000001E-2</v>
      </c>
      <c r="S1729">
        <v>-3.0390009999999998</v>
      </c>
      <c r="T1729">
        <v>-8.0728289999999994E-2</v>
      </c>
      <c r="U1729">
        <v>0.1123657</v>
      </c>
      <c r="V1729">
        <v>-6.7704650000000005E-2</v>
      </c>
      <c r="W1729">
        <v>0.13156860000000001</v>
      </c>
      <c r="X1729">
        <v>0.98899230000000005</v>
      </c>
      <c r="Y1729">
        <v>1.183992E-2</v>
      </c>
      <c r="Z1729">
        <v>-1.054564E-4</v>
      </c>
      <c r="AA1729">
        <v>0.99992990000000004</v>
      </c>
      <c r="AB1729">
        <v>49</v>
      </c>
      <c r="AC1729">
        <v>-41.233999999999902</v>
      </c>
      <c r="AD1729">
        <v>-1.1087833701230001</v>
      </c>
      <c r="AE1729">
        <v>1.53050000000001</v>
      </c>
      <c r="AF1729">
        <v>0.49423490519741797</v>
      </c>
      <c r="AG1729">
        <v>-1.1087833701230001</v>
      </c>
      <c r="AH1729">
        <v>41.229658955599596</v>
      </c>
      <c r="AI1729">
        <v>91.540365356775993</v>
      </c>
      <c r="AJ1729">
        <v>89.313207564464193</v>
      </c>
      <c r="AK1729">
        <v>41.247526547642003</v>
      </c>
      <c r="AL1729">
        <v>82.4397548284078</v>
      </c>
      <c r="AM1729">
        <v>93.916256682388706</v>
      </c>
      <c r="AN1729">
        <v>0.99999999279843599</v>
      </c>
    </row>
    <row r="1730" spans="1:40" x14ac:dyDescent="0.25">
      <c r="A1730" t="str">
        <f>"20190305135825685"</f>
        <v>20190305135825685</v>
      </c>
      <c r="B1730" t="str">
        <f>"1551765505680769"</f>
        <v>1551765505680769</v>
      </c>
      <c r="C1730" t="s">
        <v>40</v>
      </c>
      <c r="D1730">
        <v>4.035927</v>
      </c>
      <c r="E1730">
        <v>0.52976559999999995</v>
      </c>
      <c r="F1730" t="s">
        <v>59</v>
      </c>
      <c r="G1730">
        <v>-320.61399999999998</v>
      </c>
      <c r="H1730" s="1">
        <v>-1.264395E-6</v>
      </c>
      <c r="I1730">
        <v>285.85899999999998</v>
      </c>
      <c r="J1730">
        <v>-279.65589999999997</v>
      </c>
      <c r="K1730">
        <v>1.108919</v>
      </c>
      <c r="L1730">
        <v>284.26850000000002</v>
      </c>
      <c r="M1730">
        <v>-0.99960400000000005</v>
      </c>
      <c r="N1730">
        <v>-1.281941E-2</v>
      </c>
      <c r="O1730">
        <v>2.5047739999999999E-2</v>
      </c>
      <c r="P1730">
        <v>-0.99173</v>
      </c>
      <c r="Q1730">
        <v>0.1203886</v>
      </c>
      <c r="R1730">
        <v>-4.4479230000000002E-2</v>
      </c>
      <c r="S1730">
        <v>-3.0389710000000001</v>
      </c>
      <c r="T1730">
        <v>-8.1314559999999994E-2</v>
      </c>
      <c r="U1730">
        <v>0.11752319999999999</v>
      </c>
      <c r="V1730">
        <v>-6.9178249999999997E-2</v>
      </c>
      <c r="W1730">
        <v>0.1331415</v>
      </c>
      <c r="X1730">
        <v>0.9886798</v>
      </c>
      <c r="Y1730">
        <v>1.359517E-2</v>
      </c>
      <c r="Z1730" s="1">
        <v>-7.9696150000000001E-5</v>
      </c>
      <c r="AA1730">
        <v>0.99990760000000001</v>
      </c>
      <c r="AB1730">
        <v>49</v>
      </c>
      <c r="AC1730">
        <v>-40.958100000000002</v>
      </c>
      <c r="AD1730">
        <v>-1.108920264395</v>
      </c>
      <c r="AE1730">
        <v>1.59050000000002</v>
      </c>
      <c r="AF1730">
        <v>0.56359619073823197</v>
      </c>
      <c r="AG1730">
        <v>-1.108920264395</v>
      </c>
      <c r="AH1730">
        <v>40.955113165629299</v>
      </c>
      <c r="AI1730">
        <v>91.550842254557395</v>
      </c>
      <c r="AJ1730">
        <v>89.211584527171695</v>
      </c>
      <c r="AK1730">
        <v>40.973999551282603</v>
      </c>
      <c r="AL1730">
        <v>82.348834596866396</v>
      </c>
      <c r="AM1730">
        <v>94.0024811527894</v>
      </c>
      <c r="AN1730">
        <v>1.0000000181116699</v>
      </c>
    </row>
    <row r="1731" spans="1:40" x14ac:dyDescent="0.25">
      <c r="A1731" t="str">
        <f>"20190305135825707"</f>
        <v>20190305135825707</v>
      </c>
      <c r="B1731" t="str">
        <f>"1551765505700288"</f>
        <v>1551765505700288</v>
      </c>
      <c r="C1731" t="s">
        <v>40</v>
      </c>
      <c r="D1731">
        <v>3.93607</v>
      </c>
      <c r="E1731">
        <v>0.52880559999999999</v>
      </c>
      <c r="F1731" t="s">
        <v>59</v>
      </c>
      <c r="G1731">
        <v>-325.28660000000002</v>
      </c>
      <c r="H1731" s="1">
        <v>1.2119429999999999E-6</v>
      </c>
      <c r="I1731">
        <v>286.09289999999999</v>
      </c>
      <c r="J1731">
        <v>-280.14249999999998</v>
      </c>
      <c r="K1731">
        <v>1.109067</v>
      </c>
      <c r="L1731">
        <v>284.28059999999999</v>
      </c>
      <c r="M1731">
        <v>-0.99961080000000002</v>
      </c>
      <c r="N1731">
        <v>-1.2633109999999999E-2</v>
      </c>
      <c r="O1731">
        <v>2.4875390000000001E-2</v>
      </c>
      <c r="P1731">
        <v>-0.99120580000000003</v>
      </c>
      <c r="Q1731">
        <v>0.12412380000000001</v>
      </c>
      <c r="R1731">
        <v>-4.587492E-2</v>
      </c>
      <c r="S1731">
        <v>-3.0393979999999998</v>
      </c>
      <c r="T1731">
        <v>-7.3863390000000001E-2</v>
      </c>
      <c r="U1731">
        <v>0.121521</v>
      </c>
      <c r="V1731">
        <v>-7.043257E-2</v>
      </c>
      <c r="W1731">
        <v>0.13666249999999999</v>
      </c>
      <c r="X1731">
        <v>0.98811070000000001</v>
      </c>
      <c r="Y1731">
        <v>1.5075069999999999E-2</v>
      </c>
      <c r="Z1731" s="1">
        <v>-1.152468E-5</v>
      </c>
      <c r="AA1731">
        <v>0.99988639999999995</v>
      </c>
      <c r="AB1731">
        <v>49</v>
      </c>
      <c r="AC1731">
        <v>-45.144100000000002</v>
      </c>
      <c r="AD1731">
        <v>-1.1090657880570001</v>
      </c>
      <c r="AE1731">
        <v>1.81229999999999</v>
      </c>
      <c r="AF1731">
        <v>0.68825774141672103</v>
      </c>
      <c r="AG1731">
        <v>-1.1090657880570001</v>
      </c>
      <c r="AH1731">
        <v>45.148008431305598</v>
      </c>
      <c r="AI1731">
        <v>91.407030692903703</v>
      </c>
      <c r="AJ1731">
        <v>89.126623502708298</v>
      </c>
      <c r="AK1731">
        <v>45.166872716119101</v>
      </c>
      <c r="AL1731">
        <v>82.145235348503107</v>
      </c>
      <c r="AM1731">
        <v>94.077149653068901</v>
      </c>
      <c r="AN1731">
        <v>1.0000000706387699</v>
      </c>
    </row>
    <row r="1732" spans="1:40" x14ac:dyDescent="0.25">
      <c r="A1732" t="str">
        <f>"20190305135825729"</f>
        <v>20190305135825729</v>
      </c>
      <c r="B1732" t="str">
        <f>"1551765505720783"</f>
        <v>1551765505720783</v>
      </c>
      <c r="C1732" t="s">
        <v>40</v>
      </c>
      <c r="D1732">
        <v>4.2591070000000002</v>
      </c>
      <c r="E1732">
        <v>0.52839309999999995</v>
      </c>
      <c r="F1732" t="s">
        <v>59</v>
      </c>
      <c r="G1732">
        <v>-325.52589999999998</v>
      </c>
      <c r="H1732" s="1">
        <v>1.346593E-6</v>
      </c>
      <c r="I1732">
        <v>285.92610000000002</v>
      </c>
      <c r="J1732">
        <v>-280.63319999999999</v>
      </c>
      <c r="K1732">
        <v>1.1092120000000001</v>
      </c>
      <c r="L1732">
        <v>284.29259999999999</v>
      </c>
      <c r="M1732">
        <v>-0.99961999999999995</v>
      </c>
      <c r="N1732">
        <v>-1.245168E-2</v>
      </c>
      <c r="O1732">
        <v>2.4593629999999998E-2</v>
      </c>
      <c r="P1732">
        <v>-0.99086050000000003</v>
      </c>
      <c r="Q1732">
        <v>0.1265358</v>
      </c>
      <c r="R1732">
        <v>-4.6736420000000001E-2</v>
      </c>
      <c r="S1732">
        <v>-3.0410460000000001</v>
      </c>
      <c r="T1732">
        <v>-7.4316019999999997E-2</v>
      </c>
      <c r="U1732">
        <v>0.11026</v>
      </c>
      <c r="V1732">
        <v>-7.1051329999999996E-2</v>
      </c>
      <c r="W1732">
        <v>0.13886709999999999</v>
      </c>
      <c r="X1732">
        <v>0.9877589</v>
      </c>
      <c r="Y1732">
        <v>1.163963E-2</v>
      </c>
      <c r="Z1732" s="1">
        <v>-7.9769060000000006E-5</v>
      </c>
      <c r="AA1732">
        <v>0.99993220000000005</v>
      </c>
      <c r="AB1732">
        <v>49</v>
      </c>
      <c r="AC1732">
        <v>-44.892699999999898</v>
      </c>
      <c r="AD1732">
        <v>-1.1092106534070001</v>
      </c>
      <c r="AE1732">
        <v>1.6335000000000199</v>
      </c>
      <c r="AF1732">
        <v>0.52852357572483599</v>
      </c>
      <c r="AG1732">
        <v>-1.1092106534070001</v>
      </c>
      <c r="AH1732">
        <v>44.8919263381636</v>
      </c>
      <c r="AI1732">
        <v>91.415304807365501</v>
      </c>
      <c r="AJ1732">
        <v>89.325474005710802</v>
      </c>
      <c r="AK1732">
        <v>44.9087378557318</v>
      </c>
      <c r="AL1732">
        <v>82.017704512004997</v>
      </c>
      <c r="AM1732">
        <v>94.114305402017294</v>
      </c>
      <c r="AN1732">
        <v>1.00000000374319</v>
      </c>
    </row>
    <row r="1733" spans="1:40" x14ac:dyDescent="0.25">
      <c r="A1733" t="str">
        <f>"20190305135825753"</f>
        <v>20190305135825753</v>
      </c>
      <c r="B1733" t="str">
        <f>"1551765505740304"</f>
        <v>1551765505740304</v>
      </c>
      <c r="C1733" t="s">
        <v>40</v>
      </c>
      <c r="D1733">
        <v>4.0910529999999996</v>
      </c>
      <c r="E1733">
        <v>0.52842509999999998</v>
      </c>
      <c r="F1733" t="s">
        <v>59</v>
      </c>
      <c r="G1733">
        <v>-328.55950000000001</v>
      </c>
      <c r="H1733" s="1">
        <v>2.9610819999999998E-6</v>
      </c>
      <c r="I1733">
        <v>285.92230000000001</v>
      </c>
      <c r="J1733">
        <v>-281.15629999999999</v>
      </c>
      <c r="K1733">
        <v>1.109348</v>
      </c>
      <c r="L1733">
        <v>284.30520000000001</v>
      </c>
      <c r="M1733">
        <v>-0.99963239999999998</v>
      </c>
      <c r="N1733">
        <v>-1.225422E-2</v>
      </c>
      <c r="O1733">
        <v>2.4185620000000001E-2</v>
      </c>
      <c r="P1733">
        <v>-0.99069180000000001</v>
      </c>
      <c r="Q1733">
        <v>0.12732479999999999</v>
      </c>
      <c r="R1733">
        <v>-4.8147929999999999E-2</v>
      </c>
      <c r="S1733">
        <v>-3.041534</v>
      </c>
      <c r="T1733">
        <v>-7.0393440000000002E-2</v>
      </c>
      <c r="U1733">
        <v>0.1034241</v>
      </c>
      <c r="V1733">
        <v>-7.2103819999999999E-2</v>
      </c>
      <c r="W1733">
        <v>0.1394338</v>
      </c>
      <c r="X1733">
        <v>0.9876028</v>
      </c>
      <c r="Y1733">
        <v>9.7982829999999996E-3</v>
      </c>
      <c r="Z1733" s="1">
        <v>-8.9678349999999893E-5</v>
      </c>
      <c r="AA1733">
        <v>0.99995199999999995</v>
      </c>
      <c r="AB1733">
        <v>49</v>
      </c>
      <c r="AC1733">
        <v>-47.403199999999998</v>
      </c>
      <c r="AD1733">
        <v>-1.109345038918</v>
      </c>
      <c r="AE1733">
        <v>1.61709999999999</v>
      </c>
      <c r="AF1733">
        <v>0.46980805650354901</v>
      </c>
      <c r="AG1733">
        <v>-1.109345038918</v>
      </c>
      <c r="AH1733">
        <v>47.402514578308299</v>
      </c>
      <c r="AI1733">
        <v>91.340563250052597</v>
      </c>
      <c r="AJ1733">
        <v>89.432158025016605</v>
      </c>
      <c r="AK1733">
        <v>47.417821063098899</v>
      </c>
      <c r="AL1733">
        <v>81.984916117312906</v>
      </c>
      <c r="AM1733">
        <v>94.175694618365398</v>
      </c>
      <c r="AN1733">
        <v>1.0000000180044299</v>
      </c>
    </row>
    <row r="1734" spans="1:40" x14ac:dyDescent="0.25">
      <c r="A1734" t="str">
        <f>"20190305135825775"</f>
        <v>20190305135825775</v>
      </c>
      <c r="B1734" t="str">
        <f>"1551765505770560"</f>
        <v>1551765505770560</v>
      </c>
      <c r="C1734" t="s">
        <v>40</v>
      </c>
      <c r="D1734">
        <v>4.0282609999999996</v>
      </c>
      <c r="E1734">
        <v>0.52886829999999996</v>
      </c>
      <c r="F1734" t="s">
        <v>59</v>
      </c>
      <c r="G1734">
        <v>-327.98399999999998</v>
      </c>
      <c r="H1734" s="1">
        <v>2.6589940000000001E-6</v>
      </c>
      <c r="I1734">
        <v>285.8272</v>
      </c>
      <c r="J1734">
        <v>-281.637</v>
      </c>
      <c r="K1734">
        <v>1.1094740000000001</v>
      </c>
      <c r="L1734">
        <v>284.31659999999999</v>
      </c>
      <c r="M1734">
        <v>-0.99964589999999998</v>
      </c>
      <c r="N1734">
        <v>-1.206196E-2</v>
      </c>
      <c r="O1734">
        <v>2.3719199999999999E-2</v>
      </c>
      <c r="P1734">
        <v>-0.9904712</v>
      </c>
      <c r="Q1734">
        <v>0.12844839999999999</v>
      </c>
      <c r="R1734">
        <v>-4.9679920000000002E-2</v>
      </c>
      <c r="S1734">
        <v>-3.0422669999999998</v>
      </c>
      <c r="T1734">
        <v>-7.2071079999999996E-2</v>
      </c>
      <c r="U1734">
        <v>9.8876950000000005E-2</v>
      </c>
      <c r="V1734">
        <v>-7.3213199999999895E-2</v>
      </c>
      <c r="W1734">
        <v>0.1403412</v>
      </c>
      <c r="X1734">
        <v>0.98739259999999995</v>
      </c>
      <c r="Y1734">
        <v>8.7642740000000007E-3</v>
      </c>
      <c r="Z1734">
        <v>-1.188678E-4</v>
      </c>
      <c r="AA1734">
        <v>0.99996160000000001</v>
      </c>
      <c r="AB1734">
        <v>49</v>
      </c>
      <c r="AC1734">
        <v>-46.347000000000001</v>
      </c>
      <c r="AD1734">
        <v>-1.109471341006</v>
      </c>
      <c r="AE1734">
        <v>1.5106000000000099</v>
      </c>
      <c r="AF1734">
        <v>0.41054620235846201</v>
      </c>
      <c r="AG1734">
        <v>-1.109471341006</v>
      </c>
      <c r="AH1734">
        <v>46.343263071722198</v>
      </c>
      <c r="AI1734">
        <v>91.371362051250898</v>
      </c>
      <c r="AJ1734">
        <v>89.492440803228106</v>
      </c>
      <c r="AK1734">
        <v>46.358359623433998</v>
      </c>
      <c r="AL1734">
        <v>81.932409389607102</v>
      </c>
      <c r="AM1734">
        <v>94.240608084453797</v>
      </c>
      <c r="AN1734">
        <v>0.99999998580321903</v>
      </c>
    </row>
    <row r="1735" spans="1:40" x14ac:dyDescent="0.25">
      <c r="A1735" t="str">
        <f>"20190305135825796"</f>
        <v>20190305135825796</v>
      </c>
      <c r="B1735" t="str">
        <f>"1551765505790080"</f>
        <v>1551765505790080</v>
      </c>
      <c r="C1735" t="s">
        <v>40</v>
      </c>
      <c r="D1735">
        <v>4.1199379999999897</v>
      </c>
      <c r="E1735">
        <v>0.52880130000000003</v>
      </c>
      <c r="F1735" t="s">
        <v>59</v>
      </c>
      <c r="G1735">
        <v>-330.2808</v>
      </c>
      <c r="H1735" s="1">
        <v>-1.4424820000000001E-6</v>
      </c>
      <c r="I1735">
        <v>285.87729999999999</v>
      </c>
      <c r="J1735">
        <v>-282.10849999999999</v>
      </c>
      <c r="K1735">
        <v>1.1095839999999999</v>
      </c>
      <c r="L1735">
        <v>284.32749999999999</v>
      </c>
      <c r="M1735">
        <v>-0.99966100000000002</v>
      </c>
      <c r="N1735">
        <v>-1.185979E-2</v>
      </c>
      <c r="O1735">
        <v>2.3183200000000001E-2</v>
      </c>
      <c r="P1735">
        <v>-0.99007310000000004</v>
      </c>
      <c r="Q1735">
        <v>0.1308996</v>
      </c>
      <c r="R1735">
        <v>-5.1195919999999999E-2</v>
      </c>
      <c r="S1735">
        <v>-3.0427550000000001</v>
      </c>
      <c r="T1735">
        <v>-6.9399600000000006E-2</v>
      </c>
      <c r="U1735">
        <v>9.7625729999999994E-2</v>
      </c>
      <c r="V1735">
        <v>-7.4232679999999995E-2</v>
      </c>
      <c r="W1735">
        <v>0.14256549999999901</v>
      </c>
      <c r="X1735">
        <v>0.98699780000000004</v>
      </c>
      <c r="Y1735">
        <v>8.8845E-3</v>
      </c>
      <c r="Z1735" s="1">
        <v>-9.9572620000000004E-5</v>
      </c>
      <c r="AA1735">
        <v>0.99996050000000003</v>
      </c>
      <c r="AB1735">
        <v>49</v>
      </c>
      <c r="AC1735">
        <v>-48.1723</v>
      </c>
      <c r="AD1735">
        <v>-1.109585442482</v>
      </c>
      <c r="AE1735">
        <v>1.5498000000000001</v>
      </c>
      <c r="AF1735">
        <v>0.43228780807716899</v>
      </c>
      <c r="AG1735">
        <v>-1.109585442482</v>
      </c>
      <c r="AH1735">
        <v>48.169752864980801</v>
      </c>
      <c r="AI1735">
        <v>91.319516081151093</v>
      </c>
      <c r="AJ1735">
        <v>89.485826673927306</v>
      </c>
      <c r="AK1735">
        <v>48.184469942881996</v>
      </c>
      <c r="AL1735">
        <v>81.803672296508694</v>
      </c>
      <c r="AM1735">
        <v>94.301151170882093</v>
      </c>
      <c r="AN1735">
        <v>1.00000003488753</v>
      </c>
    </row>
    <row r="1736" spans="1:40" x14ac:dyDescent="0.25">
      <c r="A1736" t="str">
        <f>"20190305135825819"</f>
        <v>20190305135825819</v>
      </c>
      <c r="B1736" t="str">
        <f>"1551765505810576"</f>
        <v>1551765505810576</v>
      </c>
      <c r="C1736" t="s">
        <v>40</v>
      </c>
      <c r="D1736">
        <v>4.1387309999999999</v>
      </c>
      <c r="E1736">
        <v>0.52872280000000005</v>
      </c>
      <c r="F1736" t="s">
        <v>59</v>
      </c>
      <c r="G1736">
        <v>-334.73809999999997</v>
      </c>
      <c r="H1736" s="1">
        <v>9.2777140000000005E-7</v>
      </c>
      <c r="I1736">
        <v>285.91660000000002</v>
      </c>
      <c r="J1736">
        <v>-282.6001</v>
      </c>
      <c r="K1736">
        <v>1.109702</v>
      </c>
      <c r="L1736">
        <v>284.33859999999999</v>
      </c>
      <c r="M1736">
        <v>-0.99967810000000001</v>
      </c>
      <c r="N1736">
        <v>-1.163725E-2</v>
      </c>
      <c r="O1736">
        <v>2.2546670000000001E-2</v>
      </c>
      <c r="P1736">
        <v>-0.98978180000000004</v>
      </c>
      <c r="Q1736">
        <v>0.13265250000000001</v>
      </c>
      <c r="R1736">
        <v>-5.230158E-2</v>
      </c>
      <c r="S1736">
        <v>-3.0433349999999999</v>
      </c>
      <c r="T1736">
        <v>-6.4162250000000004E-2</v>
      </c>
      <c r="U1736">
        <v>9.1888429999999993E-2</v>
      </c>
      <c r="V1736">
        <v>-7.4746140000000003E-2</v>
      </c>
      <c r="W1736">
        <v>0.14407229999999999</v>
      </c>
      <c r="X1736">
        <v>0.98674019999999996</v>
      </c>
      <c r="Y1736">
        <v>7.6323569999999898E-3</v>
      </c>
      <c r="Z1736" s="1">
        <v>-8.7902759999999999E-5</v>
      </c>
      <c r="AA1736">
        <v>0.9999709</v>
      </c>
      <c r="AB1736">
        <v>49</v>
      </c>
      <c r="AC1736">
        <v>-52.137999999999899</v>
      </c>
      <c r="AD1736">
        <v>-1.1097010722286</v>
      </c>
      <c r="AE1736">
        <v>1.57800000000003</v>
      </c>
      <c r="AF1736">
        <v>0.40179911458037298</v>
      </c>
      <c r="AG1736">
        <v>-1.1097010722286</v>
      </c>
      <c r="AH1736">
        <v>52.136728738326198</v>
      </c>
      <c r="AI1736">
        <v>91.219288275057195</v>
      </c>
      <c r="AJ1736">
        <v>89.558450668346097</v>
      </c>
      <c r="AK1736">
        <v>52.150084971474399</v>
      </c>
      <c r="AL1736">
        <v>81.716438313311002</v>
      </c>
      <c r="AM1736">
        <v>94.331915300912996</v>
      </c>
      <c r="AN1736">
        <v>1.00000001768411</v>
      </c>
    </row>
    <row r="1737" spans="1:40" x14ac:dyDescent="0.25">
      <c r="A1737" t="str">
        <f>"20190305135825841"</f>
        <v>20190305135825841</v>
      </c>
      <c r="B1737" t="str">
        <f>"1551765505830096"</f>
        <v>1551765505830096</v>
      </c>
      <c r="C1737" t="s">
        <v>40</v>
      </c>
      <c r="D1737">
        <v>4.110525</v>
      </c>
      <c r="E1737">
        <v>0.52871729999999995</v>
      </c>
      <c r="F1737" t="s">
        <v>59</v>
      </c>
      <c r="G1737">
        <v>-338.17619999999999</v>
      </c>
      <c r="H1737" s="1">
        <v>2.756253E-6</v>
      </c>
      <c r="I1737">
        <v>285.94170000000003</v>
      </c>
      <c r="J1737">
        <v>-283.11799999999999</v>
      </c>
      <c r="K1737">
        <v>1.109804</v>
      </c>
      <c r="L1737">
        <v>284.34980000000002</v>
      </c>
      <c r="M1737">
        <v>-0.99969779999999997</v>
      </c>
      <c r="N1737">
        <v>-1.139714E-2</v>
      </c>
      <c r="O1737">
        <v>2.1787000000000001E-2</v>
      </c>
      <c r="P1737">
        <v>-0.98954989999999998</v>
      </c>
      <c r="Q1737">
        <v>0.13383039999999999</v>
      </c>
      <c r="R1737">
        <v>-5.3674069999999997E-2</v>
      </c>
      <c r="S1737">
        <v>-3.0437319999999999</v>
      </c>
      <c r="T1737">
        <v>-6.0774799999999997E-2</v>
      </c>
      <c r="U1737">
        <v>8.7799070000000007E-2</v>
      </c>
      <c r="V1737">
        <v>-7.5406399999999998E-2</v>
      </c>
      <c r="W1737">
        <v>0.14498810000000001</v>
      </c>
      <c r="X1737">
        <v>0.98655579999999998</v>
      </c>
      <c r="Y1737">
        <v>7.0462700000000003E-3</v>
      </c>
      <c r="Z1737" s="1">
        <v>-7.6046899999999897E-5</v>
      </c>
      <c r="AA1737">
        <v>0.99997510000000001</v>
      </c>
      <c r="AB1737">
        <v>50</v>
      </c>
      <c r="AC1737">
        <v>-55.058199999999999</v>
      </c>
      <c r="AD1737">
        <v>-1.109801243747</v>
      </c>
      <c r="AE1737">
        <v>1.5919000000000001</v>
      </c>
      <c r="AF1737">
        <v>0.39173229898386203</v>
      </c>
      <c r="AG1737">
        <v>-1.109801243747</v>
      </c>
      <c r="AH1737">
        <v>55.057463256643501</v>
      </c>
      <c r="AI1737">
        <v>91.154733707869397</v>
      </c>
      <c r="AJ1737">
        <v>89.592349022672096</v>
      </c>
      <c r="AK1737">
        <v>55.070040614215401</v>
      </c>
      <c r="AL1737">
        <v>81.663410000321207</v>
      </c>
      <c r="AM1737">
        <v>94.370846759864406</v>
      </c>
      <c r="AN1737">
        <v>1.0000000104080999</v>
      </c>
    </row>
    <row r="1738" spans="1:40" x14ac:dyDescent="0.25">
      <c r="A1738" t="str">
        <f>"20190305135825864"</f>
        <v>20190305135825864</v>
      </c>
      <c r="B1738" t="str">
        <f>"1551765505860352"</f>
        <v>1551765505860352</v>
      </c>
      <c r="C1738" t="s">
        <v>40</v>
      </c>
      <c r="D1738">
        <v>4.1415509999999998</v>
      </c>
      <c r="E1738">
        <v>0.52900119999999995</v>
      </c>
      <c r="F1738" t="s">
        <v>59</v>
      </c>
      <c r="G1738">
        <v>-339.03469999999999</v>
      </c>
      <c r="H1738" s="1">
        <v>3.216008E-6</v>
      </c>
      <c r="I1738">
        <v>285.875</v>
      </c>
      <c r="J1738">
        <v>-283.59140000000002</v>
      </c>
      <c r="K1738">
        <v>1.1098790000000001</v>
      </c>
      <c r="L1738">
        <v>284.35969999999998</v>
      </c>
      <c r="M1738">
        <v>-0.9997163</v>
      </c>
      <c r="N1738">
        <v>-1.118391E-2</v>
      </c>
      <c r="O1738">
        <v>2.1032019999999998E-2</v>
      </c>
      <c r="P1738">
        <v>-0.98975760000000002</v>
      </c>
      <c r="Q1738">
        <v>0.1317422</v>
      </c>
      <c r="R1738">
        <v>-5.4991190000000002E-2</v>
      </c>
      <c r="S1738">
        <v>-3.0443419999999999</v>
      </c>
      <c r="T1738">
        <v>-6.0422299999999998E-2</v>
      </c>
      <c r="U1738">
        <v>8.3038329999999994E-2</v>
      </c>
      <c r="V1738">
        <v>-7.6014620000000005E-2</v>
      </c>
      <c r="W1738">
        <v>0.14267260000000001</v>
      </c>
      <c r="X1738">
        <v>0.98684660000000002</v>
      </c>
      <c r="Y1738">
        <v>6.233466E-3</v>
      </c>
      <c r="Z1738" s="1">
        <v>-8.5344069999999898E-5</v>
      </c>
      <c r="AA1738">
        <v>0.9999806</v>
      </c>
      <c r="AB1738">
        <v>50</v>
      </c>
      <c r="AC1738">
        <v>-55.443299999999901</v>
      </c>
      <c r="AD1738">
        <v>-1.1098757839919999</v>
      </c>
      <c r="AE1738">
        <v>1.5153000000000201</v>
      </c>
      <c r="AF1738">
        <v>0.34866769455132801</v>
      </c>
      <c r="AG1738">
        <v>-1.1098757839919999</v>
      </c>
      <c r="AH1738">
        <v>55.440706257176501</v>
      </c>
      <c r="AI1738">
        <v>91.1468369080998</v>
      </c>
      <c r="AJ1738">
        <v>89.639670463680005</v>
      </c>
      <c r="AK1738">
        <v>55.452910687462001</v>
      </c>
      <c r="AL1738">
        <v>81.797471863002798</v>
      </c>
      <c r="AM1738">
        <v>94.404670055953801</v>
      </c>
      <c r="AN1738">
        <v>0.99999995258803098</v>
      </c>
    </row>
    <row r="1739" spans="1:40" x14ac:dyDescent="0.25">
      <c r="A1739" t="str">
        <f>"20190305135825885"</f>
        <v>20190305135825885</v>
      </c>
      <c r="B1739" t="str">
        <f>"1551765505880417"</f>
        <v>1551765505880417</v>
      </c>
      <c r="C1739" t="s">
        <v>40</v>
      </c>
      <c r="D1739">
        <v>4.1276250000000001</v>
      </c>
      <c r="E1739">
        <v>0.52899090000000004</v>
      </c>
      <c r="F1739" t="s">
        <v>59</v>
      </c>
      <c r="G1739">
        <v>-331.93549999999999</v>
      </c>
      <c r="H1739" s="1">
        <v>-5.5183399999999898E-7</v>
      </c>
      <c r="I1739">
        <v>285.64670000000001</v>
      </c>
      <c r="J1739">
        <v>-284.07960000000003</v>
      </c>
      <c r="K1739">
        <v>1.109944</v>
      </c>
      <c r="L1739">
        <v>284.36950000000002</v>
      </c>
      <c r="M1739">
        <v>-0.99973599999999996</v>
      </c>
      <c r="N1739">
        <v>-1.096662E-2</v>
      </c>
      <c r="O1739">
        <v>2.0189169999999999E-2</v>
      </c>
      <c r="P1739">
        <v>-0.98985279999999998</v>
      </c>
      <c r="Q1739">
        <v>0.13037269999999901</v>
      </c>
      <c r="R1739">
        <v>-5.6519779999999999E-2</v>
      </c>
      <c r="S1739">
        <v>-3.044861</v>
      </c>
      <c r="T1739">
        <v>-6.9903610000000005E-2</v>
      </c>
      <c r="U1739">
        <v>8.1054689999999999E-2</v>
      </c>
      <c r="V1739">
        <v>-7.6744389999999996E-2</v>
      </c>
      <c r="W1739">
        <v>0.14106969999999999</v>
      </c>
      <c r="X1739">
        <v>0.98702060000000003</v>
      </c>
      <c r="Y1739">
        <v>6.4210250000000003E-3</v>
      </c>
      <c r="Z1739">
        <v>-1.3301129999999901E-4</v>
      </c>
      <c r="AA1739">
        <v>0.99997939999999996</v>
      </c>
      <c r="AB1739">
        <v>50</v>
      </c>
      <c r="AC1739">
        <v>-47.855899999999899</v>
      </c>
      <c r="AD1739">
        <v>-1.1099445518340001</v>
      </c>
      <c r="AE1739">
        <v>1.2771999999999899</v>
      </c>
      <c r="AF1739">
        <v>0.31054367860972198</v>
      </c>
      <c r="AG1739">
        <v>-1.1099445518340001</v>
      </c>
      <c r="AH1739">
        <v>47.846211958711102</v>
      </c>
      <c r="AI1739">
        <v>91.3288908909486</v>
      </c>
      <c r="AJ1739">
        <v>89.628129551544006</v>
      </c>
      <c r="AK1739">
        <v>47.860092071394703</v>
      </c>
      <c r="AL1739">
        <v>81.890250213918307</v>
      </c>
      <c r="AM1739">
        <v>94.4460070314896</v>
      </c>
      <c r="AN1739">
        <v>1.00000001323946</v>
      </c>
    </row>
    <row r="1740" spans="1:40" x14ac:dyDescent="0.25">
      <c r="A1740" t="str">
        <f>"20190305135825908"</f>
        <v>20190305135825908</v>
      </c>
      <c r="B1740" t="str">
        <f>"1551765505900913"</f>
        <v>1551765505900913</v>
      </c>
      <c r="C1740" t="s">
        <v>40</v>
      </c>
      <c r="D1740">
        <v>4.1718590000000004</v>
      </c>
      <c r="E1740">
        <v>0.52901980000000004</v>
      </c>
      <c r="F1740" t="s">
        <v>59</v>
      </c>
      <c r="G1740">
        <v>-328.05959999999999</v>
      </c>
      <c r="H1740" s="1">
        <v>2.7147180000000001E-6</v>
      </c>
      <c r="I1740">
        <v>285.47269999999997</v>
      </c>
      <c r="J1740">
        <v>-284.59309999999999</v>
      </c>
      <c r="K1740">
        <v>1.1100190000000001</v>
      </c>
      <c r="L1740">
        <v>284.37939999999998</v>
      </c>
      <c r="M1740">
        <v>-0.99975769999999997</v>
      </c>
      <c r="N1740">
        <v>-1.073211E-2</v>
      </c>
      <c r="O1740">
        <v>1.9223440000000001E-2</v>
      </c>
      <c r="P1740">
        <v>-0.98971240000000005</v>
      </c>
      <c r="Q1740">
        <v>0.130439</v>
      </c>
      <c r="R1740">
        <v>-5.8783429999999998E-2</v>
      </c>
      <c r="S1740">
        <v>-3.0451969999999999</v>
      </c>
      <c r="T1740">
        <v>-7.6852799999999999E-2</v>
      </c>
      <c r="U1740">
        <v>7.6385499999999995E-2</v>
      </c>
      <c r="V1740">
        <v>-7.8087320000000002E-2</v>
      </c>
      <c r="W1740">
        <v>0.1408799</v>
      </c>
      <c r="X1740">
        <v>0.9869424</v>
      </c>
      <c r="Y1740">
        <v>5.8522770000000003E-3</v>
      </c>
      <c r="Z1740">
        <v>-1.7341820000000001E-4</v>
      </c>
      <c r="AA1740">
        <v>0.99998279999999995</v>
      </c>
      <c r="AB1740">
        <v>50</v>
      </c>
      <c r="AC1740">
        <v>-43.466500000000003</v>
      </c>
      <c r="AD1740">
        <v>-1.1100162852819999</v>
      </c>
      <c r="AE1740">
        <v>1.0932999999999899</v>
      </c>
      <c r="AF1740">
        <v>0.25730654683978099</v>
      </c>
      <c r="AG1740">
        <v>-1.1100162852819999</v>
      </c>
      <c r="AH1740">
        <v>43.451166327049897</v>
      </c>
      <c r="AI1740">
        <v>91.463350918524398</v>
      </c>
      <c r="AJ1740">
        <v>89.660713207521596</v>
      </c>
      <c r="AK1740">
        <v>43.4661040121334</v>
      </c>
      <c r="AL1740">
        <v>81.901234856973403</v>
      </c>
      <c r="AM1740">
        <v>94.523843349313395</v>
      </c>
      <c r="AN1740">
        <v>1.0000000383432699</v>
      </c>
    </row>
    <row r="1741" spans="1:40" x14ac:dyDescent="0.25">
      <c r="A1741" t="str">
        <f>"20190305135825930"</f>
        <v>20190305135825930</v>
      </c>
      <c r="B1741" t="str">
        <f>"1551765505920433"</f>
        <v>1551765505920433</v>
      </c>
      <c r="C1741" t="s">
        <v>40</v>
      </c>
      <c r="D1741">
        <v>4.1715819999999999</v>
      </c>
      <c r="E1741">
        <v>0.52903540000000004</v>
      </c>
      <c r="F1741" t="s">
        <v>59</v>
      </c>
      <c r="G1741">
        <v>-327.27019999999999</v>
      </c>
      <c r="H1741" s="1">
        <v>2.2998259999999999E-6</v>
      </c>
      <c r="I1741">
        <v>285.3535</v>
      </c>
      <c r="J1741">
        <v>-285.08780000000002</v>
      </c>
      <c r="K1741">
        <v>1.1100920000000001</v>
      </c>
      <c r="L1741">
        <v>284.38839999999999</v>
      </c>
      <c r="M1741">
        <v>-0.99977919999999998</v>
      </c>
      <c r="N1741">
        <v>-1.0499929999999999E-2</v>
      </c>
      <c r="O1741">
        <v>1.821006E-2</v>
      </c>
      <c r="P1741">
        <v>-0.9895659</v>
      </c>
      <c r="Q1741">
        <v>0.13058800000000001</v>
      </c>
      <c r="R1741">
        <v>-6.0879320000000001E-2</v>
      </c>
      <c r="S1741">
        <v>-3.045776</v>
      </c>
      <c r="T1741">
        <v>-7.9219579999999998E-2</v>
      </c>
      <c r="U1741">
        <v>6.9519040000000004E-2</v>
      </c>
      <c r="V1741">
        <v>-7.9215560000000004E-2</v>
      </c>
      <c r="W1741">
        <v>0.1407755</v>
      </c>
      <c r="X1741">
        <v>0.9868673</v>
      </c>
      <c r="Y1741">
        <v>4.6086950000000003E-3</v>
      </c>
      <c r="Z1741">
        <v>-1.981455E-4</v>
      </c>
      <c r="AA1741">
        <v>0.99998929999999997</v>
      </c>
      <c r="AB1741">
        <v>50</v>
      </c>
      <c r="AC1741">
        <v>-42.182399999999902</v>
      </c>
      <c r="AD1741">
        <v>-1.110089700174</v>
      </c>
      <c r="AE1741">
        <v>0.96510000000000595</v>
      </c>
      <c r="AF1741">
        <v>0.19661759027517101</v>
      </c>
      <c r="AG1741">
        <v>-1.110089700174</v>
      </c>
      <c r="AH1741">
        <v>42.163794748692197</v>
      </c>
      <c r="AI1741">
        <v>91.508120278077797</v>
      </c>
      <c r="AJ1741">
        <v>89.732821096563498</v>
      </c>
      <c r="AK1741">
        <v>42.178863726149402</v>
      </c>
      <c r="AL1741">
        <v>81.907276086825405</v>
      </c>
      <c r="AM1741">
        <v>94.589276365878106</v>
      </c>
      <c r="AN1741">
        <v>0.99999995707782496</v>
      </c>
    </row>
    <row r="1742" spans="1:40" x14ac:dyDescent="0.25">
      <c r="A1742" t="str">
        <f>"20190305135825953"</f>
        <v>20190305135825953</v>
      </c>
      <c r="B1742" t="str">
        <f>"1551765505950689"</f>
        <v>1551765505950689</v>
      </c>
      <c r="C1742" t="s">
        <v>40</v>
      </c>
      <c r="D1742">
        <v>4.1222459999999996</v>
      </c>
      <c r="E1742">
        <v>0.52881339999999999</v>
      </c>
      <c r="F1742" t="s">
        <v>59</v>
      </c>
      <c r="G1742">
        <v>-326.86860000000001</v>
      </c>
      <c r="H1742" s="1">
        <v>2.0901269999999998E-6</v>
      </c>
      <c r="I1742">
        <v>285.26150000000001</v>
      </c>
      <c r="J1742">
        <v>-285.59350000000001</v>
      </c>
      <c r="K1742">
        <v>1.1101669999999999</v>
      </c>
      <c r="L1742">
        <v>284.39699999999999</v>
      </c>
      <c r="M1742">
        <v>-0.9998013</v>
      </c>
      <c r="N1742">
        <v>-1.0263039999999999E-2</v>
      </c>
      <c r="O1742">
        <v>1.7085650000000001E-2</v>
      </c>
      <c r="P1742">
        <v>-0.98955289999999996</v>
      </c>
      <c r="Q1742">
        <v>0.13008169999999999</v>
      </c>
      <c r="R1742">
        <v>-6.2162920000000003E-2</v>
      </c>
      <c r="S1742">
        <v>-3.0462039999999999</v>
      </c>
      <c r="T1742">
        <v>-8.0935720000000003E-2</v>
      </c>
      <c r="U1742">
        <v>6.3659670000000002E-2</v>
      </c>
      <c r="V1742">
        <v>-7.9424700000000001E-2</v>
      </c>
      <c r="W1742">
        <v>0.14001259999999999</v>
      </c>
      <c r="X1742">
        <v>0.98695900000000003</v>
      </c>
      <c r="Y1742">
        <v>3.8080050000000002E-3</v>
      </c>
      <c r="Z1742">
        <v>-2.083353E-4</v>
      </c>
      <c r="AA1742">
        <v>0.99999269999999996</v>
      </c>
      <c r="AB1742">
        <v>50</v>
      </c>
      <c r="AC1742">
        <v>-41.275100000000002</v>
      </c>
      <c r="AD1742">
        <v>-1.110164909873</v>
      </c>
      <c r="AE1742">
        <v>0.86450000000002003</v>
      </c>
      <c r="AF1742">
        <v>0.15900971835205099</v>
      </c>
      <c r="AG1742">
        <v>-1.110164909873</v>
      </c>
      <c r="AH1742">
        <v>41.254014289392202</v>
      </c>
      <c r="AI1742">
        <v>91.541472876451806</v>
      </c>
      <c r="AJ1742">
        <v>89.779159899866698</v>
      </c>
      <c r="AK1742">
        <v>41.269255447694</v>
      </c>
      <c r="AL1742">
        <v>81.951424153661094</v>
      </c>
      <c r="AM1742">
        <v>94.600915044901598</v>
      </c>
      <c r="AN1742">
        <v>0.99999993940492304</v>
      </c>
    </row>
    <row r="1743" spans="1:40" x14ac:dyDescent="0.25">
      <c r="A1743" t="str">
        <f>"20190305135825976"</f>
        <v>20190305135825976</v>
      </c>
      <c r="B1743" t="str">
        <f>"1551765505970209"</f>
        <v>1551765505970209</v>
      </c>
      <c r="C1743" t="s">
        <v>40</v>
      </c>
      <c r="D1743">
        <v>4.1095470000000001</v>
      </c>
      <c r="E1743">
        <v>0.50352470000000005</v>
      </c>
      <c r="F1743" t="s">
        <v>59</v>
      </c>
      <c r="G1743">
        <v>-326.6182</v>
      </c>
      <c r="H1743" s="1">
        <v>1.9603570000000002E-6</v>
      </c>
      <c r="I1743">
        <v>285.1816</v>
      </c>
      <c r="J1743">
        <v>-286.09870000000001</v>
      </c>
      <c r="K1743">
        <v>1.1102620000000001</v>
      </c>
      <c r="L1743">
        <v>284.4051</v>
      </c>
      <c r="M1743">
        <v>-0.99982369999999998</v>
      </c>
      <c r="N1743">
        <v>-1.003912E-2</v>
      </c>
      <c r="O1743">
        <v>1.5873450000000001E-2</v>
      </c>
      <c r="P1743">
        <v>-0.98945139999999998</v>
      </c>
      <c r="Q1743">
        <v>0.1300714</v>
      </c>
      <c r="R1743">
        <v>-6.3774739999999996E-2</v>
      </c>
      <c r="S1743">
        <v>-3.046173</v>
      </c>
      <c r="T1743">
        <v>-8.2432270000000002E-2</v>
      </c>
      <c r="U1743">
        <v>5.825806E-2</v>
      </c>
      <c r="V1743">
        <v>-7.9877050000000005E-2</v>
      </c>
      <c r="W1743">
        <v>0.1397572</v>
      </c>
      <c r="X1743">
        <v>0.98695869999999997</v>
      </c>
      <c r="Y1743">
        <v>3.2484129999999999E-3</v>
      </c>
      <c r="Z1743">
        <v>-2.0981290000000001E-4</v>
      </c>
      <c r="AA1743">
        <v>0.99999470000000001</v>
      </c>
      <c r="AB1743">
        <v>50</v>
      </c>
      <c r="AC1743">
        <v>-40.519500000000001</v>
      </c>
      <c r="AD1743">
        <v>-1.110260039643</v>
      </c>
      <c r="AE1743">
        <v>0.77649999999999797</v>
      </c>
      <c r="AF1743">
        <v>0.13308566200017499</v>
      </c>
      <c r="AG1743">
        <v>-1.110260039643</v>
      </c>
      <c r="AH1743">
        <v>40.496327471322303</v>
      </c>
      <c r="AI1743">
        <v>91.570437221117501</v>
      </c>
      <c r="AJ1743">
        <v>89.811705905911296</v>
      </c>
      <c r="AK1743">
        <v>40.511762832708598</v>
      </c>
      <c r="AL1743">
        <v>81.966202863466904</v>
      </c>
      <c r="AM1743">
        <v>94.627006723306494</v>
      </c>
      <c r="AN1743">
        <v>0.99999994678711401</v>
      </c>
    </row>
    <row r="1744" spans="1:40" x14ac:dyDescent="0.25">
      <c r="A1744" t="str">
        <f>"20190305135825998"</f>
        <v>20190305135825998</v>
      </c>
      <c r="B1744" t="str">
        <f>"1551765505990236"</f>
        <v>1551765505990236</v>
      </c>
      <c r="C1744" t="s">
        <v>40</v>
      </c>
      <c r="D1744">
        <v>4.0804989999999997</v>
      </c>
      <c r="E1744">
        <v>0.50275209999999904</v>
      </c>
      <c r="F1744" t="s">
        <v>59</v>
      </c>
      <c r="G1744">
        <v>-366.0249</v>
      </c>
      <c r="H1744" s="1">
        <v>1.6693489999999999E-6</v>
      </c>
      <c r="I1744">
        <v>280.4683</v>
      </c>
      <c r="J1744">
        <v>-286.5942</v>
      </c>
      <c r="K1744">
        <v>1.110365</v>
      </c>
      <c r="L1744">
        <v>284.41239999999999</v>
      </c>
      <c r="M1744">
        <v>-0.99984510000000004</v>
      </c>
      <c r="N1744">
        <v>-9.8395919999999994E-3</v>
      </c>
      <c r="O1744">
        <v>1.460357E-2</v>
      </c>
      <c r="P1744">
        <v>-0.98920949999999996</v>
      </c>
      <c r="Q1744">
        <v>0.131541299999999</v>
      </c>
      <c r="R1744">
        <v>-6.4512249999999993E-2</v>
      </c>
      <c r="S1744">
        <v>-3.027863</v>
      </c>
      <c r="T1744">
        <v>-4.2060260000000002E-2</v>
      </c>
      <c r="U1744">
        <v>-0.14913940000000001</v>
      </c>
      <c r="V1744">
        <v>-7.9398789999999997E-2</v>
      </c>
      <c r="W1744">
        <v>0.141007299999999</v>
      </c>
      <c r="X1744">
        <v>0.98681949999999996</v>
      </c>
      <c r="Y1744">
        <v>-6.3766760000000006E-2</v>
      </c>
      <c r="Z1744">
        <v>-8.1568859999999995E-4</v>
      </c>
      <c r="AA1744">
        <v>0.99796450000000003</v>
      </c>
      <c r="AB1744">
        <v>50</v>
      </c>
      <c r="AC1744">
        <v>-79.430700000000002</v>
      </c>
      <c r="AD1744">
        <v>-1.1103633306509999</v>
      </c>
      <c r="AE1744">
        <v>-3.9440999999999899</v>
      </c>
      <c r="AF1744">
        <v>-5.1027124524501799</v>
      </c>
      <c r="AG1744">
        <v>-1.1103633306509999</v>
      </c>
      <c r="AH1744">
        <v>79.349160425857406</v>
      </c>
      <c r="AI1744">
        <v>90.800057204532905</v>
      </c>
      <c r="AJ1744">
        <v>93.679457592080098</v>
      </c>
      <c r="AK1744">
        <v>79.520813887855098</v>
      </c>
      <c r="AL1744">
        <v>81.8938612656722</v>
      </c>
      <c r="AM1744">
        <v>94.600067969584998</v>
      </c>
      <c r="AN1744">
        <v>0.99999997604350099</v>
      </c>
    </row>
    <row r="1745" spans="1:40" x14ac:dyDescent="0.25">
      <c r="A1745" t="str">
        <f>"20190305135826021"</f>
        <v>20190305135826021</v>
      </c>
      <c r="B1745" t="str">
        <f>"1551765506010731"</f>
        <v>1551765506010731</v>
      </c>
      <c r="C1745" t="s">
        <v>40</v>
      </c>
      <c r="D1745">
        <v>4.0930299999999997</v>
      </c>
      <c r="E1745">
        <v>0.5040559</v>
      </c>
      <c r="F1745" t="s">
        <v>65</v>
      </c>
      <c r="G1745">
        <v>-512.8252</v>
      </c>
      <c r="H1745">
        <v>0.18514420000000001</v>
      </c>
      <c r="I1745">
        <v>272.54259999999999</v>
      </c>
      <c r="J1745">
        <v>-287.10550000000001</v>
      </c>
      <c r="K1745">
        <v>1.110471</v>
      </c>
      <c r="L1745">
        <v>284.41910000000001</v>
      </c>
      <c r="M1745">
        <v>-0.99986609999999998</v>
      </c>
      <c r="N1745">
        <v>-9.6575710000000002E-3</v>
      </c>
      <c r="O1745">
        <v>1.321605E-2</v>
      </c>
      <c r="P1745">
        <v>-0.98882099999999995</v>
      </c>
      <c r="Q1745">
        <v>0.13464960000000001</v>
      </c>
      <c r="R1745">
        <v>-6.4053449999999998E-2</v>
      </c>
      <c r="S1745">
        <v>-3.023987</v>
      </c>
      <c r="T1745">
        <v>-1.2366179999999999E-2</v>
      </c>
      <c r="U1745">
        <v>-0.15866089999999999</v>
      </c>
      <c r="V1745">
        <v>-7.761113E-2</v>
      </c>
      <c r="W1745">
        <v>0.14391799999999999</v>
      </c>
      <c r="X1745">
        <v>0.98654149999999996</v>
      </c>
      <c r="Y1745">
        <v>-6.5587270000000003E-2</v>
      </c>
      <c r="Z1745">
        <v>-3.7741739999999998E-4</v>
      </c>
      <c r="AA1745">
        <v>0.99784680000000003</v>
      </c>
      <c r="AB1745">
        <v>50</v>
      </c>
      <c r="AC1745">
        <v>-225.71969999999999</v>
      </c>
      <c r="AD1745">
        <v>-0.9253268</v>
      </c>
      <c r="AE1745">
        <v>-11.8765</v>
      </c>
      <c r="AF1745">
        <v>-14.8584753873103</v>
      </c>
      <c r="AG1745">
        <v>-0.9253268</v>
      </c>
      <c r="AH1745">
        <v>225.539237192066</v>
      </c>
      <c r="AI1745">
        <v>90.234559392606698</v>
      </c>
      <c r="AJ1745">
        <v>93.769186721666102</v>
      </c>
      <c r="AK1745">
        <v>226.03003790138399</v>
      </c>
      <c r="AL1745">
        <v>81.725372048943299</v>
      </c>
      <c r="AM1745">
        <v>94.498189327823297</v>
      </c>
      <c r="AN1745">
        <v>1.0000000047230599</v>
      </c>
    </row>
    <row r="1746" spans="1:40" x14ac:dyDescent="0.25">
      <c r="A1746" t="str">
        <f>"20190305135826041"</f>
        <v>20190305135826041</v>
      </c>
      <c r="B1746" t="str">
        <f>"1551765506030252"</f>
        <v>1551765506030252</v>
      </c>
      <c r="C1746" t="s">
        <v>40</v>
      </c>
      <c r="D1746">
        <v>4.1273530000000003</v>
      </c>
      <c r="E1746">
        <v>0.50394559999999999</v>
      </c>
      <c r="F1746" t="s">
        <v>65</v>
      </c>
      <c r="G1746">
        <v>-512.82569999999998</v>
      </c>
      <c r="H1746">
        <v>1.5550079999999999</v>
      </c>
      <c r="I1746">
        <v>273.3306</v>
      </c>
      <c r="J1746">
        <v>-287.5675</v>
      </c>
      <c r="K1746">
        <v>1.110579</v>
      </c>
      <c r="L1746">
        <v>284.4246</v>
      </c>
      <c r="M1746">
        <v>-0.99988379999999999</v>
      </c>
      <c r="N1746">
        <v>-9.5109689999999993E-3</v>
      </c>
      <c r="O1746">
        <v>1.19148E-2</v>
      </c>
      <c r="P1746">
        <v>-0.98822129999999997</v>
      </c>
      <c r="Q1746">
        <v>0.13873369999999999</v>
      </c>
      <c r="R1746">
        <v>-6.4588699999999999E-2</v>
      </c>
      <c r="S1746">
        <v>-3.0234990000000002</v>
      </c>
      <c r="T1746">
        <v>5.9555769999999897E-3</v>
      </c>
      <c r="U1746">
        <v>-0.1485291</v>
      </c>
      <c r="V1746">
        <v>-7.6900040000000003E-2</v>
      </c>
      <c r="W1746">
        <v>0.14783859999999999</v>
      </c>
      <c r="X1746">
        <v>0.98601729999999999</v>
      </c>
      <c r="Y1746">
        <v>-6.09629E-2</v>
      </c>
      <c r="Z1746" s="1">
        <v>-9.3378210000000001E-5</v>
      </c>
      <c r="AA1746">
        <v>0.99814000000000003</v>
      </c>
      <c r="AB1746">
        <v>50</v>
      </c>
      <c r="AC1746">
        <v>-225.25819999999999</v>
      </c>
      <c r="AD1746">
        <v>0.44442900000000002</v>
      </c>
      <c r="AE1746">
        <v>-11.0939999999999</v>
      </c>
      <c r="AF1746">
        <v>-13.7771866897144</v>
      </c>
      <c r="AG1746">
        <v>0.44442900000000002</v>
      </c>
      <c r="AH1746">
        <v>225.10914596742899</v>
      </c>
      <c r="AI1746">
        <v>89.887093364119295</v>
      </c>
      <c r="AJ1746">
        <v>93.502262272095805</v>
      </c>
      <c r="AK1746">
        <v>225.53078722960399</v>
      </c>
      <c r="AL1746">
        <v>81.498308953513899</v>
      </c>
      <c r="AM1746">
        <v>94.459502785462305</v>
      </c>
      <c r="AN1746">
        <v>0.99999999185062505</v>
      </c>
    </row>
    <row r="1747" spans="1:40" x14ac:dyDescent="0.25">
      <c r="A1747" t="str">
        <f>"20190305135826064"</f>
        <v>20190305135826064</v>
      </c>
      <c r="B1747" t="str">
        <f>"1551765506060508"</f>
        <v>1551765506060508</v>
      </c>
      <c r="C1747" t="s">
        <v>40</v>
      </c>
      <c r="D1747">
        <v>4.1456850000000003</v>
      </c>
      <c r="E1747">
        <v>0.50421199999999999</v>
      </c>
      <c r="F1747" t="s">
        <v>65</v>
      </c>
      <c r="G1747">
        <v>-512.82569999999998</v>
      </c>
      <c r="H1747">
        <v>1.6928669999999999</v>
      </c>
      <c r="I1747">
        <v>273.11099999999999</v>
      </c>
      <c r="J1747">
        <v>-288.0598</v>
      </c>
      <c r="K1747">
        <v>1.1106579999999999</v>
      </c>
      <c r="L1747">
        <v>284.4298</v>
      </c>
      <c r="M1747">
        <v>-0.99990100000000004</v>
      </c>
      <c r="N1747">
        <v>-9.3732650000000004E-3</v>
      </c>
      <c r="O1747">
        <v>1.0490009999999999E-2</v>
      </c>
      <c r="P1747">
        <v>-0.98764160000000001</v>
      </c>
      <c r="Q1747">
        <v>0.14172870000000001</v>
      </c>
      <c r="R1747">
        <v>-6.6910919999999999E-2</v>
      </c>
      <c r="S1747">
        <v>-3.0247190000000002</v>
      </c>
      <c r="T1747">
        <v>7.8198909999999903E-3</v>
      </c>
      <c r="U1747">
        <v>-0.15191650000000001</v>
      </c>
      <c r="V1747">
        <v>-7.7850359999999993E-2</v>
      </c>
      <c r="W1747">
        <v>0.15067369999999999</v>
      </c>
      <c r="X1747">
        <v>0.98551339999999998</v>
      </c>
      <c r="Y1747">
        <v>-6.0636049999999997E-2</v>
      </c>
      <c r="Z1747" s="1">
        <v>-8.0666009999999895E-5</v>
      </c>
      <c r="AA1747">
        <v>0.99815989999999999</v>
      </c>
      <c r="AB1747">
        <v>50</v>
      </c>
      <c r="AC1747">
        <v>-224.76589999999999</v>
      </c>
      <c r="AD1747">
        <v>0.58220899999999998</v>
      </c>
      <c r="AE1747">
        <v>-11.3188</v>
      </c>
      <c r="AF1747">
        <v>-13.6759858670705</v>
      </c>
      <c r="AG1747">
        <v>0.58220899999999998</v>
      </c>
      <c r="AH1747">
        <v>224.63328898224299</v>
      </c>
      <c r="AI1747">
        <v>89.851774445178293</v>
      </c>
      <c r="AJ1747">
        <v>93.4839462219133</v>
      </c>
      <c r="AK1747">
        <v>225.04996350974099</v>
      </c>
      <c r="AL1747">
        <v>81.334029114147199</v>
      </c>
      <c r="AM1747">
        <v>94.516684972515193</v>
      </c>
      <c r="AN1747">
        <v>0.99999995200168801</v>
      </c>
    </row>
    <row r="1748" spans="1:40" x14ac:dyDescent="0.25">
      <c r="A1748" t="str">
        <f>"20190305135826086"</f>
        <v>20190305135826086</v>
      </c>
      <c r="B1748" t="str">
        <f>"1551765506080536"</f>
        <v>1551765506080536</v>
      </c>
      <c r="C1748" t="s">
        <v>40</v>
      </c>
      <c r="D1748">
        <v>4.1725000000000003</v>
      </c>
      <c r="E1748">
        <v>0.50413920000000001</v>
      </c>
      <c r="F1748" t="s">
        <v>65</v>
      </c>
      <c r="G1748">
        <v>-512.82569999999998</v>
      </c>
      <c r="H1748">
        <v>1.688582</v>
      </c>
      <c r="I1748">
        <v>272.82560000000001</v>
      </c>
      <c r="J1748">
        <v>-288.56909999999999</v>
      </c>
      <c r="K1748">
        <v>1.110735</v>
      </c>
      <c r="L1748">
        <v>284.43439999999998</v>
      </c>
      <c r="M1748">
        <v>-0.9999169</v>
      </c>
      <c r="N1748">
        <v>-9.2531760000000001E-3</v>
      </c>
      <c r="O1748">
        <v>8.9853079999999991E-3</v>
      </c>
      <c r="P1748">
        <v>-0.98732620000000004</v>
      </c>
      <c r="Q1748">
        <v>0.14242779999999899</v>
      </c>
      <c r="R1748">
        <v>-7.0009210000000002E-2</v>
      </c>
      <c r="S1748">
        <v>-3.0258790000000002</v>
      </c>
      <c r="T1748">
        <v>7.7812669999999997E-3</v>
      </c>
      <c r="U1748">
        <v>-0.15621949999999901</v>
      </c>
      <c r="V1748">
        <v>-7.9490989999999997E-2</v>
      </c>
      <c r="W1748">
        <v>0.1512308</v>
      </c>
      <c r="X1748">
        <v>0.98529710000000004</v>
      </c>
      <c r="Y1748">
        <v>-6.0530680000000003E-2</v>
      </c>
      <c r="Z1748" s="1">
        <v>-9.6287609999999997E-5</v>
      </c>
      <c r="AA1748">
        <v>0.99816629999999995</v>
      </c>
      <c r="AB1748">
        <v>50</v>
      </c>
      <c r="AC1748">
        <v>-224.25659999999999</v>
      </c>
      <c r="AD1748">
        <v>0.577847</v>
      </c>
      <c r="AE1748">
        <v>-11.608799999999899</v>
      </c>
      <c r="AF1748">
        <v>-13.6233418438668</v>
      </c>
      <c r="AG1748">
        <v>0.577847</v>
      </c>
      <c r="AH1748">
        <v>224.141748967762</v>
      </c>
      <c r="AI1748">
        <v>89.852561443423596</v>
      </c>
      <c r="AJ1748">
        <v>93.478160290714399</v>
      </c>
      <c r="AK1748">
        <v>224.55612434417699</v>
      </c>
      <c r="AL1748">
        <v>81.3017398211516</v>
      </c>
      <c r="AM1748">
        <v>94.612471910742499</v>
      </c>
      <c r="AN1748">
        <v>0.99999997381411398</v>
      </c>
    </row>
    <row r="1749" spans="1:40" x14ac:dyDescent="0.25">
      <c r="A1749" t="str">
        <f>"20190305135826101"</f>
        <v>20190305135826101</v>
      </c>
      <c r="B1749" t="str">
        <f>"1551765506090295"</f>
        <v>1551765506090295</v>
      </c>
      <c r="C1749" t="s">
        <v>40</v>
      </c>
      <c r="D1749">
        <v>4.2190070000000004</v>
      </c>
      <c r="E1749">
        <v>0.5041639</v>
      </c>
      <c r="F1749" t="s">
        <v>65</v>
      </c>
      <c r="G1749">
        <v>-512.82560000000001</v>
      </c>
      <c r="H1749">
        <v>1.3120210000000001</v>
      </c>
      <c r="I1749">
        <v>272.22539999999998</v>
      </c>
      <c r="J1749">
        <v>-288.89240000000001</v>
      </c>
      <c r="K1749">
        <v>1.1107720000000001</v>
      </c>
      <c r="L1749">
        <v>284.43700000000001</v>
      </c>
      <c r="M1749">
        <v>-0.99992559999999997</v>
      </c>
      <c r="N1749">
        <v>-9.188781E-3</v>
      </c>
      <c r="O1749">
        <v>8.0202789999999999E-3</v>
      </c>
      <c r="P1749">
        <v>-0.98730180000000001</v>
      </c>
      <c r="Q1749">
        <v>0.14183009999999999</v>
      </c>
      <c r="R1749">
        <v>-7.1550050000000004E-2</v>
      </c>
      <c r="S1749">
        <v>-3.0264280000000001</v>
      </c>
      <c r="T1749">
        <v>2.7174949999999999E-3</v>
      </c>
      <c r="U1749">
        <v>-0.16476440000000001</v>
      </c>
      <c r="V1749">
        <v>-8.0092679999999999E-2</v>
      </c>
      <c r="W1749">
        <v>0.1505592</v>
      </c>
      <c r="X1749">
        <v>0.98535130000000004</v>
      </c>
      <c r="Y1749">
        <v>-6.236821E-2</v>
      </c>
      <c r="Z1749">
        <v>-1.7794459999999999E-4</v>
      </c>
      <c r="AA1749">
        <v>0.99805319999999997</v>
      </c>
      <c r="AB1749">
        <v>50</v>
      </c>
      <c r="AC1749">
        <v>-223.9332</v>
      </c>
      <c r="AD1749">
        <v>0.20124900000000001</v>
      </c>
      <c r="AE1749">
        <v>-12.211600000000001</v>
      </c>
      <c r="AF1749">
        <v>-14.0072785262001</v>
      </c>
      <c r="AG1749">
        <v>0.20124900000000001</v>
      </c>
      <c r="AH1749">
        <v>223.827872220747</v>
      </c>
      <c r="AI1749">
        <v>89.948584587845303</v>
      </c>
      <c r="AJ1749">
        <v>93.580933399181006</v>
      </c>
      <c r="AK1749">
        <v>224.26582605412199</v>
      </c>
      <c r="AL1749">
        <v>81.340666014838405</v>
      </c>
      <c r="AM1749">
        <v>94.646978171178603</v>
      </c>
      <c r="AN1749">
        <v>1.00000004725295</v>
      </c>
    </row>
    <row r="1750" spans="1:40" x14ac:dyDescent="0.25">
      <c r="A1750" t="str">
        <f>"20190305135826120"</f>
        <v>20190305135826120</v>
      </c>
      <c r="B1750" t="str">
        <f>"1551765506110791"</f>
        <v>1551765506110791</v>
      </c>
      <c r="C1750" t="s">
        <v>40</v>
      </c>
      <c r="D1750">
        <v>4.1967780000000001</v>
      </c>
      <c r="E1750">
        <v>0.5038707</v>
      </c>
      <c r="F1750" t="s">
        <v>65</v>
      </c>
      <c r="G1750">
        <v>-512.82550000000003</v>
      </c>
      <c r="H1750">
        <v>1.0384990000000001</v>
      </c>
      <c r="I1750">
        <v>271.96600000000001</v>
      </c>
      <c r="J1750">
        <v>-289.3535</v>
      </c>
      <c r="K1750">
        <v>1.1108229999999999</v>
      </c>
      <c r="L1750">
        <v>284.44009999999997</v>
      </c>
      <c r="M1750">
        <v>-0.99993650000000001</v>
      </c>
      <c r="N1750">
        <v>-9.1290239999999995E-3</v>
      </c>
      <c r="O1750">
        <v>6.6337230000000002E-3</v>
      </c>
      <c r="P1750">
        <v>-0.98745269999999996</v>
      </c>
      <c r="Q1750">
        <v>0.13982530000000001</v>
      </c>
      <c r="R1750">
        <v>-7.3392819999999998E-2</v>
      </c>
      <c r="S1750">
        <v>-3.0265200000000001</v>
      </c>
      <c r="T1750">
        <v>-9.7572800000000003E-4</v>
      </c>
      <c r="U1750">
        <v>-0.16854859999999999</v>
      </c>
      <c r="V1750">
        <v>-8.0580550000000001E-2</v>
      </c>
      <c r="W1750">
        <v>0.14848459999999999</v>
      </c>
      <c r="X1750">
        <v>0.98562620000000001</v>
      </c>
      <c r="Y1750">
        <v>-6.2226570000000002E-2</v>
      </c>
      <c r="Z1750">
        <v>-2.3590850000000001E-4</v>
      </c>
      <c r="AA1750">
        <v>0.998062</v>
      </c>
      <c r="AB1750">
        <v>50</v>
      </c>
      <c r="AC1750">
        <v>-223.47200000000001</v>
      </c>
      <c r="AD1750">
        <v>-7.2323999999999805E-2</v>
      </c>
      <c r="AE1750">
        <v>-12.4740999999999</v>
      </c>
      <c r="AF1750">
        <v>-13.9563369117308</v>
      </c>
      <c r="AG1750">
        <v>-7.2323999999999805E-2</v>
      </c>
      <c r="AH1750">
        <v>223.38430596909799</v>
      </c>
      <c r="AI1750">
        <v>90.018514263684196</v>
      </c>
      <c r="AJ1750">
        <v>93.575010361039404</v>
      </c>
      <c r="AK1750">
        <v>223.81986668759001</v>
      </c>
      <c r="AL1750">
        <v>81.460882485432506</v>
      </c>
      <c r="AM1750">
        <v>94.673861129111501</v>
      </c>
      <c r="AN1750">
        <v>0.99999995380094997</v>
      </c>
    </row>
    <row r="1751" spans="1:40" x14ac:dyDescent="0.25">
      <c r="A1751" t="str">
        <f>"20190305135826143"</f>
        <v>20190305135826143</v>
      </c>
      <c r="B1751" t="str">
        <f>"1551765506130310"</f>
        <v>1551765506130310</v>
      </c>
      <c r="C1751" t="s">
        <v>40</v>
      </c>
      <c r="D1751">
        <v>4.1954840000000004</v>
      </c>
      <c r="E1751">
        <v>0.50397910000000001</v>
      </c>
      <c r="F1751" t="s">
        <v>58</v>
      </c>
      <c r="G1751">
        <v>-499.9701</v>
      </c>
      <c r="H1751">
        <v>6.2350089999999997E-2</v>
      </c>
      <c r="I1751">
        <v>272.13760000000002</v>
      </c>
      <c r="J1751">
        <v>-289.85079999999999</v>
      </c>
      <c r="K1751">
        <v>1.1108880000000001</v>
      </c>
      <c r="L1751">
        <v>284.4427</v>
      </c>
      <c r="M1751">
        <v>-0.99994519999999998</v>
      </c>
      <c r="N1751">
        <v>-9.1416459999999998E-3</v>
      </c>
      <c r="O1751">
        <v>5.1337270000000003E-3</v>
      </c>
      <c r="P1751">
        <v>-0.98742929999999995</v>
      </c>
      <c r="Q1751">
        <v>0.139481299999999</v>
      </c>
      <c r="R1751">
        <v>-7.4355950000000004E-2</v>
      </c>
      <c r="S1751">
        <v>-3.0270999999999999</v>
      </c>
      <c r="T1751">
        <v>-1.5069249999999999E-2</v>
      </c>
      <c r="U1751">
        <v>-0.1768188</v>
      </c>
      <c r="V1751">
        <v>-8.0081799999999995E-2</v>
      </c>
      <c r="W1751">
        <v>0.1481451</v>
      </c>
      <c r="X1751">
        <v>0.98571799999999998</v>
      </c>
      <c r="Y1751">
        <v>-6.3434729999999995E-2</v>
      </c>
      <c r="Z1751">
        <v>-4.2660909999999997E-4</v>
      </c>
      <c r="AA1751">
        <v>0.99798589999999998</v>
      </c>
      <c r="AB1751">
        <v>51</v>
      </c>
      <c r="AC1751">
        <v>-210.11930000000001</v>
      </c>
      <c r="AD1751">
        <v>-1.0485379100000001</v>
      </c>
      <c r="AE1751">
        <v>-12.3050999999999</v>
      </c>
      <c r="AF1751">
        <v>-13.3833457221033</v>
      </c>
      <c r="AG1751">
        <v>-1.0485379100000001</v>
      </c>
      <c r="AH1751">
        <v>210.04814446725399</v>
      </c>
      <c r="AI1751">
        <v>90.2854332508265</v>
      </c>
      <c r="AJ1751">
        <v>93.645707422914995</v>
      </c>
      <c r="AK1751">
        <v>210.47668842083701</v>
      </c>
      <c r="AL1751">
        <v>81.480552515917495</v>
      </c>
      <c r="AM1751">
        <v>94.644628738530301</v>
      </c>
      <c r="AN1751">
        <v>1.00000002043462</v>
      </c>
    </row>
    <row r="1752" spans="1:40" x14ac:dyDescent="0.25">
      <c r="A1752" t="str">
        <f>"20190305135826166"</f>
        <v>20190305135826166</v>
      </c>
      <c r="B1752" t="str">
        <f>"1551765506160566"</f>
        <v>1551765506160566</v>
      </c>
      <c r="C1752" t="s">
        <v>40</v>
      </c>
      <c r="D1752">
        <v>4.2080349999999997</v>
      </c>
      <c r="E1752">
        <v>0.50378990000000001</v>
      </c>
      <c r="F1752" t="s">
        <v>43</v>
      </c>
      <c r="G1752">
        <v>-485.97410000000002</v>
      </c>
      <c r="H1752">
        <v>-0.05</v>
      </c>
      <c r="I1752">
        <v>272.83510000000001</v>
      </c>
      <c r="J1752">
        <v>-290.35579999999999</v>
      </c>
      <c r="K1752">
        <v>1.110968</v>
      </c>
      <c r="L1752">
        <v>284.44459999999998</v>
      </c>
      <c r="M1752">
        <v>-0.99995049999999996</v>
      </c>
      <c r="N1752">
        <v>-9.2719159999999998E-3</v>
      </c>
      <c r="O1752">
        <v>3.611118E-3</v>
      </c>
      <c r="P1752">
        <v>-0.98745989999999995</v>
      </c>
      <c r="Q1752">
        <v>0.1385073</v>
      </c>
      <c r="R1752">
        <v>-7.5755069999999994E-2</v>
      </c>
      <c r="S1752">
        <v>-3.0272519999999998</v>
      </c>
      <c r="T1752">
        <v>-1.791883E-2</v>
      </c>
      <c r="U1752">
        <v>-0.17916869999999999</v>
      </c>
      <c r="V1752">
        <v>-7.9994339999999997E-2</v>
      </c>
      <c r="W1752">
        <v>0.14729059999999999</v>
      </c>
      <c r="X1752">
        <v>0.98585310000000004</v>
      </c>
      <c r="Y1752">
        <v>-6.2683630000000004E-2</v>
      </c>
      <c r="Z1752">
        <v>-4.6412290000000001E-4</v>
      </c>
      <c r="AA1752">
        <v>0.99803330000000001</v>
      </c>
      <c r="AB1752">
        <v>51</v>
      </c>
      <c r="AC1752">
        <v>-195.6183</v>
      </c>
      <c r="AD1752">
        <v>-1.160968</v>
      </c>
      <c r="AE1752">
        <v>-11.609499999999899</v>
      </c>
      <c r="AF1752">
        <v>-12.315423165825999</v>
      </c>
      <c r="AG1752">
        <v>-1.160968</v>
      </c>
      <c r="AH1752">
        <v>195.56823511478001</v>
      </c>
      <c r="AI1752">
        <v>90.339453336111603</v>
      </c>
      <c r="AJ1752">
        <v>93.603301219779993</v>
      </c>
      <c r="AK1752">
        <v>195.95905715317201</v>
      </c>
      <c r="AL1752">
        <v>81.530054435647699</v>
      </c>
      <c r="AM1752">
        <v>94.638945315443195</v>
      </c>
      <c r="AN1752">
        <v>0.99999997503000204</v>
      </c>
    </row>
    <row r="1753" spans="1:40" x14ac:dyDescent="0.25">
      <c r="A1753" t="str">
        <f>"20190305135826188"</f>
        <v>20190305135826188</v>
      </c>
      <c r="B1753" t="str">
        <f>"1551765506180521"</f>
        <v>1551765506180521</v>
      </c>
      <c r="C1753" t="s">
        <v>40</v>
      </c>
      <c r="D1753">
        <v>4.2473879999999999</v>
      </c>
      <c r="E1753">
        <v>0.50387389999999999</v>
      </c>
      <c r="F1753" t="s">
        <v>61</v>
      </c>
      <c r="G1753">
        <v>-407.83879999999999</v>
      </c>
      <c r="H1753">
        <v>8.0001370000000002E-2</v>
      </c>
      <c r="I1753">
        <v>277.29570000000001</v>
      </c>
      <c r="J1753">
        <v>-290.87079999999997</v>
      </c>
      <c r="K1753">
        <v>1.1110819999999999</v>
      </c>
      <c r="L1753">
        <v>284.44569999999999</v>
      </c>
      <c r="M1753">
        <v>-0.99995210000000001</v>
      </c>
      <c r="N1753">
        <v>-9.5725800000000007E-3</v>
      </c>
      <c r="O1753">
        <v>2.0679320000000002E-3</v>
      </c>
      <c r="P1753">
        <v>-0.98768089999999997</v>
      </c>
      <c r="Q1753">
        <v>0.13637929999999901</v>
      </c>
      <c r="R1753">
        <v>-7.6729420000000007E-2</v>
      </c>
      <c r="S1753">
        <v>-3.027679</v>
      </c>
      <c r="T1753">
        <v>-2.6569249999999999E-2</v>
      </c>
      <c r="U1753">
        <v>-0.1842346</v>
      </c>
      <c r="V1753">
        <v>-7.9456280000000004E-2</v>
      </c>
      <c r="W1753">
        <v>0.14545429999999901</v>
      </c>
      <c r="X1753">
        <v>0.98616919999999997</v>
      </c>
      <c r="Y1753">
        <v>-6.2796820000000003E-2</v>
      </c>
      <c r="Z1753">
        <v>-5.7448850000000001E-4</v>
      </c>
      <c r="AA1753">
        <v>0.99802619999999997</v>
      </c>
      <c r="AB1753">
        <v>51</v>
      </c>
      <c r="AC1753">
        <v>-116.968</v>
      </c>
      <c r="AD1753">
        <v>-1.0310806299999999</v>
      </c>
      <c r="AE1753">
        <v>-7.1499999999999702</v>
      </c>
      <c r="AF1753">
        <v>-7.3913054441354102</v>
      </c>
      <c r="AG1753">
        <v>-1.0310806299999999</v>
      </c>
      <c r="AH1753">
        <v>116.94391014577999</v>
      </c>
      <c r="AI1753">
        <v>90.504151107312495</v>
      </c>
      <c r="AJ1753">
        <v>93.616503369146102</v>
      </c>
      <c r="AK1753">
        <v>117.18179314048101</v>
      </c>
      <c r="AL1753">
        <v>81.636412193372493</v>
      </c>
      <c r="AM1753">
        <v>94.606406920084098</v>
      </c>
      <c r="AN1753">
        <v>0.99999997242428296</v>
      </c>
    </row>
    <row r="1754" spans="1:40" x14ac:dyDescent="0.25">
      <c r="A1754" t="str">
        <f>"20190305135826210"</f>
        <v>20190305135826210</v>
      </c>
      <c r="B1754" t="str">
        <f>"1551765506200041"</f>
        <v>1551765506200041</v>
      </c>
      <c r="C1754" t="s">
        <v>40</v>
      </c>
      <c r="D1754">
        <v>4.2389789999999996</v>
      </c>
      <c r="E1754">
        <v>0.50401249999999997</v>
      </c>
      <c r="F1754" t="s">
        <v>59</v>
      </c>
      <c r="G1754">
        <v>-375.62799999999999</v>
      </c>
      <c r="H1754">
        <v>8.0001279999999994E-2</v>
      </c>
      <c r="I1754">
        <v>279.24619999999999</v>
      </c>
      <c r="J1754">
        <v>-291.37549999999999</v>
      </c>
      <c r="K1754">
        <v>1.111205</v>
      </c>
      <c r="L1754">
        <v>284.44600000000003</v>
      </c>
      <c r="M1754">
        <v>-0.9999498</v>
      </c>
      <c r="N1754">
        <v>-1.001722E-2</v>
      </c>
      <c r="O1754">
        <v>5.7180220000000001E-4</v>
      </c>
      <c r="P1754">
        <v>-0.98792670000000005</v>
      </c>
      <c r="Q1754">
        <v>0.13413749999999999</v>
      </c>
      <c r="R1754">
        <v>-7.751653E-2</v>
      </c>
      <c r="S1754">
        <v>-3.0280459999999998</v>
      </c>
      <c r="T1754">
        <v>-3.6836500000000001E-2</v>
      </c>
      <c r="U1754">
        <v>-0.1857605</v>
      </c>
      <c r="V1754">
        <v>-7.8772330000000002E-2</v>
      </c>
      <c r="W1754">
        <v>0.14365</v>
      </c>
      <c r="X1754">
        <v>0.98648849999999999</v>
      </c>
      <c r="Y1754">
        <v>-6.1793979999999998E-2</v>
      </c>
      <c r="Z1754">
        <v>-6.865463E-4</v>
      </c>
      <c r="AA1754">
        <v>0.99808869999999905</v>
      </c>
      <c r="AB1754">
        <v>51</v>
      </c>
      <c r="AC1754">
        <v>-84.252499999999998</v>
      </c>
      <c r="AD1754">
        <v>-1.0312037199999999</v>
      </c>
      <c r="AE1754">
        <v>-5.1997999999999802</v>
      </c>
      <c r="AF1754">
        <v>-5.2471942574850203</v>
      </c>
      <c r="AG1754">
        <v>-1.0312037199999999</v>
      </c>
      <c r="AH1754">
        <v>84.236941673341903</v>
      </c>
      <c r="AI1754">
        <v>90.700006332628803</v>
      </c>
      <c r="AJ1754">
        <v>93.564399847070803</v>
      </c>
      <c r="AK1754">
        <v>84.406509056860799</v>
      </c>
      <c r="AL1754">
        <v>81.740888355594706</v>
      </c>
      <c r="AM1754">
        <v>94.565452043695302</v>
      </c>
      <c r="AN1754">
        <v>0.99999998155293901</v>
      </c>
    </row>
    <row r="1755" spans="1:40" x14ac:dyDescent="0.25">
      <c r="A1755" t="str">
        <f>"20190305135826232"</f>
        <v>20190305135826232</v>
      </c>
      <c r="B1755" t="str">
        <f>"1551765506220537"</f>
        <v>1551765506220537</v>
      </c>
      <c r="C1755" t="s">
        <v>40</v>
      </c>
      <c r="D1755">
        <v>4.2387639999999998</v>
      </c>
      <c r="E1755">
        <v>0.50408759999999997</v>
      </c>
      <c r="F1755" t="s">
        <v>59</v>
      </c>
      <c r="G1755">
        <v>-367.67219999999998</v>
      </c>
      <c r="H1755" s="1">
        <v>2.5459839999999998E-6</v>
      </c>
      <c r="I1755">
        <v>279.75310000000002</v>
      </c>
      <c r="J1755">
        <v>-291.84829999999999</v>
      </c>
      <c r="K1755">
        <v>1.1113120000000001</v>
      </c>
      <c r="L1755">
        <v>284.44560000000001</v>
      </c>
      <c r="M1755">
        <v>-0.99994470000000002</v>
      </c>
      <c r="N1755">
        <v>-1.0492649999999999E-2</v>
      </c>
      <c r="O1755">
        <v>-8.1902069999999997E-4</v>
      </c>
      <c r="P1755">
        <v>-0.98838630000000005</v>
      </c>
      <c r="Q1755">
        <v>0.13016179999999999</v>
      </c>
      <c r="R1755">
        <v>-7.8426650000000001E-2</v>
      </c>
      <c r="S1755">
        <v>-3.0280149999999999</v>
      </c>
      <c r="T1755">
        <v>-4.4100640000000003E-2</v>
      </c>
      <c r="U1755">
        <v>-0.18624879999999999</v>
      </c>
      <c r="V1755">
        <v>-7.8302159999999996E-2</v>
      </c>
      <c r="W1755">
        <v>0.14014579999999999</v>
      </c>
      <c r="X1755">
        <v>0.98702990000000002</v>
      </c>
      <c r="Y1755">
        <v>-6.056396E-2</v>
      </c>
      <c r="Z1755">
        <v>-7.5533860000000003E-4</v>
      </c>
      <c r="AA1755">
        <v>0.9981641</v>
      </c>
      <c r="AB1755">
        <v>51</v>
      </c>
      <c r="AC1755">
        <v>-75.823899999999895</v>
      </c>
      <c r="AD1755">
        <v>-1.111309454016</v>
      </c>
      <c r="AE1755">
        <v>-4.6924999999999901</v>
      </c>
      <c r="AF1755">
        <v>-4.6294030133613697</v>
      </c>
      <c r="AG1755">
        <v>-1.111309454016</v>
      </c>
      <c r="AH1755">
        <v>75.811494975462907</v>
      </c>
      <c r="AI1755">
        <v>90.838268947879499</v>
      </c>
      <c r="AJ1755">
        <v>93.494408067571996</v>
      </c>
      <c r="AK1755">
        <v>75.960839591050799</v>
      </c>
      <c r="AL1755">
        <v>81.943717243612298</v>
      </c>
      <c r="AM1755">
        <v>94.535837370583096</v>
      </c>
      <c r="AN1755">
        <v>1.00000004850615</v>
      </c>
    </row>
    <row r="1756" spans="1:40" x14ac:dyDescent="0.25">
      <c r="A1756" t="str">
        <f>"20190305135826253"</f>
        <v>20190305135826253</v>
      </c>
      <c r="B1756" t="str">
        <f>"1551765506250794"</f>
        <v>1551765506250794</v>
      </c>
      <c r="C1756" t="s">
        <v>40</v>
      </c>
      <c r="D1756">
        <v>4.2168570000000001</v>
      </c>
      <c r="E1756">
        <v>0.50413859999999999</v>
      </c>
      <c r="F1756" t="s">
        <v>59</v>
      </c>
      <c r="G1756">
        <v>-350.9778</v>
      </c>
      <c r="H1756" s="1">
        <v>-1.0164849999999999E-6</v>
      </c>
      <c r="I1756">
        <v>280.77199999999999</v>
      </c>
      <c r="J1756">
        <v>-292.34899999999999</v>
      </c>
      <c r="K1756">
        <v>1.1113949999999999</v>
      </c>
      <c r="L1756">
        <v>284.44439999999997</v>
      </c>
      <c r="M1756">
        <v>-0.99993710000000002</v>
      </c>
      <c r="N1756">
        <v>-1.098785E-2</v>
      </c>
      <c r="O1756">
        <v>-2.2790200000000001E-3</v>
      </c>
      <c r="P1756">
        <v>-0.98884139999999998</v>
      </c>
      <c r="Q1756">
        <v>0.12628699999999901</v>
      </c>
      <c r="R1756">
        <v>-7.9022289999999995E-2</v>
      </c>
      <c r="S1756">
        <v>-3.0278320000000001</v>
      </c>
      <c r="T1756">
        <v>-5.6906819999999997E-2</v>
      </c>
      <c r="U1756">
        <v>-0.18811040000000001</v>
      </c>
      <c r="V1756">
        <v>-7.7442929999999993E-2</v>
      </c>
      <c r="W1756">
        <v>0.13676640000000001</v>
      </c>
      <c r="X1756">
        <v>0.98757150000000005</v>
      </c>
      <c r="Y1756">
        <v>-5.9715999999999998E-2</v>
      </c>
      <c r="Z1756">
        <v>-8.7125590000000001E-4</v>
      </c>
      <c r="AA1756">
        <v>0.99821499999999996</v>
      </c>
      <c r="AB1756">
        <v>50</v>
      </c>
      <c r="AC1756">
        <v>-58.628799999999998</v>
      </c>
      <c r="AD1756">
        <v>-1.1113960164849901</v>
      </c>
      <c r="AE1756">
        <v>-3.6723999999999801</v>
      </c>
      <c r="AF1756">
        <v>-3.5374999693303302</v>
      </c>
      <c r="AG1756">
        <v>-1.1113960164849901</v>
      </c>
      <c r="AH1756">
        <v>58.616036446706197</v>
      </c>
      <c r="AI1756">
        <v>91.084260715671405</v>
      </c>
      <c r="AJ1756">
        <v>93.453633124433097</v>
      </c>
      <c r="AK1756">
        <v>58.733200456471501</v>
      </c>
      <c r="AL1756">
        <v>82.139225029036695</v>
      </c>
      <c r="AM1756">
        <v>94.483818445696997</v>
      </c>
      <c r="AN1756">
        <v>0.99999996159409599</v>
      </c>
    </row>
    <row r="1757" spans="1:40" x14ac:dyDescent="0.25">
      <c r="A1757" t="str">
        <f>"20190305135826277"</f>
        <v>20190305135826277</v>
      </c>
      <c r="B1757" t="str">
        <f>"1551765506270313"</f>
        <v>1551765506270313</v>
      </c>
      <c r="C1757" t="s">
        <v>40</v>
      </c>
      <c r="D1757">
        <v>4.2045560000000002</v>
      </c>
      <c r="E1757">
        <v>0.50411949999999905</v>
      </c>
      <c r="F1757" t="s">
        <v>59</v>
      </c>
      <c r="G1757">
        <v>-341.3904</v>
      </c>
      <c r="H1757" s="1">
        <v>-7.9686190000000001E-7</v>
      </c>
      <c r="I1757">
        <v>281.38690000000003</v>
      </c>
      <c r="J1757">
        <v>-292.87189999999998</v>
      </c>
      <c r="K1757">
        <v>1.1114470000000001</v>
      </c>
      <c r="L1757">
        <v>284.44229999999999</v>
      </c>
      <c r="M1757">
        <v>-0.99992720000000002</v>
      </c>
      <c r="N1757">
        <v>-1.146631E-2</v>
      </c>
      <c r="O1757">
        <v>-3.777449E-3</v>
      </c>
      <c r="P1757">
        <v>-0.98922960000000004</v>
      </c>
      <c r="Q1757">
        <v>0.1227987</v>
      </c>
      <c r="R1757">
        <v>-7.9657850000000002E-2</v>
      </c>
      <c r="S1757">
        <v>-3.0275569999999998</v>
      </c>
      <c r="T1757">
        <v>-6.8611619999999998E-2</v>
      </c>
      <c r="U1757">
        <v>-0.18875120000000001</v>
      </c>
      <c r="V1757">
        <v>-7.6581759999999999E-2</v>
      </c>
      <c r="W1757">
        <v>0.1337602</v>
      </c>
      <c r="X1757">
        <v>0.98805030000000005</v>
      </c>
      <c r="Y1757">
        <v>-5.8430469999999998E-2</v>
      </c>
      <c r="Z1757">
        <v>-9.5451330000000003E-4</v>
      </c>
      <c r="AA1757">
        <v>0.99829100000000004</v>
      </c>
      <c r="AB1757">
        <v>50</v>
      </c>
      <c r="AC1757">
        <v>-48.518500000000003</v>
      </c>
      <c r="AD1757">
        <v>-1.1114477968619001</v>
      </c>
      <c r="AE1757">
        <v>-3.0553999999999601</v>
      </c>
      <c r="AF1757">
        <v>-2.8705895735888101</v>
      </c>
      <c r="AG1757">
        <v>-1.1114477968619001</v>
      </c>
      <c r="AH1757">
        <v>48.504343415970197</v>
      </c>
      <c r="AI1757">
        <v>91.310376537031701</v>
      </c>
      <c r="AJ1757">
        <v>93.386934760178605</v>
      </c>
      <c r="AK1757">
        <v>48.601923119558997</v>
      </c>
      <c r="AL1757">
        <v>82.313065437247303</v>
      </c>
      <c r="AM1757">
        <v>94.432017887177295</v>
      </c>
      <c r="AN1757">
        <v>0.99999997619941305</v>
      </c>
    </row>
    <row r="1758" spans="1:40" x14ac:dyDescent="0.25">
      <c r="A1758" t="str">
        <f>"20190305135826291"</f>
        <v>20190305135826291</v>
      </c>
      <c r="B1758" t="str">
        <f>"1551765506280581"</f>
        <v>1551765506280581</v>
      </c>
      <c r="C1758" t="s">
        <v>40</v>
      </c>
      <c r="D1758">
        <v>4.2027130000000001</v>
      </c>
      <c r="E1758">
        <v>0.5040808</v>
      </c>
      <c r="F1758" t="s">
        <v>59</v>
      </c>
      <c r="G1758">
        <v>-335.01650000000001</v>
      </c>
      <c r="H1758" s="1">
        <v>1.255988E-6</v>
      </c>
      <c r="I1758">
        <v>281.79719999999998</v>
      </c>
      <c r="J1758">
        <v>-293.1859</v>
      </c>
      <c r="K1758">
        <v>1.1114580000000001</v>
      </c>
      <c r="L1758">
        <v>284.44060000000002</v>
      </c>
      <c r="M1758">
        <v>-0.99992040000000004</v>
      </c>
      <c r="N1758">
        <v>-1.172905E-2</v>
      </c>
      <c r="O1758">
        <v>-4.6528400000000001E-3</v>
      </c>
      <c r="P1758">
        <v>-0.98940870000000003</v>
      </c>
      <c r="Q1758">
        <v>0.12112879999999999</v>
      </c>
      <c r="R1758">
        <v>-7.9989320000000003E-2</v>
      </c>
      <c r="S1758">
        <v>-3.0272830000000002</v>
      </c>
      <c r="T1758">
        <v>-7.9836009999999999E-2</v>
      </c>
      <c r="U1758">
        <v>-0.19000239999999999</v>
      </c>
      <c r="V1758">
        <v>-7.6036010000000001E-2</v>
      </c>
      <c r="W1758">
        <v>0.13235749999999999</v>
      </c>
      <c r="X1758">
        <v>0.98828139999999998</v>
      </c>
      <c r="Y1758">
        <v>-5.7966869999999997E-2</v>
      </c>
      <c r="Z1758">
        <v>-1.035811E-3</v>
      </c>
      <c r="AA1758">
        <v>0.99831800000000004</v>
      </c>
      <c r="AB1758">
        <v>50</v>
      </c>
      <c r="AC1758">
        <v>-41.830599999999997</v>
      </c>
      <c r="AD1758">
        <v>-1.111456744012</v>
      </c>
      <c r="AE1758">
        <v>-2.6434000000000402</v>
      </c>
      <c r="AF1758">
        <v>-2.4470062227704301</v>
      </c>
      <c r="AG1758">
        <v>-1.111456744012</v>
      </c>
      <c r="AH1758">
        <v>41.813045235015103</v>
      </c>
      <c r="AI1758">
        <v>91.520054141974597</v>
      </c>
      <c r="AJ1758">
        <v>93.349275238390405</v>
      </c>
      <c r="AK1758">
        <v>41.899330870236</v>
      </c>
      <c r="AL1758">
        <v>82.394155871830506</v>
      </c>
      <c r="AM1758">
        <v>94.399533201951201</v>
      </c>
      <c r="AN1758">
        <v>1.00000005410446</v>
      </c>
    </row>
    <row r="1759" spans="1:40" x14ac:dyDescent="0.25">
      <c r="A1759" t="str">
        <f>"20190305135826310"</f>
        <v>20190305135826310</v>
      </c>
      <c r="B1759" t="str">
        <f>"1551765506300101"</f>
        <v>1551765506300101</v>
      </c>
      <c r="C1759" t="s">
        <v>40</v>
      </c>
      <c r="D1759">
        <v>4.1545209999999999</v>
      </c>
      <c r="E1759">
        <v>0.50406430000000002</v>
      </c>
      <c r="F1759" t="s">
        <v>59</v>
      </c>
      <c r="G1759">
        <v>-332.50889999999998</v>
      </c>
      <c r="H1759" s="1">
        <v>-8.5442109999999994E-8</v>
      </c>
      <c r="I1759">
        <v>281.95780000000002</v>
      </c>
      <c r="J1759">
        <v>-293.63350000000003</v>
      </c>
      <c r="K1759">
        <v>1.1114630000000001</v>
      </c>
      <c r="L1759">
        <v>284.43779999999998</v>
      </c>
      <c r="M1759">
        <v>-0.99990990000000002</v>
      </c>
      <c r="N1759">
        <v>-1.2081379999999999E-2</v>
      </c>
      <c r="O1759">
        <v>-5.871139E-3</v>
      </c>
      <c r="P1759">
        <v>-0.98964850000000004</v>
      </c>
      <c r="Q1759">
        <v>0.1192093</v>
      </c>
      <c r="R1759">
        <v>-7.9905749999999998E-2</v>
      </c>
      <c r="S1759">
        <v>-3.027069</v>
      </c>
      <c r="T1759">
        <v>-8.5559490000000002E-2</v>
      </c>
      <c r="U1759">
        <v>-0.19113160000000001</v>
      </c>
      <c r="V1759">
        <v>-7.4728710000000004E-2</v>
      </c>
      <c r="W1759">
        <v>0.13080139999999901</v>
      </c>
      <c r="X1759">
        <v>0.98858820000000003</v>
      </c>
      <c r="Y1759">
        <v>-5.7122640000000002E-2</v>
      </c>
      <c r="Z1759">
        <v>-1.056949E-3</v>
      </c>
      <c r="AA1759">
        <v>0.99836659999999999</v>
      </c>
      <c r="AB1759">
        <v>50</v>
      </c>
      <c r="AC1759">
        <v>-38.8753999999999</v>
      </c>
      <c r="AD1759">
        <v>-1.1114630854421099</v>
      </c>
      <c r="AE1759">
        <v>-2.47999999999996</v>
      </c>
      <c r="AF1759">
        <v>-2.24986613059892</v>
      </c>
      <c r="AG1759">
        <v>-1.1114630854421099</v>
      </c>
      <c r="AH1759">
        <v>38.857657430541998</v>
      </c>
      <c r="AI1759">
        <v>91.635672316423495</v>
      </c>
      <c r="AJ1759">
        <v>93.3137373608686</v>
      </c>
      <c r="AK1759">
        <v>38.938602809875803</v>
      </c>
      <c r="AL1759">
        <v>82.484095459997803</v>
      </c>
      <c r="AM1759">
        <v>94.322843796673993</v>
      </c>
      <c r="AN1759">
        <v>1.00000000775973</v>
      </c>
    </row>
    <row r="1760" spans="1:40" x14ac:dyDescent="0.25">
      <c r="A1760" t="str">
        <f>"20190305135826332"</f>
        <v>20190305135826332</v>
      </c>
      <c r="B1760" t="str">
        <f>"1551765506320597"</f>
        <v>1551765506320597</v>
      </c>
      <c r="C1760" t="s">
        <v>40</v>
      </c>
      <c r="D1760">
        <v>4.0862999999999996</v>
      </c>
      <c r="E1760">
        <v>0.5042219</v>
      </c>
      <c r="F1760" t="s">
        <v>59</v>
      </c>
      <c r="G1760">
        <v>-330.04079999999999</v>
      </c>
      <c r="H1760" s="1">
        <v>-1.4070700000000001E-6</v>
      </c>
      <c r="I1760">
        <v>282.14530000000002</v>
      </c>
      <c r="J1760">
        <v>-294.11130000000003</v>
      </c>
      <c r="K1760">
        <v>1.1114389999999901</v>
      </c>
      <c r="L1760">
        <v>284.43419999999998</v>
      </c>
      <c r="M1760">
        <v>-0.99989749999999999</v>
      </c>
      <c r="N1760">
        <v>-1.242468E-2</v>
      </c>
      <c r="O1760">
        <v>-7.124409E-3</v>
      </c>
      <c r="P1760">
        <v>-0.98947099999999999</v>
      </c>
      <c r="Q1760">
        <v>0.1201899</v>
      </c>
      <c r="R1760">
        <v>-8.0633099999999999E-2</v>
      </c>
      <c r="S1760">
        <v>-3.0270999999999999</v>
      </c>
      <c r="T1760">
        <v>-9.2413190000000006E-2</v>
      </c>
      <c r="U1760">
        <v>-0.1906128</v>
      </c>
      <c r="V1760">
        <v>-7.4207819999999994E-2</v>
      </c>
      <c r="W1760">
        <v>0.13213150000000001</v>
      </c>
      <c r="X1760">
        <v>0.98845050000000001</v>
      </c>
      <c r="Y1760">
        <v>-5.5696620000000002E-2</v>
      </c>
      <c r="Z1760">
        <v>-1.0668159999999999E-3</v>
      </c>
      <c r="AA1760">
        <v>0.99844719999999998</v>
      </c>
      <c r="AB1760">
        <v>50</v>
      </c>
      <c r="AC1760">
        <v>-35.929499999999898</v>
      </c>
      <c r="AD1760">
        <v>-1.1114404070699999</v>
      </c>
      <c r="AE1760">
        <v>-2.2888999999999502</v>
      </c>
      <c r="AF1760">
        <v>-2.03091016754763</v>
      </c>
      <c r="AG1760">
        <v>-1.1114404070699999</v>
      </c>
      <c r="AH1760">
        <v>35.910672023528797</v>
      </c>
      <c r="AI1760">
        <v>91.769920221596806</v>
      </c>
      <c r="AJ1760">
        <v>93.236886242241695</v>
      </c>
      <c r="AK1760">
        <v>35.985222815324697</v>
      </c>
      <c r="AL1760">
        <v>82.407218752667802</v>
      </c>
      <c r="AM1760">
        <v>94.293420613671401</v>
      </c>
      <c r="AN1760">
        <v>0.999999962395825</v>
      </c>
    </row>
    <row r="1761" spans="1:40" x14ac:dyDescent="0.25">
      <c r="A1761" t="str">
        <f>"20190305135826346"</f>
        <v>20190305135826346</v>
      </c>
      <c r="B1761" t="str">
        <f>"1551765506340117"</f>
        <v>1551765506340117</v>
      </c>
      <c r="C1761" t="s">
        <v>40</v>
      </c>
      <c r="D1761">
        <v>4.0587359999999997</v>
      </c>
      <c r="E1761">
        <v>0.50442749999999903</v>
      </c>
      <c r="F1761" t="s">
        <v>59</v>
      </c>
      <c r="G1761">
        <v>-332.39359999999999</v>
      </c>
      <c r="H1761" s="1">
        <v>-1.487859E-7</v>
      </c>
      <c r="I1761">
        <v>282.00310000000002</v>
      </c>
      <c r="J1761">
        <v>-294.43290000000002</v>
      </c>
      <c r="K1761">
        <v>1.111416</v>
      </c>
      <c r="L1761">
        <v>284.43150000000003</v>
      </c>
      <c r="M1761">
        <v>-0.99988880000000002</v>
      </c>
      <c r="N1761">
        <v>-1.2636390000000001E-2</v>
      </c>
      <c r="O1761">
        <v>-7.9380340000000001E-3</v>
      </c>
      <c r="P1761">
        <v>-0.98935740000000005</v>
      </c>
      <c r="Q1761">
        <v>0.1205505</v>
      </c>
      <c r="R1761">
        <v>-8.148503E-2</v>
      </c>
      <c r="S1761">
        <v>-3.0269469999999998</v>
      </c>
      <c r="T1761">
        <v>-8.7880369999999999E-2</v>
      </c>
      <c r="U1761">
        <v>-0.19223019999999999</v>
      </c>
      <c r="V1761">
        <v>-7.4245889999999995E-2</v>
      </c>
      <c r="W1761">
        <v>0.13270680000000001</v>
      </c>
      <c r="X1761">
        <v>0.98837059999999999</v>
      </c>
      <c r="Y1761">
        <v>-5.5421570000000003E-2</v>
      </c>
      <c r="Z1761">
        <v>-1.024217E-3</v>
      </c>
      <c r="AA1761">
        <v>0.99846250000000003</v>
      </c>
      <c r="AB1761">
        <v>50</v>
      </c>
      <c r="AC1761">
        <v>-37.960699999999903</v>
      </c>
      <c r="AD1761">
        <v>-1.11141614878589</v>
      </c>
      <c r="AE1761">
        <v>-2.4284000000000101</v>
      </c>
      <c r="AF1761">
        <v>-2.1251518668917799</v>
      </c>
      <c r="AG1761">
        <v>-1.11141614878589</v>
      </c>
      <c r="AH1761">
        <v>37.946386770231499</v>
      </c>
      <c r="AI1761">
        <v>91.6750398622912</v>
      </c>
      <c r="AJ1761">
        <v>93.2054480435052</v>
      </c>
      <c r="AK1761">
        <v>38.022096013096601</v>
      </c>
      <c r="AL1761">
        <v>82.373963887810007</v>
      </c>
      <c r="AM1761">
        <v>94.295960934482494</v>
      </c>
      <c r="AN1761">
        <v>0.99999999494624603</v>
      </c>
    </row>
    <row r="1762" spans="1:40" x14ac:dyDescent="0.25">
      <c r="A1762" t="str">
        <f>"20190305135826367"</f>
        <v>20190305135826367</v>
      </c>
      <c r="B1762" t="str">
        <f>"1551765506360613"</f>
        <v>1551765506360613</v>
      </c>
      <c r="C1762" t="s">
        <v>40</v>
      </c>
      <c r="D1762">
        <v>4.0334149999999998</v>
      </c>
      <c r="E1762">
        <v>0.50461480000000003</v>
      </c>
      <c r="F1762" t="s">
        <v>59</v>
      </c>
      <c r="G1762">
        <v>-334.01389999999998</v>
      </c>
      <c r="H1762" s="1">
        <v>7.1777630000000004E-7</v>
      </c>
      <c r="I1762">
        <v>281.90440000000001</v>
      </c>
      <c r="J1762">
        <v>-294.88979999999998</v>
      </c>
      <c r="K1762">
        <v>1.111378</v>
      </c>
      <c r="L1762">
        <v>284.42720000000003</v>
      </c>
      <c r="M1762">
        <v>-0.99987579999999998</v>
      </c>
      <c r="N1762">
        <v>-1.2912099999999999E-2</v>
      </c>
      <c r="O1762">
        <v>-9.049952E-3</v>
      </c>
      <c r="P1762">
        <v>-0.98927399999999999</v>
      </c>
      <c r="Q1762">
        <v>0.1206869</v>
      </c>
      <c r="R1762">
        <v>-8.2291760000000005E-2</v>
      </c>
      <c r="S1762">
        <v>-3.0267029999999999</v>
      </c>
      <c r="T1762">
        <v>-8.4988240000000007E-2</v>
      </c>
      <c r="U1762">
        <v>-0.1932373</v>
      </c>
      <c r="V1762">
        <v>-7.3933910000000005E-2</v>
      </c>
      <c r="W1762">
        <v>0.13312879999999999</v>
      </c>
      <c r="X1762">
        <v>0.98833720000000003</v>
      </c>
      <c r="Y1762">
        <v>-5.464919E-2</v>
      </c>
      <c r="Z1762">
        <v>-9.8257060000000009E-4</v>
      </c>
      <c r="AA1762">
        <v>0.99850510000000003</v>
      </c>
      <c r="AB1762">
        <v>50</v>
      </c>
      <c r="AC1762">
        <v>-39.124099999999999</v>
      </c>
      <c r="AD1762">
        <v>-1.1113772822237</v>
      </c>
      <c r="AE1762">
        <v>-2.5228000000000099</v>
      </c>
      <c r="AF1762">
        <v>-2.1668547120145099</v>
      </c>
      <c r="AG1762">
        <v>-1.1113772822237</v>
      </c>
      <c r="AH1762">
        <v>39.113899279705798</v>
      </c>
      <c r="AI1762">
        <v>91.625066553617003</v>
      </c>
      <c r="AJ1762">
        <v>93.170864020344396</v>
      </c>
      <c r="AK1762">
        <v>39.189635564386002</v>
      </c>
      <c r="AL1762">
        <v>82.349568347031806</v>
      </c>
      <c r="AM1762">
        <v>94.278120566917707</v>
      </c>
      <c r="AN1762">
        <v>0.99999996067058305</v>
      </c>
    </row>
    <row r="1763" spans="1:40" x14ac:dyDescent="0.25">
      <c r="A1763" t="str">
        <f>"20190305135826389"</f>
        <v>20190305135826389</v>
      </c>
      <c r="B1763" t="str">
        <f>"1551765506380639"</f>
        <v>1551765506380639</v>
      </c>
      <c r="C1763" t="s">
        <v>40</v>
      </c>
      <c r="D1763">
        <v>3.983803</v>
      </c>
      <c r="E1763">
        <v>0.50474279999999905</v>
      </c>
      <c r="F1763" t="s">
        <v>59</v>
      </c>
      <c r="G1763">
        <v>-335.76310000000001</v>
      </c>
      <c r="H1763" s="1">
        <v>1.652913E-6</v>
      </c>
      <c r="I1763">
        <v>281.80579999999998</v>
      </c>
      <c r="J1763">
        <v>-295.39609999999999</v>
      </c>
      <c r="K1763">
        <v>1.111305</v>
      </c>
      <c r="L1763">
        <v>284.42180000000002</v>
      </c>
      <c r="M1763">
        <v>-0.99986090000000005</v>
      </c>
      <c r="N1763">
        <v>-1.3184080000000001E-2</v>
      </c>
      <c r="O1763">
        <v>-1.0218420000000001E-2</v>
      </c>
      <c r="P1763">
        <v>-0.98918530000000005</v>
      </c>
      <c r="Q1763">
        <v>0.1207168</v>
      </c>
      <c r="R1763">
        <v>-8.3305019999999994E-2</v>
      </c>
      <c r="S1763">
        <v>-3.0264280000000001</v>
      </c>
      <c r="T1763">
        <v>-8.2290890000000005E-2</v>
      </c>
      <c r="U1763">
        <v>-0.19409180000000001</v>
      </c>
      <c r="V1763">
        <v>-7.3767239999999998E-2</v>
      </c>
      <c r="W1763">
        <v>0.13344159999999999</v>
      </c>
      <c r="X1763">
        <v>0.98830750000000001</v>
      </c>
      <c r="Y1763">
        <v>-5.3770690000000003E-2</v>
      </c>
      <c r="Z1763">
        <v>-9.4218730000000003E-4</v>
      </c>
      <c r="AA1763">
        <v>0.99855289999999997</v>
      </c>
      <c r="AB1763">
        <v>50</v>
      </c>
      <c r="AC1763">
        <v>-40.366999999999997</v>
      </c>
      <c r="AD1763">
        <v>-1.111303347087</v>
      </c>
      <c r="AE1763">
        <v>-2.6160000000000401</v>
      </c>
      <c r="AF1763">
        <v>-2.2016789184752299</v>
      </c>
      <c r="AG1763">
        <v>-1.111303347087</v>
      </c>
      <c r="AH1763">
        <v>40.361163983928002</v>
      </c>
      <c r="AI1763">
        <v>91.574842011512999</v>
      </c>
      <c r="AJ1763">
        <v>93.122358170374596</v>
      </c>
      <c r="AK1763">
        <v>40.436443257621399</v>
      </c>
      <c r="AL1763">
        <v>82.331485110329396</v>
      </c>
      <c r="AM1763">
        <v>94.268639839975094</v>
      </c>
      <c r="AN1763">
        <v>0.99999999043201304</v>
      </c>
    </row>
    <row r="1764" spans="1:40" x14ac:dyDescent="0.25">
      <c r="A1764" t="str">
        <f>"20190305135826411"</f>
        <v>20190305135826411</v>
      </c>
      <c r="B1764" t="str">
        <f>"1551765506400159"</f>
        <v>1551765506400159</v>
      </c>
      <c r="C1764" t="s">
        <v>40</v>
      </c>
      <c r="D1764">
        <v>3.978364</v>
      </c>
      <c r="E1764">
        <v>0.50484499999999999</v>
      </c>
      <c r="F1764" t="s">
        <v>59</v>
      </c>
      <c r="G1764">
        <v>-337.26940000000002</v>
      </c>
      <c r="H1764" s="1">
        <v>2.4590870000000002E-6</v>
      </c>
      <c r="I1764">
        <v>281.70049999999998</v>
      </c>
      <c r="J1764">
        <v>-295.89280000000002</v>
      </c>
      <c r="K1764">
        <v>1.111227</v>
      </c>
      <c r="L1764">
        <v>284.416</v>
      </c>
      <c r="M1764">
        <v>-0.99984609999999996</v>
      </c>
      <c r="N1764">
        <v>-1.3419520000000001E-2</v>
      </c>
      <c r="O1764">
        <v>-1.129989E-2</v>
      </c>
      <c r="P1764">
        <v>-0.98917080000000002</v>
      </c>
      <c r="Q1764">
        <v>0.1203753</v>
      </c>
      <c r="R1764">
        <v>-8.3971899999999905E-2</v>
      </c>
      <c r="S1764">
        <v>-3.0260310000000001</v>
      </c>
      <c r="T1764">
        <v>-8.0309749999999999E-2</v>
      </c>
      <c r="U1764">
        <v>-0.19665530000000001</v>
      </c>
      <c r="V1764">
        <v>-7.3338349999999997E-2</v>
      </c>
      <c r="W1764">
        <v>0.13334949999999901</v>
      </c>
      <c r="X1764">
        <v>0.98835189999999995</v>
      </c>
      <c r="Y1764">
        <v>-5.354246E-2</v>
      </c>
      <c r="Z1764">
        <v>-9.2136750000000004E-4</v>
      </c>
      <c r="AA1764">
        <v>0.99856509999999998</v>
      </c>
      <c r="AB1764">
        <v>50</v>
      </c>
      <c r="AC1764">
        <v>-41.376600000000003</v>
      </c>
      <c r="AD1764">
        <v>-1.1112245409129999</v>
      </c>
      <c r="AE1764">
        <v>-2.71550000000002</v>
      </c>
      <c r="AF1764">
        <v>-2.2461203637770799</v>
      </c>
      <c r="AG1764">
        <v>-1.1112245409129999</v>
      </c>
      <c r="AH1764">
        <v>41.374931166697401</v>
      </c>
      <c r="AI1764">
        <v>91.536186983560697</v>
      </c>
      <c r="AJ1764">
        <v>93.107365103338495</v>
      </c>
      <c r="AK1764">
        <v>41.450751569999902</v>
      </c>
      <c r="AL1764">
        <v>82.336810023476801</v>
      </c>
      <c r="AM1764">
        <v>94.243722532971901</v>
      </c>
      <c r="AN1764">
        <v>1.00000004048229</v>
      </c>
    </row>
    <row r="1765" spans="1:40" x14ac:dyDescent="0.25">
      <c r="A1765" t="str">
        <f>"20190305135826432"</f>
        <v>20190305135826432</v>
      </c>
      <c r="B1765" t="str">
        <f>"1551765506420656"</f>
        <v>1551765506420656</v>
      </c>
      <c r="C1765" t="s">
        <v>40</v>
      </c>
      <c r="D1765">
        <v>3.972302</v>
      </c>
      <c r="E1765">
        <v>0.50458320000000001</v>
      </c>
      <c r="F1765" t="s">
        <v>59</v>
      </c>
      <c r="G1765">
        <v>-338.07319999999999</v>
      </c>
      <c r="H1765" s="1">
        <v>2.8889220000000002E-6</v>
      </c>
      <c r="I1765">
        <v>281.6524</v>
      </c>
      <c r="J1765">
        <v>-296.3492</v>
      </c>
      <c r="K1765">
        <v>1.1111549999999999</v>
      </c>
      <c r="L1765">
        <v>284.41019999999997</v>
      </c>
      <c r="M1765">
        <v>-0.99983259999999996</v>
      </c>
      <c r="N1765">
        <v>-1.3610290000000001E-2</v>
      </c>
      <c r="O1765">
        <v>-1.223723E-2</v>
      </c>
      <c r="P1765">
        <v>-0.98942180000000002</v>
      </c>
      <c r="Q1765">
        <v>0.11773839999999999</v>
      </c>
      <c r="R1765">
        <v>-8.4750560000000003E-2</v>
      </c>
      <c r="S1765">
        <v>-3.025757</v>
      </c>
      <c r="T1765">
        <v>-7.9712270000000002E-2</v>
      </c>
      <c r="U1765">
        <v>-0.19824220000000001</v>
      </c>
      <c r="V1765">
        <v>-7.3153019999999999E-2</v>
      </c>
      <c r="W1765">
        <v>0.13091910000000001</v>
      </c>
      <c r="X1765">
        <v>0.98869039999999997</v>
      </c>
      <c r="Y1765">
        <v>-5.313408E-2</v>
      </c>
      <c r="Z1765">
        <v>-9.0555279999999995E-4</v>
      </c>
      <c r="AA1765">
        <v>0.998587</v>
      </c>
      <c r="AB1765">
        <v>50</v>
      </c>
      <c r="AC1765">
        <v>-41.723999999999897</v>
      </c>
      <c r="AD1765">
        <v>-1.1111521110779901</v>
      </c>
      <c r="AE1765">
        <v>-2.7577999999999698</v>
      </c>
      <c r="AF1765">
        <v>-2.2453745215748202</v>
      </c>
      <c r="AG1765">
        <v>-1.1111521110779901</v>
      </c>
      <c r="AH1765">
        <v>41.725162972513502</v>
      </c>
      <c r="AI1765">
        <v>91.523238283607796</v>
      </c>
      <c r="AJ1765">
        <v>93.080311830219202</v>
      </c>
      <c r="AK1765">
        <v>41.800306109392402</v>
      </c>
      <c r="AL1765">
        <v>82.477292748810598</v>
      </c>
      <c r="AM1765">
        <v>94.231593436964701</v>
      </c>
      <c r="AN1765">
        <v>0.99999994106604295</v>
      </c>
    </row>
    <row r="1766" spans="1:40" x14ac:dyDescent="0.25">
      <c r="A1766" t="str">
        <f>"20190305135826446"</f>
        <v>20190305135826446</v>
      </c>
      <c r="B1766" t="str">
        <f>"1551765506440176"</f>
        <v>1551765506440176</v>
      </c>
      <c r="C1766" t="s">
        <v>40</v>
      </c>
      <c r="D1766">
        <v>3.939371</v>
      </c>
      <c r="E1766">
        <v>0.50430739999999996</v>
      </c>
      <c r="F1766" t="s">
        <v>59</v>
      </c>
      <c r="G1766">
        <v>-335.2978</v>
      </c>
      <c r="H1766" s="1">
        <v>1.405418E-6</v>
      </c>
      <c r="I1766">
        <v>281.80270000000002</v>
      </c>
      <c r="J1766">
        <v>-296.65890000000002</v>
      </c>
      <c r="K1766">
        <v>1.111103</v>
      </c>
      <c r="L1766">
        <v>284.40609999999998</v>
      </c>
      <c r="M1766">
        <v>-0.99982329999999997</v>
      </c>
      <c r="N1766">
        <v>-1.372694E-2</v>
      </c>
      <c r="O1766">
        <v>-1.284242E-2</v>
      </c>
      <c r="P1766">
        <v>-0.98945090000000002</v>
      </c>
      <c r="Q1766">
        <v>0.1172405</v>
      </c>
      <c r="R1766">
        <v>-8.5097140000000002E-2</v>
      </c>
      <c r="S1766">
        <v>-3.024994</v>
      </c>
      <c r="T1766">
        <v>-8.6299180000000003E-2</v>
      </c>
      <c r="U1766">
        <v>-0.20251459999999999</v>
      </c>
      <c r="V1766">
        <v>-7.2882710000000003E-2</v>
      </c>
      <c r="W1766">
        <v>0.13054749999999901</v>
      </c>
      <c r="X1766">
        <v>0.98875959999999996</v>
      </c>
      <c r="Y1766">
        <v>-5.3946139999999997E-2</v>
      </c>
      <c r="Z1766">
        <v>-9.4954659999999999E-4</v>
      </c>
      <c r="AA1766">
        <v>0.99854339999999997</v>
      </c>
      <c r="AB1766">
        <v>50</v>
      </c>
      <c r="AC1766">
        <v>-38.6388999999999</v>
      </c>
      <c r="AD1766">
        <v>-1.111101594582</v>
      </c>
      <c r="AE1766">
        <v>-2.6033999999999602</v>
      </c>
      <c r="AF1766">
        <v>-2.1051885881010102</v>
      </c>
      <c r="AG1766">
        <v>-1.111101594582</v>
      </c>
      <c r="AH1766">
        <v>38.637344857844397</v>
      </c>
      <c r="AI1766">
        <v>91.644773564580802</v>
      </c>
      <c r="AJ1766">
        <v>93.118725510057303</v>
      </c>
      <c r="AK1766">
        <v>38.710602984311002</v>
      </c>
      <c r="AL1766">
        <v>82.498768941288603</v>
      </c>
      <c r="AM1766">
        <v>94.215719628157501</v>
      </c>
      <c r="AN1766">
        <v>1.0000000428826701</v>
      </c>
    </row>
    <row r="1767" spans="1:40" x14ac:dyDescent="0.25">
      <c r="A1767" t="str">
        <f>"20190305135826466"</f>
        <v>20190305135826466</v>
      </c>
      <c r="B1767" t="str">
        <f>"1551765506460671"</f>
        <v>1551765506460671</v>
      </c>
      <c r="C1767" t="s">
        <v>40</v>
      </c>
      <c r="D1767">
        <v>3.9484409999999999</v>
      </c>
      <c r="E1767">
        <v>0.50409989999999905</v>
      </c>
      <c r="F1767" t="s">
        <v>59</v>
      </c>
      <c r="G1767">
        <v>-335.21170000000001</v>
      </c>
      <c r="H1767" s="1">
        <v>1.3602990000000001E-6</v>
      </c>
      <c r="I1767">
        <v>281.78699999999998</v>
      </c>
      <c r="J1767">
        <v>-297.11900000000003</v>
      </c>
      <c r="K1767">
        <v>1.1110230000000001</v>
      </c>
      <c r="L1767">
        <v>284.39960000000002</v>
      </c>
      <c r="M1767">
        <v>-0.99980990000000003</v>
      </c>
      <c r="N1767">
        <v>-1.388299E-2</v>
      </c>
      <c r="O1767">
        <v>-1.369683E-2</v>
      </c>
      <c r="P1767">
        <v>-0.98952870000000004</v>
      </c>
      <c r="Q1767">
        <v>0.11603090000000001</v>
      </c>
      <c r="R1767">
        <v>-8.5847660000000006E-2</v>
      </c>
      <c r="S1767">
        <v>-3.0246279999999999</v>
      </c>
      <c r="T1767">
        <v>-8.7170600000000001E-2</v>
      </c>
      <c r="U1767">
        <v>-0.20547489999999999</v>
      </c>
      <c r="V1767">
        <v>-7.2759760000000007E-2</v>
      </c>
      <c r="W1767">
        <v>0.12950690000000001</v>
      </c>
      <c r="X1767">
        <v>0.98890540000000005</v>
      </c>
      <c r="Y1767">
        <v>-5.4073070000000001E-2</v>
      </c>
      <c r="Z1767">
        <v>-9.4984959999999999E-4</v>
      </c>
      <c r="AA1767">
        <v>0.99853650000000005</v>
      </c>
      <c r="AB1767">
        <v>50</v>
      </c>
      <c r="AC1767">
        <v>-38.092699999999901</v>
      </c>
      <c r="AD1767">
        <v>-1.11102163970099</v>
      </c>
      <c r="AE1767">
        <v>-2.61259999999998</v>
      </c>
      <c r="AF1767">
        <v>-2.0887868469052902</v>
      </c>
      <c r="AG1767">
        <v>-1.11102163970099</v>
      </c>
      <c r="AH1767">
        <v>38.092661172870699</v>
      </c>
      <c r="AI1767">
        <v>91.668127196783502</v>
      </c>
      <c r="AJ1767">
        <v>93.138634389020595</v>
      </c>
      <c r="AK1767">
        <v>38.166061295433899</v>
      </c>
      <c r="AL1767">
        <v>82.558900771107204</v>
      </c>
      <c r="AM1767">
        <v>94.208015191485899</v>
      </c>
      <c r="AN1767">
        <v>0.99999995498601202</v>
      </c>
    </row>
    <row r="1768" spans="1:40" x14ac:dyDescent="0.25">
      <c r="A1768" t="str">
        <f>"20190305135826489"</f>
        <v>20190305135826489</v>
      </c>
      <c r="B1768" t="str">
        <f>"1551765506480601"</f>
        <v>1551765506480601</v>
      </c>
      <c r="C1768" t="s">
        <v>40</v>
      </c>
      <c r="D1768">
        <v>3.939594</v>
      </c>
      <c r="E1768">
        <v>0.50391850000000005</v>
      </c>
      <c r="F1768" t="s">
        <v>59</v>
      </c>
      <c r="G1768">
        <v>-334.60509999999999</v>
      </c>
      <c r="H1768" s="1">
        <v>1.036677E-6</v>
      </c>
      <c r="I1768">
        <v>281.80540000000002</v>
      </c>
      <c r="J1768">
        <v>-297.63549999999998</v>
      </c>
      <c r="K1768">
        <v>1.110941</v>
      </c>
      <c r="L1768">
        <v>284.39190000000002</v>
      </c>
      <c r="M1768">
        <v>-0.99979490000000004</v>
      </c>
      <c r="N1768">
        <v>-1.403565E-2</v>
      </c>
      <c r="O1768">
        <v>-1.459774E-2</v>
      </c>
      <c r="P1768">
        <v>-0.98970409999999998</v>
      </c>
      <c r="Q1768">
        <v>0.11411300000000001</v>
      </c>
      <c r="R1768">
        <v>-8.6393499999999998E-2</v>
      </c>
      <c r="S1768">
        <v>-3.0241389999999999</v>
      </c>
      <c r="T1768">
        <v>-8.9630249999999995E-2</v>
      </c>
      <c r="U1768">
        <v>-0.20928959999999999</v>
      </c>
      <c r="V1768">
        <v>-7.2378300000000007E-2</v>
      </c>
      <c r="W1768">
        <v>0.12775909999999999</v>
      </c>
      <c r="X1768">
        <v>0.98916079999999995</v>
      </c>
      <c r="Y1768">
        <v>-5.4436140000000001E-2</v>
      </c>
      <c r="Z1768">
        <v>-9.6086589999999996E-4</v>
      </c>
      <c r="AA1768">
        <v>0.99851679999999998</v>
      </c>
      <c r="AB1768">
        <v>50</v>
      </c>
      <c r="AC1768">
        <v>-36.9696</v>
      </c>
      <c r="AD1768">
        <v>-1.1109399633229999</v>
      </c>
      <c r="AE1768">
        <v>-2.5865</v>
      </c>
      <c r="AF1768">
        <v>-2.0446612033218798</v>
      </c>
      <c r="AG1768">
        <v>-1.1109399633229999</v>
      </c>
      <c r="AH1768">
        <v>36.9701990114484</v>
      </c>
      <c r="AI1768">
        <v>91.718573004539707</v>
      </c>
      <c r="AJ1768">
        <v>93.1655559348021</v>
      </c>
      <c r="AK1768">
        <v>37.043358945762201</v>
      </c>
      <c r="AL1768">
        <v>82.659881951686003</v>
      </c>
      <c r="AM1768">
        <v>94.184955331527604</v>
      </c>
      <c r="AN1768">
        <v>1.00000004710016</v>
      </c>
    </row>
    <row r="1769" spans="1:40" x14ac:dyDescent="0.25">
      <c r="A1769" t="str">
        <f>"20190305135826510"</f>
        <v>20190305135826510</v>
      </c>
      <c r="B1769" t="str">
        <f>"1551765506500121"</f>
        <v>1551765506500121</v>
      </c>
      <c r="C1769" t="s">
        <v>40</v>
      </c>
      <c r="D1769">
        <v>3.950577</v>
      </c>
      <c r="E1769">
        <v>0.50379569999999996</v>
      </c>
      <c r="F1769" t="s">
        <v>59</v>
      </c>
      <c r="G1769">
        <v>-333.23559999999998</v>
      </c>
      <c r="H1769" s="1">
        <v>3.0404880000000001E-7</v>
      </c>
      <c r="I1769">
        <v>281.89359999999999</v>
      </c>
      <c r="J1769">
        <v>-298.11680000000001</v>
      </c>
      <c r="K1769">
        <v>1.110859</v>
      </c>
      <c r="L1769">
        <v>284.3843</v>
      </c>
      <c r="M1769">
        <v>-0.99978140000000004</v>
      </c>
      <c r="N1769">
        <v>-1.415897E-2</v>
      </c>
      <c r="O1769">
        <v>-1.5387319999999999E-2</v>
      </c>
      <c r="P1769">
        <v>-0.98981779999999997</v>
      </c>
      <c r="Q1769">
        <v>0.112455399999999</v>
      </c>
      <c r="R1769">
        <v>-8.7260920000000006E-2</v>
      </c>
      <c r="S1769">
        <v>-3.0235599999999998</v>
      </c>
      <c r="T1769">
        <v>-9.4353439999999997E-2</v>
      </c>
      <c r="U1769">
        <v>-0.21218870000000001</v>
      </c>
      <c r="V1769">
        <v>-7.243405E-2</v>
      </c>
      <c r="W1769">
        <v>0.12623899999999999</v>
      </c>
      <c r="X1769">
        <v>0.9893518</v>
      </c>
      <c r="Y1769">
        <v>-5.4610590000000001E-2</v>
      </c>
      <c r="Z1769">
        <v>-9.7630989999999995E-4</v>
      </c>
      <c r="AA1769">
        <v>0.99850729999999999</v>
      </c>
      <c r="AB1769">
        <v>50</v>
      </c>
      <c r="AC1769">
        <v>-35.118799999999901</v>
      </c>
      <c r="AD1769">
        <v>-1.1108586959511999</v>
      </c>
      <c r="AE1769">
        <v>-2.4906999999999999</v>
      </c>
      <c r="AF1769">
        <v>-1.9480273570797899</v>
      </c>
      <c r="AG1769">
        <v>-1.1108586959511999</v>
      </c>
      <c r="AH1769">
        <v>35.118008996672501</v>
      </c>
      <c r="AI1769">
        <v>91.8090063074537</v>
      </c>
      <c r="AJ1769">
        <v>93.174994276886494</v>
      </c>
      <c r="AK1769">
        <v>35.189535000006401</v>
      </c>
      <c r="AL1769">
        <v>82.747687766658601</v>
      </c>
      <c r="AM1769">
        <v>94.187361689688998</v>
      </c>
      <c r="AN1769">
        <v>0.99999998044182103</v>
      </c>
    </row>
    <row r="1770" spans="1:40" x14ac:dyDescent="0.25">
      <c r="A1770" t="str">
        <f>"20190305135826533"</f>
        <v>20190305135826533</v>
      </c>
      <c r="B1770" t="str">
        <f>"1551765506520617"</f>
        <v>1551765506520617</v>
      </c>
      <c r="C1770" t="s">
        <v>40</v>
      </c>
      <c r="D1770">
        <v>3.9421529999999998</v>
      </c>
      <c r="E1770">
        <v>0.50368550000000001</v>
      </c>
      <c r="F1770" t="s">
        <v>59</v>
      </c>
      <c r="G1770">
        <v>-332.42790000000002</v>
      </c>
      <c r="H1770" s="1">
        <v>-1.277461E-7</v>
      </c>
      <c r="I1770">
        <v>281.93889999999999</v>
      </c>
      <c r="J1770">
        <v>-298.6001</v>
      </c>
      <c r="K1770">
        <v>1.1107910000000001</v>
      </c>
      <c r="L1770">
        <v>284.37639999999999</v>
      </c>
      <c r="M1770">
        <v>-0.9997682</v>
      </c>
      <c r="N1770">
        <v>-1.4266620000000001E-2</v>
      </c>
      <c r="O1770">
        <v>-1.6130490000000001E-2</v>
      </c>
      <c r="P1770">
        <v>-0.98979130000000004</v>
      </c>
      <c r="Q1770">
        <v>0.1120714</v>
      </c>
      <c r="R1770">
        <v>-8.8052989999999998E-2</v>
      </c>
      <c r="S1770">
        <v>-3.02298</v>
      </c>
      <c r="T1770">
        <v>-9.7872260000000003E-2</v>
      </c>
      <c r="U1770">
        <v>-0.21545410000000001</v>
      </c>
      <c r="V1770">
        <v>-7.2465730000000006E-2</v>
      </c>
      <c r="W1770">
        <v>0.125975</v>
      </c>
      <c r="X1770">
        <v>0.98938320000000002</v>
      </c>
      <c r="Y1770">
        <v>-5.495249E-2</v>
      </c>
      <c r="Z1770">
        <v>-9.893739999999999E-4</v>
      </c>
      <c r="AA1770">
        <v>0.9984885</v>
      </c>
      <c r="AB1770">
        <v>50</v>
      </c>
      <c r="AC1770">
        <v>-33.827800000000003</v>
      </c>
      <c r="AD1770">
        <v>-1.1107911277461</v>
      </c>
      <c r="AE1770">
        <v>-2.4375</v>
      </c>
      <c r="AF1770">
        <v>-1.88944156897159</v>
      </c>
      <c r="AG1770">
        <v>-1.1107911277461</v>
      </c>
      <c r="AH1770">
        <v>33.8264352348925</v>
      </c>
      <c r="AI1770">
        <v>91.877875565929102</v>
      </c>
      <c r="AJ1770">
        <v>93.197045441140602</v>
      </c>
      <c r="AK1770">
        <v>33.897368143742597</v>
      </c>
      <c r="AL1770">
        <v>82.762936084298801</v>
      </c>
      <c r="AM1770">
        <v>94.189054091119701</v>
      </c>
      <c r="AN1770">
        <v>1.0000000495458301</v>
      </c>
    </row>
    <row r="1771" spans="1:40" x14ac:dyDescent="0.25">
      <c r="A1771" t="str">
        <f>"20190305135826546"</f>
        <v>20190305135826546</v>
      </c>
      <c r="B1771" t="str">
        <f>"1551765506540137"</f>
        <v>1551765506540137</v>
      </c>
      <c r="C1771" t="s">
        <v>40</v>
      </c>
      <c r="D1771">
        <v>3.9445749999999999</v>
      </c>
      <c r="E1771">
        <v>0.50354920000000003</v>
      </c>
      <c r="F1771" t="s">
        <v>59</v>
      </c>
      <c r="G1771">
        <v>-332.86290000000002</v>
      </c>
      <c r="H1771" s="1">
        <v>1.0540959999999999E-7</v>
      </c>
      <c r="I1771">
        <v>281.90019999999998</v>
      </c>
      <c r="J1771">
        <v>-298.9042</v>
      </c>
      <c r="K1771">
        <v>1.1107450000000001</v>
      </c>
      <c r="L1771">
        <v>284.37119999999999</v>
      </c>
      <c r="M1771">
        <v>-0.99976010000000004</v>
      </c>
      <c r="N1771">
        <v>-1.4326530000000001E-2</v>
      </c>
      <c r="O1771">
        <v>-1.656937E-2</v>
      </c>
      <c r="P1771">
        <v>-0.98973789999999995</v>
      </c>
      <c r="Q1771">
        <v>0.1121862</v>
      </c>
      <c r="R1771">
        <v>-8.8505029999999998E-2</v>
      </c>
      <c r="S1771">
        <v>-3.022583</v>
      </c>
      <c r="T1771">
        <v>-9.7991350000000005E-2</v>
      </c>
      <c r="U1771">
        <v>-0.21844479999999999</v>
      </c>
      <c r="V1771">
        <v>-7.2469249999999999E-2</v>
      </c>
      <c r="W1771">
        <v>0.1261572</v>
      </c>
      <c r="X1771">
        <v>0.98935969999999995</v>
      </c>
      <c r="Y1771">
        <v>-5.5505850000000002E-2</v>
      </c>
      <c r="Z1771">
        <v>-9.9748469999999989E-4</v>
      </c>
      <c r="AA1771">
        <v>0.99845779999999995</v>
      </c>
      <c r="AB1771">
        <v>50</v>
      </c>
      <c r="AC1771">
        <v>-33.9587</v>
      </c>
      <c r="AD1771">
        <v>-1.1107448945903999</v>
      </c>
      <c r="AE1771">
        <v>-2.4710000000000001</v>
      </c>
      <c r="AF1771">
        <v>-1.90590039875731</v>
      </c>
      <c r="AG1771">
        <v>-1.1107448945903999</v>
      </c>
      <c r="AH1771">
        <v>33.958844434253002</v>
      </c>
      <c r="AI1771">
        <v>91.870453095073501</v>
      </c>
      <c r="AJ1771">
        <v>93.212288615984704</v>
      </c>
      <c r="AK1771">
        <v>34.030417656276803</v>
      </c>
      <c r="AL1771">
        <v>82.752412648954902</v>
      </c>
      <c r="AM1771">
        <v>94.189356000724302</v>
      </c>
      <c r="AN1771">
        <v>1.00000002364574</v>
      </c>
    </row>
    <row r="1772" spans="1:40" x14ac:dyDescent="0.25">
      <c r="A1772" t="str">
        <f>"20190305135826567"</f>
        <v>20190305135826567</v>
      </c>
      <c r="B1772" t="str">
        <f>"1551765506560633"</f>
        <v>1551765506560633</v>
      </c>
      <c r="C1772" t="s">
        <v>40</v>
      </c>
      <c r="D1772">
        <v>3.9944099999999998</v>
      </c>
      <c r="E1772">
        <v>0.4991255</v>
      </c>
      <c r="F1772" t="s">
        <v>59</v>
      </c>
      <c r="G1772">
        <v>-333.70920000000001</v>
      </c>
      <c r="H1772" s="1">
        <v>5.5901419999999896E-7</v>
      </c>
      <c r="I1772">
        <v>281.82600000000002</v>
      </c>
      <c r="J1772">
        <v>-299.36329999999998</v>
      </c>
      <c r="K1772">
        <v>1.110681</v>
      </c>
      <c r="L1772">
        <v>284.36309999999997</v>
      </c>
      <c r="M1772">
        <v>-0.99974859999999999</v>
      </c>
      <c r="N1772">
        <v>-1.4407379999999999E-2</v>
      </c>
      <c r="O1772">
        <v>-1.7188930000000002E-2</v>
      </c>
      <c r="P1772">
        <v>-0.98965080000000005</v>
      </c>
      <c r="Q1772">
        <v>0.1128506</v>
      </c>
      <c r="R1772">
        <v>-8.8636469999999995E-2</v>
      </c>
      <c r="S1772">
        <v>-3.0223080000000002</v>
      </c>
      <c r="T1772">
        <v>-9.6452239999999995E-2</v>
      </c>
      <c r="U1772">
        <v>-0.22100829999999999</v>
      </c>
      <c r="V1772">
        <v>-7.1966849999999999E-2</v>
      </c>
      <c r="W1772">
        <v>0.12691540000000001</v>
      </c>
      <c r="X1772">
        <v>0.98929940000000005</v>
      </c>
      <c r="Y1772">
        <v>-5.5736809999999998E-2</v>
      </c>
      <c r="Z1772">
        <v>-9.899428E-4</v>
      </c>
      <c r="AA1772">
        <v>0.99844500000000003</v>
      </c>
      <c r="AB1772">
        <v>50</v>
      </c>
      <c r="AC1772">
        <v>-34.3459</v>
      </c>
      <c r="AD1772">
        <v>-1.1106804409858</v>
      </c>
      <c r="AE1772">
        <v>-2.5371000000000001</v>
      </c>
      <c r="AF1772">
        <v>-1.94427243294624</v>
      </c>
      <c r="AG1772">
        <v>-1.1106804409858</v>
      </c>
      <c r="AH1772">
        <v>34.348713944767901</v>
      </c>
      <c r="AI1772">
        <v>91.849080568553106</v>
      </c>
      <c r="AJ1772">
        <v>93.2397096171984</v>
      </c>
      <c r="AK1772">
        <v>34.421620473112398</v>
      </c>
      <c r="AL1772">
        <v>82.708618980936393</v>
      </c>
      <c r="AM1772">
        <v>94.160667921594893</v>
      </c>
      <c r="AN1772">
        <v>1.0000000245482199</v>
      </c>
    </row>
    <row r="1773" spans="1:40" x14ac:dyDescent="0.25">
      <c r="A1773" t="str">
        <f>"20190305135826590"</f>
        <v>20190305135826590</v>
      </c>
      <c r="B1773" t="str">
        <f>"1551765506580153"</f>
        <v>1551765506580153</v>
      </c>
      <c r="C1773" t="s">
        <v>40</v>
      </c>
      <c r="D1773">
        <v>3.929484</v>
      </c>
      <c r="E1773">
        <v>0.50045399999999995</v>
      </c>
      <c r="F1773" t="s">
        <v>43</v>
      </c>
      <c r="G1773">
        <v>-457.84039999999999</v>
      </c>
      <c r="H1773">
        <v>-0.05</v>
      </c>
      <c r="I1773">
        <v>270.70699999999999</v>
      </c>
      <c r="J1773">
        <v>-299.88589999999999</v>
      </c>
      <c r="K1773">
        <v>1.1106069999999999</v>
      </c>
      <c r="L1773">
        <v>284.3537</v>
      </c>
      <c r="M1773">
        <v>-0.99973630000000002</v>
      </c>
      <c r="N1773">
        <v>-1.4486819999999999E-2</v>
      </c>
      <c r="O1773">
        <v>-1.7824369999999999E-2</v>
      </c>
      <c r="P1773">
        <v>-0.98954640000000005</v>
      </c>
      <c r="Q1773">
        <v>0.11352180000000001</v>
      </c>
      <c r="R1773">
        <v>-8.8943990000000001E-2</v>
      </c>
      <c r="S1773">
        <v>-3.0106510000000002</v>
      </c>
      <c r="T1773">
        <v>-2.2049900000000001E-2</v>
      </c>
      <c r="U1773">
        <v>-0.25942989999999999</v>
      </c>
      <c r="V1773">
        <v>-7.162056E-2</v>
      </c>
      <c r="W1773">
        <v>0.12768109999999999</v>
      </c>
      <c r="X1773">
        <v>0.98922600000000005</v>
      </c>
      <c r="Y1773">
        <v>-6.8073510000000004E-2</v>
      </c>
      <c r="Z1773">
        <v>-8.7040759999999903E-4</v>
      </c>
      <c r="AA1773">
        <v>0.99767989999999995</v>
      </c>
      <c r="AB1773">
        <v>50</v>
      </c>
      <c r="AC1773">
        <v>-157.9545</v>
      </c>
      <c r="AD1773">
        <v>-1.1606069999999999</v>
      </c>
      <c r="AE1773">
        <v>-13.646699999999999</v>
      </c>
      <c r="AF1773">
        <v>-10.828216677492801</v>
      </c>
      <c r="AG1773">
        <v>-1.1606069999999999</v>
      </c>
      <c r="AH1773">
        <v>158.16419447538601</v>
      </c>
      <c r="AI1773">
        <v>90.419446416405407</v>
      </c>
      <c r="AJ1773">
        <v>93.916465034273301</v>
      </c>
      <c r="AK1773">
        <v>158.538669412453</v>
      </c>
      <c r="AL1773">
        <v>82.664387750943106</v>
      </c>
      <c r="AM1773">
        <v>94.141023597940205</v>
      </c>
      <c r="AN1773">
        <v>1.0000000234939601</v>
      </c>
    </row>
    <row r="1774" spans="1:40" x14ac:dyDescent="0.25">
      <c r="A1774" t="str">
        <f>"20190305135826612"</f>
        <v>20190305135826612</v>
      </c>
      <c r="B1774" t="str">
        <f>"1551765506600649"</f>
        <v>1551765506600649</v>
      </c>
      <c r="C1774" t="s">
        <v>40</v>
      </c>
      <c r="D1774">
        <v>3.9909729999999999</v>
      </c>
      <c r="E1774">
        <v>0.50017529999999999</v>
      </c>
      <c r="F1774" t="s">
        <v>59</v>
      </c>
      <c r="G1774">
        <v>-381.26080000000002</v>
      </c>
      <c r="H1774">
        <v>8.0001089999999997E-2</v>
      </c>
      <c r="I1774">
        <v>277.62540000000001</v>
      </c>
      <c r="J1774">
        <v>-300.36189999999999</v>
      </c>
      <c r="K1774">
        <v>1.110533</v>
      </c>
      <c r="L1774">
        <v>284.34480000000002</v>
      </c>
      <c r="M1774">
        <v>-0.99972620000000001</v>
      </c>
      <c r="N1774">
        <v>-1.454888E-2</v>
      </c>
      <c r="O1774">
        <v>-1.833255E-2</v>
      </c>
      <c r="P1774">
        <v>-0.98944900000000002</v>
      </c>
      <c r="Q1774">
        <v>0.1141088</v>
      </c>
      <c r="R1774">
        <v>-8.9275720000000003E-2</v>
      </c>
      <c r="S1774">
        <v>-3.0136409999999998</v>
      </c>
      <c r="T1774">
        <v>-3.8167479999999997E-2</v>
      </c>
      <c r="U1774">
        <v>-0.24917600000000001</v>
      </c>
      <c r="V1774">
        <v>-7.1424310000000005E-2</v>
      </c>
      <c r="W1774">
        <v>0.1283446</v>
      </c>
      <c r="X1774">
        <v>0.98915430000000004</v>
      </c>
      <c r="Y1774">
        <v>-6.4104540000000002E-2</v>
      </c>
      <c r="Z1774">
        <v>-9.0703449999999998E-4</v>
      </c>
      <c r="AA1774">
        <v>0.99794280000000002</v>
      </c>
      <c r="AB1774">
        <v>50</v>
      </c>
      <c r="AC1774">
        <v>-80.898899999999998</v>
      </c>
      <c r="AD1774">
        <v>-1.0305319100000001</v>
      </c>
      <c r="AE1774">
        <v>-6.7194000000000003</v>
      </c>
      <c r="AF1774">
        <v>-5.2341870516826399</v>
      </c>
      <c r="AG1774">
        <v>-1.0305319100000001</v>
      </c>
      <c r="AH1774">
        <v>80.995445333549696</v>
      </c>
      <c r="AI1774">
        <v>90.7274366688698</v>
      </c>
      <c r="AJ1774">
        <v>93.697496772002495</v>
      </c>
      <c r="AK1774">
        <v>81.170936146440795</v>
      </c>
      <c r="AL1774">
        <v>82.626056449437399</v>
      </c>
      <c r="AM1774">
        <v>94.130014257897102</v>
      </c>
      <c r="AN1774">
        <v>0.99999999880831303</v>
      </c>
    </row>
    <row r="1775" spans="1:40" x14ac:dyDescent="0.25">
      <c r="A1775" t="str">
        <f>"20190305135826632"</f>
        <v>20190305135826632</v>
      </c>
      <c r="B1775" t="str">
        <f>"1551765506620169"</f>
        <v>1551765506620169</v>
      </c>
      <c r="C1775" t="s">
        <v>40</v>
      </c>
      <c r="D1775">
        <v>3.9390450000000001</v>
      </c>
      <c r="E1775">
        <v>0.49989719999999999</v>
      </c>
      <c r="F1775" t="s">
        <v>59</v>
      </c>
      <c r="G1775">
        <v>-397.7251</v>
      </c>
      <c r="H1775">
        <v>8.0000660000000001E-2</v>
      </c>
      <c r="I1775">
        <v>276.19709999999998</v>
      </c>
      <c r="J1775">
        <v>-300.83190000000002</v>
      </c>
      <c r="K1775">
        <v>1.1104499999999999</v>
      </c>
      <c r="L1775">
        <v>284.33589999999998</v>
      </c>
      <c r="M1775">
        <v>-0.99971739999999998</v>
      </c>
      <c r="N1775">
        <v>-1.460183E-2</v>
      </c>
      <c r="O1775">
        <v>-1.8756869999999998E-2</v>
      </c>
      <c r="P1775">
        <v>-0.98948939999999996</v>
      </c>
      <c r="Q1775">
        <v>0.1137413</v>
      </c>
      <c r="R1775">
        <v>-8.9295070000000004E-2</v>
      </c>
      <c r="S1775">
        <v>-3.0129700000000001</v>
      </c>
      <c r="T1775">
        <v>-3.1890509999999997E-2</v>
      </c>
      <c r="U1775">
        <v>-0.25213619999999998</v>
      </c>
      <c r="V1775">
        <v>-7.0992650000000004E-2</v>
      </c>
      <c r="W1775">
        <v>0.12804760000000001</v>
      </c>
      <c r="X1775">
        <v>0.98922379999999999</v>
      </c>
      <c r="Y1775">
        <v>-6.4675479999999994E-2</v>
      </c>
      <c r="Z1775">
        <v>-8.9009899999999999E-4</v>
      </c>
      <c r="AA1775">
        <v>0.99790599999999996</v>
      </c>
      <c r="AB1775">
        <v>50</v>
      </c>
      <c r="AC1775">
        <v>-96.893199999999894</v>
      </c>
      <c r="AD1775">
        <v>-1.0304493400000001</v>
      </c>
      <c r="AE1775">
        <v>-8.1387999999999998</v>
      </c>
      <c r="AF1775">
        <v>-6.3190511730016299</v>
      </c>
      <c r="AG1775">
        <v>-1.0304493400000001</v>
      </c>
      <c r="AH1775">
        <v>97.017929116073702</v>
      </c>
      <c r="AI1775">
        <v>90.607241947757004</v>
      </c>
      <c r="AJ1775">
        <v>93.726571833463197</v>
      </c>
      <c r="AK1775">
        <v>97.228960724368704</v>
      </c>
      <c r="AL1775">
        <v>82.643214403543794</v>
      </c>
      <c r="AM1775">
        <v>94.104852263850802</v>
      </c>
      <c r="AN1775">
        <v>0.99999993535310905</v>
      </c>
    </row>
    <row r="1776" spans="1:40" x14ac:dyDescent="0.25">
      <c r="A1776" t="str">
        <f>"20190305135826656"</f>
        <v>20190305135826656</v>
      </c>
      <c r="B1776" t="str">
        <f>"1551765506650425"</f>
        <v>1551765506650425</v>
      </c>
      <c r="C1776" t="s">
        <v>40</v>
      </c>
      <c r="D1776">
        <v>3.9639869999999999</v>
      </c>
      <c r="E1776">
        <v>0.50022619999999995</v>
      </c>
      <c r="F1776" t="s">
        <v>59</v>
      </c>
      <c r="G1776">
        <v>-393.07380000000001</v>
      </c>
      <c r="H1776">
        <v>8.0000559999999998E-2</v>
      </c>
      <c r="I1776">
        <v>276.56119999999999</v>
      </c>
      <c r="J1776">
        <v>-301.34699999999998</v>
      </c>
      <c r="K1776">
        <v>1.1103350000000001</v>
      </c>
      <c r="L1776">
        <v>284.32600000000002</v>
      </c>
      <c r="M1776">
        <v>-0.99970979999999998</v>
      </c>
      <c r="N1776">
        <v>-1.4651620000000001E-2</v>
      </c>
      <c r="O1776">
        <v>-1.912465E-2</v>
      </c>
      <c r="P1776">
        <v>-0.98950210000000005</v>
      </c>
      <c r="Q1776">
        <v>0.1137727</v>
      </c>
      <c r="R1776">
        <v>-8.9115169999999994E-2</v>
      </c>
      <c r="S1776">
        <v>-3.0127869999999999</v>
      </c>
      <c r="T1776">
        <v>-3.3656360000000003E-2</v>
      </c>
      <c r="U1776">
        <v>-0.25393680000000002</v>
      </c>
      <c r="V1776">
        <v>-7.0413399999999904E-2</v>
      </c>
      <c r="W1776">
        <v>0.12814880000000001</v>
      </c>
      <c r="X1776">
        <v>0.98925220000000003</v>
      </c>
      <c r="Y1776">
        <v>-6.4904820000000002E-2</v>
      </c>
      <c r="Z1776">
        <v>-9.0485100000000003E-4</v>
      </c>
      <c r="AA1776">
        <v>0.99789110000000003</v>
      </c>
      <c r="AB1776">
        <v>50</v>
      </c>
      <c r="AC1776">
        <v>-91.726799999999997</v>
      </c>
      <c r="AD1776">
        <v>-1.0303344400000001</v>
      </c>
      <c r="AE1776">
        <v>-7.7647999999999797</v>
      </c>
      <c r="AF1776">
        <v>-6.0081957204495398</v>
      </c>
      <c r="AG1776">
        <v>-1.0303344400000001</v>
      </c>
      <c r="AH1776">
        <v>91.847029142221103</v>
      </c>
      <c r="AI1776">
        <v>90.641343020711304</v>
      </c>
      <c r="AJ1776">
        <v>93.742684903495302</v>
      </c>
      <c r="AK1776">
        <v>92.049099762710796</v>
      </c>
      <c r="AL1776">
        <v>82.637368667631506</v>
      </c>
      <c r="AM1776">
        <v>94.071356165797795</v>
      </c>
      <c r="AN1776">
        <v>1.00000003852291</v>
      </c>
    </row>
    <row r="1777" spans="1:40" x14ac:dyDescent="0.25">
      <c r="A1777" t="str">
        <f>"20190305135826669"</f>
        <v>20190305135826669</v>
      </c>
      <c r="B1777" t="str">
        <f>"1551765506660186"</f>
        <v>1551765506660186</v>
      </c>
      <c r="C1777" t="s">
        <v>40</v>
      </c>
      <c r="D1777">
        <v>3.9791780000000001</v>
      </c>
      <c r="E1777">
        <v>0.50032759999999998</v>
      </c>
      <c r="F1777" t="s">
        <v>59</v>
      </c>
      <c r="G1777">
        <v>-379.97739999999999</v>
      </c>
      <c r="H1777">
        <v>8.0001470000000005E-2</v>
      </c>
      <c r="I1777">
        <v>277.79469999999998</v>
      </c>
      <c r="J1777">
        <v>-301.6508</v>
      </c>
      <c r="K1777">
        <v>1.110268</v>
      </c>
      <c r="L1777">
        <v>284.32010000000002</v>
      </c>
      <c r="M1777">
        <v>-0.99970630000000005</v>
      </c>
      <c r="N1777">
        <v>-1.467679E-2</v>
      </c>
      <c r="O1777">
        <v>-1.9285469999999999E-2</v>
      </c>
      <c r="P1777">
        <v>-0.98953259999999998</v>
      </c>
      <c r="Q1777">
        <v>0.1133763</v>
      </c>
      <c r="R1777">
        <v>-8.9282360000000005E-2</v>
      </c>
      <c r="S1777">
        <v>-3.0138240000000001</v>
      </c>
      <c r="T1777">
        <v>-3.9491650000000003E-2</v>
      </c>
      <c r="U1777">
        <v>-0.25033569999999999</v>
      </c>
      <c r="V1777">
        <v>-7.0398290000000002E-2</v>
      </c>
      <c r="W1777">
        <v>0.12778989999999901</v>
      </c>
      <c r="X1777">
        <v>0.9892997</v>
      </c>
      <c r="Y1777">
        <v>-6.3529160000000001E-2</v>
      </c>
      <c r="Z1777">
        <v>-9.1301360000000005E-4</v>
      </c>
      <c r="AA1777">
        <v>0.99797959999999997</v>
      </c>
      <c r="AB1777">
        <v>50</v>
      </c>
      <c r="AC1777">
        <v>-78.3265999999999</v>
      </c>
      <c r="AD1777">
        <v>-1.03026653</v>
      </c>
      <c r="AE1777">
        <v>-6.5254000000000403</v>
      </c>
      <c r="AF1777">
        <v>-5.0125968644069996</v>
      </c>
      <c r="AG1777">
        <v>-1.03026653</v>
      </c>
      <c r="AH1777">
        <v>78.424413508564797</v>
      </c>
      <c r="AI1777">
        <v>90.751122482133994</v>
      </c>
      <c r="AJ1777">
        <v>93.657158381696703</v>
      </c>
      <c r="AK1777">
        <v>78.591196775531202</v>
      </c>
      <c r="AL1777">
        <v>82.658102583485999</v>
      </c>
      <c r="AM1777">
        <v>94.070290648779704</v>
      </c>
      <c r="AN1777">
        <v>1.00000003709851</v>
      </c>
    </row>
    <row r="1778" spans="1:40" x14ac:dyDescent="0.25">
      <c r="A1778" t="str">
        <f>"20190305135826683"</f>
        <v>20190305135826683</v>
      </c>
      <c r="B1778" t="str">
        <f>"1551765506680213"</f>
        <v>1551765506680213</v>
      </c>
      <c r="C1778" t="s">
        <v>40</v>
      </c>
      <c r="D1778">
        <v>4.0187369999999998</v>
      </c>
      <c r="E1778">
        <v>0.50021510000000002</v>
      </c>
      <c r="F1778" t="s">
        <v>59</v>
      </c>
      <c r="G1778">
        <v>-376.7045</v>
      </c>
      <c r="H1778">
        <v>8.0000970000000005E-2</v>
      </c>
      <c r="I1778">
        <v>278.09589999999997</v>
      </c>
      <c r="J1778">
        <v>-301.94799999999998</v>
      </c>
      <c r="K1778">
        <v>1.1102050000000001</v>
      </c>
      <c r="L1778">
        <v>284.31420000000003</v>
      </c>
      <c r="M1778">
        <v>-0.99970349999999997</v>
      </c>
      <c r="N1778">
        <v>-1.469962E-2</v>
      </c>
      <c r="O1778">
        <v>-1.941878E-2</v>
      </c>
      <c r="P1778">
        <v>-0.98961619999999995</v>
      </c>
      <c r="Q1778">
        <v>0.11265219999999999</v>
      </c>
      <c r="R1778">
        <v>-8.9271470000000006E-2</v>
      </c>
      <c r="S1778">
        <v>-3.0138850000000001</v>
      </c>
      <c r="T1778">
        <v>-4.1371819999999997E-2</v>
      </c>
      <c r="U1778">
        <v>-0.24993899999999999</v>
      </c>
      <c r="V1778">
        <v>-7.0231440000000006E-2</v>
      </c>
      <c r="W1778">
        <v>0.1271013</v>
      </c>
      <c r="X1778">
        <v>0.98940019999999995</v>
      </c>
      <c r="Y1778">
        <v>-6.3263139999999995E-2</v>
      </c>
      <c r="Z1778">
        <v>-9.1830269999999999E-4</v>
      </c>
      <c r="AA1778">
        <v>0.99799640000000001</v>
      </c>
      <c r="AB1778">
        <v>50</v>
      </c>
      <c r="AC1778">
        <v>-74.756500000000003</v>
      </c>
      <c r="AD1778">
        <v>-1.0302040299999999</v>
      </c>
      <c r="AE1778">
        <v>-6.2183000000000499</v>
      </c>
      <c r="AF1778">
        <v>-4.7643919147175797</v>
      </c>
      <c r="AG1778">
        <v>-1.0302040299999999</v>
      </c>
      <c r="AH1778">
        <v>74.849048601149505</v>
      </c>
      <c r="AI1778">
        <v>90.786962852763594</v>
      </c>
      <c r="AJ1778">
        <v>93.642153989075197</v>
      </c>
      <c r="AK1778">
        <v>75.007605128798005</v>
      </c>
      <c r="AL1778">
        <v>82.697880374976506</v>
      </c>
      <c r="AM1778">
        <v>94.060264928737894</v>
      </c>
      <c r="AN1778">
        <v>0.99999997569310095</v>
      </c>
    </row>
    <row r="1779" spans="1:40" x14ac:dyDescent="0.25">
      <c r="A1779" t="str">
        <f>"20190305135826700"</f>
        <v>20190305135826700</v>
      </c>
      <c r="B1779" t="str">
        <f>"1551765506690949"</f>
        <v>1551765506690949</v>
      </c>
      <c r="C1779" t="s">
        <v>40</v>
      </c>
      <c r="D1779">
        <v>4.0231209999999997</v>
      </c>
      <c r="E1779">
        <v>0.50008050000000004</v>
      </c>
      <c r="F1779" t="s">
        <v>59</v>
      </c>
      <c r="G1779">
        <v>-368.09679999999997</v>
      </c>
      <c r="H1779">
        <v>8.0000559999999998E-2</v>
      </c>
      <c r="I1779">
        <v>278.81240000000003</v>
      </c>
      <c r="J1779">
        <v>-302.3408</v>
      </c>
      <c r="K1779">
        <v>1.1101190000000001</v>
      </c>
      <c r="L1779">
        <v>284.30650000000003</v>
      </c>
      <c r="M1779">
        <v>-0.99970049999999999</v>
      </c>
      <c r="N1779">
        <v>-1.472646E-2</v>
      </c>
      <c r="O1779">
        <v>-1.9548289999999999E-2</v>
      </c>
      <c r="P1779">
        <v>-0.98981600000000003</v>
      </c>
      <c r="Q1779">
        <v>0.11117340000000001</v>
      </c>
      <c r="R1779">
        <v>-8.8910929999999999E-2</v>
      </c>
      <c r="S1779">
        <v>-3.014221</v>
      </c>
      <c r="T1779">
        <v>-4.6943550000000001E-2</v>
      </c>
      <c r="U1779">
        <v>-0.25070189999999998</v>
      </c>
      <c r="V1779">
        <v>-6.97102E-2</v>
      </c>
      <c r="W1779">
        <v>0.125668</v>
      </c>
      <c r="X1779">
        <v>0.9896201</v>
      </c>
      <c r="Y1779">
        <v>-6.3372970000000001E-2</v>
      </c>
      <c r="Z1779">
        <v>-9.4376149999999995E-4</v>
      </c>
      <c r="AA1779">
        <v>0.99798949999999997</v>
      </c>
      <c r="AB1779">
        <v>50</v>
      </c>
      <c r="AC1779">
        <v>-65.755999999999901</v>
      </c>
      <c r="AD1779">
        <v>-1.0301184400000001</v>
      </c>
      <c r="AE1779">
        <v>-5.4941000000000004</v>
      </c>
      <c r="AF1779">
        <v>-4.2064680441648399</v>
      </c>
      <c r="AG1779">
        <v>-1.0301184400000001</v>
      </c>
      <c r="AH1779">
        <v>65.834799194655503</v>
      </c>
      <c r="AI1779">
        <v>90.894611113553296</v>
      </c>
      <c r="AJ1779">
        <v>93.655903758619104</v>
      </c>
      <c r="AK1779">
        <v>65.977089223514696</v>
      </c>
      <c r="AL1779">
        <v>82.780666075037701</v>
      </c>
      <c r="AM1779">
        <v>94.029337745628695</v>
      </c>
      <c r="AN1779">
        <v>0.99999995026602295</v>
      </c>
    </row>
    <row r="1780" spans="1:40" x14ac:dyDescent="0.25">
      <c r="A1780" t="str">
        <f>"20190305135826714"</f>
        <v>20190305135826714</v>
      </c>
      <c r="B1780" t="str">
        <f>"1551765506710470"</f>
        <v>1551765506710470</v>
      </c>
      <c r="C1780" t="s">
        <v>40</v>
      </c>
      <c r="D1780">
        <v>4.0312219999999996</v>
      </c>
      <c r="E1780">
        <v>0.49990950000000001</v>
      </c>
      <c r="F1780" t="s">
        <v>59</v>
      </c>
      <c r="G1780">
        <v>-360.16680000000002</v>
      </c>
      <c r="H1780">
        <v>8.0001409999999995E-2</v>
      </c>
      <c r="I1780">
        <v>279.50369999999998</v>
      </c>
      <c r="J1780">
        <v>-302.63260000000002</v>
      </c>
      <c r="K1780">
        <v>1.1100570000000001</v>
      </c>
      <c r="L1780">
        <v>284.30079999999998</v>
      </c>
      <c r="M1780">
        <v>-0.999699</v>
      </c>
      <c r="N1780">
        <v>-1.4744119999999999E-2</v>
      </c>
      <c r="O1780">
        <v>-1.9607280000000001E-2</v>
      </c>
      <c r="P1780">
        <v>-0.98989780000000005</v>
      </c>
      <c r="Q1780">
        <v>0.1102544</v>
      </c>
      <c r="R1780">
        <v>-8.9141990000000004E-2</v>
      </c>
      <c r="S1780">
        <v>-3.0144039999999999</v>
      </c>
      <c r="T1780">
        <v>-5.3698900000000001E-2</v>
      </c>
      <c r="U1780">
        <v>-0.25036619999999998</v>
      </c>
      <c r="V1780">
        <v>-6.9860149999999996E-2</v>
      </c>
      <c r="W1780">
        <v>0.12477870000000001</v>
      </c>
      <c r="X1780">
        <v>0.98972210000000005</v>
      </c>
      <c r="Y1780">
        <v>-6.3195409999999994E-2</v>
      </c>
      <c r="Z1780">
        <v>-9.6875599999999998E-4</v>
      </c>
      <c r="AA1780">
        <v>0.99800069999999996</v>
      </c>
      <c r="AB1780">
        <v>50</v>
      </c>
      <c r="AC1780">
        <v>-57.534199999999998</v>
      </c>
      <c r="AD1780">
        <v>-1.0300555899999999</v>
      </c>
      <c r="AE1780">
        <v>-4.7971000000000004</v>
      </c>
      <c r="AF1780">
        <v>-3.6667985448876199</v>
      </c>
      <c r="AG1780">
        <v>-1.0300555899999999</v>
      </c>
      <c r="AH1780">
        <v>57.598870737477398</v>
      </c>
      <c r="AI1780">
        <v>91.0224567940394</v>
      </c>
      <c r="AJ1780">
        <v>93.642587986419201</v>
      </c>
      <c r="AK1780">
        <v>57.724659689944602</v>
      </c>
      <c r="AL1780">
        <v>82.8320238294326</v>
      </c>
      <c r="AM1780">
        <v>94.037561630536999</v>
      </c>
      <c r="AN1780">
        <v>0.99999999988006105</v>
      </c>
    </row>
    <row r="1781" spans="1:40" x14ac:dyDescent="0.25">
      <c r="A1781" t="str">
        <f>"20190305135826733"</f>
        <v>20190305135826733</v>
      </c>
      <c r="B1781" t="str">
        <f>"1551765506730965"</f>
        <v>1551765506730965</v>
      </c>
      <c r="C1781" t="s">
        <v>40</v>
      </c>
      <c r="D1781">
        <v>4.0454629999999998</v>
      </c>
      <c r="E1781">
        <v>0.49980790000000003</v>
      </c>
      <c r="F1781" t="s">
        <v>59</v>
      </c>
      <c r="G1781">
        <v>-358.58539999999999</v>
      </c>
      <c r="H1781">
        <v>8.2430139999999999E-3</v>
      </c>
      <c r="I1781">
        <v>279.61630000000002</v>
      </c>
      <c r="J1781">
        <v>-303.05549999999999</v>
      </c>
      <c r="K1781">
        <v>1.109969</v>
      </c>
      <c r="L1781">
        <v>284.29239999999999</v>
      </c>
      <c r="M1781">
        <v>-0.99969799999999998</v>
      </c>
      <c r="N1781">
        <v>-1.4766970000000001E-2</v>
      </c>
      <c r="O1781">
        <v>-1.9645180000000002E-2</v>
      </c>
      <c r="P1781">
        <v>-0.99004320000000001</v>
      </c>
      <c r="Q1781">
        <v>0.1089357</v>
      </c>
      <c r="R1781">
        <v>-8.9149679999999995E-2</v>
      </c>
      <c r="S1781">
        <v>-3.014526</v>
      </c>
      <c r="T1781">
        <v>-5.9361579999999997E-2</v>
      </c>
      <c r="U1781">
        <v>-0.2523804</v>
      </c>
      <c r="V1781">
        <v>-6.9799180000000002E-2</v>
      </c>
      <c r="W1781">
        <v>0.1235002</v>
      </c>
      <c r="X1781">
        <v>0.98988679999999996</v>
      </c>
      <c r="Y1781">
        <v>-6.381328E-2</v>
      </c>
      <c r="Z1781">
        <v>-1.0028719999999999E-3</v>
      </c>
      <c r="AA1781">
        <v>0.99796130000000005</v>
      </c>
      <c r="AB1781">
        <v>50</v>
      </c>
      <c r="AC1781">
        <v>-55.529899999999998</v>
      </c>
      <c r="AD1781">
        <v>-1.1017259859999999</v>
      </c>
      <c r="AE1781">
        <v>-4.67609999999996</v>
      </c>
      <c r="AF1781">
        <v>-3.5827832130058699</v>
      </c>
      <c r="AG1781">
        <v>-1.1017259859999999</v>
      </c>
      <c r="AH1781">
        <v>55.589326240922702</v>
      </c>
      <c r="AI1781">
        <v>91.133047333621406</v>
      </c>
      <c r="AJ1781">
        <v>93.687665249838105</v>
      </c>
      <c r="AK1781">
        <v>55.715557321266701</v>
      </c>
      <c r="AL1781">
        <v>82.905847894906302</v>
      </c>
      <c r="AM1781">
        <v>94.033380532768504</v>
      </c>
      <c r="AN1781">
        <v>1.0000000508714699</v>
      </c>
    </row>
    <row r="1782" spans="1:40" x14ac:dyDescent="0.25">
      <c r="A1782" t="str">
        <f>"20190305135826747"</f>
        <v>20190305135826747</v>
      </c>
      <c r="B1782" t="str">
        <f>"1551765506740725"</f>
        <v>1551765506740725</v>
      </c>
      <c r="C1782" t="s">
        <v>40</v>
      </c>
      <c r="D1782">
        <v>4.0081490000000004</v>
      </c>
      <c r="E1782">
        <v>0.49985489999999999</v>
      </c>
      <c r="F1782" t="s">
        <v>59</v>
      </c>
      <c r="G1782">
        <v>-355.06330000000003</v>
      </c>
      <c r="H1782" s="1">
        <v>1.157665E-6</v>
      </c>
      <c r="I1782">
        <v>279.93090000000001</v>
      </c>
      <c r="J1782">
        <v>-303.36329999999998</v>
      </c>
      <c r="K1782">
        <v>1.1099060000000001</v>
      </c>
      <c r="L1782">
        <v>284.28640000000001</v>
      </c>
      <c r="M1782">
        <v>-0.99969799999999998</v>
      </c>
      <c r="N1782">
        <v>-1.478163E-2</v>
      </c>
      <c r="O1782">
        <v>-1.9631639999999999E-2</v>
      </c>
      <c r="P1782">
        <v>-0.98992930000000001</v>
      </c>
      <c r="Q1782">
        <v>0.10957890000000001</v>
      </c>
      <c r="R1782">
        <v>-8.9625129999999997E-2</v>
      </c>
      <c r="S1782">
        <v>-3.0144959999999998</v>
      </c>
      <c r="T1782">
        <v>-6.4336299999999999E-2</v>
      </c>
      <c r="U1782">
        <v>-0.25280760000000002</v>
      </c>
      <c r="V1782">
        <v>-7.0270970000000002E-2</v>
      </c>
      <c r="W1782">
        <v>0.1241664</v>
      </c>
      <c r="X1782">
        <v>0.98977000000000004</v>
      </c>
      <c r="Y1782">
        <v>-6.3965279999999999E-2</v>
      </c>
      <c r="Z1782">
        <v>-1.026672E-3</v>
      </c>
      <c r="AA1782">
        <v>0.99795160000000005</v>
      </c>
      <c r="AB1782">
        <v>50</v>
      </c>
      <c r="AC1782">
        <v>-51.7</v>
      </c>
      <c r="AD1782">
        <v>-1.109904842335</v>
      </c>
      <c r="AE1782">
        <v>-4.3555000000000001</v>
      </c>
      <c r="AF1782">
        <v>-3.3380661191455201</v>
      </c>
      <c r="AG1782">
        <v>-1.109904842335</v>
      </c>
      <c r="AH1782">
        <v>51.7518657397966</v>
      </c>
      <c r="AI1782">
        <v>91.226067891580399</v>
      </c>
      <c r="AJ1782">
        <v>93.690543727050198</v>
      </c>
      <c r="AK1782">
        <v>51.8712847510524</v>
      </c>
      <c r="AL1782">
        <v>82.867380853516906</v>
      </c>
      <c r="AM1782">
        <v>94.061029836025497</v>
      </c>
      <c r="AN1782">
        <v>0.99999997850684996</v>
      </c>
    </row>
    <row r="1783" spans="1:40" x14ac:dyDescent="0.25">
      <c r="A1783" t="str">
        <f>"20190305135826760"</f>
        <v>20190305135826760</v>
      </c>
      <c r="B1783" t="str">
        <f>"1551765506750484"</f>
        <v>1551765506750484</v>
      </c>
      <c r="C1783" t="s">
        <v>40</v>
      </c>
      <c r="D1783">
        <v>3.9962149999999999</v>
      </c>
      <c r="E1783">
        <v>0.49988969999999999</v>
      </c>
      <c r="F1783" t="s">
        <v>59</v>
      </c>
      <c r="G1783">
        <v>-357.53919999999999</v>
      </c>
      <c r="H1783" s="1">
        <v>2.475228E-6</v>
      </c>
      <c r="I1783">
        <v>279.72190000000001</v>
      </c>
      <c r="J1783">
        <v>-303.6653</v>
      </c>
      <c r="K1783">
        <v>1.109847</v>
      </c>
      <c r="L1783">
        <v>284.28050000000002</v>
      </c>
      <c r="M1783">
        <v>-0.99969870000000005</v>
      </c>
      <c r="N1783">
        <v>-1.479485E-2</v>
      </c>
      <c r="O1783">
        <v>-1.9591999999999998E-2</v>
      </c>
      <c r="P1783">
        <v>-0.98986269999999998</v>
      </c>
      <c r="Q1783">
        <v>0.11004700000000001</v>
      </c>
      <c r="R1783">
        <v>-8.9787489999999998E-2</v>
      </c>
      <c r="S1783">
        <v>-3.0143430000000002</v>
      </c>
      <c r="T1783">
        <v>-6.1754940000000001E-2</v>
      </c>
      <c r="U1783">
        <v>-0.25396729999999901</v>
      </c>
      <c r="V1783">
        <v>-7.0454420000000004E-2</v>
      </c>
      <c r="W1783">
        <v>0.124658</v>
      </c>
      <c r="X1783">
        <v>0.9896952</v>
      </c>
      <c r="Y1783">
        <v>-6.439156E-2</v>
      </c>
      <c r="Z1783">
        <v>-1.024547E-3</v>
      </c>
      <c r="AA1783">
        <v>0.99792420000000004</v>
      </c>
      <c r="AB1783">
        <v>50</v>
      </c>
      <c r="AC1783">
        <v>-53.8738999999999</v>
      </c>
      <c r="AD1783">
        <v>-1.1098445247719999</v>
      </c>
      <c r="AE1783">
        <v>-4.55860000000001</v>
      </c>
      <c r="AF1783">
        <v>-3.5006368748951</v>
      </c>
      <c r="AG1783">
        <v>-1.1098445247719999</v>
      </c>
      <c r="AH1783">
        <v>53.930154117344301</v>
      </c>
      <c r="AI1783">
        <v>91.176465164659405</v>
      </c>
      <c r="AJ1783">
        <v>93.713891360884801</v>
      </c>
      <c r="AK1783">
        <v>54.055043580775603</v>
      </c>
      <c r="AL1783">
        <v>82.8389939636901</v>
      </c>
      <c r="AM1783">
        <v>94.071902677105001</v>
      </c>
      <c r="AN1783">
        <v>1.0000000155822799</v>
      </c>
    </row>
    <row r="1784" spans="1:40" x14ac:dyDescent="0.25">
      <c r="A1784" t="str">
        <f>"20190305135826780"</f>
        <v>20190305135826780</v>
      </c>
      <c r="B1784" t="str">
        <f>"1551765506770982"</f>
        <v>1551765506770982</v>
      </c>
      <c r="C1784" t="s">
        <v>40</v>
      </c>
      <c r="D1784">
        <v>3.9816549999999999</v>
      </c>
      <c r="E1784">
        <v>0.49996059999999998</v>
      </c>
      <c r="F1784" t="s">
        <v>59</v>
      </c>
      <c r="G1784">
        <v>-358.97399999999999</v>
      </c>
      <c r="H1784">
        <v>3.6522529999999997E-2</v>
      </c>
      <c r="I1784">
        <v>279.61630000000002</v>
      </c>
      <c r="J1784">
        <v>-304.09010000000001</v>
      </c>
      <c r="K1784">
        <v>1.1097629999999901</v>
      </c>
      <c r="L1784">
        <v>284.2722</v>
      </c>
      <c r="M1784">
        <v>-0.9997007</v>
      </c>
      <c r="N1784">
        <v>-1.4811E-2</v>
      </c>
      <c r="O1784">
        <v>-1.9477950000000001E-2</v>
      </c>
      <c r="P1784">
        <v>-0.98976799999999998</v>
      </c>
      <c r="Q1784">
        <v>0.11089499999999999</v>
      </c>
      <c r="R1784">
        <v>-8.9787080000000005E-2</v>
      </c>
      <c r="S1784">
        <v>-3.01416</v>
      </c>
      <c r="T1784">
        <v>-5.849302E-2</v>
      </c>
      <c r="U1784">
        <v>-0.25418089999999999</v>
      </c>
      <c r="V1784">
        <v>-7.0540930000000002E-2</v>
      </c>
      <c r="W1784">
        <v>0.1255365</v>
      </c>
      <c r="X1784">
        <v>0.98957790000000001</v>
      </c>
      <c r="Y1784">
        <v>-6.4582390000000003E-2</v>
      </c>
      <c r="Z1784">
        <v>-1.0155629999999999E-3</v>
      </c>
      <c r="AA1784">
        <v>0.99791189999999996</v>
      </c>
      <c r="AB1784">
        <v>49</v>
      </c>
      <c r="AC1784">
        <v>-54.883899999999898</v>
      </c>
      <c r="AD1784">
        <v>-1.07324046999999</v>
      </c>
      <c r="AE1784">
        <v>-4.6558999999999697</v>
      </c>
      <c r="AF1784">
        <v>-3.5845126379348402</v>
      </c>
      <c r="AG1784">
        <v>-1.07324046999999</v>
      </c>
      <c r="AH1784">
        <v>54.943323290511202</v>
      </c>
      <c r="AI1784">
        <v>91.116676757075695</v>
      </c>
      <c r="AJ1784">
        <v>93.732697512900899</v>
      </c>
      <c r="AK1784">
        <v>55.070585162712703</v>
      </c>
      <c r="AL1784">
        <v>82.788260451884099</v>
      </c>
      <c r="AM1784">
        <v>94.077367286163195</v>
      </c>
      <c r="AN1784">
        <v>0.999999927902959</v>
      </c>
    </row>
    <row r="1785" spans="1:40" x14ac:dyDescent="0.25">
      <c r="A1785" t="str">
        <f>"20190305135826802"</f>
        <v>20190305135826802</v>
      </c>
      <c r="B1785" t="str">
        <f>"1551765506791008"</f>
        <v>1551765506791008</v>
      </c>
      <c r="C1785" t="s">
        <v>40</v>
      </c>
      <c r="D1785">
        <v>4.0074149999999999</v>
      </c>
      <c r="E1785">
        <v>0.50003039999999999</v>
      </c>
      <c r="F1785" t="s">
        <v>59</v>
      </c>
      <c r="G1785">
        <v>-361.24900000000002</v>
      </c>
      <c r="H1785">
        <v>8.0001089999999997E-2</v>
      </c>
      <c r="I1785">
        <v>279.45650000000001</v>
      </c>
      <c r="J1785">
        <v>-304.59280000000001</v>
      </c>
      <c r="K1785">
        <v>1.1096629999999901</v>
      </c>
      <c r="L1785">
        <v>284.26249999999999</v>
      </c>
      <c r="M1785">
        <v>-0.9997045</v>
      </c>
      <c r="N1785">
        <v>-1.482705E-2</v>
      </c>
      <c r="O1785">
        <v>-1.927007E-2</v>
      </c>
      <c r="P1785">
        <v>-0.98952450000000003</v>
      </c>
      <c r="Q1785">
        <v>0.1132461</v>
      </c>
      <c r="R1785">
        <v>-8.9538759999999995E-2</v>
      </c>
      <c r="S1785">
        <v>-3.0140380000000002</v>
      </c>
      <c r="T1785">
        <v>-5.4300189999999998E-2</v>
      </c>
      <c r="U1785">
        <v>-0.25393680000000002</v>
      </c>
      <c r="V1785">
        <v>-7.0469770000000001E-2</v>
      </c>
      <c r="W1785">
        <v>0.127918</v>
      </c>
      <c r="X1785">
        <v>0.98927799999999999</v>
      </c>
      <c r="Y1785">
        <v>-6.4715209999999995E-2</v>
      </c>
      <c r="Z1785">
        <v>-1.001441E-3</v>
      </c>
      <c r="AA1785">
        <v>0.99790330000000005</v>
      </c>
      <c r="AB1785">
        <v>49</v>
      </c>
      <c r="AC1785">
        <v>-56.656199999999998</v>
      </c>
      <c r="AD1785">
        <v>-1.02966190999999</v>
      </c>
      <c r="AE1785">
        <v>-4.8059999999999796</v>
      </c>
      <c r="AF1785">
        <v>-3.71200130339016</v>
      </c>
      <c r="AG1785">
        <v>-1.02966190999999</v>
      </c>
      <c r="AH1785">
        <v>56.719699541043603</v>
      </c>
      <c r="AI1785">
        <v>91.037785993047393</v>
      </c>
      <c r="AJ1785">
        <v>93.744363045363301</v>
      </c>
      <c r="AK1785">
        <v>56.850360362547697</v>
      </c>
      <c r="AL1785">
        <v>82.650701854640502</v>
      </c>
      <c r="AM1785">
        <v>94.074498641944302</v>
      </c>
      <c r="AN1785">
        <v>0.99999998224592601</v>
      </c>
    </row>
    <row r="1786" spans="1:40" x14ac:dyDescent="0.25">
      <c r="A1786" t="str">
        <f>"20190305135826823"</f>
        <v>20190305135826823</v>
      </c>
      <c r="B1786" t="str">
        <f>"1551765506810528"</f>
        <v>1551765506810528</v>
      </c>
      <c r="C1786" t="s">
        <v>40</v>
      </c>
      <c r="D1786">
        <v>4.0229239999999997</v>
      </c>
      <c r="E1786">
        <v>0.50003359999999997</v>
      </c>
      <c r="F1786" t="s">
        <v>59</v>
      </c>
      <c r="G1786">
        <v>-370.47809999999998</v>
      </c>
      <c r="H1786">
        <v>8.0001320000000001E-2</v>
      </c>
      <c r="I1786">
        <v>278.72660000000002</v>
      </c>
      <c r="J1786">
        <v>-305.0324</v>
      </c>
      <c r="K1786">
        <v>1.1095790000000001</v>
      </c>
      <c r="L1786">
        <v>284.25420000000003</v>
      </c>
      <c r="M1786">
        <v>-0.99970879999999995</v>
      </c>
      <c r="N1786">
        <v>-1.483893E-2</v>
      </c>
      <c r="O1786">
        <v>-1.9041329999999999E-2</v>
      </c>
      <c r="P1786">
        <v>-0.98941869999999998</v>
      </c>
      <c r="Q1786">
        <v>0.114016699999999</v>
      </c>
      <c r="R1786">
        <v>-8.9730799999999999E-2</v>
      </c>
      <c r="S1786">
        <v>-3.014221</v>
      </c>
      <c r="T1786">
        <v>-4.7106500000000003E-2</v>
      </c>
      <c r="U1786">
        <v>-0.25326539999999997</v>
      </c>
      <c r="V1786">
        <v>-7.0862419999999995E-2</v>
      </c>
      <c r="W1786">
        <v>0.12871440000000001</v>
      </c>
      <c r="X1786">
        <v>0.98914659999999999</v>
      </c>
      <c r="Y1786">
        <v>-6.4721379999999995E-2</v>
      </c>
      <c r="Z1786">
        <v>-9.7111599999999995E-4</v>
      </c>
      <c r="AA1786">
        <v>0.99790290000000004</v>
      </c>
      <c r="AB1786">
        <v>49</v>
      </c>
      <c r="AC1786">
        <v>-65.445699999999903</v>
      </c>
      <c r="AD1786">
        <v>-1.0295776800000001</v>
      </c>
      <c r="AE1786">
        <v>-5.5275999999999996</v>
      </c>
      <c r="AF1786">
        <v>-4.2792359368397603</v>
      </c>
      <c r="AG1786">
        <v>-1.0295776800000001</v>
      </c>
      <c r="AH1786">
        <v>65.522994977759794</v>
      </c>
      <c r="AI1786">
        <v>90.898314075909497</v>
      </c>
      <c r="AJ1786">
        <v>93.736618877954996</v>
      </c>
      <c r="AK1786">
        <v>65.6706537294843</v>
      </c>
      <c r="AL1786">
        <v>82.604690806835805</v>
      </c>
      <c r="AM1786">
        <v>94.097666626471394</v>
      </c>
      <c r="AN1786">
        <v>0.99999993781358598</v>
      </c>
    </row>
    <row r="1787" spans="1:40" x14ac:dyDescent="0.25">
      <c r="A1787" t="str">
        <f>"20190305135826836"</f>
        <v>20190305135826836</v>
      </c>
      <c r="B1787" t="str">
        <f>"1551765506831024"</f>
        <v>1551765506831024</v>
      </c>
      <c r="C1787" t="s">
        <v>40</v>
      </c>
      <c r="D1787">
        <v>4.0194020000000004</v>
      </c>
      <c r="E1787">
        <v>0.50031210000000004</v>
      </c>
      <c r="F1787" t="s">
        <v>59</v>
      </c>
      <c r="G1787">
        <v>-376.47899999999998</v>
      </c>
      <c r="H1787">
        <v>8.0001030000000001E-2</v>
      </c>
      <c r="I1787">
        <v>278.24360000000001</v>
      </c>
      <c r="J1787">
        <v>-305.33780000000002</v>
      </c>
      <c r="K1787">
        <v>1.1095250000000001</v>
      </c>
      <c r="L1787">
        <v>284.2484</v>
      </c>
      <c r="M1787">
        <v>-0.99971189999999999</v>
      </c>
      <c r="N1787">
        <v>-1.4846120000000001E-2</v>
      </c>
      <c r="O1787">
        <v>-1.8862130000000001E-2</v>
      </c>
      <c r="P1787">
        <v>-0.98939920000000003</v>
      </c>
      <c r="Q1787">
        <v>0.11413329999999999</v>
      </c>
      <c r="R1787">
        <v>-8.9793239999999996E-2</v>
      </c>
      <c r="S1787">
        <v>-3.0141300000000002</v>
      </c>
      <c r="T1787">
        <v>-4.3434979999999998E-2</v>
      </c>
      <c r="U1787">
        <v>-0.25357059999999998</v>
      </c>
      <c r="V1787">
        <v>-7.1084750000000002E-2</v>
      </c>
      <c r="W1787">
        <v>0.1288473</v>
      </c>
      <c r="X1787">
        <v>0.98911340000000003</v>
      </c>
      <c r="Y1787">
        <v>-6.5004790000000007E-2</v>
      </c>
      <c r="Z1787">
        <v>-9.5935360000000002E-4</v>
      </c>
      <c r="AA1787">
        <v>0.99788449999999995</v>
      </c>
      <c r="AB1787">
        <v>49</v>
      </c>
      <c r="AC1787">
        <v>-71.141199999999998</v>
      </c>
      <c r="AD1787">
        <v>-1.0295239700000001</v>
      </c>
      <c r="AE1787">
        <v>-6.0047999999999799</v>
      </c>
      <c r="AF1787">
        <v>-4.6607398811540701</v>
      </c>
      <c r="AG1787">
        <v>-1.0295239700000001</v>
      </c>
      <c r="AH1787">
        <v>71.227005314421305</v>
      </c>
      <c r="AI1787">
        <v>90.826335695765707</v>
      </c>
      <c r="AJ1787">
        <v>93.743812708962395</v>
      </c>
      <c r="AK1787">
        <v>71.386754386967297</v>
      </c>
      <c r="AL1787">
        <v>82.597012671118094</v>
      </c>
      <c r="AM1787">
        <v>94.110616504641797</v>
      </c>
      <c r="AN1787">
        <v>0.99999999322970601</v>
      </c>
    </row>
    <row r="1788" spans="1:40" x14ac:dyDescent="0.25">
      <c r="A1788" t="str">
        <f>"20190305135826849"</f>
        <v>20190305135826849</v>
      </c>
      <c r="B1788" t="str">
        <f>"1551765506840784"</f>
        <v>1551765506840784</v>
      </c>
      <c r="C1788" t="s">
        <v>40</v>
      </c>
      <c r="D1788">
        <v>4.0405350000000002</v>
      </c>
      <c r="E1788">
        <v>0.50045340000000005</v>
      </c>
      <c r="F1788" t="s">
        <v>59</v>
      </c>
      <c r="G1788">
        <v>-378.483</v>
      </c>
      <c r="H1788">
        <v>8.0000450000000001E-2</v>
      </c>
      <c r="I1788">
        <v>278.14179999999999</v>
      </c>
      <c r="J1788">
        <v>-305.62279999999998</v>
      </c>
      <c r="K1788">
        <v>1.1094790000000001</v>
      </c>
      <c r="L1788">
        <v>284.2432</v>
      </c>
      <c r="M1788">
        <v>-0.99971529999999997</v>
      </c>
      <c r="N1788">
        <v>-1.4851899999999999E-2</v>
      </c>
      <c r="O1788">
        <v>-1.8678119999999999E-2</v>
      </c>
      <c r="P1788">
        <v>-0.98941100000000004</v>
      </c>
      <c r="Q1788">
        <v>0.1140592</v>
      </c>
      <c r="R1788">
        <v>-8.975851E-2</v>
      </c>
      <c r="S1788">
        <v>-3.014221</v>
      </c>
      <c r="T1788">
        <v>-4.242539E-2</v>
      </c>
      <c r="U1788">
        <v>-0.25164789999999998</v>
      </c>
      <c r="V1788">
        <v>-7.1217370000000002E-2</v>
      </c>
      <c r="W1788">
        <v>0.1287877</v>
      </c>
      <c r="X1788">
        <v>0.98911159999999998</v>
      </c>
      <c r="Y1788">
        <v>-6.4554429999999996E-2</v>
      </c>
      <c r="Z1788">
        <v>-9.4842069999999997E-4</v>
      </c>
      <c r="AA1788">
        <v>0.99791370000000001</v>
      </c>
      <c r="AB1788">
        <v>49</v>
      </c>
      <c r="AC1788">
        <v>-72.860200000000006</v>
      </c>
      <c r="AD1788">
        <v>-1.0294785500000001</v>
      </c>
      <c r="AE1788">
        <v>-6.1014000000000097</v>
      </c>
      <c r="AF1788">
        <v>-4.7383543911289401</v>
      </c>
      <c r="AG1788">
        <v>-1.0294785500000001</v>
      </c>
      <c r="AH1788">
        <v>72.946999949741794</v>
      </c>
      <c r="AI1788">
        <v>90.806843878882901</v>
      </c>
      <c r="AJ1788">
        <v>93.716490646279894</v>
      </c>
      <c r="AK1788">
        <v>73.107979250479104</v>
      </c>
      <c r="AL1788">
        <v>82.6004560271586</v>
      </c>
      <c r="AM1788">
        <v>94.118266625520903</v>
      </c>
      <c r="AN1788">
        <v>0.99999997135778296</v>
      </c>
    </row>
    <row r="1789" spans="1:40" x14ac:dyDescent="0.25">
      <c r="A1789" t="str">
        <f>"20190305135826869"</f>
        <v>20190305135826869</v>
      </c>
      <c r="B1789" t="str">
        <f>"1551765506860303"</f>
        <v>1551765506860303</v>
      </c>
      <c r="C1789" t="s">
        <v>40</v>
      </c>
      <c r="D1789">
        <v>4.0232260000000002</v>
      </c>
      <c r="E1789">
        <v>0.50072950000000005</v>
      </c>
      <c r="F1789" t="s">
        <v>59</v>
      </c>
      <c r="G1789">
        <v>-379.89620000000002</v>
      </c>
      <c r="H1789">
        <v>8.000003E-2</v>
      </c>
      <c r="I1789">
        <v>278.0754</v>
      </c>
      <c r="J1789">
        <v>-306.05220000000003</v>
      </c>
      <c r="K1789">
        <v>1.1094120000000001</v>
      </c>
      <c r="L1789">
        <v>284.2353</v>
      </c>
      <c r="M1789">
        <v>-0.99972070000000002</v>
      </c>
      <c r="N1789">
        <v>-1.4859590000000001E-2</v>
      </c>
      <c r="O1789">
        <v>-1.8384629999999999E-2</v>
      </c>
      <c r="P1789">
        <v>-0.98940799999999995</v>
      </c>
      <c r="Q1789">
        <v>0.1144951</v>
      </c>
      <c r="R1789">
        <v>-8.9234960000000002E-2</v>
      </c>
      <c r="S1789">
        <v>-3.0142519999999999</v>
      </c>
      <c r="T1789">
        <v>-4.1779520000000001E-2</v>
      </c>
      <c r="U1789">
        <v>-0.25030520000000001</v>
      </c>
      <c r="V1789">
        <v>-7.0965059999999996E-2</v>
      </c>
      <c r="W1789">
        <v>0.1292412</v>
      </c>
      <c r="X1789">
        <v>0.98907060000000002</v>
      </c>
      <c r="Y1789">
        <v>-6.4405379999999998E-2</v>
      </c>
      <c r="Z1789">
        <v>-9.4346139999999996E-4</v>
      </c>
      <c r="AA1789">
        <v>0.99792340000000002</v>
      </c>
      <c r="AB1789">
        <v>49</v>
      </c>
      <c r="AC1789">
        <v>-73.843999999999994</v>
      </c>
      <c r="AD1789">
        <v>-1.02941197</v>
      </c>
      <c r="AE1789">
        <v>-6.1598999999999897</v>
      </c>
      <c r="AF1789">
        <v>-4.8001879482478396</v>
      </c>
      <c r="AG1789">
        <v>-1.02941197</v>
      </c>
      <c r="AH1789">
        <v>73.930508824409699</v>
      </c>
      <c r="AI1789">
        <v>90.796061649588594</v>
      </c>
      <c r="AJ1789">
        <v>93.714907523383204</v>
      </c>
      <c r="AK1789">
        <v>74.093330525618796</v>
      </c>
      <c r="AL1789">
        <v>82.574253543968794</v>
      </c>
      <c r="AM1789">
        <v>94.103895832575901</v>
      </c>
      <c r="AN1789">
        <v>0.99999998965130099</v>
      </c>
    </row>
    <row r="1790" spans="1:40" x14ac:dyDescent="0.25">
      <c r="A1790" t="str">
        <f>"20190305135826890"</f>
        <v>20190305135826890</v>
      </c>
      <c r="B1790" t="str">
        <f>"1551765506880800"</f>
        <v>1551765506880800</v>
      </c>
      <c r="C1790" t="s">
        <v>40</v>
      </c>
      <c r="D1790">
        <v>4.138566</v>
      </c>
      <c r="E1790">
        <v>0.50084719999999905</v>
      </c>
      <c r="F1790" t="s">
        <v>59</v>
      </c>
      <c r="G1790">
        <v>-384.67759999999998</v>
      </c>
      <c r="H1790">
        <v>8.0000089999999996E-2</v>
      </c>
      <c r="I1790">
        <v>277.79419999999999</v>
      </c>
      <c r="J1790">
        <v>-306.52609999999999</v>
      </c>
      <c r="K1790">
        <v>1.109361</v>
      </c>
      <c r="L1790">
        <v>284.22680000000003</v>
      </c>
      <c r="M1790">
        <v>-0.99972680000000003</v>
      </c>
      <c r="N1790">
        <v>-1.486666E-2</v>
      </c>
      <c r="O1790">
        <v>-1.8039030000000001E-2</v>
      </c>
      <c r="P1790">
        <v>-0.98934829999999996</v>
      </c>
      <c r="Q1790">
        <v>0.1155347</v>
      </c>
      <c r="R1790">
        <v>-8.8554549999999996E-2</v>
      </c>
      <c r="S1790">
        <v>-3.0144350000000002</v>
      </c>
      <c r="T1790">
        <v>-3.9466859999999999E-2</v>
      </c>
      <c r="U1790">
        <v>-0.24694820000000001</v>
      </c>
      <c r="V1790">
        <v>-7.0608580000000004E-2</v>
      </c>
      <c r="W1790">
        <v>0.13029649999999901</v>
      </c>
      <c r="X1790">
        <v>0.98895759999999999</v>
      </c>
      <c r="Y1790">
        <v>-6.3642729999999995E-2</v>
      </c>
      <c r="Z1790">
        <v>-9.2193679999999999E-4</v>
      </c>
      <c r="AA1790">
        <v>0.99797230000000003</v>
      </c>
      <c r="AB1790">
        <v>49</v>
      </c>
      <c r="AC1790">
        <v>-78.151499999999999</v>
      </c>
      <c r="AD1790">
        <v>-1.0293609100000001</v>
      </c>
      <c r="AE1790">
        <v>-6.4326000000000301</v>
      </c>
      <c r="AF1790">
        <v>-5.0207549144212997</v>
      </c>
      <c r="AG1790">
        <v>-1.0293609100000001</v>
      </c>
      <c r="AH1790">
        <v>78.241349010357993</v>
      </c>
      <c r="AI1790">
        <v>90.752205819559407</v>
      </c>
      <c r="AJ1790">
        <v>93.671641524394602</v>
      </c>
      <c r="AK1790">
        <v>78.409031742232202</v>
      </c>
      <c r="AL1790">
        <v>82.513273316598898</v>
      </c>
      <c r="AM1790">
        <v>94.083815563344302</v>
      </c>
      <c r="AN1790">
        <v>0.99999994203981102</v>
      </c>
    </row>
    <row r="1791" spans="1:40" x14ac:dyDescent="0.25">
      <c r="A1791" t="str">
        <f>"20190305135826912"</f>
        <v>20190305135826912</v>
      </c>
      <c r="B1791" t="str">
        <f>"1551765506900320"</f>
        <v>1551765506900320</v>
      </c>
      <c r="C1791" t="s">
        <v>40</v>
      </c>
      <c r="D1791">
        <v>4.1561719999999998</v>
      </c>
      <c r="E1791">
        <v>0.54215829999999998</v>
      </c>
      <c r="F1791" t="s">
        <v>59</v>
      </c>
      <c r="G1791">
        <v>-393.4907</v>
      </c>
      <c r="H1791">
        <v>8.0000429999999997E-2</v>
      </c>
      <c r="I1791">
        <v>277.18400000000003</v>
      </c>
      <c r="J1791">
        <v>-307.00630000000001</v>
      </c>
      <c r="K1791">
        <v>1.109324</v>
      </c>
      <c r="L1791">
        <v>284.21839999999997</v>
      </c>
      <c r="M1791">
        <v>-0.99973319999999999</v>
      </c>
      <c r="N1791">
        <v>-1.487233E-2</v>
      </c>
      <c r="O1791">
        <v>-1.7673210000000002E-2</v>
      </c>
      <c r="P1791">
        <v>-0.98925810000000003</v>
      </c>
      <c r="Q1791">
        <v>0.11699329999999999</v>
      </c>
      <c r="R1791">
        <v>-8.7642700000000004E-2</v>
      </c>
      <c r="S1791">
        <v>-3.014618</v>
      </c>
      <c r="T1791">
        <v>-3.5682680000000001E-2</v>
      </c>
      <c r="U1791">
        <v>-0.24414060000000001</v>
      </c>
      <c r="V1791">
        <v>-7.0043560000000005E-2</v>
      </c>
      <c r="W1791">
        <v>0.1317671</v>
      </c>
      <c r="X1791">
        <v>0.98880299999999999</v>
      </c>
      <c r="Y1791">
        <v>-6.3081349999999994E-2</v>
      </c>
      <c r="Z1791">
        <v>-8.9631390000000002E-4</v>
      </c>
      <c r="AA1791">
        <v>0.99800800000000001</v>
      </c>
      <c r="AB1791">
        <v>49</v>
      </c>
      <c r="AC1791">
        <v>-86.484399999999994</v>
      </c>
      <c r="AD1791">
        <v>-1.0293235700000001</v>
      </c>
      <c r="AE1791">
        <v>-7.0343999999999403</v>
      </c>
      <c r="AF1791">
        <v>-5.5039005481689998</v>
      </c>
      <c r="AG1791">
        <v>-1.0293235700000001</v>
      </c>
      <c r="AH1791">
        <v>86.583039555440095</v>
      </c>
      <c r="AI1791">
        <v>90.679744416503993</v>
      </c>
      <c r="AJ1791">
        <v>93.637277427717905</v>
      </c>
      <c r="AK1791">
        <v>86.763904746817403</v>
      </c>
      <c r="AL1791">
        <v>82.428281943849598</v>
      </c>
      <c r="AM1791">
        <v>94.051876838924301</v>
      </c>
      <c r="AN1791">
        <v>1.00000002087444</v>
      </c>
    </row>
    <row r="1792" spans="1:40" x14ac:dyDescent="0.25">
      <c r="A1792" t="str">
        <f>"20190305135826926"</f>
        <v>20190305135826926</v>
      </c>
      <c r="B1792" t="str">
        <f>"1551765506920817"</f>
        <v>1551765506920817</v>
      </c>
      <c r="C1792" t="s">
        <v>40</v>
      </c>
      <c r="D1792">
        <v>4.2533810000000001</v>
      </c>
      <c r="E1792">
        <v>0.54753569999999996</v>
      </c>
      <c r="F1792" t="s">
        <v>58</v>
      </c>
      <c r="G1792">
        <v>-490.83600000000001</v>
      </c>
      <c r="H1792" s="1">
        <v>4.2404540000000003E-6</v>
      </c>
      <c r="I1792">
        <v>289.46800000000002</v>
      </c>
      <c r="J1792">
        <v>-307.3073</v>
      </c>
      <c r="K1792">
        <v>1.109308</v>
      </c>
      <c r="L1792">
        <v>284.21319999999997</v>
      </c>
      <c r="M1792">
        <v>-0.9997374</v>
      </c>
      <c r="N1792">
        <v>-1.487524E-2</v>
      </c>
      <c r="O1792">
        <v>-1.7438889999999999E-2</v>
      </c>
      <c r="P1792">
        <v>-0.98928280000000002</v>
      </c>
      <c r="Q1792">
        <v>0.1171431</v>
      </c>
      <c r="R1792">
        <v>-8.7162169999999997E-2</v>
      </c>
      <c r="S1792">
        <v>-3.0424500000000001</v>
      </c>
      <c r="T1792">
        <v>-1.835966E-2</v>
      </c>
      <c r="U1792">
        <v>8.6883539999999995E-2</v>
      </c>
      <c r="V1792">
        <v>-6.9786059999999997E-2</v>
      </c>
      <c r="W1792">
        <v>0.13192400000000001</v>
      </c>
      <c r="X1792">
        <v>0.98880029999999997</v>
      </c>
      <c r="Y1792">
        <v>4.5971249999999998E-2</v>
      </c>
      <c r="Z1792">
        <v>3.2654199999999998E-4</v>
      </c>
      <c r="AA1792">
        <v>0.99894269999999996</v>
      </c>
      <c r="AB1792">
        <v>49</v>
      </c>
      <c r="AC1792">
        <v>-183.52869999999999</v>
      </c>
      <c r="AD1792">
        <v>-1.109303759546</v>
      </c>
      <c r="AE1792">
        <v>5.2548000000000403</v>
      </c>
      <c r="AF1792">
        <v>8.4545826623777494</v>
      </c>
      <c r="AG1792">
        <v>-1.109303759546</v>
      </c>
      <c r="AH1792">
        <v>183.40244192438101</v>
      </c>
      <c r="AI1792">
        <v>90.346179825195506</v>
      </c>
      <c r="AJ1792">
        <v>87.360617455397303</v>
      </c>
      <c r="AK1792">
        <v>183.60056161856301</v>
      </c>
      <c r="AL1792">
        <v>82.419213172157598</v>
      </c>
      <c r="AM1792">
        <v>94.037041319138297</v>
      </c>
      <c r="AN1792">
        <v>1.0000000346132001</v>
      </c>
    </row>
    <row r="1793" spans="1:40" x14ac:dyDescent="0.25">
      <c r="A1793" t="str">
        <f>"20190305135826940"</f>
        <v>20190305135826940</v>
      </c>
      <c r="B1793" t="str">
        <f>"1551765506930576"</f>
        <v>1551765506930576</v>
      </c>
      <c r="C1793" t="s">
        <v>40</v>
      </c>
      <c r="D1793">
        <v>4.8356510000000004</v>
      </c>
      <c r="E1793">
        <v>0.54805150000000002</v>
      </c>
      <c r="F1793" t="s">
        <v>59</v>
      </c>
      <c r="G1793">
        <v>-443.03289999999998</v>
      </c>
      <c r="H1793">
        <v>8.0000669999999996E-2</v>
      </c>
      <c r="I1793">
        <v>290.07920000000001</v>
      </c>
      <c r="J1793">
        <v>-307.61500000000001</v>
      </c>
      <c r="K1793">
        <v>1.1092879999999901</v>
      </c>
      <c r="L1793">
        <v>284.2079</v>
      </c>
      <c r="M1793">
        <v>-0.99974160000000001</v>
      </c>
      <c r="N1793">
        <v>-1.487788E-2</v>
      </c>
      <c r="O1793">
        <v>-1.719685E-2</v>
      </c>
      <c r="P1793">
        <v>-0.98927370000000003</v>
      </c>
      <c r="Q1793">
        <v>0.11746429999999999</v>
      </c>
      <c r="R1793">
        <v>-8.6834090000000003E-2</v>
      </c>
      <c r="S1793">
        <v>-3.0468139999999999</v>
      </c>
      <c r="T1793">
        <v>-2.310622E-2</v>
      </c>
      <c r="U1793">
        <v>0.131683299999999</v>
      </c>
      <c r="V1793">
        <v>-6.969011E-2</v>
      </c>
      <c r="W1793">
        <v>0.13225110000000001</v>
      </c>
      <c r="X1793">
        <v>0.98876330000000001</v>
      </c>
      <c r="Y1793">
        <v>6.0350439999999998E-2</v>
      </c>
      <c r="Z1793">
        <v>5.5255159999999996E-4</v>
      </c>
      <c r="AA1793">
        <v>0.99817710000000004</v>
      </c>
      <c r="AB1793">
        <v>49</v>
      </c>
      <c r="AC1793">
        <v>-135.41789999999901</v>
      </c>
      <c r="AD1793">
        <v>-1.0292873299999901</v>
      </c>
      <c r="AE1793">
        <v>5.8713000000000104</v>
      </c>
      <c r="AF1793">
        <v>8.1989774788794598</v>
      </c>
      <c r="AG1793">
        <v>-1.0292873299999901</v>
      </c>
      <c r="AH1793">
        <v>135.28909006584701</v>
      </c>
      <c r="AI1793">
        <v>90.435102986182798</v>
      </c>
      <c r="AJ1793">
        <v>86.531923199434502</v>
      </c>
      <c r="AK1793">
        <v>135.54121349224999</v>
      </c>
      <c r="AL1793">
        <v>82.400305521526107</v>
      </c>
      <c r="AM1793">
        <v>94.031659403208195</v>
      </c>
      <c r="AN1793">
        <v>0.99999996415495496</v>
      </c>
    </row>
    <row r="1794" spans="1:40" x14ac:dyDescent="0.25">
      <c r="A1794" t="str">
        <f>"20190305135826957"</f>
        <v>20190305135826957</v>
      </c>
      <c r="B1794" t="str">
        <f>"1551765506950096"</f>
        <v>1551765506950096</v>
      </c>
      <c r="C1794" t="s">
        <v>40</v>
      </c>
      <c r="D1794">
        <v>4.1261850000000004</v>
      </c>
      <c r="E1794">
        <v>0.54820909999999901</v>
      </c>
      <c r="F1794" t="s">
        <v>60</v>
      </c>
      <c r="G1794">
        <v>-538.86950000000002</v>
      </c>
      <c r="H1794">
        <v>2.3235080000000002E-2</v>
      </c>
      <c r="I1794">
        <v>294.55</v>
      </c>
      <c r="J1794">
        <v>-308.00990000000002</v>
      </c>
      <c r="K1794">
        <v>1.1092660000000001</v>
      </c>
      <c r="L1794">
        <v>284.2013</v>
      </c>
      <c r="M1794">
        <v>-0.99974669999999999</v>
      </c>
      <c r="N1794">
        <v>-1.4880590000000001E-2</v>
      </c>
      <c r="O1794">
        <v>-1.688396E-2</v>
      </c>
      <c r="P1794">
        <v>-0.98935580000000001</v>
      </c>
      <c r="Q1794">
        <v>0.1171494</v>
      </c>
      <c r="R1794">
        <v>-8.6319789999999993E-2</v>
      </c>
      <c r="S1794">
        <v>-3.046173</v>
      </c>
      <c r="T1794">
        <v>-1.430476E-2</v>
      </c>
      <c r="U1794">
        <v>0.1362305</v>
      </c>
      <c r="V1794">
        <v>-6.9475149999999999E-2</v>
      </c>
      <c r="W1794">
        <v>0.13194429999999999</v>
      </c>
      <c r="X1794">
        <v>0.98881940000000002</v>
      </c>
      <c r="Y1794">
        <v>6.1536090000000002E-2</v>
      </c>
      <c r="Z1794">
        <v>4.3065559999999999E-4</v>
      </c>
      <c r="AA1794">
        <v>0.99810480000000001</v>
      </c>
      <c r="AB1794">
        <v>49</v>
      </c>
      <c r="AC1794">
        <v>-230.8596</v>
      </c>
      <c r="AD1794">
        <v>-1.08603092</v>
      </c>
      <c r="AE1794">
        <v>10.348699999999999</v>
      </c>
      <c r="AF1794">
        <v>14.245165852335299</v>
      </c>
      <c r="AG1794">
        <v>-1.08603092</v>
      </c>
      <c r="AH1794">
        <v>230.64684456007001</v>
      </c>
      <c r="AI1794">
        <v>90.269269628248495</v>
      </c>
      <c r="AJ1794">
        <v>86.465798335287403</v>
      </c>
      <c r="AK1794">
        <v>231.08888142625401</v>
      </c>
      <c r="AL1794">
        <v>82.418039167847994</v>
      </c>
      <c r="AM1794">
        <v>94.019037236774906</v>
      </c>
      <c r="AN1794">
        <v>0.999999950293185</v>
      </c>
    </row>
    <row r="1795" spans="1:40" x14ac:dyDescent="0.25">
      <c r="A1795" t="str">
        <f>"20190305135826973"</f>
        <v>20190305135826973</v>
      </c>
      <c r="B1795" t="str">
        <f>"1551765506960832"</f>
        <v>1551765506960832</v>
      </c>
      <c r="C1795" t="s">
        <v>40</v>
      </c>
      <c r="D1795">
        <v>4.1374230000000001</v>
      </c>
      <c r="E1795">
        <v>0.548127699999999</v>
      </c>
      <c r="F1795" t="s">
        <v>60</v>
      </c>
      <c r="G1795">
        <v>-535.18769999999995</v>
      </c>
      <c r="H1795">
        <v>0.41291660000000002</v>
      </c>
      <c r="I1795">
        <v>294.55</v>
      </c>
      <c r="J1795">
        <v>-308.34109999999998</v>
      </c>
      <c r="K1795">
        <v>1.1092489999999999</v>
      </c>
      <c r="L1795">
        <v>284.19589999999999</v>
      </c>
      <c r="M1795">
        <v>-0.99975119999999895</v>
      </c>
      <c r="N1795">
        <v>-1.4882350000000001E-2</v>
      </c>
      <c r="O1795">
        <v>-1.662114E-2</v>
      </c>
      <c r="P1795">
        <v>-0.9893537</v>
      </c>
      <c r="Q1795">
        <v>0.11731850000000001</v>
      </c>
      <c r="R1795">
        <v>-8.6114620000000003E-2</v>
      </c>
      <c r="S1795">
        <v>-3.0455019999999999</v>
      </c>
      <c r="T1795">
        <v>-9.3339679999999998E-3</v>
      </c>
      <c r="U1795">
        <v>0.13873289999999999</v>
      </c>
      <c r="V1795">
        <v>-6.9524450000000002E-2</v>
      </c>
      <c r="W1795">
        <v>0.13211879999999901</v>
      </c>
      <c r="X1795">
        <v>0.98879269999999997</v>
      </c>
      <c r="Y1795">
        <v>6.2102810000000001E-2</v>
      </c>
      <c r="Z1795">
        <v>3.6119039999999998E-4</v>
      </c>
      <c r="AA1795">
        <v>0.99806969999999995</v>
      </c>
      <c r="AB1795">
        <v>49</v>
      </c>
      <c r="AC1795">
        <v>-226.8466</v>
      </c>
      <c r="AD1795">
        <v>-0.69633239999999996</v>
      </c>
      <c r="AE1795">
        <v>10.354100000000001</v>
      </c>
      <c r="AF1795">
        <v>14.123402879987299</v>
      </c>
      <c r="AG1795">
        <v>-0.69633239999999996</v>
      </c>
      <c r="AH1795">
        <v>226.64100923159199</v>
      </c>
      <c r="AI1795">
        <v>90.175694336641399</v>
      </c>
      <c r="AJ1795">
        <v>86.434156634090897</v>
      </c>
      <c r="AK1795">
        <v>227.08170875972399</v>
      </c>
      <c r="AL1795">
        <v>82.407953246709496</v>
      </c>
      <c r="AM1795">
        <v>94.021988059812301</v>
      </c>
      <c r="AN1795">
        <v>1.0000000150172601</v>
      </c>
    </row>
    <row r="1796" spans="1:40" x14ac:dyDescent="0.25">
      <c r="A1796" t="str">
        <f>"20190305135826993"</f>
        <v>20190305135826993</v>
      </c>
      <c r="B1796" t="str">
        <f>"1551765506980352"</f>
        <v>1551765506980352</v>
      </c>
      <c r="C1796" t="s">
        <v>40</v>
      </c>
      <c r="D1796">
        <v>4.1655559999999996</v>
      </c>
      <c r="E1796">
        <v>0.54787240000000004</v>
      </c>
      <c r="F1796" t="s">
        <v>60</v>
      </c>
      <c r="G1796">
        <v>-536.06830000000002</v>
      </c>
      <c r="H1796">
        <v>0.55174639999999997</v>
      </c>
      <c r="I1796">
        <v>294.55</v>
      </c>
      <c r="J1796">
        <v>-308.7629</v>
      </c>
      <c r="K1796">
        <v>1.109227</v>
      </c>
      <c r="L1796">
        <v>284.1891</v>
      </c>
      <c r="M1796">
        <v>-0.9997566</v>
      </c>
      <c r="N1796">
        <v>-1.4884120000000001E-2</v>
      </c>
      <c r="O1796">
        <v>-1.6285689999999999E-2</v>
      </c>
      <c r="P1796">
        <v>-0.98934829999999996</v>
      </c>
      <c r="Q1796">
        <v>0.1174629</v>
      </c>
      <c r="R1796">
        <v>-8.5980440000000005E-2</v>
      </c>
      <c r="S1796">
        <v>-3.0452270000000001</v>
      </c>
      <c r="T1796">
        <v>-7.4539180000000003E-3</v>
      </c>
      <c r="U1796">
        <v>0.13845829999999901</v>
      </c>
      <c r="V1796">
        <v>-6.9714929999999994E-2</v>
      </c>
      <c r="W1796">
        <v>0.13226859999999999</v>
      </c>
      <c r="X1796">
        <v>0.98875919999999895</v>
      </c>
      <c r="Y1796">
        <v>6.1682479999999998E-2</v>
      </c>
      <c r="Z1796">
        <v>3.3233520000000002E-4</v>
      </c>
      <c r="AA1796">
        <v>0.99809579999999998</v>
      </c>
      <c r="AB1796">
        <v>49</v>
      </c>
      <c r="AC1796">
        <v>-227.30539999999999</v>
      </c>
      <c r="AD1796">
        <v>-0.55748059999999999</v>
      </c>
      <c r="AE1796">
        <v>10.360900000000001</v>
      </c>
      <c r="AF1796">
        <v>14.0616765764166</v>
      </c>
      <c r="AG1796">
        <v>-0.55748059999999999</v>
      </c>
      <c r="AH1796">
        <v>227.10513161570799</v>
      </c>
      <c r="AI1796">
        <v>90.140376265599599</v>
      </c>
      <c r="AJ1796">
        <v>86.456938247651806</v>
      </c>
      <c r="AK1796">
        <v>227.54072676984001</v>
      </c>
      <c r="AL1796">
        <v>82.399293887307905</v>
      </c>
      <c r="AM1796">
        <v>94.033107202028603</v>
      </c>
      <c r="AN1796">
        <v>0.99999995479775095</v>
      </c>
    </row>
    <row r="1797" spans="1:40" x14ac:dyDescent="0.25">
      <c r="A1797" t="str">
        <f>"20190305135827014"</f>
        <v>20190305135827014</v>
      </c>
      <c r="B1797" t="str">
        <f>"1551765507000849"</f>
        <v>1551765507000849</v>
      </c>
      <c r="C1797" t="s">
        <v>40</v>
      </c>
      <c r="D1797">
        <v>4.1409200000000004</v>
      </c>
      <c r="E1797">
        <v>0.54795509999999903</v>
      </c>
      <c r="F1797" t="s">
        <v>60</v>
      </c>
      <c r="G1797">
        <v>-540.01850000000002</v>
      </c>
      <c r="H1797">
        <v>0.74161089999999996</v>
      </c>
      <c r="I1797">
        <v>294.55</v>
      </c>
      <c r="J1797">
        <v>-309.24380000000002</v>
      </c>
      <c r="K1797">
        <v>1.1092109999999999</v>
      </c>
      <c r="L1797">
        <v>284.18150000000003</v>
      </c>
      <c r="M1797">
        <v>-0.99976279999999995</v>
      </c>
      <c r="N1797">
        <v>-1.4885509999999999E-2</v>
      </c>
      <c r="O1797">
        <v>-1.5902099999999999E-2</v>
      </c>
      <c r="P1797">
        <v>-0.98935189999999995</v>
      </c>
      <c r="Q1797">
        <v>0.1176436</v>
      </c>
      <c r="R1797">
        <v>-8.5690769999999999E-2</v>
      </c>
      <c r="S1797">
        <v>-3.0447389999999999</v>
      </c>
      <c r="T1797">
        <v>-4.8389430000000001E-3</v>
      </c>
      <c r="U1797">
        <v>0.1364136</v>
      </c>
      <c r="V1797">
        <v>-6.9798059999999995E-2</v>
      </c>
      <c r="W1797">
        <v>0.13245390000000001</v>
      </c>
      <c r="X1797">
        <v>0.98872859999999996</v>
      </c>
      <c r="Y1797">
        <v>6.0638200000000003E-2</v>
      </c>
      <c r="Z1797">
        <v>2.8839959999999999E-4</v>
      </c>
      <c r="AA1797">
        <v>0.99815980000000004</v>
      </c>
      <c r="AB1797">
        <v>49</v>
      </c>
      <c r="AC1797">
        <v>-230.7747</v>
      </c>
      <c r="AD1797">
        <v>-0.36760009999999999</v>
      </c>
      <c r="AE1797">
        <v>10.3684999999999</v>
      </c>
      <c r="AF1797">
        <v>14.037361899059301</v>
      </c>
      <c r="AG1797">
        <v>-0.36760009999999999</v>
      </c>
      <c r="AH1797">
        <v>230.58002984780401</v>
      </c>
      <c r="AI1797">
        <v>90.091174395906606</v>
      </c>
      <c r="AJ1797">
        <v>86.516219596868794</v>
      </c>
      <c r="AK1797">
        <v>231.007213791113</v>
      </c>
      <c r="AL1797">
        <v>82.388583271952399</v>
      </c>
      <c r="AM1797">
        <v>94.038025046357404</v>
      </c>
      <c r="AN1797">
        <v>1.00000002463146</v>
      </c>
    </row>
    <row r="1798" spans="1:40" x14ac:dyDescent="0.25">
      <c r="A1798" t="str">
        <f>"20190305135827036"</f>
        <v>20190305135827036</v>
      </c>
      <c r="B1798" t="str">
        <f>"1551765507030129"</f>
        <v>1551765507030129</v>
      </c>
      <c r="C1798" t="s">
        <v>40</v>
      </c>
      <c r="D1798">
        <v>4.136361</v>
      </c>
      <c r="E1798">
        <v>0.54834269999999996</v>
      </c>
      <c r="F1798" t="s">
        <v>60</v>
      </c>
      <c r="G1798">
        <v>-538.17660000000001</v>
      </c>
      <c r="H1798">
        <v>0.61009690000000005</v>
      </c>
      <c r="I1798">
        <v>294.55</v>
      </c>
      <c r="J1798">
        <v>-309.72140000000002</v>
      </c>
      <c r="K1798">
        <v>1.1091839999999999</v>
      </c>
      <c r="L1798">
        <v>284.17410000000001</v>
      </c>
      <c r="M1798">
        <v>-0.99976880000000001</v>
      </c>
      <c r="N1798">
        <v>-1.488625E-2</v>
      </c>
      <c r="O1798">
        <v>-1.552047E-2</v>
      </c>
      <c r="P1798">
        <v>-0.9893767</v>
      </c>
      <c r="Q1798">
        <v>0.11754389999999899</v>
      </c>
      <c r="R1798">
        <v>-8.5540640000000001E-2</v>
      </c>
      <c r="S1798">
        <v>-3.0449830000000002</v>
      </c>
      <c r="T1798">
        <v>-6.6374540000000001E-3</v>
      </c>
      <c r="U1798">
        <v>0.1379089</v>
      </c>
      <c r="V1798">
        <v>-7.0020089999999993E-2</v>
      </c>
      <c r="W1798">
        <v>0.1323579</v>
      </c>
      <c r="X1798">
        <v>0.98872570000000004</v>
      </c>
      <c r="Y1798">
        <v>6.0742629999999999E-2</v>
      </c>
      <c r="Z1798">
        <v>3.2143710000000003E-4</v>
      </c>
      <c r="AA1798">
        <v>0.99815339999999997</v>
      </c>
      <c r="AB1798">
        <v>49</v>
      </c>
      <c r="AC1798">
        <v>-228.45519999999999</v>
      </c>
      <c r="AD1798">
        <v>-0.49908709999999901</v>
      </c>
      <c r="AE1798">
        <v>10.3759</v>
      </c>
      <c r="AF1798">
        <v>13.920708412911001</v>
      </c>
      <c r="AG1798">
        <v>-0.49908709999999901</v>
      </c>
      <c r="AH1798">
        <v>228.265532686879</v>
      </c>
      <c r="AI1798">
        <v>90.125040829557804</v>
      </c>
      <c r="AJ1798">
        <v>86.510155345506703</v>
      </c>
      <c r="AK1798">
        <v>228.69015856279299</v>
      </c>
      <c r="AL1798">
        <v>82.394132093374395</v>
      </c>
      <c r="AM1798">
        <v>94.050839288829806</v>
      </c>
      <c r="AN1798">
        <v>0.99999996826825299</v>
      </c>
    </row>
    <row r="1799" spans="1:40" x14ac:dyDescent="0.25">
      <c r="A1799" t="str">
        <f>"20190305135827058"</f>
        <v>20190305135827058</v>
      </c>
      <c r="B1799" t="str">
        <f>"1551765507050624"</f>
        <v>1551765507050624</v>
      </c>
      <c r="C1799" t="s">
        <v>40</v>
      </c>
      <c r="D1799">
        <v>4.1351699999999996</v>
      </c>
      <c r="E1799">
        <v>0.54855969999999998</v>
      </c>
      <c r="F1799" t="s">
        <v>60</v>
      </c>
      <c r="G1799">
        <v>-533.2405</v>
      </c>
      <c r="H1799">
        <v>0.25383109999999998</v>
      </c>
      <c r="I1799">
        <v>294.55</v>
      </c>
      <c r="J1799">
        <v>-310.20100000000002</v>
      </c>
      <c r="K1799">
        <v>1.109165</v>
      </c>
      <c r="L1799">
        <v>284.16699999999997</v>
      </c>
      <c r="M1799">
        <v>-0.99977479999999996</v>
      </c>
      <c r="N1799">
        <v>-1.4886450000000001E-2</v>
      </c>
      <c r="O1799">
        <v>-1.5136159999999999E-2</v>
      </c>
      <c r="P1799">
        <v>-0.98952870000000004</v>
      </c>
      <c r="Q1799">
        <v>0.11671090000000001</v>
      </c>
      <c r="R1799">
        <v>-8.4922339999999999E-2</v>
      </c>
      <c r="S1799">
        <v>-3.0458069999999999</v>
      </c>
      <c r="T1799">
        <v>-1.1654380000000001E-2</v>
      </c>
      <c r="U1799">
        <v>0.14138789999999901</v>
      </c>
      <c r="V1799">
        <v>-6.9776560000000001E-2</v>
      </c>
      <c r="W1799">
        <v>0.13152929999999999</v>
      </c>
      <c r="X1799">
        <v>0.98885350000000005</v>
      </c>
      <c r="Y1799">
        <v>6.1483709999999997E-2</v>
      </c>
      <c r="Z1799">
        <v>4.0816730000000002E-4</v>
      </c>
      <c r="AA1799">
        <v>0.998108</v>
      </c>
      <c r="AB1799">
        <v>49</v>
      </c>
      <c r="AC1799">
        <v>-223.0395</v>
      </c>
      <c r="AD1799">
        <v>-0.85533389999999998</v>
      </c>
      <c r="AE1799">
        <v>10.3829999999999</v>
      </c>
      <c r="AF1799">
        <v>13.7579434648893</v>
      </c>
      <c r="AG1799">
        <v>-0.85533389999999998</v>
      </c>
      <c r="AH1799">
        <v>222.85349690079599</v>
      </c>
      <c r="AI1799">
        <v>90.219487963618604</v>
      </c>
      <c r="AJ1799">
        <v>86.467307201943697</v>
      </c>
      <c r="AK1799">
        <v>223.27940721297301</v>
      </c>
      <c r="AL1799">
        <v>82.442026231306897</v>
      </c>
      <c r="AM1799">
        <v>94.036277127779798</v>
      </c>
      <c r="AN1799">
        <v>0.99999998477308605</v>
      </c>
    </row>
    <row r="1800" spans="1:40" x14ac:dyDescent="0.25">
      <c r="A1800" t="str">
        <f>"20190305135827080"</f>
        <v>20190305135827080</v>
      </c>
      <c r="B1800" t="str">
        <f>"1551765507070144"</f>
        <v>1551765507070144</v>
      </c>
      <c r="C1800" t="s">
        <v>40</v>
      </c>
      <c r="D1800">
        <v>4.5491149999999996</v>
      </c>
      <c r="E1800">
        <v>0.54865839999999999</v>
      </c>
      <c r="F1800" t="s">
        <v>60</v>
      </c>
      <c r="G1800">
        <v>-510.95359999999999</v>
      </c>
      <c r="H1800">
        <v>6.5294149999999995E-2</v>
      </c>
      <c r="I1800">
        <v>293.74259999999998</v>
      </c>
      <c r="J1800">
        <v>-310.6902</v>
      </c>
      <c r="K1800">
        <v>1.109154</v>
      </c>
      <c r="L1800">
        <v>284.15980000000002</v>
      </c>
      <c r="M1800">
        <v>-0.99978049999999996</v>
      </c>
      <c r="N1800">
        <v>-1.4886160000000001E-2</v>
      </c>
      <c r="O1800">
        <v>-1.474106E-2</v>
      </c>
      <c r="P1800">
        <v>-0.98963889999999999</v>
      </c>
      <c r="Q1800">
        <v>0.1163091</v>
      </c>
      <c r="R1800">
        <v>-8.418436E-2</v>
      </c>
      <c r="S1800">
        <v>-3.0460820000000002</v>
      </c>
      <c r="T1800">
        <v>-1.5837670000000002E-2</v>
      </c>
      <c r="U1800">
        <v>0.14529420000000001</v>
      </c>
      <c r="V1800">
        <v>-6.9425669999999995E-2</v>
      </c>
      <c r="W1800">
        <v>0.13112989999999999</v>
      </c>
      <c r="X1800">
        <v>0.98893120000000001</v>
      </c>
      <c r="Y1800">
        <v>6.2361390000000003E-2</v>
      </c>
      <c r="Z1800">
        <v>4.837787E-4</v>
      </c>
      <c r="AA1800">
        <v>0.99805350000000004</v>
      </c>
      <c r="AB1800">
        <v>49</v>
      </c>
      <c r="AC1800">
        <v>-200.26339999999999</v>
      </c>
      <c r="AD1800">
        <v>-1.04385985</v>
      </c>
      <c r="AE1800">
        <v>9.5827999999999598</v>
      </c>
      <c r="AF1800">
        <v>12.533840806864101</v>
      </c>
      <c r="AG1800">
        <v>-1.04385985</v>
      </c>
      <c r="AH1800">
        <v>200.094935147954</v>
      </c>
      <c r="AI1800">
        <v>90.298314560674001</v>
      </c>
      <c r="AJ1800">
        <v>86.415705711262902</v>
      </c>
      <c r="AK1800">
        <v>200.48982488052201</v>
      </c>
      <c r="AL1800">
        <v>82.465109809772201</v>
      </c>
      <c r="AM1800">
        <v>94.015731710643294</v>
      </c>
      <c r="AN1800">
        <v>0.99999994633119804</v>
      </c>
    </row>
    <row r="1801" spans="1:40" x14ac:dyDescent="0.25">
      <c r="A1801" t="str">
        <f>"20190305135827104"</f>
        <v>20190305135827104</v>
      </c>
      <c r="B1801" t="str">
        <f>"1551765507100401"</f>
        <v>1551765507100401</v>
      </c>
      <c r="C1801" t="s">
        <v>40</v>
      </c>
      <c r="D1801">
        <v>4.1086080000000003</v>
      </c>
      <c r="E1801">
        <v>0.54863519999999999</v>
      </c>
      <c r="F1801" t="s">
        <v>60</v>
      </c>
      <c r="G1801">
        <v>-510.95359999999999</v>
      </c>
      <c r="H1801">
        <v>5.2196800000000002E-2</v>
      </c>
      <c r="I1801">
        <v>293.90929999999997</v>
      </c>
      <c r="J1801">
        <v>-311.21100000000001</v>
      </c>
      <c r="K1801">
        <v>1.1091340000000001</v>
      </c>
      <c r="L1801">
        <v>284.1524</v>
      </c>
      <c r="M1801">
        <v>-0.99978679999999998</v>
      </c>
      <c r="N1801">
        <v>-1.488542E-2</v>
      </c>
      <c r="O1801">
        <v>-1.4316999999999899E-2</v>
      </c>
      <c r="P1801">
        <v>-0.9897205</v>
      </c>
      <c r="Q1801">
        <v>0.1163737</v>
      </c>
      <c r="R1801">
        <v>-8.3132670000000006E-2</v>
      </c>
      <c r="S1801">
        <v>-3.0458980000000002</v>
      </c>
      <c r="T1801">
        <v>-1.6074419999999999E-2</v>
      </c>
      <c r="U1801">
        <v>0.1482849</v>
      </c>
      <c r="V1801">
        <v>-6.8789399999999903E-2</v>
      </c>
      <c r="W1801">
        <v>0.13119510000000001</v>
      </c>
      <c r="X1801">
        <v>0.98896709999999999</v>
      </c>
      <c r="Y1801">
        <v>6.2918539999999995E-2</v>
      </c>
      <c r="Z1801">
        <v>4.9704989999999896E-4</v>
      </c>
      <c r="AA1801">
        <v>0.99801859999999998</v>
      </c>
      <c r="AB1801">
        <v>49</v>
      </c>
      <c r="AC1801">
        <v>-199.74260000000001</v>
      </c>
      <c r="AD1801">
        <v>-1.0569371999999999</v>
      </c>
      <c r="AE1801">
        <v>9.7568999999999697</v>
      </c>
      <c r="AF1801">
        <v>12.6155787610701</v>
      </c>
      <c r="AG1801">
        <v>-1.0569371999999999</v>
      </c>
      <c r="AH1801">
        <v>199.576843311077</v>
      </c>
      <c r="AI1801">
        <v>90.302824977894701</v>
      </c>
      <c r="AJ1801">
        <v>86.383052348004199</v>
      </c>
      <c r="AK1801">
        <v>199.977964610443</v>
      </c>
      <c r="AL1801">
        <v>82.461342207544703</v>
      </c>
      <c r="AM1801">
        <v>93.978903256212703</v>
      </c>
      <c r="AN1801">
        <v>1.0000000303493799</v>
      </c>
    </row>
    <row r="1802" spans="1:40" x14ac:dyDescent="0.25">
      <c r="A1802" t="str">
        <f>"20190305135827118"</f>
        <v>20190305135827118</v>
      </c>
      <c r="B1802" t="str">
        <f>"1551765507110160"</f>
        <v>1551765507110160</v>
      </c>
      <c r="C1802" t="s">
        <v>40</v>
      </c>
      <c r="D1802">
        <v>4.1145509999999996</v>
      </c>
      <c r="E1802">
        <v>0.54868879999999998</v>
      </c>
      <c r="F1802" t="s">
        <v>60</v>
      </c>
      <c r="G1802">
        <v>-510.95370000000003</v>
      </c>
      <c r="H1802">
        <v>0.2577468</v>
      </c>
      <c r="I1802">
        <v>294.09219999999999</v>
      </c>
      <c r="J1802">
        <v>-311.55099999999999</v>
      </c>
      <c r="K1802">
        <v>1.1091299999999999</v>
      </c>
      <c r="L1802">
        <v>284.14769999999999</v>
      </c>
      <c r="M1802">
        <v>-0.99979079999999998</v>
      </c>
      <c r="N1802">
        <v>-1.488474E-2</v>
      </c>
      <c r="O1802">
        <v>-1.403772E-2</v>
      </c>
      <c r="P1802">
        <v>-0.98973949999999999</v>
      </c>
      <c r="Q1802">
        <v>0.1165022</v>
      </c>
      <c r="R1802">
        <v>-8.2721199999999995E-2</v>
      </c>
      <c r="S1802">
        <v>-3.0454409999999998</v>
      </c>
      <c r="T1802">
        <v>-1.2979630000000001E-2</v>
      </c>
      <c r="U1802">
        <v>0.1515503</v>
      </c>
      <c r="V1802">
        <v>-6.8652399999999905E-2</v>
      </c>
      <c r="W1802">
        <v>0.13132369999999999</v>
      </c>
      <c r="X1802">
        <v>0.98895949999999999</v>
      </c>
      <c r="Y1802">
        <v>6.3715149999999998E-2</v>
      </c>
      <c r="Z1802">
        <v>4.6118830000000001E-4</v>
      </c>
      <c r="AA1802">
        <v>0.99796799999999997</v>
      </c>
      <c r="AB1802">
        <v>49</v>
      </c>
      <c r="AC1802">
        <v>-199.40270000000001</v>
      </c>
      <c r="AD1802">
        <v>-0.85138319999999901</v>
      </c>
      <c r="AE1802">
        <v>9.9444999999999997</v>
      </c>
      <c r="AF1802">
        <v>12.7427572367199</v>
      </c>
      <c r="AG1802">
        <v>-0.85138319999999901</v>
      </c>
      <c r="AH1802">
        <v>199.239811077963</v>
      </c>
      <c r="AI1802">
        <v>90.244333226133605</v>
      </c>
      <c r="AJ1802">
        <v>86.340524789923904</v>
      </c>
      <c r="AK1802">
        <v>199.648704062234</v>
      </c>
      <c r="AL1802">
        <v>82.4539092780564</v>
      </c>
      <c r="AM1802">
        <v>93.971034724458406</v>
      </c>
      <c r="AN1802">
        <v>0.99999997942384899</v>
      </c>
    </row>
    <row r="1803" spans="1:40" x14ac:dyDescent="0.25">
      <c r="A1803" t="str">
        <f>"20190305135827136"</f>
        <v>20190305135827136</v>
      </c>
      <c r="B1803" t="str">
        <f>"1551765507130657"</f>
        <v>1551765507130657</v>
      </c>
      <c r="C1803" t="s">
        <v>40</v>
      </c>
      <c r="D1803">
        <v>4.1402519999999896</v>
      </c>
      <c r="E1803">
        <v>0.54893019999999904</v>
      </c>
      <c r="F1803" t="s">
        <v>60</v>
      </c>
      <c r="G1803">
        <v>-510.95370000000003</v>
      </c>
      <c r="H1803">
        <v>0.31697409999999998</v>
      </c>
      <c r="I1803">
        <v>294.17079999999999</v>
      </c>
      <c r="J1803">
        <v>-311.92419999999998</v>
      </c>
      <c r="K1803">
        <v>1.1091230000000001</v>
      </c>
      <c r="L1803">
        <v>284.14269999999999</v>
      </c>
      <c r="M1803">
        <v>-0.99979499999999999</v>
      </c>
      <c r="N1803">
        <v>-1.488386E-2</v>
      </c>
      <c r="O1803">
        <v>-1.372756E-2</v>
      </c>
      <c r="P1803">
        <v>-0.98980959999999996</v>
      </c>
      <c r="Q1803">
        <v>0.11655169999999999</v>
      </c>
      <c r="R1803">
        <v>-8.1810270000000004E-2</v>
      </c>
      <c r="S1803">
        <v>-3.0453489999999999</v>
      </c>
      <c r="T1803">
        <v>-1.209676E-2</v>
      </c>
      <c r="U1803">
        <v>0.1530762</v>
      </c>
      <c r="V1803">
        <v>-6.8045969999999997E-2</v>
      </c>
      <c r="W1803">
        <v>0.1313734</v>
      </c>
      <c r="X1803">
        <v>0.98899479999999995</v>
      </c>
      <c r="Y1803">
        <v>6.3906009999999999E-2</v>
      </c>
      <c r="Z1803">
        <v>4.530693E-4</v>
      </c>
      <c r="AA1803">
        <v>0.99795579999999995</v>
      </c>
      <c r="AB1803">
        <v>49</v>
      </c>
      <c r="AC1803">
        <v>-199.02950000000001</v>
      </c>
      <c r="AD1803">
        <v>-0.79214889999999905</v>
      </c>
      <c r="AE1803">
        <v>10.028099999999901</v>
      </c>
      <c r="AF1803">
        <v>12.759445319932899</v>
      </c>
      <c r="AG1803">
        <v>-0.79214889999999905</v>
      </c>
      <c r="AH1803">
        <v>198.869922926953</v>
      </c>
      <c r="AI1803">
        <v>90.227754001925902</v>
      </c>
      <c r="AJ1803">
        <v>86.328948629856498</v>
      </c>
      <c r="AK1803">
        <v>199.280398408183</v>
      </c>
      <c r="AL1803">
        <v>82.451036714707499</v>
      </c>
      <c r="AM1803">
        <v>93.935927922445899</v>
      </c>
      <c r="AN1803">
        <v>0.99999996934391999</v>
      </c>
    </row>
    <row r="1804" spans="1:40" x14ac:dyDescent="0.25">
      <c r="A1804" t="str">
        <f>"20190305135827158"</f>
        <v>20190305135827158</v>
      </c>
      <c r="B1804" t="str">
        <f>"1551765507150176"</f>
        <v>1551765507150176</v>
      </c>
      <c r="C1804" t="s">
        <v>40</v>
      </c>
      <c r="D1804">
        <v>4.0762989999999997</v>
      </c>
      <c r="E1804">
        <v>0.54902890000000004</v>
      </c>
      <c r="F1804" t="s">
        <v>60</v>
      </c>
      <c r="G1804">
        <v>-510.95370000000003</v>
      </c>
      <c r="H1804">
        <v>0.2295845</v>
      </c>
      <c r="I1804">
        <v>294.46350000000001</v>
      </c>
      <c r="J1804">
        <v>-312.40039999999999</v>
      </c>
      <c r="K1804">
        <v>1.1091200000000001</v>
      </c>
      <c r="L1804">
        <v>284.13650000000001</v>
      </c>
      <c r="M1804">
        <v>-0.99980060000000004</v>
      </c>
      <c r="N1804">
        <v>-1.488271E-2</v>
      </c>
      <c r="O1804">
        <v>-1.33239E-2</v>
      </c>
      <c r="P1804">
        <v>-0.98999700000000002</v>
      </c>
      <c r="Q1804">
        <v>0.11605699999999999</v>
      </c>
      <c r="R1804">
        <v>-8.0230570000000001E-2</v>
      </c>
      <c r="S1804">
        <v>-3.0455320000000001</v>
      </c>
      <c r="T1804">
        <v>-1.34572999999999E-2</v>
      </c>
      <c r="U1804">
        <v>0.1579285</v>
      </c>
      <c r="V1804">
        <v>-6.6861909999999997E-2</v>
      </c>
      <c r="W1804">
        <v>0.13087939999999901</v>
      </c>
      <c r="X1804">
        <v>0.98914100000000005</v>
      </c>
      <c r="Y1804">
        <v>6.5085589999999999E-2</v>
      </c>
      <c r="Z1804">
        <v>4.8906199999999996E-4</v>
      </c>
      <c r="AA1804">
        <v>0.99787959999999998</v>
      </c>
      <c r="AB1804">
        <v>49</v>
      </c>
      <c r="AC1804">
        <v>-198.55330000000001</v>
      </c>
      <c r="AD1804">
        <v>-0.87953550000000003</v>
      </c>
      <c r="AE1804">
        <v>10.3269999999999</v>
      </c>
      <c r="AF1804">
        <v>12.971626251464301</v>
      </c>
      <c r="AG1804">
        <v>-0.87953550000000003</v>
      </c>
      <c r="AH1804">
        <v>198.39417749093701</v>
      </c>
      <c r="AI1804">
        <v>90.253464963582303</v>
      </c>
      <c r="AJ1804">
        <v>86.259148932662399</v>
      </c>
      <c r="AK1804">
        <v>198.819733257563</v>
      </c>
      <c r="AL1804">
        <v>82.479587012382794</v>
      </c>
      <c r="AM1804">
        <v>93.867079071603499</v>
      </c>
      <c r="AN1804">
        <v>0.99999992511710101</v>
      </c>
    </row>
    <row r="1805" spans="1:40" x14ac:dyDescent="0.25">
      <c r="A1805" t="str">
        <f>"20190305135827173"</f>
        <v>20190305135827173</v>
      </c>
      <c r="B1805" t="str">
        <f>"1551765507160912"</f>
        <v>1551765507160912</v>
      </c>
      <c r="C1805" t="s">
        <v>40</v>
      </c>
      <c r="D1805">
        <v>4.0956989999999998</v>
      </c>
      <c r="E1805">
        <v>0.54905329999999997</v>
      </c>
      <c r="F1805" t="s">
        <v>60</v>
      </c>
      <c r="G1805">
        <v>-510.95359999999999</v>
      </c>
      <c r="H1805">
        <v>6.5623940000000006E-2</v>
      </c>
      <c r="I1805">
        <v>294.80500000000001</v>
      </c>
      <c r="J1805">
        <v>-312.71910000000003</v>
      </c>
      <c r="K1805">
        <v>1.1091139999999999</v>
      </c>
      <c r="L1805">
        <v>284.13240000000002</v>
      </c>
      <c r="M1805">
        <v>-0.99980429999999998</v>
      </c>
      <c r="N1805">
        <v>-1.4881729999999999E-2</v>
      </c>
      <c r="O1805">
        <v>-1.3042659999999999E-2</v>
      </c>
      <c r="P1805">
        <v>-0.99003669999999999</v>
      </c>
      <c r="Q1805">
        <v>0.1162777</v>
      </c>
      <c r="R1805">
        <v>-7.9417870000000002E-2</v>
      </c>
      <c r="S1805">
        <v>-3.0454409999999998</v>
      </c>
      <c r="T1805">
        <v>-1.6003969999999999E-2</v>
      </c>
      <c r="U1805">
        <v>0.16363529999999901</v>
      </c>
      <c r="V1805">
        <v>-6.6324149999999998E-2</v>
      </c>
      <c r="W1805">
        <v>0.1311001</v>
      </c>
      <c r="X1805">
        <v>0.98914800000000003</v>
      </c>
      <c r="Y1805">
        <v>6.6670460000000001E-2</v>
      </c>
      <c r="Z1805">
        <v>5.4607180000000003E-4</v>
      </c>
      <c r="AA1805">
        <v>0.99777490000000002</v>
      </c>
      <c r="AB1805">
        <v>49</v>
      </c>
      <c r="AC1805">
        <v>-198.2345</v>
      </c>
      <c r="AD1805">
        <v>-1.0434900600000001</v>
      </c>
      <c r="AE1805">
        <v>10.6725999999999</v>
      </c>
      <c r="AF1805">
        <v>13.257116973454799</v>
      </c>
      <c r="AG1805">
        <v>-1.0434900600000001</v>
      </c>
      <c r="AH1805">
        <v>198.07294761728701</v>
      </c>
      <c r="AI1805">
        <v>90.301169650321</v>
      </c>
      <c r="AJ1805">
        <v>86.170877061063194</v>
      </c>
      <c r="AK1805">
        <v>198.51884696359099</v>
      </c>
      <c r="AL1805">
        <v>82.466832101120204</v>
      </c>
      <c r="AM1805">
        <v>93.836042923809401</v>
      </c>
      <c r="AN1805">
        <v>0.99999994749861398</v>
      </c>
    </row>
    <row r="1806" spans="1:40" x14ac:dyDescent="0.25">
      <c r="A1806" t="str">
        <f>"20190305135827193"</f>
        <v>20190305135827193</v>
      </c>
      <c r="B1806" t="str">
        <f>"1551765507180433"</f>
        <v>1551765507180433</v>
      </c>
      <c r="C1806" t="s">
        <v>40</v>
      </c>
      <c r="D1806">
        <v>4.0764379999999996</v>
      </c>
      <c r="E1806">
        <v>0.5491182</v>
      </c>
      <c r="F1806" t="s">
        <v>60</v>
      </c>
      <c r="G1806">
        <v>-510.95359999999999</v>
      </c>
      <c r="H1806">
        <v>0.11182019999999999</v>
      </c>
      <c r="I1806">
        <v>294.96879999999999</v>
      </c>
      <c r="J1806">
        <v>-313.14179999999999</v>
      </c>
      <c r="K1806">
        <v>1.1091009999999999</v>
      </c>
      <c r="L1806">
        <v>284.12720000000002</v>
      </c>
      <c r="M1806">
        <v>-0.99980919999999895</v>
      </c>
      <c r="N1806">
        <v>-1.488044E-2</v>
      </c>
      <c r="O1806">
        <v>-1.2658590000000001E-2</v>
      </c>
      <c r="P1806">
        <v>-0.99008459999999998</v>
      </c>
      <c r="Q1806">
        <v>0.1165799</v>
      </c>
      <c r="R1806">
        <v>-7.8369690000000006E-2</v>
      </c>
      <c r="S1806">
        <v>-3.0453800000000002</v>
      </c>
      <c r="T1806">
        <v>-1.5319589999999999E-2</v>
      </c>
      <c r="U1806">
        <v>0.16647339999999999</v>
      </c>
      <c r="V1806">
        <v>-6.5651249999999994E-2</v>
      </c>
      <c r="W1806">
        <v>0.13140270000000001</v>
      </c>
      <c r="X1806">
        <v>0.98915280000000005</v>
      </c>
      <c r="Y1806">
        <v>6.7215529999999996E-2</v>
      </c>
      <c r="Z1806">
        <v>5.4485549999999997E-4</v>
      </c>
      <c r="AA1806">
        <v>0.99773829999999997</v>
      </c>
      <c r="AB1806">
        <v>49</v>
      </c>
      <c r="AC1806">
        <v>-197.81180000000001</v>
      </c>
      <c r="AD1806">
        <v>-0.99728079999999997</v>
      </c>
      <c r="AE1806">
        <v>10.8415999999999</v>
      </c>
      <c r="AF1806">
        <v>13.344688592119899</v>
      </c>
      <c r="AG1806">
        <v>-0.99728079999999997</v>
      </c>
      <c r="AH1806">
        <v>197.65368383564001</v>
      </c>
      <c r="AI1806">
        <v>90.288432321872506</v>
      </c>
      <c r="AJ1806">
        <v>86.137508159190901</v>
      </c>
      <c r="AK1806">
        <v>198.106168547105</v>
      </c>
      <c r="AL1806">
        <v>82.449343568802703</v>
      </c>
      <c r="AM1806">
        <v>93.797219938534795</v>
      </c>
      <c r="AN1806">
        <v>1.0000000089708401</v>
      </c>
    </row>
    <row r="1807" spans="1:40" x14ac:dyDescent="0.25">
      <c r="A1807" t="str">
        <f>"20190305135827215"</f>
        <v>20190305135827215</v>
      </c>
      <c r="B1807" t="str">
        <f>"1551765507210688"</f>
        <v>1551765507210688</v>
      </c>
      <c r="C1807" t="s">
        <v>40</v>
      </c>
      <c r="D1807">
        <v>4.05192</v>
      </c>
      <c r="E1807">
        <v>0.549149</v>
      </c>
      <c r="F1807" t="s">
        <v>60</v>
      </c>
      <c r="G1807">
        <v>-510.95370000000003</v>
      </c>
      <c r="H1807">
        <v>0.13809630000000001</v>
      </c>
      <c r="I1807">
        <v>295.20819999999998</v>
      </c>
      <c r="J1807">
        <v>-313.62689999999998</v>
      </c>
      <c r="K1807">
        <v>1.109091</v>
      </c>
      <c r="L1807">
        <v>284.12139999999999</v>
      </c>
      <c r="M1807">
        <v>-0.99981500000000001</v>
      </c>
      <c r="N1807">
        <v>-1.487875E-2</v>
      </c>
      <c r="O1807">
        <v>-1.219488E-2</v>
      </c>
      <c r="P1807">
        <v>-0.99004270000000005</v>
      </c>
      <c r="Q1807">
        <v>0.117270899999999</v>
      </c>
      <c r="R1807">
        <v>-7.7865240000000002E-2</v>
      </c>
      <c r="S1807">
        <v>-3.0453190000000001</v>
      </c>
      <c r="T1807">
        <v>-1.49472999999999E-2</v>
      </c>
      <c r="U1807">
        <v>0.1705933</v>
      </c>
      <c r="V1807">
        <v>-6.5599420000000006E-2</v>
      </c>
      <c r="W1807">
        <v>0.13209370000000001</v>
      </c>
      <c r="X1807">
        <v>0.98906419999999995</v>
      </c>
      <c r="Y1807">
        <v>6.8099599999999996E-2</v>
      </c>
      <c r="Z1807">
        <v>5.5255970000000001E-4</v>
      </c>
      <c r="AA1807">
        <v>0.99767839999999997</v>
      </c>
      <c r="AB1807">
        <v>49</v>
      </c>
      <c r="AC1807">
        <v>-197.32679999999999</v>
      </c>
      <c r="AD1807">
        <v>-0.97099469999999999</v>
      </c>
      <c r="AE1807">
        <v>11.086799999999901</v>
      </c>
      <c r="AF1807">
        <v>13.4922926262415</v>
      </c>
      <c r="AG1807">
        <v>-0.97099469999999999</v>
      </c>
      <c r="AH1807">
        <v>197.172147067032</v>
      </c>
      <c r="AI1807">
        <v>90.281498449413306</v>
      </c>
      <c r="AJ1807">
        <v>86.085409617923801</v>
      </c>
      <c r="AK1807">
        <v>197.63562525527399</v>
      </c>
      <c r="AL1807">
        <v>82.409404052843996</v>
      </c>
      <c r="AM1807">
        <v>93.794569782372207</v>
      </c>
      <c r="AN1807">
        <v>1.0000000106028299</v>
      </c>
    </row>
    <row r="1808" spans="1:40" x14ac:dyDescent="0.25">
      <c r="A1808" t="str">
        <f>"20190305135827236"</f>
        <v>20190305135827236</v>
      </c>
      <c r="B1808" t="str">
        <f>"1551765507230209"</f>
        <v>1551765507230209</v>
      </c>
      <c r="C1808" t="s">
        <v>40</v>
      </c>
      <c r="D1808">
        <v>4.049696</v>
      </c>
      <c r="E1808">
        <v>0.54907550000000005</v>
      </c>
      <c r="F1808" t="s">
        <v>60</v>
      </c>
      <c r="G1808">
        <v>-510.95370000000003</v>
      </c>
      <c r="H1808">
        <v>0.27406599999999998</v>
      </c>
      <c r="I1808">
        <v>295.32</v>
      </c>
      <c r="J1808">
        <v>-314.0881</v>
      </c>
      <c r="K1808">
        <v>1.1090799999999901</v>
      </c>
      <c r="L1808">
        <v>284.11610000000002</v>
      </c>
      <c r="M1808">
        <v>-0.99982070000000001</v>
      </c>
      <c r="N1808">
        <v>-1.4877100000000001E-2</v>
      </c>
      <c r="O1808">
        <v>-1.172168E-2</v>
      </c>
      <c r="P1808">
        <v>-0.9899791</v>
      </c>
      <c r="Q1808">
        <v>0.1179296</v>
      </c>
      <c r="R1808">
        <v>-7.7679559999999995E-2</v>
      </c>
      <c r="S1808">
        <v>-3.0452270000000001</v>
      </c>
      <c r="T1808">
        <v>-1.288509E-2</v>
      </c>
      <c r="U1808">
        <v>0.172821</v>
      </c>
      <c r="V1808">
        <v>-6.5873699999999993E-2</v>
      </c>
      <c r="W1808">
        <v>0.1327545</v>
      </c>
      <c r="X1808">
        <v>0.98895750000000004</v>
      </c>
      <c r="Y1808">
        <v>6.8357109999999999E-2</v>
      </c>
      <c r="Z1808">
        <v>5.2874179999999995E-4</v>
      </c>
      <c r="AA1808">
        <v>0.99766080000000001</v>
      </c>
      <c r="AB1808">
        <v>49</v>
      </c>
      <c r="AC1808">
        <v>-196.8656</v>
      </c>
      <c r="AD1808">
        <v>-0.83501399999999903</v>
      </c>
      <c r="AE1808">
        <v>11.2038999999999</v>
      </c>
      <c r="AF1808">
        <v>13.510738619061</v>
      </c>
      <c r="AG1808">
        <v>-0.83501399999999903</v>
      </c>
      <c r="AH1808">
        <v>196.71720138637201</v>
      </c>
      <c r="AI1808">
        <v>90.242632829496699</v>
      </c>
      <c r="AJ1808">
        <v>86.071037249398799</v>
      </c>
      <c r="AK1808">
        <v>197.182389243307</v>
      </c>
      <c r="AL1808">
        <v>82.3712066682222</v>
      </c>
      <c r="AM1808">
        <v>93.810798644340295</v>
      </c>
      <c r="AN1808">
        <v>1.0000000192140901</v>
      </c>
    </row>
    <row r="1809" spans="1:40" x14ac:dyDescent="0.25">
      <c r="A1809" t="str">
        <f>"20190305135827251"</f>
        <v>20190305135827251</v>
      </c>
      <c r="B1809" t="str">
        <f>"1551765507240944"</f>
        <v>1551765507240944</v>
      </c>
      <c r="C1809" t="s">
        <v>40</v>
      </c>
      <c r="D1809">
        <v>4.0816400000000002</v>
      </c>
      <c r="E1809">
        <v>0.5490739</v>
      </c>
      <c r="F1809" t="s">
        <v>60</v>
      </c>
      <c r="G1809">
        <v>-510.95370000000003</v>
      </c>
      <c r="H1809">
        <v>0.3823106</v>
      </c>
      <c r="I1809">
        <v>295.31799999999998</v>
      </c>
      <c r="J1809">
        <v>-314.42110000000002</v>
      </c>
      <c r="K1809">
        <v>1.1090610000000001</v>
      </c>
      <c r="L1809">
        <v>284.11239999999998</v>
      </c>
      <c r="M1809">
        <v>-0.99982490000000002</v>
      </c>
      <c r="N1809">
        <v>-1.487579E-2</v>
      </c>
      <c r="O1809">
        <v>-1.13532999999999E-2</v>
      </c>
      <c r="P1809">
        <v>-0.98994400000000005</v>
      </c>
      <c r="Q1809">
        <v>0.1182202</v>
      </c>
      <c r="R1809">
        <v>-7.7685219999999999E-2</v>
      </c>
      <c r="S1809">
        <v>-3.045258</v>
      </c>
      <c r="T1809">
        <v>-1.124084E-2</v>
      </c>
      <c r="U1809">
        <v>0.17327879999999901</v>
      </c>
      <c r="V1809">
        <v>-6.6236539999999997E-2</v>
      </c>
      <c r="W1809">
        <v>0.133047</v>
      </c>
      <c r="X1809">
        <v>0.98889389999999999</v>
      </c>
      <c r="Y1809">
        <v>6.8138820000000003E-2</v>
      </c>
      <c r="Z1809">
        <v>5.0603639999999999E-4</v>
      </c>
      <c r="AA1809">
        <v>0.99767570000000005</v>
      </c>
      <c r="AB1809">
        <v>49</v>
      </c>
      <c r="AC1809">
        <v>-196.5326</v>
      </c>
      <c r="AD1809">
        <v>-0.72675040000000002</v>
      </c>
      <c r="AE1809">
        <v>11.2056</v>
      </c>
      <c r="AF1809">
        <v>13.436234966094901</v>
      </c>
      <c r="AG1809">
        <v>-0.72675040000000002</v>
      </c>
      <c r="AH1809">
        <v>196.39001912868201</v>
      </c>
      <c r="AI1809">
        <v>90.211530250452896</v>
      </c>
      <c r="AJ1809">
        <v>86.086146450027698</v>
      </c>
      <c r="AK1809">
        <v>196.850451331898</v>
      </c>
      <c r="AL1809">
        <v>82.354297237872302</v>
      </c>
      <c r="AM1809">
        <v>93.831972308198004</v>
      </c>
      <c r="AN1809">
        <v>0.99999996444868999</v>
      </c>
    </row>
    <row r="1810" spans="1:40" x14ac:dyDescent="0.25">
      <c r="A1810" t="str">
        <f>"20190305135827270"</f>
        <v>20190305135827270</v>
      </c>
      <c r="B1810" t="str">
        <f>"1551765507260464"</f>
        <v>1551765507260464</v>
      </c>
      <c r="C1810" t="s">
        <v>40</v>
      </c>
      <c r="D1810">
        <v>4.068378</v>
      </c>
      <c r="E1810">
        <v>0.54908869999999999</v>
      </c>
      <c r="F1810" t="s">
        <v>60</v>
      </c>
      <c r="G1810">
        <v>-510.9538</v>
      </c>
      <c r="H1810">
        <v>0.42989349999999998</v>
      </c>
      <c r="I1810">
        <v>295.30079999999998</v>
      </c>
      <c r="J1810">
        <v>-314.83890000000002</v>
      </c>
      <c r="K1810">
        <v>1.10903</v>
      </c>
      <c r="L1810">
        <v>284.108</v>
      </c>
      <c r="M1810">
        <v>-0.99983040000000001</v>
      </c>
      <c r="N1810">
        <v>-1.4874109999999999E-2</v>
      </c>
      <c r="O1810">
        <v>-1.0861849999999999E-2</v>
      </c>
      <c r="P1810">
        <v>-0.9899327</v>
      </c>
      <c r="Q1810">
        <v>0.1183516</v>
      </c>
      <c r="R1810">
        <v>-7.7629999999999894E-2</v>
      </c>
      <c r="S1810">
        <v>-3.0453800000000002</v>
      </c>
      <c r="T1810">
        <v>-1.0522719999999999E-2</v>
      </c>
      <c r="U1810">
        <v>0.17337040000000001</v>
      </c>
      <c r="V1810">
        <v>-6.6656869999999993E-2</v>
      </c>
      <c r="W1810">
        <v>0.13318269999999999</v>
      </c>
      <c r="X1810">
        <v>0.98884740000000004</v>
      </c>
      <c r="Y1810">
        <v>6.7676239999999999E-2</v>
      </c>
      <c r="Z1810">
        <v>4.9665400000000002E-4</v>
      </c>
      <c r="AA1810">
        <v>0.99770720000000002</v>
      </c>
      <c r="AB1810">
        <v>49</v>
      </c>
      <c r="AC1810">
        <v>-196.11490000000001</v>
      </c>
      <c r="AD1810">
        <v>-0.67913649999999903</v>
      </c>
      <c r="AE1810">
        <v>11.192799999999901</v>
      </c>
      <c r="AF1810">
        <v>13.322386581937399</v>
      </c>
      <c r="AG1810">
        <v>-0.67913649999999903</v>
      </c>
      <c r="AH1810">
        <v>195.97939777787599</v>
      </c>
      <c r="AI1810">
        <v>90.198091760883003</v>
      </c>
      <c r="AJ1810">
        <v>86.111101469852599</v>
      </c>
      <c r="AK1810">
        <v>196.432867830216</v>
      </c>
      <c r="AL1810">
        <v>82.346452468695503</v>
      </c>
      <c r="AM1810">
        <v>93.856397245993506</v>
      </c>
      <c r="AN1810">
        <v>0.99999997519212303</v>
      </c>
    </row>
    <row r="1811" spans="1:40" x14ac:dyDescent="0.25">
      <c r="A1811" t="str">
        <f>"20190305135827284"</f>
        <v>20190305135827284</v>
      </c>
      <c r="B1811" t="str">
        <f>"1551765507280962"</f>
        <v>1551765507280962</v>
      </c>
      <c r="C1811" t="s">
        <v>40</v>
      </c>
      <c r="D1811">
        <v>4.0966379999999996</v>
      </c>
      <c r="E1811">
        <v>0.54917559999999999</v>
      </c>
      <c r="F1811" t="s">
        <v>60</v>
      </c>
      <c r="G1811">
        <v>-510.9538</v>
      </c>
      <c r="H1811">
        <v>0.46730470000000002</v>
      </c>
      <c r="I1811">
        <v>295.31020000000001</v>
      </c>
      <c r="J1811">
        <v>-315.14830000000001</v>
      </c>
      <c r="K1811">
        <v>1.109005</v>
      </c>
      <c r="L1811">
        <v>284.10489999999999</v>
      </c>
      <c r="M1811">
        <v>-0.99983449999999996</v>
      </c>
      <c r="N1811">
        <v>-1.487285E-2</v>
      </c>
      <c r="O1811">
        <v>-1.047469E-2</v>
      </c>
      <c r="P1811">
        <v>-0.98991530000000005</v>
      </c>
      <c r="Q1811">
        <v>0.11839909999999999</v>
      </c>
      <c r="R1811">
        <v>-7.777742E-2</v>
      </c>
      <c r="S1811">
        <v>-3.0453190000000001</v>
      </c>
      <c r="T1811">
        <v>-9.9635120000000008E-3</v>
      </c>
      <c r="U1811">
        <v>0.1739502</v>
      </c>
      <c r="V1811">
        <v>-6.7178849999999998E-2</v>
      </c>
      <c r="W1811">
        <v>0.13323370000000001</v>
      </c>
      <c r="X1811">
        <v>0.98880520000000005</v>
      </c>
      <c r="Y1811">
        <v>6.7480529999999997E-2</v>
      </c>
      <c r="Z1811">
        <v>4.9113970000000005E-4</v>
      </c>
      <c r="AA1811">
        <v>0.99772050000000001</v>
      </c>
      <c r="AB1811">
        <v>49</v>
      </c>
      <c r="AC1811">
        <v>-195.80549999999999</v>
      </c>
      <c r="AD1811">
        <v>-0.641700299999999</v>
      </c>
      <c r="AE1811">
        <v>11.205299999999999</v>
      </c>
      <c r="AF1811">
        <v>13.255772069626801</v>
      </c>
      <c r="AG1811">
        <v>-0.641700299999999</v>
      </c>
      <c r="AH1811">
        <v>195.67527575003501</v>
      </c>
      <c r="AI1811">
        <v>90.187466260075894</v>
      </c>
      <c r="AJ1811">
        <v>86.124491741194106</v>
      </c>
      <c r="AK1811">
        <v>196.12480927279199</v>
      </c>
      <c r="AL1811">
        <v>82.343504069275198</v>
      </c>
      <c r="AM1811">
        <v>93.886669284782897</v>
      </c>
      <c r="AN1811">
        <v>0.99999997012502495</v>
      </c>
    </row>
    <row r="1812" spans="1:40" x14ac:dyDescent="0.25">
      <c r="A1812" t="str">
        <f>"20190305135827303"</f>
        <v>20190305135827303</v>
      </c>
      <c r="B1812" t="str">
        <f>"1551765507300481"</f>
        <v>1551765507300481</v>
      </c>
      <c r="C1812" t="s">
        <v>40</v>
      </c>
      <c r="D1812">
        <v>4.0648569999999999</v>
      </c>
      <c r="E1812">
        <v>0.54922249999999995</v>
      </c>
      <c r="F1812" t="s">
        <v>60</v>
      </c>
      <c r="G1812">
        <v>-510.9538</v>
      </c>
      <c r="H1812">
        <v>0.48609429999999998</v>
      </c>
      <c r="I1812">
        <v>295.29700000000003</v>
      </c>
      <c r="J1812">
        <v>-315.55180000000001</v>
      </c>
      <c r="K1812">
        <v>1.1089709999999999</v>
      </c>
      <c r="L1812">
        <v>284.10109999999997</v>
      </c>
      <c r="M1812">
        <v>-0.99984010000000001</v>
      </c>
      <c r="N1812">
        <v>-1.487116E-2</v>
      </c>
      <c r="O1812">
        <v>-9.9401509999999995E-3</v>
      </c>
      <c r="P1812">
        <v>-0.98983840000000001</v>
      </c>
      <c r="Q1812">
        <v>0.1186941</v>
      </c>
      <c r="R1812">
        <v>-7.8306559999999997E-2</v>
      </c>
      <c r="S1812">
        <v>-3.0453800000000002</v>
      </c>
      <c r="T1812">
        <v>-9.6868279999999998E-3</v>
      </c>
      <c r="U1812">
        <v>0.17407230000000001</v>
      </c>
      <c r="V1812">
        <v>-6.8225110000000005E-2</v>
      </c>
      <c r="W1812">
        <v>0.13353380000000001</v>
      </c>
      <c r="X1812">
        <v>0.98869309999999999</v>
      </c>
      <c r="Y1812">
        <v>6.6985950000000002E-2</v>
      </c>
      <c r="Z1812">
        <v>4.8886049999999999E-4</v>
      </c>
      <c r="AA1812">
        <v>0.99775380000000002</v>
      </c>
      <c r="AB1812">
        <v>49</v>
      </c>
      <c r="AC1812">
        <v>-195.40199999999999</v>
      </c>
      <c r="AD1812">
        <v>-0.62287669999999995</v>
      </c>
      <c r="AE1812">
        <v>11.1959</v>
      </c>
      <c r="AF1812">
        <v>13.137753707772401</v>
      </c>
      <c r="AG1812">
        <v>-0.62287669999999995</v>
      </c>
      <c r="AH1812">
        <v>195.27906510771999</v>
      </c>
      <c r="AI1812">
        <v>90.182342093505198</v>
      </c>
      <c r="AJ1812">
        <v>86.151122290525194</v>
      </c>
      <c r="AK1812">
        <v>195.721490432743</v>
      </c>
      <c r="AL1812">
        <v>82.326154760143297</v>
      </c>
      <c r="AM1812">
        <v>93.947457471670006</v>
      </c>
      <c r="AN1812">
        <v>0.99999999368228099</v>
      </c>
    </row>
    <row r="1813" spans="1:40" x14ac:dyDescent="0.25">
      <c r="A1813" t="str">
        <f>"20190305135827317"</f>
        <v>20190305135827317</v>
      </c>
      <c r="B1813" t="str">
        <f>"1551765507310240"</f>
        <v>1551765507310240</v>
      </c>
      <c r="C1813" t="s">
        <v>40</v>
      </c>
      <c r="D1813">
        <v>4.0876809999999999</v>
      </c>
      <c r="E1813">
        <v>0.54925819999999903</v>
      </c>
      <c r="F1813" t="s">
        <v>60</v>
      </c>
      <c r="G1813">
        <v>-510.9538</v>
      </c>
      <c r="H1813">
        <v>0.50681399999999999</v>
      </c>
      <c r="I1813">
        <v>295.17340000000002</v>
      </c>
      <c r="J1813">
        <v>-315.84449999999998</v>
      </c>
      <c r="K1813">
        <v>1.108943</v>
      </c>
      <c r="L1813">
        <v>284.09840000000003</v>
      </c>
      <c r="M1813">
        <v>-0.99984410000000001</v>
      </c>
      <c r="N1813">
        <v>-1.486989E-2</v>
      </c>
      <c r="O1813">
        <v>-9.5337960000000006E-3</v>
      </c>
      <c r="P1813">
        <v>-0.98983299999999996</v>
      </c>
      <c r="Q1813">
        <v>0.1187743</v>
      </c>
      <c r="R1813">
        <v>-7.825211E-2</v>
      </c>
      <c r="S1813">
        <v>-3.0455930000000002</v>
      </c>
      <c r="T1813">
        <v>-9.3840360000000001E-3</v>
      </c>
      <c r="U1813">
        <v>0.17257690000000001</v>
      </c>
      <c r="V1813">
        <v>-6.8563760000000001E-2</v>
      </c>
      <c r="W1813">
        <v>0.1336174</v>
      </c>
      <c r="X1813">
        <v>0.98865840000000005</v>
      </c>
      <c r="Y1813">
        <v>6.6088240000000006E-2</v>
      </c>
      <c r="Z1813">
        <v>4.8122269999999998E-4</v>
      </c>
      <c r="AA1813">
        <v>0.99781359999999997</v>
      </c>
      <c r="AB1813">
        <v>49</v>
      </c>
      <c r="AC1813">
        <v>-195.10929999999999</v>
      </c>
      <c r="AD1813">
        <v>-0.60212900000000003</v>
      </c>
      <c r="AE1813">
        <v>11.0749999999999</v>
      </c>
      <c r="AF1813">
        <v>12.9347114934986</v>
      </c>
      <c r="AG1813">
        <v>-0.60212900000000003</v>
      </c>
      <c r="AH1813">
        <v>194.99298116016999</v>
      </c>
      <c r="AI1813">
        <v>90.176538089082698</v>
      </c>
      <c r="AJ1813">
        <v>86.204887868451095</v>
      </c>
      <c r="AK1813">
        <v>195.422445032506</v>
      </c>
      <c r="AL1813">
        <v>82.321321687700603</v>
      </c>
      <c r="AM1813">
        <v>93.967127908707397</v>
      </c>
      <c r="AN1813">
        <v>1.00000001532932</v>
      </c>
    </row>
    <row r="1814" spans="1:40" x14ac:dyDescent="0.25">
      <c r="A1814" t="str">
        <f>"20190305135827330"</f>
        <v>20190305135827330</v>
      </c>
      <c r="B1814" t="str">
        <f>"1551765507320001"</f>
        <v>1551765507320001</v>
      </c>
      <c r="C1814" t="s">
        <v>40</v>
      </c>
      <c r="D1814">
        <v>4.3314130000000004</v>
      </c>
      <c r="E1814">
        <v>0.54924910000000005</v>
      </c>
      <c r="F1814" t="s">
        <v>60</v>
      </c>
      <c r="G1814">
        <v>-510.9538</v>
      </c>
      <c r="H1814">
        <v>0.52164089999999996</v>
      </c>
      <c r="I1814">
        <v>295.19319999999999</v>
      </c>
      <c r="J1814">
        <v>-316.13310000000001</v>
      </c>
      <c r="K1814">
        <v>1.1089169999999999</v>
      </c>
      <c r="L1814">
        <v>284.09589999999997</v>
      </c>
      <c r="M1814">
        <v>-0.99984799999999996</v>
      </c>
      <c r="N1814">
        <v>-1.4868589999999999E-2</v>
      </c>
      <c r="O1814">
        <v>-9.1143519999999992E-3</v>
      </c>
      <c r="P1814">
        <v>-0.98984329999999998</v>
      </c>
      <c r="Q1814">
        <v>0.118549</v>
      </c>
      <c r="R1814">
        <v>-7.8463599999999994E-2</v>
      </c>
      <c r="S1814">
        <v>-3.0455930000000002</v>
      </c>
      <c r="T1814">
        <v>-9.1662410000000003E-3</v>
      </c>
      <c r="U1814">
        <v>0.17318729999999999</v>
      </c>
      <c r="V1814">
        <v>-6.9181980000000004E-2</v>
      </c>
      <c r="W1814">
        <v>0.1333963</v>
      </c>
      <c r="X1814">
        <v>0.9886452</v>
      </c>
      <c r="Y1814">
        <v>6.5869040000000004E-2</v>
      </c>
      <c r="Z1814">
        <v>4.8116169999999999E-4</v>
      </c>
      <c r="AA1814">
        <v>0.99782820000000005</v>
      </c>
      <c r="AB1814">
        <v>49</v>
      </c>
      <c r="AC1814">
        <v>-194.82069999999999</v>
      </c>
      <c r="AD1814">
        <v>-0.58727609999999897</v>
      </c>
      <c r="AE1814">
        <v>11.097300000000001</v>
      </c>
      <c r="AF1814">
        <v>12.8725829573527</v>
      </c>
      <c r="AG1814">
        <v>-0.58727609999999897</v>
      </c>
      <c r="AH1814">
        <v>194.70968657650801</v>
      </c>
      <c r="AI1814">
        <v>90.172436445345696</v>
      </c>
      <c r="AJ1814">
        <v>86.217584471062494</v>
      </c>
      <c r="AK1814">
        <v>195.13562035654499</v>
      </c>
      <c r="AL1814">
        <v>82.334104292220204</v>
      </c>
      <c r="AM1814">
        <v>94.002835888390607</v>
      </c>
      <c r="AN1814">
        <v>1.0000000253467201</v>
      </c>
    </row>
    <row r="1815" spans="1:40" x14ac:dyDescent="0.25">
      <c r="A1815" t="str">
        <f>"20190305135827348"</f>
        <v>20190305135827348</v>
      </c>
      <c r="B1815" t="str">
        <f>"1551765507340496"</f>
        <v>1551765507340496</v>
      </c>
      <c r="C1815" t="s">
        <v>40</v>
      </c>
      <c r="D1815">
        <v>4.0511650000000001</v>
      </c>
      <c r="E1815">
        <v>0.54932460000000005</v>
      </c>
      <c r="F1815" t="s">
        <v>60</v>
      </c>
      <c r="G1815">
        <v>-510.9538</v>
      </c>
      <c r="H1815">
        <v>0.51656219999999997</v>
      </c>
      <c r="I1815">
        <v>295.12970000000001</v>
      </c>
      <c r="J1815">
        <v>-316.52460000000002</v>
      </c>
      <c r="K1815">
        <v>1.1088769999999999</v>
      </c>
      <c r="L1815">
        <v>284.09269999999998</v>
      </c>
      <c r="M1815">
        <v>-0.99985329999999994</v>
      </c>
      <c r="N1815">
        <v>-1.48667E-2</v>
      </c>
      <c r="O1815">
        <v>-8.5289770000000001E-3</v>
      </c>
      <c r="P1815">
        <v>-0.98990999999999996</v>
      </c>
      <c r="Q1815">
        <v>0.1174471</v>
      </c>
      <c r="R1815">
        <v>-7.9275209999999999E-2</v>
      </c>
      <c r="S1815">
        <v>-3.0455320000000001</v>
      </c>
      <c r="T1815">
        <v>-9.2586279999999996E-3</v>
      </c>
      <c r="U1815">
        <v>0.17248540000000001</v>
      </c>
      <c r="V1815">
        <v>-7.0563719999999996E-2</v>
      </c>
      <c r="W1815">
        <v>0.13230220000000001</v>
      </c>
      <c r="X1815">
        <v>0.98869450000000003</v>
      </c>
      <c r="Y1815">
        <v>6.5056760000000005E-2</v>
      </c>
      <c r="Z1815">
        <v>4.8203059999999998E-4</v>
      </c>
      <c r="AA1815">
        <v>0.99788149999999998</v>
      </c>
      <c r="AB1815">
        <v>48</v>
      </c>
      <c r="AC1815">
        <v>-194.42920000000001</v>
      </c>
      <c r="AD1815">
        <v>-0.59231480000000003</v>
      </c>
      <c r="AE1815">
        <v>11.037000000000001</v>
      </c>
      <c r="AF1815">
        <v>12.6949461722156</v>
      </c>
      <c r="AG1815">
        <v>-0.59231480000000003</v>
      </c>
      <c r="AH1815">
        <v>194.32618418374901</v>
      </c>
      <c r="AI1815">
        <v>90.174268059867998</v>
      </c>
      <c r="AJ1815">
        <v>86.262290945405198</v>
      </c>
      <c r="AK1815">
        <v>194.74131137114699</v>
      </c>
      <c r="AL1815">
        <v>82.397351739308206</v>
      </c>
      <c r="AM1815">
        <v>94.082312127025205</v>
      </c>
      <c r="AN1815">
        <v>0.99999996251766299</v>
      </c>
    </row>
    <row r="1816" spans="1:40" x14ac:dyDescent="0.25">
      <c r="A1816" t="str">
        <f>"20190305135827362"</f>
        <v>20190305135827362</v>
      </c>
      <c r="B1816" t="str">
        <f>"1551765507350257"</f>
        <v>1551765507350257</v>
      </c>
      <c r="C1816" t="s">
        <v>40</v>
      </c>
      <c r="D1816">
        <v>4.0414589999999997</v>
      </c>
      <c r="E1816">
        <v>0.54934229999999995</v>
      </c>
      <c r="F1816" t="s">
        <v>60</v>
      </c>
      <c r="G1816">
        <v>-510.95370000000003</v>
      </c>
      <c r="H1816">
        <v>0.35685099999999997</v>
      </c>
      <c r="I1816">
        <v>294.97739999999999</v>
      </c>
      <c r="J1816">
        <v>-316.82760000000002</v>
      </c>
      <c r="K1816">
        <v>1.1088499999999999</v>
      </c>
      <c r="L1816">
        <v>284.09050000000002</v>
      </c>
      <c r="M1816">
        <v>-0.999857</v>
      </c>
      <c r="N1816">
        <v>-1.4865160000000001E-2</v>
      </c>
      <c r="O1816">
        <v>-8.0635680000000001E-3</v>
      </c>
      <c r="P1816">
        <v>-0.98996569999999995</v>
      </c>
      <c r="Q1816">
        <v>0.1168508</v>
      </c>
      <c r="R1816">
        <v>-7.9461790000000004E-2</v>
      </c>
      <c r="S1816">
        <v>-3.0456240000000001</v>
      </c>
      <c r="T1816">
        <v>-1.177871E-2</v>
      </c>
      <c r="U1816">
        <v>0.17050170000000001</v>
      </c>
      <c r="V1816">
        <v>-7.1203950000000002E-2</v>
      </c>
      <c r="W1816">
        <v>0.13170989999999999</v>
      </c>
      <c r="X1816">
        <v>0.98872769999999999</v>
      </c>
      <c r="Y1816">
        <v>6.3942239999999997E-2</v>
      </c>
      <c r="Z1816">
        <v>5.1059879999999997E-4</v>
      </c>
      <c r="AA1816">
        <v>0.99795350000000005</v>
      </c>
      <c r="AB1816">
        <v>48</v>
      </c>
      <c r="AC1816">
        <v>-194.12610000000001</v>
      </c>
      <c r="AD1816">
        <v>-0.75199899999999897</v>
      </c>
      <c r="AE1816">
        <v>10.886899999999899</v>
      </c>
      <c r="AF1816">
        <v>12.4518816840299</v>
      </c>
      <c r="AG1816">
        <v>-0.75199899999999897</v>
      </c>
      <c r="AH1816">
        <v>194.02908791140601</v>
      </c>
      <c r="AI1816">
        <v>90.221604415293797</v>
      </c>
      <c r="AJ1816">
        <v>86.3280595708069</v>
      </c>
      <c r="AK1816">
        <v>194.42968347374699</v>
      </c>
      <c r="AL1816">
        <v>82.431587784827698</v>
      </c>
      <c r="AM1816">
        <v>94.119086485490897</v>
      </c>
      <c r="AN1816">
        <v>0.99999998250045097</v>
      </c>
    </row>
    <row r="1817" spans="1:40" x14ac:dyDescent="0.25">
      <c r="A1817" t="str">
        <f>"20190305135827382"</f>
        <v>20190305135827382</v>
      </c>
      <c r="B1817" t="str">
        <f>"1551765507370752"</f>
        <v>1551765507370752</v>
      </c>
      <c r="C1817" t="s">
        <v>40</v>
      </c>
      <c r="D1817">
        <v>4.0189309999999896</v>
      </c>
      <c r="E1817">
        <v>0.54948459999999999</v>
      </c>
      <c r="F1817" t="s">
        <v>60</v>
      </c>
      <c r="G1817">
        <v>-510.95370000000003</v>
      </c>
      <c r="H1817">
        <v>0.25835229999999998</v>
      </c>
      <c r="I1817">
        <v>294.94049999999999</v>
      </c>
      <c r="J1817">
        <v>-317.25799999999998</v>
      </c>
      <c r="K1817">
        <v>1.1088169999999999</v>
      </c>
      <c r="L1817">
        <v>284.08749999999998</v>
      </c>
      <c r="M1817">
        <v>-0.99986229999999998</v>
      </c>
      <c r="N1817">
        <v>-1.486296E-2</v>
      </c>
      <c r="O1817">
        <v>-7.3855229999999997E-3</v>
      </c>
      <c r="P1817">
        <v>-0.99005430000000005</v>
      </c>
      <c r="Q1817">
        <v>0.11544649999999999</v>
      </c>
      <c r="R1817">
        <v>-8.0401719999999996E-2</v>
      </c>
      <c r="S1817">
        <v>-3.0456539999999999</v>
      </c>
      <c r="T1817">
        <v>-1.3342140000000001E-2</v>
      </c>
      <c r="U1817">
        <v>0.17022709999999999</v>
      </c>
      <c r="V1817">
        <v>-7.2808120000000004E-2</v>
      </c>
      <c r="W1817">
        <v>0.1303135</v>
      </c>
      <c r="X1817">
        <v>0.98879589999999995</v>
      </c>
      <c r="Y1817">
        <v>6.3174930000000004E-2</v>
      </c>
      <c r="Z1817">
        <v>5.3079470000000004E-4</v>
      </c>
      <c r="AA1817">
        <v>0.99800239999999996</v>
      </c>
      <c r="AB1817">
        <v>48</v>
      </c>
      <c r="AC1817">
        <v>-193.69569999999999</v>
      </c>
      <c r="AD1817">
        <v>-0.85046469999999896</v>
      </c>
      <c r="AE1817">
        <v>10.853</v>
      </c>
      <c r="AF1817">
        <v>12.283169908014401</v>
      </c>
      <c r="AG1817">
        <v>-0.85046469999999896</v>
      </c>
      <c r="AH1817">
        <v>193.60653141303999</v>
      </c>
      <c r="AI1817">
        <v>90.251179299271897</v>
      </c>
      <c r="AJ1817">
        <v>86.369792893508006</v>
      </c>
      <c r="AK1817">
        <v>193.997650910993</v>
      </c>
      <c r="AL1817">
        <v>82.512291207458702</v>
      </c>
      <c r="AM1817">
        <v>94.211266635038697</v>
      </c>
      <c r="AN1817">
        <v>0.99999998123849598</v>
      </c>
    </row>
    <row r="1818" spans="1:40" x14ac:dyDescent="0.25">
      <c r="A1818" t="str">
        <f>"20190305135827404"</f>
        <v>20190305135827404</v>
      </c>
      <c r="B1818" t="str">
        <f>"1551765507401009"</f>
        <v>1551765507401009</v>
      </c>
      <c r="C1818" t="s">
        <v>40</v>
      </c>
      <c r="D1818">
        <v>4.0244059999999999</v>
      </c>
      <c r="E1818">
        <v>0.54971150000000002</v>
      </c>
      <c r="F1818" t="s">
        <v>58</v>
      </c>
      <c r="G1818">
        <v>-499.95780000000002</v>
      </c>
      <c r="H1818">
        <v>4.2386010000000002E-2</v>
      </c>
      <c r="I1818">
        <v>294.21199999999999</v>
      </c>
      <c r="J1818">
        <v>-317.73579999999998</v>
      </c>
      <c r="K1818">
        <v>1.1087830000000001</v>
      </c>
      <c r="L1818">
        <v>284.08449999999999</v>
      </c>
      <c r="M1818">
        <v>-0.99986779999999997</v>
      </c>
      <c r="N1818">
        <v>-1.4860399999999999E-2</v>
      </c>
      <c r="O1818">
        <v>-6.6170369999999897E-3</v>
      </c>
      <c r="P1818">
        <v>-0.99014100000000005</v>
      </c>
      <c r="Q1818">
        <v>0.1143508</v>
      </c>
      <c r="R1818">
        <v>-8.0902020000000005E-2</v>
      </c>
      <c r="S1818">
        <v>-3.0458980000000002</v>
      </c>
      <c r="T1818">
        <v>-1.7779110000000001E-2</v>
      </c>
      <c r="U1818">
        <v>0.16879269999999999</v>
      </c>
      <c r="V1818">
        <v>-7.4062520000000007E-2</v>
      </c>
      <c r="W1818">
        <v>0.1292237</v>
      </c>
      <c r="X1818">
        <v>0.9888458</v>
      </c>
      <c r="Y1818">
        <v>6.1933920000000003E-2</v>
      </c>
      <c r="Z1818">
        <v>5.8152599999999996E-4</v>
      </c>
      <c r="AA1818">
        <v>0.99808010000000003</v>
      </c>
      <c r="AB1818">
        <v>48</v>
      </c>
      <c r="AC1818">
        <v>-182.22200000000001</v>
      </c>
      <c r="AD1818">
        <v>-1.0663969900000001</v>
      </c>
      <c r="AE1818">
        <v>10.1274999999999</v>
      </c>
      <c r="AF1818">
        <v>11.332794033248801</v>
      </c>
      <c r="AG1818">
        <v>-1.0663969900000001</v>
      </c>
      <c r="AH1818">
        <v>182.144769430926</v>
      </c>
      <c r="AI1818">
        <v>90.334796499057205</v>
      </c>
      <c r="AJ1818">
        <v>86.439725738406693</v>
      </c>
      <c r="AK1818">
        <v>182.50009987445301</v>
      </c>
      <c r="AL1818">
        <v>82.575264917308701</v>
      </c>
      <c r="AM1818">
        <v>94.283338766543807</v>
      </c>
      <c r="AN1818">
        <v>1.0000000188440401</v>
      </c>
    </row>
    <row r="1819" spans="1:40" x14ac:dyDescent="0.25">
      <c r="A1819" t="str">
        <f>"20190305135827427"</f>
        <v>20190305135827427</v>
      </c>
      <c r="B1819" t="str">
        <f>"1551765507420530"</f>
        <v>1551765507420530</v>
      </c>
      <c r="C1819" t="s">
        <v>40</v>
      </c>
      <c r="D1819">
        <v>4.0669309999999896</v>
      </c>
      <c r="E1819">
        <v>0.54986199999999996</v>
      </c>
      <c r="F1819" t="s">
        <v>59</v>
      </c>
      <c r="G1819">
        <v>-462.78050000000002</v>
      </c>
      <c r="H1819">
        <v>8.0000500000000002E-2</v>
      </c>
      <c r="I1819">
        <v>292.13029999999998</v>
      </c>
      <c r="J1819">
        <v>-318.21839999999997</v>
      </c>
      <c r="K1819">
        <v>1.108749</v>
      </c>
      <c r="L1819">
        <v>284.08179999999999</v>
      </c>
      <c r="M1819">
        <v>-0.99987269999999995</v>
      </c>
      <c r="N1819">
        <v>-1.485772E-2</v>
      </c>
      <c r="O1819">
        <v>-5.8332640000000003E-3</v>
      </c>
      <c r="P1819">
        <v>-0.99019760000000001</v>
      </c>
      <c r="Q1819">
        <v>0.1137029</v>
      </c>
      <c r="R1819">
        <v>-8.1121529999999997E-2</v>
      </c>
      <c r="S1819">
        <v>-3.046173</v>
      </c>
      <c r="T1819">
        <v>-2.1606090000000001E-2</v>
      </c>
      <c r="U1819">
        <v>0.16897579999999901</v>
      </c>
      <c r="V1819">
        <v>-7.5052399999999894E-2</v>
      </c>
      <c r="W1819">
        <v>0.12857959999999999</v>
      </c>
      <c r="X1819">
        <v>0.98885509999999999</v>
      </c>
      <c r="Y1819">
        <v>6.120544E-2</v>
      </c>
      <c r="Z1819">
        <v>6.2670870000000004E-4</v>
      </c>
      <c r="AA1819">
        <v>0.99812500000000004</v>
      </c>
      <c r="AB1819">
        <v>48</v>
      </c>
      <c r="AC1819">
        <v>-144.56209999999999</v>
      </c>
      <c r="AD1819">
        <v>-1.0287485000000001</v>
      </c>
      <c r="AE1819">
        <v>8.04849999999999</v>
      </c>
      <c r="AF1819">
        <v>8.8912760597894902</v>
      </c>
      <c r="AG1819">
        <v>-1.0287485000000001</v>
      </c>
      <c r="AH1819">
        <v>144.50539032165801</v>
      </c>
      <c r="AI1819">
        <v>90.407117679535901</v>
      </c>
      <c r="AJ1819">
        <v>86.4790851444277</v>
      </c>
      <c r="AK1819">
        <v>144.782322627669</v>
      </c>
      <c r="AL1819">
        <v>82.612479401282897</v>
      </c>
      <c r="AM1819">
        <v>94.340329580783802</v>
      </c>
      <c r="AN1819">
        <v>0.99999999253896499</v>
      </c>
    </row>
    <row r="1820" spans="1:40" x14ac:dyDescent="0.25">
      <c r="A1820" t="str">
        <f>"20190305135827449"</f>
        <v>20190305135827449</v>
      </c>
      <c r="B1820" t="str">
        <f>"1551765507440048"</f>
        <v>1551765507440048</v>
      </c>
      <c r="C1820" t="s">
        <v>40</v>
      </c>
      <c r="D1820">
        <v>3.9859260000000001</v>
      </c>
      <c r="E1820">
        <v>0.55000479999999996</v>
      </c>
      <c r="F1820" t="s">
        <v>59</v>
      </c>
      <c r="G1820">
        <v>-448.1952</v>
      </c>
      <c r="H1820">
        <v>8.0000669999999996E-2</v>
      </c>
      <c r="I1820">
        <v>291.30829999999997</v>
      </c>
      <c r="J1820">
        <v>-318.71429999999998</v>
      </c>
      <c r="K1820">
        <v>1.1087229999999999</v>
      </c>
      <c r="L1820">
        <v>284.0795</v>
      </c>
      <c r="M1820">
        <v>-0.99987709999999996</v>
      </c>
      <c r="N1820">
        <v>-1.4854920000000001E-2</v>
      </c>
      <c r="O1820">
        <v>-5.0408320000000003E-3</v>
      </c>
      <c r="P1820">
        <v>-0.99037359999999997</v>
      </c>
      <c r="Q1820">
        <v>0.1125462</v>
      </c>
      <c r="R1820">
        <v>-8.0582689999999998E-2</v>
      </c>
      <c r="S1820">
        <v>-3.0463870000000002</v>
      </c>
      <c r="T1820">
        <v>-2.4111750000000001E-2</v>
      </c>
      <c r="U1820">
        <v>0.16937260000000001</v>
      </c>
      <c r="V1820">
        <v>-7.5296639999999998E-2</v>
      </c>
      <c r="W1820">
        <v>0.1274248</v>
      </c>
      <c r="X1820">
        <v>0.98898600000000003</v>
      </c>
      <c r="Y1820">
        <v>6.0539450000000002E-2</v>
      </c>
      <c r="Z1820">
        <v>6.5447979999999997E-4</v>
      </c>
      <c r="AA1820">
        <v>0.99816559999999999</v>
      </c>
      <c r="AB1820">
        <v>48</v>
      </c>
      <c r="AC1820">
        <v>-129.48089999999999</v>
      </c>
      <c r="AD1820">
        <v>-1.0287223299999999</v>
      </c>
      <c r="AE1820">
        <v>7.2287999999999704</v>
      </c>
      <c r="AF1820">
        <v>7.8809756097430803</v>
      </c>
      <c r="AG1820">
        <v>-1.0287223299999999</v>
      </c>
      <c r="AH1820">
        <v>129.43466652403001</v>
      </c>
      <c r="AI1820">
        <v>90.454524749912594</v>
      </c>
      <c r="AJ1820">
        <v>86.515694880304693</v>
      </c>
      <c r="AK1820">
        <v>129.67845212054499</v>
      </c>
      <c r="AL1820">
        <v>82.679193320034102</v>
      </c>
      <c r="AM1820">
        <v>94.353825781215406</v>
      </c>
      <c r="AN1820">
        <v>0.99999998592316397</v>
      </c>
    </row>
    <row r="1821" spans="1:40" x14ac:dyDescent="0.25">
      <c r="A1821" t="str">
        <f>"20190305135827471"</f>
        <v>20190305135827471</v>
      </c>
      <c r="B1821" t="str">
        <f>"1551765507460544"</f>
        <v>1551765507460544</v>
      </c>
      <c r="C1821" t="s">
        <v>40</v>
      </c>
      <c r="D1821">
        <v>4.0145999999999997</v>
      </c>
      <c r="E1821">
        <v>0.55015329999999996</v>
      </c>
      <c r="F1821" t="s">
        <v>61</v>
      </c>
      <c r="G1821">
        <v>-431.11900000000003</v>
      </c>
      <c r="H1821">
        <v>7.6091599999999995E-2</v>
      </c>
      <c r="I1821">
        <v>290.41910000000001</v>
      </c>
      <c r="J1821">
        <v>-319.18759999999997</v>
      </c>
      <c r="K1821">
        <v>1.1087199999999999</v>
      </c>
      <c r="L1821">
        <v>284.07760000000002</v>
      </c>
      <c r="M1821">
        <v>-0.99988049999999995</v>
      </c>
      <c r="N1821">
        <v>-1.4851710000000001E-2</v>
      </c>
      <c r="O1821">
        <v>-4.3213749999999997E-3</v>
      </c>
      <c r="P1821">
        <v>-0.9905486</v>
      </c>
      <c r="Q1821">
        <v>0.1115569</v>
      </c>
      <c r="R1821">
        <v>-7.9802769999999995E-2</v>
      </c>
      <c r="S1821">
        <v>-3.0463559999999998</v>
      </c>
      <c r="T1821">
        <v>-2.7986049999999998E-2</v>
      </c>
      <c r="U1821">
        <v>0.17181399999999999</v>
      </c>
      <c r="V1821">
        <v>-7.52327E-2</v>
      </c>
      <c r="W1821">
        <v>0.12643289999999999</v>
      </c>
      <c r="X1821">
        <v>0.98911819999999895</v>
      </c>
      <c r="Y1821">
        <v>6.061805E-2</v>
      </c>
      <c r="Z1821">
        <v>7.0429839999999896E-4</v>
      </c>
      <c r="AA1821">
        <v>0.99816079999999996</v>
      </c>
      <c r="AB1821">
        <v>48</v>
      </c>
      <c r="AC1821">
        <v>-111.9314</v>
      </c>
      <c r="AD1821">
        <v>-1.0326283999999999</v>
      </c>
      <c r="AE1821">
        <v>6.3414999999999901</v>
      </c>
      <c r="AF1821">
        <v>6.8246126304906296</v>
      </c>
      <c r="AG1821">
        <v>-1.0326283999999999</v>
      </c>
      <c r="AH1821">
        <v>111.893454764758</v>
      </c>
      <c r="AI1821">
        <v>90.527768463126606</v>
      </c>
      <c r="AJ1821">
        <v>86.509735891736199</v>
      </c>
      <c r="AK1821">
        <v>112.106141125996</v>
      </c>
      <c r="AL1821">
        <v>82.736488708604398</v>
      </c>
      <c r="AM1821">
        <v>94.349563636048501</v>
      </c>
      <c r="AN1821">
        <v>1.0000000254614601</v>
      </c>
    </row>
    <row r="1822" spans="1:40" x14ac:dyDescent="0.25">
      <c r="A1822" t="str">
        <f>"20190305135827486"</f>
        <v>20190305135827486</v>
      </c>
      <c r="B1822" t="str">
        <f>"1551765507481040"</f>
        <v>1551765507481040</v>
      </c>
      <c r="C1822" t="s">
        <v>40</v>
      </c>
      <c r="D1822">
        <v>4.0540789999999998</v>
      </c>
      <c r="E1822">
        <v>0.55025859999999904</v>
      </c>
      <c r="F1822" t="s">
        <v>61</v>
      </c>
      <c r="G1822">
        <v>-428.06060000000002</v>
      </c>
      <c r="H1822" s="1">
        <v>1.8432340000000001E-6</v>
      </c>
      <c r="I1822">
        <v>290.33609999999999</v>
      </c>
      <c r="J1822">
        <v>-319.50319999999999</v>
      </c>
      <c r="K1822">
        <v>1.108733</v>
      </c>
      <c r="L1822">
        <v>284.07659999999998</v>
      </c>
      <c r="M1822">
        <v>-0.9998823</v>
      </c>
      <c r="N1822">
        <v>-1.4841679999999999E-2</v>
      </c>
      <c r="O1822">
        <v>-3.8744180000000001E-3</v>
      </c>
      <c r="P1822">
        <v>-0.99067119999999997</v>
      </c>
      <c r="Q1822">
        <v>0.1111168</v>
      </c>
      <c r="R1822">
        <v>-7.8891429999999999E-2</v>
      </c>
      <c r="S1822">
        <v>-3.0462340000000001</v>
      </c>
      <c r="T1822">
        <v>-3.10216E-2</v>
      </c>
      <c r="U1822">
        <v>0.17510990000000001</v>
      </c>
      <c r="V1822">
        <v>-7.4769639999999998E-2</v>
      </c>
      <c r="W1822">
        <v>0.12598029999999999</v>
      </c>
      <c r="X1822">
        <v>0.98921099999999995</v>
      </c>
      <c r="Y1822">
        <v>6.1249489999999997E-2</v>
      </c>
      <c r="Z1822">
        <v>7.4852130000000003E-4</v>
      </c>
      <c r="AA1822">
        <v>0.99812219999999996</v>
      </c>
      <c r="AB1822">
        <v>48</v>
      </c>
      <c r="AC1822">
        <v>-108.5574</v>
      </c>
      <c r="AD1822">
        <v>-1.1087311567660001</v>
      </c>
      <c r="AE1822">
        <v>6.2595000000000001</v>
      </c>
      <c r="AF1822">
        <v>6.6794016732874999</v>
      </c>
      <c r="AG1822">
        <v>-1.1087311567660001</v>
      </c>
      <c r="AH1822">
        <v>108.52104792205</v>
      </c>
      <c r="AI1822">
        <v>90.584250082616407</v>
      </c>
      <c r="AJ1822">
        <v>86.477924213580707</v>
      </c>
      <c r="AK1822">
        <v>108.732063043018</v>
      </c>
      <c r="AL1822">
        <v>82.762629390350796</v>
      </c>
      <c r="AM1822">
        <v>94.322489706703607</v>
      </c>
      <c r="AN1822">
        <v>0.99999996878740904</v>
      </c>
    </row>
    <row r="1823" spans="1:40" x14ac:dyDescent="0.25">
      <c r="A1823" t="str">
        <f>"20190305135827504"</f>
        <v>20190305135827504</v>
      </c>
      <c r="B1823" t="str">
        <f>"1551765507500563"</f>
        <v>1551765507500563</v>
      </c>
      <c r="C1823" t="s">
        <v>40</v>
      </c>
      <c r="D1823">
        <v>4.0326570000000004</v>
      </c>
      <c r="E1823">
        <v>0.55041669999999998</v>
      </c>
      <c r="F1823" t="s">
        <v>61</v>
      </c>
      <c r="G1823">
        <v>-425.05650000000003</v>
      </c>
      <c r="H1823" s="1">
        <v>2.4000950000000002E-6</v>
      </c>
      <c r="I1823">
        <v>290.26819999999998</v>
      </c>
      <c r="J1823">
        <v>-319.88659999999999</v>
      </c>
      <c r="K1823">
        <v>1.1087549999999999</v>
      </c>
      <c r="L1823">
        <v>284.0754</v>
      </c>
      <c r="M1823">
        <v>-0.99988469999999996</v>
      </c>
      <c r="N1823">
        <v>-1.4809930000000001E-2</v>
      </c>
      <c r="O1823">
        <v>-3.3747719999999998E-3</v>
      </c>
      <c r="P1823">
        <v>-0.99075679999999999</v>
      </c>
      <c r="Q1823">
        <v>0.11118989999999999</v>
      </c>
      <c r="R1823">
        <v>-7.770204E-2</v>
      </c>
      <c r="S1823">
        <v>-3.0460820000000002</v>
      </c>
      <c r="T1823">
        <v>-3.1996009999999998E-2</v>
      </c>
      <c r="U1823">
        <v>0.17868039999999999</v>
      </c>
      <c r="V1823">
        <v>-7.4084849999999994E-2</v>
      </c>
      <c r="W1823">
        <v>0.12601569999999901</v>
      </c>
      <c r="X1823">
        <v>0.98925810000000003</v>
      </c>
      <c r="Y1823">
        <v>6.1919210000000002E-2</v>
      </c>
      <c r="Z1823">
        <v>7.6934869999999904E-4</v>
      </c>
      <c r="AA1823">
        <v>0.99808079999999999</v>
      </c>
      <c r="AB1823">
        <v>48</v>
      </c>
      <c r="AC1823">
        <v>-105.1699</v>
      </c>
      <c r="AD1823">
        <v>-1.1087525999050001</v>
      </c>
      <c r="AE1823">
        <v>6.1927999999999699</v>
      </c>
      <c r="AF1823">
        <v>6.5470029200629698</v>
      </c>
      <c r="AG1823">
        <v>-1.1087525999050001</v>
      </c>
      <c r="AH1823">
        <v>105.13675444097299</v>
      </c>
      <c r="AI1823">
        <v>90.603040213105103</v>
      </c>
      <c r="AJ1823">
        <v>86.436718073938195</v>
      </c>
      <c r="AK1823">
        <v>105.346237303211</v>
      </c>
      <c r="AL1823">
        <v>82.760585453218596</v>
      </c>
      <c r="AM1823">
        <v>94.282846305973706</v>
      </c>
      <c r="AN1823">
        <v>1.0000000550308099</v>
      </c>
    </row>
    <row r="1824" spans="1:40" x14ac:dyDescent="0.25">
      <c r="A1824" t="str">
        <f>"20190305135827517"</f>
        <v>20190305135827517</v>
      </c>
      <c r="B1824" t="str">
        <f>"1551765507510322"</f>
        <v>1551765507510322</v>
      </c>
      <c r="C1824" t="s">
        <v>40</v>
      </c>
      <c r="D1824">
        <v>4.0328600000000003</v>
      </c>
      <c r="E1824">
        <v>0.55046850000000003</v>
      </c>
      <c r="F1824" t="s">
        <v>61</v>
      </c>
      <c r="G1824">
        <v>-426.83640000000003</v>
      </c>
      <c r="H1824" s="1">
        <v>1.990589E-6</v>
      </c>
      <c r="I1824">
        <v>290.5335</v>
      </c>
      <c r="J1824">
        <v>-320.16919999999999</v>
      </c>
      <c r="K1824">
        <v>1.1087689999999999</v>
      </c>
      <c r="L1824">
        <v>284.07459999999998</v>
      </c>
      <c r="M1824">
        <v>-0.99988639999999995</v>
      </c>
      <c r="N1824">
        <v>-1.476827E-2</v>
      </c>
      <c r="O1824">
        <v>-3.0388440000000002E-3</v>
      </c>
      <c r="P1824">
        <v>-0.99079790000000001</v>
      </c>
      <c r="Q1824">
        <v>0.1112737</v>
      </c>
      <c r="R1824">
        <v>-7.7059169999999996E-2</v>
      </c>
      <c r="S1824">
        <v>-3.0459589999999999</v>
      </c>
      <c r="T1824">
        <v>-3.1577590000000003E-2</v>
      </c>
      <c r="U1824">
        <v>0.18392939999999999</v>
      </c>
      <c r="V1824">
        <v>-7.3784020000000006E-2</v>
      </c>
      <c r="W1824">
        <v>0.1260522</v>
      </c>
      <c r="X1824">
        <v>0.98927589999999999</v>
      </c>
      <c r="Y1824">
        <v>6.3300049999999997E-2</v>
      </c>
      <c r="Z1824">
        <v>7.8234249999999995E-4</v>
      </c>
      <c r="AA1824">
        <v>0.99799420000000005</v>
      </c>
      <c r="AB1824">
        <v>48</v>
      </c>
      <c r="AC1824">
        <v>-106.66719999999999</v>
      </c>
      <c r="AD1824">
        <v>-1.108767009411</v>
      </c>
      <c r="AE1824">
        <v>6.4589000000000203</v>
      </c>
      <c r="AF1824">
        <v>6.7823203388910196</v>
      </c>
      <c r="AG1824">
        <v>-1.108767009411</v>
      </c>
      <c r="AH1824">
        <v>106.635597922497</v>
      </c>
      <c r="AI1824">
        <v>90.594522746612597</v>
      </c>
      <c r="AJ1824">
        <v>86.360731258759998</v>
      </c>
      <c r="AK1824">
        <v>106.856819987069</v>
      </c>
      <c r="AL1824">
        <v>82.758477110553699</v>
      </c>
      <c r="AM1824">
        <v>94.265443170574997</v>
      </c>
      <c r="AN1824">
        <v>1.0000000225265</v>
      </c>
    </row>
    <row r="1825" spans="1:40" x14ac:dyDescent="0.25">
      <c r="A1825" t="str">
        <f>"20190305135827531"</f>
        <v>20190305135827531</v>
      </c>
      <c r="B1825" t="str">
        <f>"1551765507520081"</f>
        <v>1551765507520081</v>
      </c>
      <c r="C1825" t="s">
        <v>40</v>
      </c>
      <c r="D1825">
        <v>4.0276050000000003</v>
      </c>
      <c r="E1825">
        <v>0.55050909999999997</v>
      </c>
      <c r="F1825" t="s">
        <v>61</v>
      </c>
      <c r="G1825">
        <v>-427.08760000000001</v>
      </c>
      <c r="H1825" s="1">
        <v>1.9185299999999999E-6</v>
      </c>
      <c r="I1825">
        <v>290.6114</v>
      </c>
      <c r="J1825">
        <v>-320.46080000000001</v>
      </c>
      <c r="K1825">
        <v>1.1087959999999999</v>
      </c>
      <c r="L1825">
        <v>284.07400000000001</v>
      </c>
      <c r="M1825">
        <v>-0.99988809999999995</v>
      </c>
      <c r="N1825">
        <v>-1.470601E-2</v>
      </c>
      <c r="O1825">
        <v>-2.7411990000000002E-3</v>
      </c>
      <c r="P1825">
        <v>-0.99083089999999996</v>
      </c>
      <c r="Q1825">
        <v>0.111344</v>
      </c>
      <c r="R1825">
        <v>-7.6530819999999999E-2</v>
      </c>
      <c r="S1825">
        <v>-3.0458980000000002</v>
      </c>
      <c r="T1825">
        <v>-3.1586650000000001E-2</v>
      </c>
      <c r="U1825">
        <v>0.1862183</v>
      </c>
      <c r="V1825">
        <v>-7.3563240000000002E-2</v>
      </c>
      <c r="W1825">
        <v>0.1260531</v>
      </c>
      <c r="X1825">
        <v>0.98929219999999896</v>
      </c>
      <c r="Y1825">
        <v>6.3751310000000005E-2</v>
      </c>
      <c r="Z1825">
        <v>7.8762109999999999E-4</v>
      </c>
      <c r="AA1825">
        <v>0.99796549999999995</v>
      </c>
      <c r="AB1825">
        <v>48</v>
      </c>
      <c r="AC1825">
        <v>-106.6268</v>
      </c>
      <c r="AD1825">
        <v>-1.1087940814699999</v>
      </c>
      <c r="AE1825">
        <v>6.5373999999999901</v>
      </c>
      <c r="AF1825">
        <v>6.8289566340419698</v>
      </c>
      <c r="AG1825">
        <v>-1.1087940814699999</v>
      </c>
      <c r="AH1825">
        <v>106.596993282847</v>
      </c>
      <c r="AI1825">
        <v>90.5947351491685</v>
      </c>
      <c r="AJ1825">
        <v>86.334451621904606</v>
      </c>
      <c r="AK1825">
        <v>106.821266843115</v>
      </c>
      <c r="AL1825">
        <v>82.758424933986007</v>
      </c>
      <c r="AM1825">
        <v>94.252656994342104</v>
      </c>
      <c r="AN1825">
        <v>0.99999999563987296</v>
      </c>
    </row>
    <row r="1826" spans="1:40" x14ac:dyDescent="0.25">
      <c r="A1826" t="str">
        <f>"20190305135827550"</f>
        <v>20190305135827550</v>
      </c>
      <c r="B1826" t="str">
        <f>"1551765507540577"</f>
        <v>1551765507540577</v>
      </c>
      <c r="C1826" t="s">
        <v>40</v>
      </c>
      <c r="D1826">
        <v>4.0146230000000003</v>
      </c>
      <c r="E1826">
        <v>0.55061780000000005</v>
      </c>
      <c r="F1826" t="s">
        <v>61</v>
      </c>
      <c r="G1826">
        <v>-428.83260000000001</v>
      </c>
      <c r="H1826" s="1">
        <v>1.656963E-6</v>
      </c>
      <c r="I1826">
        <v>290.77449999999999</v>
      </c>
      <c r="J1826">
        <v>-320.87759999999997</v>
      </c>
      <c r="K1826">
        <v>1.1088480000000001</v>
      </c>
      <c r="L1826">
        <v>284.07310000000001</v>
      </c>
      <c r="M1826">
        <v>-0.99989059999999996</v>
      </c>
      <c r="N1826">
        <v>-1.460758E-2</v>
      </c>
      <c r="O1826">
        <v>-2.3762750000000002E-3</v>
      </c>
      <c r="P1826">
        <v>-0.99090440000000002</v>
      </c>
      <c r="Q1826">
        <v>0.1111164</v>
      </c>
      <c r="R1826">
        <v>-7.5907950000000002E-2</v>
      </c>
      <c r="S1826">
        <v>-3.045868</v>
      </c>
      <c r="T1826">
        <v>-3.1163449999999999E-2</v>
      </c>
      <c r="U1826">
        <v>0.18832399999999999</v>
      </c>
      <c r="V1826">
        <v>-7.3323459999999993E-2</v>
      </c>
      <c r="W1826">
        <v>0.1257163</v>
      </c>
      <c r="X1826">
        <v>0.98935289999999998</v>
      </c>
      <c r="Y1826">
        <v>6.4075160000000006E-2</v>
      </c>
      <c r="Z1826">
        <v>7.8556929999999995E-4</v>
      </c>
      <c r="AA1826">
        <v>0.99794479999999997</v>
      </c>
      <c r="AB1826">
        <v>48</v>
      </c>
      <c r="AC1826">
        <v>-107.955</v>
      </c>
      <c r="AD1826">
        <v>-1.1088463430369999</v>
      </c>
      <c r="AE1826">
        <v>6.7013999999999703</v>
      </c>
      <c r="AF1826">
        <v>6.9572080102956999</v>
      </c>
      <c r="AG1826">
        <v>-1.1088463430369999</v>
      </c>
      <c r="AH1826">
        <v>107.92742631436199</v>
      </c>
      <c r="AI1826">
        <v>90.587417002474893</v>
      </c>
      <c r="AJ1826">
        <v>86.311707685820295</v>
      </c>
      <c r="AK1826">
        <v>108.15711550495899</v>
      </c>
      <c r="AL1826">
        <v>82.777877212449496</v>
      </c>
      <c r="AM1826">
        <v>94.238586909889904</v>
      </c>
      <c r="AN1826">
        <v>1.00000003930523</v>
      </c>
    </row>
    <row r="1827" spans="1:40" x14ac:dyDescent="0.25">
      <c r="A1827" t="str">
        <f>"20190305135827571"</f>
        <v>20190305135827571</v>
      </c>
      <c r="B1827" t="str">
        <f>"1551765507560098"</f>
        <v>1551765507560098</v>
      </c>
      <c r="C1827" t="s">
        <v>40</v>
      </c>
      <c r="D1827">
        <v>3.9662929999999998</v>
      </c>
      <c r="E1827">
        <v>0.55068729999999999</v>
      </c>
      <c r="F1827" t="s">
        <v>61</v>
      </c>
      <c r="G1827">
        <v>-429.36410000000001</v>
      </c>
      <c r="H1827" s="1">
        <v>1.5899180000000001E-6</v>
      </c>
      <c r="I1827">
        <v>290.88760000000002</v>
      </c>
      <c r="J1827">
        <v>-321.33179999999999</v>
      </c>
      <c r="K1827">
        <v>1.10891299999999</v>
      </c>
      <c r="L1827">
        <v>284.07209999999998</v>
      </c>
      <c r="M1827">
        <v>-0.99989280000000003</v>
      </c>
      <c r="N1827">
        <v>-1.449686E-2</v>
      </c>
      <c r="O1827">
        <v>-2.0720930000000001E-3</v>
      </c>
      <c r="P1827">
        <v>-0.99104389999999998</v>
      </c>
      <c r="Q1827">
        <v>0.1102014</v>
      </c>
      <c r="R1827">
        <v>-7.5416179999999999E-2</v>
      </c>
      <c r="S1827">
        <v>-3.045715</v>
      </c>
      <c r="T1827">
        <v>-3.1130430000000001E-2</v>
      </c>
      <c r="U1827">
        <v>0.1913147</v>
      </c>
      <c r="V1827">
        <v>-7.3160939999999994E-2</v>
      </c>
      <c r="W1827">
        <v>0.12467789999999999</v>
      </c>
      <c r="X1827">
        <v>0.9894963</v>
      </c>
      <c r="Y1827">
        <v>6.4750730000000006E-2</v>
      </c>
      <c r="Z1827">
        <v>7.9158089999999896E-4</v>
      </c>
      <c r="AA1827">
        <v>0.99790109999999999</v>
      </c>
      <c r="AB1827">
        <v>48</v>
      </c>
      <c r="AC1827">
        <v>-108.03230000000001</v>
      </c>
      <c r="AD1827">
        <v>-1.1089114100819999</v>
      </c>
      <c r="AE1827">
        <v>6.8155000000000401</v>
      </c>
      <c r="AF1827">
        <v>7.0386231893221201</v>
      </c>
      <c r="AG1827">
        <v>-1.1089114100819999</v>
      </c>
      <c r="AH1827">
        <v>108.006609451464</v>
      </c>
      <c r="AI1827">
        <v>90.586994052793301</v>
      </c>
      <c r="AJ1827">
        <v>86.271395336679504</v>
      </c>
      <c r="AK1827">
        <v>108.241394974925</v>
      </c>
      <c r="AL1827">
        <v>82.837844806997595</v>
      </c>
      <c r="AM1827">
        <v>94.228615605579193</v>
      </c>
      <c r="AN1827">
        <v>1.0000000148018899</v>
      </c>
    </row>
    <row r="1828" spans="1:40" x14ac:dyDescent="0.25">
      <c r="A1828" t="str">
        <f>"20190305135827586"</f>
        <v>20190305135827586</v>
      </c>
      <c r="B1828" t="str">
        <f>"1551765507580594"</f>
        <v>1551765507580594</v>
      </c>
      <c r="C1828" t="s">
        <v>40</v>
      </c>
      <c r="D1828">
        <v>4.342638</v>
      </c>
      <c r="E1828">
        <v>0.56350659999999997</v>
      </c>
      <c r="F1828" t="s">
        <v>61</v>
      </c>
      <c r="G1828">
        <v>-421.44119999999998</v>
      </c>
      <c r="H1828" s="1">
        <v>2.9863379999999999E-6</v>
      </c>
      <c r="I1828">
        <v>290.42399999999998</v>
      </c>
      <c r="J1828">
        <v>-321.6524</v>
      </c>
      <c r="K1828">
        <v>1.1089659999999999</v>
      </c>
      <c r="L1828">
        <v>284.07159999999999</v>
      </c>
      <c r="M1828">
        <v>-0.99989430000000001</v>
      </c>
      <c r="N1828">
        <v>-1.4421939999999999E-2</v>
      </c>
      <c r="O1828">
        <v>-1.9111950000000001E-3</v>
      </c>
      <c r="P1828">
        <v>-0.99112109999999998</v>
      </c>
      <c r="Q1828">
        <v>0.1095352</v>
      </c>
      <c r="R1828">
        <v>-7.5374780000000002E-2</v>
      </c>
      <c r="S1828">
        <v>-3.045563</v>
      </c>
      <c r="T1828">
        <v>-3.3735630000000003E-2</v>
      </c>
      <c r="U1828">
        <v>0.1932373</v>
      </c>
      <c r="V1828">
        <v>-7.3298580000000002E-2</v>
      </c>
      <c r="W1828">
        <v>0.123927</v>
      </c>
      <c r="X1828">
        <v>0.98958049999999997</v>
      </c>
      <c r="Y1828">
        <v>6.521971E-2</v>
      </c>
      <c r="Z1828">
        <v>8.2528399999999905E-4</v>
      </c>
      <c r="AA1828">
        <v>0.99787060000000005</v>
      </c>
      <c r="AB1828">
        <v>48</v>
      </c>
      <c r="AC1828">
        <v>-99.788799999999895</v>
      </c>
      <c r="AD1828">
        <v>-1.1089630136619999</v>
      </c>
      <c r="AE1828">
        <v>6.3524000000000402</v>
      </c>
      <c r="AF1828">
        <v>6.5423193419541299</v>
      </c>
      <c r="AG1828">
        <v>-1.1089630136619999</v>
      </c>
      <c r="AH1828">
        <v>99.764204525608207</v>
      </c>
      <c r="AI1828">
        <v>90.635499643684298</v>
      </c>
      <c r="AJ1828">
        <v>86.248039734429597</v>
      </c>
      <c r="AK1828">
        <v>99.984640050185504</v>
      </c>
      <c r="AL1828">
        <v>82.881204917351994</v>
      </c>
      <c r="AM1828">
        <v>94.236182935839196</v>
      </c>
      <c r="AN1828">
        <v>1.00000007456963</v>
      </c>
    </row>
    <row r="1829" spans="1:40" x14ac:dyDescent="0.25">
      <c r="A1829" t="str">
        <f>"20190305135827605"</f>
        <v>20190305135827605</v>
      </c>
      <c r="B1829" t="str">
        <f>"1551765507600113"</f>
        <v>1551765507600113</v>
      </c>
      <c r="C1829" t="s">
        <v>40</v>
      </c>
      <c r="D1829">
        <v>4.0395310000000002</v>
      </c>
      <c r="E1829">
        <v>0.5639035</v>
      </c>
      <c r="F1829" t="s">
        <v>61</v>
      </c>
      <c r="G1829">
        <v>-426.69630000000001</v>
      </c>
      <c r="H1829" s="1">
        <v>1.2370059999999999E-6</v>
      </c>
      <c r="I1829">
        <v>294.23500000000001</v>
      </c>
      <c r="J1829">
        <v>-322.0641</v>
      </c>
      <c r="K1829">
        <v>1.1090390000000001</v>
      </c>
      <c r="L1829">
        <v>284.07089999999999</v>
      </c>
      <c r="M1829">
        <v>-0.99989589999999995</v>
      </c>
      <c r="N1829">
        <v>-1.4331180000000001E-2</v>
      </c>
      <c r="O1829">
        <v>-1.7589189999999901E-3</v>
      </c>
      <c r="P1829">
        <v>-0.99111450000000001</v>
      </c>
      <c r="Q1829">
        <v>0.1091862</v>
      </c>
      <c r="R1829">
        <v>-7.5966190000000003E-2</v>
      </c>
      <c r="S1829">
        <v>-3.0529169999999999</v>
      </c>
      <c r="T1829">
        <v>-3.2230139999999997E-2</v>
      </c>
      <c r="U1829">
        <v>0.29537960000000002</v>
      </c>
      <c r="V1829">
        <v>-7.4065300000000001E-2</v>
      </c>
      <c r="W1829">
        <v>0.1234751</v>
      </c>
      <c r="X1829">
        <v>0.98957980000000001</v>
      </c>
      <c r="Y1829">
        <v>9.8041470000000006E-2</v>
      </c>
      <c r="Z1829">
        <v>1.2139200000000001E-3</v>
      </c>
      <c r="AA1829">
        <v>0.9951816</v>
      </c>
      <c r="AB1829">
        <v>48</v>
      </c>
      <c r="AC1829">
        <v>-104.6322</v>
      </c>
      <c r="AD1829">
        <v>-1.10903776299399</v>
      </c>
      <c r="AE1829">
        <v>10.164099999999999</v>
      </c>
      <c r="AF1829">
        <v>10.346991126443299</v>
      </c>
      <c r="AG1829">
        <v>-1.10903776299399</v>
      </c>
      <c r="AH1829">
        <v>104.602516515486</v>
      </c>
      <c r="AI1829">
        <v>90.604500053480805</v>
      </c>
      <c r="AJ1829">
        <v>84.350837368300702</v>
      </c>
      <c r="AK1829">
        <v>105.118869150609</v>
      </c>
      <c r="AL1829">
        <v>82.907296568543899</v>
      </c>
      <c r="AM1829">
        <v>94.280333564080195</v>
      </c>
      <c r="AN1829">
        <v>0.99999997477606895</v>
      </c>
    </row>
    <row r="1830" spans="1:40" x14ac:dyDescent="0.25">
      <c r="A1830" t="str">
        <f>"20190305135827628"</f>
        <v>20190305135827628</v>
      </c>
      <c r="B1830" t="str">
        <f>"1551765507620608"</f>
        <v>1551765507620608</v>
      </c>
      <c r="C1830" t="s">
        <v>40</v>
      </c>
      <c r="D1830">
        <v>4.0113899999999996</v>
      </c>
      <c r="E1830">
        <v>0.56385889999999905</v>
      </c>
      <c r="F1830" t="s">
        <v>61</v>
      </c>
      <c r="G1830">
        <v>-430.3725</v>
      </c>
      <c r="H1830">
        <v>8.0000080000000001E-2</v>
      </c>
      <c r="I1830">
        <v>294.58940000000001</v>
      </c>
      <c r="J1830">
        <v>-322.55369999999999</v>
      </c>
      <c r="K1830">
        <v>1.1091150000000001</v>
      </c>
      <c r="L1830">
        <v>284.0702</v>
      </c>
      <c r="M1830">
        <v>-0.99989749999999999</v>
      </c>
      <c r="N1830">
        <v>-1.4231550000000001E-2</v>
      </c>
      <c r="O1830">
        <v>-1.6433979999999999E-3</v>
      </c>
      <c r="P1830">
        <v>-0.99109930000000002</v>
      </c>
      <c r="Q1830">
        <v>0.108955</v>
      </c>
      <c r="R1830">
        <v>-7.6495149999999998E-2</v>
      </c>
      <c r="S1830">
        <v>-3.052826</v>
      </c>
      <c r="T1830">
        <v>-2.9004930000000002E-2</v>
      </c>
      <c r="U1830">
        <v>0.29647829999999997</v>
      </c>
      <c r="V1830">
        <v>-7.4734780000000001E-2</v>
      </c>
      <c r="W1830">
        <v>0.1231302</v>
      </c>
      <c r="X1830">
        <v>0.98957249999999997</v>
      </c>
      <c r="Y1830">
        <v>9.8285910000000004E-2</v>
      </c>
      <c r="Z1830">
        <v>1.1591419999999999E-3</v>
      </c>
      <c r="AA1830">
        <v>0.99515750000000003</v>
      </c>
      <c r="AB1830">
        <v>48</v>
      </c>
      <c r="AC1830">
        <v>-107.8188</v>
      </c>
      <c r="AD1830">
        <v>-1.02911492</v>
      </c>
      <c r="AE1830">
        <v>10.5192</v>
      </c>
      <c r="AF1830">
        <v>10.695427705243199</v>
      </c>
      <c r="AG1830">
        <v>-1.02911492</v>
      </c>
      <c r="AH1830">
        <v>107.791637708778</v>
      </c>
      <c r="AI1830">
        <v>90.544328357172503</v>
      </c>
      <c r="AJ1830">
        <v>84.333478791415203</v>
      </c>
      <c r="AK1830">
        <v>108.32584369049199</v>
      </c>
      <c r="AL1830">
        <v>82.927210254226097</v>
      </c>
      <c r="AM1830">
        <v>94.318909717033193</v>
      </c>
      <c r="AN1830">
        <v>1.0000000331249601</v>
      </c>
    </row>
    <row r="1831" spans="1:40" x14ac:dyDescent="0.25">
      <c r="A1831" t="str">
        <f>"20190305135827649"</f>
        <v>20190305135827649</v>
      </c>
      <c r="B1831" t="str">
        <f>"1551765507641104"</f>
        <v>1551765507641104</v>
      </c>
      <c r="C1831" t="s">
        <v>40</v>
      </c>
      <c r="D1831">
        <v>4.0385489999999997</v>
      </c>
      <c r="E1831">
        <v>0.56376759999999904</v>
      </c>
      <c r="F1831" t="s">
        <v>61</v>
      </c>
      <c r="G1831">
        <v>-430.72859999999997</v>
      </c>
      <c r="H1831">
        <v>8.0000059999999998E-2</v>
      </c>
      <c r="I1831">
        <v>294.51170000000002</v>
      </c>
      <c r="J1831">
        <v>-323.01819999999998</v>
      </c>
      <c r="K1831">
        <v>1.1091839999999999</v>
      </c>
      <c r="L1831">
        <v>284.06950000000001</v>
      </c>
      <c r="M1831">
        <v>-0.99989879999999998</v>
      </c>
      <c r="N1831">
        <v>-1.4140979999999999E-2</v>
      </c>
      <c r="O1831">
        <v>-1.582162E-3</v>
      </c>
      <c r="P1831">
        <v>-0.99095610000000001</v>
      </c>
      <c r="Q1831">
        <v>0.1096897</v>
      </c>
      <c r="R1831">
        <v>-7.7293310000000004E-2</v>
      </c>
      <c r="S1831">
        <v>-3.0528870000000001</v>
      </c>
      <c r="T1831">
        <v>-2.904344E-2</v>
      </c>
      <c r="U1831">
        <v>0.29467769999999999</v>
      </c>
      <c r="V1831">
        <v>-7.5613979999999997E-2</v>
      </c>
      <c r="W1831">
        <v>0.12376189999999999</v>
      </c>
      <c r="X1831">
        <v>0.9894269</v>
      </c>
      <c r="Y1831">
        <v>9.7641679999999995E-2</v>
      </c>
      <c r="Z1831">
        <v>1.148109E-3</v>
      </c>
      <c r="AA1831">
        <v>0.99522100000000002</v>
      </c>
      <c r="AB1831">
        <v>48</v>
      </c>
      <c r="AC1831">
        <v>-107.71040000000001</v>
      </c>
      <c r="AD1831">
        <v>-1.02918394</v>
      </c>
      <c r="AE1831">
        <v>10.4422</v>
      </c>
      <c r="AF1831">
        <v>10.611659440753501</v>
      </c>
      <c r="AG1831">
        <v>-1.02918394</v>
      </c>
      <c r="AH1831">
        <v>107.68400225257599</v>
      </c>
      <c r="AI1831">
        <v>90.544945164937204</v>
      </c>
      <c r="AJ1831">
        <v>84.371990570443302</v>
      </c>
      <c r="AK1831">
        <v>108.210493376575</v>
      </c>
      <c r="AL1831">
        <v>82.890737563139396</v>
      </c>
      <c r="AM1831">
        <v>94.370163403844302</v>
      </c>
      <c r="AN1831">
        <v>1.0000000361533199</v>
      </c>
    </row>
    <row r="1832" spans="1:40" x14ac:dyDescent="0.25">
      <c r="A1832" t="str">
        <f>"20190305135827671"</f>
        <v>20190305135827671</v>
      </c>
      <c r="B1832" t="str">
        <f>"1551765507660625"</f>
        <v>1551765507660625</v>
      </c>
      <c r="C1832" t="s">
        <v>40</v>
      </c>
      <c r="D1832">
        <v>4.0049000000000001</v>
      </c>
      <c r="E1832">
        <v>0.56374840000000004</v>
      </c>
      <c r="F1832" t="s">
        <v>43</v>
      </c>
      <c r="G1832">
        <v>-457.45940000000002</v>
      </c>
      <c r="H1832">
        <v>-0.05</v>
      </c>
      <c r="I1832">
        <v>296.88720000000001</v>
      </c>
      <c r="J1832">
        <v>-323.48610000000002</v>
      </c>
      <c r="K1832">
        <v>1.1092379999999999</v>
      </c>
      <c r="L1832">
        <v>284.06880000000001</v>
      </c>
      <c r="M1832">
        <v>-0.99990029999999996</v>
      </c>
      <c r="N1832">
        <v>-1.4047759999999999E-2</v>
      </c>
      <c r="O1832">
        <v>-1.5565189999999999E-3</v>
      </c>
      <c r="P1832">
        <v>-0.99081370000000002</v>
      </c>
      <c r="Q1832">
        <v>0.11056340000000001</v>
      </c>
      <c r="R1832">
        <v>-7.7874260000000001E-2</v>
      </c>
      <c r="S1832">
        <v>-3.0530089999999999</v>
      </c>
      <c r="T1832">
        <v>-2.6323800000000001E-2</v>
      </c>
      <c r="U1832">
        <v>0.29107670000000002</v>
      </c>
      <c r="V1832">
        <v>-7.6237840000000001E-2</v>
      </c>
      <c r="W1832">
        <v>0.1245303</v>
      </c>
      <c r="X1832">
        <v>0.98928249999999995</v>
      </c>
      <c r="Y1832">
        <v>9.6450629999999996E-2</v>
      </c>
      <c r="Z1832">
        <v>1.085492E-3</v>
      </c>
      <c r="AA1832">
        <v>0.99533720000000003</v>
      </c>
      <c r="AB1832">
        <v>48</v>
      </c>
      <c r="AC1832">
        <v>-133.97329999999999</v>
      </c>
      <c r="AD1832">
        <v>-1.159238</v>
      </c>
      <c r="AE1832">
        <v>12.818399999999899</v>
      </c>
      <c r="AF1832">
        <v>13.025970586544</v>
      </c>
      <c r="AG1832">
        <v>-1.159238</v>
      </c>
      <c r="AH1832">
        <v>133.94324624749899</v>
      </c>
      <c r="AI1832">
        <v>90.493536923716405</v>
      </c>
      <c r="AJ1832">
        <v>84.445456609055199</v>
      </c>
      <c r="AK1832">
        <v>134.58013582167499</v>
      </c>
      <c r="AL1832">
        <v>82.8463675111648</v>
      </c>
      <c r="AM1832">
        <v>94.406719024872302</v>
      </c>
      <c r="AN1832">
        <v>0.99999993433610002</v>
      </c>
    </row>
    <row r="1833" spans="1:40" x14ac:dyDescent="0.25">
      <c r="A1833" t="str">
        <f>"20190305135827686"</f>
        <v>20190305135827686</v>
      </c>
      <c r="B1833" t="str">
        <f>"1551765507681121"</f>
        <v>1551765507681121</v>
      </c>
      <c r="C1833" t="s">
        <v>40</v>
      </c>
      <c r="D1833">
        <v>4.0302569999999998</v>
      </c>
      <c r="E1833">
        <v>0.56397679999999994</v>
      </c>
      <c r="F1833" t="s">
        <v>43</v>
      </c>
      <c r="G1833">
        <v>-483.81139999999999</v>
      </c>
      <c r="H1833">
        <v>-0.05</v>
      </c>
      <c r="I1833">
        <v>299.22800000000001</v>
      </c>
      <c r="J1833">
        <v>-323.78699999999998</v>
      </c>
      <c r="K1833">
        <v>1.1092690000000001</v>
      </c>
      <c r="L1833">
        <v>284.0684</v>
      </c>
      <c r="M1833">
        <v>-0.99990100000000004</v>
      </c>
      <c r="N1833">
        <v>-1.3986729999999999E-2</v>
      </c>
      <c r="O1833">
        <v>-1.55261299999999E-3</v>
      </c>
      <c r="P1833">
        <v>-0.99079879999999998</v>
      </c>
      <c r="Q1833">
        <v>0.11075309999999999</v>
      </c>
      <c r="R1833">
        <v>-7.7792089999999994E-2</v>
      </c>
      <c r="S1833">
        <v>-3.0529480000000002</v>
      </c>
      <c r="T1833">
        <v>-2.2074460000000001E-2</v>
      </c>
      <c r="U1833">
        <v>0.28866579999999997</v>
      </c>
      <c r="V1833">
        <v>-7.6170139999999997E-2</v>
      </c>
      <c r="W1833">
        <v>0.12465279999999999</v>
      </c>
      <c r="X1833">
        <v>0.98927240000000005</v>
      </c>
      <c r="Y1833">
        <v>9.5671679999999995E-2</v>
      </c>
      <c r="Z1833">
        <v>1.0052520000000001E-3</v>
      </c>
      <c r="AA1833">
        <v>0.99541239999999998</v>
      </c>
      <c r="AB1833">
        <v>48</v>
      </c>
      <c r="AC1833">
        <v>-160.02439999999899</v>
      </c>
      <c r="AD1833">
        <v>-1.1592690000000001</v>
      </c>
      <c r="AE1833">
        <v>15.159599999999999</v>
      </c>
      <c r="AF1833">
        <v>15.4072606030477</v>
      </c>
      <c r="AG1833">
        <v>-1.1592690000000001</v>
      </c>
      <c r="AH1833">
        <v>159.992346031583</v>
      </c>
      <c r="AI1833">
        <v>90.413233614989494</v>
      </c>
      <c r="AJ1833">
        <v>84.499379096110005</v>
      </c>
      <c r="AK1833">
        <v>160.73667401247999</v>
      </c>
      <c r="AL1833">
        <v>82.839294463486794</v>
      </c>
      <c r="AM1833">
        <v>94.402865979723103</v>
      </c>
      <c r="AN1833">
        <v>1.0000000460886</v>
      </c>
    </row>
    <row r="1834" spans="1:40" x14ac:dyDescent="0.25">
      <c r="A1834" t="str">
        <f>"20190305135827697"</f>
        <v>20190305135827697</v>
      </c>
      <c r="B1834" t="str">
        <f>"1551765507690881"</f>
        <v>1551765507690881</v>
      </c>
      <c r="C1834" t="s">
        <v>40</v>
      </c>
      <c r="D1834">
        <v>4.0323409999999997</v>
      </c>
      <c r="E1834">
        <v>0.56410550000000004</v>
      </c>
      <c r="F1834" t="s">
        <v>58</v>
      </c>
      <c r="G1834">
        <v>-475.28840000000002</v>
      </c>
      <c r="H1834">
        <v>8.0002320000000002E-2</v>
      </c>
      <c r="I1834">
        <v>298.48989999999998</v>
      </c>
      <c r="J1834">
        <v>-324.06470000000002</v>
      </c>
      <c r="K1834">
        <v>1.1092930000000001</v>
      </c>
      <c r="L1834">
        <v>284.06799999999998</v>
      </c>
      <c r="M1834">
        <v>-0.99990179999999995</v>
      </c>
      <c r="N1834">
        <v>-1.3930089999999999E-2</v>
      </c>
      <c r="O1834">
        <v>-1.553907E-3</v>
      </c>
      <c r="P1834">
        <v>-0.99080369999999995</v>
      </c>
      <c r="Q1834">
        <v>0.1106335</v>
      </c>
      <c r="R1834">
        <v>-7.7898969999999998E-2</v>
      </c>
      <c r="S1834">
        <v>-3.0530089999999999</v>
      </c>
      <c r="T1834">
        <v>-2.074146E-2</v>
      </c>
      <c r="U1834">
        <v>0.29061890000000001</v>
      </c>
      <c r="V1834">
        <v>-7.6284630000000006E-2</v>
      </c>
      <c r="W1834">
        <v>0.1244721</v>
      </c>
      <c r="X1834">
        <v>0.98928629999999995</v>
      </c>
      <c r="Y1834">
        <v>9.6302760000000001E-2</v>
      </c>
      <c r="Z1834">
        <v>9.8764519999999995E-4</v>
      </c>
      <c r="AA1834">
        <v>0.9953516</v>
      </c>
      <c r="AB1834">
        <v>48</v>
      </c>
      <c r="AC1834">
        <v>-151.22370000000001</v>
      </c>
      <c r="AD1834">
        <v>-1.0292906799999999</v>
      </c>
      <c r="AE1834">
        <v>14.4218999999999</v>
      </c>
      <c r="AF1834">
        <v>14.6562200827089</v>
      </c>
      <c r="AG1834">
        <v>-1.0292906799999999</v>
      </c>
      <c r="AH1834">
        <v>151.194163648885</v>
      </c>
      <c r="AI1834">
        <v>90.388229082626296</v>
      </c>
      <c r="AJ1834">
        <v>84.463251667138707</v>
      </c>
      <c r="AK1834">
        <v>151.90635058450499</v>
      </c>
      <c r="AL1834">
        <v>82.849728860640695</v>
      </c>
      <c r="AM1834">
        <v>94.409396059006696</v>
      </c>
      <c r="AN1834">
        <v>1.0000000159101601</v>
      </c>
    </row>
    <row r="1835" spans="1:40" x14ac:dyDescent="0.25">
      <c r="A1835" t="str">
        <f>"20190305135827717"</f>
        <v>20190305135827717</v>
      </c>
      <c r="B1835" t="str">
        <f>"1551765507710400"</f>
        <v>1551765507710400</v>
      </c>
      <c r="C1835" t="s">
        <v>40</v>
      </c>
      <c r="D1835">
        <v>3.9181590000000002</v>
      </c>
      <c r="E1835">
        <v>0.56421369999999904</v>
      </c>
      <c r="F1835" t="s">
        <v>58</v>
      </c>
      <c r="G1835">
        <v>-480.92079999999999</v>
      </c>
      <c r="H1835" s="1">
        <v>5.3392039999999997E-6</v>
      </c>
      <c r="I1835">
        <v>299.0206</v>
      </c>
      <c r="J1835">
        <v>-324.45769999999999</v>
      </c>
      <c r="K1835">
        <v>1.1093170000000001</v>
      </c>
      <c r="L1835">
        <v>284.06740000000002</v>
      </c>
      <c r="M1835">
        <v>-0.99990299999999999</v>
      </c>
      <c r="N1835">
        <v>-1.3849759999999999E-2</v>
      </c>
      <c r="O1835">
        <v>-1.5595769999999999E-3</v>
      </c>
      <c r="P1835">
        <v>-0.99083060000000001</v>
      </c>
      <c r="Q1835">
        <v>0.1103336</v>
      </c>
      <c r="R1835">
        <v>-7.7984390000000001E-2</v>
      </c>
      <c r="S1835">
        <v>-3.053131</v>
      </c>
      <c r="T1835">
        <v>-2.1591780000000001E-2</v>
      </c>
      <c r="U1835">
        <v>0.29104609999999997</v>
      </c>
      <c r="V1835">
        <v>-7.637563E-2</v>
      </c>
      <c r="W1835">
        <v>0.1240865</v>
      </c>
      <c r="X1835">
        <v>0.98932770000000003</v>
      </c>
      <c r="Y1835">
        <v>9.6442330000000007E-2</v>
      </c>
      <c r="Z1835">
        <v>9.9911649999999993E-4</v>
      </c>
      <c r="AA1835">
        <v>0.9953381</v>
      </c>
      <c r="AB1835">
        <v>48</v>
      </c>
      <c r="AC1835">
        <v>-156.4631</v>
      </c>
      <c r="AD1835">
        <v>-1.1093116607960001</v>
      </c>
      <c r="AE1835">
        <v>14.953199999999899</v>
      </c>
      <c r="AF1835">
        <v>15.1964644710734</v>
      </c>
      <c r="AG1835">
        <v>-1.1093116607960001</v>
      </c>
      <c r="AH1835">
        <v>156.431794589807</v>
      </c>
      <c r="AI1835">
        <v>90.404393677125199</v>
      </c>
      <c r="AJ1835">
        <v>84.451449165144496</v>
      </c>
      <c r="AK1835">
        <v>157.17210141551499</v>
      </c>
      <c r="AL1835">
        <v>82.871994599876004</v>
      </c>
      <c r="AM1835">
        <v>94.414451243210607</v>
      </c>
      <c r="AN1835">
        <v>0.99999999716371801</v>
      </c>
    </row>
    <row r="1836" spans="1:40" x14ac:dyDescent="0.25">
      <c r="A1836" t="str">
        <f>"20190305135827738"</f>
        <v>20190305135827738</v>
      </c>
      <c r="B1836" t="str">
        <f>"1551765507730896"</f>
        <v>1551765507730896</v>
      </c>
      <c r="C1836" t="s">
        <v>40</v>
      </c>
      <c r="D1836">
        <v>4.0088929999999996</v>
      </c>
      <c r="E1836">
        <v>0.56409200000000004</v>
      </c>
      <c r="F1836" t="s">
        <v>43</v>
      </c>
      <c r="G1836">
        <v>-477.84449999999998</v>
      </c>
      <c r="H1836">
        <v>-0.05</v>
      </c>
      <c r="I1836">
        <v>298.68459999999999</v>
      </c>
      <c r="J1836">
        <v>-324.93709999999999</v>
      </c>
      <c r="K1836">
        <v>1.1093379999999999</v>
      </c>
      <c r="L1836">
        <v>284.0668</v>
      </c>
      <c r="M1836">
        <v>-0.99990429999999997</v>
      </c>
      <c r="N1836">
        <v>-1.3752169999999999E-2</v>
      </c>
      <c r="O1836">
        <v>-1.5664699999999999E-3</v>
      </c>
      <c r="P1836">
        <v>-0.99092329999999995</v>
      </c>
      <c r="Q1836">
        <v>0.1097417</v>
      </c>
      <c r="R1836">
        <v>-7.7637629999999999E-2</v>
      </c>
      <c r="S1836">
        <v>-3.0531619999999999</v>
      </c>
      <c r="T1836">
        <v>-2.3076180000000002E-2</v>
      </c>
      <c r="U1836">
        <v>0.29095460000000001</v>
      </c>
      <c r="V1836">
        <v>-7.6034110000000002E-2</v>
      </c>
      <c r="W1836">
        <v>0.1233918</v>
      </c>
      <c r="X1836">
        <v>0.98944089999999996</v>
      </c>
      <c r="Y1836">
        <v>9.6418050000000005E-2</v>
      </c>
      <c r="Z1836">
        <v>1.0183950000000001E-3</v>
      </c>
      <c r="AA1836">
        <v>0.99534040000000001</v>
      </c>
      <c r="AB1836">
        <v>48</v>
      </c>
      <c r="AC1836">
        <v>-152.9074</v>
      </c>
      <c r="AD1836">
        <v>-1.159338</v>
      </c>
      <c r="AE1836">
        <v>14.6177999999999</v>
      </c>
      <c r="AF1836">
        <v>14.856483240156701</v>
      </c>
      <c r="AG1836">
        <v>-1.159338</v>
      </c>
      <c r="AH1836">
        <v>152.875603213256</v>
      </c>
      <c r="AI1836">
        <v>90.432459217800599</v>
      </c>
      <c r="AJ1836">
        <v>84.449413554219007</v>
      </c>
      <c r="AK1836">
        <v>153.600160210464</v>
      </c>
      <c r="AL1836">
        <v>82.912106325680497</v>
      </c>
      <c r="AM1836">
        <v>94.394288332389394</v>
      </c>
      <c r="AN1836">
        <v>1.0000000083917699</v>
      </c>
    </row>
    <row r="1837" spans="1:40" x14ac:dyDescent="0.25">
      <c r="A1837" t="str">
        <f>"20190305135827751"</f>
        <v>20190305135827751</v>
      </c>
      <c r="B1837" t="str">
        <f>"1551765507740656"</f>
        <v>1551765507740656</v>
      </c>
      <c r="C1837" t="s">
        <v>40</v>
      </c>
      <c r="D1837">
        <v>4.0012319999999999</v>
      </c>
      <c r="E1837">
        <v>0.56415909999999903</v>
      </c>
      <c r="F1837" t="s">
        <v>43</v>
      </c>
      <c r="G1837">
        <v>-467.8723</v>
      </c>
      <c r="H1837">
        <v>-0.05</v>
      </c>
      <c r="I1837">
        <v>297.68009999999998</v>
      </c>
      <c r="J1837">
        <v>-325.2183</v>
      </c>
      <c r="K1837">
        <v>1.1093459999999999</v>
      </c>
      <c r="L1837">
        <v>284.06639999999999</v>
      </c>
      <c r="M1837">
        <v>-0.99990509999999999</v>
      </c>
      <c r="N1837">
        <v>-1.369506E-2</v>
      </c>
      <c r="O1837">
        <v>-1.565362E-3</v>
      </c>
      <c r="P1837">
        <v>-0.99098269999999999</v>
      </c>
      <c r="Q1837">
        <v>0.109182</v>
      </c>
      <c r="R1837">
        <v>-7.7673560000000003E-2</v>
      </c>
      <c r="S1837">
        <v>-3.0530089999999999</v>
      </c>
      <c r="T1837">
        <v>-2.476275E-2</v>
      </c>
      <c r="U1837">
        <v>0.29077150000000002</v>
      </c>
      <c r="V1837">
        <v>-7.6077259999999994E-2</v>
      </c>
      <c r="W1837">
        <v>0.1227724</v>
      </c>
      <c r="X1837">
        <v>0.98951460000000002</v>
      </c>
      <c r="Y1837">
        <v>9.6361730000000007E-2</v>
      </c>
      <c r="Z1837">
        <v>1.04257E-3</v>
      </c>
      <c r="AA1837">
        <v>0.99534579999999995</v>
      </c>
      <c r="AB1837">
        <v>48</v>
      </c>
      <c r="AC1837">
        <v>-142.654</v>
      </c>
      <c r="AD1837">
        <v>-1.159346</v>
      </c>
      <c r="AE1837">
        <v>13.6136999999999</v>
      </c>
      <c r="AF1837">
        <v>13.836103791888799</v>
      </c>
      <c r="AG1837">
        <v>-1.159346</v>
      </c>
      <c r="AH1837">
        <v>142.623177895982</v>
      </c>
      <c r="AI1837">
        <v>90.463555826791406</v>
      </c>
      <c r="AJ1837">
        <v>84.458983534726997</v>
      </c>
      <c r="AK1837">
        <v>143.297427487156</v>
      </c>
      <c r="AL1837">
        <v>82.947867022340802</v>
      </c>
      <c r="AM1837">
        <v>94.396446160338201</v>
      </c>
      <c r="AN1837">
        <v>0.99999997765201298</v>
      </c>
    </row>
    <row r="1838" spans="1:40" x14ac:dyDescent="0.25">
      <c r="A1838" t="str">
        <f>"20190305135827764"</f>
        <v>20190305135827764</v>
      </c>
      <c r="B1838" t="str">
        <f>"1551765507761153"</f>
        <v>1551765507761153</v>
      </c>
      <c r="C1838" t="s">
        <v>40</v>
      </c>
      <c r="D1838">
        <v>3.9589210000000001</v>
      </c>
      <c r="E1838">
        <v>0.5640619</v>
      </c>
      <c r="F1838" t="s">
        <v>43</v>
      </c>
      <c r="G1838">
        <v>-460.00220000000002</v>
      </c>
      <c r="H1838">
        <v>-0.05</v>
      </c>
      <c r="I1838">
        <v>296.91950000000003</v>
      </c>
      <c r="J1838">
        <v>-325.4778</v>
      </c>
      <c r="K1838">
        <v>1.1093550000000001</v>
      </c>
      <c r="L1838">
        <v>284.06599999999997</v>
      </c>
      <c r="M1838">
        <v>-0.99990579999999996</v>
      </c>
      <c r="N1838">
        <v>-1.364335E-2</v>
      </c>
      <c r="O1838">
        <v>-1.562457E-3</v>
      </c>
      <c r="P1838">
        <v>-0.99108819999999997</v>
      </c>
      <c r="Q1838">
        <v>0.1084156</v>
      </c>
      <c r="R1838">
        <v>-7.7397740000000007E-2</v>
      </c>
      <c r="S1838">
        <v>-3.0530089999999999</v>
      </c>
      <c r="T1838">
        <v>-2.6260499999999999E-2</v>
      </c>
      <c r="U1838">
        <v>0.2911377</v>
      </c>
      <c r="V1838">
        <v>-7.58099E-2</v>
      </c>
      <c r="W1838">
        <v>0.1219527</v>
      </c>
      <c r="X1838">
        <v>0.98963650000000003</v>
      </c>
      <c r="Y1838">
        <v>9.647646E-2</v>
      </c>
      <c r="Z1838">
        <v>1.0657970000000001E-3</v>
      </c>
      <c r="AA1838">
        <v>0.99533470000000002</v>
      </c>
      <c r="AB1838">
        <v>48</v>
      </c>
      <c r="AC1838">
        <v>-134.52440000000001</v>
      </c>
      <c r="AD1838">
        <v>-1.1593549999999999</v>
      </c>
      <c r="AE1838">
        <v>12.8535</v>
      </c>
      <c r="AF1838">
        <v>13.0627310125852</v>
      </c>
      <c r="AG1838">
        <v>-1.1593549999999999</v>
      </c>
      <c r="AH1838">
        <v>134.49425193971601</v>
      </c>
      <c r="AI1838">
        <v>90.491570591247196</v>
      </c>
      <c r="AJ1838">
        <v>84.452557076143506</v>
      </c>
      <c r="AK1838">
        <v>135.13209407963399</v>
      </c>
      <c r="AL1838">
        <v>82.995188141779195</v>
      </c>
      <c r="AM1838">
        <v>94.380518347793895</v>
      </c>
      <c r="AN1838">
        <v>1.00000000205377</v>
      </c>
    </row>
    <row r="1839" spans="1:40" x14ac:dyDescent="0.25">
      <c r="A1839" t="str">
        <f>"20190305135827776"</f>
        <v>20190305135827776</v>
      </c>
      <c r="B1839" t="str">
        <f>"1551765507770913"</f>
        <v>1551765507770913</v>
      </c>
      <c r="C1839" t="s">
        <v>40</v>
      </c>
      <c r="D1839">
        <v>4.0265370000000003</v>
      </c>
      <c r="E1839">
        <v>0.56428639999999997</v>
      </c>
      <c r="F1839" t="s">
        <v>61</v>
      </c>
      <c r="G1839">
        <v>-429.98509999999999</v>
      </c>
      <c r="H1839">
        <v>7.6976550000000005E-2</v>
      </c>
      <c r="I1839">
        <v>294.03410000000002</v>
      </c>
      <c r="J1839">
        <v>-325.75229999999999</v>
      </c>
      <c r="K1839">
        <v>1.1093660000000001</v>
      </c>
      <c r="L1839">
        <v>284.06560000000002</v>
      </c>
      <c r="M1839">
        <v>-0.99990639999999997</v>
      </c>
      <c r="N1839">
        <v>-1.3589820000000001E-2</v>
      </c>
      <c r="O1839">
        <v>-1.5571529999999999E-3</v>
      </c>
      <c r="P1839">
        <v>-0.99116599999999999</v>
      </c>
      <c r="Q1839">
        <v>0.1078988</v>
      </c>
      <c r="R1839">
        <v>-7.7120540000000001E-2</v>
      </c>
      <c r="S1839">
        <v>-3.0530089999999999</v>
      </c>
      <c r="T1839">
        <v>-3.015924E-2</v>
      </c>
      <c r="U1839">
        <v>0.29119869999999998</v>
      </c>
      <c r="V1839">
        <v>-7.5543899999999997E-2</v>
      </c>
      <c r="W1839">
        <v>0.121381</v>
      </c>
      <c r="X1839">
        <v>0.98972709999999997</v>
      </c>
      <c r="Y1839">
        <v>9.6488959999999999E-2</v>
      </c>
      <c r="Z1839">
        <v>1.126913E-3</v>
      </c>
      <c r="AA1839">
        <v>0.99533340000000003</v>
      </c>
      <c r="AB1839">
        <v>48</v>
      </c>
      <c r="AC1839">
        <v>-104.2328</v>
      </c>
      <c r="AD1839">
        <v>-1.0323894499999999</v>
      </c>
      <c r="AE1839">
        <v>9.9685000000000006</v>
      </c>
      <c r="AF1839">
        <v>10.129824575874901</v>
      </c>
      <c r="AG1839">
        <v>-1.0323894499999999</v>
      </c>
      <c r="AH1839">
        <v>104.20701942285601</v>
      </c>
      <c r="AI1839">
        <v>90.564953673962407</v>
      </c>
      <c r="AJ1839">
        <v>84.447798828837506</v>
      </c>
      <c r="AK1839">
        <v>104.70330496651</v>
      </c>
      <c r="AL1839">
        <v>83.028189152283801</v>
      </c>
      <c r="AM1839">
        <v>94.364809551882303</v>
      </c>
      <c r="AN1839">
        <v>0.99999998023130898</v>
      </c>
    </row>
    <row r="1840" spans="1:40" x14ac:dyDescent="0.25">
      <c r="A1840" t="str">
        <f>"20190305135827794"</f>
        <v>20190305135827794</v>
      </c>
      <c r="B1840" t="str">
        <f>"1551765507790433"</f>
        <v>1551765507790433</v>
      </c>
      <c r="C1840" t="s">
        <v>40</v>
      </c>
      <c r="D1840">
        <v>4.028079</v>
      </c>
      <c r="E1840">
        <v>0.56463739999999996</v>
      </c>
      <c r="F1840" t="s">
        <v>61</v>
      </c>
      <c r="G1840">
        <v>-429.9581</v>
      </c>
      <c r="H1840">
        <v>2.6259020000000001E-2</v>
      </c>
      <c r="I1840">
        <v>294.09629999999999</v>
      </c>
      <c r="J1840">
        <v>-326.11099999999999</v>
      </c>
      <c r="K1840">
        <v>1.10937</v>
      </c>
      <c r="L1840">
        <v>284.06509999999997</v>
      </c>
      <c r="M1840">
        <v>-0.9999074</v>
      </c>
      <c r="N1840">
        <v>-1.35222E-2</v>
      </c>
      <c r="O1840">
        <v>-1.547969E-3</v>
      </c>
      <c r="P1840">
        <v>-0.99124129999999999</v>
      </c>
      <c r="Q1840">
        <v>0.1071672</v>
      </c>
      <c r="R1840">
        <v>-7.7174800000000002E-2</v>
      </c>
      <c r="S1840">
        <v>-3.05307</v>
      </c>
      <c r="T1840">
        <v>-3.173339E-2</v>
      </c>
      <c r="U1840">
        <v>0.29388429999999999</v>
      </c>
      <c r="V1840">
        <v>-7.5613630000000001E-2</v>
      </c>
      <c r="W1840">
        <v>0.1205801</v>
      </c>
      <c r="X1840">
        <v>0.98981969999999997</v>
      </c>
      <c r="Y1840">
        <v>9.7344559999999997E-2</v>
      </c>
      <c r="Z1840">
        <v>1.1596289999999999E-3</v>
      </c>
      <c r="AA1840">
        <v>0.99524999999999997</v>
      </c>
      <c r="AB1840">
        <v>48</v>
      </c>
      <c r="AC1840">
        <v>-103.8471</v>
      </c>
      <c r="AD1840">
        <v>-1.0831109800000001</v>
      </c>
      <c r="AE1840">
        <v>10.0312</v>
      </c>
      <c r="AF1840">
        <v>10.1908564314947</v>
      </c>
      <c r="AG1840">
        <v>-1.0831109800000001</v>
      </c>
      <c r="AH1840">
        <v>103.820256778266</v>
      </c>
      <c r="AI1840">
        <v>90.594861227105994</v>
      </c>
      <c r="AJ1840">
        <v>84.393882707110606</v>
      </c>
      <c r="AK1840">
        <v>104.32484077010299</v>
      </c>
      <c r="AL1840">
        <v>83.074417100121494</v>
      </c>
      <c r="AM1840">
        <v>94.368415720619296</v>
      </c>
      <c r="AN1840">
        <v>1.00000001003293</v>
      </c>
    </row>
    <row r="1841" spans="1:40" x14ac:dyDescent="0.25">
      <c r="A1841" t="str">
        <f>"20190305135827808"</f>
        <v>20190305135827808</v>
      </c>
      <c r="B1841" t="str">
        <f>"1551765507800193"</f>
        <v>1551765507800193</v>
      </c>
      <c r="C1841" t="s">
        <v>40</v>
      </c>
      <c r="D1841">
        <v>4.017671</v>
      </c>
      <c r="E1841">
        <v>0.56478039999999996</v>
      </c>
      <c r="F1841" t="s">
        <v>61</v>
      </c>
      <c r="G1841">
        <v>-425.41590000000002</v>
      </c>
      <c r="H1841" s="1">
        <v>1.4416789999999999E-6</v>
      </c>
      <c r="I1841">
        <v>293.7176</v>
      </c>
      <c r="J1841">
        <v>-326.43729999999999</v>
      </c>
      <c r="K1841">
        <v>1.1093770000000001</v>
      </c>
      <c r="L1841">
        <v>284.06459999999998</v>
      </c>
      <c r="M1841">
        <v>-0.99990820000000002</v>
      </c>
      <c r="N1841">
        <v>-1.346319E-2</v>
      </c>
      <c r="O1841">
        <v>-1.5398289999999999E-3</v>
      </c>
      <c r="P1841">
        <v>-0.99127730000000003</v>
      </c>
      <c r="Q1841">
        <v>0.10682220000000001</v>
      </c>
      <c r="R1841">
        <v>-7.7190090000000003E-2</v>
      </c>
      <c r="S1841">
        <v>-3.0533139999999999</v>
      </c>
      <c r="T1841">
        <v>-3.4109590000000002E-2</v>
      </c>
      <c r="U1841">
        <v>0.29678339999999998</v>
      </c>
      <c r="V1841">
        <v>-7.5640970000000002E-2</v>
      </c>
      <c r="W1841">
        <v>0.1201744</v>
      </c>
      <c r="X1841">
        <v>0.98986689999999999</v>
      </c>
      <c r="Y1841">
        <v>9.8263649999999994E-2</v>
      </c>
      <c r="Z1841">
        <v>1.20714E-3</v>
      </c>
      <c r="AA1841">
        <v>0.99515969999999998</v>
      </c>
      <c r="AB1841">
        <v>48</v>
      </c>
      <c r="AC1841">
        <v>-98.9786</v>
      </c>
      <c r="AD1841">
        <v>-1.1093755583210001</v>
      </c>
      <c r="AE1841">
        <v>9.6530000000000094</v>
      </c>
      <c r="AF1841">
        <v>9.8041924412248598</v>
      </c>
      <c r="AG1841">
        <v>-1.1093755583210001</v>
      </c>
      <c r="AH1841">
        <v>98.951303723872996</v>
      </c>
      <c r="AI1841">
        <v>90.639205258733696</v>
      </c>
      <c r="AJ1841">
        <v>84.341546043736003</v>
      </c>
      <c r="AK1841">
        <v>99.442010298505807</v>
      </c>
      <c r="AL1841">
        <v>83.097831929324798</v>
      </c>
      <c r="AM1841">
        <v>94.369781545425397</v>
      </c>
      <c r="AN1841">
        <v>0.99999996123675405</v>
      </c>
    </row>
    <row r="1842" spans="1:40" x14ac:dyDescent="0.25">
      <c r="A1842" t="str">
        <f>"20190305135827823"</f>
        <v>20190305135827823</v>
      </c>
      <c r="B1842" t="str">
        <f>"1551765507810929"</f>
        <v>1551765507810929</v>
      </c>
      <c r="C1842" t="s">
        <v>40</v>
      </c>
      <c r="D1842">
        <v>4.0400539999999996</v>
      </c>
      <c r="E1842">
        <v>0.56496519999999995</v>
      </c>
      <c r="F1842" t="s">
        <v>61</v>
      </c>
      <c r="G1842">
        <v>-420.99529999999999</v>
      </c>
      <c r="H1842" s="1">
        <v>2.0505819999999998E-6</v>
      </c>
      <c r="I1842">
        <v>293.29489999999998</v>
      </c>
      <c r="J1842">
        <v>-326.75189999999998</v>
      </c>
      <c r="K1842">
        <v>1.1093850000000001</v>
      </c>
      <c r="L1842">
        <v>284.0641</v>
      </c>
      <c r="M1842">
        <v>-0.99990889999999999</v>
      </c>
      <c r="N1842">
        <v>-1.340891E-2</v>
      </c>
      <c r="O1842">
        <v>-1.5330999999999999E-3</v>
      </c>
      <c r="P1842">
        <v>-0.99133879999999996</v>
      </c>
      <c r="Q1842">
        <v>0.10629760000000001</v>
      </c>
      <c r="R1842">
        <v>-7.7123590000000006E-2</v>
      </c>
      <c r="S1842">
        <v>-3.0534970000000001</v>
      </c>
      <c r="T1842">
        <v>-3.5824300000000003E-2</v>
      </c>
      <c r="U1842">
        <v>0.29806519999999997</v>
      </c>
      <c r="V1842">
        <v>-7.5583999999999998E-2</v>
      </c>
      <c r="W1842">
        <v>0.11959500000000001</v>
      </c>
      <c r="X1842">
        <v>0.98994150000000003</v>
      </c>
      <c r="Y1842">
        <v>9.8663989999999993E-2</v>
      </c>
      <c r="Z1842">
        <v>1.2379509999999999E-3</v>
      </c>
      <c r="AA1842">
        <v>0.99512</v>
      </c>
      <c r="AB1842">
        <v>48</v>
      </c>
      <c r="AC1842">
        <v>-94.243399999999994</v>
      </c>
      <c r="AD1842">
        <v>-1.1093829494180001</v>
      </c>
      <c r="AE1842">
        <v>9.2307999999999808</v>
      </c>
      <c r="AF1842">
        <v>9.3740001124735599</v>
      </c>
      <c r="AG1842">
        <v>-1.1093829494180001</v>
      </c>
      <c r="AH1842">
        <v>94.216204973972197</v>
      </c>
      <c r="AI1842">
        <v>90.671304613271204</v>
      </c>
      <c r="AJ1842">
        <v>84.318080992582395</v>
      </c>
      <c r="AK1842">
        <v>94.687886703287703</v>
      </c>
      <c r="AL1842">
        <v>83.131270807488605</v>
      </c>
      <c r="AM1842">
        <v>94.3661753412579</v>
      </c>
      <c r="AN1842">
        <v>1.00000003925162</v>
      </c>
    </row>
    <row r="1843" spans="1:40" x14ac:dyDescent="0.25">
      <c r="A1843" t="str">
        <f>"20190305135827840"</f>
        <v>20190305135827840</v>
      </c>
      <c r="B1843" t="str">
        <f>"1551765507830449"</f>
        <v>1551765507830449</v>
      </c>
      <c r="C1843" t="s">
        <v>40</v>
      </c>
      <c r="D1843">
        <v>3.959085</v>
      </c>
      <c r="E1843">
        <v>0.56524839999999998</v>
      </c>
      <c r="F1843" t="s">
        <v>61</v>
      </c>
      <c r="G1843">
        <v>-416.30470000000003</v>
      </c>
      <c r="H1843" s="1">
        <v>2.0652600000000001E-6</v>
      </c>
      <c r="I1843">
        <v>292.85739999999998</v>
      </c>
      <c r="J1843">
        <v>-327.10730000000001</v>
      </c>
      <c r="K1843">
        <v>1.1093869999999999</v>
      </c>
      <c r="L1843">
        <v>284.06360000000001</v>
      </c>
      <c r="M1843">
        <v>-0.99990979999999996</v>
      </c>
      <c r="N1843">
        <v>-1.3351460000000001E-2</v>
      </c>
      <c r="O1843">
        <v>-1.5275200000000001E-3</v>
      </c>
      <c r="P1843">
        <v>-0.99143930000000002</v>
      </c>
      <c r="Q1843">
        <v>0.105265899999999</v>
      </c>
      <c r="R1843">
        <v>-7.7250009999999994E-2</v>
      </c>
      <c r="S1843">
        <v>-3.0535890000000001</v>
      </c>
      <c r="T1843">
        <v>-3.7827970000000002E-2</v>
      </c>
      <c r="U1843">
        <v>0.29983520000000002</v>
      </c>
      <c r="V1843">
        <v>-7.5719529999999993E-2</v>
      </c>
      <c r="W1843">
        <v>0.1185051</v>
      </c>
      <c r="X1843">
        <v>0.9900622</v>
      </c>
      <c r="Y1843">
        <v>9.9225599999999997E-2</v>
      </c>
      <c r="Z1843">
        <v>1.2757129999999999E-3</v>
      </c>
      <c r="AA1843">
        <v>0.99506410000000001</v>
      </c>
      <c r="AB1843">
        <v>48</v>
      </c>
      <c r="AC1843">
        <v>-89.197400000000002</v>
      </c>
      <c r="AD1843">
        <v>-1.10938493474</v>
      </c>
      <c r="AE1843">
        <v>8.7937999999999708</v>
      </c>
      <c r="AF1843">
        <v>8.9286848068388096</v>
      </c>
      <c r="AG1843">
        <v>-1.10938493474</v>
      </c>
      <c r="AH1843">
        <v>89.170201123941993</v>
      </c>
      <c r="AI1843">
        <v>90.709245601950201</v>
      </c>
      <c r="AJ1843">
        <v>84.281986087701299</v>
      </c>
      <c r="AK1843">
        <v>89.622970915929699</v>
      </c>
      <c r="AL1843">
        <v>83.194164720817795</v>
      </c>
      <c r="AM1843">
        <v>94.373442825406599</v>
      </c>
      <c r="AN1843">
        <v>1.0000000329091301</v>
      </c>
    </row>
    <row r="1844" spans="1:40" x14ac:dyDescent="0.25">
      <c r="A1844" t="str">
        <f>"20190305135827860"</f>
        <v>20190305135827860</v>
      </c>
      <c r="B1844" t="str">
        <f>"1551765507850945"</f>
        <v>1551765507850945</v>
      </c>
      <c r="C1844" t="s">
        <v>40</v>
      </c>
      <c r="D1844">
        <v>4.0089009999999998</v>
      </c>
      <c r="E1844">
        <v>0.56547040000000004</v>
      </c>
      <c r="F1844" t="s">
        <v>61</v>
      </c>
      <c r="G1844">
        <v>-402.44119999999998</v>
      </c>
      <c r="H1844">
        <v>7.9999600000000004E-2</v>
      </c>
      <c r="I1844">
        <v>291.5061</v>
      </c>
      <c r="J1844">
        <v>-327.5573</v>
      </c>
      <c r="K1844">
        <v>1.1093869999999999</v>
      </c>
      <c r="L1844">
        <v>284.06299999999999</v>
      </c>
      <c r="M1844">
        <v>-0.99991059999999998</v>
      </c>
      <c r="N1844">
        <v>-1.328584E-2</v>
      </c>
      <c r="O1844">
        <v>-1.5259270000000001E-3</v>
      </c>
      <c r="P1844">
        <v>-0.9914811</v>
      </c>
      <c r="Q1844">
        <v>0.1045731</v>
      </c>
      <c r="R1844">
        <v>-7.7651360000000003E-2</v>
      </c>
      <c r="S1844">
        <v>-3.053833</v>
      </c>
      <c r="T1844">
        <v>-4.1728620000000001E-2</v>
      </c>
      <c r="U1844">
        <v>0.30169679999999999</v>
      </c>
      <c r="V1844">
        <v>-7.6125349999999994E-2</v>
      </c>
      <c r="W1844">
        <v>0.11774660000000001</v>
      </c>
      <c r="X1844">
        <v>0.99012149999999999</v>
      </c>
      <c r="Y1844">
        <v>9.9814470000000002E-2</v>
      </c>
      <c r="Z1844">
        <v>1.345597E-3</v>
      </c>
      <c r="AA1844">
        <v>0.99500509999999998</v>
      </c>
      <c r="AB1844">
        <v>48</v>
      </c>
      <c r="AC1844">
        <v>-74.883899999999898</v>
      </c>
      <c r="AD1844">
        <v>-1.0293874000000001</v>
      </c>
      <c r="AE1844">
        <v>7.44310000000001</v>
      </c>
      <c r="AF1844">
        <v>7.5559549400410901</v>
      </c>
      <c r="AG1844">
        <v>-1.0293874000000001</v>
      </c>
      <c r="AH1844">
        <v>74.858446948915002</v>
      </c>
      <c r="AI1844">
        <v>90.783849035258896</v>
      </c>
      <c r="AJ1844">
        <v>84.236281545208101</v>
      </c>
      <c r="AK1844">
        <v>75.245858178897294</v>
      </c>
      <c r="AL1844">
        <v>83.237929475296895</v>
      </c>
      <c r="AM1844">
        <v>94.396528393206196</v>
      </c>
      <c r="AN1844">
        <v>0.99999995774321504</v>
      </c>
    </row>
    <row r="1845" spans="1:40" x14ac:dyDescent="0.25">
      <c r="A1845" t="str">
        <f>"20190305135827878"</f>
        <v>20190305135827878</v>
      </c>
      <c r="B1845" t="str">
        <f>"1551765507870465"</f>
        <v>1551765507870465</v>
      </c>
      <c r="C1845" t="s">
        <v>40</v>
      </c>
      <c r="D1845">
        <v>4.0043860000000002</v>
      </c>
      <c r="E1845">
        <v>0.56570350000000003</v>
      </c>
      <c r="F1845" t="s">
        <v>59</v>
      </c>
      <c r="G1845">
        <v>-398.53199999999998</v>
      </c>
      <c r="H1845">
        <v>8.0001059999999999E-2</v>
      </c>
      <c r="I1845">
        <v>291.09030000000001</v>
      </c>
      <c r="J1845">
        <v>-327.9178</v>
      </c>
      <c r="K1845">
        <v>1.109391</v>
      </c>
      <c r="L1845">
        <v>284.06240000000003</v>
      </c>
      <c r="M1845">
        <v>-0.99991129999999995</v>
      </c>
      <c r="N1845">
        <v>-1.323792E-2</v>
      </c>
      <c r="O1845">
        <v>-1.5344670000000001E-3</v>
      </c>
      <c r="P1845">
        <v>-0.99146020000000001</v>
      </c>
      <c r="Q1845">
        <v>0.10447529999999999</v>
      </c>
      <c r="R1845">
        <v>-7.8052709999999997E-2</v>
      </c>
      <c r="S1845">
        <v>-3.0541689999999999</v>
      </c>
      <c r="T1845">
        <v>-4.4296380000000003E-2</v>
      </c>
      <c r="U1845">
        <v>0.30239870000000002</v>
      </c>
      <c r="V1845">
        <v>-7.6520439999999995E-2</v>
      </c>
      <c r="W1845">
        <v>0.1175993</v>
      </c>
      <c r="X1845">
        <v>0.99010860000000001</v>
      </c>
      <c r="Y1845">
        <v>0.100037</v>
      </c>
      <c r="Z1845">
        <v>1.3894279999999901E-3</v>
      </c>
      <c r="AA1845">
        <v>0.9949827</v>
      </c>
      <c r="AB1845">
        <v>48</v>
      </c>
      <c r="AC1845">
        <v>-70.614199999999897</v>
      </c>
      <c r="AD1845">
        <v>-1.0293899399999999</v>
      </c>
      <c r="AE1845">
        <v>7.0278999999999803</v>
      </c>
      <c r="AF1845">
        <v>7.1347550455001603</v>
      </c>
      <c r="AG1845">
        <v>-1.0293899399999999</v>
      </c>
      <c r="AH1845">
        <v>70.588478322804505</v>
      </c>
      <c r="AI1845">
        <v>90.831248912667604</v>
      </c>
      <c r="AJ1845">
        <v>84.228410479153197</v>
      </c>
      <c r="AK1845">
        <v>70.955603338544805</v>
      </c>
      <c r="AL1845">
        <v>83.246428520074005</v>
      </c>
      <c r="AM1845">
        <v>94.419313534296506</v>
      </c>
      <c r="AN1845">
        <v>1.0000000064461201</v>
      </c>
    </row>
    <row r="1846" spans="1:40" x14ac:dyDescent="0.25">
      <c r="A1846" t="str">
        <f>"20190305135827894"</f>
        <v>20190305135827894</v>
      </c>
      <c r="B1846" t="str">
        <f>"1551765507890961"</f>
        <v>1551765507890961</v>
      </c>
      <c r="C1846" t="s">
        <v>40</v>
      </c>
      <c r="D1846">
        <v>4.0325240000000004</v>
      </c>
      <c r="E1846">
        <v>0.56597940000000002</v>
      </c>
      <c r="F1846" t="s">
        <v>59</v>
      </c>
      <c r="G1846">
        <v>-397.31950000000001</v>
      </c>
      <c r="H1846">
        <v>8.0000699999999994E-2</v>
      </c>
      <c r="I1846">
        <v>290.94580000000002</v>
      </c>
      <c r="J1846">
        <v>-328.27749999999997</v>
      </c>
      <c r="K1846">
        <v>1.109394</v>
      </c>
      <c r="L1846">
        <v>284.06189999999998</v>
      </c>
      <c r="M1846">
        <v>-0.99991169999999996</v>
      </c>
      <c r="N1846">
        <v>-1.3194890000000001E-2</v>
      </c>
      <c r="O1846">
        <v>-1.5641170000000001E-3</v>
      </c>
      <c r="P1846">
        <v>-0.9913883</v>
      </c>
      <c r="Q1846">
        <v>0.1044551</v>
      </c>
      <c r="R1846">
        <v>-7.8983529999999996E-2</v>
      </c>
      <c r="S1846">
        <v>-3.0544739999999999</v>
      </c>
      <c r="T1846">
        <v>-4.530501E-2</v>
      </c>
      <c r="U1846">
        <v>0.302948</v>
      </c>
      <c r="V1846">
        <v>-7.742657E-2</v>
      </c>
      <c r="W1846">
        <v>0.1175325</v>
      </c>
      <c r="X1846">
        <v>0.99004610000000004</v>
      </c>
      <c r="Y1846">
        <v>0.10023319999999999</v>
      </c>
      <c r="Z1846">
        <v>1.40704E-3</v>
      </c>
      <c r="AA1846">
        <v>0.99496300000000004</v>
      </c>
      <c r="AB1846">
        <v>48</v>
      </c>
      <c r="AC1846">
        <v>-69.042000000000002</v>
      </c>
      <c r="AD1846">
        <v>-1.0293933</v>
      </c>
      <c r="AE1846">
        <v>6.8839000000000397</v>
      </c>
      <c r="AF1846">
        <v>6.9903521014740804</v>
      </c>
      <c r="AG1846">
        <v>-1.0293933</v>
      </c>
      <c r="AH1846">
        <v>69.015956264396493</v>
      </c>
      <c r="AI1846">
        <v>90.850170929605397</v>
      </c>
      <c r="AJ1846">
        <v>84.216461738807396</v>
      </c>
      <c r="AK1846">
        <v>69.376702805464603</v>
      </c>
      <c r="AL1846">
        <v>83.250282706013493</v>
      </c>
      <c r="AM1846">
        <v>94.471715737095295</v>
      </c>
      <c r="AN1846">
        <v>1.0000000212117099</v>
      </c>
    </row>
    <row r="1847" spans="1:40" x14ac:dyDescent="0.25">
      <c r="A1847" t="str">
        <f>"20190305135827917"</f>
        <v>20190305135827917</v>
      </c>
      <c r="B1847" t="str">
        <f>"1551765507910481"</f>
        <v>1551765507910481</v>
      </c>
      <c r="C1847" t="s">
        <v>40</v>
      </c>
      <c r="D1847">
        <v>3.92997</v>
      </c>
      <c r="E1847">
        <v>0.54046499999999997</v>
      </c>
      <c r="F1847" t="s">
        <v>59</v>
      </c>
      <c r="G1847">
        <v>-396.6241</v>
      </c>
      <c r="H1847">
        <v>8.0000489999999994E-2</v>
      </c>
      <c r="I1847">
        <v>290.81970000000001</v>
      </c>
      <c r="J1847">
        <v>-328.7611</v>
      </c>
      <c r="K1847">
        <v>1.109423</v>
      </c>
      <c r="L1847">
        <v>284.06110000000001</v>
      </c>
      <c r="M1847">
        <v>-0.99991240000000003</v>
      </c>
      <c r="N1847">
        <v>-1.314569E-2</v>
      </c>
      <c r="O1847">
        <v>-1.6582509999999999E-3</v>
      </c>
      <c r="P1847">
        <v>-0.99140950000000005</v>
      </c>
      <c r="Q1847">
        <v>0.10373250000000001</v>
      </c>
      <c r="R1847">
        <v>-7.9668950000000002E-2</v>
      </c>
      <c r="S1847">
        <v>-3.0549620000000002</v>
      </c>
      <c r="T1847">
        <v>-4.6011919999999998E-2</v>
      </c>
      <c r="U1847">
        <v>0.30206300000000003</v>
      </c>
      <c r="V1847">
        <v>-7.8030009999999997E-2</v>
      </c>
      <c r="W1847">
        <v>0.1167545</v>
      </c>
      <c r="X1847">
        <v>0.99009080000000005</v>
      </c>
      <c r="Y1847">
        <v>0.1000254</v>
      </c>
      <c r="Z1847">
        <v>1.413702E-3</v>
      </c>
      <c r="AA1847">
        <v>0.99498390000000003</v>
      </c>
      <c r="AB1847">
        <v>48</v>
      </c>
      <c r="AC1847">
        <v>-67.863</v>
      </c>
      <c r="AD1847">
        <v>-1.0294225100000001</v>
      </c>
      <c r="AE1847">
        <v>6.7586000000000004</v>
      </c>
      <c r="AF1847">
        <v>6.8695691174032296</v>
      </c>
      <c r="AG1847">
        <v>-1.0294225100000001</v>
      </c>
      <c r="AH1847">
        <v>67.836242273689294</v>
      </c>
      <c r="AI1847">
        <v>90.864979892664493</v>
      </c>
      <c r="AJ1847">
        <v>84.217543946786506</v>
      </c>
      <c r="AK1847">
        <v>68.190955825369898</v>
      </c>
      <c r="AL1847">
        <v>83.295168010442197</v>
      </c>
      <c r="AM1847">
        <v>94.506221363751706</v>
      </c>
      <c r="AN1847">
        <v>1.0000000439877399</v>
      </c>
    </row>
    <row r="1848" spans="1:40" x14ac:dyDescent="0.25">
      <c r="A1848" t="str">
        <f>"20190305135827930"</f>
        <v>20190305135827930</v>
      </c>
      <c r="B1848" t="str">
        <f>"1551765507920241"</f>
        <v>1551765507920241</v>
      </c>
      <c r="C1848" t="s">
        <v>40</v>
      </c>
      <c r="D1848">
        <v>3.9288690000000002</v>
      </c>
      <c r="E1848">
        <v>0.53132789999999996</v>
      </c>
      <c r="F1848" t="s">
        <v>43</v>
      </c>
      <c r="G1848">
        <v>-535.18420000000003</v>
      </c>
      <c r="H1848">
        <v>-0.05</v>
      </c>
      <c r="I1848">
        <v>290.55889999999999</v>
      </c>
      <c r="J1848">
        <v>-329.04469999999998</v>
      </c>
      <c r="K1848">
        <v>1.1094550000000001</v>
      </c>
      <c r="L1848">
        <v>284.06049999999999</v>
      </c>
      <c r="M1848">
        <v>-0.99991249999999998</v>
      </c>
      <c r="N1848">
        <v>-1.3122409999999999E-2</v>
      </c>
      <c r="O1848">
        <v>-1.759332E-3</v>
      </c>
      <c r="P1848">
        <v>-0.99142019999999997</v>
      </c>
      <c r="Q1848">
        <v>0.10339139999999999</v>
      </c>
      <c r="R1848">
        <v>-7.9977649999999997E-2</v>
      </c>
      <c r="S1848">
        <v>-3.035431</v>
      </c>
      <c r="T1848">
        <v>-1.7049189999999999E-2</v>
      </c>
      <c r="U1848">
        <v>9.5550540000000003E-2</v>
      </c>
      <c r="V1848">
        <v>-7.8249659999999999E-2</v>
      </c>
      <c r="W1848">
        <v>0.11638320000000001</v>
      </c>
      <c r="X1848">
        <v>0.99011709999999997</v>
      </c>
      <c r="Y1848">
        <v>3.3219599999999898E-2</v>
      </c>
      <c r="Z1848">
        <v>2.9809569999999998E-4</v>
      </c>
      <c r="AA1848">
        <v>0.99944809999999995</v>
      </c>
      <c r="AB1848">
        <v>48</v>
      </c>
      <c r="AC1848">
        <v>-206.1395</v>
      </c>
      <c r="AD1848">
        <v>-1.1594549999999999</v>
      </c>
      <c r="AE1848">
        <v>6.4984000000000002</v>
      </c>
      <c r="AF1848">
        <v>6.8608720978286604</v>
      </c>
      <c r="AG1848">
        <v>-1.1594549999999999</v>
      </c>
      <c r="AH1848">
        <v>206.12123265818701</v>
      </c>
      <c r="AI1848">
        <v>90.322113385514896</v>
      </c>
      <c r="AJ1848">
        <v>88.093578567029894</v>
      </c>
      <c r="AK1848">
        <v>206.238644425263</v>
      </c>
      <c r="AL1848">
        <v>83.316587431147497</v>
      </c>
      <c r="AM1848">
        <v>94.518734119950196</v>
      </c>
      <c r="AN1848">
        <v>0.99999996512238198</v>
      </c>
    </row>
    <row r="1849" spans="1:40" x14ac:dyDescent="0.25">
      <c r="A1849" t="str">
        <f>"20190305135827943"</f>
        <v>20190305135827943</v>
      </c>
      <c r="B1849" t="str">
        <f>"1551765507930977"</f>
        <v>1551765507930977</v>
      </c>
      <c r="C1849" t="s">
        <v>40</v>
      </c>
      <c r="D1849">
        <v>3.84667</v>
      </c>
      <c r="E1849">
        <v>0.5250302</v>
      </c>
      <c r="F1849" t="s">
        <v>54</v>
      </c>
      <c r="G1849">
        <v>-583.46259999999995</v>
      </c>
      <c r="H1849">
        <v>-0.1</v>
      </c>
      <c r="I1849">
        <v>285.87520000000001</v>
      </c>
      <c r="J1849">
        <v>-329.3322</v>
      </c>
      <c r="K1849">
        <v>1.109497</v>
      </c>
      <c r="L1849">
        <v>284.05990000000003</v>
      </c>
      <c r="M1849">
        <v>-0.99991240000000003</v>
      </c>
      <c r="N1849">
        <v>-1.3100789999999999E-2</v>
      </c>
      <c r="O1849">
        <v>-1.888432E-3</v>
      </c>
      <c r="P1849">
        <v>-0.99148210000000003</v>
      </c>
      <c r="Q1849">
        <v>0.1026999</v>
      </c>
      <c r="R1849">
        <v>-8.0098030000000001E-2</v>
      </c>
      <c r="S1849">
        <v>-3.029175</v>
      </c>
      <c r="T1849">
        <v>-1.4400120000000001E-2</v>
      </c>
      <c r="U1849">
        <v>2.1606449999999999E-2</v>
      </c>
      <c r="V1849">
        <v>-7.8254870000000004E-2</v>
      </c>
      <c r="W1849">
        <v>0.1156628</v>
      </c>
      <c r="X1849">
        <v>0.99020109999999995</v>
      </c>
      <c r="Y1849">
        <v>9.020686E-3</v>
      </c>
      <c r="Z1849" s="1">
        <v>6.47707E-5</v>
      </c>
      <c r="AA1849">
        <v>0.9999593</v>
      </c>
      <c r="AB1849">
        <v>48</v>
      </c>
      <c r="AC1849">
        <v>-254.13039999999901</v>
      </c>
      <c r="AD1849">
        <v>-1.209497</v>
      </c>
      <c r="AE1849">
        <v>1.8152999999999799</v>
      </c>
      <c r="AF1849">
        <v>2.2951939429572699</v>
      </c>
      <c r="AG1849">
        <v>-1.209497</v>
      </c>
      <c r="AH1849">
        <v>254.12076250560301</v>
      </c>
      <c r="AI1849">
        <v>90.272688162777001</v>
      </c>
      <c r="AJ1849">
        <v>89.482524178173193</v>
      </c>
      <c r="AK1849">
        <v>254.134005466915</v>
      </c>
      <c r="AL1849">
        <v>83.358143951284603</v>
      </c>
      <c r="AM1849">
        <v>94.518651971439098</v>
      </c>
      <c r="AN1849">
        <v>0.999999963211882</v>
      </c>
    </row>
    <row r="1850" spans="1:40" x14ac:dyDescent="0.25">
      <c r="A1850" t="str">
        <f>"20190305135827956"</f>
        <v>20190305135827956</v>
      </c>
      <c r="B1850" t="str">
        <f>"1551765507950497"</f>
        <v>1551765507950497</v>
      </c>
      <c r="C1850" t="s">
        <v>40</v>
      </c>
      <c r="D1850">
        <v>3.8781240000000001</v>
      </c>
      <c r="E1850">
        <v>0.51866699999999999</v>
      </c>
      <c r="F1850" t="s">
        <v>55</v>
      </c>
      <c r="G1850">
        <v>0</v>
      </c>
      <c r="H1850">
        <v>0</v>
      </c>
      <c r="I1850">
        <v>0</v>
      </c>
      <c r="J1850">
        <v>-329.60629999999998</v>
      </c>
      <c r="K1850">
        <v>1.1095410000000001</v>
      </c>
      <c r="L1850">
        <v>284.05930000000001</v>
      </c>
      <c r="M1850">
        <v>-0.99991249999999998</v>
      </c>
      <c r="N1850">
        <v>-1.308234E-2</v>
      </c>
      <c r="O1850">
        <v>-2.0442210000000001E-3</v>
      </c>
      <c r="P1850">
        <v>-0.99150899999999997</v>
      </c>
      <c r="Q1850">
        <v>0.1021724</v>
      </c>
      <c r="R1850">
        <v>-8.0444539999999995E-2</v>
      </c>
      <c r="S1850">
        <v>-3.0236209999999999</v>
      </c>
      <c r="T1850">
        <v>-2.5858880000000002E-3</v>
      </c>
      <c r="U1850">
        <v>-2.9479979999999999E-2</v>
      </c>
      <c r="V1850">
        <v>-7.8460639999999998E-2</v>
      </c>
      <c r="W1850">
        <v>0.11510769999999999</v>
      </c>
      <c r="X1850">
        <v>0.9902495</v>
      </c>
      <c r="Y1850">
        <v>-7.7052199999999996E-3</v>
      </c>
      <c r="Z1850" s="1">
        <v>-7.8695030000000007E-5</v>
      </c>
      <c r="AA1850">
        <v>0.99997029999999998</v>
      </c>
      <c r="AB1850">
        <v>48</v>
      </c>
      <c r="AC1850">
        <v>-3.0236209999999999</v>
      </c>
      <c r="AD1850">
        <v>-2.5858880000000002E-3</v>
      </c>
      <c r="AE1850">
        <v>-2.9479979999999999E-2</v>
      </c>
      <c r="AF1850">
        <v>-2.3298423847424601E-2</v>
      </c>
      <c r="AG1850">
        <v>-2.5858880000000002E-3</v>
      </c>
      <c r="AH1850">
        <v>3.0236727386886901</v>
      </c>
      <c r="AI1850">
        <v>90.048998700343901</v>
      </c>
      <c r="AJ1850">
        <v>90.441474674466505</v>
      </c>
      <c r="AK1850">
        <v>3.02376360419589</v>
      </c>
      <c r="AL1850">
        <v>83.390162700718605</v>
      </c>
      <c r="AM1850">
        <v>94.530263786289893</v>
      </c>
      <c r="AN1850">
        <v>0.99999996343937403</v>
      </c>
    </row>
    <row r="1851" spans="1:40" x14ac:dyDescent="0.25">
      <c r="A1851" t="str">
        <f>"20190305135827972"</f>
        <v>20190305135827972</v>
      </c>
      <c r="B1851" t="str">
        <f>"1551765507960257"</f>
        <v>1551765507960257</v>
      </c>
      <c r="C1851" t="s">
        <v>40</v>
      </c>
      <c r="D1851">
        <v>3.8640460000000001</v>
      </c>
      <c r="E1851">
        <v>0.5173297</v>
      </c>
      <c r="F1851" t="s">
        <v>65</v>
      </c>
      <c r="G1851">
        <v>-511.95909999999998</v>
      </c>
      <c r="H1851">
        <v>1.5387169999999999</v>
      </c>
      <c r="I1851">
        <v>279.10879999999997</v>
      </c>
      <c r="J1851">
        <v>-329.95080000000002</v>
      </c>
      <c r="K1851">
        <v>1.1096010000000001</v>
      </c>
      <c r="L1851">
        <v>284.05840000000001</v>
      </c>
      <c r="M1851">
        <v>-0.99991200000000002</v>
      </c>
      <c r="N1851">
        <v>-1.306206E-2</v>
      </c>
      <c r="O1851">
        <v>-2.3049009999999998E-3</v>
      </c>
      <c r="P1851">
        <v>-0.99167360000000004</v>
      </c>
      <c r="Q1851">
        <v>0.1001151</v>
      </c>
      <c r="R1851">
        <v>-8.0996170000000006E-2</v>
      </c>
      <c r="S1851">
        <v>-3.0182799999999999</v>
      </c>
      <c r="T1851">
        <v>7.1049930000000004E-3</v>
      </c>
      <c r="U1851">
        <v>-8.1939699999999893E-2</v>
      </c>
      <c r="V1851">
        <v>-7.8772399999999895E-2</v>
      </c>
      <c r="W1851">
        <v>0.1130186</v>
      </c>
      <c r="X1851">
        <v>0.99046540000000005</v>
      </c>
      <c r="Y1851">
        <v>-2.4834080000000001E-2</v>
      </c>
      <c r="Z1851">
        <v>-1.68530999999999E-4</v>
      </c>
      <c r="AA1851">
        <v>0.99969149999999996</v>
      </c>
      <c r="AB1851">
        <v>48</v>
      </c>
      <c r="AC1851">
        <v>-182.00829999999999</v>
      </c>
      <c r="AD1851">
        <v>0.429116</v>
      </c>
      <c r="AE1851">
        <v>-4.9496000000000304</v>
      </c>
      <c r="AF1851">
        <v>-4.5300147698936604</v>
      </c>
      <c r="AG1851">
        <v>0.429116</v>
      </c>
      <c r="AH1851">
        <v>182.01821474022799</v>
      </c>
      <c r="AI1851">
        <v>89.864964726948799</v>
      </c>
      <c r="AJ1851">
        <v>91.425665883801202</v>
      </c>
      <c r="AK1851">
        <v>182.07508251152001</v>
      </c>
      <c r="AL1851">
        <v>83.510645922845299</v>
      </c>
      <c r="AM1851">
        <v>94.547201971720298</v>
      </c>
      <c r="AN1851">
        <v>1.00000000177244</v>
      </c>
    </row>
    <row r="1852" spans="1:40" x14ac:dyDescent="0.25">
      <c r="A1852" t="str">
        <f>"20190305135827987"</f>
        <v>20190305135827987</v>
      </c>
      <c r="B1852" t="str">
        <f>"1551765507980754"</f>
        <v>1551765507980754</v>
      </c>
      <c r="C1852" t="s">
        <v>40</v>
      </c>
      <c r="D1852">
        <v>3.781094</v>
      </c>
      <c r="E1852">
        <v>0.51662339999999995</v>
      </c>
      <c r="F1852" t="s">
        <v>65</v>
      </c>
      <c r="G1852">
        <v>-511.95909999999998</v>
      </c>
      <c r="H1852">
        <v>1.4031419999999999</v>
      </c>
      <c r="I1852">
        <v>278.375</v>
      </c>
      <c r="J1852">
        <v>-330.25819999999999</v>
      </c>
      <c r="K1852">
        <v>1.1096629999999901</v>
      </c>
      <c r="L1852">
        <v>284.0575</v>
      </c>
      <c r="M1852">
        <v>-0.99991169999999996</v>
      </c>
      <c r="N1852">
        <v>-1.304575E-2</v>
      </c>
      <c r="O1852">
        <v>-2.5900160000000001E-3</v>
      </c>
      <c r="P1852">
        <v>-0.99173500000000003</v>
      </c>
      <c r="Q1852">
        <v>9.9170880000000003E-2</v>
      </c>
      <c r="R1852">
        <v>-8.1407409999999999E-2</v>
      </c>
      <c r="S1852">
        <v>-3.0169679999999999</v>
      </c>
      <c r="T1852">
        <v>4.867077E-3</v>
      </c>
      <c r="U1852">
        <v>-9.4207760000000001E-2</v>
      </c>
      <c r="V1852">
        <v>-7.8919530000000002E-2</v>
      </c>
      <c r="W1852">
        <v>0.1120463</v>
      </c>
      <c r="X1852">
        <v>0.99056420000000001</v>
      </c>
      <c r="Y1852">
        <v>-2.8622229999999999E-2</v>
      </c>
      <c r="Z1852">
        <v>-2.016295E-4</v>
      </c>
      <c r="AA1852">
        <v>0.99959030000000004</v>
      </c>
      <c r="AB1852">
        <v>48</v>
      </c>
      <c r="AC1852">
        <v>-181.70089999999999</v>
      </c>
      <c r="AD1852">
        <v>0.29347899999999999</v>
      </c>
      <c r="AE1852">
        <v>-5.6825000000000001</v>
      </c>
      <c r="AF1852">
        <v>-5.2118191361059099</v>
      </c>
      <c r="AG1852">
        <v>0.29347899999999999</v>
      </c>
      <c r="AH1852">
        <v>181.71453587751</v>
      </c>
      <c r="AI1852">
        <v>89.907502273093698</v>
      </c>
      <c r="AJ1852">
        <v>91.642870212507006</v>
      </c>
      <c r="AK1852">
        <v>181.78949842554101</v>
      </c>
      <c r="AL1852">
        <v>83.566711043515497</v>
      </c>
      <c r="AM1852">
        <v>94.555206980553507</v>
      </c>
      <c r="AN1852">
        <v>1.0000000499403701</v>
      </c>
    </row>
    <row r="1853" spans="1:40" x14ac:dyDescent="0.25">
      <c r="A1853" t="str">
        <f>"20190305135828002"</f>
        <v>20190305135828002</v>
      </c>
      <c r="B1853" t="str">
        <f>"1551765507990514"</f>
        <v>1551765507990514</v>
      </c>
      <c r="C1853" t="s">
        <v>40</v>
      </c>
      <c r="D1853">
        <v>3.8180019999999999</v>
      </c>
      <c r="E1853">
        <v>0.51659820000000001</v>
      </c>
      <c r="F1853" t="s">
        <v>65</v>
      </c>
      <c r="G1853">
        <v>-511.95920000000001</v>
      </c>
      <c r="H1853">
        <v>1.7049749999999999</v>
      </c>
      <c r="I1853">
        <v>277.94729999999998</v>
      </c>
      <c r="J1853">
        <v>-330.57499999999999</v>
      </c>
      <c r="K1853">
        <v>1.1097319999999999</v>
      </c>
      <c r="L1853">
        <v>284.05650000000003</v>
      </c>
      <c r="M1853">
        <v>-0.99991090000000005</v>
      </c>
      <c r="N1853">
        <v>-1.3030419999999999E-2</v>
      </c>
      <c r="O1853">
        <v>-2.9317549999999999E-3</v>
      </c>
      <c r="P1853">
        <v>-0.99180900000000005</v>
      </c>
      <c r="Q1853">
        <v>9.8019700000000001E-2</v>
      </c>
      <c r="R1853">
        <v>-8.1900520000000004E-2</v>
      </c>
      <c r="S1853">
        <v>-3.0156559999999999</v>
      </c>
      <c r="T1853">
        <v>9.8816159999999993E-3</v>
      </c>
      <c r="U1853">
        <v>-0.1014099</v>
      </c>
      <c r="V1853">
        <v>-7.9092549999999998E-2</v>
      </c>
      <c r="W1853">
        <v>0.1108664</v>
      </c>
      <c r="X1853">
        <v>0.99068310000000004</v>
      </c>
      <c r="Y1853">
        <v>-3.0679209999999998E-2</v>
      </c>
      <c r="Z1853">
        <v>-1.974914E-4</v>
      </c>
      <c r="AA1853">
        <v>0.99952920000000001</v>
      </c>
      <c r="AB1853">
        <v>48</v>
      </c>
      <c r="AC1853">
        <v>-181.38419999999999</v>
      </c>
      <c r="AD1853">
        <v>0.59524299999999997</v>
      </c>
      <c r="AE1853">
        <v>-6.1092000000000404</v>
      </c>
      <c r="AF1853">
        <v>-5.5772946102113599</v>
      </c>
      <c r="AG1853">
        <v>0.59524299999999997</v>
      </c>
      <c r="AH1853">
        <v>181.39938120645999</v>
      </c>
      <c r="AI1853">
        <v>89.812079397751006</v>
      </c>
      <c r="AJ1853">
        <v>91.761057859869993</v>
      </c>
      <c r="AK1853">
        <v>181.48607668767599</v>
      </c>
      <c r="AL1853">
        <v>83.634737853125699</v>
      </c>
      <c r="AM1853">
        <v>94.564605880425503</v>
      </c>
      <c r="AN1853">
        <v>0.99999999737003598</v>
      </c>
    </row>
    <row r="1854" spans="1:40" x14ac:dyDescent="0.25">
      <c r="A1854" t="str">
        <f>"20190305135828018"</f>
        <v>20190305135828018</v>
      </c>
      <c r="B1854" t="str">
        <f>"1551765508011009"</f>
        <v>1551765508011009</v>
      </c>
      <c r="C1854" t="s">
        <v>40</v>
      </c>
      <c r="D1854">
        <v>3.8029199999999999</v>
      </c>
      <c r="E1854">
        <v>0.51604629999999996</v>
      </c>
      <c r="F1854" t="s">
        <v>65</v>
      </c>
      <c r="G1854">
        <v>-511.95920000000001</v>
      </c>
      <c r="H1854">
        <v>1.7982049999999901</v>
      </c>
      <c r="I1854">
        <v>277.85680000000002</v>
      </c>
      <c r="J1854">
        <v>-330.93560000000002</v>
      </c>
      <c r="K1854">
        <v>1.109807</v>
      </c>
      <c r="L1854">
        <v>284.05509999999998</v>
      </c>
      <c r="M1854">
        <v>-0.99990950000000001</v>
      </c>
      <c r="N1854">
        <v>-1.3014909999999999E-2</v>
      </c>
      <c r="O1854">
        <v>-3.390091E-3</v>
      </c>
      <c r="P1854">
        <v>-0.99197230000000003</v>
      </c>
      <c r="Q1854">
        <v>9.5880889999999996E-2</v>
      </c>
      <c r="R1854">
        <v>-8.2448889999999997E-2</v>
      </c>
      <c r="S1854">
        <v>-3.0151669999999999</v>
      </c>
      <c r="T1854">
        <v>1.144588E-2</v>
      </c>
      <c r="U1854">
        <v>-0.10305789999999999</v>
      </c>
      <c r="V1854">
        <v>-7.9207520000000003E-2</v>
      </c>
      <c r="W1854">
        <v>0.10869760000000001</v>
      </c>
      <c r="X1854">
        <v>0.99091419999999997</v>
      </c>
      <c r="Y1854">
        <v>-3.0772290000000001E-2</v>
      </c>
      <c r="Z1854">
        <v>-1.9890009999999999E-4</v>
      </c>
      <c r="AA1854">
        <v>0.99952640000000004</v>
      </c>
      <c r="AB1854">
        <v>48</v>
      </c>
      <c r="AC1854">
        <v>-181.02359999999999</v>
      </c>
      <c r="AD1854">
        <v>0.68839799999999896</v>
      </c>
      <c r="AE1854">
        <v>-6.1982999999999597</v>
      </c>
      <c r="AF1854">
        <v>-5.5844452187542002</v>
      </c>
      <c r="AG1854">
        <v>0.68839799999999896</v>
      </c>
      <c r="AH1854">
        <v>181.040959145633</v>
      </c>
      <c r="AI1854">
        <v>89.782240664208302</v>
      </c>
      <c r="AJ1854">
        <v>91.766803046377404</v>
      </c>
      <c r="AK1854">
        <v>181.128376596762</v>
      </c>
      <c r="AL1854">
        <v>83.759756481573604</v>
      </c>
      <c r="AM1854">
        <v>94.570151375878595</v>
      </c>
      <c r="AN1854">
        <v>0.99999997561597398</v>
      </c>
    </row>
    <row r="1855" spans="1:40" x14ac:dyDescent="0.25">
      <c r="A1855" t="str">
        <f>"20190305135828041"</f>
        <v>20190305135828041</v>
      </c>
      <c r="B1855" t="str">
        <f>"1551765508030529"</f>
        <v>1551765508030529</v>
      </c>
      <c r="C1855" t="s">
        <v>40</v>
      </c>
      <c r="D1855">
        <v>3.787782</v>
      </c>
      <c r="E1855">
        <v>0.51586279999999995</v>
      </c>
      <c r="F1855" t="s">
        <v>65</v>
      </c>
      <c r="G1855">
        <v>-511.959</v>
      </c>
      <c r="H1855">
        <v>1.3113729999999999</v>
      </c>
      <c r="I1855">
        <v>277.51530000000002</v>
      </c>
      <c r="J1855">
        <v>-331.41879999999998</v>
      </c>
      <c r="K1855">
        <v>1.1099190000000001</v>
      </c>
      <c r="L1855">
        <v>284.05279999999999</v>
      </c>
      <c r="M1855">
        <v>-0.99990710000000005</v>
      </c>
      <c r="N1855">
        <v>-1.2996870000000001E-2</v>
      </c>
      <c r="O1855">
        <v>-4.1232179999999997E-3</v>
      </c>
      <c r="P1855">
        <v>-0.99200600000000005</v>
      </c>
      <c r="Q1855">
        <v>9.4912880000000005E-2</v>
      </c>
      <c r="R1855">
        <v>-8.3162899999999901E-2</v>
      </c>
      <c r="S1855">
        <v>-3.0148929999999998</v>
      </c>
      <c r="T1855">
        <v>3.358364E-3</v>
      </c>
      <c r="U1855">
        <v>-0.10891720000000001</v>
      </c>
      <c r="V1855">
        <v>-7.9223829999999995E-2</v>
      </c>
      <c r="W1855">
        <v>0.1076903</v>
      </c>
      <c r="X1855">
        <v>0.99102290000000004</v>
      </c>
      <c r="Y1855">
        <v>-3.1982289999999997E-2</v>
      </c>
      <c r="Z1855">
        <v>-2.4826960000000001E-4</v>
      </c>
      <c r="AA1855">
        <v>0.99948840000000005</v>
      </c>
      <c r="AB1855">
        <v>48</v>
      </c>
      <c r="AC1855">
        <v>-180.5402</v>
      </c>
      <c r="AD1855">
        <v>0.20145399999999899</v>
      </c>
      <c r="AE1855">
        <v>-6.5374999999999597</v>
      </c>
      <c r="AF1855">
        <v>-5.7929677805508497</v>
      </c>
      <c r="AG1855">
        <v>0.20145399999999899</v>
      </c>
      <c r="AH1855">
        <v>180.565398344496</v>
      </c>
      <c r="AI1855">
        <v>89.936108890944297</v>
      </c>
      <c r="AJ1855">
        <v>91.837554709222601</v>
      </c>
      <c r="AK1855">
        <v>180.65841286451899</v>
      </c>
      <c r="AL1855">
        <v>83.817811482075996</v>
      </c>
      <c r="AM1855">
        <v>94.570589196139906</v>
      </c>
      <c r="AN1855">
        <v>1.0000000021391799</v>
      </c>
    </row>
    <row r="1856" spans="1:40" x14ac:dyDescent="0.25">
      <c r="A1856" t="str">
        <f>"20190305135828060"</f>
        <v>20190305135828060</v>
      </c>
      <c r="B1856" t="str">
        <f>"1551765508051029"</f>
        <v>1551765508051029</v>
      </c>
      <c r="C1856" t="s">
        <v>40</v>
      </c>
      <c r="D1856">
        <v>3.7926319999999998</v>
      </c>
      <c r="E1856">
        <v>0.51577499999999998</v>
      </c>
      <c r="F1856" t="s">
        <v>65</v>
      </c>
      <c r="G1856">
        <v>-511.95909999999998</v>
      </c>
      <c r="H1856">
        <v>1.352285</v>
      </c>
      <c r="I1856">
        <v>277.32100000000003</v>
      </c>
      <c r="J1856">
        <v>-331.84989999999999</v>
      </c>
      <c r="K1856">
        <v>1.110017</v>
      </c>
      <c r="L1856">
        <v>284.0505</v>
      </c>
      <c r="M1856">
        <v>-0.99990400000000002</v>
      </c>
      <c r="N1856">
        <v>-1.29792E-2</v>
      </c>
      <c r="O1856">
        <v>-4.8572499999999996E-3</v>
      </c>
      <c r="P1856">
        <v>-0.99203180000000002</v>
      </c>
      <c r="Q1856">
        <v>9.4249429999999995E-2</v>
      </c>
      <c r="R1856">
        <v>-8.3605680000000002E-2</v>
      </c>
      <c r="S1856">
        <v>-3.0143740000000001</v>
      </c>
      <c r="T1856">
        <v>4.0479899999999996E-3</v>
      </c>
      <c r="U1856">
        <v>-0.1123962</v>
      </c>
      <c r="V1856">
        <v>-7.8963279999999997E-2</v>
      </c>
      <c r="W1856">
        <v>0.1069919</v>
      </c>
      <c r="X1856">
        <v>0.99111930000000004</v>
      </c>
      <c r="Y1856">
        <v>-3.2406900000000002E-2</v>
      </c>
      <c r="Z1856">
        <v>-2.5818260000000002E-4</v>
      </c>
      <c r="AA1856">
        <v>0.99947470000000005</v>
      </c>
      <c r="AB1856">
        <v>48</v>
      </c>
      <c r="AC1856">
        <v>-180.10919999999999</v>
      </c>
      <c r="AD1856">
        <v>0.24226799999999901</v>
      </c>
      <c r="AE1856">
        <v>-6.72950000000003</v>
      </c>
      <c r="AF1856">
        <v>-5.8545009427774204</v>
      </c>
      <c r="AG1856">
        <v>0.24226799999999901</v>
      </c>
      <c r="AH1856">
        <v>180.13943911967601</v>
      </c>
      <c r="AI1856">
        <v>89.922984102568904</v>
      </c>
      <c r="AJ1856">
        <v>91.861447835356699</v>
      </c>
      <c r="AK1856">
        <v>180.23471197697799</v>
      </c>
      <c r="AL1856">
        <v>83.858059178058298</v>
      </c>
      <c r="AM1856">
        <v>94.555179663699803</v>
      </c>
      <c r="AN1856">
        <v>0.99999996654322798</v>
      </c>
    </row>
    <row r="1857" spans="1:40" x14ac:dyDescent="0.25">
      <c r="A1857" t="str">
        <f>"20190305135828084"</f>
        <v>20190305135828084</v>
      </c>
      <c r="B1857" t="str">
        <f>"1551765508080305"</f>
        <v>1551765508080305</v>
      </c>
      <c r="C1857" t="s">
        <v>40</v>
      </c>
      <c r="D1857">
        <v>3.7834439999999998</v>
      </c>
      <c r="E1857">
        <v>0.51579049999999904</v>
      </c>
      <c r="F1857" t="s">
        <v>65</v>
      </c>
      <c r="G1857">
        <v>-511.95909999999998</v>
      </c>
      <c r="H1857">
        <v>1.4285840000000001</v>
      </c>
      <c r="I1857">
        <v>277.21710000000002</v>
      </c>
      <c r="J1857">
        <v>-332.33789999999999</v>
      </c>
      <c r="K1857">
        <v>1.110117</v>
      </c>
      <c r="L1857">
        <v>284.04750000000001</v>
      </c>
      <c r="M1857">
        <v>-0.9998996</v>
      </c>
      <c r="N1857">
        <v>-1.295704E-2</v>
      </c>
      <c r="O1857">
        <v>-5.7641510000000003E-3</v>
      </c>
      <c r="P1857">
        <v>-0.99197939999999996</v>
      </c>
      <c r="Q1857">
        <v>9.3984769999999995E-2</v>
      </c>
      <c r="R1857">
        <v>-8.4523879999999996E-2</v>
      </c>
      <c r="S1857">
        <v>-3.0139469999999999</v>
      </c>
      <c r="T1857">
        <v>5.3322319999999897E-3</v>
      </c>
      <c r="U1857">
        <v>-0.1143494</v>
      </c>
      <c r="V1857">
        <v>-7.9007010000000003E-2</v>
      </c>
      <c r="W1857">
        <v>0.10668569999999999</v>
      </c>
      <c r="X1857">
        <v>0.9911489</v>
      </c>
      <c r="Y1857">
        <v>-3.2152630000000001E-2</v>
      </c>
      <c r="Z1857">
        <v>-2.6481049999999999E-4</v>
      </c>
      <c r="AA1857">
        <v>0.99948289999999995</v>
      </c>
      <c r="AB1857">
        <v>48</v>
      </c>
      <c r="AC1857">
        <v>-179.62119999999999</v>
      </c>
      <c r="AD1857">
        <v>0.318467</v>
      </c>
      <c r="AE1857">
        <v>-6.8303999999999903</v>
      </c>
      <c r="AF1857">
        <v>-5.7948178432146999</v>
      </c>
      <c r="AG1857">
        <v>0.318467</v>
      </c>
      <c r="AH1857">
        <v>179.65702629805099</v>
      </c>
      <c r="AI1857">
        <v>89.898488180979299</v>
      </c>
      <c r="AJ1857">
        <v>91.8474286394747</v>
      </c>
      <c r="AK1857">
        <v>179.75073972956201</v>
      </c>
      <c r="AL1857">
        <v>83.875704616653294</v>
      </c>
      <c r="AM1857">
        <v>94.557556165657402</v>
      </c>
      <c r="AN1857">
        <v>1.0000000440924099</v>
      </c>
    </row>
    <row r="1858" spans="1:40" x14ac:dyDescent="0.25">
      <c r="A1858" t="str">
        <f>"20190305135828095"</f>
        <v>20190305135828095</v>
      </c>
      <c r="B1858" t="str">
        <f>"1551765508091041"</f>
        <v>1551765508091041</v>
      </c>
      <c r="C1858" t="s">
        <v>40</v>
      </c>
      <c r="D1858">
        <v>3.8536510000000002</v>
      </c>
      <c r="E1858">
        <v>0.51563760000000003</v>
      </c>
      <c r="F1858" t="s">
        <v>65</v>
      </c>
      <c r="G1858">
        <v>-511.95909999999998</v>
      </c>
      <c r="H1858">
        <v>1.5973139999999999</v>
      </c>
      <c r="I1858">
        <v>277.07330000000002</v>
      </c>
      <c r="J1858">
        <v>-332.60559999999998</v>
      </c>
      <c r="K1858">
        <v>1.110166</v>
      </c>
      <c r="L1858">
        <v>284.04559999999998</v>
      </c>
      <c r="M1858">
        <v>-0.99989649999999997</v>
      </c>
      <c r="N1858">
        <v>-1.2943629999999999E-2</v>
      </c>
      <c r="O1858">
        <v>-6.2836300000000001E-3</v>
      </c>
      <c r="P1858">
        <v>-0.99197630000000003</v>
      </c>
      <c r="Q1858">
        <v>9.3668580000000001E-2</v>
      </c>
      <c r="R1858">
        <v>-8.4909890000000002E-2</v>
      </c>
      <c r="S1858">
        <v>-3.0134889999999999</v>
      </c>
      <c r="T1858">
        <v>8.1750150000000008E-3</v>
      </c>
      <c r="U1858">
        <v>-0.117004399999999</v>
      </c>
      <c r="V1858">
        <v>-7.889032E-2</v>
      </c>
      <c r="W1858">
        <v>0.1063476</v>
      </c>
      <c r="X1858">
        <v>0.99119449999999998</v>
      </c>
      <c r="Y1858">
        <v>-3.2518680000000001E-2</v>
      </c>
      <c r="Z1858">
        <v>-2.647967E-4</v>
      </c>
      <c r="AA1858">
        <v>0.99947109999999995</v>
      </c>
      <c r="AB1858">
        <v>48</v>
      </c>
      <c r="AC1858">
        <v>-179.3535</v>
      </c>
      <c r="AD1858">
        <v>0.48714799999999903</v>
      </c>
      <c r="AE1858">
        <v>-6.9722999999999598</v>
      </c>
      <c r="AF1858">
        <v>-5.8450338389068097</v>
      </c>
      <c r="AG1858">
        <v>0.48714799999999903</v>
      </c>
      <c r="AH1858">
        <v>179.392452148518</v>
      </c>
      <c r="AI1858">
        <v>89.844493724514095</v>
      </c>
      <c r="AJ1858">
        <v>91.866172917178702</v>
      </c>
      <c r="AK1858">
        <v>179.488310543083</v>
      </c>
      <c r="AL1858">
        <v>83.895186982842006</v>
      </c>
      <c r="AM1858">
        <v>94.550644661264201</v>
      </c>
      <c r="AN1858">
        <v>1.0000000157228499</v>
      </c>
    </row>
    <row r="1859" spans="1:40" x14ac:dyDescent="0.25">
      <c r="A1859" t="str">
        <f>"20190305135828108"</f>
        <v>20190305135828108</v>
      </c>
      <c r="B1859" t="str">
        <f>"1551765508100801"</f>
        <v>1551765508100801</v>
      </c>
      <c r="C1859" t="s">
        <v>40</v>
      </c>
      <c r="D1859">
        <v>3.8385590000000001</v>
      </c>
      <c r="E1859">
        <v>0.51563760000000003</v>
      </c>
      <c r="F1859" t="s">
        <v>65</v>
      </c>
      <c r="G1859">
        <v>-511.95920000000001</v>
      </c>
      <c r="H1859">
        <v>1.613607</v>
      </c>
      <c r="I1859">
        <v>276.9359</v>
      </c>
      <c r="J1859">
        <v>-332.87900000000002</v>
      </c>
      <c r="K1859">
        <v>1.1102110000000001</v>
      </c>
      <c r="L1859">
        <v>284.04349999999999</v>
      </c>
      <c r="M1859">
        <v>-0.99989320000000004</v>
      </c>
      <c r="N1859">
        <v>-1.2929339999999999E-2</v>
      </c>
      <c r="O1859">
        <v>-6.8324700000000002E-3</v>
      </c>
      <c r="P1859">
        <v>-0.99196329999999999</v>
      </c>
      <c r="Q1859">
        <v>9.3524830000000003E-2</v>
      </c>
      <c r="R1859">
        <v>-8.5219760000000006E-2</v>
      </c>
      <c r="S1859">
        <v>-3.013245</v>
      </c>
      <c r="T1859">
        <v>8.4594490000000008E-3</v>
      </c>
      <c r="U1859">
        <v>-0.1194458</v>
      </c>
      <c r="V1859">
        <v>-7.8667210000000001E-2</v>
      </c>
      <c r="W1859">
        <v>0.1061817</v>
      </c>
      <c r="X1859">
        <v>0.99123000000000006</v>
      </c>
      <c r="Y1859">
        <v>-3.2781860000000003E-2</v>
      </c>
      <c r="Z1859">
        <v>-2.7350049999999999E-4</v>
      </c>
      <c r="AA1859">
        <v>0.99946250000000003</v>
      </c>
      <c r="AB1859">
        <v>48</v>
      </c>
      <c r="AC1859">
        <v>-179.08019999999999</v>
      </c>
      <c r="AD1859">
        <v>0.50339599999999995</v>
      </c>
      <c r="AE1859">
        <v>-7.1075999999999899</v>
      </c>
      <c r="AF1859">
        <v>-5.8837254342507901</v>
      </c>
      <c r="AG1859">
        <v>0.50339599999999995</v>
      </c>
      <c r="AH1859">
        <v>179.12317263756299</v>
      </c>
      <c r="AI1859">
        <v>89.839066923710305</v>
      </c>
      <c r="AJ1859">
        <v>91.881339338302993</v>
      </c>
      <c r="AK1859">
        <v>179.22048601726499</v>
      </c>
      <c r="AL1859">
        <v>83.904746371830896</v>
      </c>
      <c r="AM1859">
        <v>94.537666953399906</v>
      </c>
      <c r="AN1859">
        <v>0.99999999812203699</v>
      </c>
    </row>
    <row r="1860" spans="1:40" x14ac:dyDescent="0.25">
      <c r="A1860" t="str">
        <f>"20190305135828120"</f>
        <v>20190305135828120</v>
      </c>
      <c r="B1860" t="str">
        <f>"1551765508110561"</f>
        <v>1551765508110561</v>
      </c>
      <c r="C1860" t="s">
        <v>40</v>
      </c>
      <c r="D1860">
        <v>3.8524389999999999</v>
      </c>
      <c r="E1860">
        <v>0.49134729999999999</v>
      </c>
      <c r="F1860" t="s">
        <v>65</v>
      </c>
      <c r="G1860">
        <v>-511.95909999999998</v>
      </c>
      <c r="H1860">
        <v>1.586762</v>
      </c>
      <c r="I1860">
        <v>276.89400000000001</v>
      </c>
      <c r="J1860">
        <v>-333.12889999999999</v>
      </c>
      <c r="K1860">
        <v>1.1102459999999901</v>
      </c>
      <c r="L1860">
        <v>284.04160000000002</v>
      </c>
      <c r="M1860">
        <v>-0.99988969999999999</v>
      </c>
      <c r="N1860">
        <v>-1.2916270000000001E-2</v>
      </c>
      <c r="O1860">
        <v>-7.338888E-3</v>
      </c>
      <c r="P1860">
        <v>-0.99194150000000003</v>
      </c>
      <c r="Q1860">
        <v>9.3086940000000007E-2</v>
      </c>
      <c r="R1860">
        <v>-8.5948559999999993E-2</v>
      </c>
      <c r="S1860">
        <v>-3.013245</v>
      </c>
      <c r="T1860">
        <v>8.0199239999999995E-3</v>
      </c>
      <c r="U1860">
        <v>-0.1203003</v>
      </c>
      <c r="V1860">
        <v>-7.8902689999999998E-2</v>
      </c>
      <c r="W1860">
        <v>0.1057232</v>
      </c>
      <c r="X1860">
        <v>0.99126029999999998</v>
      </c>
      <c r="Y1860">
        <v>-3.2558660000000003E-2</v>
      </c>
      <c r="Z1860">
        <v>-2.8133269999999999E-4</v>
      </c>
      <c r="AA1860">
        <v>0.99946979999999996</v>
      </c>
      <c r="AB1860">
        <v>48</v>
      </c>
      <c r="AC1860">
        <v>-178.83019999999999</v>
      </c>
      <c r="AD1860">
        <v>0.476516</v>
      </c>
      <c r="AE1860">
        <v>-7.1476000000000104</v>
      </c>
      <c r="AF1860">
        <v>-5.8348418892888096</v>
      </c>
      <c r="AG1860">
        <v>0.476516</v>
      </c>
      <c r="AH1860">
        <v>178.87657506716499</v>
      </c>
      <c r="AI1860">
        <v>89.847449127503495</v>
      </c>
      <c r="AJ1860">
        <v>91.868290009553107</v>
      </c>
      <c r="AK1860">
        <v>178.97234857689801</v>
      </c>
      <c r="AL1860">
        <v>83.931165240931904</v>
      </c>
      <c r="AM1860">
        <v>94.551054354165203</v>
      </c>
      <c r="AN1860">
        <v>1.00000000593178</v>
      </c>
    </row>
    <row r="1861" spans="1:40" x14ac:dyDescent="0.25">
      <c r="A1861" t="str">
        <f>"20190305135828132"</f>
        <v>20190305135828132</v>
      </c>
      <c r="B1861" t="str">
        <f>"1551765508120321"</f>
        <v>1551765508120321</v>
      </c>
      <c r="C1861" t="s">
        <v>40</v>
      </c>
      <c r="D1861">
        <v>3.8474940000000002</v>
      </c>
      <c r="E1861">
        <v>0.48953580000000002</v>
      </c>
      <c r="F1861" t="s">
        <v>61</v>
      </c>
      <c r="G1861">
        <v>-429.9776</v>
      </c>
      <c r="H1861">
        <v>6.9828849999999998E-2</v>
      </c>
      <c r="I1861">
        <v>273.9024</v>
      </c>
      <c r="J1861">
        <v>-333.38869999999997</v>
      </c>
      <c r="K1861">
        <v>1.110277</v>
      </c>
      <c r="L1861">
        <v>284.03930000000003</v>
      </c>
      <c r="M1861">
        <v>-0.99988580000000005</v>
      </c>
      <c r="N1861">
        <v>-1.2903110000000001E-2</v>
      </c>
      <c r="O1861">
        <v>-7.8741929999999998E-3</v>
      </c>
      <c r="P1861">
        <v>-0.99195949999999999</v>
      </c>
      <c r="Q1861">
        <v>9.2599500000000001E-2</v>
      </c>
      <c r="R1861">
        <v>-8.6266060000000006E-2</v>
      </c>
      <c r="S1861">
        <v>-3.0001530000000001</v>
      </c>
      <c r="T1861">
        <v>-3.222978E-2</v>
      </c>
      <c r="U1861">
        <v>-0.3140869</v>
      </c>
      <c r="V1861">
        <v>-7.8696139999999998E-2</v>
      </c>
      <c r="W1861">
        <v>0.1052172</v>
      </c>
      <c r="X1861">
        <v>0.99133059999999995</v>
      </c>
      <c r="Y1861">
        <v>-9.6273860000000003E-2</v>
      </c>
      <c r="Z1861">
        <v>-1.155564E-3</v>
      </c>
      <c r="AA1861">
        <v>0.99535419999999997</v>
      </c>
      <c r="AB1861">
        <v>48</v>
      </c>
      <c r="AC1861">
        <v>-96.588899999999995</v>
      </c>
      <c r="AD1861">
        <v>-1.04044815</v>
      </c>
      <c r="AE1861">
        <v>-10.136900000000001</v>
      </c>
      <c r="AF1861">
        <v>-9.37488680582595</v>
      </c>
      <c r="AG1861">
        <v>-1.04044815</v>
      </c>
      <c r="AH1861">
        <v>96.654638534126306</v>
      </c>
      <c r="AI1861">
        <v>90.613861553992905</v>
      </c>
      <c r="AJ1861">
        <v>95.539997519527404</v>
      </c>
      <c r="AK1861">
        <v>97.113800178643501</v>
      </c>
      <c r="AL1861">
        <v>83.960319782046696</v>
      </c>
      <c r="AM1861">
        <v>94.538869990152605</v>
      </c>
      <c r="AN1861">
        <v>1.00000005006154</v>
      </c>
    </row>
    <row r="1862" spans="1:40" x14ac:dyDescent="0.25">
      <c r="A1862" t="str">
        <f>"20190305135828144"</f>
        <v>20190305135828144</v>
      </c>
      <c r="B1862" t="str">
        <f>"1551765508140817"</f>
        <v>1551765508140817</v>
      </c>
      <c r="C1862" t="s">
        <v>40</v>
      </c>
      <c r="D1862">
        <v>3.811248</v>
      </c>
      <c r="E1862">
        <v>0.48938619999999999</v>
      </c>
      <c r="F1862" t="s">
        <v>61</v>
      </c>
      <c r="G1862">
        <v>-403.91489999999999</v>
      </c>
      <c r="H1862">
        <v>8.0001349999999999E-2</v>
      </c>
      <c r="I1862">
        <v>276.29840000000002</v>
      </c>
      <c r="J1862">
        <v>-333.63670000000002</v>
      </c>
      <c r="K1862">
        <v>1.110304</v>
      </c>
      <c r="L1862">
        <v>284.03710000000001</v>
      </c>
      <c r="M1862">
        <v>-0.99988180000000004</v>
      </c>
      <c r="N1862">
        <v>-1.2891120000000001E-2</v>
      </c>
      <c r="O1862">
        <v>-8.3852140000000002E-3</v>
      </c>
      <c r="P1862">
        <v>-0.99195160000000004</v>
      </c>
      <c r="Q1862">
        <v>9.2032069999999994E-2</v>
      </c>
      <c r="R1862">
        <v>-8.6962139999999993E-2</v>
      </c>
      <c r="S1862">
        <v>-2.9997859999999998</v>
      </c>
      <c r="T1862">
        <v>-4.3822170000000001E-2</v>
      </c>
      <c r="U1862">
        <v>-0.3292542</v>
      </c>
      <c r="V1862">
        <v>-7.8891530000000001E-2</v>
      </c>
      <c r="W1862">
        <v>0.1046325</v>
      </c>
      <c r="X1862">
        <v>0.99137690000000001</v>
      </c>
      <c r="Y1862">
        <v>-0.10074420000000001</v>
      </c>
      <c r="Z1862">
        <v>-1.3706860000000001E-3</v>
      </c>
      <c r="AA1862">
        <v>0.9949114</v>
      </c>
      <c r="AB1862">
        <v>48</v>
      </c>
      <c r="AC1862">
        <v>-70.278199999999899</v>
      </c>
      <c r="AD1862">
        <v>-1.0303026500000001</v>
      </c>
      <c r="AE1862">
        <v>-7.7386999999999899</v>
      </c>
      <c r="AF1862">
        <v>-7.1475634114138602</v>
      </c>
      <c r="AG1862">
        <v>-1.0303026500000001</v>
      </c>
      <c r="AH1862">
        <v>70.325691174446206</v>
      </c>
      <c r="AI1862">
        <v>90.835047398605994</v>
      </c>
      <c r="AJ1862">
        <v>95.8033386393694</v>
      </c>
      <c r="AK1862">
        <v>70.695488013269696</v>
      </c>
      <c r="AL1862">
        <v>83.994006241372404</v>
      </c>
      <c r="AM1862">
        <v>94.549880410399695</v>
      </c>
      <c r="AN1862">
        <v>0.99999999570779996</v>
      </c>
    </row>
    <row r="1863" spans="1:40" x14ac:dyDescent="0.25">
      <c r="A1863" t="str">
        <f>"20190305135828157"</f>
        <v>20190305135828157</v>
      </c>
      <c r="B1863" t="str">
        <f>"1551765508150577"</f>
        <v>1551765508150577</v>
      </c>
      <c r="C1863" t="s">
        <v>40</v>
      </c>
      <c r="D1863">
        <v>3.8379699999999999</v>
      </c>
      <c r="E1863">
        <v>0.48933199999999999</v>
      </c>
      <c r="F1863" t="s">
        <v>61</v>
      </c>
      <c r="G1863">
        <v>-418.97559999999999</v>
      </c>
      <c r="H1863" s="1">
        <v>5.973735E-6</v>
      </c>
      <c r="I1863">
        <v>274.5745</v>
      </c>
      <c r="J1863">
        <v>-333.91989999999998</v>
      </c>
      <c r="K1863">
        <v>1.1103320000000001</v>
      </c>
      <c r="L1863">
        <v>284.03440000000001</v>
      </c>
      <c r="M1863">
        <v>-0.99987689999999996</v>
      </c>
      <c r="N1863">
        <v>-1.287805E-2</v>
      </c>
      <c r="O1863">
        <v>-8.9691919999999904E-3</v>
      </c>
      <c r="P1863">
        <v>-0.99194280000000001</v>
      </c>
      <c r="Q1863">
        <v>9.1579400000000005E-2</v>
      </c>
      <c r="R1863">
        <v>-8.753938E-2</v>
      </c>
      <c r="S1863">
        <v>-2.99884</v>
      </c>
      <c r="T1863">
        <v>-3.9016250000000002E-2</v>
      </c>
      <c r="U1863">
        <v>-0.33251950000000002</v>
      </c>
      <c r="V1863">
        <v>-7.8895919999999994E-2</v>
      </c>
      <c r="W1863">
        <v>0.10416110000000001</v>
      </c>
      <c r="X1863">
        <v>0.99142620000000004</v>
      </c>
      <c r="Y1863">
        <v>-0.1012706</v>
      </c>
      <c r="Z1863">
        <v>-1.3097619999999999E-3</v>
      </c>
      <c r="AA1863">
        <v>0.99485800000000002</v>
      </c>
      <c r="AB1863">
        <v>48</v>
      </c>
      <c r="AC1863">
        <v>-85.055700000000002</v>
      </c>
      <c r="AD1863">
        <v>-1.1103260262650001</v>
      </c>
      <c r="AE1863">
        <v>-9.4598999999999993</v>
      </c>
      <c r="AF1863">
        <v>-8.6951116645395299</v>
      </c>
      <c r="AG1863">
        <v>-1.1103260262650001</v>
      </c>
      <c r="AH1863">
        <v>85.122804337537104</v>
      </c>
      <c r="AI1863">
        <v>90.743444991420603</v>
      </c>
      <c r="AJ1863">
        <v>95.832411488840293</v>
      </c>
      <c r="AK1863">
        <v>85.572949049510001</v>
      </c>
      <c r="AL1863">
        <v>84.021163927697003</v>
      </c>
      <c r="AM1863">
        <v>94.549907218613399</v>
      </c>
      <c r="AN1863">
        <v>1.00000000549614</v>
      </c>
    </row>
    <row r="1864" spans="1:40" x14ac:dyDescent="0.25">
      <c r="A1864" t="str">
        <f>"20190305135828173"</f>
        <v>20190305135828173</v>
      </c>
      <c r="B1864" t="str">
        <f>"1551765508160337"</f>
        <v>1551765508160337</v>
      </c>
      <c r="C1864" t="s">
        <v>40</v>
      </c>
      <c r="D1864">
        <v>3.7916789999999998</v>
      </c>
      <c r="E1864">
        <v>0.48947980000000002</v>
      </c>
      <c r="F1864" t="s">
        <v>61</v>
      </c>
      <c r="G1864">
        <v>-401.65550000000002</v>
      </c>
      <c r="H1864">
        <v>8.000177E-2</v>
      </c>
      <c r="I1864">
        <v>276.47590000000002</v>
      </c>
      <c r="J1864">
        <v>-334.2414</v>
      </c>
      <c r="K1864">
        <v>1.1103479999999999</v>
      </c>
      <c r="L1864">
        <v>284.03109999999998</v>
      </c>
      <c r="M1864">
        <v>-0.99987099999999995</v>
      </c>
      <c r="N1864">
        <v>-1.2864560000000001E-2</v>
      </c>
      <c r="O1864">
        <v>-9.6203850000000004E-3</v>
      </c>
      <c r="P1864">
        <v>-0.99197329999999995</v>
      </c>
      <c r="Q1864">
        <v>9.0448790000000001E-2</v>
      </c>
      <c r="R1864">
        <v>-8.8363109999999995E-2</v>
      </c>
      <c r="S1864">
        <v>-2.9990230000000002</v>
      </c>
      <c r="T1864">
        <v>-4.5618300000000001E-2</v>
      </c>
      <c r="U1864">
        <v>-0.3346558</v>
      </c>
      <c r="V1864">
        <v>-7.9076090000000002E-2</v>
      </c>
      <c r="W1864">
        <v>0.1030134</v>
      </c>
      <c r="X1864">
        <v>0.99153170000000002</v>
      </c>
      <c r="Y1864">
        <v>-0.1013115</v>
      </c>
      <c r="Z1864">
        <v>-1.3994229999999999E-3</v>
      </c>
      <c r="AA1864">
        <v>0.99485380000000001</v>
      </c>
      <c r="AB1864">
        <v>48</v>
      </c>
      <c r="AC1864">
        <v>-67.414100000000005</v>
      </c>
      <c r="AD1864">
        <v>-1.0303462299999999</v>
      </c>
      <c r="AE1864">
        <v>-7.5551999999999504</v>
      </c>
      <c r="AF1864">
        <v>-6.9046541710318596</v>
      </c>
      <c r="AG1864">
        <v>-1.0303462299999999</v>
      </c>
      <c r="AH1864">
        <v>67.468104941756494</v>
      </c>
      <c r="AI1864">
        <v>90.870385123697901</v>
      </c>
      <c r="AJ1864">
        <v>95.843280197859798</v>
      </c>
      <c r="AK1864">
        <v>67.828320390579407</v>
      </c>
      <c r="AL1864">
        <v>84.087277639026993</v>
      </c>
      <c r="AM1864">
        <v>94.559770630851403</v>
      </c>
      <c r="AN1864">
        <v>0.99999995034706701</v>
      </c>
    </row>
    <row r="1865" spans="1:40" x14ac:dyDescent="0.25">
      <c r="A1865" t="str">
        <f>"20190305135828185"</f>
        <v>20190305135828185</v>
      </c>
      <c r="B1865" t="str">
        <f>"1551765508180833"</f>
        <v>1551765508180833</v>
      </c>
      <c r="C1865" t="s">
        <v>40</v>
      </c>
      <c r="D1865">
        <v>3.8020459999999998</v>
      </c>
      <c r="E1865">
        <v>0.48946980000000001</v>
      </c>
      <c r="F1865" t="s">
        <v>59</v>
      </c>
      <c r="G1865">
        <v>-392.54500000000002</v>
      </c>
      <c r="H1865">
        <v>8.0000710000000003E-2</v>
      </c>
      <c r="I1865">
        <v>277.50349999999997</v>
      </c>
      <c r="J1865">
        <v>-334.52460000000002</v>
      </c>
      <c r="K1865">
        <v>1.110355</v>
      </c>
      <c r="L1865">
        <v>284.02809999999999</v>
      </c>
      <c r="M1865">
        <v>-0.99986569999999997</v>
      </c>
      <c r="N1865">
        <v>-1.2853160000000001E-2</v>
      </c>
      <c r="O1865">
        <v>-1.017961E-2</v>
      </c>
      <c r="P1865">
        <v>-0.99198949999999997</v>
      </c>
      <c r="Q1865">
        <v>8.9896100000000007E-2</v>
      </c>
      <c r="R1865">
        <v>-8.8744770000000001E-2</v>
      </c>
      <c r="S1865">
        <v>-2.9991759999999998</v>
      </c>
      <c r="T1865">
        <v>-5.3001760000000002E-2</v>
      </c>
      <c r="U1865">
        <v>-0.3357849</v>
      </c>
      <c r="V1865">
        <v>-7.8903409999999993E-2</v>
      </c>
      <c r="W1865">
        <v>0.102448</v>
      </c>
      <c r="X1865">
        <v>0.99160409999999999</v>
      </c>
      <c r="Y1865">
        <v>-0.10111390000000001</v>
      </c>
      <c r="Z1865">
        <v>-1.4937139999999999E-3</v>
      </c>
      <c r="AA1865">
        <v>0.99487369999999997</v>
      </c>
      <c r="AB1865">
        <v>48</v>
      </c>
      <c r="AC1865">
        <v>-58.020400000000002</v>
      </c>
      <c r="AD1865">
        <v>-1.03035429</v>
      </c>
      <c r="AE1865">
        <v>-6.5246000000000199</v>
      </c>
      <c r="AF1865">
        <v>-5.9317408219780603</v>
      </c>
      <c r="AG1865">
        <v>-1.03035429</v>
      </c>
      <c r="AH1865">
        <v>58.0657334721542</v>
      </c>
      <c r="AI1865">
        <v>91.011322892811904</v>
      </c>
      <c r="AJ1865">
        <v>95.832851758581299</v>
      </c>
      <c r="AK1865">
        <v>58.377021016846101</v>
      </c>
      <c r="AL1865">
        <v>84.119845369226297</v>
      </c>
      <c r="AM1865">
        <v>94.549524419412606</v>
      </c>
      <c r="AN1865">
        <v>1.00000001597521</v>
      </c>
    </row>
    <row r="1866" spans="1:40" x14ac:dyDescent="0.25">
      <c r="A1866" t="str">
        <f>"20190305135828197"</f>
        <v>20190305135828197</v>
      </c>
      <c r="B1866" t="str">
        <f>"1551765508190593"</f>
        <v>1551765508190593</v>
      </c>
      <c r="C1866" t="s">
        <v>40</v>
      </c>
      <c r="D1866">
        <v>3.8048009999999999</v>
      </c>
      <c r="E1866">
        <v>0.48942530000000001</v>
      </c>
      <c r="F1866" t="s">
        <v>59</v>
      </c>
      <c r="G1866">
        <v>-388.52080000000001</v>
      </c>
      <c r="H1866">
        <v>8.0000429999999997E-2</v>
      </c>
      <c r="I1866">
        <v>277.96420000000001</v>
      </c>
      <c r="J1866">
        <v>-334.77080000000001</v>
      </c>
      <c r="K1866">
        <v>1.110357</v>
      </c>
      <c r="L1866">
        <v>284.02530000000002</v>
      </c>
      <c r="M1866">
        <v>-0.99986079999999999</v>
      </c>
      <c r="N1866">
        <v>-1.284356E-2</v>
      </c>
      <c r="O1866">
        <v>-1.065601E-2</v>
      </c>
      <c r="P1866">
        <v>-0.99197469999999999</v>
      </c>
      <c r="Q1866">
        <v>8.9490520000000004E-2</v>
      </c>
      <c r="R1866">
        <v>-8.9317569999999999E-2</v>
      </c>
      <c r="S1866">
        <v>-2.9992679999999998</v>
      </c>
      <c r="T1866">
        <v>-5.7231900000000002E-2</v>
      </c>
      <c r="U1866">
        <v>-0.33682250000000002</v>
      </c>
      <c r="V1866">
        <v>-7.900422E-2</v>
      </c>
      <c r="W1866">
        <v>0.102032</v>
      </c>
      <c r="X1866">
        <v>0.99163900000000005</v>
      </c>
      <c r="Y1866">
        <v>-0.1009731</v>
      </c>
      <c r="Z1866">
        <v>-1.5446679999999999E-3</v>
      </c>
      <c r="AA1866">
        <v>0.99488790000000005</v>
      </c>
      <c r="AB1866">
        <v>48</v>
      </c>
      <c r="AC1866">
        <v>-53.75</v>
      </c>
      <c r="AD1866">
        <v>-1.0303565699999999</v>
      </c>
      <c r="AE1866">
        <v>-6.0610999999999997</v>
      </c>
      <c r="AF1866">
        <v>-5.4859574701626297</v>
      </c>
      <c r="AG1866">
        <v>-1.0303565699999999</v>
      </c>
      <c r="AH1866">
        <v>53.792021616737102</v>
      </c>
      <c r="AI1866">
        <v>91.091673830583403</v>
      </c>
      <c r="AJ1866">
        <v>95.823153889378503</v>
      </c>
      <c r="AK1866">
        <v>54.080855703670998</v>
      </c>
      <c r="AL1866">
        <v>84.143806178772707</v>
      </c>
      <c r="AM1866">
        <v>94.555152970505404</v>
      </c>
      <c r="AN1866">
        <v>1.0000000510614</v>
      </c>
    </row>
    <row r="1867" spans="1:40" x14ac:dyDescent="0.25">
      <c r="A1867" t="str">
        <f>"20190305135828211"</f>
        <v>20190305135828211</v>
      </c>
      <c r="B1867" t="str">
        <f>"1551765508200354"</f>
        <v>1551765508200354</v>
      </c>
      <c r="C1867" t="s">
        <v>40</v>
      </c>
      <c r="D1867">
        <v>3.7432240000000001</v>
      </c>
      <c r="E1867">
        <v>0.48983270000000001</v>
      </c>
      <c r="F1867" t="s">
        <v>59</v>
      </c>
      <c r="G1867">
        <v>-389.6404</v>
      </c>
      <c r="H1867">
        <v>8.0000100000000005E-2</v>
      </c>
      <c r="I1867">
        <v>277.8245</v>
      </c>
      <c r="J1867">
        <v>-335.05869999999999</v>
      </c>
      <c r="K1867">
        <v>1.110349</v>
      </c>
      <c r="L1867">
        <v>284.02190000000002</v>
      </c>
      <c r="M1867">
        <v>-0.99985520000000006</v>
      </c>
      <c r="N1867">
        <v>-1.283547E-2</v>
      </c>
      <c r="O1867">
        <v>-1.1182289999999999E-2</v>
      </c>
      <c r="P1867">
        <v>-0.99201309999999998</v>
      </c>
      <c r="Q1867">
        <v>8.8763309999999998E-2</v>
      </c>
      <c r="R1867">
        <v>-8.9616479999999998E-2</v>
      </c>
      <c r="S1867">
        <v>-2.99884</v>
      </c>
      <c r="T1867">
        <v>-5.6313040000000002E-2</v>
      </c>
      <c r="U1867">
        <v>-0.33889770000000002</v>
      </c>
      <c r="V1867">
        <v>-7.8777479999999997E-2</v>
      </c>
      <c r="W1867">
        <v>0.1012996</v>
      </c>
      <c r="X1867">
        <v>0.99173210000000001</v>
      </c>
      <c r="Y1867">
        <v>-0.10114570000000001</v>
      </c>
      <c r="Z1867">
        <v>-1.5317219999999999E-3</v>
      </c>
      <c r="AA1867">
        <v>0.99487040000000004</v>
      </c>
      <c r="AB1867">
        <v>48</v>
      </c>
      <c r="AC1867">
        <v>-54.581699999999998</v>
      </c>
      <c r="AD1867">
        <v>-1.0303488999999999</v>
      </c>
      <c r="AE1867">
        <v>-6.1974000000000098</v>
      </c>
      <c r="AF1867">
        <v>-5.5846490856863698</v>
      </c>
      <c r="AG1867">
        <v>-1.0303488999999999</v>
      </c>
      <c r="AH1867">
        <v>54.628374664412</v>
      </c>
      <c r="AI1867">
        <v>91.0749297713039</v>
      </c>
      <c r="AJ1867">
        <v>95.837059526915894</v>
      </c>
      <c r="AK1867">
        <v>54.922757056991998</v>
      </c>
      <c r="AL1867">
        <v>84.185988040582302</v>
      </c>
      <c r="AM1867">
        <v>94.541709971170505</v>
      </c>
      <c r="AN1867">
        <v>1.0000000292428599</v>
      </c>
    </row>
    <row r="1868" spans="1:40" x14ac:dyDescent="0.25">
      <c r="A1868" t="str">
        <f>"20190305135828225"</f>
        <v>20190305135828225</v>
      </c>
      <c r="B1868" t="str">
        <f>"1551765508220849"</f>
        <v>1551765508220849</v>
      </c>
      <c r="C1868" t="s">
        <v>40</v>
      </c>
      <c r="D1868">
        <v>3.8054220000000001</v>
      </c>
      <c r="E1868">
        <v>0.49008230000000003</v>
      </c>
      <c r="F1868" t="s">
        <v>59</v>
      </c>
      <c r="G1868">
        <v>-395.8603</v>
      </c>
      <c r="H1868">
        <v>8.0001210000000003E-2</v>
      </c>
      <c r="I1868">
        <v>277.1927</v>
      </c>
      <c r="J1868">
        <v>-335.37889999999999</v>
      </c>
      <c r="K1868">
        <v>1.110325</v>
      </c>
      <c r="L1868">
        <v>284.01799999999997</v>
      </c>
      <c r="M1868">
        <v>-0.99984890000000004</v>
      </c>
      <c r="N1868">
        <v>-1.282964E-2</v>
      </c>
      <c r="O1868">
        <v>-1.173917E-2</v>
      </c>
      <c r="P1868">
        <v>-0.99204179999999997</v>
      </c>
      <c r="Q1868">
        <v>8.7835300000000005E-2</v>
      </c>
      <c r="R1868">
        <v>-9.0213559999999998E-2</v>
      </c>
      <c r="S1868">
        <v>-2.99823</v>
      </c>
      <c r="T1868">
        <v>-5.0808190000000003E-2</v>
      </c>
      <c r="U1868">
        <v>-0.33676149999999999</v>
      </c>
      <c r="V1868">
        <v>-7.8815709999999997E-2</v>
      </c>
      <c r="W1868">
        <v>0.10036879999999999</v>
      </c>
      <c r="X1868">
        <v>0.99182369999999997</v>
      </c>
      <c r="Y1868">
        <v>-9.9918859999999998E-2</v>
      </c>
      <c r="Z1868">
        <v>-1.4388879999999999E-3</v>
      </c>
      <c r="AA1868">
        <v>0.9949945</v>
      </c>
      <c r="AB1868">
        <v>48</v>
      </c>
      <c r="AC1868">
        <v>-60.481400000000001</v>
      </c>
      <c r="AD1868">
        <v>-1.03032379</v>
      </c>
      <c r="AE1868">
        <v>-6.8252999999999702</v>
      </c>
      <c r="AF1868">
        <v>-6.1130181051017001</v>
      </c>
      <c r="AG1868">
        <v>-1.03032379</v>
      </c>
      <c r="AH1868">
        <v>60.540013658040102</v>
      </c>
      <c r="AI1868">
        <v>90.970084441253107</v>
      </c>
      <c r="AJ1868">
        <v>95.765888906800001</v>
      </c>
      <c r="AK1868">
        <v>60.8565839591841</v>
      </c>
      <c r="AL1868">
        <v>84.239592175765793</v>
      </c>
      <c r="AM1868">
        <v>94.5434868985962</v>
      </c>
      <c r="AN1868">
        <v>1.0000000320189599</v>
      </c>
    </row>
    <row r="1869" spans="1:40" x14ac:dyDescent="0.25">
      <c r="A1869" t="str">
        <f>"20190305135828241"</f>
        <v>20190305135828241</v>
      </c>
      <c r="B1869" t="str">
        <f>"1551765508230609"</f>
        <v>1551765508230609</v>
      </c>
      <c r="C1869" t="s">
        <v>40</v>
      </c>
      <c r="D1869">
        <v>3.7978299999999998</v>
      </c>
      <c r="E1869">
        <v>0.48991259999999998</v>
      </c>
      <c r="F1869" t="s">
        <v>61</v>
      </c>
      <c r="G1869">
        <v>-402.21949999999998</v>
      </c>
      <c r="H1869">
        <v>8.0001669999999997E-2</v>
      </c>
      <c r="I1869">
        <v>276.51</v>
      </c>
      <c r="J1869">
        <v>-335.70729999999998</v>
      </c>
      <c r="K1869">
        <v>1.110295</v>
      </c>
      <c r="L1869">
        <v>284.01389999999998</v>
      </c>
      <c r="M1869">
        <v>-0.99984240000000002</v>
      </c>
      <c r="N1869">
        <v>-1.2827369999999999E-2</v>
      </c>
      <c r="O1869">
        <v>-1.2271799999999999E-2</v>
      </c>
      <c r="P1869">
        <v>-0.99204490000000001</v>
      </c>
      <c r="Q1869">
        <v>8.6708750000000001E-2</v>
      </c>
      <c r="R1869">
        <v>-9.126157E-2</v>
      </c>
      <c r="S1869">
        <v>-2.9974980000000002</v>
      </c>
      <c r="T1869">
        <v>-4.6205400000000001E-2</v>
      </c>
      <c r="U1869">
        <v>-0.33670040000000001</v>
      </c>
      <c r="V1869">
        <v>-7.9325999999999994E-2</v>
      </c>
      <c r="W1869">
        <v>9.9244330000000006E-2</v>
      </c>
      <c r="X1869">
        <v>0.99189620000000001</v>
      </c>
      <c r="Y1869">
        <v>-9.9399219999999996E-2</v>
      </c>
      <c r="Z1869">
        <v>-1.3716959999999999E-3</v>
      </c>
      <c r="AA1869">
        <v>0.99504669999999895</v>
      </c>
      <c r="AB1869">
        <v>48</v>
      </c>
      <c r="AC1869">
        <v>-66.512200000000007</v>
      </c>
      <c r="AD1869">
        <v>-1.0302933299999999</v>
      </c>
      <c r="AE1869">
        <v>-7.5038999999999803</v>
      </c>
      <c r="AF1869">
        <v>-6.6854592541933897</v>
      </c>
      <c r="AG1869">
        <v>-1.0302933299999999</v>
      </c>
      <c r="AH1869">
        <v>66.583508800587197</v>
      </c>
      <c r="AI1869">
        <v>90.8820725401185</v>
      </c>
      <c r="AJ1869">
        <v>95.733688273396695</v>
      </c>
      <c r="AK1869">
        <v>66.926231882447993</v>
      </c>
      <c r="AL1869">
        <v>84.304343039901994</v>
      </c>
      <c r="AM1869">
        <v>94.572446395151502</v>
      </c>
      <c r="AN1869">
        <v>1.0000000614437901</v>
      </c>
    </row>
    <row r="1870" spans="1:40" x14ac:dyDescent="0.25">
      <c r="A1870" t="str">
        <f>"20190305135828254"</f>
        <v>20190305135828254</v>
      </c>
      <c r="B1870" t="str">
        <f>"1551765508251106"</f>
        <v>1551765508251106</v>
      </c>
      <c r="C1870" t="s">
        <v>40</v>
      </c>
      <c r="D1870">
        <v>3.7454700000000001</v>
      </c>
      <c r="E1870">
        <v>0.4903323</v>
      </c>
      <c r="F1870" t="s">
        <v>59</v>
      </c>
      <c r="G1870">
        <v>-398.56119999999999</v>
      </c>
      <c r="H1870">
        <v>8.0000420000000003E-2</v>
      </c>
      <c r="I1870">
        <v>276.86930000000001</v>
      </c>
      <c r="J1870">
        <v>-336.00199999999899</v>
      </c>
      <c r="K1870">
        <v>1.1102650000000001</v>
      </c>
      <c r="L1870">
        <v>284.01</v>
      </c>
      <c r="M1870">
        <v>-0.99983699999999998</v>
      </c>
      <c r="N1870">
        <v>-1.282814E-2</v>
      </c>
      <c r="O1870">
        <v>-1.270368E-2</v>
      </c>
      <c r="P1870">
        <v>-0.99203810000000003</v>
      </c>
      <c r="Q1870">
        <v>8.5855890000000004E-2</v>
      </c>
      <c r="R1870">
        <v>-9.2137220000000006E-2</v>
      </c>
      <c r="S1870">
        <v>-2.9970089999999998</v>
      </c>
      <c r="T1870">
        <v>-4.9126740000000002E-2</v>
      </c>
      <c r="U1870">
        <v>-0.34066770000000002</v>
      </c>
      <c r="V1870">
        <v>-7.9762669999999994E-2</v>
      </c>
      <c r="W1870">
        <v>9.8397819999999997E-2</v>
      </c>
      <c r="X1870">
        <v>0.99194539999999998</v>
      </c>
      <c r="Y1870">
        <v>-0.1002856</v>
      </c>
      <c r="Z1870">
        <v>-1.4196149999999999E-3</v>
      </c>
      <c r="AA1870">
        <v>0.99495769999999994</v>
      </c>
      <c r="AB1870">
        <v>48</v>
      </c>
      <c r="AC1870">
        <v>-62.559199999999997</v>
      </c>
      <c r="AD1870">
        <v>-1.0302645800000001</v>
      </c>
      <c r="AE1870">
        <v>-7.1406999999999803</v>
      </c>
      <c r="AF1870">
        <v>-6.34362785256429</v>
      </c>
      <c r="AG1870">
        <v>-1.0302645800000001</v>
      </c>
      <c r="AH1870">
        <v>62.628104304851597</v>
      </c>
      <c r="AI1870">
        <v>90.937663122596305</v>
      </c>
      <c r="AJ1870">
        <v>95.7837881121864</v>
      </c>
      <c r="AK1870">
        <v>62.956989351905897</v>
      </c>
      <c r="AL1870">
        <v>84.353082403877707</v>
      </c>
      <c r="AM1870">
        <v>94.597281914183299</v>
      </c>
      <c r="AN1870">
        <v>0.99999994554371896</v>
      </c>
    </row>
    <row r="1871" spans="1:40" x14ac:dyDescent="0.25">
      <c r="A1871" t="str">
        <f>"20190305135828267"</f>
        <v>20190305135828267</v>
      </c>
      <c r="B1871" t="str">
        <f>"1551765508260865"</f>
        <v>1551765508260865</v>
      </c>
      <c r="C1871" t="s">
        <v>40</v>
      </c>
      <c r="D1871">
        <v>3.7403029999999999</v>
      </c>
      <c r="E1871">
        <v>0.49057390000000001</v>
      </c>
      <c r="F1871" t="s">
        <v>61</v>
      </c>
      <c r="G1871">
        <v>-405.30360000000002</v>
      </c>
      <c r="H1871">
        <v>8.0001199999999995E-2</v>
      </c>
      <c r="I1871">
        <v>276.14980000000003</v>
      </c>
      <c r="J1871">
        <v>-336.27539999999999</v>
      </c>
      <c r="K1871">
        <v>1.1102259999999999</v>
      </c>
      <c r="L1871">
        <v>284.00630000000001</v>
      </c>
      <c r="M1871">
        <v>-0.99983250000000001</v>
      </c>
      <c r="N1871">
        <v>-1.2829480000000001E-2</v>
      </c>
      <c r="O1871">
        <v>-1.306011E-2</v>
      </c>
      <c r="P1871">
        <v>-0.99199340000000003</v>
      </c>
      <c r="Q1871">
        <v>8.5268629999999998E-2</v>
      </c>
      <c r="R1871">
        <v>-9.3159569999999997E-2</v>
      </c>
      <c r="S1871">
        <v>-2.9963380000000002</v>
      </c>
      <c r="T1871">
        <v>-4.4544699999999902E-2</v>
      </c>
      <c r="U1871">
        <v>-0.33984379999999997</v>
      </c>
      <c r="V1871">
        <v>-8.0420950000000005E-2</v>
      </c>
      <c r="W1871">
        <v>9.7817940000000006E-2</v>
      </c>
      <c r="X1871">
        <v>0.99194970000000005</v>
      </c>
      <c r="Y1871">
        <v>-9.9689219999999995E-2</v>
      </c>
      <c r="Z1871">
        <v>-1.353789E-3</v>
      </c>
      <c r="AA1871">
        <v>0.9950177</v>
      </c>
      <c r="AB1871">
        <v>48</v>
      </c>
      <c r="AC1871">
        <v>-69.028199999999998</v>
      </c>
      <c r="AD1871">
        <v>-1.0302248000000001</v>
      </c>
      <c r="AE1871">
        <v>-7.8564999999999801</v>
      </c>
      <c r="AF1871">
        <v>-6.9527109453590601</v>
      </c>
      <c r="AG1871">
        <v>-1.0302248000000001</v>
      </c>
      <c r="AH1871">
        <v>69.109729935029307</v>
      </c>
      <c r="AI1871">
        <v>90.849761126035702</v>
      </c>
      <c r="AJ1871">
        <v>95.744851545444902</v>
      </c>
      <c r="AK1871">
        <v>69.466224341912707</v>
      </c>
      <c r="AL1871">
        <v>84.386468691372102</v>
      </c>
      <c r="AM1871">
        <v>94.635038555936404</v>
      </c>
      <c r="AN1871">
        <v>1.0000000429574101</v>
      </c>
    </row>
    <row r="1872" spans="1:40" x14ac:dyDescent="0.25">
      <c r="A1872" t="str">
        <f>"20190305135828280"</f>
        <v>20190305135828280</v>
      </c>
      <c r="B1872" t="str">
        <f>"1551765508270626"</f>
        <v>1551765508270626</v>
      </c>
      <c r="C1872" t="s">
        <v>40</v>
      </c>
      <c r="D1872">
        <v>3.7780109999999998</v>
      </c>
      <c r="E1872">
        <v>0.49071399999999998</v>
      </c>
      <c r="F1872" t="s">
        <v>61</v>
      </c>
      <c r="G1872">
        <v>-408.51960000000003</v>
      </c>
      <c r="H1872">
        <v>8.0001630000000004E-2</v>
      </c>
      <c r="I1872">
        <v>275.7824</v>
      </c>
      <c r="J1872">
        <v>-336.54739999999998</v>
      </c>
      <c r="K1872">
        <v>1.110179</v>
      </c>
      <c r="L1872">
        <v>284.0027</v>
      </c>
      <c r="M1872">
        <v>-0.99982819999999994</v>
      </c>
      <c r="N1872">
        <v>-1.283112E-2</v>
      </c>
      <c r="O1872">
        <v>-1.338569E-2</v>
      </c>
      <c r="P1872">
        <v>-0.99192089999999999</v>
      </c>
      <c r="Q1872">
        <v>8.4925959999999995E-2</v>
      </c>
      <c r="R1872">
        <v>-9.4236899999999901E-2</v>
      </c>
      <c r="S1872">
        <v>-2.9958499999999999</v>
      </c>
      <c r="T1872">
        <v>-4.2721750000000003E-2</v>
      </c>
      <c r="U1872">
        <v>-0.3410339</v>
      </c>
      <c r="V1872">
        <v>-8.1164319999999998E-2</v>
      </c>
      <c r="W1872">
        <v>9.7483379999999994E-2</v>
      </c>
      <c r="X1872">
        <v>0.99192199999999997</v>
      </c>
      <c r="Y1872">
        <v>-9.9774840000000004E-2</v>
      </c>
      <c r="Z1872">
        <v>-1.33236799999999E-3</v>
      </c>
      <c r="AA1872">
        <v>0.99500909999999998</v>
      </c>
      <c r="AB1872">
        <v>48</v>
      </c>
      <c r="AC1872">
        <v>-71.972200000000001</v>
      </c>
      <c r="AD1872">
        <v>-1.0301773700000001</v>
      </c>
      <c r="AE1872">
        <v>-8.2202999999999999</v>
      </c>
      <c r="AF1872">
        <v>-7.2546194772964103</v>
      </c>
      <c r="AG1872">
        <v>-1.0301773700000001</v>
      </c>
      <c r="AH1872">
        <v>72.061220597889303</v>
      </c>
      <c r="AI1872">
        <v>90.814918198195898</v>
      </c>
      <c r="AJ1872">
        <v>95.748769034958897</v>
      </c>
      <c r="AK1872">
        <v>72.432798394316407</v>
      </c>
      <c r="AL1872">
        <v>84.405729126564395</v>
      </c>
      <c r="AM1872">
        <v>94.677823262286907</v>
      </c>
      <c r="AN1872">
        <v>0.99999995515064199</v>
      </c>
    </row>
    <row r="1873" spans="1:40" x14ac:dyDescent="0.25">
      <c r="A1873" t="str">
        <f>"20190305135828296"</f>
        <v>20190305135828296</v>
      </c>
      <c r="B1873" t="str">
        <f>"1551765508290609"</f>
        <v>1551765508290609</v>
      </c>
      <c r="C1873" t="s">
        <v>40</v>
      </c>
      <c r="D1873">
        <v>3.7560440000000002</v>
      </c>
      <c r="E1873">
        <v>0.49096269999999997</v>
      </c>
      <c r="F1873" t="s">
        <v>61</v>
      </c>
      <c r="G1873">
        <v>-418.68759999999997</v>
      </c>
      <c r="H1873" s="1">
        <v>5.9039229999999999E-6</v>
      </c>
      <c r="I1873">
        <v>274.59120000000001</v>
      </c>
      <c r="J1873">
        <v>-336.89679999999998</v>
      </c>
      <c r="K1873">
        <v>1.1101049999999999</v>
      </c>
      <c r="L1873">
        <v>283.99779999999998</v>
      </c>
      <c r="M1873">
        <v>-0.99982360000000003</v>
      </c>
      <c r="N1873">
        <v>-1.2833570000000001E-2</v>
      </c>
      <c r="O1873">
        <v>-1.3715E-2</v>
      </c>
      <c r="P1873">
        <v>-0.99181379999999997</v>
      </c>
      <c r="Q1873">
        <v>8.4201650000000003E-2</v>
      </c>
      <c r="R1873">
        <v>-9.5998979999999998E-2</v>
      </c>
      <c r="S1873">
        <v>-2.9953609999999999</v>
      </c>
      <c r="T1873">
        <v>-4.0484069999999997E-2</v>
      </c>
      <c r="U1873">
        <v>-0.34320070000000003</v>
      </c>
      <c r="V1873">
        <v>-8.2581370000000001E-2</v>
      </c>
      <c r="W1873">
        <v>9.6772430000000007E-2</v>
      </c>
      <c r="X1873">
        <v>0.9918747</v>
      </c>
      <c r="Y1873">
        <v>-0.10017719999999999</v>
      </c>
      <c r="Z1873">
        <v>-1.3105059999999999E-3</v>
      </c>
      <c r="AA1873">
        <v>0.99496879999999999</v>
      </c>
      <c r="AB1873">
        <v>48</v>
      </c>
      <c r="AC1873">
        <v>-81.790799999999905</v>
      </c>
      <c r="AD1873">
        <v>-1.1100990960770001</v>
      </c>
      <c r="AE1873">
        <v>-9.4065999999999601</v>
      </c>
      <c r="AF1873">
        <v>-8.2823561429655506</v>
      </c>
      <c r="AG1873">
        <v>-1.1100990960770001</v>
      </c>
      <c r="AH1873">
        <v>81.897238640145702</v>
      </c>
      <c r="AI1873">
        <v>90.772643586272693</v>
      </c>
      <c r="AJ1873">
        <v>95.774750357027898</v>
      </c>
      <c r="AK1873">
        <v>82.322460119720702</v>
      </c>
      <c r="AL1873">
        <v>84.446657342480904</v>
      </c>
      <c r="AM1873">
        <v>94.7593474752194</v>
      </c>
      <c r="AN1873">
        <v>1.0000000031896299</v>
      </c>
    </row>
    <row r="1874" spans="1:40" x14ac:dyDescent="0.25">
      <c r="A1874" t="str">
        <f>"20190305135828308"</f>
        <v>20190305135828308</v>
      </c>
      <c r="B1874" t="str">
        <f>"1551765508300369"</f>
        <v>1551765508300369</v>
      </c>
      <c r="C1874" t="s">
        <v>40</v>
      </c>
      <c r="D1874">
        <v>3.7566039999999998</v>
      </c>
      <c r="E1874">
        <v>0.49114530000000001</v>
      </c>
      <c r="F1874" t="s">
        <v>61</v>
      </c>
      <c r="G1874">
        <v>-427.31779999999998</v>
      </c>
      <c r="H1874" s="1">
        <v>4.8309779999999998E-6</v>
      </c>
      <c r="I1874">
        <v>273.53550000000001</v>
      </c>
      <c r="J1874">
        <v>-337.14679999999998</v>
      </c>
      <c r="K1874">
        <v>1.1100479999999999</v>
      </c>
      <c r="L1874">
        <v>283.99430000000001</v>
      </c>
      <c r="M1874">
        <v>-0.99982119999999997</v>
      </c>
      <c r="N1874">
        <v>-1.2837100000000001E-2</v>
      </c>
      <c r="O1874">
        <v>-1.389584E-2</v>
      </c>
      <c r="P1874">
        <v>-0.99173239999999996</v>
      </c>
      <c r="Q1874">
        <v>8.3853239999999996E-2</v>
      </c>
      <c r="R1874">
        <v>-9.7138260000000004E-2</v>
      </c>
      <c r="S1874">
        <v>-2.994354</v>
      </c>
      <c r="T1874">
        <v>-3.6761759999999997E-2</v>
      </c>
      <c r="U1874">
        <v>-0.346466099999999</v>
      </c>
      <c r="V1874">
        <v>-8.3527149999999994E-2</v>
      </c>
      <c r="W1874">
        <v>9.6437380000000003E-2</v>
      </c>
      <c r="X1874">
        <v>0.99182809999999999</v>
      </c>
      <c r="Y1874">
        <v>-0.10110810000000001</v>
      </c>
      <c r="Z1874">
        <v>-1.2776179999999999E-3</v>
      </c>
      <c r="AA1874">
        <v>0.99487460000000005</v>
      </c>
      <c r="AB1874">
        <v>48</v>
      </c>
      <c r="AC1874">
        <v>-90.171000000000006</v>
      </c>
      <c r="AD1874">
        <v>-1.1100431690219901</v>
      </c>
      <c r="AE1874">
        <v>-10.458799999999901</v>
      </c>
      <c r="AF1874">
        <v>-9.2033089584250405</v>
      </c>
      <c r="AG1874">
        <v>-1.1100431690219901</v>
      </c>
      <c r="AH1874">
        <v>90.294136042379805</v>
      </c>
      <c r="AI1874">
        <v>90.700707912753899</v>
      </c>
      <c r="AJ1874">
        <v>95.819824251109793</v>
      </c>
      <c r="AK1874">
        <v>90.768739636843605</v>
      </c>
      <c r="AL1874">
        <v>84.465944299508195</v>
      </c>
      <c r="AM1874">
        <v>94.813825290895807</v>
      </c>
      <c r="AN1874">
        <v>0.99999996649899703</v>
      </c>
    </row>
    <row r="1875" spans="1:40" x14ac:dyDescent="0.25">
      <c r="A1875" t="str">
        <f>"20190305135828319"</f>
        <v>20190305135828319</v>
      </c>
      <c r="B1875" t="str">
        <f>"1551765508311106"</f>
        <v>1551765508311106</v>
      </c>
      <c r="C1875" t="s">
        <v>40</v>
      </c>
      <c r="D1875">
        <v>3.7769439999999999</v>
      </c>
      <c r="E1875">
        <v>0.49127920000000003</v>
      </c>
      <c r="F1875" t="s">
        <v>61</v>
      </c>
      <c r="G1875">
        <v>-429.95769999999999</v>
      </c>
      <c r="H1875">
        <v>2.4049230000000001E-2</v>
      </c>
      <c r="I1875">
        <v>273.1875</v>
      </c>
      <c r="J1875">
        <v>-337.3956</v>
      </c>
      <c r="K1875">
        <v>1.1099889999999999</v>
      </c>
      <c r="L1875">
        <v>283.9907</v>
      </c>
      <c r="M1875">
        <v>-0.99981880000000001</v>
      </c>
      <c r="N1875">
        <v>-1.2841180000000001E-2</v>
      </c>
      <c r="O1875">
        <v>-1.4058070000000001E-2</v>
      </c>
      <c r="P1875">
        <v>-0.99166240000000005</v>
      </c>
      <c r="Q1875">
        <v>8.3591390000000002E-2</v>
      </c>
      <c r="R1875">
        <v>-9.8072220000000002E-2</v>
      </c>
      <c r="S1875">
        <v>-2.9938660000000001</v>
      </c>
      <c r="T1875">
        <v>-3.5031800000000002E-2</v>
      </c>
      <c r="U1875">
        <v>-0.34860229999999998</v>
      </c>
      <c r="V1875">
        <v>-8.4285860000000004E-2</v>
      </c>
      <c r="W1875">
        <v>9.6190590000000006E-2</v>
      </c>
      <c r="X1875">
        <v>0.99178789999999994</v>
      </c>
      <c r="Y1875">
        <v>-0.1016666</v>
      </c>
      <c r="Z1875">
        <v>-1.2638829999999999E-3</v>
      </c>
      <c r="AA1875">
        <v>0.99481770000000003</v>
      </c>
      <c r="AB1875">
        <v>48</v>
      </c>
      <c r="AC1875">
        <v>-92.562100000000001</v>
      </c>
      <c r="AD1875">
        <v>-1.08593977</v>
      </c>
      <c r="AE1875">
        <v>-10.8032</v>
      </c>
      <c r="AF1875">
        <v>-9.4994906405736295</v>
      </c>
      <c r="AG1875">
        <v>-1.08593977</v>
      </c>
      <c r="AH1875">
        <v>92.692249482700802</v>
      </c>
      <c r="AI1875">
        <v>90.667723223462104</v>
      </c>
      <c r="AJ1875">
        <v>95.851482885378303</v>
      </c>
      <c r="AK1875">
        <v>93.184079658371104</v>
      </c>
      <c r="AL1875">
        <v>84.480150484031597</v>
      </c>
      <c r="AM1875">
        <v>94.857538829820299</v>
      </c>
      <c r="AN1875">
        <v>0.99999998719344796</v>
      </c>
    </row>
    <row r="1876" spans="1:40" x14ac:dyDescent="0.25">
      <c r="A1876" t="str">
        <f>"20190305135828331"</f>
        <v>20190305135828331</v>
      </c>
      <c r="B1876" t="str">
        <f>"1551765508320865"</f>
        <v>1551765508320865</v>
      </c>
      <c r="C1876" t="s">
        <v>40</v>
      </c>
      <c r="D1876">
        <v>3.7841109999999998</v>
      </c>
      <c r="E1876">
        <v>0.49141940000000001</v>
      </c>
      <c r="F1876" t="s">
        <v>61</v>
      </c>
      <c r="G1876">
        <v>-429.98739999999998</v>
      </c>
      <c r="H1876">
        <v>7.9634689999999994E-2</v>
      </c>
      <c r="I1876">
        <v>273.15210000000002</v>
      </c>
      <c r="J1876">
        <v>-337.65269999999998</v>
      </c>
      <c r="K1876">
        <v>1.1099300000000001</v>
      </c>
      <c r="L1876">
        <v>283.9871</v>
      </c>
      <c r="M1876">
        <v>-0.99981719999999996</v>
      </c>
      <c r="N1876">
        <v>-1.284708E-2</v>
      </c>
      <c r="O1876">
        <v>-1.41727E-2</v>
      </c>
      <c r="P1876">
        <v>-0.99158250000000003</v>
      </c>
      <c r="Q1876">
        <v>8.3638970000000007E-2</v>
      </c>
      <c r="R1876">
        <v>-9.8838400000000007E-2</v>
      </c>
      <c r="S1876">
        <v>-2.9934080000000001</v>
      </c>
      <c r="T1876">
        <v>-3.3310409999999999E-2</v>
      </c>
      <c r="U1876">
        <v>-0.35040280000000001</v>
      </c>
      <c r="V1876">
        <v>-8.4923739999999998E-2</v>
      </c>
      <c r="W1876">
        <v>9.6255599999999997E-2</v>
      </c>
      <c r="X1876">
        <v>0.99172720000000003</v>
      </c>
      <c r="Y1876">
        <v>-0.1021614</v>
      </c>
      <c r="Z1876">
        <v>-1.2493859999999999E-3</v>
      </c>
      <c r="AA1876">
        <v>0.99476710000000002</v>
      </c>
      <c r="AB1876">
        <v>48</v>
      </c>
      <c r="AC1876">
        <v>-92.334699999999998</v>
      </c>
      <c r="AD1876">
        <v>-1.0302953100000001</v>
      </c>
      <c r="AE1876">
        <v>-10.8349999999999</v>
      </c>
      <c r="AF1876">
        <v>-9.5240020971833399</v>
      </c>
      <c r="AG1876">
        <v>-1.0302953100000001</v>
      </c>
      <c r="AH1876">
        <v>92.467641947532996</v>
      </c>
      <c r="AI1876">
        <v>90.635016906578599</v>
      </c>
      <c r="AJ1876">
        <v>95.880626405867702</v>
      </c>
      <c r="AK1876">
        <v>92.962535097264507</v>
      </c>
      <c r="AL1876">
        <v>84.476408451094699</v>
      </c>
      <c r="AM1876">
        <v>94.894421152899199</v>
      </c>
      <c r="AN1876">
        <v>1.00000001068339</v>
      </c>
    </row>
    <row r="1877" spans="1:40" x14ac:dyDescent="0.25">
      <c r="A1877" t="str">
        <f>"20190305135828344"</f>
        <v>20190305135828344</v>
      </c>
      <c r="B1877" t="str">
        <f>"1551765508330626"</f>
        <v>1551765508330626</v>
      </c>
      <c r="C1877" t="s">
        <v>40</v>
      </c>
      <c r="D1877">
        <v>3.8413590000000002</v>
      </c>
      <c r="E1877">
        <v>0.49183579999999999</v>
      </c>
      <c r="F1877" t="s">
        <v>43</v>
      </c>
      <c r="G1877">
        <v>-449.6241</v>
      </c>
      <c r="H1877">
        <v>-0.05</v>
      </c>
      <c r="I1877">
        <v>270.82799999999997</v>
      </c>
      <c r="J1877">
        <v>-337.92160000000001</v>
      </c>
      <c r="K1877">
        <v>1.109864</v>
      </c>
      <c r="L1877">
        <v>283.98320000000001</v>
      </c>
      <c r="M1877">
        <v>-0.99981580000000003</v>
      </c>
      <c r="N1877">
        <v>-1.28535E-2</v>
      </c>
      <c r="O1877">
        <v>-1.426477E-2</v>
      </c>
      <c r="P1877">
        <v>-0.99146749999999995</v>
      </c>
      <c r="Q1877">
        <v>8.4130289999999996E-2</v>
      </c>
      <c r="R1877">
        <v>-9.9572839999999996E-2</v>
      </c>
      <c r="S1877">
        <v>-2.993042</v>
      </c>
      <c r="T1877">
        <v>-3.1005379999999999E-2</v>
      </c>
      <c r="U1877">
        <v>-0.35174559999999999</v>
      </c>
      <c r="V1877">
        <v>-8.5552680000000006E-2</v>
      </c>
      <c r="W1877">
        <v>9.6765820000000002E-2</v>
      </c>
      <c r="X1877">
        <v>0.99162349999999999</v>
      </c>
      <c r="Y1877">
        <v>-0.1025253</v>
      </c>
      <c r="Z1877">
        <v>-1.2259829999999999E-3</v>
      </c>
      <c r="AA1877">
        <v>0.99472959999999999</v>
      </c>
      <c r="AB1877">
        <v>48</v>
      </c>
      <c r="AC1877">
        <v>-111.7025</v>
      </c>
      <c r="AD1877">
        <v>-1.159864</v>
      </c>
      <c r="AE1877">
        <v>-13.155200000000001</v>
      </c>
      <c r="AF1877">
        <v>-11.5590902065638</v>
      </c>
      <c r="AG1877">
        <v>-1.159864</v>
      </c>
      <c r="AH1877">
        <v>111.86690791744699</v>
      </c>
      <c r="AI1877">
        <v>90.590889817881703</v>
      </c>
      <c r="AJ1877">
        <v>95.899376589609503</v>
      </c>
      <c r="AK1877">
        <v>112.468497535588</v>
      </c>
      <c r="AL1877">
        <v>84.447037976894507</v>
      </c>
      <c r="AM1877">
        <v>94.9310039731957</v>
      </c>
      <c r="AN1877">
        <v>1.0000000253638499</v>
      </c>
    </row>
    <row r="1878" spans="1:40" x14ac:dyDescent="0.25">
      <c r="A1878" t="str">
        <f>"20190305135828356"</f>
        <v>20190305135828356</v>
      </c>
      <c r="B1878" t="str">
        <f>"1551765508351122"</f>
        <v>1551765508351122</v>
      </c>
      <c r="C1878" t="s">
        <v>40</v>
      </c>
      <c r="D1878">
        <v>3.7917459999999998</v>
      </c>
      <c r="E1878">
        <v>0.4920563</v>
      </c>
      <c r="F1878" t="s">
        <v>43</v>
      </c>
      <c r="G1878">
        <v>-453.27069999999998</v>
      </c>
      <c r="H1878">
        <v>-0.05</v>
      </c>
      <c r="I1878">
        <v>270.476</v>
      </c>
      <c r="J1878">
        <v>-338.19880000000001</v>
      </c>
      <c r="K1878">
        <v>1.1097919999999999</v>
      </c>
      <c r="L1878">
        <v>283.97919999999999</v>
      </c>
      <c r="M1878">
        <v>-0.9998146</v>
      </c>
      <c r="N1878">
        <v>-1.2860379999999999E-2</v>
      </c>
      <c r="O1878">
        <v>-1.432727E-2</v>
      </c>
      <c r="P1878">
        <v>-0.99142799999999998</v>
      </c>
      <c r="Q1878">
        <v>8.3882849999999995E-2</v>
      </c>
      <c r="R1878">
        <v>-0.10017180000000001</v>
      </c>
      <c r="S1878">
        <v>-2.9931640000000002</v>
      </c>
      <c r="T1878">
        <v>-3.009701E-2</v>
      </c>
      <c r="U1878">
        <v>-0.35049439999999998</v>
      </c>
      <c r="V1878">
        <v>-8.6073780000000003E-2</v>
      </c>
      <c r="W1878">
        <v>9.6537999999999999E-2</v>
      </c>
      <c r="X1878">
        <v>0.99160060000000005</v>
      </c>
      <c r="Y1878">
        <v>-0.1020488</v>
      </c>
      <c r="Z1878">
        <v>-1.209938E-3</v>
      </c>
      <c r="AA1878">
        <v>0.99477859999999996</v>
      </c>
      <c r="AB1878">
        <v>48</v>
      </c>
      <c r="AC1878">
        <v>-115.071899999999</v>
      </c>
      <c r="AD1878">
        <v>-1.1597919999999999</v>
      </c>
      <c r="AE1878">
        <v>-13.5031999999999</v>
      </c>
      <c r="AF1878">
        <v>-11.8518235810819</v>
      </c>
      <c r="AG1878">
        <v>-1.1597919999999999</v>
      </c>
      <c r="AH1878">
        <v>115.242019363547</v>
      </c>
      <c r="AI1878">
        <v>90.573578337582802</v>
      </c>
      <c r="AJ1878">
        <v>95.871820820519403</v>
      </c>
      <c r="AK1878">
        <v>115.855659622948</v>
      </c>
      <c r="AL1878">
        <v>84.460152445161796</v>
      </c>
      <c r="AM1878">
        <v>94.961003200612197</v>
      </c>
      <c r="AN1878">
        <v>1.0000000154839199</v>
      </c>
    </row>
    <row r="1879" spans="1:40" x14ac:dyDescent="0.25">
      <c r="A1879" t="str">
        <f>"20190305135828373"</f>
        <v>20190305135828373</v>
      </c>
      <c r="B1879" t="str">
        <f>"1551765508360881"</f>
        <v>1551765508360881</v>
      </c>
      <c r="C1879" t="s">
        <v>40</v>
      </c>
      <c r="D1879">
        <v>3.8186689999999999</v>
      </c>
      <c r="E1879">
        <v>0.49219350000000001</v>
      </c>
      <c r="F1879" t="s">
        <v>43</v>
      </c>
      <c r="G1879">
        <v>-468.84449999999998</v>
      </c>
      <c r="H1879">
        <v>-0.05</v>
      </c>
      <c r="I1879">
        <v>268.66410000000002</v>
      </c>
      <c r="J1879">
        <v>-338.55220000000003</v>
      </c>
      <c r="K1879">
        <v>1.109707</v>
      </c>
      <c r="L1879">
        <v>283.9742</v>
      </c>
      <c r="M1879">
        <v>-0.9998146</v>
      </c>
      <c r="N1879">
        <v>-1.286874E-2</v>
      </c>
      <c r="O1879">
        <v>-1.433619E-2</v>
      </c>
      <c r="P1879">
        <v>-0.9912938</v>
      </c>
      <c r="Q1879">
        <v>8.4193030000000002E-2</v>
      </c>
      <c r="R1879">
        <v>-0.1012343</v>
      </c>
      <c r="S1879">
        <v>-2.9927670000000002</v>
      </c>
      <c r="T1879">
        <v>-2.6567940000000002E-2</v>
      </c>
      <c r="U1879">
        <v>-0.35083009999999998</v>
      </c>
      <c r="V1879">
        <v>-8.7108740000000004E-2</v>
      </c>
      <c r="W1879">
        <v>9.6872600000000003E-2</v>
      </c>
      <c r="X1879">
        <v>0.99147750000000001</v>
      </c>
      <c r="Y1879">
        <v>-0.1021672</v>
      </c>
      <c r="Z1879">
        <v>-1.1687259999999999E-3</v>
      </c>
      <c r="AA1879">
        <v>0.9947665</v>
      </c>
      <c r="AB1879">
        <v>48</v>
      </c>
      <c r="AC1879">
        <v>-130.29229999999899</v>
      </c>
      <c r="AD1879">
        <v>-1.159707</v>
      </c>
      <c r="AE1879">
        <v>-15.310099999999901</v>
      </c>
      <c r="AF1879">
        <v>-13.4394266027921</v>
      </c>
      <c r="AG1879">
        <v>-1.159707</v>
      </c>
      <c r="AH1879">
        <v>130.488217431696</v>
      </c>
      <c r="AI1879">
        <v>90.506520479566504</v>
      </c>
      <c r="AJ1879">
        <v>95.880354024440393</v>
      </c>
      <c r="AK1879">
        <v>131.18360414411299</v>
      </c>
      <c r="AL1879">
        <v>84.440890540919099</v>
      </c>
      <c r="AM1879">
        <v>95.020971891521199</v>
      </c>
      <c r="AN1879">
        <v>0.99999993311069602</v>
      </c>
    </row>
    <row r="1880" spans="1:40" x14ac:dyDescent="0.25">
      <c r="A1880" t="str">
        <f>"20190305135828386"</f>
        <v>20190305135828386</v>
      </c>
      <c r="B1880" t="str">
        <f>"1551765508380402"</f>
        <v>1551765508380402</v>
      </c>
      <c r="C1880" t="s">
        <v>40</v>
      </c>
      <c r="D1880">
        <v>3.8565260000000001</v>
      </c>
      <c r="E1880">
        <v>0.49230410000000002</v>
      </c>
      <c r="F1880" t="s">
        <v>64</v>
      </c>
      <c r="G1880">
        <v>-456.08100000000002</v>
      </c>
      <c r="H1880">
        <v>0.19623090000000001</v>
      </c>
      <c r="I1880">
        <v>270.09829999999999</v>
      </c>
      <c r="J1880">
        <v>-338.80759999999998</v>
      </c>
      <c r="K1880">
        <v>1.10964</v>
      </c>
      <c r="L1880">
        <v>283.97050000000002</v>
      </c>
      <c r="M1880">
        <v>-0.99981489999999995</v>
      </c>
      <c r="N1880">
        <v>-1.287438E-2</v>
      </c>
      <c r="O1880">
        <v>-1.4308599999999999E-2</v>
      </c>
      <c r="P1880">
        <v>-0.99127540000000003</v>
      </c>
      <c r="Q1880">
        <v>8.4085170000000001E-2</v>
      </c>
      <c r="R1880">
        <v>-0.1015052</v>
      </c>
      <c r="S1880">
        <v>-2.9922179999999998</v>
      </c>
      <c r="T1880">
        <v>-2.325642E-2</v>
      </c>
      <c r="U1880">
        <v>-0.35327150000000002</v>
      </c>
      <c r="V1880">
        <v>-8.7392689999999995E-2</v>
      </c>
      <c r="W1880">
        <v>9.6782889999999996E-2</v>
      </c>
      <c r="X1880">
        <v>0.99146129999999999</v>
      </c>
      <c r="Y1880">
        <v>-0.103018</v>
      </c>
      <c r="Z1880">
        <v>-1.1372789999999999E-3</v>
      </c>
      <c r="AA1880">
        <v>0.99467890000000003</v>
      </c>
      <c r="AB1880">
        <v>48</v>
      </c>
      <c r="AC1880">
        <v>-117.273399999999</v>
      </c>
      <c r="AD1880">
        <v>-0.91340909999999997</v>
      </c>
      <c r="AE1880">
        <v>-13.872199999999999</v>
      </c>
      <c r="AF1880">
        <v>-12.1918932333085</v>
      </c>
      <c r="AG1880">
        <v>-0.91340909999999997</v>
      </c>
      <c r="AH1880">
        <v>117.452873686221</v>
      </c>
      <c r="AI1880">
        <v>90.443188440155595</v>
      </c>
      <c r="AJ1880">
        <v>95.926216846243193</v>
      </c>
      <c r="AK1880">
        <v>118.08748500136601</v>
      </c>
      <c r="AL1880">
        <v>84.446054960066405</v>
      </c>
      <c r="AM1880">
        <v>95.037336659728595</v>
      </c>
      <c r="AN1880">
        <v>0.99999995972993805</v>
      </c>
    </row>
    <row r="1881" spans="1:40" x14ac:dyDescent="0.25">
      <c r="A1881" t="str">
        <f>"20190305135828397"</f>
        <v>20190305135828397</v>
      </c>
      <c r="B1881" t="str">
        <f>"1551765508390515"</f>
        <v>1551765508390515</v>
      </c>
      <c r="C1881" t="s">
        <v>40</v>
      </c>
      <c r="D1881">
        <v>3.886101</v>
      </c>
      <c r="E1881">
        <v>0.4922706</v>
      </c>
      <c r="F1881" t="s">
        <v>64</v>
      </c>
      <c r="G1881">
        <v>-456.08100000000002</v>
      </c>
      <c r="H1881">
        <v>0.27578259999999899</v>
      </c>
      <c r="I1881">
        <v>270.12979999999999</v>
      </c>
      <c r="J1881">
        <v>-339.06580000000002</v>
      </c>
      <c r="K1881">
        <v>1.109578</v>
      </c>
      <c r="L1881">
        <v>283.96690000000001</v>
      </c>
      <c r="M1881">
        <v>-0.99981549999999997</v>
      </c>
      <c r="N1881">
        <v>-1.287985E-2</v>
      </c>
      <c r="O1881">
        <v>-1.4260979999999999E-2</v>
      </c>
      <c r="P1881">
        <v>-0.99127350000000003</v>
      </c>
      <c r="Q1881">
        <v>8.3780750000000001E-2</v>
      </c>
      <c r="R1881">
        <v>-0.1017757</v>
      </c>
      <c r="S1881">
        <v>-2.9920040000000001</v>
      </c>
      <c r="T1881">
        <v>-2.127397E-2</v>
      </c>
      <c r="U1881">
        <v>-0.35311890000000001</v>
      </c>
      <c r="V1881">
        <v>-8.7694869999999994E-2</v>
      </c>
      <c r="W1881">
        <v>9.6497169999999993E-2</v>
      </c>
      <c r="X1881">
        <v>0.99146250000000002</v>
      </c>
      <c r="Y1881">
        <v>-0.1030245</v>
      </c>
      <c r="Z1881">
        <v>-1.112884E-3</v>
      </c>
      <c r="AA1881">
        <v>0.99467819999999996</v>
      </c>
      <c r="AB1881">
        <v>48</v>
      </c>
      <c r="AC1881">
        <v>-117.015199999999</v>
      </c>
      <c r="AD1881">
        <v>-0.83379539999999996</v>
      </c>
      <c r="AE1881">
        <v>-13.8371</v>
      </c>
      <c r="AF1881">
        <v>-12.166193824879</v>
      </c>
      <c r="AG1881">
        <v>-0.83379539999999996</v>
      </c>
      <c r="AH1881">
        <v>117.19477706005</v>
      </c>
      <c r="AI1881">
        <v>90.405451555962699</v>
      </c>
      <c r="AJ1881">
        <v>95.926744855971094</v>
      </c>
      <c r="AK1881">
        <v>117.82753182982501</v>
      </c>
      <c r="AL1881">
        <v>84.462502671607297</v>
      </c>
      <c r="AM1881">
        <v>95.054658226431798</v>
      </c>
      <c r="AN1881">
        <v>0.99999999147428797</v>
      </c>
    </row>
    <row r="1882" spans="1:40" x14ac:dyDescent="0.25">
      <c r="A1882" t="str">
        <f>"20190305135828409"</f>
        <v>20190305135828409</v>
      </c>
      <c r="B1882" t="str">
        <f>"1551765508400275"</f>
        <v>1551765508400275</v>
      </c>
      <c r="C1882" t="s">
        <v>40</v>
      </c>
      <c r="D1882">
        <v>3.8770570000000002</v>
      </c>
      <c r="E1882">
        <v>0.492253</v>
      </c>
      <c r="F1882" t="s">
        <v>64</v>
      </c>
      <c r="G1882">
        <v>-456.08100000000002</v>
      </c>
      <c r="H1882">
        <v>0.24118519999999999</v>
      </c>
      <c r="I1882">
        <v>270.1157</v>
      </c>
      <c r="J1882">
        <v>-339.3075</v>
      </c>
      <c r="K1882">
        <v>1.1095189999999999</v>
      </c>
      <c r="L1882">
        <v>283.96350000000001</v>
      </c>
      <c r="M1882">
        <v>-0.9998165</v>
      </c>
      <c r="N1882">
        <v>-1.288473E-2</v>
      </c>
      <c r="O1882">
        <v>-1.418225E-2</v>
      </c>
      <c r="P1882">
        <v>-0.99129049999999996</v>
      </c>
      <c r="Q1882">
        <v>8.3575839999999998E-2</v>
      </c>
      <c r="R1882">
        <v>-0.10177659999999999</v>
      </c>
      <c r="S1882">
        <v>-2.9919129999999998</v>
      </c>
      <c r="T1882">
        <v>-2.220333E-2</v>
      </c>
      <c r="U1882">
        <v>-0.35415649999999999</v>
      </c>
      <c r="V1882">
        <v>-8.7760779999999997E-2</v>
      </c>
      <c r="W1882">
        <v>9.6309240000000004E-2</v>
      </c>
      <c r="X1882">
        <v>0.99147490000000005</v>
      </c>
      <c r="Y1882">
        <v>-0.1034461</v>
      </c>
      <c r="Z1882">
        <v>-1.1286060000000001E-3</v>
      </c>
      <c r="AA1882">
        <v>0.99463440000000003</v>
      </c>
      <c r="AB1882">
        <v>48</v>
      </c>
      <c r="AC1882">
        <v>-116.773499999999</v>
      </c>
      <c r="AD1882">
        <v>-0.86833379999999905</v>
      </c>
      <c r="AE1882">
        <v>-13.847799999999999</v>
      </c>
      <c r="AF1882">
        <v>-12.189494078613601</v>
      </c>
      <c r="AG1882">
        <v>-0.86833379999999905</v>
      </c>
      <c r="AH1882">
        <v>116.951785866463</v>
      </c>
      <c r="AI1882">
        <v>90.423105230135405</v>
      </c>
      <c r="AJ1882">
        <v>95.950263527801297</v>
      </c>
      <c r="AK1882">
        <v>117.58851128760701</v>
      </c>
      <c r="AL1882">
        <v>84.473320428136503</v>
      </c>
      <c r="AM1882">
        <v>95.058374584690895</v>
      </c>
      <c r="AN1882">
        <v>0.99999995077279602</v>
      </c>
    </row>
    <row r="1883" spans="1:40" x14ac:dyDescent="0.25">
      <c r="A1883" t="str">
        <f>"20190305135828422"</f>
        <v>20190305135828422</v>
      </c>
      <c r="B1883" t="str">
        <f>"1551765508411012"</f>
        <v>1551765508411012</v>
      </c>
      <c r="C1883" t="s">
        <v>40</v>
      </c>
      <c r="D1883">
        <v>3.82104</v>
      </c>
      <c r="E1883">
        <v>0.49241699999999999</v>
      </c>
      <c r="F1883" t="s">
        <v>64</v>
      </c>
      <c r="G1883">
        <v>-456.08100000000002</v>
      </c>
      <c r="H1883">
        <v>0.21942900000000001</v>
      </c>
      <c r="I1883">
        <v>270.13350000000003</v>
      </c>
      <c r="J1883">
        <v>-339.60750000000002</v>
      </c>
      <c r="K1883">
        <v>1.109451</v>
      </c>
      <c r="L1883">
        <v>283.95929999999998</v>
      </c>
      <c r="M1883">
        <v>-0.99981799999999998</v>
      </c>
      <c r="N1883">
        <v>-1.289065E-2</v>
      </c>
      <c r="O1883">
        <v>-1.407128E-2</v>
      </c>
      <c r="P1883">
        <v>-0.99137379999999997</v>
      </c>
      <c r="Q1883">
        <v>8.3002889999999996E-2</v>
      </c>
      <c r="R1883">
        <v>-0.101434</v>
      </c>
      <c r="S1883">
        <v>-2.9918819999999999</v>
      </c>
      <c r="T1883">
        <v>-2.280509E-2</v>
      </c>
      <c r="U1883">
        <v>-0.35433959999999998</v>
      </c>
      <c r="V1883">
        <v>-8.7511080000000005E-2</v>
      </c>
      <c r="W1883">
        <v>9.5757709999999996E-2</v>
      </c>
      <c r="X1883">
        <v>0.99155040000000005</v>
      </c>
      <c r="Y1883">
        <v>-0.1036174</v>
      </c>
      <c r="Z1883">
        <v>-1.1377010000000001E-3</v>
      </c>
      <c r="AA1883">
        <v>0.99461659999999996</v>
      </c>
      <c r="AB1883">
        <v>48</v>
      </c>
      <c r="AC1883">
        <v>-116.47349999999901</v>
      </c>
      <c r="AD1883">
        <v>-0.89002199999999998</v>
      </c>
      <c r="AE1883">
        <v>-13.8257999999999</v>
      </c>
      <c r="AF1883">
        <v>-12.184662102041299</v>
      </c>
      <c r="AG1883">
        <v>-0.89002199999999998</v>
      </c>
      <c r="AH1883">
        <v>116.64981275532</v>
      </c>
      <c r="AI1883">
        <v>90.4347850088716</v>
      </c>
      <c r="AJ1883">
        <v>95.963208390547393</v>
      </c>
      <c r="AK1883">
        <v>117.2878380121</v>
      </c>
      <c r="AL1883">
        <v>84.505067564619594</v>
      </c>
      <c r="AM1883">
        <v>95.043674584459595</v>
      </c>
      <c r="AN1883">
        <v>0.99999996194368401</v>
      </c>
    </row>
    <row r="1884" spans="1:40" x14ac:dyDescent="0.25">
      <c r="A1884" t="str">
        <f>"20190305135828436"</f>
        <v>20190305135828436</v>
      </c>
      <c r="B1884" t="str">
        <f>"1551765508430531"</f>
        <v>1551765508430531</v>
      </c>
      <c r="C1884" t="s">
        <v>40</v>
      </c>
      <c r="D1884">
        <v>3.8388200000000001</v>
      </c>
      <c r="E1884">
        <v>0.49272709999999997</v>
      </c>
      <c r="F1884" t="s">
        <v>64</v>
      </c>
      <c r="G1884">
        <v>-456.08100000000002</v>
      </c>
      <c r="H1884">
        <v>0.21162990000000001</v>
      </c>
      <c r="I1884">
        <v>270.2534</v>
      </c>
      <c r="J1884">
        <v>-339.90570000000002</v>
      </c>
      <c r="K1884">
        <v>1.1093839999999999</v>
      </c>
      <c r="L1884">
        <v>283.95510000000002</v>
      </c>
      <c r="M1884">
        <v>-0.99981969999999998</v>
      </c>
      <c r="N1884">
        <v>-1.2896319999999999E-2</v>
      </c>
      <c r="O1884">
        <v>-1.3939999999999999E-2</v>
      </c>
      <c r="P1884">
        <v>-0.99144080000000001</v>
      </c>
      <c r="Q1884">
        <v>8.2702579999999998E-2</v>
      </c>
      <c r="R1884">
        <v>-0.10102079999999999</v>
      </c>
      <c r="S1884">
        <v>-2.9920040000000001</v>
      </c>
      <c r="T1884">
        <v>-2.306306E-2</v>
      </c>
      <c r="U1884">
        <v>-0.35208129999999999</v>
      </c>
      <c r="V1884">
        <v>-8.721226E-2</v>
      </c>
      <c r="W1884">
        <v>9.5477190000000003E-2</v>
      </c>
      <c r="X1884">
        <v>0.99160380000000004</v>
      </c>
      <c r="Y1884">
        <v>-0.1030027</v>
      </c>
      <c r="Z1884">
        <v>-1.134279E-3</v>
      </c>
      <c r="AA1884">
        <v>0.99468040000000002</v>
      </c>
      <c r="AB1884">
        <v>48</v>
      </c>
      <c r="AC1884">
        <v>-116.175299999999</v>
      </c>
      <c r="AD1884">
        <v>-0.897754099999999</v>
      </c>
      <c r="AE1884">
        <v>-13.701700000000001</v>
      </c>
      <c r="AF1884">
        <v>-12.0800386493512</v>
      </c>
      <c r="AG1884">
        <v>-0.897754099999999</v>
      </c>
      <c r="AH1884">
        <v>116.34817487505001</v>
      </c>
      <c r="AI1884">
        <v>90.439727487559594</v>
      </c>
      <c r="AJ1884">
        <v>95.927588720653404</v>
      </c>
      <c r="AK1884">
        <v>116.977053702635</v>
      </c>
      <c r="AL1884">
        <v>84.521214280529904</v>
      </c>
      <c r="AM1884">
        <v>95.026271263009207</v>
      </c>
      <c r="AN1884">
        <v>0.99999998413952096</v>
      </c>
    </row>
    <row r="1885" spans="1:40" x14ac:dyDescent="0.25">
      <c r="A1885" t="str">
        <f>"20190305135828452"</f>
        <v>20190305135828452</v>
      </c>
      <c r="B1885" t="str">
        <f>"1551765508440291"</f>
        <v>1551765508440291</v>
      </c>
      <c r="C1885" t="s">
        <v>40</v>
      </c>
      <c r="D1885">
        <v>3.8350620000000002</v>
      </c>
      <c r="E1885">
        <v>0.49284509999999998</v>
      </c>
      <c r="F1885" t="s">
        <v>42</v>
      </c>
      <c r="G1885">
        <v>-495.84089999999998</v>
      </c>
      <c r="H1885" s="1">
        <v>-4.0338219999999996E-6</v>
      </c>
      <c r="I1885">
        <v>265.79579999999999</v>
      </c>
      <c r="J1885">
        <v>-340.24560000000002</v>
      </c>
      <c r="K1885">
        <v>1.109308</v>
      </c>
      <c r="L1885">
        <v>283.9504</v>
      </c>
      <c r="M1885">
        <v>-0.99982199999999999</v>
      </c>
      <c r="N1885">
        <v>-1.290229E-2</v>
      </c>
      <c r="O1885">
        <v>-1.376936E-2</v>
      </c>
      <c r="P1885">
        <v>-0.99170270000000005</v>
      </c>
      <c r="Q1885">
        <v>8.1018110000000004E-2</v>
      </c>
      <c r="R1885">
        <v>-9.9810060000000006E-2</v>
      </c>
      <c r="S1885">
        <v>-2.9921570000000002</v>
      </c>
      <c r="T1885">
        <v>-2.1287440000000001E-2</v>
      </c>
      <c r="U1885">
        <v>-0.34844969999999997</v>
      </c>
      <c r="V1885">
        <v>-8.6152090000000001E-2</v>
      </c>
      <c r="W1885">
        <v>9.3816239999999995E-2</v>
      </c>
      <c r="X1885">
        <v>0.99185500000000004</v>
      </c>
      <c r="Y1885">
        <v>-0.1019766</v>
      </c>
      <c r="Z1885">
        <v>-1.101157E-3</v>
      </c>
      <c r="AA1885">
        <v>0.99478619999999995</v>
      </c>
      <c r="AB1885">
        <v>48</v>
      </c>
      <c r="AC1885">
        <v>-155.59529999999901</v>
      </c>
      <c r="AD1885">
        <v>-1.1093120338219999</v>
      </c>
      <c r="AE1885">
        <v>-18.154599999999999</v>
      </c>
      <c r="AF1885">
        <v>-16.009449853443499</v>
      </c>
      <c r="AG1885">
        <v>-1.1093120338219999</v>
      </c>
      <c r="AH1885">
        <v>155.822730810938</v>
      </c>
      <c r="AI1885">
        <v>90.405749633066407</v>
      </c>
      <c r="AJ1885">
        <v>95.866067629912806</v>
      </c>
      <c r="AK1885">
        <v>156.64691664752399</v>
      </c>
      <c r="AL1885">
        <v>84.616808963723201</v>
      </c>
      <c r="AM1885">
        <v>94.964226939851699</v>
      </c>
      <c r="AN1885">
        <v>1.0000000052620499</v>
      </c>
    </row>
    <row r="1886" spans="1:40" x14ac:dyDescent="0.25">
      <c r="A1886" t="str">
        <f>"20190305135828465"</f>
        <v>20190305135828465</v>
      </c>
      <c r="B1886" t="str">
        <f>"1551765508460787"</f>
        <v>1551765508460787</v>
      </c>
      <c r="C1886" t="s">
        <v>40</v>
      </c>
      <c r="D1886">
        <v>3.861116</v>
      </c>
      <c r="E1886">
        <v>0.49314479999999999</v>
      </c>
      <c r="F1886" t="s">
        <v>43</v>
      </c>
      <c r="G1886">
        <v>-471.62599999999998</v>
      </c>
      <c r="H1886">
        <v>-0.05</v>
      </c>
      <c r="I1886">
        <v>268.85539999999997</v>
      </c>
      <c r="J1886">
        <v>-340.52449999999999</v>
      </c>
      <c r="K1886">
        <v>1.109251</v>
      </c>
      <c r="L1886">
        <v>283.94670000000002</v>
      </c>
      <c r="M1886">
        <v>-0.99982400000000005</v>
      </c>
      <c r="N1886">
        <v>-1.2906799999999901E-2</v>
      </c>
      <c r="O1886">
        <v>-1.362127E-2</v>
      </c>
      <c r="P1886">
        <v>-0.99180729999999995</v>
      </c>
      <c r="Q1886">
        <v>8.0405400000000002E-2</v>
      </c>
      <c r="R1886">
        <v>-9.9263409999999996E-2</v>
      </c>
      <c r="S1886">
        <v>-2.992645</v>
      </c>
      <c r="T1886">
        <v>-2.6407239999999998E-2</v>
      </c>
      <c r="U1886">
        <v>-0.34384160000000002</v>
      </c>
      <c r="V1886">
        <v>-8.5739750000000003E-2</v>
      </c>
      <c r="W1886">
        <v>9.3219460000000004E-2</v>
      </c>
      <c r="X1886">
        <v>0.99194700000000002</v>
      </c>
      <c r="Y1886">
        <v>-0.1005911</v>
      </c>
      <c r="Z1886">
        <v>-1.1491940000000001E-3</v>
      </c>
      <c r="AA1886">
        <v>0.99492720000000001</v>
      </c>
      <c r="AB1886">
        <v>48</v>
      </c>
      <c r="AC1886">
        <v>-131.10149999999999</v>
      </c>
      <c r="AD1886">
        <v>-1.159251</v>
      </c>
      <c r="AE1886">
        <v>-15.0913</v>
      </c>
      <c r="AF1886">
        <v>-13.302955611235999</v>
      </c>
      <c r="AG1886">
        <v>-1.159251</v>
      </c>
      <c r="AH1886">
        <v>131.284784324957</v>
      </c>
      <c r="AI1886">
        <v>90.503334082748296</v>
      </c>
      <c r="AJ1886">
        <v>95.785975214739096</v>
      </c>
      <c r="AK1886">
        <v>131.96214262479299</v>
      </c>
      <c r="AL1886">
        <v>84.651152480298805</v>
      </c>
      <c r="AM1886">
        <v>94.940129148790106</v>
      </c>
      <c r="AN1886">
        <v>1.00000001163087</v>
      </c>
    </row>
    <row r="1887" spans="1:40" x14ac:dyDescent="0.25">
      <c r="A1887" t="str">
        <f>"20190305135828478"</f>
        <v>20190305135828478</v>
      </c>
      <c r="B1887" t="str">
        <f>"1551765508470547"</f>
        <v>1551765508470547</v>
      </c>
      <c r="C1887" t="s">
        <v>40</v>
      </c>
      <c r="D1887">
        <v>3.8989560000000001</v>
      </c>
      <c r="E1887">
        <v>0.49326880000000001</v>
      </c>
      <c r="F1887" t="s">
        <v>43</v>
      </c>
      <c r="G1887">
        <v>-471.26549999999997</v>
      </c>
      <c r="H1887">
        <v>-0.05</v>
      </c>
      <c r="I1887">
        <v>269.10379999999998</v>
      </c>
      <c r="J1887">
        <v>-340.8021</v>
      </c>
      <c r="K1887">
        <v>1.109199</v>
      </c>
      <c r="L1887">
        <v>283.94299999999998</v>
      </c>
      <c r="M1887">
        <v>-0.99982599999999999</v>
      </c>
      <c r="N1887">
        <v>-1.291102E-2</v>
      </c>
      <c r="O1887">
        <v>-1.34688E-2</v>
      </c>
      <c r="P1887">
        <v>-0.99194890000000002</v>
      </c>
      <c r="Q1887">
        <v>7.9418160000000002E-2</v>
      </c>
      <c r="R1887">
        <v>-9.8642309999999997E-2</v>
      </c>
      <c r="S1887">
        <v>-2.9929199999999998</v>
      </c>
      <c r="T1887">
        <v>-2.6537539999999998E-2</v>
      </c>
      <c r="U1887">
        <v>-0.33978269999999999</v>
      </c>
      <c r="V1887">
        <v>-8.5257470000000002E-2</v>
      </c>
      <c r="W1887">
        <v>9.2248070000000001E-2</v>
      </c>
      <c r="X1887">
        <v>0.99207939999999994</v>
      </c>
      <c r="Y1887">
        <v>-9.9400569999999994E-2</v>
      </c>
      <c r="Z1887">
        <v>-1.1374250000000001E-3</v>
      </c>
      <c r="AA1887">
        <v>0.99504689999999996</v>
      </c>
      <c r="AB1887">
        <v>48</v>
      </c>
      <c r="AC1887">
        <v>-130.46339999999901</v>
      </c>
      <c r="AD1887">
        <v>-1.1591989999999901</v>
      </c>
      <c r="AE1887">
        <v>-14.8392</v>
      </c>
      <c r="AF1887">
        <v>-13.079502529828799</v>
      </c>
      <c r="AG1887">
        <v>-1.1591989999999901</v>
      </c>
      <c r="AH1887">
        <v>130.64126468802601</v>
      </c>
      <c r="AI1887">
        <v>90.505851706333502</v>
      </c>
      <c r="AJ1887">
        <v>95.717269822910296</v>
      </c>
      <c r="AK1887">
        <v>131.29949416519599</v>
      </c>
      <c r="AL1887">
        <v>84.707050041100601</v>
      </c>
      <c r="AM1887">
        <v>94.911825239818498</v>
      </c>
      <c r="AN1887">
        <v>1.0000000392569399</v>
      </c>
    </row>
    <row r="1888" spans="1:40" x14ac:dyDescent="0.25">
      <c r="A1888" t="str">
        <f>"20190305135828490"</f>
        <v>20190305135828490</v>
      </c>
      <c r="B1888" t="str">
        <f>"1551765508480307"</f>
        <v>1551765508480307</v>
      </c>
      <c r="C1888" t="s">
        <v>40</v>
      </c>
      <c r="D1888">
        <v>3.9397180000000001</v>
      </c>
      <c r="E1888">
        <v>0.4934656</v>
      </c>
      <c r="F1888" t="s">
        <v>43</v>
      </c>
      <c r="G1888">
        <v>-463.01859999999999</v>
      </c>
      <c r="H1888">
        <v>-0.05</v>
      </c>
      <c r="I1888">
        <v>270.19209999999998</v>
      </c>
      <c r="J1888">
        <v>-341.06560000000002</v>
      </c>
      <c r="K1888">
        <v>1.1091519999999999</v>
      </c>
      <c r="L1888">
        <v>283.93950000000001</v>
      </c>
      <c r="M1888">
        <v>-0.99982800000000005</v>
      </c>
      <c r="N1888">
        <v>-1.291465E-2</v>
      </c>
      <c r="O1888">
        <v>-1.3318730000000001E-2</v>
      </c>
      <c r="P1888">
        <v>-0.99209860000000005</v>
      </c>
      <c r="Q1888">
        <v>7.8426650000000001E-2</v>
      </c>
      <c r="R1888">
        <v>-9.7926360000000004E-2</v>
      </c>
      <c r="S1888">
        <v>-2.9931030000000001</v>
      </c>
      <c r="T1888">
        <v>-2.8388980000000001E-2</v>
      </c>
      <c r="U1888">
        <v>-0.33676149999999999</v>
      </c>
      <c r="V1888">
        <v>-8.4680409999999998E-2</v>
      </c>
      <c r="W1888">
        <v>9.1269920000000004E-2</v>
      </c>
      <c r="X1888">
        <v>0.99221930000000003</v>
      </c>
      <c r="Y1888">
        <v>-9.8550449999999998E-2</v>
      </c>
      <c r="Z1888">
        <v>-1.14993E-3</v>
      </c>
      <c r="AA1888">
        <v>0.9951314</v>
      </c>
      <c r="AB1888">
        <v>48</v>
      </c>
      <c r="AC1888">
        <v>-121.95299999999899</v>
      </c>
      <c r="AD1888">
        <v>-1.159152</v>
      </c>
      <c r="AE1888">
        <v>-13.747400000000001</v>
      </c>
      <c r="AF1888">
        <v>-12.120704760513201</v>
      </c>
      <c r="AG1888">
        <v>-1.159152</v>
      </c>
      <c r="AH1888">
        <v>122.114400562352</v>
      </c>
      <c r="AI1888">
        <v>90.541195740720298</v>
      </c>
      <c r="AJ1888">
        <v>95.668438776672303</v>
      </c>
      <c r="AK1888">
        <v>122.719932944706</v>
      </c>
      <c r="AL1888">
        <v>84.763331426152305</v>
      </c>
      <c r="AM1888">
        <v>94.878056288479399</v>
      </c>
      <c r="AN1888">
        <v>1.0000000547135299</v>
      </c>
    </row>
    <row r="1889" spans="1:40" x14ac:dyDescent="0.25">
      <c r="A1889" t="str">
        <f>"20190305135828502"</f>
        <v>20190305135828502</v>
      </c>
      <c r="B1889" t="str">
        <f>"1551765508490575"</f>
        <v>1551765508490575</v>
      </c>
      <c r="C1889" t="s">
        <v>40</v>
      </c>
      <c r="D1889">
        <v>3.8461669999999999</v>
      </c>
      <c r="E1889">
        <v>0.4935465</v>
      </c>
      <c r="F1889" t="s">
        <v>61</v>
      </c>
      <c r="G1889">
        <v>-429.96679999999998</v>
      </c>
      <c r="H1889">
        <v>5.9078609999999997E-2</v>
      </c>
      <c r="I1889">
        <v>274.05810000000002</v>
      </c>
      <c r="J1889">
        <v>-341.30869999999999</v>
      </c>
      <c r="K1889">
        <v>1.1091139999999999</v>
      </c>
      <c r="L1889">
        <v>283.93630000000002</v>
      </c>
      <c r="M1889">
        <v>-0.99982979999999999</v>
      </c>
      <c r="N1889">
        <v>-1.291781E-2</v>
      </c>
      <c r="O1889">
        <v>-1.317923E-2</v>
      </c>
      <c r="P1889">
        <v>-0.99225629999999998</v>
      </c>
      <c r="Q1889">
        <v>7.7507060000000003E-2</v>
      </c>
      <c r="R1889">
        <v>-9.7058939999999996E-2</v>
      </c>
      <c r="S1889">
        <v>-2.9938349999999998</v>
      </c>
      <c r="T1889">
        <v>-3.5362240000000003E-2</v>
      </c>
      <c r="U1889">
        <v>-0.3327637</v>
      </c>
      <c r="V1889">
        <v>-8.3941710000000003E-2</v>
      </c>
      <c r="W1889">
        <v>9.0362449999999997E-2</v>
      </c>
      <c r="X1889">
        <v>0.9923651</v>
      </c>
      <c r="Y1889">
        <v>-9.7345959999999995E-2</v>
      </c>
      <c r="Z1889">
        <v>-1.218488E-3</v>
      </c>
      <c r="AA1889">
        <v>0.99524990000000002</v>
      </c>
      <c r="AB1889">
        <v>48</v>
      </c>
      <c r="AC1889">
        <v>-88.658099999999905</v>
      </c>
      <c r="AD1889">
        <v>-1.0500353899999999</v>
      </c>
      <c r="AE1889">
        <v>-9.8781999999999908</v>
      </c>
      <c r="AF1889">
        <v>-8.7075926016045209</v>
      </c>
      <c r="AG1889">
        <v>-1.0500353899999999</v>
      </c>
      <c r="AH1889">
        <v>88.768297671527705</v>
      </c>
      <c r="AI1889">
        <v>90.674480100953005</v>
      </c>
      <c r="AJ1889">
        <v>95.602419712504897</v>
      </c>
      <c r="AK1889">
        <v>89.200534834364802</v>
      </c>
      <c r="AL1889">
        <v>84.815541284636197</v>
      </c>
      <c r="AM1889">
        <v>94.834998682632204</v>
      </c>
      <c r="AN1889">
        <v>1.0000000373728599</v>
      </c>
    </row>
    <row r="1890" spans="1:40" x14ac:dyDescent="0.25">
      <c r="A1890" t="str">
        <f>"20190305135828513"</f>
        <v>20190305135828513</v>
      </c>
      <c r="B1890" t="str">
        <f>"1551765508500335"</f>
        <v>1551765508500335</v>
      </c>
      <c r="C1890" t="s">
        <v>40</v>
      </c>
      <c r="D1890">
        <v>3.8318750000000001</v>
      </c>
      <c r="E1890">
        <v>0.49363509999999999</v>
      </c>
      <c r="F1890" t="s">
        <v>61</v>
      </c>
      <c r="G1890">
        <v>-429.2097</v>
      </c>
      <c r="H1890" s="1">
        <v>4.2178840000000003E-6</v>
      </c>
      <c r="I1890">
        <v>274.26659999999998</v>
      </c>
      <c r="J1890">
        <v>-341.56240000000003</v>
      </c>
      <c r="K1890">
        <v>1.1090789999999999</v>
      </c>
      <c r="L1890">
        <v>283.93299999999999</v>
      </c>
      <c r="M1890">
        <v>-0.99983160000000004</v>
      </c>
      <c r="N1890">
        <v>-1.29208E-2</v>
      </c>
      <c r="O1890">
        <v>-1.303153E-2</v>
      </c>
      <c r="P1890">
        <v>-0.99233879999999997</v>
      </c>
      <c r="Q1890">
        <v>7.7092820000000006E-2</v>
      </c>
      <c r="R1890">
        <v>-9.6542840000000005E-2</v>
      </c>
      <c r="S1890">
        <v>-2.9941409999999999</v>
      </c>
      <c r="T1890">
        <v>-3.7779210000000001E-2</v>
      </c>
      <c r="U1890">
        <v>-0.32937620000000001</v>
      </c>
      <c r="V1890">
        <v>-8.3564330000000006E-2</v>
      </c>
      <c r="W1890">
        <v>8.9958319999999994E-2</v>
      </c>
      <c r="X1890">
        <v>0.99243360000000003</v>
      </c>
      <c r="Y1890">
        <v>-9.6368090000000003E-2</v>
      </c>
      <c r="Z1890">
        <v>-1.234663E-3</v>
      </c>
      <c r="AA1890">
        <v>0.99534500000000004</v>
      </c>
      <c r="AB1890">
        <v>48</v>
      </c>
      <c r="AC1890">
        <v>-87.647299999999902</v>
      </c>
      <c r="AD1890">
        <v>-1.1090747821160001</v>
      </c>
      <c r="AE1890">
        <v>-9.6664000000000101</v>
      </c>
      <c r="AF1890">
        <v>-8.5219571403589693</v>
      </c>
      <c r="AG1890">
        <v>-1.1090747821160001</v>
      </c>
      <c r="AH1890">
        <v>87.751952813846501</v>
      </c>
      <c r="AI1890">
        <v>90.720718073090694</v>
      </c>
      <c r="AJ1890">
        <v>95.546837405672406</v>
      </c>
      <c r="AK1890">
        <v>88.171758647641795</v>
      </c>
      <c r="AL1890">
        <v>84.838790586465095</v>
      </c>
      <c r="AM1890">
        <v>94.813033480142195</v>
      </c>
      <c r="AN1890">
        <v>0.99999997349726499</v>
      </c>
    </row>
    <row r="1891" spans="1:40" x14ac:dyDescent="0.25">
      <c r="A1891" t="str">
        <f>"20190305135828530"</f>
        <v>20190305135828530</v>
      </c>
      <c r="B1891" t="str">
        <f>"1551765508520830"</f>
        <v>1551765508520830</v>
      </c>
      <c r="C1891" t="s">
        <v>40</v>
      </c>
      <c r="D1891">
        <v>3.9156819999999999</v>
      </c>
      <c r="E1891">
        <v>0.49368319999999999</v>
      </c>
      <c r="F1891" t="s">
        <v>61</v>
      </c>
      <c r="G1891">
        <v>-428.0231</v>
      </c>
      <c r="H1891" s="1">
        <v>4.4201170000000001E-6</v>
      </c>
      <c r="I1891">
        <v>274.49650000000003</v>
      </c>
      <c r="J1891">
        <v>-341.90929999999997</v>
      </c>
      <c r="K1891">
        <v>1.1090390000000001</v>
      </c>
      <c r="L1891">
        <v>283.92869999999999</v>
      </c>
      <c r="M1891">
        <v>-0.99983429999999995</v>
      </c>
      <c r="N1891">
        <v>-1.292451E-2</v>
      </c>
      <c r="O1891">
        <v>-1.2827E-2</v>
      </c>
      <c r="P1891">
        <v>-0.99246970000000001</v>
      </c>
      <c r="Q1891">
        <v>7.6717610000000006E-2</v>
      </c>
      <c r="R1891">
        <v>-9.5491489999999998E-2</v>
      </c>
      <c r="S1891">
        <v>-2.994354</v>
      </c>
      <c r="T1891">
        <v>-3.8410069999999998E-2</v>
      </c>
      <c r="U1891">
        <v>-0.32681270000000001</v>
      </c>
      <c r="V1891">
        <v>-8.2706210000000002E-2</v>
      </c>
      <c r="W1891">
        <v>8.9595469999999997E-2</v>
      </c>
      <c r="X1891">
        <v>0.99253829999999998</v>
      </c>
      <c r="Y1891">
        <v>-9.5721680000000003E-2</v>
      </c>
      <c r="Z1891">
        <v>-1.2338970000000001E-3</v>
      </c>
      <c r="AA1891">
        <v>0.99540740000000005</v>
      </c>
      <c r="AB1891">
        <v>48</v>
      </c>
      <c r="AC1891">
        <v>-86.113799999999998</v>
      </c>
      <c r="AD1891">
        <v>-1.1090345798829999</v>
      </c>
      <c r="AE1891">
        <v>-9.4321999999999608</v>
      </c>
      <c r="AF1891">
        <v>-8.3253855329342894</v>
      </c>
      <c r="AG1891">
        <v>-1.1090345798829999</v>
      </c>
      <c r="AH1891">
        <v>86.213581251612496</v>
      </c>
      <c r="AI1891">
        <v>90.733588893674593</v>
      </c>
      <c r="AJ1891">
        <v>95.515777847939404</v>
      </c>
      <c r="AK1891">
        <v>86.6217270331165</v>
      </c>
      <c r="AL1891">
        <v>84.859664640387905</v>
      </c>
      <c r="AM1891">
        <v>94.763336990126206</v>
      </c>
      <c r="AN1891">
        <v>0.99999997119198702</v>
      </c>
    </row>
    <row r="1892" spans="1:40" x14ac:dyDescent="0.25">
      <c r="A1892" t="str">
        <f>"20190305135828552"</f>
        <v>20190305135828552</v>
      </c>
      <c r="B1892" t="str">
        <f>"1551765508540350"</f>
        <v>1551765508540350</v>
      </c>
      <c r="C1892" t="s">
        <v>40</v>
      </c>
      <c r="D1892">
        <v>3.9023180000000002</v>
      </c>
      <c r="E1892">
        <v>0.49404399999999998</v>
      </c>
      <c r="F1892" t="s">
        <v>61</v>
      </c>
      <c r="G1892">
        <v>-425.5102</v>
      </c>
      <c r="H1892" s="1">
        <v>4.8422729999999997E-6</v>
      </c>
      <c r="I1892">
        <v>274.9085</v>
      </c>
      <c r="J1892">
        <v>-342.37360000000001</v>
      </c>
      <c r="K1892">
        <v>1.1089979999999999</v>
      </c>
      <c r="L1892">
        <v>283.92290000000003</v>
      </c>
      <c r="M1892">
        <v>-0.99983759999999999</v>
      </c>
      <c r="N1892">
        <v>-1.292899E-2</v>
      </c>
      <c r="O1892">
        <v>-1.254946E-2</v>
      </c>
      <c r="P1892">
        <v>-0.99260870000000001</v>
      </c>
      <c r="Q1892">
        <v>7.6058920000000002E-2</v>
      </c>
      <c r="R1892">
        <v>-9.4567189999999995E-2</v>
      </c>
      <c r="S1892">
        <v>-2.9947509999999999</v>
      </c>
      <c r="T1892">
        <v>-3.9727810000000002E-2</v>
      </c>
      <c r="U1892">
        <v>-0.32312010000000002</v>
      </c>
      <c r="V1892">
        <v>-8.2046939999999999E-2</v>
      </c>
      <c r="W1892">
        <v>8.8950989999999994E-2</v>
      </c>
      <c r="X1892">
        <v>0.99265099999999995</v>
      </c>
      <c r="Y1892">
        <v>-9.4769999999999993E-2</v>
      </c>
      <c r="Z1892">
        <v>-1.2371070000000001E-3</v>
      </c>
      <c r="AA1892">
        <v>0.99549840000000001</v>
      </c>
      <c r="AB1892">
        <v>48</v>
      </c>
      <c r="AC1892">
        <v>-83.136599999999902</v>
      </c>
      <c r="AD1892">
        <v>-1.108993157727</v>
      </c>
      <c r="AE1892">
        <v>-9.0144000000000197</v>
      </c>
      <c r="AF1892">
        <v>-7.9688818018254803</v>
      </c>
      <c r="AG1892">
        <v>-1.108993157727</v>
      </c>
      <c r="AH1892">
        <v>83.228549830247999</v>
      </c>
      <c r="AI1892">
        <v>90.759927358710598</v>
      </c>
      <c r="AJ1892">
        <v>95.469225167870405</v>
      </c>
      <c r="AK1892">
        <v>83.616532156275397</v>
      </c>
      <c r="AL1892">
        <v>84.896738769798503</v>
      </c>
      <c r="AM1892">
        <v>94.725005906032905</v>
      </c>
      <c r="AN1892">
        <v>0.99999999339317103</v>
      </c>
    </row>
    <row r="1893" spans="1:40" x14ac:dyDescent="0.25">
      <c r="A1893" t="str">
        <f>"20190305135828655"</f>
        <v>20190305135828655</v>
      </c>
      <c r="B1893" t="str">
        <f>"1551765508651017"</f>
        <v>1551765508651017</v>
      </c>
      <c r="C1893" t="s">
        <v>40</v>
      </c>
      <c r="D1893">
        <v>3.6900659999999998</v>
      </c>
      <c r="E1893">
        <v>0.4944462</v>
      </c>
      <c r="F1893" t="s">
        <v>61</v>
      </c>
      <c r="G1893">
        <v>-422.50880000000001</v>
      </c>
      <c r="H1893" s="1">
        <v>5.3237049999999999E-6</v>
      </c>
      <c r="I1893">
        <v>275.42919999999998</v>
      </c>
      <c r="J1893">
        <v>-344.60469999999998</v>
      </c>
      <c r="K1893">
        <v>1.1088979999999999</v>
      </c>
      <c r="L1893">
        <v>283.8972</v>
      </c>
      <c r="M1893">
        <v>-0.99985460000000004</v>
      </c>
      <c r="N1893">
        <v>-1.2897530000000001E-2</v>
      </c>
      <c r="O1893">
        <v>-1.11588E-2</v>
      </c>
      <c r="P1893">
        <v>-0.99252309999999999</v>
      </c>
      <c r="Q1893">
        <v>7.7492930000000002E-2</v>
      </c>
      <c r="R1893">
        <v>-9.4302529999999996E-2</v>
      </c>
      <c r="S1893">
        <v>-2.9952700000000001</v>
      </c>
      <c r="T1893">
        <v>-4.145157E-2</v>
      </c>
      <c r="U1893">
        <v>-0.31747439999999999</v>
      </c>
      <c r="V1893">
        <v>-8.3142369999999993E-2</v>
      </c>
      <c r="W1893">
        <v>9.0372419999999995E-2</v>
      </c>
      <c r="X1893">
        <v>0.99243150000000002</v>
      </c>
      <c r="Y1893">
        <v>-9.4280050000000004E-2</v>
      </c>
      <c r="Z1893">
        <v>-1.249872E-3</v>
      </c>
      <c r="AA1893">
        <v>0.99554489999999995</v>
      </c>
      <c r="AB1893">
        <v>48</v>
      </c>
      <c r="AC1893">
        <v>-77.9041</v>
      </c>
      <c r="AD1893">
        <v>-1.108892676295</v>
      </c>
      <c r="AE1893">
        <v>-8.4680000000000106</v>
      </c>
      <c r="AF1893">
        <v>-7.5965629788020497</v>
      </c>
      <c r="AG1893">
        <v>-1.108892676295</v>
      </c>
      <c r="AH1893">
        <v>77.978134783212099</v>
      </c>
      <c r="AI1893">
        <v>90.810884859946796</v>
      </c>
      <c r="AJ1893">
        <v>95.564147841293405</v>
      </c>
      <c r="AK1893">
        <v>78.355133311910294</v>
      </c>
      <c r="AL1893">
        <v>84.814967791016599</v>
      </c>
      <c r="AM1893">
        <v>94.7888533563506</v>
      </c>
      <c r="AN1893">
        <v>1.00000005508906</v>
      </c>
    </row>
    <row r="1894" spans="1:40" x14ac:dyDescent="0.25">
      <c r="A1894" t="str">
        <f>"20190305135828668"</f>
        <v>20190305135828668</v>
      </c>
      <c r="B1894" t="str">
        <f>"1551765508660778"</f>
        <v>1551765508660778</v>
      </c>
      <c r="C1894" t="s">
        <v>40</v>
      </c>
      <c r="D1894">
        <v>4.2055930000000004</v>
      </c>
      <c r="E1894">
        <v>0.49519049999999998</v>
      </c>
      <c r="F1894" t="s">
        <v>61</v>
      </c>
      <c r="G1894">
        <v>-430.5419</v>
      </c>
      <c r="H1894">
        <v>8.0001420000000004E-2</v>
      </c>
      <c r="I1894">
        <v>274.8716</v>
      </c>
      <c r="J1894">
        <v>-344.87849999999997</v>
      </c>
      <c r="K1894">
        <v>1.108889</v>
      </c>
      <c r="L1894">
        <v>283.89429999999999</v>
      </c>
      <c r="M1894">
        <v>-0.99985670000000004</v>
      </c>
      <c r="N1894">
        <v>-1.289058E-2</v>
      </c>
      <c r="O1894">
        <v>-1.0984509999999999E-2</v>
      </c>
      <c r="P1894">
        <v>-0.992533</v>
      </c>
      <c r="Q1894">
        <v>7.7317529999999995E-2</v>
      </c>
      <c r="R1894">
        <v>-9.4342220000000004E-2</v>
      </c>
      <c r="S1894">
        <v>-2.995514</v>
      </c>
      <c r="T1894">
        <v>-3.5864229999999997E-2</v>
      </c>
      <c r="U1894">
        <v>-0.31460569999999999</v>
      </c>
      <c r="V1894">
        <v>-8.3353860000000002E-2</v>
      </c>
      <c r="W1894">
        <v>9.0191480000000004E-2</v>
      </c>
      <c r="X1894">
        <v>0.99243020000000004</v>
      </c>
      <c r="Y1894">
        <v>-9.3505669999999999E-2</v>
      </c>
      <c r="Z1894">
        <v>-1.172703E-3</v>
      </c>
      <c r="AA1894">
        <v>0.995618</v>
      </c>
      <c r="AB1894">
        <v>48</v>
      </c>
      <c r="AC1894">
        <v>-85.663399999999996</v>
      </c>
      <c r="AD1894">
        <v>-1.0288875799999999</v>
      </c>
      <c r="AE1894">
        <v>-9.0226999999999808</v>
      </c>
      <c r="AF1894">
        <v>-8.0799541865461197</v>
      </c>
      <c r="AG1894">
        <v>-1.0288875799999999</v>
      </c>
      <c r="AH1894">
        <v>85.745115248159195</v>
      </c>
      <c r="AI1894">
        <v>90.684448560709299</v>
      </c>
      <c r="AJ1894">
        <v>95.3832133400782</v>
      </c>
      <c r="AK1894">
        <v>86.131115505542297</v>
      </c>
      <c r="AL1894">
        <v>84.825377297209897</v>
      </c>
      <c r="AM1894">
        <v>94.800984197923896</v>
      </c>
      <c r="AN1894">
        <v>1.00000003545676</v>
      </c>
    </row>
    <row r="1895" spans="1:40" x14ac:dyDescent="0.25">
      <c r="A1895" t="str">
        <f>"20190305135828680"</f>
        <v>20190305135828680</v>
      </c>
      <c r="B1895" t="str">
        <f>"1551765508670538"</f>
        <v>1551765508670538</v>
      </c>
      <c r="C1895" t="s">
        <v>40</v>
      </c>
      <c r="D1895">
        <v>3.8767299999999998</v>
      </c>
      <c r="E1895">
        <v>0.49597400000000003</v>
      </c>
      <c r="F1895" t="s">
        <v>61</v>
      </c>
      <c r="G1895">
        <v>-429.40449999999998</v>
      </c>
      <c r="H1895" s="1">
        <v>3.9063810000000001E-6</v>
      </c>
      <c r="I1895">
        <v>275.18720000000002</v>
      </c>
      <c r="J1895">
        <v>-345.13420000000002</v>
      </c>
      <c r="K1895">
        <v>1.108881</v>
      </c>
      <c r="L1895">
        <v>283.89150000000001</v>
      </c>
      <c r="M1895">
        <v>-0.99985840000000004</v>
      </c>
      <c r="N1895">
        <v>-1.288424E-2</v>
      </c>
      <c r="O1895">
        <v>-1.082144E-2</v>
      </c>
      <c r="P1895">
        <v>-0.99257580000000001</v>
      </c>
      <c r="Q1895">
        <v>7.6786789999999994E-2</v>
      </c>
      <c r="R1895">
        <v>-9.4324519999999995E-2</v>
      </c>
      <c r="S1895">
        <v>-2.9963380000000002</v>
      </c>
      <c r="T1895">
        <v>-3.9308549999999998E-2</v>
      </c>
      <c r="U1895">
        <v>-0.30865479999999901</v>
      </c>
      <c r="V1895">
        <v>-8.3497050000000003E-2</v>
      </c>
      <c r="W1895">
        <v>8.9656269999999996E-2</v>
      </c>
      <c r="X1895">
        <v>0.99246659999999998</v>
      </c>
      <c r="Y1895">
        <v>-9.1681529999999997E-2</v>
      </c>
      <c r="Z1895">
        <v>-1.1895460000000001E-3</v>
      </c>
      <c r="AA1895">
        <v>0.99578770000000005</v>
      </c>
      <c r="AB1895">
        <v>48</v>
      </c>
      <c r="AC1895">
        <v>-84.270299999999907</v>
      </c>
      <c r="AD1895">
        <v>-1.108877093619</v>
      </c>
      <c r="AE1895">
        <v>-8.7042999999999893</v>
      </c>
      <c r="AF1895">
        <v>-7.79045385581668</v>
      </c>
      <c r="AG1895">
        <v>-1.108877093619</v>
      </c>
      <c r="AH1895">
        <v>84.345115711042993</v>
      </c>
      <c r="AI1895">
        <v>90.750026569352499</v>
      </c>
      <c r="AJ1895">
        <v>95.277095946575997</v>
      </c>
      <c r="AK1895">
        <v>84.711388396115794</v>
      </c>
      <c r="AL1895">
        <v>84.856167016264607</v>
      </c>
      <c r="AM1895">
        <v>94.809017395940202</v>
      </c>
      <c r="AN1895">
        <v>0.99999997811228702</v>
      </c>
    </row>
    <row r="1896" spans="1:40" x14ac:dyDescent="0.25">
      <c r="A1896" t="str">
        <f>"20190305135828692"</f>
        <v>20190305135828692</v>
      </c>
      <c r="B1896" t="str">
        <f>"1551765508690566"</f>
        <v>1551765508690566</v>
      </c>
      <c r="C1896" t="s">
        <v>40</v>
      </c>
      <c r="D1896">
        <v>3.9148640000000001</v>
      </c>
      <c r="E1896">
        <v>0.49741109999999999</v>
      </c>
      <c r="F1896" t="s">
        <v>61</v>
      </c>
      <c r="G1896">
        <v>-427.65929999999997</v>
      </c>
      <c r="H1896" s="1">
        <v>4.1330899999999996E-6</v>
      </c>
      <c r="I1896">
        <v>275.56670000000003</v>
      </c>
      <c r="J1896">
        <v>-345.39729999999997</v>
      </c>
      <c r="K1896">
        <v>1.1088750000000001</v>
      </c>
      <c r="L1896">
        <v>283.8888</v>
      </c>
      <c r="M1896">
        <v>-0.99986039999999998</v>
      </c>
      <c r="N1896">
        <v>-1.287809E-2</v>
      </c>
      <c r="O1896">
        <v>-1.0653859999999999E-2</v>
      </c>
      <c r="P1896">
        <v>-0.99259299999999995</v>
      </c>
      <c r="Q1896">
        <v>7.6553049999999997E-2</v>
      </c>
      <c r="R1896">
        <v>-9.4335119999999995E-2</v>
      </c>
      <c r="S1896">
        <v>-2.9967959999999998</v>
      </c>
      <c r="T1896">
        <v>-4.026747E-2</v>
      </c>
      <c r="U1896">
        <v>-0.3023071</v>
      </c>
      <c r="V1896">
        <v>-8.3672999999999997E-2</v>
      </c>
      <c r="W1896">
        <v>8.9417380000000005E-2</v>
      </c>
      <c r="X1896">
        <v>0.99247339999999995</v>
      </c>
      <c r="Y1896">
        <v>-8.9745000000000005E-2</v>
      </c>
      <c r="Z1896">
        <v>-1.1749169999999999E-3</v>
      </c>
      <c r="AA1896">
        <v>0.99596410000000002</v>
      </c>
      <c r="AB1896">
        <v>48</v>
      </c>
      <c r="AC1896">
        <v>-82.262</v>
      </c>
      <c r="AD1896">
        <v>-1.10887086691</v>
      </c>
      <c r="AE1896">
        <v>-8.3220999999999705</v>
      </c>
      <c r="AF1896">
        <v>-7.4438083055539801</v>
      </c>
      <c r="AG1896">
        <v>-1.10887086691</v>
      </c>
      <c r="AH1896">
        <v>82.3311920503821</v>
      </c>
      <c r="AI1896">
        <v>90.768502530013606</v>
      </c>
      <c r="AJ1896">
        <v>95.166235500773496</v>
      </c>
      <c r="AK1896">
        <v>82.674452288032796</v>
      </c>
      <c r="AL1896">
        <v>84.869909942451898</v>
      </c>
      <c r="AM1896">
        <v>94.819070707085999</v>
      </c>
      <c r="AN1896">
        <v>1.0000000442413099</v>
      </c>
    </row>
    <row r="1897" spans="1:40" x14ac:dyDescent="0.25">
      <c r="A1897" t="str">
        <f>"20190305135828709"</f>
        <v>20190305135828709</v>
      </c>
      <c r="B1897" t="str">
        <f>"1551765508700330"</f>
        <v>1551765508700330</v>
      </c>
      <c r="C1897" t="s">
        <v>40</v>
      </c>
      <c r="D1897">
        <v>3.9136860000000002</v>
      </c>
      <c r="E1897">
        <v>0.49800739999999999</v>
      </c>
      <c r="F1897" t="s">
        <v>61</v>
      </c>
      <c r="G1897">
        <v>-427.91289999999998</v>
      </c>
      <c r="H1897" s="1">
        <v>3.987654E-6</v>
      </c>
      <c r="I1897">
        <v>275.87939999999998</v>
      </c>
      <c r="J1897">
        <v>-345.75009999999997</v>
      </c>
      <c r="K1897">
        <v>1.1088629999999999</v>
      </c>
      <c r="L1897">
        <v>283.8852</v>
      </c>
      <c r="M1897">
        <v>-0.9998629</v>
      </c>
      <c r="N1897">
        <v>-1.28702E-2</v>
      </c>
      <c r="O1897">
        <v>-1.0429610000000001E-2</v>
      </c>
      <c r="P1897">
        <v>-0.99264750000000002</v>
      </c>
      <c r="Q1897">
        <v>7.5708139999999993E-2</v>
      </c>
      <c r="R1897">
        <v>-9.4443170000000007E-2</v>
      </c>
      <c r="S1897">
        <v>-2.997833</v>
      </c>
      <c r="T1897">
        <v>-4.0285830000000002E-2</v>
      </c>
      <c r="U1897">
        <v>-0.290985099999999</v>
      </c>
      <c r="V1897">
        <v>-8.4002640000000003E-2</v>
      </c>
      <c r="W1897">
        <v>8.8566759999999994E-2</v>
      </c>
      <c r="X1897">
        <v>0.99252180000000001</v>
      </c>
      <c r="Y1897">
        <v>-8.6208980000000004E-2</v>
      </c>
      <c r="Z1897">
        <v>-1.1281419999999999E-3</v>
      </c>
      <c r="AA1897">
        <v>0.99627639999999995</v>
      </c>
      <c r="AB1897">
        <v>48</v>
      </c>
      <c r="AC1897">
        <v>-82.162800000000004</v>
      </c>
      <c r="AD1897">
        <v>-1.10885901234599</v>
      </c>
      <c r="AE1897">
        <v>-8.0058000000000202</v>
      </c>
      <c r="AF1897">
        <v>-7.1470781381548703</v>
      </c>
      <c r="AG1897">
        <v>-1.10885901234599</v>
      </c>
      <c r="AH1897">
        <v>82.226998852722502</v>
      </c>
      <c r="AI1897">
        <v>90.769704523867802</v>
      </c>
      <c r="AJ1897">
        <v>94.967599842592804</v>
      </c>
      <c r="AK1897">
        <v>82.544470647934901</v>
      </c>
      <c r="AL1897">
        <v>84.918840891264097</v>
      </c>
      <c r="AM1897">
        <v>94.837731284857199</v>
      </c>
      <c r="AN1897">
        <v>1.0000000189895499</v>
      </c>
    </row>
    <row r="1898" spans="1:40" x14ac:dyDescent="0.25">
      <c r="A1898" t="str">
        <f>"20190305135828721"</f>
        <v>20190305135828721</v>
      </c>
      <c r="B1898" t="str">
        <f>"1551765508711063"</f>
        <v>1551765508711063</v>
      </c>
      <c r="C1898" t="s">
        <v>40</v>
      </c>
      <c r="D1898">
        <v>3.940318</v>
      </c>
      <c r="E1898">
        <v>0.49851909999999999</v>
      </c>
      <c r="F1898" t="s">
        <v>61</v>
      </c>
      <c r="G1898">
        <v>-423.82580000000002</v>
      </c>
      <c r="H1898" s="1">
        <v>4.6801240000000001E-6</v>
      </c>
      <c r="I1898">
        <v>276.4237</v>
      </c>
      <c r="J1898">
        <v>-346.01179999999999</v>
      </c>
      <c r="K1898">
        <v>1.1088579999999999</v>
      </c>
      <c r="L1898">
        <v>283.88260000000002</v>
      </c>
      <c r="M1898">
        <v>-0.99986470000000005</v>
      </c>
      <c r="N1898">
        <v>-1.2863940000000001E-2</v>
      </c>
      <c r="O1898">
        <v>-1.026358E-2</v>
      </c>
      <c r="P1898">
        <v>-0.99267490000000003</v>
      </c>
      <c r="Q1898">
        <v>7.5366680000000005E-2</v>
      </c>
      <c r="R1898">
        <v>-9.4426399999999994E-2</v>
      </c>
      <c r="S1898">
        <v>-2.9981990000000001</v>
      </c>
      <c r="T1898">
        <v>-4.2581439999999998E-2</v>
      </c>
      <c r="U1898">
        <v>-0.28652949999999999</v>
      </c>
      <c r="V1898">
        <v>-8.4150039999999995E-2</v>
      </c>
      <c r="W1898">
        <v>8.8220019999999996E-2</v>
      </c>
      <c r="X1898">
        <v>0.99254019999999998</v>
      </c>
      <c r="Y1898">
        <v>-8.4894650000000002E-2</v>
      </c>
      <c r="Z1898">
        <v>-1.135151E-3</v>
      </c>
      <c r="AA1898">
        <v>0.99638930000000003</v>
      </c>
      <c r="AB1898">
        <v>48</v>
      </c>
      <c r="AC1898">
        <v>-77.813999999999993</v>
      </c>
      <c r="AD1898">
        <v>-1.108853319876</v>
      </c>
      <c r="AE1898">
        <v>-7.4589000000000203</v>
      </c>
      <c r="AF1898">
        <v>-6.65845107266576</v>
      </c>
      <c r="AG1898">
        <v>-1.108853319876</v>
      </c>
      <c r="AH1898">
        <v>77.870793274303196</v>
      </c>
      <c r="AI1898">
        <v>90.812851355094196</v>
      </c>
      <c r="AJ1898">
        <v>94.887268050138402</v>
      </c>
      <c r="AK1898">
        <v>78.162810668126298</v>
      </c>
      <c r="AL1898">
        <v>84.938785730608402</v>
      </c>
      <c r="AM1898">
        <v>94.846090279255606</v>
      </c>
      <c r="AN1898">
        <v>1.00000002488842</v>
      </c>
    </row>
    <row r="1899" spans="1:40" x14ac:dyDescent="0.25">
      <c r="A1899" t="str">
        <f>"20190305135828733"</f>
        <v>20190305135828733</v>
      </c>
      <c r="B1899" t="str">
        <f>"1551765508730582"</f>
        <v>1551765508730582</v>
      </c>
      <c r="C1899" t="s">
        <v>40</v>
      </c>
      <c r="D1899">
        <v>3.9030209999999999</v>
      </c>
      <c r="E1899">
        <v>0.49942160000000002</v>
      </c>
      <c r="F1899" t="s">
        <v>61</v>
      </c>
      <c r="G1899">
        <v>-424.12479999999999</v>
      </c>
      <c r="H1899" s="1">
        <v>4.5789520000000001E-6</v>
      </c>
      <c r="I1899">
        <v>276.5224</v>
      </c>
      <c r="J1899">
        <v>-346.27</v>
      </c>
      <c r="K1899">
        <v>1.1088519999999999</v>
      </c>
      <c r="L1899">
        <v>283.88010000000003</v>
      </c>
      <c r="M1899">
        <v>-0.99986640000000004</v>
      </c>
      <c r="N1899">
        <v>-1.28565E-2</v>
      </c>
      <c r="O1899">
        <v>-1.010077E-2</v>
      </c>
      <c r="P1899">
        <v>-0.99270659999999999</v>
      </c>
      <c r="Q1899">
        <v>7.5125289999999997E-2</v>
      </c>
      <c r="R1899">
        <v>-9.4286709999999996E-2</v>
      </c>
      <c r="S1899">
        <v>-2.9984739999999999</v>
      </c>
      <c r="T1899">
        <v>-4.2564869999999998E-2</v>
      </c>
      <c r="U1899">
        <v>-0.2825317</v>
      </c>
      <c r="V1899">
        <v>-8.4171789999999996E-2</v>
      </c>
      <c r="W1899">
        <v>8.797257E-2</v>
      </c>
      <c r="X1899">
        <v>0.99256029999999995</v>
      </c>
      <c r="Y1899">
        <v>-8.3731819999999998E-2</v>
      </c>
      <c r="Z1899">
        <v>-1.11903E-3</v>
      </c>
      <c r="AA1899">
        <v>0.99648769999999998</v>
      </c>
      <c r="AB1899">
        <v>48</v>
      </c>
      <c r="AC1899">
        <v>-77.854799999999997</v>
      </c>
      <c r="AD1899">
        <v>-1.1088474210479999</v>
      </c>
      <c r="AE1899">
        <v>-7.3577000000000199</v>
      </c>
      <c r="AF1899">
        <v>-6.5695453876444301</v>
      </c>
      <c r="AG1899">
        <v>-1.1088474210479999</v>
      </c>
      <c r="AH1899">
        <v>77.9094882664197</v>
      </c>
      <c r="AI1899">
        <v>90.812524435912394</v>
      </c>
      <c r="AJ1899">
        <v>94.819937754338</v>
      </c>
      <c r="AK1899">
        <v>78.193841388813198</v>
      </c>
      <c r="AL1899">
        <v>84.953018815596195</v>
      </c>
      <c r="AM1899">
        <v>94.847239171682702</v>
      </c>
      <c r="AN1899">
        <v>1.00000000622014</v>
      </c>
    </row>
    <row r="1900" spans="1:40" x14ac:dyDescent="0.25">
      <c r="A1900" t="str">
        <f>"20190305135828746"</f>
        <v>20190305135828746</v>
      </c>
      <c r="B1900" t="str">
        <f>"1551765508740342"</f>
        <v>1551765508740342</v>
      </c>
      <c r="C1900" t="s">
        <v>40</v>
      </c>
      <c r="D1900">
        <v>3.9166470000000002</v>
      </c>
      <c r="E1900">
        <v>0.4997762</v>
      </c>
      <c r="F1900" t="s">
        <v>61</v>
      </c>
      <c r="G1900">
        <v>-423.95420000000001</v>
      </c>
      <c r="H1900" s="1">
        <v>4.5315459999999997E-6</v>
      </c>
      <c r="I1900">
        <v>276.76350000000002</v>
      </c>
      <c r="J1900">
        <v>-346.52620000000002</v>
      </c>
      <c r="K1900">
        <v>1.1088469999999999</v>
      </c>
      <c r="L1900">
        <v>283.87759999999997</v>
      </c>
      <c r="M1900">
        <v>-0.99986799999999998</v>
      </c>
      <c r="N1900">
        <v>-1.284827E-2</v>
      </c>
      <c r="O1900">
        <v>-9.9389179999999997E-3</v>
      </c>
      <c r="P1900">
        <v>-0.99271370000000003</v>
      </c>
      <c r="Q1900">
        <v>7.5238879999999994E-2</v>
      </c>
      <c r="R1900">
        <v>-9.4120629999999997E-2</v>
      </c>
      <c r="S1900">
        <v>-2.9991759999999998</v>
      </c>
      <c r="T1900">
        <v>-4.2809609999999998E-2</v>
      </c>
      <c r="U1900">
        <v>-0.27474979999999999</v>
      </c>
      <c r="V1900">
        <v>-8.4165790000000004E-2</v>
      </c>
      <c r="W1900">
        <v>8.8078480000000001E-2</v>
      </c>
      <c r="X1900">
        <v>0.99255139999999997</v>
      </c>
      <c r="Y1900">
        <v>-8.1307980000000002E-2</v>
      </c>
      <c r="Z1900">
        <v>-1.088449E-3</v>
      </c>
      <c r="AA1900">
        <v>0.99668840000000003</v>
      </c>
      <c r="AB1900">
        <v>48</v>
      </c>
      <c r="AC1900">
        <v>-77.427999999999997</v>
      </c>
      <c r="AD1900">
        <v>-1.1088424684539999</v>
      </c>
      <c r="AE1900">
        <v>-7.1140999999999499</v>
      </c>
      <c r="AF1900">
        <v>-6.3428444830201904</v>
      </c>
      <c r="AG1900">
        <v>-1.1088424684539999</v>
      </c>
      <c r="AH1900">
        <v>77.479130179621507</v>
      </c>
      <c r="AI1900">
        <v>90.817199043861606</v>
      </c>
      <c r="AJ1900">
        <v>94.680093874472107</v>
      </c>
      <c r="AK1900">
        <v>77.746233485271603</v>
      </c>
      <c r="AL1900">
        <v>84.946926891484097</v>
      </c>
      <c r="AM1900">
        <v>94.846938547122903</v>
      </c>
      <c r="AN1900">
        <v>0.99999999024369701</v>
      </c>
    </row>
    <row r="1901" spans="1:40" x14ac:dyDescent="0.25">
      <c r="A1901" t="str">
        <f>"20190305135828758"</f>
        <v>20190305135828758</v>
      </c>
      <c r="B1901" t="str">
        <f>"1551765508751079"</f>
        <v>1551765508751079</v>
      </c>
      <c r="C1901" t="s">
        <v>40</v>
      </c>
      <c r="D1901">
        <v>3.9318209999999998</v>
      </c>
      <c r="E1901">
        <v>0.50010589999999999</v>
      </c>
      <c r="F1901" t="s">
        <v>61</v>
      </c>
      <c r="G1901">
        <v>-426.01029999999997</v>
      </c>
      <c r="H1901" s="1">
        <v>4.1124849999999998E-6</v>
      </c>
      <c r="I1901">
        <v>276.6825</v>
      </c>
      <c r="J1901">
        <v>-346.81229999999999</v>
      </c>
      <c r="K1901">
        <v>1.108846</v>
      </c>
      <c r="L1901">
        <v>283.87479999999999</v>
      </c>
      <c r="M1901">
        <v>-0.99987000000000004</v>
      </c>
      <c r="N1901">
        <v>-1.2838550000000001E-2</v>
      </c>
      <c r="O1901">
        <v>-9.7584630000000002E-3</v>
      </c>
      <c r="P1901">
        <v>-0.99271640000000005</v>
      </c>
      <c r="Q1901">
        <v>7.5557520000000003E-2</v>
      </c>
      <c r="R1901">
        <v>-9.3838110000000002E-2</v>
      </c>
      <c r="S1901">
        <v>-2.9994200000000002</v>
      </c>
      <c r="T1901">
        <v>-4.1843409999999998E-2</v>
      </c>
      <c r="U1901">
        <v>-0.2715149</v>
      </c>
      <c r="V1901">
        <v>-8.4061250000000004E-2</v>
      </c>
      <c r="W1901">
        <v>8.8387690000000005E-2</v>
      </c>
      <c r="X1901">
        <v>0.99253279999999999</v>
      </c>
      <c r="Y1901">
        <v>-8.041508E-2</v>
      </c>
      <c r="Z1901">
        <v>-1.066287E-3</v>
      </c>
      <c r="AA1901">
        <v>0.99676089999999995</v>
      </c>
      <c r="AB1901">
        <v>48</v>
      </c>
      <c r="AC1901">
        <v>-79.197999999999894</v>
      </c>
      <c r="AD1901">
        <v>-1.1088418875149999</v>
      </c>
      <c r="AE1901">
        <v>-7.1922999999999799</v>
      </c>
      <c r="AF1901">
        <v>-6.4177953004825898</v>
      </c>
      <c r="AG1901">
        <v>-1.1088418875149999</v>
      </c>
      <c r="AH1901">
        <v>79.249012252915705</v>
      </c>
      <c r="AI1901">
        <v>90.799007398063793</v>
      </c>
      <c r="AJ1901">
        <v>94.629860730855697</v>
      </c>
      <c r="AK1901">
        <v>79.516184326922996</v>
      </c>
      <c r="AL1901">
        <v>84.929141238655305</v>
      </c>
      <c r="AM1901">
        <v>94.841037214391804</v>
      </c>
      <c r="AN1901">
        <v>1.00000001828546</v>
      </c>
    </row>
    <row r="1902" spans="1:40" x14ac:dyDescent="0.25">
      <c r="A1902" t="str">
        <f>"20190305135828771"</f>
        <v>20190305135828771</v>
      </c>
      <c r="B1902" t="str">
        <f>"1551765508760838"</f>
        <v>1551765508760838</v>
      </c>
      <c r="C1902" t="s">
        <v>40</v>
      </c>
      <c r="D1902">
        <v>3.9243950000000001</v>
      </c>
      <c r="E1902">
        <v>0.50042880000000001</v>
      </c>
      <c r="F1902" t="s">
        <v>61</v>
      </c>
      <c r="G1902">
        <v>-429.75349999999997</v>
      </c>
      <c r="H1902" s="1">
        <v>3.5073050000000002E-6</v>
      </c>
      <c r="I1902">
        <v>276.46039999999999</v>
      </c>
      <c r="J1902">
        <v>-347.0822</v>
      </c>
      <c r="K1902">
        <v>1.1088450000000001</v>
      </c>
      <c r="L1902">
        <v>283.8723</v>
      </c>
      <c r="M1902">
        <v>-0.99987170000000003</v>
      </c>
      <c r="N1902">
        <v>-1.2829399999999901E-2</v>
      </c>
      <c r="O1902">
        <v>-9.5875630000000003E-3</v>
      </c>
      <c r="P1902">
        <v>-0.99271989999999999</v>
      </c>
      <c r="Q1902">
        <v>7.5847650000000003E-2</v>
      </c>
      <c r="R1902">
        <v>-9.3563289999999993E-2</v>
      </c>
      <c r="S1902">
        <v>-2.9997560000000001</v>
      </c>
      <c r="T1902">
        <v>-4.010379E-2</v>
      </c>
      <c r="U1902">
        <v>-0.26815800000000001</v>
      </c>
      <c r="V1902">
        <v>-8.3955489999999994E-2</v>
      </c>
      <c r="W1902">
        <v>8.8668880000000005E-2</v>
      </c>
      <c r="X1902">
        <v>0.99251659999999997</v>
      </c>
      <c r="Y1902">
        <v>-7.9469990000000004E-2</v>
      </c>
      <c r="Z1902">
        <v>-1.0358710000000001E-3</v>
      </c>
      <c r="AA1902">
        <v>0.99683670000000002</v>
      </c>
      <c r="AB1902">
        <v>48</v>
      </c>
      <c r="AC1902">
        <v>-82.671299999999903</v>
      </c>
      <c r="AD1902">
        <v>-1.1088414926950001</v>
      </c>
      <c r="AE1902">
        <v>-7.4119000000000002</v>
      </c>
      <c r="AF1902">
        <v>-6.6176966923299796</v>
      </c>
      <c r="AG1902">
        <v>-1.1088414926950001</v>
      </c>
      <c r="AH1902">
        <v>82.723804282702901</v>
      </c>
      <c r="AI1902">
        <v>90.765509408453596</v>
      </c>
      <c r="AJ1902">
        <v>94.573778352695399</v>
      </c>
      <c r="AK1902">
        <v>82.995489238696095</v>
      </c>
      <c r="AL1902">
        <v>84.912966373246405</v>
      </c>
      <c r="AM1902">
        <v>94.835053993582605</v>
      </c>
      <c r="AN1902">
        <v>0.99999994792857505</v>
      </c>
    </row>
    <row r="1903" spans="1:40" x14ac:dyDescent="0.25">
      <c r="A1903" t="str">
        <f>"20190305135828788"</f>
        <v>20190305135828788</v>
      </c>
      <c r="B1903" t="str">
        <f>"1551765508780358"</f>
        <v>1551765508780358</v>
      </c>
      <c r="C1903" t="s">
        <v>40</v>
      </c>
      <c r="D1903">
        <v>3.914193</v>
      </c>
      <c r="E1903">
        <v>0.50104159999999998</v>
      </c>
      <c r="F1903" t="s">
        <v>61</v>
      </c>
      <c r="G1903">
        <v>-430.01280000000003</v>
      </c>
      <c r="H1903">
        <v>4.4039670000000003E-2</v>
      </c>
      <c r="I1903">
        <v>276.5582</v>
      </c>
      <c r="J1903">
        <v>-347.43470000000002</v>
      </c>
      <c r="K1903">
        <v>1.1088469999999999</v>
      </c>
      <c r="L1903">
        <v>283.8691</v>
      </c>
      <c r="M1903">
        <v>-0.99987409999999999</v>
      </c>
      <c r="N1903">
        <v>-1.2818029999999999E-2</v>
      </c>
      <c r="O1903">
        <v>-9.3636029999999999E-3</v>
      </c>
      <c r="P1903">
        <v>-0.99268190000000001</v>
      </c>
      <c r="Q1903">
        <v>7.6523419999999995E-2</v>
      </c>
      <c r="R1903">
        <v>-9.341874E-2</v>
      </c>
      <c r="S1903">
        <v>-3</v>
      </c>
      <c r="T1903">
        <v>-3.851914E-2</v>
      </c>
      <c r="U1903">
        <v>-0.26458739999999997</v>
      </c>
      <c r="V1903">
        <v>-8.4032830000000003E-2</v>
      </c>
      <c r="W1903">
        <v>8.9333319999999994E-2</v>
      </c>
      <c r="X1903">
        <v>0.99245050000000001</v>
      </c>
      <c r="Y1903">
        <v>-7.8509880000000004E-2</v>
      </c>
      <c r="Z1903">
        <v>-1.0070680000000001E-3</v>
      </c>
      <c r="AA1903">
        <v>0.99691280000000004</v>
      </c>
      <c r="AB1903">
        <v>48</v>
      </c>
      <c r="AC1903">
        <v>-82.578100000000006</v>
      </c>
      <c r="AD1903">
        <v>-1.0648073299999901</v>
      </c>
      <c r="AE1903">
        <v>-7.3109000000000002</v>
      </c>
      <c r="AF1903">
        <v>-6.53620912293042</v>
      </c>
      <c r="AG1903">
        <v>-1.0648073299999901</v>
      </c>
      <c r="AH1903">
        <v>82.629309330620899</v>
      </c>
      <c r="AI1903">
        <v>90.736005638253602</v>
      </c>
      <c r="AJ1903">
        <v>94.5228383432231</v>
      </c>
      <c r="AK1903">
        <v>82.894261591524796</v>
      </c>
      <c r="AL1903">
        <v>84.874745230843601</v>
      </c>
      <c r="AM1903">
        <v>94.839807704801501</v>
      </c>
      <c r="AN1903">
        <v>0.99999997676513996</v>
      </c>
    </row>
    <row r="1904" spans="1:40" x14ac:dyDescent="0.25">
      <c r="A1904" t="str">
        <f>"20190305135828800"</f>
        <v>20190305135828800</v>
      </c>
      <c r="B1904" t="str">
        <f>"1551765508791095"</f>
        <v>1551765508791095</v>
      </c>
      <c r="C1904" t="s">
        <v>40</v>
      </c>
      <c r="D1904">
        <v>3.9139029999999999</v>
      </c>
      <c r="E1904">
        <v>0.50137109999999996</v>
      </c>
      <c r="F1904" t="s">
        <v>61</v>
      </c>
      <c r="G1904">
        <v>-436.26949999999999</v>
      </c>
      <c r="H1904">
        <v>8.0001000000000003E-2</v>
      </c>
      <c r="I1904">
        <v>276.19439999999997</v>
      </c>
      <c r="J1904">
        <v>-347.70170000000002</v>
      </c>
      <c r="K1904">
        <v>1.108846</v>
      </c>
      <c r="L1904">
        <v>283.86669999999998</v>
      </c>
      <c r="M1904">
        <v>-0.99987579999999998</v>
      </c>
      <c r="N1904">
        <v>-1.2809849999999999E-2</v>
      </c>
      <c r="O1904">
        <v>-9.1933139999999993E-3</v>
      </c>
      <c r="P1904">
        <v>-0.99271710000000002</v>
      </c>
      <c r="Q1904">
        <v>7.6222760000000001E-2</v>
      </c>
      <c r="R1904">
        <v>-9.3290629999999999E-2</v>
      </c>
      <c r="S1904">
        <v>-3.0004270000000002</v>
      </c>
      <c r="T1904">
        <v>-3.4749629999999997E-2</v>
      </c>
      <c r="U1904">
        <v>-0.25921630000000001</v>
      </c>
      <c r="V1904">
        <v>-8.4073969999999998E-2</v>
      </c>
      <c r="W1904">
        <v>8.9024599999999995E-2</v>
      </c>
      <c r="X1904">
        <v>0.99247479999999999</v>
      </c>
      <c r="Y1904">
        <v>-7.689812E-2</v>
      </c>
      <c r="Z1904">
        <v>-9.4925900000000004E-4</v>
      </c>
      <c r="AA1904">
        <v>0.99703850000000005</v>
      </c>
      <c r="AB1904">
        <v>48</v>
      </c>
      <c r="AC1904">
        <v>-88.567799999999906</v>
      </c>
      <c r="AD1904">
        <v>-1.028845</v>
      </c>
      <c r="AE1904">
        <v>-7.6722999999999999</v>
      </c>
      <c r="AF1904">
        <v>-6.8567590276643697</v>
      </c>
      <c r="AG1904">
        <v>-1.028845</v>
      </c>
      <c r="AH1904">
        <v>88.622726323156598</v>
      </c>
      <c r="AI1904">
        <v>90.663150472449502</v>
      </c>
      <c r="AJ1904">
        <v>94.424172673897203</v>
      </c>
      <c r="AK1904">
        <v>88.893539064133293</v>
      </c>
      <c r="AL1904">
        <v>84.892504566070897</v>
      </c>
      <c r="AM1904">
        <v>94.842047875914204</v>
      </c>
      <c r="AN1904">
        <v>1.0000000202358801</v>
      </c>
    </row>
    <row r="1905" spans="1:40" x14ac:dyDescent="0.25">
      <c r="A1905" t="str">
        <f>"20190305135828812"</f>
        <v>20190305135828812</v>
      </c>
      <c r="B1905" t="str">
        <f>"1551765508800855"</f>
        <v>1551765508800855</v>
      </c>
      <c r="C1905" t="s">
        <v>40</v>
      </c>
      <c r="D1905">
        <v>3.8809589999999998</v>
      </c>
      <c r="E1905">
        <v>0.50168539999999995</v>
      </c>
      <c r="F1905" t="s">
        <v>61</v>
      </c>
      <c r="G1905">
        <v>-436.02679999999998</v>
      </c>
      <c r="H1905">
        <v>8.0001059999999999E-2</v>
      </c>
      <c r="I1905">
        <v>276.32810000000001</v>
      </c>
      <c r="J1905">
        <v>-347.96499999999997</v>
      </c>
      <c r="K1905">
        <v>1.108843</v>
      </c>
      <c r="L1905">
        <v>283.86439999999999</v>
      </c>
      <c r="M1905">
        <v>-0.99987729999999997</v>
      </c>
      <c r="N1905">
        <v>-1.280239E-2</v>
      </c>
      <c r="O1905">
        <v>-9.0250580000000007E-3</v>
      </c>
      <c r="P1905">
        <v>-0.99274560000000001</v>
      </c>
      <c r="Q1905">
        <v>7.586859E-2</v>
      </c>
      <c r="R1905">
        <v>-9.3276120000000004E-2</v>
      </c>
      <c r="S1905">
        <v>-3.0005799999999998</v>
      </c>
      <c r="T1905">
        <v>-3.4951929999999999E-2</v>
      </c>
      <c r="U1905">
        <v>-0.25610349999999998</v>
      </c>
      <c r="V1905">
        <v>-8.4226239999999994E-2</v>
      </c>
      <c r="W1905">
        <v>8.8663649999999997E-2</v>
      </c>
      <c r="X1905">
        <v>0.99249419999999999</v>
      </c>
      <c r="Y1905">
        <v>-7.6034790000000005E-2</v>
      </c>
      <c r="Z1905">
        <v>-9.4010230000000005E-4</v>
      </c>
      <c r="AA1905">
        <v>0.99710469999999896</v>
      </c>
      <c r="AB1905">
        <v>48</v>
      </c>
      <c r="AC1905">
        <v>-88.061800000000005</v>
      </c>
      <c r="AD1905">
        <v>-1.02884194</v>
      </c>
      <c r="AE1905">
        <v>-7.5362999999999802</v>
      </c>
      <c r="AF1905">
        <v>-6.7402516835969903</v>
      </c>
      <c r="AG1905">
        <v>-1.02884194</v>
      </c>
      <c r="AH1905">
        <v>88.114294203150294</v>
      </c>
      <c r="AI1905">
        <v>90.667019289213201</v>
      </c>
      <c r="AJ1905">
        <v>94.374288701657406</v>
      </c>
      <c r="AK1905">
        <v>88.377702795530197</v>
      </c>
      <c r="AL1905">
        <v>84.9132675810541</v>
      </c>
      <c r="AM1905">
        <v>94.850681346128297</v>
      </c>
      <c r="AN1905">
        <v>1.0000000196847401</v>
      </c>
    </row>
    <row r="1906" spans="1:40" x14ac:dyDescent="0.25">
      <c r="A1906" t="str">
        <f>"20190305135828829"</f>
        <v>20190305135828829</v>
      </c>
      <c r="B1906" t="str">
        <f>"1551765508820375"</f>
        <v>1551765508820375</v>
      </c>
      <c r="C1906" t="s">
        <v>40</v>
      </c>
      <c r="D1906">
        <v>3.882285</v>
      </c>
      <c r="E1906">
        <v>0.50226119999999996</v>
      </c>
      <c r="F1906" t="s">
        <v>61</v>
      </c>
      <c r="G1906">
        <v>-435.93959999999998</v>
      </c>
      <c r="H1906">
        <v>8.0001089999999997E-2</v>
      </c>
      <c r="I1906">
        <v>276.42950000000002</v>
      </c>
      <c r="J1906">
        <v>-348.29259999999999</v>
      </c>
      <c r="K1906">
        <v>1.1088370000000001</v>
      </c>
      <c r="L1906">
        <v>283.86160000000001</v>
      </c>
      <c r="M1906">
        <v>-0.99987939999999997</v>
      </c>
      <c r="N1906">
        <v>-1.279362E-2</v>
      </c>
      <c r="O1906">
        <v>-8.8158990000000003E-3</v>
      </c>
      <c r="P1906">
        <v>-0.99279119999999998</v>
      </c>
      <c r="Q1906">
        <v>7.5215879999999999E-2</v>
      </c>
      <c r="R1906">
        <v>-9.3319689999999997E-2</v>
      </c>
      <c r="S1906">
        <v>-3.0007630000000001</v>
      </c>
      <c r="T1906">
        <v>-3.5093190000000003E-2</v>
      </c>
      <c r="U1906">
        <v>-0.25360110000000002</v>
      </c>
      <c r="V1906">
        <v>-8.447731E-2</v>
      </c>
      <c r="W1906">
        <v>8.800297E-2</v>
      </c>
      <c r="X1906">
        <v>0.99253170000000002</v>
      </c>
      <c r="Y1906">
        <v>-7.5412670000000001E-2</v>
      </c>
      <c r="Z1906">
        <v>-9.3318090000000002E-4</v>
      </c>
      <c r="AA1906">
        <v>0.99715200000000004</v>
      </c>
      <c r="AB1906">
        <v>48</v>
      </c>
      <c r="AC1906">
        <v>-87.646999999999906</v>
      </c>
      <c r="AD1906">
        <v>-1.02883591</v>
      </c>
      <c r="AE1906">
        <v>-7.4320999999999904</v>
      </c>
      <c r="AF1906">
        <v>-6.6581499964357898</v>
      </c>
      <c r="AG1906">
        <v>-1.02883591</v>
      </c>
      <c r="AH1906">
        <v>87.697121878238093</v>
      </c>
      <c r="AI1906">
        <v>90.670217121209603</v>
      </c>
      <c r="AJ1906">
        <v>94.341686839998502</v>
      </c>
      <c r="AK1906">
        <v>87.955526548542096</v>
      </c>
      <c r="AL1906">
        <v>84.951270499553999</v>
      </c>
      <c r="AM1906">
        <v>94.864888512802693</v>
      </c>
      <c r="AN1906">
        <v>1.00000005706927</v>
      </c>
    </row>
    <row r="1907" spans="1:40" x14ac:dyDescent="0.25">
      <c r="A1907" t="str">
        <f>"20190305135828843"</f>
        <v>20190305135828843</v>
      </c>
      <c r="B1907" t="str">
        <f>"1551765508831110"</f>
        <v>1551765508831110</v>
      </c>
      <c r="C1907" t="s">
        <v>40</v>
      </c>
      <c r="D1907">
        <v>3.878657</v>
      </c>
      <c r="E1907">
        <v>0.50254960000000004</v>
      </c>
      <c r="F1907" t="s">
        <v>61</v>
      </c>
      <c r="G1907">
        <v>-436.25290000000001</v>
      </c>
      <c r="H1907">
        <v>8.0001020000000006E-2</v>
      </c>
      <c r="I1907">
        <v>276.5573</v>
      </c>
      <c r="J1907">
        <v>-348.61059999999998</v>
      </c>
      <c r="K1907">
        <v>1.108833</v>
      </c>
      <c r="L1907">
        <v>283.85890000000001</v>
      </c>
      <c r="M1907">
        <v>-0.99988120000000003</v>
      </c>
      <c r="N1907">
        <v>-1.2785609999999999E-2</v>
      </c>
      <c r="O1907">
        <v>-8.612827E-3</v>
      </c>
      <c r="P1907">
        <v>-0.99284419999999995</v>
      </c>
      <c r="Q1907">
        <v>7.4352169999999995E-2</v>
      </c>
      <c r="R1907">
        <v>-9.344769E-2</v>
      </c>
      <c r="S1907">
        <v>-3.001007</v>
      </c>
      <c r="T1907">
        <v>-3.5101529999999999E-2</v>
      </c>
      <c r="U1907">
        <v>-0.2492065</v>
      </c>
      <c r="V1907">
        <v>-8.4807540000000001E-2</v>
      </c>
      <c r="W1907">
        <v>8.7132749999999995E-2</v>
      </c>
      <c r="X1907">
        <v>0.99258020000000002</v>
      </c>
      <c r="Y1907">
        <v>-7.4158489999999994E-2</v>
      </c>
      <c r="Z1907">
        <v>-9.1728179999999999E-4</v>
      </c>
      <c r="AA1907">
        <v>0.99724599999999997</v>
      </c>
      <c r="AB1907">
        <v>48</v>
      </c>
      <c r="AC1907">
        <v>-87.642300000000006</v>
      </c>
      <c r="AD1907">
        <v>-1.0288319800000001</v>
      </c>
      <c r="AE1907">
        <v>-7.3015999999999996</v>
      </c>
      <c r="AF1907">
        <v>-6.5455237021469603</v>
      </c>
      <c r="AG1907">
        <v>-1.0288319800000001</v>
      </c>
      <c r="AH1907">
        <v>87.689940559491106</v>
      </c>
      <c r="AI1907">
        <v>90.670333572313197</v>
      </c>
      <c r="AJ1907">
        <v>94.268866843973996</v>
      </c>
      <c r="AK1907">
        <v>87.939911593687199</v>
      </c>
      <c r="AL1907">
        <v>85.001322138623493</v>
      </c>
      <c r="AM1907">
        <v>94.883576548783296</v>
      </c>
      <c r="AN1907">
        <v>0.99999994419772498</v>
      </c>
    </row>
    <row r="1908" spans="1:40" x14ac:dyDescent="0.25">
      <c r="A1908" t="str">
        <f>"20190305135828866"</f>
        <v>20190305135828866</v>
      </c>
      <c r="B1908" t="str">
        <f>"1551765508860390"</f>
        <v>1551765508860390</v>
      </c>
      <c r="C1908" t="s">
        <v>40</v>
      </c>
      <c r="D1908">
        <v>3.8711350000000002</v>
      </c>
      <c r="E1908">
        <v>0.50336570000000003</v>
      </c>
      <c r="F1908" t="s">
        <v>61</v>
      </c>
      <c r="G1908">
        <v>-432.33980000000003</v>
      </c>
      <c r="H1908">
        <v>8.0001399999999903E-2</v>
      </c>
      <c r="I1908">
        <v>276.96339999999998</v>
      </c>
      <c r="J1908">
        <v>-349.08819999999997</v>
      </c>
      <c r="K1908">
        <v>1.108827</v>
      </c>
      <c r="L1908">
        <v>283.85509999999999</v>
      </c>
      <c r="M1908">
        <v>-0.99988390000000005</v>
      </c>
      <c r="N1908">
        <v>-1.2774560000000001E-2</v>
      </c>
      <c r="O1908">
        <v>-8.3080480000000002E-3</v>
      </c>
      <c r="P1908">
        <v>-0.99286319999999995</v>
      </c>
      <c r="Q1908">
        <v>7.4230989999999997E-2</v>
      </c>
      <c r="R1908">
        <v>-9.3341359999999998E-2</v>
      </c>
      <c r="S1908">
        <v>-3.00116</v>
      </c>
      <c r="T1908">
        <v>-3.687704E-2</v>
      </c>
      <c r="U1908">
        <v>-0.24716189999999999</v>
      </c>
      <c r="V1908">
        <v>-8.5003499999999996E-2</v>
      </c>
      <c r="W1908">
        <v>8.7001170000000003E-2</v>
      </c>
      <c r="X1908">
        <v>0.99257499999999999</v>
      </c>
      <c r="Y1908">
        <v>-7.3782730000000005E-2</v>
      </c>
      <c r="Z1908">
        <v>-9.2871260000000004E-4</v>
      </c>
      <c r="AA1908">
        <v>0.99727390000000005</v>
      </c>
      <c r="AB1908">
        <v>48</v>
      </c>
      <c r="AC1908">
        <v>-83.251599999999996</v>
      </c>
      <c r="AD1908">
        <v>-1.0288256</v>
      </c>
      <c r="AE1908">
        <v>-6.8917000000000099</v>
      </c>
      <c r="AF1908">
        <v>-6.1988071458101599</v>
      </c>
      <c r="AG1908">
        <v>-1.0288256</v>
      </c>
      <c r="AH1908">
        <v>83.293353508832993</v>
      </c>
      <c r="AI1908">
        <v>90.705720482480004</v>
      </c>
      <c r="AJ1908">
        <v>94.2561854351748</v>
      </c>
      <c r="AK1908">
        <v>83.530033107221897</v>
      </c>
      <c r="AL1908">
        <v>85.008889958555301</v>
      </c>
      <c r="AM1908">
        <v>94.894831511123101</v>
      </c>
      <c r="AN1908">
        <v>0.99999996460930796</v>
      </c>
    </row>
    <row r="1909" spans="1:40" x14ac:dyDescent="0.25">
      <c r="A1909" t="str">
        <f>"20190305135828878"</f>
        <v>20190305135828878</v>
      </c>
      <c r="B1909" t="str">
        <f>"1551765508870151"</f>
        <v>1551765508870151</v>
      </c>
      <c r="C1909" t="s">
        <v>40</v>
      </c>
      <c r="D1909">
        <v>3.8379300000000001</v>
      </c>
      <c r="E1909">
        <v>0.50364709999999902</v>
      </c>
      <c r="F1909" t="s">
        <v>61</v>
      </c>
      <c r="G1909">
        <v>-435.58510000000001</v>
      </c>
      <c r="H1909">
        <v>8.0001180000000005E-2</v>
      </c>
      <c r="I1909">
        <v>276.92169999999999</v>
      </c>
      <c r="J1909">
        <v>-349.37619999999998</v>
      </c>
      <c r="K1909">
        <v>1.1088260000000001</v>
      </c>
      <c r="L1909">
        <v>283.85289999999998</v>
      </c>
      <c r="M1909">
        <v>-0.99988549999999998</v>
      </c>
      <c r="N1909">
        <v>-1.27682E-2</v>
      </c>
      <c r="O1909">
        <v>-8.1243010000000004E-3</v>
      </c>
      <c r="P1909">
        <v>-0.99287239999999999</v>
      </c>
      <c r="Q1909">
        <v>7.4338940000000006E-2</v>
      </c>
      <c r="R1909">
        <v>-9.3157340000000005E-2</v>
      </c>
      <c r="S1909">
        <v>-3.0015869999999998</v>
      </c>
      <c r="T1909">
        <v>-3.5701990000000003E-2</v>
      </c>
      <c r="U1909">
        <v>-0.2406006</v>
      </c>
      <c r="V1909">
        <v>-8.5001800000000002E-2</v>
      </c>
      <c r="W1909">
        <v>8.7102830000000006E-2</v>
      </c>
      <c r="X1909">
        <v>0.99256630000000001</v>
      </c>
      <c r="Y1909">
        <v>-7.178938E-2</v>
      </c>
      <c r="Z1909">
        <v>-8.9245679999999997E-4</v>
      </c>
      <c r="AA1909">
        <v>0.99741939999999996</v>
      </c>
      <c r="AB1909">
        <v>48</v>
      </c>
      <c r="AC1909">
        <v>-86.2089</v>
      </c>
      <c r="AD1909">
        <v>-1.0288248200000001</v>
      </c>
      <c r="AE1909">
        <v>-6.9311999999999898</v>
      </c>
      <c r="AF1909">
        <v>-6.2296455362774799</v>
      </c>
      <c r="AG1909">
        <v>-1.0288248200000001</v>
      </c>
      <c r="AH1909">
        <v>86.250165086142204</v>
      </c>
      <c r="AI1909">
        <v>90.681637954450196</v>
      </c>
      <c r="AJ1909">
        <v>94.1311648151746</v>
      </c>
      <c r="AK1909">
        <v>86.480968665971204</v>
      </c>
      <c r="AL1909">
        <v>85.003043423133093</v>
      </c>
      <c r="AM1909">
        <v>94.894776788798694</v>
      </c>
      <c r="AN1909">
        <v>1.0000000344464599</v>
      </c>
    </row>
    <row r="1910" spans="1:40" x14ac:dyDescent="0.25">
      <c r="A1910" t="str">
        <f>"20190305135828892"</f>
        <v>20190305135828892</v>
      </c>
      <c r="B1910" t="str">
        <f>"1551765508880887"</f>
        <v>1551765508880887</v>
      </c>
      <c r="C1910" t="s">
        <v>40</v>
      </c>
      <c r="D1910">
        <v>3.8483540000000001</v>
      </c>
      <c r="E1910">
        <v>0.5038859</v>
      </c>
      <c r="F1910" t="s">
        <v>61</v>
      </c>
      <c r="G1910">
        <v>-438.0564</v>
      </c>
      <c r="H1910">
        <v>8.0000710000000003E-2</v>
      </c>
      <c r="I1910">
        <v>276.8227</v>
      </c>
      <c r="J1910">
        <v>-349.65699999999998</v>
      </c>
      <c r="K1910">
        <v>1.108824</v>
      </c>
      <c r="L1910">
        <v>283.85070000000002</v>
      </c>
      <c r="M1910">
        <v>-0.99988699999999997</v>
      </c>
      <c r="N1910">
        <v>-1.27627E-2</v>
      </c>
      <c r="O1910">
        <v>-7.944975E-3</v>
      </c>
      <c r="P1910">
        <v>-0.9928787</v>
      </c>
      <c r="Q1910">
        <v>7.4472819999999995E-2</v>
      </c>
      <c r="R1910">
        <v>-9.2983099999999999E-2</v>
      </c>
      <c r="S1910">
        <v>-3.001862</v>
      </c>
      <c r="T1910">
        <v>-3.4826160000000002E-2</v>
      </c>
      <c r="U1910">
        <v>-0.2379761</v>
      </c>
      <c r="V1910">
        <v>-8.5005090000000005E-2</v>
      </c>
      <c r="W1910">
        <v>8.7231080000000003E-2</v>
      </c>
      <c r="X1910">
        <v>0.99255470000000001</v>
      </c>
      <c r="Y1910">
        <v>-7.1094930000000001E-2</v>
      </c>
      <c r="Z1910">
        <v>-8.7542299999999996E-4</v>
      </c>
      <c r="AA1910">
        <v>0.99746919999999994</v>
      </c>
      <c r="AB1910">
        <v>48</v>
      </c>
      <c r="AC1910">
        <v>-88.3994</v>
      </c>
      <c r="AD1910">
        <v>-1.0288232900000001</v>
      </c>
      <c r="AE1910">
        <v>-7.0280000000000102</v>
      </c>
      <c r="AF1910">
        <v>-6.3245386392268603</v>
      </c>
      <c r="AG1910">
        <v>-1.0288232900000001</v>
      </c>
      <c r="AH1910">
        <v>88.4405471940034</v>
      </c>
      <c r="AI1910">
        <v>90.664790588973901</v>
      </c>
      <c r="AJ1910">
        <v>94.090358559374593</v>
      </c>
      <c r="AK1910">
        <v>88.672366915154896</v>
      </c>
      <c r="AL1910">
        <v>84.995666888198798</v>
      </c>
      <c r="AM1910">
        <v>94.895022250507495</v>
      </c>
      <c r="AN1910">
        <v>0.99999997956798203</v>
      </c>
    </row>
    <row r="1911" spans="1:40" x14ac:dyDescent="0.25">
      <c r="A1911" t="str">
        <f>"20190305135828905"</f>
        <v>20190305135828905</v>
      </c>
      <c r="B1911" t="str">
        <f>"1551765508900915"</f>
        <v>1551765508900915</v>
      </c>
      <c r="C1911" t="s">
        <v>40</v>
      </c>
      <c r="D1911">
        <v>3.853011</v>
      </c>
      <c r="E1911">
        <v>0.50437520000000002</v>
      </c>
      <c r="F1911" t="s">
        <v>59</v>
      </c>
      <c r="G1911">
        <v>-440.00940000000003</v>
      </c>
      <c r="H1911">
        <v>8.0001799999999998E-2</v>
      </c>
      <c r="I1911">
        <v>276.75619999999998</v>
      </c>
      <c r="J1911">
        <v>-349.94729999999998</v>
      </c>
      <c r="K1911">
        <v>1.108822</v>
      </c>
      <c r="L1911">
        <v>283.8485</v>
      </c>
      <c r="M1911">
        <v>-0.99988849999999996</v>
      </c>
      <c r="N1911">
        <v>-1.275742E-2</v>
      </c>
      <c r="O1911">
        <v>-7.7601650000000003E-3</v>
      </c>
      <c r="P1911">
        <v>-0.99287219999999998</v>
      </c>
      <c r="Q1911">
        <v>7.4776259999999997E-2</v>
      </c>
      <c r="R1911">
        <v>-9.2808539999999995E-2</v>
      </c>
      <c r="S1911">
        <v>-3.0019840000000002</v>
      </c>
      <c r="T1911">
        <v>-3.4182909999999997E-2</v>
      </c>
      <c r="U1911">
        <v>-0.23571780000000001</v>
      </c>
      <c r="V1911">
        <v>-8.5013749999999999E-2</v>
      </c>
      <c r="W1911">
        <v>8.7529389999999999E-2</v>
      </c>
      <c r="X1911">
        <v>0.99252770000000001</v>
      </c>
      <c r="Y1911">
        <v>-7.053073E-2</v>
      </c>
      <c r="Z1911">
        <v>-8.6220729999999905E-4</v>
      </c>
      <c r="AA1911">
        <v>0.99750919999999998</v>
      </c>
      <c r="AB1911">
        <v>48</v>
      </c>
      <c r="AC1911">
        <v>-90.062100000000001</v>
      </c>
      <c r="AD1911">
        <v>-1.0288202</v>
      </c>
      <c r="AE1911">
        <v>-7.0923000000000203</v>
      </c>
      <c r="AF1911">
        <v>-6.3923037459025798</v>
      </c>
      <c r="AG1911">
        <v>-1.0288202</v>
      </c>
      <c r="AH1911">
        <v>90.102744121717095</v>
      </c>
      <c r="AI1911">
        <v>90.652552004574503</v>
      </c>
      <c r="AJ1911">
        <v>94.058027454882804</v>
      </c>
      <c r="AK1911">
        <v>90.335068032560997</v>
      </c>
      <c r="AL1911">
        <v>84.978509376759504</v>
      </c>
      <c r="AM1911">
        <v>94.8956510404673</v>
      </c>
      <c r="AN1911">
        <v>0.99999998353506203</v>
      </c>
    </row>
    <row r="1912" spans="1:40" x14ac:dyDescent="0.25">
      <c r="A1912" t="str">
        <f>"20190305135828921"</f>
        <v>20190305135828921</v>
      </c>
      <c r="B1912" t="str">
        <f>"1551765508910675"</f>
        <v>1551765508910675</v>
      </c>
      <c r="C1912" t="s">
        <v>40</v>
      </c>
      <c r="D1912">
        <v>3.8680310000000002</v>
      </c>
      <c r="E1912">
        <v>0.50460939999999999</v>
      </c>
      <c r="F1912" t="s">
        <v>59</v>
      </c>
      <c r="G1912">
        <v>-444.7</v>
      </c>
      <c r="H1912">
        <v>8.0000440000000006E-2</v>
      </c>
      <c r="I1912">
        <v>276.55380000000002</v>
      </c>
      <c r="J1912">
        <v>-350.27600000000001</v>
      </c>
      <c r="K1912">
        <v>1.1088199999999999</v>
      </c>
      <c r="L1912">
        <v>283.84609999999998</v>
      </c>
      <c r="M1912">
        <v>-0.99989019999999995</v>
      </c>
      <c r="N1912">
        <v>-1.275196E-2</v>
      </c>
      <c r="O1912">
        <v>-7.551515E-3</v>
      </c>
      <c r="P1912">
        <v>-0.99292139999999995</v>
      </c>
      <c r="Q1912">
        <v>7.4762460000000003E-2</v>
      </c>
      <c r="R1912">
        <v>-9.2292739999999998E-2</v>
      </c>
      <c r="S1912">
        <v>-3.002319</v>
      </c>
      <c r="T1912">
        <v>-3.2599089999999997E-2</v>
      </c>
      <c r="U1912">
        <v>-0.23114009999999999</v>
      </c>
      <c r="V1912">
        <v>-8.4705320000000001E-2</v>
      </c>
      <c r="W1912">
        <v>8.7510379999999999E-2</v>
      </c>
      <c r="X1912">
        <v>0.99255570000000004</v>
      </c>
      <c r="Y1912">
        <v>-6.9219180000000005E-2</v>
      </c>
      <c r="Z1912">
        <v>-8.3156440000000005E-4</v>
      </c>
      <c r="AA1912">
        <v>0.99760119999999997</v>
      </c>
      <c r="AB1912">
        <v>48</v>
      </c>
      <c r="AC1912">
        <v>-94.423999999999893</v>
      </c>
      <c r="AD1912">
        <v>-1.0288195600000001</v>
      </c>
      <c r="AE1912">
        <v>-7.2922999999999503</v>
      </c>
      <c r="AF1912">
        <v>-6.5782135067290497</v>
      </c>
      <c r="AG1912">
        <v>-1.0288195600000001</v>
      </c>
      <c r="AH1912">
        <v>94.465231475169801</v>
      </c>
      <c r="AI1912">
        <v>90.622475574189906</v>
      </c>
      <c r="AJ1912">
        <v>93.983438152267794</v>
      </c>
      <c r="AK1912">
        <v>94.699584583484693</v>
      </c>
      <c r="AL1912">
        <v>84.979602534541996</v>
      </c>
      <c r="AM1912">
        <v>94.877838524947094</v>
      </c>
      <c r="AN1912">
        <v>0.99999993772326601</v>
      </c>
    </row>
    <row r="1913" spans="1:40" x14ac:dyDescent="0.25">
      <c r="A1913" t="str">
        <f>"20190305135828943"</f>
        <v>20190305135828943</v>
      </c>
      <c r="B1913" t="str">
        <f>"1551765508930198"</f>
        <v>1551765508930198</v>
      </c>
      <c r="C1913" t="s">
        <v>40</v>
      </c>
      <c r="D1913">
        <v>4.1253000000000002</v>
      </c>
      <c r="E1913">
        <v>0.50541659999999999</v>
      </c>
      <c r="F1913" t="s">
        <v>59</v>
      </c>
      <c r="G1913">
        <v>-446.8723</v>
      </c>
      <c r="H1913">
        <v>8.0001260000000005E-2</v>
      </c>
      <c r="I1913">
        <v>276.52210000000002</v>
      </c>
      <c r="J1913">
        <v>-350.75130000000001</v>
      </c>
      <c r="K1913">
        <v>1.1088199999999999</v>
      </c>
      <c r="L1913">
        <v>283.84280000000001</v>
      </c>
      <c r="M1913">
        <v>-0.99989249999999996</v>
      </c>
      <c r="N1913">
        <v>-1.2745019999999999E-2</v>
      </c>
      <c r="O1913">
        <v>-7.252161E-3</v>
      </c>
      <c r="P1913">
        <v>-0.99303079999999999</v>
      </c>
      <c r="Q1913">
        <v>7.4025439999999998E-2</v>
      </c>
      <c r="R1913">
        <v>-9.1708239999999996E-2</v>
      </c>
      <c r="S1913">
        <v>-3.0026250000000001</v>
      </c>
      <c r="T1913">
        <v>-3.1980040000000001E-2</v>
      </c>
      <c r="U1913">
        <v>-0.22766110000000001</v>
      </c>
      <c r="V1913">
        <v>-8.4417859999999997E-2</v>
      </c>
      <c r="W1913">
        <v>8.6766990000000002E-2</v>
      </c>
      <c r="X1913">
        <v>0.99264549999999996</v>
      </c>
      <c r="Y1913">
        <v>-6.8361249999999998E-2</v>
      </c>
      <c r="Z1913">
        <v>-8.1500319999999998E-4</v>
      </c>
      <c r="AA1913">
        <v>0.99766030000000006</v>
      </c>
      <c r="AB1913">
        <v>48</v>
      </c>
      <c r="AC1913">
        <v>-96.120999999999896</v>
      </c>
      <c r="AD1913">
        <v>-1.02881874</v>
      </c>
      <c r="AE1913">
        <v>-7.32069999999998</v>
      </c>
      <c r="AF1913">
        <v>-6.6226115533946803</v>
      </c>
      <c r="AG1913">
        <v>-1.02881874</v>
      </c>
      <c r="AH1913">
        <v>96.160614241650507</v>
      </c>
      <c r="AI1913">
        <v>90.611533506733593</v>
      </c>
      <c r="AJ1913">
        <v>93.939757185611001</v>
      </c>
      <c r="AK1913">
        <v>96.393885610646805</v>
      </c>
      <c r="AL1913">
        <v>85.022358529163199</v>
      </c>
      <c r="AM1913">
        <v>94.860926648796493</v>
      </c>
      <c r="AN1913">
        <v>0.99999998715544403</v>
      </c>
    </row>
    <row r="1914" spans="1:40" x14ac:dyDescent="0.25">
      <c r="A1914" t="str">
        <f>"20190305135828956"</f>
        <v>20190305135828956</v>
      </c>
      <c r="B1914" t="str">
        <f>"1551765508950690"</f>
        <v>1551765508950690</v>
      </c>
      <c r="C1914" t="s">
        <v>40</v>
      </c>
      <c r="D1914">
        <v>3.935476</v>
      </c>
      <c r="E1914">
        <v>0.570129</v>
      </c>
      <c r="F1914" t="s">
        <v>59</v>
      </c>
      <c r="G1914">
        <v>-448.25110000000001</v>
      </c>
      <c r="H1914">
        <v>8.0000849999999998E-2</v>
      </c>
      <c r="I1914">
        <v>276.70400000000001</v>
      </c>
      <c r="J1914">
        <v>-351.03550000000001</v>
      </c>
      <c r="K1914">
        <v>1.1088199999999999</v>
      </c>
      <c r="L1914">
        <v>283.8408</v>
      </c>
      <c r="M1914">
        <v>-0.99989380000000005</v>
      </c>
      <c r="N1914">
        <v>-1.2741219999999999E-2</v>
      </c>
      <c r="O1914">
        <v>-7.0753730000000003E-3</v>
      </c>
      <c r="P1914">
        <v>-0.99308719999999995</v>
      </c>
      <c r="Q1914">
        <v>7.3850189999999996E-2</v>
      </c>
      <c r="R1914">
        <v>-9.1236120000000004E-2</v>
      </c>
      <c r="S1914">
        <v>-3.003082</v>
      </c>
      <c r="T1914">
        <v>-3.1688569999999999E-2</v>
      </c>
      <c r="U1914">
        <v>-0.2198792</v>
      </c>
      <c r="V1914">
        <v>-8.4121440000000006E-2</v>
      </c>
      <c r="W1914">
        <v>8.6587880000000006E-2</v>
      </c>
      <c r="X1914">
        <v>0.99268630000000002</v>
      </c>
      <c r="Y1914">
        <v>-6.5955399999999997E-2</v>
      </c>
      <c r="Z1914">
        <v>-7.8377380000000003E-4</v>
      </c>
      <c r="AA1914">
        <v>0.99782230000000005</v>
      </c>
      <c r="AB1914">
        <v>48</v>
      </c>
      <c r="AC1914">
        <v>-97.215599999999995</v>
      </c>
      <c r="AD1914">
        <v>-1.0288191499999999</v>
      </c>
      <c r="AE1914">
        <v>-7.1367999999999903</v>
      </c>
      <c r="AF1914">
        <v>-6.4480105793393703</v>
      </c>
      <c r="AG1914">
        <v>-1.0288191499999999</v>
      </c>
      <c r="AH1914">
        <v>97.252832211503303</v>
      </c>
      <c r="AI1914">
        <v>90.604770809880307</v>
      </c>
      <c r="AJ1914">
        <v>93.793245527824297</v>
      </c>
      <c r="AK1914">
        <v>97.471784032270094</v>
      </c>
      <c r="AL1914">
        <v>85.032659528867896</v>
      </c>
      <c r="AM1914">
        <v>94.843741486279896</v>
      </c>
      <c r="AN1914">
        <v>0.99999998391912803</v>
      </c>
    </row>
    <row r="1915" spans="1:40" x14ac:dyDescent="0.25">
      <c r="A1915" t="str">
        <f>"20190305135828970"</f>
        <v>20190305135828970</v>
      </c>
      <c r="B1915" t="str">
        <f>"1551765508960451"</f>
        <v>1551765508960451</v>
      </c>
      <c r="C1915" t="s">
        <v>40</v>
      </c>
      <c r="D1915">
        <v>3.9589349999999999</v>
      </c>
      <c r="E1915">
        <v>0.57229540000000001</v>
      </c>
      <c r="F1915" t="s">
        <v>59</v>
      </c>
      <c r="G1915">
        <v>-396.46539999999999</v>
      </c>
      <c r="H1915" s="1">
        <v>1.9037910000000001E-6</v>
      </c>
      <c r="I1915">
        <v>288.279</v>
      </c>
      <c r="J1915">
        <v>-351.32839999999999</v>
      </c>
      <c r="K1915">
        <v>1.1088209999999901</v>
      </c>
      <c r="L1915">
        <v>283.83890000000002</v>
      </c>
      <c r="M1915">
        <v>-0.99989510000000004</v>
      </c>
      <c r="N1915">
        <v>-1.2737679999999999E-2</v>
      </c>
      <c r="O1915">
        <v>-6.8951469999999999E-3</v>
      </c>
      <c r="P1915">
        <v>-0.99314279999999999</v>
      </c>
      <c r="Q1915">
        <v>7.3667150000000001E-2</v>
      </c>
      <c r="R1915">
        <v>-9.0777269999999993E-2</v>
      </c>
      <c r="S1915">
        <v>-3.0538639999999999</v>
      </c>
      <c r="T1915">
        <v>-7.4536320000000003E-2</v>
      </c>
      <c r="U1915">
        <v>0.29833979999999999</v>
      </c>
      <c r="V1915">
        <v>-8.3842120000000006E-2</v>
      </c>
      <c r="W1915">
        <v>8.6401199999999997E-2</v>
      </c>
      <c r="X1915">
        <v>0.9927262</v>
      </c>
      <c r="Y1915">
        <v>0.1040431</v>
      </c>
      <c r="Z1915">
        <v>2.0111529999999999E-3</v>
      </c>
      <c r="AA1915">
        <v>0.99457070000000003</v>
      </c>
      <c r="AB1915">
        <v>48</v>
      </c>
      <c r="AC1915">
        <v>-45.137</v>
      </c>
      <c r="AD1915">
        <v>-1.1088190962090001</v>
      </c>
      <c r="AE1915">
        <v>4.44009999999997</v>
      </c>
      <c r="AF1915">
        <v>4.7484078732307298</v>
      </c>
      <c r="AG1915">
        <v>-1.1088190962090001</v>
      </c>
      <c r="AH1915">
        <v>45.078366461969601</v>
      </c>
      <c r="AI1915">
        <v>91.401304108359199</v>
      </c>
      <c r="AJ1915">
        <v>83.986824702584698</v>
      </c>
      <c r="AK1915">
        <v>45.341327505911202</v>
      </c>
      <c r="AL1915">
        <v>85.043395762816601</v>
      </c>
      <c r="AM1915">
        <v>94.827541166045904</v>
      </c>
      <c r="AN1915">
        <v>0.999999988306987</v>
      </c>
    </row>
    <row r="1916" spans="1:40" x14ac:dyDescent="0.25">
      <c r="A1916" t="str">
        <f>"20190305135828983"</f>
        <v>20190305135828983</v>
      </c>
      <c r="B1916" t="str">
        <f>"1551765508971188"</f>
        <v>1551765508971188</v>
      </c>
      <c r="C1916" t="s">
        <v>40</v>
      </c>
      <c r="D1916">
        <v>3.8827720000000001</v>
      </c>
      <c r="E1916">
        <v>0.57306239999999997</v>
      </c>
      <c r="F1916" t="s">
        <v>61</v>
      </c>
      <c r="G1916">
        <v>-406.48719999999997</v>
      </c>
      <c r="H1916" s="1">
        <v>4.5058720000000004E-6</v>
      </c>
      <c r="I1916">
        <v>289.55059999999997</v>
      </c>
      <c r="J1916">
        <v>-351.60610000000003</v>
      </c>
      <c r="K1916">
        <v>1.108822</v>
      </c>
      <c r="L1916">
        <v>283.83710000000002</v>
      </c>
      <c r="M1916">
        <v>-0.99989640000000002</v>
      </c>
      <c r="N1916">
        <v>-1.2734469999999999E-2</v>
      </c>
      <c r="O1916">
        <v>-6.7263699999999997E-3</v>
      </c>
      <c r="P1916">
        <v>-0.99321669999999995</v>
      </c>
      <c r="Q1916">
        <v>7.3228580000000001E-2</v>
      </c>
      <c r="R1916">
        <v>-9.0325429999999998E-2</v>
      </c>
      <c r="S1916">
        <v>-3.054138</v>
      </c>
      <c r="T1916">
        <v>-6.139505E-2</v>
      </c>
      <c r="U1916">
        <v>0.31625370000000003</v>
      </c>
      <c r="V1916">
        <v>-8.3558460000000001E-2</v>
      </c>
      <c r="W1916">
        <v>8.5959859999999999E-2</v>
      </c>
      <c r="X1916">
        <v>0.99278840000000002</v>
      </c>
      <c r="Y1916">
        <v>0.1096512</v>
      </c>
      <c r="Z1916">
        <v>1.848679E-3</v>
      </c>
      <c r="AA1916">
        <v>0.99396839999999997</v>
      </c>
      <c r="AB1916">
        <v>48</v>
      </c>
      <c r="AC1916">
        <v>-54.881099999999897</v>
      </c>
      <c r="AD1916">
        <v>-1.108817494128</v>
      </c>
      <c r="AE1916">
        <v>5.7134999999999501</v>
      </c>
      <c r="AF1916">
        <v>6.0800959131772201</v>
      </c>
      <c r="AG1916">
        <v>-1.108817494128</v>
      </c>
      <c r="AH1916">
        <v>54.819286654907799</v>
      </c>
      <c r="AI1916">
        <v>91.151690830644895</v>
      </c>
      <c r="AJ1916">
        <v>83.671099085864995</v>
      </c>
      <c r="AK1916">
        <v>55.166577126931401</v>
      </c>
      <c r="AL1916">
        <v>85.068776975423404</v>
      </c>
      <c r="AM1916">
        <v>94.810985101304297</v>
      </c>
      <c r="AN1916">
        <v>0.99999996047167405</v>
      </c>
    </row>
    <row r="1917" spans="1:40" x14ac:dyDescent="0.25">
      <c r="A1917" t="str">
        <f>"20190305135828999"</f>
        <v>20190305135828999</v>
      </c>
      <c r="B1917" t="str">
        <f>"1551765508990237"</f>
        <v>1551765508990237</v>
      </c>
      <c r="C1917" t="s">
        <v>40</v>
      </c>
      <c r="D1917">
        <v>3.8475739999999998</v>
      </c>
      <c r="E1917">
        <v>0.57367979999999996</v>
      </c>
      <c r="F1917" t="s">
        <v>61</v>
      </c>
      <c r="G1917">
        <v>-406.1345</v>
      </c>
      <c r="H1917">
        <v>3.3808390000000001E-2</v>
      </c>
      <c r="I1917">
        <v>289.61709999999999</v>
      </c>
      <c r="J1917">
        <v>-351.95670000000001</v>
      </c>
      <c r="K1917">
        <v>1.1088260000000001</v>
      </c>
      <c r="L1917">
        <v>283.8349</v>
      </c>
      <c r="M1917">
        <v>-0.99989779999999995</v>
      </c>
      <c r="N1917">
        <v>-1.273086E-2</v>
      </c>
      <c r="O1917">
        <v>-6.5163579999999999E-3</v>
      </c>
      <c r="P1917">
        <v>-0.9933227</v>
      </c>
      <c r="Q1917">
        <v>7.2753470000000001E-2</v>
      </c>
      <c r="R1917">
        <v>-8.9537389999999994E-2</v>
      </c>
      <c r="S1917">
        <v>-3.0543819999999999</v>
      </c>
      <c r="T1917">
        <v>-6.0216430000000001E-2</v>
      </c>
      <c r="U1917">
        <v>0.32376100000000002</v>
      </c>
      <c r="V1917">
        <v>-8.2979590000000006E-2</v>
      </c>
      <c r="W1917">
        <v>8.5480509999999996E-2</v>
      </c>
      <c r="X1917">
        <v>0.99287840000000005</v>
      </c>
      <c r="Y1917">
        <v>0.11185100000000001</v>
      </c>
      <c r="Z1917">
        <v>1.8588700000000001E-3</v>
      </c>
      <c r="AA1917">
        <v>0.99372329999999998</v>
      </c>
      <c r="AB1917">
        <v>48</v>
      </c>
      <c r="AC1917">
        <v>-54.177799999999898</v>
      </c>
      <c r="AD1917">
        <v>-1.07501761</v>
      </c>
      <c r="AE1917">
        <v>5.78219999999998</v>
      </c>
      <c r="AF1917">
        <v>6.1327603396985397</v>
      </c>
      <c r="AG1917">
        <v>-1.07501761</v>
      </c>
      <c r="AH1917">
        <v>54.117900213556702</v>
      </c>
      <c r="AI1917">
        <v>91.130758989749197</v>
      </c>
      <c r="AJ1917">
        <v>83.534696839750694</v>
      </c>
      <c r="AK1917">
        <v>54.474889038624703</v>
      </c>
      <c r="AL1917">
        <v>85.096343483104803</v>
      </c>
      <c r="AM1917">
        <v>94.777379664448503</v>
      </c>
      <c r="AN1917">
        <v>1.0000000235664901</v>
      </c>
    </row>
    <row r="1918" spans="1:40" x14ac:dyDescent="0.25">
      <c r="A1918" t="str">
        <f>"20190305135829022"</f>
        <v>20190305135829022</v>
      </c>
      <c r="B1918" t="str">
        <f>"1551765509010735"</f>
        <v>1551765509010735</v>
      </c>
      <c r="C1918" t="s">
        <v>40</v>
      </c>
      <c r="D1918">
        <v>3.904531</v>
      </c>
      <c r="E1918">
        <v>0.5724378</v>
      </c>
      <c r="F1918" t="s">
        <v>61</v>
      </c>
      <c r="G1918">
        <v>-405.30349999999999</v>
      </c>
      <c r="H1918">
        <v>8.2799980000000002E-3</v>
      </c>
      <c r="I1918">
        <v>289.61649999999997</v>
      </c>
      <c r="J1918">
        <v>-352.43430000000001</v>
      </c>
      <c r="K1918">
        <v>1.1088249999999999</v>
      </c>
      <c r="L1918">
        <v>283.83210000000003</v>
      </c>
      <c r="M1918">
        <v>-0.9998996</v>
      </c>
      <c r="N1918">
        <v>-1.27308E-2</v>
      </c>
      <c r="O1918">
        <v>-6.2361869999999998E-3</v>
      </c>
      <c r="P1918">
        <v>-0.99337549999999997</v>
      </c>
      <c r="Q1918">
        <v>7.2553889999999996E-2</v>
      </c>
      <c r="R1918">
        <v>-8.9114410000000005E-2</v>
      </c>
      <c r="S1918">
        <v>-3.0546259999999998</v>
      </c>
      <c r="T1918">
        <v>-6.3017009999999998E-2</v>
      </c>
      <c r="U1918">
        <v>0.33105469999999998</v>
      </c>
      <c r="V1918">
        <v>-8.2836149999999997E-2</v>
      </c>
      <c r="W1918">
        <v>8.5280019999999998E-2</v>
      </c>
      <c r="X1918">
        <v>0.9929076</v>
      </c>
      <c r="Y1918">
        <v>0.1139064</v>
      </c>
      <c r="Z1918">
        <v>1.947842E-3</v>
      </c>
      <c r="AA1918">
        <v>0.99348959999999997</v>
      </c>
      <c r="AB1918">
        <v>48</v>
      </c>
      <c r="AC1918">
        <v>-52.8691999999999</v>
      </c>
      <c r="AD1918">
        <v>-1.100545002</v>
      </c>
      <c r="AE1918">
        <v>5.7843999999999403</v>
      </c>
      <c r="AF1918">
        <v>6.1113995383495698</v>
      </c>
      <c r="AG1918">
        <v>-1.100545002</v>
      </c>
      <c r="AH1918">
        <v>52.809483467299202</v>
      </c>
      <c r="AI1918">
        <v>91.185953534597104</v>
      </c>
      <c r="AJ1918">
        <v>83.398786106040603</v>
      </c>
      <c r="AK1918">
        <v>53.173319886026597</v>
      </c>
      <c r="AL1918">
        <v>85.107872726856598</v>
      </c>
      <c r="AM1918">
        <v>94.7690199181867</v>
      </c>
      <c r="AN1918">
        <v>1.00000000584789</v>
      </c>
    </row>
    <row r="1919" spans="1:40" x14ac:dyDescent="0.25">
      <c r="A1919" t="str">
        <f>"20190305135829040"</f>
        <v>20190305135829040</v>
      </c>
      <c r="B1919" t="str">
        <f>"1551765509030254"</f>
        <v>1551765509030254</v>
      </c>
      <c r="C1919" t="s">
        <v>40</v>
      </c>
      <c r="D1919">
        <v>3.8907959999999999</v>
      </c>
      <c r="E1919">
        <v>0.57228040000000002</v>
      </c>
      <c r="F1919" t="s">
        <v>59</v>
      </c>
      <c r="G1919">
        <v>-395.49889999999999</v>
      </c>
      <c r="H1919" s="1">
        <v>1.389468E-6</v>
      </c>
      <c r="I1919">
        <v>288.38850000000002</v>
      </c>
      <c r="J1919">
        <v>-352.8143</v>
      </c>
      <c r="K1919">
        <v>1.1088279999999999</v>
      </c>
      <c r="L1919">
        <v>283.82990000000001</v>
      </c>
      <c r="M1919">
        <v>-0.99990089999999998</v>
      </c>
      <c r="N1919">
        <v>-1.2733400000000001E-2</v>
      </c>
      <c r="O1919">
        <v>-6.0175250000000001E-3</v>
      </c>
      <c r="P1919">
        <v>-0.99342529999999996</v>
      </c>
      <c r="Q1919">
        <v>7.2550390000000006E-2</v>
      </c>
      <c r="R1919">
        <v>-8.8560650000000005E-2</v>
      </c>
      <c r="S1919">
        <v>-3.0547789999999999</v>
      </c>
      <c r="T1919">
        <v>-7.8654050000000003E-2</v>
      </c>
      <c r="U1919">
        <v>0.32321169999999999</v>
      </c>
      <c r="V1919">
        <v>-8.2500939999999995E-2</v>
      </c>
      <c r="W1919">
        <v>8.5278590000000001E-2</v>
      </c>
      <c r="X1919">
        <v>0.99293560000000003</v>
      </c>
      <c r="Y1919">
        <v>0.11114549999999999</v>
      </c>
      <c r="Z1919">
        <v>2.2145580000000002E-3</v>
      </c>
      <c r="AA1919">
        <v>0.99380170000000001</v>
      </c>
      <c r="AB1919">
        <v>48</v>
      </c>
      <c r="AC1919">
        <v>-42.684599999999897</v>
      </c>
      <c r="AD1919">
        <v>-1.1088266105319999</v>
      </c>
      <c r="AE1919">
        <v>4.55860000000001</v>
      </c>
      <c r="AF1919">
        <v>4.81218318989447</v>
      </c>
      <c r="AG1919">
        <v>-1.1088266105319999</v>
      </c>
      <c r="AH1919">
        <v>42.627951744770698</v>
      </c>
      <c r="AI1919">
        <v>91.480625906672103</v>
      </c>
      <c r="AJ1919">
        <v>83.559262658837099</v>
      </c>
      <c r="AK1919">
        <v>42.913038501833199</v>
      </c>
      <c r="AL1919">
        <v>85.107954805071003</v>
      </c>
      <c r="AM1919">
        <v>94.749676447584093</v>
      </c>
      <c r="AN1919">
        <v>0.99999997438031496</v>
      </c>
    </row>
    <row r="1920" spans="1:40" x14ac:dyDescent="0.25">
      <c r="A1920" t="str">
        <f>"20190305135829056"</f>
        <v>20190305135829056</v>
      </c>
      <c r="B1920" t="str">
        <f>"1551765509050749"</f>
        <v>1551765509050749</v>
      </c>
      <c r="C1920" t="s">
        <v>40</v>
      </c>
      <c r="D1920">
        <v>4.0066420000000003</v>
      </c>
      <c r="E1920">
        <v>0.57110430000000001</v>
      </c>
      <c r="F1920" t="s">
        <v>59</v>
      </c>
      <c r="G1920">
        <v>-396.36779999999999</v>
      </c>
      <c r="H1920" s="1">
        <v>1.8518410000000001E-6</v>
      </c>
      <c r="I1920">
        <v>288.44639999999998</v>
      </c>
      <c r="J1920">
        <v>-353.18380000000002</v>
      </c>
      <c r="K1920">
        <v>1.1088290000000001</v>
      </c>
      <c r="L1920">
        <v>283.82780000000002</v>
      </c>
      <c r="M1920">
        <v>-0.99990210000000002</v>
      </c>
      <c r="N1920">
        <v>-1.2736829999999999E-2</v>
      </c>
      <c r="O1920">
        <v>-5.8084019999999998E-3</v>
      </c>
      <c r="P1920">
        <v>-0.99346829999999997</v>
      </c>
      <c r="Q1920">
        <v>7.2501309999999999E-2</v>
      </c>
      <c r="R1920">
        <v>-8.8116139999999996E-2</v>
      </c>
      <c r="S1920">
        <v>-3.0544129999999998</v>
      </c>
      <c r="T1920">
        <v>-7.7762129999999999E-2</v>
      </c>
      <c r="U1920">
        <v>0.32376100000000002</v>
      </c>
      <c r="V1920">
        <v>-8.2264539999999997E-2</v>
      </c>
      <c r="W1920">
        <v>8.5232020000000006E-2</v>
      </c>
      <c r="X1920">
        <v>0.99295929999999999</v>
      </c>
      <c r="Y1920">
        <v>0.111128</v>
      </c>
      <c r="Z1920">
        <v>2.1939910000000002E-3</v>
      </c>
      <c r="AA1920">
        <v>0.99380369999999996</v>
      </c>
      <c r="AB1920">
        <v>48</v>
      </c>
      <c r="AC1920">
        <v>-43.183999999999898</v>
      </c>
      <c r="AD1920">
        <v>-1.108827148159</v>
      </c>
      <c r="AE1920">
        <v>4.6185999999999501</v>
      </c>
      <c r="AF1920">
        <v>4.8662004405247501</v>
      </c>
      <c r="AG1920">
        <v>-1.108827148159</v>
      </c>
      <c r="AH1920">
        <v>43.128329693726201</v>
      </c>
      <c r="AI1920">
        <v>91.463465136984894</v>
      </c>
      <c r="AJ1920">
        <v>83.562501989089498</v>
      </c>
      <c r="AK1920">
        <v>43.416151678178501</v>
      </c>
      <c r="AL1920">
        <v>85.110633247436596</v>
      </c>
      <c r="AM1920">
        <v>94.736016092307693</v>
      </c>
      <c r="AN1920">
        <v>1.00000006161558</v>
      </c>
    </row>
    <row r="1921" spans="1:40" x14ac:dyDescent="0.25">
      <c r="A1921" t="str">
        <f>"20190305135829080"</f>
        <v>20190305135829080</v>
      </c>
      <c r="B1921" t="str">
        <f>"1551765509071248"</f>
        <v>1551765509071248</v>
      </c>
      <c r="C1921" t="s">
        <v>40</v>
      </c>
      <c r="D1921">
        <v>3.9610609999999999</v>
      </c>
      <c r="E1921">
        <v>0.57013459999999905</v>
      </c>
      <c r="F1921" t="s">
        <v>59</v>
      </c>
      <c r="G1921">
        <v>-389.09359999999998</v>
      </c>
      <c r="H1921" s="1">
        <v>3.3023690000000001E-6</v>
      </c>
      <c r="I1921">
        <v>287.54419999999999</v>
      </c>
      <c r="J1921">
        <v>-353.6644</v>
      </c>
      <c r="K1921">
        <v>1.1088359999999999</v>
      </c>
      <c r="L1921">
        <v>283.82530000000003</v>
      </c>
      <c r="M1921">
        <v>-0.9999034</v>
      </c>
      <c r="N1921">
        <v>-1.274515E-2</v>
      </c>
      <c r="O1921">
        <v>-5.5431769999999998E-3</v>
      </c>
      <c r="P1921">
        <v>-0.99356160000000004</v>
      </c>
      <c r="Q1921">
        <v>7.2010370000000004E-2</v>
      </c>
      <c r="R1921">
        <v>-8.7464710000000001E-2</v>
      </c>
      <c r="S1921">
        <v>-3.0546570000000002</v>
      </c>
      <c r="T1921">
        <v>-9.4321970000000005E-2</v>
      </c>
      <c r="U1921">
        <v>0.31613160000000001</v>
      </c>
      <c r="V1921">
        <v>-8.1877779999999997E-2</v>
      </c>
      <c r="W1921">
        <v>8.4748829999999997E-2</v>
      </c>
      <c r="X1921">
        <v>0.99303260000000004</v>
      </c>
      <c r="Y1921">
        <v>0.108381199999999</v>
      </c>
      <c r="Z1921">
        <v>2.4614459999999999E-3</v>
      </c>
      <c r="AA1921">
        <v>0.99410639999999995</v>
      </c>
      <c r="AB1921">
        <v>48</v>
      </c>
      <c r="AC1921">
        <v>-35.429199999999902</v>
      </c>
      <c r="AD1921">
        <v>-1.1088326976309999</v>
      </c>
      <c r="AE1921">
        <v>3.7188999999999601</v>
      </c>
      <c r="AF1921">
        <v>3.91145957272591</v>
      </c>
      <c r="AG1921">
        <v>-1.1088326976309999</v>
      </c>
      <c r="AH1921">
        <v>35.373768005817404</v>
      </c>
      <c r="AI1921">
        <v>91.784546782768999</v>
      </c>
      <c r="AJ1921">
        <v>83.690144062768994</v>
      </c>
      <c r="AK1921">
        <v>35.606635461242298</v>
      </c>
      <c r="AL1921">
        <v>85.138418421233197</v>
      </c>
      <c r="AM1921">
        <v>94.713504292777202</v>
      </c>
      <c r="AN1921">
        <v>1.0000000398534199</v>
      </c>
    </row>
    <row r="1922" spans="1:40" x14ac:dyDescent="0.25">
      <c r="A1922" t="str">
        <f>"20190305135829091"</f>
        <v>20190305135829091</v>
      </c>
      <c r="B1922" t="str">
        <f>"1551765509081006"</f>
        <v>1551765509081006</v>
      </c>
      <c r="C1922" t="s">
        <v>40</v>
      </c>
      <c r="D1922">
        <v>3.9805429999999999</v>
      </c>
      <c r="E1922">
        <v>0.56978830000000003</v>
      </c>
      <c r="F1922" t="s">
        <v>59</v>
      </c>
      <c r="G1922">
        <v>-385.41379999999998</v>
      </c>
      <c r="H1922" s="1">
        <v>1.3441669999999999E-6</v>
      </c>
      <c r="I1922">
        <v>287.05380000000002</v>
      </c>
      <c r="J1922">
        <v>-353.93329999999997</v>
      </c>
      <c r="K1922">
        <v>1.1088480000000001</v>
      </c>
      <c r="L1922">
        <v>283.82389999999998</v>
      </c>
      <c r="M1922">
        <v>-0.99990409999999996</v>
      </c>
      <c r="N1922">
        <v>-1.275164E-2</v>
      </c>
      <c r="O1922">
        <v>-5.4003480000000001E-3</v>
      </c>
      <c r="P1922">
        <v>-0.99357640000000003</v>
      </c>
      <c r="Q1922">
        <v>7.1987579999999995E-2</v>
      </c>
      <c r="R1922">
        <v>-8.7314899999999904E-2</v>
      </c>
      <c r="S1922">
        <v>-3.0545040000000001</v>
      </c>
      <c r="T1922">
        <v>-0.1066772</v>
      </c>
      <c r="U1922">
        <v>0.31060789999999999</v>
      </c>
      <c r="V1922">
        <v>-8.1870319999999996E-2</v>
      </c>
      <c r="W1922">
        <v>8.473174E-2</v>
      </c>
      <c r="X1922">
        <v>0.99303470000000005</v>
      </c>
      <c r="Y1922">
        <v>0.1064491</v>
      </c>
      <c r="Z1922">
        <v>2.65366E-3</v>
      </c>
      <c r="AA1922">
        <v>0.99431460000000005</v>
      </c>
      <c r="AB1922">
        <v>48</v>
      </c>
      <c r="AC1922">
        <v>-31.480499999999999</v>
      </c>
      <c r="AD1922">
        <v>-1.1088466558329999</v>
      </c>
      <c r="AE1922">
        <v>3.2299000000000402</v>
      </c>
      <c r="AF1922">
        <v>3.3957032809758299</v>
      </c>
      <c r="AG1922">
        <v>-1.1088466558329999</v>
      </c>
      <c r="AH1922">
        <v>31.424015863670402</v>
      </c>
      <c r="AI1922">
        <v>92.0092473046154</v>
      </c>
      <c r="AJ1922">
        <v>83.832505984906106</v>
      </c>
      <c r="AK1922">
        <v>31.626399015360398</v>
      </c>
      <c r="AL1922">
        <v>85.1394012693615</v>
      </c>
      <c r="AM1922">
        <v>94.713066851503299</v>
      </c>
      <c r="AN1922">
        <v>1.0000000662321999</v>
      </c>
    </row>
    <row r="1923" spans="1:40" x14ac:dyDescent="0.25">
      <c r="A1923" t="str">
        <f>"20190305135829104"</f>
        <v>20190305135829104</v>
      </c>
      <c r="B1923" t="str">
        <f>"1551765509101032"</f>
        <v>1551765509101032</v>
      </c>
      <c r="C1923" t="s">
        <v>40</v>
      </c>
      <c r="D1923">
        <v>3.9473669999999998</v>
      </c>
      <c r="E1923">
        <v>0.56927910000000004</v>
      </c>
      <c r="F1923" t="s">
        <v>59</v>
      </c>
      <c r="G1923">
        <v>-384.42770000000002</v>
      </c>
      <c r="H1923" s="1">
        <v>8.1941330000000001E-7</v>
      </c>
      <c r="I1923">
        <v>286.90379999999999</v>
      </c>
      <c r="J1923">
        <v>-354.20310000000001</v>
      </c>
      <c r="K1923">
        <v>1.1088530000000001</v>
      </c>
      <c r="L1923">
        <v>283.82249999999999</v>
      </c>
      <c r="M1923">
        <v>-0.99990489999999999</v>
      </c>
      <c r="N1923">
        <v>-1.275826E-2</v>
      </c>
      <c r="O1923">
        <v>-5.2603869999999896E-3</v>
      </c>
      <c r="P1923">
        <v>-0.9936178</v>
      </c>
      <c r="Q1923">
        <v>7.1995240000000002E-2</v>
      </c>
      <c r="R1923">
        <v>-8.6838540000000006E-2</v>
      </c>
      <c r="S1923">
        <v>-3.0545040000000001</v>
      </c>
      <c r="T1923">
        <v>-0.1110691</v>
      </c>
      <c r="U1923">
        <v>0.3085022</v>
      </c>
      <c r="V1923">
        <v>-8.1534010000000004E-2</v>
      </c>
      <c r="W1923">
        <v>8.4745029999999999E-2</v>
      </c>
      <c r="X1923">
        <v>0.99306119999999998</v>
      </c>
      <c r="Y1923">
        <v>0.1056256</v>
      </c>
      <c r="Z1923">
        <v>2.7145519999999999E-3</v>
      </c>
      <c r="AA1923">
        <v>0.99440229999999996</v>
      </c>
      <c r="AB1923">
        <v>48</v>
      </c>
      <c r="AC1923">
        <v>-30.224599999999999</v>
      </c>
      <c r="AD1923">
        <v>-1.1088521805867</v>
      </c>
      <c r="AE1923">
        <v>3.0812999999999899</v>
      </c>
      <c r="AF1923">
        <v>3.2359527721892198</v>
      </c>
      <c r="AG1923">
        <v>-1.1088521805867</v>
      </c>
      <c r="AH1923">
        <v>30.167785187650299</v>
      </c>
      <c r="AI1923">
        <v>92.093029862493395</v>
      </c>
      <c r="AJ1923">
        <v>83.877567738306396</v>
      </c>
      <c r="AK1923">
        <v>30.361096927325299</v>
      </c>
      <c r="AL1923">
        <v>85.138636887746003</v>
      </c>
      <c r="AM1923">
        <v>94.693668325005305</v>
      </c>
      <c r="AN1923">
        <v>1.0000000309209101</v>
      </c>
    </row>
    <row r="1924" spans="1:40" x14ac:dyDescent="0.25">
      <c r="A1924" t="str">
        <f>"20190305135829121"</f>
        <v>20190305135829121</v>
      </c>
      <c r="B1924" t="str">
        <f>"1551765509110792"</f>
        <v>1551765509110792</v>
      </c>
      <c r="C1924" t="s">
        <v>40</v>
      </c>
      <c r="D1924">
        <v>3.9328919999999998</v>
      </c>
      <c r="E1924">
        <v>0.56898269999999995</v>
      </c>
      <c r="F1924" t="s">
        <v>59</v>
      </c>
      <c r="G1924">
        <v>-382.98739999999998</v>
      </c>
      <c r="H1924" s="1">
        <v>5.2970129999999999E-8</v>
      </c>
      <c r="I1924">
        <v>286.70749999999998</v>
      </c>
      <c r="J1924">
        <v>-354.57499999999999</v>
      </c>
      <c r="K1924">
        <v>1.1088610000000001</v>
      </c>
      <c r="L1924">
        <v>283.82069999999999</v>
      </c>
      <c r="M1924">
        <v>-0.99990570000000001</v>
      </c>
      <c r="N1924">
        <v>-1.276741E-2</v>
      </c>
      <c r="O1924">
        <v>-5.0737589999999997E-3</v>
      </c>
      <c r="P1924">
        <v>-0.99366739999999998</v>
      </c>
      <c r="Q1924">
        <v>7.1790549999999995E-2</v>
      </c>
      <c r="R1924">
        <v>-8.6437689999999998E-2</v>
      </c>
      <c r="S1924">
        <v>-3.0545960000000001</v>
      </c>
      <c r="T1924">
        <v>-0.1176717</v>
      </c>
      <c r="U1924">
        <v>0.30615229999999999</v>
      </c>
      <c r="V1924">
        <v>-8.1320400000000001E-2</v>
      </c>
      <c r="W1924">
        <v>8.4548319999999996E-2</v>
      </c>
      <c r="X1924">
        <v>0.99309550000000002</v>
      </c>
      <c r="Y1924">
        <v>0.1046705</v>
      </c>
      <c r="Z1924">
        <v>2.810842E-3</v>
      </c>
      <c r="AA1924">
        <v>0.99450300000000003</v>
      </c>
      <c r="AB1924">
        <v>48</v>
      </c>
      <c r="AC1924">
        <v>-28.412399999999899</v>
      </c>
      <c r="AD1924">
        <v>-1.10886094702987</v>
      </c>
      <c r="AE1924">
        <v>2.8867999999999898</v>
      </c>
      <c r="AF1924">
        <v>3.0263697763211699</v>
      </c>
      <c r="AG1924">
        <v>-1.10886094702987</v>
      </c>
      <c r="AH1924">
        <v>28.354639455064898</v>
      </c>
      <c r="AI1924">
        <v>92.2268814607514</v>
      </c>
      <c r="AJ1924">
        <v>83.907725909107498</v>
      </c>
      <c r="AK1924">
        <v>28.5372399725272</v>
      </c>
      <c r="AL1924">
        <v>85.149948223807101</v>
      </c>
      <c r="AM1924">
        <v>94.681265194459002</v>
      </c>
      <c r="AN1924">
        <v>1.00000004899561</v>
      </c>
    </row>
    <row r="1925" spans="1:40" x14ac:dyDescent="0.25">
      <c r="A1925" t="str">
        <f>"20190305135829134"</f>
        <v>20190305135829134</v>
      </c>
      <c r="B1925" t="str">
        <f>"1551765509130312"</f>
        <v>1551765509130312</v>
      </c>
      <c r="C1925" t="s">
        <v>40</v>
      </c>
      <c r="D1925">
        <v>3.9214989999999998</v>
      </c>
      <c r="E1925">
        <v>0.56855659999999997</v>
      </c>
      <c r="F1925" t="s">
        <v>59</v>
      </c>
      <c r="G1925">
        <v>-382.43880000000001</v>
      </c>
      <c r="H1925" s="1">
        <v>-2.3896420000000001E-7</v>
      </c>
      <c r="I1925">
        <v>286.60379999999998</v>
      </c>
      <c r="J1925">
        <v>-354.85109999999997</v>
      </c>
      <c r="K1925">
        <v>1.108868</v>
      </c>
      <c r="L1925">
        <v>283.81950000000001</v>
      </c>
      <c r="M1925">
        <v>-0.99990630000000003</v>
      </c>
      <c r="N1925">
        <v>-1.277386E-2</v>
      </c>
      <c r="O1925">
        <v>-4.942905E-3</v>
      </c>
      <c r="P1925">
        <v>-0.99371710000000002</v>
      </c>
      <c r="Q1925">
        <v>7.146893E-2</v>
      </c>
      <c r="R1925">
        <v>-8.6133199999999993E-2</v>
      </c>
      <c r="S1925">
        <v>-3.054443</v>
      </c>
      <c r="T1925">
        <v>-0.12155390000000001</v>
      </c>
      <c r="U1925">
        <v>0.30508420000000003</v>
      </c>
      <c r="V1925">
        <v>-8.1147830000000004E-2</v>
      </c>
      <c r="W1925">
        <v>8.4231890000000004E-2</v>
      </c>
      <c r="X1925">
        <v>0.99313649999999998</v>
      </c>
      <c r="Y1925">
        <v>0.1041953</v>
      </c>
      <c r="Z1925">
        <v>2.8680070000000001E-3</v>
      </c>
      <c r="AA1925">
        <v>0.99455269999999996</v>
      </c>
      <c r="AB1925">
        <v>48</v>
      </c>
      <c r="AC1925">
        <v>-27.587700000000002</v>
      </c>
      <c r="AD1925">
        <v>-1.1088682389641999</v>
      </c>
      <c r="AE1925">
        <v>2.7842999999999698</v>
      </c>
      <c r="AF1925">
        <v>2.9159769765813999</v>
      </c>
      <c r="AG1925">
        <v>-1.1088682389641999</v>
      </c>
      <c r="AH1925">
        <v>27.529571470811</v>
      </c>
      <c r="AI1925">
        <v>92.293761875655903</v>
      </c>
      <c r="AJ1925">
        <v>83.953682606830995</v>
      </c>
      <c r="AK1925">
        <v>27.705772248140399</v>
      </c>
      <c r="AL1925">
        <v>85.168143210673605</v>
      </c>
      <c r="AM1925">
        <v>94.6711830973817</v>
      </c>
      <c r="AN1925">
        <v>1.0000000446194599</v>
      </c>
    </row>
    <row r="1926" spans="1:40" x14ac:dyDescent="0.25">
      <c r="A1926" t="str">
        <f>"20190305135829146"</f>
        <v>20190305135829146</v>
      </c>
      <c r="B1926" t="str">
        <f>"1551765509141048"</f>
        <v>1551765509141048</v>
      </c>
      <c r="C1926" t="s">
        <v>40</v>
      </c>
      <c r="D1926">
        <v>3.9375290000000001</v>
      </c>
      <c r="E1926">
        <v>0.56846890000000005</v>
      </c>
      <c r="F1926" t="s">
        <v>59</v>
      </c>
      <c r="G1926">
        <v>-381.35969999999998</v>
      </c>
      <c r="H1926" s="1">
        <v>-8.1323439999999996E-7</v>
      </c>
      <c r="I1926">
        <v>286.44819999999999</v>
      </c>
      <c r="J1926">
        <v>-355.10390000000001</v>
      </c>
      <c r="K1926">
        <v>1.1088739999999999</v>
      </c>
      <c r="L1926">
        <v>283.81830000000002</v>
      </c>
      <c r="M1926">
        <v>-0.99990679999999998</v>
      </c>
      <c r="N1926">
        <v>-1.2779449999999999E-2</v>
      </c>
      <c r="O1926">
        <v>-4.829585E-3</v>
      </c>
      <c r="P1926">
        <v>-0.99376189999999998</v>
      </c>
      <c r="Q1926">
        <v>7.122183E-2</v>
      </c>
      <c r="R1926">
        <v>-8.5819939999999997E-2</v>
      </c>
      <c r="S1926">
        <v>-3.0544129999999998</v>
      </c>
      <c r="T1926">
        <v>-0.12776789999999999</v>
      </c>
      <c r="U1926">
        <v>0.30288700000000002</v>
      </c>
      <c r="V1926">
        <v>-8.0948720000000002E-2</v>
      </c>
      <c r="W1926">
        <v>8.398862E-2</v>
      </c>
      <c r="X1926">
        <v>0.99317330000000004</v>
      </c>
      <c r="Y1926">
        <v>0.103365899999999</v>
      </c>
      <c r="Z1926">
        <v>2.9581049999999999E-3</v>
      </c>
      <c r="AA1926">
        <v>0.99463900000000005</v>
      </c>
      <c r="AB1926">
        <v>48</v>
      </c>
      <c r="AC1926">
        <v>-26.255799999999901</v>
      </c>
      <c r="AD1926">
        <v>-1.1088748132344</v>
      </c>
      <c r="AE1926">
        <v>2.6298999999999602</v>
      </c>
      <c r="AF1926">
        <v>2.75182469024563</v>
      </c>
      <c r="AG1926">
        <v>-1.1088748132344</v>
      </c>
      <c r="AH1926">
        <v>26.196529556022</v>
      </c>
      <c r="AI1926">
        <v>92.410582729380394</v>
      </c>
      <c r="AJ1926">
        <v>84.003334710066795</v>
      </c>
      <c r="AK1926">
        <v>26.3639963445757</v>
      </c>
      <c r="AL1926">
        <v>85.182130875244695</v>
      </c>
      <c r="AM1926">
        <v>94.6596001922141</v>
      </c>
      <c r="AN1926">
        <v>0.999999993696016</v>
      </c>
    </row>
    <row r="1927" spans="1:40" x14ac:dyDescent="0.25">
      <c r="A1927" t="str">
        <f>"20190305135829158"</f>
        <v>20190305135829158</v>
      </c>
      <c r="B1927" t="str">
        <f>"1551765509150808"</f>
        <v>1551765509150808</v>
      </c>
      <c r="C1927" t="s">
        <v>40</v>
      </c>
      <c r="D1927">
        <v>3.8749289999999998</v>
      </c>
      <c r="E1927">
        <v>0.56828140000000005</v>
      </c>
      <c r="F1927" t="s">
        <v>59</v>
      </c>
      <c r="G1927">
        <v>-381.14269999999999</v>
      </c>
      <c r="H1927" s="1">
        <v>-9.2870319999999996E-7</v>
      </c>
      <c r="I1927">
        <v>286.40100000000001</v>
      </c>
      <c r="J1927">
        <v>-355.37369999999999</v>
      </c>
      <c r="K1927">
        <v>1.1088769999999999</v>
      </c>
      <c r="L1927">
        <v>283.81709999999998</v>
      </c>
      <c r="M1927">
        <v>-0.99990730000000005</v>
      </c>
      <c r="N1927">
        <v>-1.278524E-2</v>
      </c>
      <c r="O1927">
        <v>-4.712595E-3</v>
      </c>
      <c r="P1927">
        <v>-0.99383589999999999</v>
      </c>
      <c r="Q1927">
        <v>7.0948639999999993E-2</v>
      </c>
      <c r="R1927">
        <v>-8.5185880000000005E-2</v>
      </c>
      <c r="S1927">
        <v>-3.0542910000000001</v>
      </c>
      <c r="T1927">
        <v>-0.1300684</v>
      </c>
      <c r="U1927">
        <v>0.302948</v>
      </c>
      <c r="V1927">
        <v>-8.0433379999999999E-2</v>
      </c>
      <c r="W1927">
        <v>8.3719680000000005E-2</v>
      </c>
      <c r="X1927">
        <v>0.99323790000000001</v>
      </c>
      <c r="Y1927">
        <v>0.1032694</v>
      </c>
      <c r="Z1927">
        <v>2.9947440000000001E-3</v>
      </c>
      <c r="AA1927">
        <v>0.99464889999999995</v>
      </c>
      <c r="AB1927">
        <v>48</v>
      </c>
      <c r="AC1927">
        <v>-25.768999999999998</v>
      </c>
      <c r="AD1927">
        <v>-1.1088779287032</v>
      </c>
      <c r="AE1927">
        <v>2.5839000000000198</v>
      </c>
      <c r="AF1927">
        <v>2.7003695533579202</v>
      </c>
      <c r="AG1927">
        <v>-1.1088779287032</v>
      </c>
      <c r="AH1927">
        <v>25.7094035347362</v>
      </c>
      <c r="AI1927">
        <v>92.456211270841095</v>
      </c>
      <c r="AJ1927">
        <v>84.003962472368798</v>
      </c>
      <c r="AK1927">
        <v>25.874602143750401</v>
      </c>
      <c r="AL1927">
        <v>85.197594589752697</v>
      </c>
      <c r="AM1927">
        <v>94.629765555475402</v>
      </c>
      <c r="AN1927">
        <v>1.0000000197169601</v>
      </c>
    </row>
    <row r="1928" spans="1:40" x14ac:dyDescent="0.25">
      <c r="A1928" t="str">
        <f>"20190305135829170"</f>
        <v>20190305135829170</v>
      </c>
      <c r="B1928" t="str">
        <f>"1551765509160568"</f>
        <v>1551765509160568</v>
      </c>
      <c r="C1928" t="s">
        <v>40</v>
      </c>
      <c r="D1928">
        <v>3.9005770000000002</v>
      </c>
      <c r="E1928">
        <v>0.56813000000000002</v>
      </c>
      <c r="F1928" t="s">
        <v>59</v>
      </c>
      <c r="G1928">
        <v>-380.98630000000003</v>
      </c>
      <c r="H1928" s="1">
        <v>-1.0119190000000001E-6</v>
      </c>
      <c r="I1928">
        <v>286.36130000000003</v>
      </c>
      <c r="J1928">
        <v>-355.63189999999997</v>
      </c>
      <c r="K1928">
        <v>1.108889</v>
      </c>
      <c r="L1928">
        <v>283.8159</v>
      </c>
      <c r="M1928">
        <v>-0.99990769999999995</v>
      </c>
      <c r="N1928">
        <v>-1.27904E-2</v>
      </c>
      <c r="O1928">
        <v>-4.6132780000000002E-3</v>
      </c>
      <c r="P1928">
        <v>-0.99389550000000004</v>
      </c>
      <c r="Q1928">
        <v>7.0441530000000002E-2</v>
      </c>
      <c r="R1928">
        <v>-8.4911219999999996E-2</v>
      </c>
      <c r="S1928">
        <v>-3.0540470000000002</v>
      </c>
      <c r="T1928">
        <v>-0.13222229999999999</v>
      </c>
      <c r="U1928">
        <v>0.30337520000000001</v>
      </c>
      <c r="V1928">
        <v>-8.0260129999999999E-2</v>
      </c>
      <c r="W1928">
        <v>8.3215520000000001E-2</v>
      </c>
      <c r="X1928">
        <v>0.99329420000000002</v>
      </c>
      <c r="Y1928">
        <v>0.1033125</v>
      </c>
      <c r="Z1928">
        <v>3.0329509999999999E-3</v>
      </c>
      <c r="AA1928">
        <v>0.99464430000000004</v>
      </c>
      <c r="AB1928">
        <v>48</v>
      </c>
      <c r="AC1928">
        <v>-25.354399999999998</v>
      </c>
      <c r="AD1928">
        <v>-1.1088900119189999</v>
      </c>
      <c r="AE1928">
        <v>2.5454000000000199</v>
      </c>
      <c r="AF1928">
        <v>2.6573171508842401</v>
      </c>
      <c r="AG1928">
        <v>-1.1088900119189999</v>
      </c>
      <c r="AH1928">
        <v>25.2944859627308</v>
      </c>
      <c r="AI1928">
        <v>92.496472877471405</v>
      </c>
      <c r="AJ1928">
        <v>84.0027791237343</v>
      </c>
      <c r="AK1928">
        <v>25.457847348464099</v>
      </c>
      <c r="AL1928">
        <v>85.226581597620395</v>
      </c>
      <c r="AM1928">
        <v>94.619575735477397</v>
      </c>
      <c r="AN1928">
        <v>0.99999993949506105</v>
      </c>
    </row>
    <row r="1929" spans="1:40" x14ac:dyDescent="0.25">
      <c r="A1929" t="str">
        <f>"20190305135829183"</f>
        <v>20190305135829183</v>
      </c>
      <c r="B1929" t="str">
        <f>"1551765509170329"</f>
        <v>1551765509170329</v>
      </c>
      <c r="C1929" t="s">
        <v>40</v>
      </c>
      <c r="D1929">
        <v>3.9159470000000001</v>
      </c>
      <c r="E1929">
        <v>0.56806820000000002</v>
      </c>
      <c r="F1929" t="s">
        <v>59</v>
      </c>
      <c r="G1929">
        <v>-380.93799999999999</v>
      </c>
      <c r="H1929" s="1">
        <v>-1.037654E-6</v>
      </c>
      <c r="I1929">
        <v>286.3261</v>
      </c>
      <c r="J1929">
        <v>-355.87520000000001</v>
      </c>
      <c r="K1929">
        <v>1.1088990000000001</v>
      </c>
      <c r="L1929">
        <v>283.81490000000002</v>
      </c>
      <c r="M1929">
        <v>-0.99990800000000002</v>
      </c>
      <c r="N1929">
        <v>-1.27951E-2</v>
      </c>
      <c r="O1929">
        <v>-4.5246890000000001E-3</v>
      </c>
      <c r="P1929">
        <v>-0.9939346</v>
      </c>
      <c r="Q1929">
        <v>7.0276249999999998E-2</v>
      </c>
      <c r="R1929">
        <v>-8.458939E-2</v>
      </c>
      <c r="S1929">
        <v>-3.0538020000000001</v>
      </c>
      <c r="T1929">
        <v>-0.1338152</v>
      </c>
      <c r="U1929">
        <v>0.30291750000000001</v>
      </c>
      <c r="V1929">
        <v>-8.0028650000000007E-2</v>
      </c>
      <c r="W1929">
        <v>8.3052539999999994E-2</v>
      </c>
      <c r="X1929">
        <v>0.99332659999999995</v>
      </c>
      <c r="Y1929">
        <v>0.1030821</v>
      </c>
      <c r="Z1929">
        <v>3.0533729999999999E-3</v>
      </c>
      <c r="AA1929">
        <v>0.9946682</v>
      </c>
      <c r="AB1929">
        <v>48</v>
      </c>
      <c r="AC1929">
        <v>-25.062799999999999</v>
      </c>
      <c r="AD1929">
        <v>-1.1089000376539999</v>
      </c>
      <c r="AE1929">
        <v>2.5111999999999699</v>
      </c>
      <c r="AF1929">
        <v>2.61950793936832</v>
      </c>
      <c r="AG1929">
        <v>-1.1089000376539999</v>
      </c>
      <c r="AH1929">
        <v>25.002721056088799</v>
      </c>
      <c r="AI1929">
        <v>92.525665266746401</v>
      </c>
      <c r="AJ1929">
        <v>84.019003219001704</v>
      </c>
      <c r="AK1929">
        <v>25.164012822809202</v>
      </c>
      <c r="AL1929">
        <v>85.235952494259905</v>
      </c>
      <c r="AM1929">
        <v>94.606160133199197</v>
      </c>
      <c r="AN1929">
        <v>1.0000000217444101</v>
      </c>
    </row>
    <row r="1930" spans="1:40" x14ac:dyDescent="0.25">
      <c r="A1930" t="str">
        <f>"20190305135829195"</f>
        <v>20190305135829195</v>
      </c>
      <c r="B1930" t="str">
        <f>"1551765509190825"</f>
        <v>1551765509190825</v>
      </c>
      <c r="C1930" t="s">
        <v>40</v>
      </c>
      <c r="D1930">
        <v>3.8301720000000001</v>
      </c>
      <c r="E1930">
        <v>0.56816690000000003</v>
      </c>
      <c r="F1930" t="s">
        <v>59</v>
      </c>
      <c r="G1930">
        <v>-381.00170000000003</v>
      </c>
      <c r="H1930" s="1">
        <v>-1.003713E-6</v>
      </c>
      <c r="I1930">
        <v>286.31299999999999</v>
      </c>
      <c r="J1930">
        <v>-356.15620000000001</v>
      </c>
      <c r="K1930">
        <v>1.1089180000000001</v>
      </c>
      <c r="L1930">
        <v>283.81369999999998</v>
      </c>
      <c r="M1930">
        <v>-0.99990840000000003</v>
      </c>
      <c r="N1930">
        <v>-1.2800229999999999E-2</v>
      </c>
      <c r="O1930">
        <v>-4.4317430000000001E-3</v>
      </c>
      <c r="P1930">
        <v>-0.99398889999999995</v>
      </c>
      <c r="Q1930">
        <v>7.0125270000000003E-2</v>
      </c>
      <c r="R1930">
        <v>-8.4075990000000003E-2</v>
      </c>
      <c r="S1930">
        <v>-3.0536500000000002</v>
      </c>
      <c r="T1930">
        <v>-0.13476529999999901</v>
      </c>
      <c r="U1930">
        <v>0.30358889999999999</v>
      </c>
      <c r="V1930">
        <v>-7.9610929999999996E-2</v>
      </c>
      <c r="W1930">
        <v>8.2903790000000005E-2</v>
      </c>
      <c r="X1930">
        <v>0.99337260000000005</v>
      </c>
      <c r="Y1930">
        <v>0.1032093</v>
      </c>
      <c r="Z1930">
        <v>3.0718109999999998E-3</v>
      </c>
      <c r="AA1930">
        <v>0.99465490000000001</v>
      </c>
      <c r="AB1930">
        <v>48</v>
      </c>
      <c r="AC1930">
        <v>-24.845500000000001</v>
      </c>
      <c r="AD1930">
        <v>-1.1089190037129999</v>
      </c>
      <c r="AE1930">
        <v>2.4992999999999999</v>
      </c>
      <c r="AF1930">
        <v>2.6042574407867498</v>
      </c>
      <c r="AG1930">
        <v>-1.1089190037129999</v>
      </c>
      <c r="AH1930">
        <v>24.785299422276701</v>
      </c>
      <c r="AI1930">
        <v>92.547755153916299</v>
      </c>
      <c r="AJ1930">
        <v>84.001789136140104</v>
      </c>
      <c r="AK1930">
        <v>24.9464010555951</v>
      </c>
      <c r="AL1930">
        <v>85.2445047765748</v>
      </c>
      <c r="AM1930">
        <v>94.582009045743305</v>
      </c>
      <c r="AN1930">
        <v>1.0000000305012899</v>
      </c>
    </row>
    <row r="1931" spans="1:40" x14ac:dyDescent="0.25">
      <c r="A1931" t="str">
        <f>"20190305135829208"</f>
        <v>20190305135829208</v>
      </c>
      <c r="B1931" t="str">
        <f>"1551765509200585"</f>
        <v>1551765509200585</v>
      </c>
      <c r="C1931" t="s">
        <v>40</v>
      </c>
      <c r="D1931">
        <v>3.8295620000000001</v>
      </c>
      <c r="E1931">
        <v>0.56824969999999997</v>
      </c>
      <c r="F1931" t="s">
        <v>59</v>
      </c>
      <c r="G1931">
        <v>-381.56420000000003</v>
      </c>
      <c r="H1931" s="1">
        <v>-7.0440240000000001E-7</v>
      </c>
      <c r="I1931">
        <v>286.35849999999999</v>
      </c>
      <c r="J1931">
        <v>-356.43150000000003</v>
      </c>
      <c r="K1931">
        <v>1.1089329999999999</v>
      </c>
      <c r="L1931">
        <v>283.81259999999997</v>
      </c>
      <c r="M1931">
        <v>-0.99990860000000004</v>
      </c>
      <c r="N1931">
        <v>-1.2804899999999999E-2</v>
      </c>
      <c r="O1931">
        <v>-4.3532329999999998E-3</v>
      </c>
      <c r="P1931">
        <v>-0.99401019999999896</v>
      </c>
      <c r="Q1931">
        <v>6.9946359999999999E-2</v>
      </c>
      <c r="R1931">
        <v>-8.3972740000000004E-2</v>
      </c>
      <c r="S1931">
        <v>-3.0534059999999998</v>
      </c>
      <c r="T1931">
        <v>-0.13326440000000001</v>
      </c>
      <c r="U1931">
        <v>0.3058167</v>
      </c>
      <c r="V1931">
        <v>-7.9589370000000006E-2</v>
      </c>
      <c r="W1931">
        <v>8.2726560000000005E-2</v>
      </c>
      <c r="X1931">
        <v>0.99338910000000002</v>
      </c>
      <c r="Y1931">
        <v>0.1038594</v>
      </c>
      <c r="Z1931">
        <v>3.0606269999999998E-3</v>
      </c>
      <c r="AA1931">
        <v>0.99458729999999995</v>
      </c>
      <c r="AB1931">
        <v>48</v>
      </c>
      <c r="AC1931">
        <v>-25.1327</v>
      </c>
      <c r="AD1931">
        <v>-1.1089337044023999</v>
      </c>
      <c r="AE1931">
        <v>2.5459000000000098</v>
      </c>
      <c r="AF1931">
        <v>2.6501862219355199</v>
      </c>
      <c r="AG1931">
        <v>-1.1089337044023999</v>
      </c>
      <c r="AH1931">
        <v>25.073060290310501</v>
      </c>
      <c r="AI1931">
        <v>92.518421967269205</v>
      </c>
      <c r="AJ1931">
        <v>83.966322176827504</v>
      </c>
      <c r="AK1931">
        <v>25.2371070706062</v>
      </c>
      <c r="AL1931">
        <v>85.254694296125194</v>
      </c>
      <c r="AM1931">
        <v>94.580697679185306</v>
      </c>
      <c r="AN1931">
        <v>1.00000002777261</v>
      </c>
    </row>
    <row r="1932" spans="1:40" x14ac:dyDescent="0.25">
      <c r="A1932" t="str">
        <f>"20190305135829223"</f>
        <v>20190305135829223</v>
      </c>
      <c r="B1932" t="str">
        <f>"1551765509210344"</f>
        <v>1551765509210344</v>
      </c>
      <c r="C1932" t="s">
        <v>40</v>
      </c>
      <c r="D1932">
        <v>3.7839670000000001</v>
      </c>
      <c r="E1932">
        <v>0.56827280000000002</v>
      </c>
      <c r="F1932" t="s">
        <v>59</v>
      </c>
      <c r="G1932">
        <v>-381.96589999999998</v>
      </c>
      <c r="H1932" s="1">
        <v>-4.9065529999999997E-7</v>
      </c>
      <c r="I1932">
        <v>286.37650000000002</v>
      </c>
      <c r="J1932">
        <v>-356.73869999999999</v>
      </c>
      <c r="K1932">
        <v>1.108946</v>
      </c>
      <c r="L1932">
        <v>283.81130000000002</v>
      </c>
      <c r="M1932">
        <v>-0.99990889999999999</v>
      </c>
      <c r="N1932">
        <v>-1.2809859999999999E-2</v>
      </c>
      <c r="O1932">
        <v>-4.2746429999999998E-3</v>
      </c>
      <c r="P1932">
        <v>-0.99412089999999997</v>
      </c>
      <c r="Q1932">
        <v>6.9422380000000006E-2</v>
      </c>
      <c r="R1932">
        <v>-8.309366E-2</v>
      </c>
      <c r="S1932">
        <v>-3.0533139999999999</v>
      </c>
      <c r="T1932">
        <v>-0.13260229999999901</v>
      </c>
      <c r="U1932">
        <v>0.30657960000000001</v>
      </c>
      <c r="V1932">
        <v>-7.8792230000000005E-2</v>
      </c>
      <c r="W1932">
        <v>8.2204299999999994E-2</v>
      </c>
      <c r="X1932">
        <v>0.99349589999999999</v>
      </c>
      <c r="Y1932">
        <v>0.1040311</v>
      </c>
      <c r="Z1932">
        <v>3.051177E-3</v>
      </c>
      <c r="AA1932">
        <v>0.99456940000000005</v>
      </c>
      <c r="AB1932">
        <v>48</v>
      </c>
      <c r="AC1932">
        <v>-25.2271999999999</v>
      </c>
      <c r="AD1932">
        <v>-1.1089464906552999</v>
      </c>
      <c r="AE1932">
        <v>2.5651999999999999</v>
      </c>
      <c r="AF1932">
        <v>2.66792010822597</v>
      </c>
      <c r="AG1932">
        <v>-1.1089464906552999</v>
      </c>
      <c r="AH1932">
        <v>25.167868137375201</v>
      </c>
      <c r="AI1932">
        <v>92.508895678035799</v>
      </c>
      <c r="AJ1932">
        <v>83.948958122209902</v>
      </c>
      <c r="AK1932">
        <v>25.333162980633102</v>
      </c>
      <c r="AL1932">
        <v>85.284719410292297</v>
      </c>
      <c r="AM1932">
        <v>94.534525833334797</v>
      </c>
      <c r="AN1932">
        <v>0.99999993288183397</v>
      </c>
    </row>
    <row r="1933" spans="1:40" x14ac:dyDescent="0.25">
      <c r="A1933" t="str">
        <f>"20190305135829237"</f>
        <v>20190305135829237</v>
      </c>
      <c r="B1933" t="str">
        <f>"1551765509230840"</f>
        <v>1551765509230840</v>
      </c>
      <c r="C1933" t="s">
        <v>40</v>
      </c>
      <c r="D1933">
        <v>3.8211469999999998</v>
      </c>
      <c r="E1933">
        <v>0.56826409999999905</v>
      </c>
      <c r="F1933" t="s">
        <v>59</v>
      </c>
      <c r="G1933">
        <v>-382.1463</v>
      </c>
      <c r="H1933" s="1">
        <v>-3.9464500000000002E-7</v>
      </c>
      <c r="I1933">
        <v>286.38690000000003</v>
      </c>
      <c r="J1933">
        <v>-357.0634</v>
      </c>
      <c r="K1933">
        <v>1.108967</v>
      </c>
      <c r="L1933">
        <v>283.81</v>
      </c>
      <c r="M1933">
        <v>-0.99990919999999905</v>
      </c>
      <c r="N1933">
        <v>-1.281475E-2</v>
      </c>
      <c r="O1933">
        <v>-4.2035850000000001E-3</v>
      </c>
      <c r="P1933">
        <v>-0.99416749999999998</v>
      </c>
      <c r="Q1933">
        <v>6.9086019999999998E-2</v>
      </c>
      <c r="R1933">
        <v>-8.2814970000000002E-2</v>
      </c>
      <c r="S1933">
        <v>-3.0529169999999999</v>
      </c>
      <c r="T1933">
        <v>-0.1332487</v>
      </c>
      <c r="U1933">
        <v>0.3094788</v>
      </c>
      <c r="V1933">
        <v>-7.8588320000000003E-2</v>
      </c>
      <c r="W1933">
        <v>8.1869259999999999E-2</v>
      </c>
      <c r="X1933">
        <v>0.99353979999999997</v>
      </c>
      <c r="Y1933">
        <v>0.1049061</v>
      </c>
      <c r="Z1933">
        <v>3.0859960000000001E-3</v>
      </c>
      <c r="AA1933">
        <v>0.99447730000000001</v>
      </c>
      <c r="AB1933">
        <v>48</v>
      </c>
      <c r="AC1933">
        <v>-25.082899999999899</v>
      </c>
      <c r="AD1933">
        <v>-1.108967394645</v>
      </c>
      <c r="AE1933">
        <v>2.5769000000000202</v>
      </c>
      <c r="AF1933">
        <v>2.6771455896891401</v>
      </c>
      <c r="AG1933">
        <v>-1.108967394645</v>
      </c>
      <c r="AH1933">
        <v>25.0234425732672</v>
      </c>
      <c r="AI1933">
        <v>92.523144704475897</v>
      </c>
      <c r="AJ1933">
        <v>83.893409990044603</v>
      </c>
      <c r="AK1933">
        <v>25.190664846493799</v>
      </c>
      <c r="AL1933">
        <v>85.303981109482905</v>
      </c>
      <c r="AM1933">
        <v>94.522640464683505</v>
      </c>
      <c r="AN1933">
        <v>1.0000000169787</v>
      </c>
    </row>
    <row r="1934" spans="1:40" x14ac:dyDescent="0.25">
      <c r="A1934" t="str">
        <f>"20190305135829258"</f>
        <v>20190305135829258</v>
      </c>
      <c r="B1934" t="str">
        <f>"1551765509250360"</f>
        <v>1551765509250360</v>
      </c>
      <c r="C1934" t="s">
        <v>40</v>
      </c>
      <c r="D1934">
        <v>3.7686120000000001</v>
      </c>
      <c r="E1934">
        <v>0.55379659999999997</v>
      </c>
      <c r="F1934" t="s">
        <v>59</v>
      </c>
      <c r="G1934">
        <v>-382.37639999999999</v>
      </c>
      <c r="H1934" s="1">
        <v>-2.7218110000000001E-7</v>
      </c>
      <c r="I1934">
        <v>286.38080000000002</v>
      </c>
      <c r="J1934">
        <v>-357.47539999999998</v>
      </c>
      <c r="K1934">
        <v>1.108992</v>
      </c>
      <c r="L1934">
        <v>283.80840000000001</v>
      </c>
      <c r="M1934">
        <v>-0.9999093</v>
      </c>
      <c r="N1934">
        <v>-1.2820359999999999E-2</v>
      </c>
      <c r="O1934">
        <v>-4.1306789999999999E-3</v>
      </c>
      <c r="P1934">
        <v>-0.99422069999999996</v>
      </c>
      <c r="Q1934">
        <v>6.9198369999999995E-2</v>
      </c>
      <c r="R1934">
        <v>-8.2079819999999998E-2</v>
      </c>
      <c r="S1934">
        <v>-3.0527340000000001</v>
      </c>
      <c r="T1934">
        <v>-0.1337409</v>
      </c>
      <c r="U1934">
        <v>0.31002809999999997</v>
      </c>
      <c r="V1934">
        <v>-7.7930490000000005E-2</v>
      </c>
      <c r="W1934">
        <v>8.1982840000000001E-2</v>
      </c>
      <c r="X1934">
        <v>0.99358219999999997</v>
      </c>
      <c r="Y1934">
        <v>0.1050157</v>
      </c>
      <c r="Z1934">
        <v>3.0963470000000002E-3</v>
      </c>
      <c r="AA1934">
        <v>0.99446579999999996</v>
      </c>
      <c r="AB1934">
        <v>48</v>
      </c>
      <c r="AC1934">
        <v>-24.901</v>
      </c>
      <c r="AD1934">
        <v>-1.1089922721811001</v>
      </c>
      <c r="AE1934">
        <v>2.5724000000000098</v>
      </c>
      <c r="AF1934">
        <v>2.67000461325875</v>
      </c>
      <c r="AG1934">
        <v>-1.1089922721811001</v>
      </c>
      <c r="AH1934">
        <v>24.841409227099199</v>
      </c>
      <c r="AI1934">
        <v>92.541533028743402</v>
      </c>
      <c r="AJ1934">
        <v>83.865285595577902</v>
      </c>
      <c r="AK1934">
        <v>25.009086366414699</v>
      </c>
      <c r="AL1934">
        <v>85.297451273045596</v>
      </c>
      <c r="AM1934">
        <v>94.484747820616406</v>
      </c>
      <c r="AN1934">
        <v>0.99999996774147204</v>
      </c>
    </row>
    <row r="1935" spans="1:40" x14ac:dyDescent="0.25">
      <c r="A1935" t="str">
        <f>"20190305135829272"</f>
        <v>20190305135829272</v>
      </c>
      <c r="B1935" t="str">
        <f>"1551765509270856"</f>
        <v>1551765509270856</v>
      </c>
      <c r="C1935" t="s">
        <v>40</v>
      </c>
      <c r="D1935">
        <v>3.8031769999999998</v>
      </c>
      <c r="E1935">
        <v>0.55053189999999996</v>
      </c>
      <c r="F1935" t="s">
        <v>61</v>
      </c>
      <c r="G1935">
        <v>-408.3596</v>
      </c>
      <c r="H1935" s="1">
        <v>4.1901049999999901E-6</v>
      </c>
      <c r="I1935">
        <v>287.06020000000001</v>
      </c>
      <c r="J1935">
        <v>-357.79689999999999</v>
      </c>
      <c r="K1935">
        <v>1.109011</v>
      </c>
      <c r="L1935">
        <v>283.80709999999999</v>
      </c>
      <c r="M1935">
        <v>-0.99990950000000001</v>
      </c>
      <c r="N1935">
        <v>-1.2824159999999999E-2</v>
      </c>
      <c r="O1935">
        <v>-4.0833930000000003E-3</v>
      </c>
      <c r="P1935">
        <v>-0.99425209999999997</v>
      </c>
      <c r="Q1935">
        <v>6.9022860000000005E-2</v>
      </c>
      <c r="R1935">
        <v>-8.1845710000000002E-2</v>
      </c>
      <c r="S1935">
        <v>-3.0380549999999999</v>
      </c>
      <c r="T1935">
        <v>-6.6212300000000002E-2</v>
      </c>
      <c r="U1935">
        <v>0.19415279999999999</v>
      </c>
      <c r="V1935">
        <v>-7.7746819999999994E-2</v>
      </c>
      <c r="W1935">
        <v>8.1808430000000001E-2</v>
      </c>
      <c r="X1935">
        <v>0.99361100000000002</v>
      </c>
      <c r="Y1935">
        <v>6.7826049999999999E-2</v>
      </c>
      <c r="Z1935">
        <v>1.2103039999999999E-3</v>
      </c>
      <c r="AA1935">
        <v>0.99769640000000004</v>
      </c>
      <c r="AB1935">
        <v>48</v>
      </c>
      <c r="AC1935">
        <v>-50.5627</v>
      </c>
      <c r="AD1935">
        <v>-1.1090068098949999</v>
      </c>
      <c r="AE1935">
        <v>3.2531000000000101</v>
      </c>
      <c r="AF1935">
        <v>3.45790058120541</v>
      </c>
      <c r="AG1935">
        <v>-1.1090068098949999</v>
      </c>
      <c r="AH1935">
        <v>50.524787865096599</v>
      </c>
      <c r="AI1935">
        <v>91.254492874138094</v>
      </c>
      <c r="AJ1935">
        <v>86.084800184115196</v>
      </c>
      <c r="AK1935">
        <v>50.655119794023904</v>
      </c>
      <c r="AL1935">
        <v>85.307478077798294</v>
      </c>
      <c r="AM1935">
        <v>94.474091778666903</v>
      </c>
      <c r="AN1935">
        <v>1.00000000328008</v>
      </c>
    </row>
    <row r="1936" spans="1:40" x14ac:dyDescent="0.25">
      <c r="A1936" t="str">
        <f>"20190305135829290"</f>
        <v>20190305135829290</v>
      </c>
      <c r="B1936" t="str">
        <f>"1551765509280620"</f>
        <v>1551765509280620</v>
      </c>
      <c r="C1936" t="s">
        <v>40</v>
      </c>
      <c r="D1936">
        <v>3.7167289999999999</v>
      </c>
      <c r="E1936">
        <v>0.55068700000000004</v>
      </c>
      <c r="F1936" t="s">
        <v>61</v>
      </c>
      <c r="G1936">
        <v>-409.71019999999999</v>
      </c>
      <c r="H1936" s="1">
        <v>3.6670460000000002E-6</v>
      </c>
      <c r="I1936">
        <v>286.69310000000002</v>
      </c>
      <c r="J1936">
        <v>-358.17250000000001</v>
      </c>
      <c r="K1936">
        <v>1.1090359999999999</v>
      </c>
      <c r="L1936">
        <v>283.80560000000003</v>
      </c>
      <c r="M1936">
        <v>-0.99990959999999995</v>
      </c>
      <c r="N1936">
        <v>-1.2828320000000001E-2</v>
      </c>
      <c r="O1936">
        <v>-4.0338529999999996E-3</v>
      </c>
      <c r="P1936">
        <v>-0.99427779999999999</v>
      </c>
      <c r="Q1936">
        <v>6.9021680000000002E-2</v>
      </c>
      <c r="R1936">
        <v>-8.1534529999999994E-2</v>
      </c>
      <c r="S1936">
        <v>-3.0357059999999998</v>
      </c>
      <c r="T1936">
        <v>-6.4850809999999995E-2</v>
      </c>
      <c r="U1936">
        <v>0.1687622</v>
      </c>
      <c r="V1936">
        <v>-7.7488130000000002E-2</v>
      </c>
      <c r="W1936">
        <v>8.1807459999999999E-2</v>
      </c>
      <c r="X1936">
        <v>0.9936313</v>
      </c>
      <c r="Y1936">
        <v>5.9512389999999998E-2</v>
      </c>
      <c r="Z1936">
        <v>1.0516049999999999E-3</v>
      </c>
      <c r="AA1936">
        <v>0.99822699999999998</v>
      </c>
      <c r="AB1936">
        <v>48</v>
      </c>
      <c r="AC1936">
        <v>-51.537699999999901</v>
      </c>
      <c r="AD1936">
        <v>-1.1090323329539999</v>
      </c>
      <c r="AE1936">
        <v>2.8874999999999802</v>
      </c>
      <c r="AF1936">
        <v>3.0939609027930799</v>
      </c>
      <c r="AG1936">
        <v>-1.1090323329539999</v>
      </c>
      <c r="AH1936">
        <v>51.501858027419701</v>
      </c>
      <c r="AI1936">
        <v>91.231387671667903</v>
      </c>
      <c r="AJ1936">
        <v>86.562102540023702</v>
      </c>
      <c r="AK1936">
        <v>51.6066267746696</v>
      </c>
      <c r="AL1936">
        <v>85.307533899422793</v>
      </c>
      <c r="AM1936">
        <v>94.459174367314802</v>
      </c>
      <c r="AN1936">
        <v>1.00000001557111</v>
      </c>
    </row>
    <row r="1937" spans="1:40" x14ac:dyDescent="0.25">
      <c r="A1937" t="str">
        <f>"20190305135829304"</f>
        <v>20190305135829304</v>
      </c>
      <c r="B1937" t="str">
        <f>"1551765509301112"</f>
        <v>1551765509301112</v>
      </c>
      <c r="C1937" t="s">
        <v>40</v>
      </c>
      <c r="D1937">
        <v>3.7182810000000002</v>
      </c>
      <c r="E1937">
        <v>0.55157769999999995</v>
      </c>
      <c r="F1937" t="s">
        <v>61</v>
      </c>
      <c r="G1937">
        <v>-422.79239999999999</v>
      </c>
      <c r="H1937" s="1">
        <v>3.222645E-6</v>
      </c>
      <c r="I1937">
        <v>287.43729999999999</v>
      </c>
      <c r="J1937">
        <v>-358.4658</v>
      </c>
      <c r="K1937">
        <v>1.109048</v>
      </c>
      <c r="L1937">
        <v>283.80450000000002</v>
      </c>
      <c r="M1937">
        <v>-0.99990979999999996</v>
      </c>
      <c r="N1937">
        <v>-1.283132E-2</v>
      </c>
      <c r="O1937">
        <v>-3.9984089999999996E-3</v>
      </c>
      <c r="P1937">
        <v>-0.99428269999999996</v>
      </c>
      <c r="Q1937">
        <v>6.9120399999999999E-2</v>
      </c>
      <c r="R1937">
        <v>-8.1391400000000003E-2</v>
      </c>
      <c r="S1937">
        <v>-3.0348510000000002</v>
      </c>
      <c r="T1937">
        <v>-5.2085279999999998E-2</v>
      </c>
      <c r="U1937">
        <v>0.17056270000000001</v>
      </c>
      <c r="V1937">
        <v>-7.7382790000000007E-2</v>
      </c>
      <c r="W1937">
        <v>8.1907270000000004E-2</v>
      </c>
      <c r="X1937">
        <v>0.99363120000000005</v>
      </c>
      <c r="Y1937">
        <v>6.0089330000000003E-2</v>
      </c>
      <c r="Z1937">
        <v>9.183765E-4</v>
      </c>
      <c r="AA1937">
        <v>0.99819259999999999</v>
      </c>
      <c r="AB1937">
        <v>48</v>
      </c>
      <c r="AC1937">
        <v>-64.3265999999999</v>
      </c>
      <c r="AD1937">
        <v>-1.1090447773549901</v>
      </c>
      <c r="AE1937">
        <v>3.6327999999999698</v>
      </c>
      <c r="AF1937">
        <v>3.8888438867510202</v>
      </c>
      <c r="AG1937">
        <v>-1.1090447773549901</v>
      </c>
      <c r="AH1937">
        <v>64.292509119584807</v>
      </c>
      <c r="AI1937">
        <v>90.9864507548007</v>
      </c>
      <c r="AJ1937">
        <v>86.538582689702295</v>
      </c>
      <c r="AK1937">
        <v>64.4195608180124</v>
      </c>
      <c r="AL1937">
        <v>85.301795545476807</v>
      </c>
      <c r="AM1937">
        <v>94.453137259629401</v>
      </c>
      <c r="AN1937">
        <v>0.99999992934023596</v>
      </c>
    </row>
    <row r="1938" spans="1:40" x14ac:dyDescent="0.25">
      <c r="A1938" t="str">
        <f>"20190305135829315"</f>
        <v>20190305135829315</v>
      </c>
      <c r="B1938" t="str">
        <f>"1551765509310872"</f>
        <v>1551765509310872</v>
      </c>
      <c r="C1938" t="s">
        <v>40</v>
      </c>
      <c r="D1938">
        <v>3.6822550000000001</v>
      </c>
      <c r="E1938">
        <v>0.55178179999999999</v>
      </c>
      <c r="F1938" t="s">
        <v>59</v>
      </c>
      <c r="G1938">
        <v>-449.18950000000001</v>
      </c>
      <c r="H1938" s="1">
        <v>3.1572329999999999E-6</v>
      </c>
      <c r="I1938">
        <v>289.10489999999999</v>
      </c>
      <c r="J1938">
        <v>-358.733</v>
      </c>
      <c r="K1938">
        <v>1.1090580000000001</v>
      </c>
      <c r="L1938">
        <v>283.80349999999999</v>
      </c>
      <c r="M1938">
        <v>-0.99990990000000002</v>
      </c>
      <c r="N1938">
        <v>-1.2833850000000001E-2</v>
      </c>
      <c r="O1938">
        <v>-3.9680540000000004E-3</v>
      </c>
      <c r="P1938">
        <v>-0.99430030000000003</v>
      </c>
      <c r="Q1938">
        <v>6.903289E-2</v>
      </c>
      <c r="R1938">
        <v>-8.1251160000000003E-2</v>
      </c>
      <c r="S1938">
        <v>-3.0343019999999998</v>
      </c>
      <c r="T1938">
        <v>-3.7092569999999998E-2</v>
      </c>
      <c r="U1938">
        <v>0.17727660000000001</v>
      </c>
      <c r="V1938">
        <v>-7.7274839999999997E-2</v>
      </c>
      <c r="W1938">
        <v>8.1820290000000004E-2</v>
      </c>
      <c r="X1938">
        <v>0.9936469</v>
      </c>
      <c r="Y1938">
        <v>6.2276369999999998E-2</v>
      </c>
      <c r="Z1938">
        <v>7.7790059999999998E-4</v>
      </c>
      <c r="AA1938">
        <v>0.99805860000000002</v>
      </c>
      <c r="AB1938">
        <v>48</v>
      </c>
      <c r="AC1938">
        <v>-90.456500000000005</v>
      </c>
      <c r="AD1938">
        <v>-1.1090548427669999</v>
      </c>
      <c r="AE1938">
        <v>5.3014000000000001</v>
      </c>
      <c r="AF1938">
        <v>5.6594762103439198</v>
      </c>
      <c r="AG1938">
        <v>-1.1090548427669999</v>
      </c>
      <c r="AH1938">
        <v>90.421203877360995</v>
      </c>
      <c r="AI1938">
        <v>90.701349771414996</v>
      </c>
      <c r="AJ1938">
        <v>86.418520855293806</v>
      </c>
      <c r="AK1938">
        <v>90.604932449900303</v>
      </c>
      <c r="AL1938">
        <v>85.306796537119695</v>
      </c>
      <c r="AM1938">
        <v>94.446880028526607</v>
      </c>
      <c r="AN1938">
        <v>1.0000000613161499</v>
      </c>
    </row>
    <row r="1939" spans="1:40" x14ac:dyDescent="0.25">
      <c r="A1939" t="str">
        <f>"20190305135829328"</f>
        <v>20190305135829328</v>
      </c>
      <c r="B1939" t="str">
        <f>"1551765509320633"</f>
        <v>1551765509320633</v>
      </c>
      <c r="C1939" t="s">
        <v>40</v>
      </c>
      <c r="D1939">
        <v>3.6898409999999999</v>
      </c>
      <c r="E1939">
        <v>0.55191519999999905</v>
      </c>
      <c r="F1939" t="s">
        <v>59</v>
      </c>
      <c r="G1939">
        <v>-457.15379999999999</v>
      </c>
      <c r="H1939">
        <v>4.3289910000000001E-2</v>
      </c>
      <c r="I1939">
        <v>289.61630000000002</v>
      </c>
      <c r="J1939">
        <v>-359.00319999999999</v>
      </c>
      <c r="K1939">
        <v>1.109059</v>
      </c>
      <c r="L1939">
        <v>283.80239999999998</v>
      </c>
      <c r="M1939">
        <v>-0.99990990000000002</v>
      </c>
      <c r="N1939">
        <v>-1.2836E-2</v>
      </c>
      <c r="O1939">
        <v>-3.9382749999999998E-3</v>
      </c>
      <c r="P1939">
        <v>-0.99433139999999998</v>
      </c>
      <c r="Q1939">
        <v>6.8844299999999997E-2</v>
      </c>
      <c r="R1939">
        <v>-8.1028059999999999E-2</v>
      </c>
      <c r="S1939">
        <v>-3.034119</v>
      </c>
      <c r="T1939">
        <v>-3.2855509999999997E-2</v>
      </c>
      <c r="U1939">
        <v>0.1791992</v>
      </c>
      <c r="V1939">
        <v>-7.7082719999999993E-2</v>
      </c>
      <c r="W1939">
        <v>8.1633049999999999E-2</v>
      </c>
      <c r="X1939">
        <v>0.99367709999999998</v>
      </c>
      <c r="Y1939">
        <v>6.2881880000000001E-2</v>
      </c>
      <c r="Z1939">
        <v>7.3622779999999897E-4</v>
      </c>
      <c r="AA1939">
        <v>0.99802069999999998</v>
      </c>
      <c r="AB1939">
        <v>48</v>
      </c>
      <c r="AC1939">
        <v>-98.150599999999997</v>
      </c>
      <c r="AD1939">
        <v>-1.0657690900000001</v>
      </c>
      <c r="AE1939">
        <v>5.8139000000000403</v>
      </c>
      <c r="AF1939">
        <v>6.1997023584528401</v>
      </c>
      <c r="AG1939">
        <v>-1.0657690900000001</v>
      </c>
      <c r="AH1939">
        <v>98.115412026053306</v>
      </c>
      <c r="AI1939">
        <v>90.621106722778507</v>
      </c>
      <c r="AJ1939">
        <v>86.384409515413395</v>
      </c>
      <c r="AK1939">
        <v>98.316866559755695</v>
      </c>
      <c r="AL1939">
        <v>85.317560036234497</v>
      </c>
      <c r="AM1939">
        <v>94.435734138668494</v>
      </c>
      <c r="AN1939">
        <v>0.99999993981965296</v>
      </c>
    </row>
    <row r="1940" spans="1:40" x14ac:dyDescent="0.25">
      <c r="A1940" t="str">
        <f>"20190305135829341"</f>
        <v>20190305135829341</v>
      </c>
      <c r="B1940" t="str">
        <f>"1551765509330393"</f>
        <v>1551765509330393</v>
      </c>
      <c r="C1940" t="s">
        <v>40</v>
      </c>
      <c r="D1940">
        <v>3.7076120000000001</v>
      </c>
      <c r="E1940">
        <v>0.55224309999999999</v>
      </c>
      <c r="F1940" t="s">
        <v>59</v>
      </c>
      <c r="G1940">
        <v>-457.09649999999999</v>
      </c>
      <c r="H1940">
        <v>7.909919E-2</v>
      </c>
      <c r="I1940">
        <v>289.6454</v>
      </c>
      <c r="J1940">
        <v>-359.2679</v>
      </c>
      <c r="K1940">
        <v>1.109065</v>
      </c>
      <c r="L1940">
        <v>283.8014</v>
      </c>
      <c r="M1940">
        <v>-0.99990999999999997</v>
      </c>
      <c r="N1940">
        <v>-1.2838E-2</v>
      </c>
      <c r="O1940">
        <v>-3.9096749999999996E-3</v>
      </c>
      <c r="P1940">
        <v>-0.9943497</v>
      </c>
      <c r="Q1940">
        <v>6.872346E-2</v>
      </c>
      <c r="R1940">
        <v>-8.0908569999999999E-2</v>
      </c>
      <c r="S1940">
        <v>-3.034027</v>
      </c>
      <c r="T1940">
        <v>-3.1856660000000002E-2</v>
      </c>
      <c r="U1940">
        <v>0.1807251</v>
      </c>
      <c r="V1940">
        <v>-7.6992969999999994E-2</v>
      </c>
      <c r="W1940">
        <v>8.1512349999999997E-2</v>
      </c>
      <c r="X1940">
        <v>0.99369399999999997</v>
      </c>
      <c r="Y1940">
        <v>6.3355560000000005E-2</v>
      </c>
      <c r="Z1940">
        <v>7.3025289999999903E-4</v>
      </c>
      <c r="AA1940">
        <v>0.99799070000000001</v>
      </c>
      <c r="AB1940">
        <v>48</v>
      </c>
      <c r="AC1940">
        <v>-97.828599999999994</v>
      </c>
      <c r="AD1940">
        <v>-1.02996581</v>
      </c>
      <c r="AE1940">
        <v>5.8439999999999896</v>
      </c>
      <c r="AF1940">
        <v>6.2257772229697297</v>
      </c>
      <c r="AG1940">
        <v>-1.02996581</v>
      </c>
      <c r="AH1940">
        <v>97.794200770012296</v>
      </c>
      <c r="AI1940">
        <v>90.602196267751793</v>
      </c>
      <c r="AJ1940">
        <v>86.357350171552596</v>
      </c>
      <c r="AK1940">
        <v>97.997585867435006</v>
      </c>
      <c r="AL1940">
        <v>85.324498917388297</v>
      </c>
      <c r="AM1940">
        <v>94.430514988329307</v>
      </c>
      <c r="AN1940">
        <v>0.99999997313397104</v>
      </c>
    </row>
    <row r="1941" spans="1:40" x14ac:dyDescent="0.25">
      <c r="A1941" t="str">
        <f>"20190305135829357"</f>
        <v>20190305135829357</v>
      </c>
      <c r="B1941" t="str">
        <f>"1551765509350888"</f>
        <v>1551765509350888</v>
      </c>
      <c r="C1941" t="s">
        <v>40</v>
      </c>
      <c r="D1941">
        <v>3.68946</v>
      </c>
      <c r="E1941">
        <v>0.55282209999999998</v>
      </c>
      <c r="F1941" t="s">
        <v>59</v>
      </c>
      <c r="G1941">
        <v>-462.34820000000002</v>
      </c>
      <c r="H1941">
        <v>8.0000470000000004E-2</v>
      </c>
      <c r="I1941">
        <v>290.0378</v>
      </c>
      <c r="J1941">
        <v>-359.62150000000003</v>
      </c>
      <c r="K1941">
        <v>1.1090719999999901</v>
      </c>
      <c r="L1941">
        <v>283.8</v>
      </c>
      <c r="M1941">
        <v>-0.99991010000000002</v>
      </c>
      <c r="N1941">
        <v>-1.2840519999999999E-2</v>
      </c>
      <c r="O1941">
        <v>-3.8716789999999998E-3</v>
      </c>
      <c r="P1941">
        <v>-0.99439849999999996</v>
      </c>
      <c r="Q1941">
        <v>6.7983810000000006E-2</v>
      </c>
      <c r="R1941">
        <v>-8.0930840000000004E-2</v>
      </c>
      <c r="S1941">
        <v>-3.0340579999999999</v>
      </c>
      <c r="T1941">
        <v>-3.0289409999999999E-2</v>
      </c>
      <c r="U1941">
        <v>0.18356320000000001</v>
      </c>
      <c r="V1941">
        <v>-7.7055429999999994E-2</v>
      </c>
      <c r="W1941">
        <v>8.0774739999999998E-2</v>
      </c>
      <c r="X1941">
        <v>0.9937494</v>
      </c>
      <c r="Y1941">
        <v>6.4247650000000003E-2</v>
      </c>
      <c r="Z1941">
        <v>7.2224569999999996E-4</v>
      </c>
      <c r="AA1941">
        <v>0.99793370000000003</v>
      </c>
      <c r="AB1941">
        <v>48</v>
      </c>
      <c r="AC1941">
        <v>-102.72669999999999</v>
      </c>
      <c r="AD1941">
        <v>-1.02907152999999</v>
      </c>
      <c r="AE1941">
        <v>6.2377999999999902</v>
      </c>
      <c r="AF1941">
        <v>6.6348474524235703</v>
      </c>
      <c r="AG1941">
        <v>-1.02907152999999</v>
      </c>
      <c r="AH1941">
        <v>102.691509786278</v>
      </c>
      <c r="AI1941">
        <v>90.572947211833807</v>
      </c>
      <c r="AJ1941">
        <v>86.303286263363702</v>
      </c>
      <c r="AK1941">
        <v>102.910768975439</v>
      </c>
      <c r="AL1941">
        <v>85.366900732674196</v>
      </c>
      <c r="AM1941">
        <v>94.433848675969301</v>
      </c>
      <c r="AN1941">
        <v>0.99999998395745604</v>
      </c>
    </row>
    <row r="1942" spans="1:40" x14ac:dyDescent="0.25">
      <c r="A1942" t="str">
        <f>"20190305135829371"</f>
        <v>20190305135829371</v>
      </c>
      <c r="B1942" t="str">
        <f>"1551765509360647"</f>
        <v>1551765509360647</v>
      </c>
      <c r="C1942" t="s">
        <v>40</v>
      </c>
      <c r="D1942">
        <v>3.6619030000000001</v>
      </c>
      <c r="E1942">
        <v>0.5529963</v>
      </c>
      <c r="F1942" t="s">
        <v>59</v>
      </c>
      <c r="G1942">
        <v>-468.41230000000002</v>
      </c>
      <c r="H1942">
        <v>8.0000749999999995E-2</v>
      </c>
      <c r="I1942">
        <v>290.548</v>
      </c>
      <c r="J1942">
        <v>-359.91250000000002</v>
      </c>
      <c r="K1942">
        <v>1.1090770000000001</v>
      </c>
      <c r="L1942">
        <v>283.79899999999998</v>
      </c>
      <c r="M1942">
        <v>-0.99991019999999997</v>
      </c>
      <c r="N1942">
        <v>-1.284249E-2</v>
      </c>
      <c r="O1942">
        <v>-3.8398400000000002E-3</v>
      </c>
      <c r="P1942">
        <v>-0.99442189999999997</v>
      </c>
      <c r="Q1942">
        <v>6.7634760000000002E-2</v>
      </c>
      <c r="R1942">
        <v>-8.0936770000000005E-2</v>
      </c>
      <c r="S1942">
        <v>-3.0341800000000001</v>
      </c>
      <c r="T1942">
        <v>-2.870083E-2</v>
      </c>
      <c r="U1942">
        <v>0.18820190000000001</v>
      </c>
      <c r="V1942">
        <v>-7.7093620000000002E-2</v>
      </c>
      <c r="W1942">
        <v>8.0426819999999996E-2</v>
      </c>
      <c r="X1942">
        <v>0.99377470000000001</v>
      </c>
      <c r="Y1942">
        <v>6.5733689999999997E-2</v>
      </c>
      <c r="Z1942">
        <v>7.2014490000000002E-4</v>
      </c>
      <c r="AA1942">
        <v>0.99783690000000003</v>
      </c>
      <c r="AB1942">
        <v>48</v>
      </c>
      <c r="AC1942">
        <v>-108.49979999999999</v>
      </c>
      <c r="AD1942">
        <v>-1.0290762499999999</v>
      </c>
      <c r="AE1942">
        <v>6.7489999999999597</v>
      </c>
      <c r="AF1942">
        <v>7.1649643947367601</v>
      </c>
      <c r="AG1942">
        <v>-1.0290762499999999</v>
      </c>
      <c r="AH1942">
        <v>108.46336328486299</v>
      </c>
      <c r="AI1942">
        <v>90.542411173084503</v>
      </c>
      <c r="AJ1942">
        <v>86.220598137965794</v>
      </c>
      <c r="AK1942">
        <v>108.704631399818</v>
      </c>
      <c r="AL1942">
        <v>85.386900348466199</v>
      </c>
      <c r="AM1942">
        <v>94.435924914728105</v>
      </c>
      <c r="AN1942">
        <v>1.00000002699005</v>
      </c>
    </row>
    <row r="1943" spans="1:40" x14ac:dyDescent="0.25">
      <c r="A1943" t="str">
        <f>"20190305135829389"</f>
        <v>20190305135829389</v>
      </c>
      <c r="B1943" t="str">
        <f>"1551765509381148"</f>
        <v>1551765509381148</v>
      </c>
      <c r="C1943" t="s">
        <v>40</v>
      </c>
      <c r="D1943">
        <v>3.661489</v>
      </c>
      <c r="E1943">
        <v>0.55321560000000003</v>
      </c>
      <c r="F1943" t="s">
        <v>59</v>
      </c>
      <c r="G1943">
        <v>-465.20209999999997</v>
      </c>
      <c r="H1943">
        <v>7.9999829999999994E-2</v>
      </c>
      <c r="I1943">
        <v>290.37299999999999</v>
      </c>
      <c r="J1943">
        <v>-360.31119999999999</v>
      </c>
      <c r="K1943">
        <v>1.1090869999999999</v>
      </c>
      <c r="L1943">
        <v>283.79750000000001</v>
      </c>
      <c r="M1943">
        <v>-0.99991039999999998</v>
      </c>
      <c r="N1943">
        <v>-1.284502E-2</v>
      </c>
      <c r="O1943">
        <v>-3.794904E-3</v>
      </c>
      <c r="P1943">
        <v>-0.99443859999999995</v>
      </c>
      <c r="Q1943">
        <v>6.7435289999999995E-2</v>
      </c>
      <c r="R1943">
        <v>-8.0900600000000003E-2</v>
      </c>
      <c r="S1943">
        <v>-3.0342709999999999</v>
      </c>
      <c r="T1943">
        <v>-2.9656289999999998E-2</v>
      </c>
      <c r="U1943">
        <v>0.18945310000000001</v>
      </c>
      <c r="V1943">
        <v>-7.7103870000000005E-2</v>
      </c>
      <c r="W1943">
        <v>8.0228629999999995E-2</v>
      </c>
      <c r="X1943">
        <v>0.9937899</v>
      </c>
      <c r="Y1943">
        <v>6.6096489999999994E-2</v>
      </c>
      <c r="Z1943">
        <v>7.3599910000000002E-4</v>
      </c>
      <c r="AA1943">
        <v>0.99781299999999995</v>
      </c>
      <c r="AB1943">
        <v>48</v>
      </c>
      <c r="AC1943">
        <v>-104.8909</v>
      </c>
      <c r="AD1943">
        <v>-1.0290871699999999</v>
      </c>
      <c r="AE1943">
        <v>6.5754999999999697</v>
      </c>
      <c r="AF1943">
        <v>6.9728677873410998</v>
      </c>
      <c r="AG1943">
        <v>-1.0290871699999999</v>
      </c>
      <c r="AH1943">
        <v>104.855135695153</v>
      </c>
      <c r="AI1943">
        <v>90.561064828351604</v>
      </c>
      <c r="AJ1943">
        <v>86.195431626417005</v>
      </c>
      <c r="AK1943">
        <v>105.09176650543201</v>
      </c>
      <c r="AL1943">
        <v>85.398292500222595</v>
      </c>
      <c r="AM1943">
        <v>94.436444754226201</v>
      </c>
      <c r="AN1943">
        <v>1.00000000259133</v>
      </c>
    </row>
    <row r="1944" spans="1:40" x14ac:dyDescent="0.25">
      <c r="A1944" t="str">
        <f>"20190305135829403"</f>
        <v>20190305135829403</v>
      </c>
      <c r="B1944" t="str">
        <f>"1551765509400665"</f>
        <v>1551765509400665</v>
      </c>
      <c r="C1944" t="s">
        <v>40</v>
      </c>
      <c r="D1944">
        <v>3.8861530000000002</v>
      </c>
      <c r="E1944">
        <v>0.55350330000000003</v>
      </c>
      <c r="F1944" t="s">
        <v>59</v>
      </c>
      <c r="G1944">
        <v>-469.42309999999998</v>
      </c>
      <c r="H1944">
        <v>8.0001039999999995E-2</v>
      </c>
      <c r="I1944">
        <v>290.67720000000003</v>
      </c>
      <c r="J1944">
        <v>-360.59160000000003</v>
      </c>
      <c r="K1944">
        <v>1.1090899999999999</v>
      </c>
      <c r="L1944">
        <v>283.79640000000001</v>
      </c>
      <c r="M1944">
        <v>-0.99991050000000004</v>
      </c>
      <c r="N1944">
        <v>-1.2846649999999999E-2</v>
      </c>
      <c r="O1944">
        <v>-3.7614710000000002E-3</v>
      </c>
      <c r="P1944">
        <v>-0.99446820000000002</v>
      </c>
      <c r="Q1944">
        <v>6.6938120000000004E-2</v>
      </c>
      <c r="R1944">
        <v>-8.0946389999999993E-2</v>
      </c>
      <c r="S1944">
        <v>-3.0342410000000002</v>
      </c>
      <c r="T1944">
        <v>-2.8617380000000001E-2</v>
      </c>
      <c r="U1944">
        <v>0.1913147</v>
      </c>
      <c r="V1944">
        <v>-7.7183699999999994E-2</v>
      </c>
      <c r="W1944">
        <v>7.9732869999999997E-2</v>
      </c>
      <c r="X1944">
        <v>0.99382360000000003</v>
      </c>
      <c r="Y1944">
        <v>6.6673819999999995E-2</v>
      </c>
      <c r="Z1944">
        <v>7.2999610000000004E-4</v>
      </c>
      <c r="AA1944">
        <v>0.99777450000000001</v>
      </c>
      <c r="AB1944">
        <v>48</v>
      </c>
      <c r="AC1944">
        <v>-108.831499999999</v>
      </c>
      <c r="AD1944">
        <v>-1.0290889599999999</v>
      </c>
      <c r="AE1944">
        <v>6.8808000000000202</v>
      </c>
      <c r="AF1944">
        <v>7.2895024154878003</v>
      </c>
      <c r="AG1944">
        <v>-1.0290889599999999</v>
      </c>
      <c r="AH1944">
        <v>108.79515701608101</v>
      </c>
      <c r="AI1944">
        <v>90.540729970218905</v>
      </c>
      <c r="AJ1944">
        <v>86.166792542975003</v>
      </c>
      <c r="AK1944">
        <v>109.043945543559</v>
      </c>
      <c r="AL1944">
        <v>85.426788739191096</v>
      </c>
      <c r="AM1944">
        <v>94.440869700707793</v>
      </c>
      <c r="AN1944">
        <v>1.0000000010105401</v>
      </c>
    </row>
    <row r="1945" spans="1:40" x14ac:dyDescent="0.25">
      <c r="A1945" t="str">
        <f>"20190305135829416"</f>
        <v>20190305135829416</v>
      </c>
      <c r="B1945" t="str">
        <f>"1551765509410425"</f>
        <v>1551765509410425</v>
      </c>
      <c r="C1945" t="s">
        <v>40</v>
      </c>
      <c r="D1945">
        <v>3.6413959999999999</v>
      </c>
      <c r="E1945">
        <v>0.55373809999999901</v>
      </c>
      <c r="F1945" t="s">
        <v>58</v>
      </c>
      <c r="G1945">
        <v>-472.1361</v>
      </c>
      <c r="H1945">
        <v>8.0000769999999999E-2</v>
      </c>
      <c r="I1945">
        <v>290.90339999999998</v>
      </c>
      <c r="J1945">
        <v>-360.87</v>
      </c>
      <c r="K1945">
        <v>1.109083</v>
      </c>
      <c r="L1945">
        <v>283.79539999999997</v>
      </c>
      <c r="M1945">
        <v>-0.99991070000000004</v>
      </c>
      <c r="N1945">
        <v>-1.2848139999999999E-2</v>
      </c>
      <c r="O1945">
        <v>-3.726586E-3</v>
      </c>
      <c r="P1945">
        <v>-0.99449089999999996</v>
      </c>
      <c r="Q1945">
        <v>6.6714960000000004E-2</v>
      </c>
      <c r="R1945">
        <v>-8.0852170000000001E-2</v>
      </c>
      <c r="S1945">
        <v>-3.0343019999999998</v>
      </c>
      <c r="T1945">
        <v>-2.7993919999999999E-2</v>
      </c>
      <c r="U1945">
        <v>0.1933289</v>
      </c>
      <c r="V1945">
        <v>-7.7124419999999999E-2</v>
      </c>
      <c r="W1945">
        <v>7.9510910000000004E-2</v>
      </c>
      <c r="X1945">
        <v>0.99384600000000001</v>
      </c>
      <c r="Y1945">
        <v>6.7297560000000006E-2</v>
      </c>
      <c r="Z1945">
        <v>7.2943230000000001E-4</v>
      </c>
      <c r="AA1945">
        <v>0.99773270000000003</v>
      </c>
      <c r="AB1945">
        <v>48</v>
      </c>
      <c r="AC1945">
        <v>-111.26609999999999</v>
      </c>
      <c r="AD1945">
        <v>-1.02908223</v>
      </c>
      <c r="AE1945">
        <v>7.1079999999999997</v>
      </c>
      <c r="AF1945">
        <v>7.5219866540549498</v>
      </c>
      <c r="AG1945">
        <v>-1.02908223</v>
      </c>
      <c r="AH1945">
        <v>111.229360513063</v>
      </c>
      <c r="AI1945">
        <v>90.528871456675503</v>
      </c>
      <c r="AJ1945">
        <v>86.131211295300403</v>
      </c>
      <c r="AK1945">
        <v>111.488160508661</v>
      </c>
      <c r="AL1945">
        <v>85.439546684997296</v>
      </c>
      <c r="AM1945">
        <v>94.437372957379196</v>
      </c>
      <c r="AN1945">
        <v>1.0000000163426801</v>
      </c>
    </row>
    <row r="1946" spans="1:40" x14ac:dyDescent="0.25">
      <c r="A1946" t="str">
        <f>"20190305135829428"</f>
        <v>20190305135829428</v>
      </c>
      <c r="B1946" t="str">
        <f>"1551765509420184"</f>
        <v>1551765509420184</v>
      </c>
      <c r="C1946" t="s">
        <v>40</v>
      </c>
      <c r="D1946">
        <v>3.6508150000000001</v>
      </c>
      <c r="E1946">
        <v>0.55389029999999995</v>
      </c>
      <c r="F1946" t="s">
        <v>58</v>
      </c>
      <c r="G1946">
        <v>-475.47070000000002</v>
      </c>
      <c r="H1946">
        <v>8.0001399999999903E-2</v>
      </c>
      <c r="I1946">
        <v>291.1823</v>
      </c>
      <c r="J1946">
        <v>-361.14569999999998</v>
      </c>
      <c r="K1946">
        <v>1.1090789999999999</v>
      </c>
      <c r="L1946">
        <v>283.7944</v>
      </c>
      <c r="M1946">
        <v>-0.99991070000000004</v>
      </c>
      <c r="N1946">
        <v>-1.284945E-2</v>
      </c>
      <c r="O1946">
        <v>-3.6873750000000001E-3</v>
      </c>
      <c r="P1946">
        <v>-0.99451940000000005</v>
      </c>
      <c r="Q1946">
        <v>6.6274929999999996E-2</v>
      </c>
      <c r="R1946">
        <v>-8.0865610000000004E-2</v>
      </c>
      <c r="S1946">
        <v>-3.034332</v>
      </c>
      <c r="T1946">
        <v>-2.724743E-2</v>
      </c>
      <c r="U1946">
        <v>0.19558719999999999</v>
      </c>
      <c r="V1946">
        <v>-7.7176399999999895E-2</v>
      </c>
      <c r="W1946">
        <v>7.907264E-2</v>
      </c>
      <c r="X1946">
        <v>0.99387689999999995</v>
      </c>
      <c r="Y1946">
        <v>6.7997489999999994E-2</v>
      </c>
      <c r="Z1946">
        <v>7.2807839999999998E-4</v>
      </c>
      <c r="AA1946">
        <v>0.9976853</v>
      </c>
      <c r="AB1946">
        <v>48</v>
      </c>
      <c r="AC1946">
        <v>-114.325</v>
      </c>
      <c r="AD1946">
        <v>-1.0290775999999999</v>
      </c>
      <c r="AE1946">
        <v>7.3879000000000001</v>
      </c>
      <c r="AF1946">
        <v>7.8088136243346398</v>
      </c>
      <c r="AG1946">
        <v>-1.0290775999999999</v>
      </c>
      <c r="AH1946">
        <v>114.287756895006</v>
      </c>
      <c r="AI1946">
        <v>90.514692676645296</v>
      </c>
      <c r="AJ1946">
        <v>86.091289369200197</v>
      </c>
      <c r="AK1946">
        <v>114.558840545016</v>
      </c>
      <c r="AL1946">
        <v>85.464736879979696</v>
      </c>
      <c r="AM1946">
        <v>94.440214183263905</v>
      </c>
      <c r="AN1946">
        <v>0.99999998573356896</v>
      </c>
    </row>
    <row r="1947" spans="1:40" x14ac:dyDescent="0.25">
      <c r="A1947" t="str">
        <f>"20190305135829443"</f>
        <v>20190305135829443</v>
      </c>
      <c r="B1947" t="str">
        <f>"1551765509430921"</f>
        <v>1551765509430921</v>
      </c>
      <c r="C1947" t="s">
        <v>40</v>
      </c>
      <c r="D1947">
        <v>3.645597</v>
      </c>
      <c r="E1947">
        <v>0.55401</v>
      </c>
      <c r="F1947" t="s">
        <v>58</v>
      </c>
      <c r="G1947">
        <v>-475.90030000000002</v>
      </c>
      <c r="H1947">
        <v>8.0001420000000004E-2</v>
      </c>
      <c r="I1947">
        <v>291.2362</v>
      </c>
      <c r="J1947">
        <v>-361.44510000000002</v>
      </c>
      <c r="K1947">
        <v>1.1090739999999999</v>
      </c>
      <c r="L1947">
        <v>283.79329999999999</v>
      </c>
      <c r="M1947">
        <v>-0.99991099999999999</v>
      </c>
      <c r="N1947">
        <v>-1.2850729999999999E-2</v>
      </c>
      <c r="O1947">
        <v>-3.640744E-3</v>
      </c>
      <c r="P1947">
        <v>-0.99455479999999996</v>
      </c>
      <c r="Q1947">
        <v>6.5718319999999997E-2</v>
      </c>
      <c r="R1947">
        <v>-8.088476E-2</v>
      </c>
      <c r="S1947">
        <v>-3.0343629999999999</v>
      </c>
      <c r="T1947">
        <v>-2.721107E-2</v>
      </c>
      <c r="U1947">
        <v>0.19677729999999999</v>
      </c>
      <c r="V1947">
        <v>-7.7241879999999999E-2</v>
      </c>
      <c r="W1947">
        <v>7.8517900000000002E-2</v>
      </c>
      <c r="X1947">
        <v>0.99391580000000002</v>
      </c>
      <c r="Y1947">
        <v>6.8339999999999998E-2</v>
      </c>
      <c r="Z1947">
        <v>7.3158289999999905E-4</v>
      </c>
      <c r="AA1947">
        <v>0.99766180000000004</v>
      </c>
      <c r="AB1947">
        <v>48</v>
      </c>
      <c r="AC1947">
        <v>-114.4552</v>
      </c>
      <c r="AD1947">
        <v>-1.02907257999999</v>
      </c>
      <c r="AE1947">
        <v>7.4428999999999998</v>
      </c>
      <c r="AF1947">
        <v>7.8589544390856698</v>
      </c>
      <c r="AG1947">
        <v>-1.02907257999999</v>
      </c>
      <c r="AH1947">
        <v>114.41813089514601</v>
      </c>
      <c r="AI1947">
        <v>90.514091100796804</v>
      </c>
      <c r="AJ1947">
        <v>86.070738121908803</v>
      </c>
      <c r="AK1947">
        <v>114.692331185608</v>
      </c>
      <c r="AL1947">
        <v>85.496620305911193</v>
      </c>
      <c r="AM1947">
        <v>94.443793148552501</v>
      </c>
      <c r="AN1947">
        <v>0.99999999306799203</v>
      </c>
    </row>
    <row r="1948" spans="1:40" x14ac:dyDescent="0.25">
      <c r="A1948" t="str">
        <f>"20190305135829459"</f>
        <v>20190305135829459</v>
      </c>
      <c r="B1948" t="str">
        <f>"1551765509450440"</f>
        <v>1551765509450440</v>
      </c>
      <c r="C1948" t="s">
        <v>40</v>
      </c>
      <c r="D1948">
        <v>3.6646670000000001</v>
      </c>
      <c r="E1948">
        <v>0.55428290000000002</v>
      </c>
      <c r="F1948" t="s">
        <v>58</v>
      </c>
      <c r="G1948">
        <v>-473.50569999999999</v>
      </c>
      <c r="H1948">
        <v>8.0001059999999999E-2</v>
      </c>
      <c r="I1948">
        <v>291.09429999999998</v>
      </c>
      <c r="J1948">
        <v>-361.7824</v>
      </c>
      <c r="K1948">
        <v>1.1090629999999999</v>
      </c>
      <c r="L1948">
        <v>283.7921</v>
      </c>
      <c r="M1948">
        <v>-0.9999112</v>
      </c>
      <c r="N1948">
        <v>-1.2851919999999999E-2</v>
      </c>
      <c r="O1948">
        <v>-3.5802310000000001E-3</v>
      </c>
      <c r="P1948">
        <v>-0.99460800000000005</v>
      </c>
      <c r="Q1948">
        <v>6.4909729999999999E-2</v>
      </c>
      <c r="R1948">
        <v>-8.0882060000000006E-2</v>
      </c>
      <c r="S1948">
        <v>-3.034332</v>
      </c>
      <c r="T1948">
        <v>-2.786481E-2</v>
      </c>
      <c r="U1948">
        <v>0.1976929</v>
      </c>
      <c r="V1948">
        <v>-7.7298430000000001E-2</v>
      </c>
      <c r="W1948">
        <v>7.7712610000000001E-2</v>
      </c>
      <c r="X1948">
        <v>0.99397469999999999</v>
      </c>
      <c r="Y1948">
        <v>6.8579769999999998E-2</v>
      </c>
      <c r="Z1948">
        <v>7.4262600000000003E-4</v>
      </c>
      <c r="AA1948">
        <v>0.99764540000000002</v>
      </c>
      <c r="AB1948">
        <v>48</v>
      </c>
      <c r="AC1948">
        <v>-111.72329999999999</v>
      </c>
      <c r="AD1948">
        <v>-1.0290619399999901</v>
      </c>
      <c r="AE1948">
        <v>7.3021999999999698</v>
      </c>
      <c r="AF1948">
        <v>7.7015307619111999</v>
      </c>
      <c r="AG1948">
        <v>-1.0290619399999901</v>
      </c>
      <c r="AH1948">
        <v>111.687003017582</v>
      </c>
      <c r="AI1948">
        <v>90.5266464923846</v>
      </c>
      <c r="AJ1948">
        <v>86.055335155016806</v>
      </c>
      <c r="AK1948">
        <v>111.956952386184</v>
      </c>
      <c r="AL1948">
        <v>85.542901479259399</v>
      </c>
      <c r="AM1948">
        <v>94.446771013203403</v>
      </c>
      <c r="AN1948">
        <v>1.00000000063678</v>
      </c>
    </row>
    <row r="1949" spans="1:40" x14ac:dyDescent="0.25">
      <c r="A1949" t="str">
        <f>"20190305135829479"</f>
        <v>20190305135829479</v>
      </c>
      <c r="B1949" t="str">
        <f>"1551765509470936"</f>
        <v>1551765509470936</v>
      </c>
      <c r="C1949" t="s">
        <v>40</v>
      </c>
      <c r="D1949">
        <v>3.667319</v>
      </c>
      <c r="E1949">
        <v>0.55456640000000001</v>
      </c>
      <c r="F1949" t="s">
        <v>58</v>
      </c>
      <c r="G1949">
        <v>-477.59309999999999</v>
      </c>
      <c r="H1949">
        <v>8.0001320000000001E-2</v>
      </c>
      <c r="I1949">
        <v>291.41680000000002</v>
      </c>
      <c r="J1949">
        <v>-362.23079999999999</v>
      </c>
      <c r="K1949">
        <v>1.1090469999999999</v>
      </c>
      <c r="L1949">
        <v>283.79059999999998</v>
      </c>
      <c r="M1949">
        <v>-0.99991140000000001</v>
      </c>
      <c r="N1949">
        <v>-1.285324E-2</v>
      </c>
      <c r="O1949">
        <v>-3.4807369999999998E-3</v>
      </c>
      <c r="P1949">
        <v>-0.99470320000000001</v>
      </c>
      <c r="Q1949">
        <v>6.3910289999999995E-2</v>
      </c>
      <c r="R1949">
        <v>-8.0507280000000001E-2</v>
      </c>
      <c r="S1949">
        <v>-3.0342709999999999</v>
      </c>
      <c r="T1949">
        <v>-2.6961679999999998E-2</v>
      </c>
      <c r="U1949">
        <v>0.1997681</v>
      </c>
      <c r="V1949">
        <v>-7.7020000000000005E-2</v>
      </c>
      <c r="W1949">
        <v>7.6718049999999996E-2</v>
      </c>
      <c r="X1949">
        <v>0.9940736</v>
      </c>
      <c r="Y1949">
        <v>6.9161440000000005E-2</v>
      </c>
      <c r="Z1949">
        <v>7.3813539999999895E-4</v>
      </c>
      <c r="AA1949">
        <v>0.99760519999999997</v>
      </c>
      <c r="AB1949">
        <v>48</v>
      </c>
      <c r="AC1949">
        <v>-115.3623</v>
      </c>
      <c r="AD1949">
        <v>-1.0290456800000001</v>
      </c>
      <c r="AE1949">
        <v>7.6262000000000398</v>
      </c>
      <c r="AF1949">
        <v>8.02709684204555</v>
      </c>
      <c r="AG1949">
        <v>-1.0290456800000001</v>
      </c>
      <c r="AH1949">
        <v>115.32591766659699</v>
      </c>
      <c r="AI1949">
        <v>90.509999127381207</v>
      </c>
      <c r="AJ1949">
        <v>86.018430070991997</v>
      </c>
      <c r="AK1949">
        <v>115.609517360664</v>
      </c>
      <c r="AL1949">
        <v>85.600056344450195</v>
      </c>
      <c r="AM1949">
        <v>94.430378515208403</v>
      </c>
      <c r="AN1949">
        <v>1.0000000309063799</v>
      </c>
    </row>
    <row r="1950" spans="1:40" x14ac:dyDescent="0.25">
      <c r="A1950" t="str">
        <f>"20190305135829492"</f>
        <v>20190305135829492</v>
      </c>
      <c r="B1950" t="str">
        <f>"1551765509480696"</f>
        <v>1551765509480696</v>
      </c>
      <c r="C1950" t="s">
        <v>40</v>
      </c>
      <c r="D1950">
        <v>3.6143580000000002</v>
      </c>
      <c r="E1950">
        <v>0.55474440000000003</v>
      </c>
      <c r="F1950" t="s">
        <v>58</v>
      </c>
      <c r="G1950">
        <v>-499.959</v>
      </c>
      <c r="H1950">
        <v>5.119667E-2</v>
      </c>
      <c r="I1950">
        <v>292.9966</v>
      </c>
      <c r="J1950">
        <v>-362.51519999999999</v>
      </c>
      <c r="K1950">
        <v>1.1090340000000001</v>
      </c>
      <c r="L1950">
        <v>283.78969999999998</v>
      </c>
      <c r="M1950">
        <v>-0.99991169999999996</v>
      </c>
      <c r="N1950">
        <v>-1.2854020000000001E-2</v>
      </c>
      <c r="O1950">
        <v>-3.4052309999999999E-3</v>
      </c>
      <c r="P1950">
        <v>-0.99471469999999995</v>
      </c>
      <c r="Q1950">
        <v>6.3817349999999995E-2</v>
      </c>
      <c r="R1950">
        <v>-8.0438850000000006E-2</v>
      </c>
      <c r="S1950">
        <v>-3.0339049999999999</v>
      </c>
      <c r="T1950">
        <v>-2.330256E-2</v>
      </c>
      <c r="U1950">
        <v>0.20278930000000001</v>
      </c>
      <c r="V1950">
        <v>-7.7024330000000002E-2</v>
      </c>
      <c r="W1950">
        <v>7.6628199999999994E-2</v>
      </c>
      <c r="X1950">
        <v>0.99408019999999997</v>
      </c>
      <c r="Y1950">
        <v>7.0084190000000005E-2</v>
      </c>
      <c r="Z1950">
        <v>7.0221719999999995E-4</v>
      </c>
      <c r="AA1950">
        <v>0.99754080000000001</v>
      </c>
      <c r="AB1950">
        <v>48</v>
      </c>
      <c r="AC1950">
        <v>-137.44380000000001</v>
      </c>
      <c r="AD1950">
        <v>-1.0578373299999999</v>
      </c>
      <c r="AE1950">
        <v>9.2069000000000099</v>
      </c>
      <c r="AF1950">
        <v>9.6743426044277196</v>
      </c>
      <c r="AG1950">
        <v>-1.0578373299999999</v>
      </c>
      <c r="AH1950">
        <v>137.403545876896</v>
      </c>
      <c r="AI1950">
        <v>90.4400086698124</v>
      </c>
      <c r="AJ1950">
        <v>85.972551028400702</v>
      </c>
      <c r="AK1950">
        <v>137.747763481622</v>
      </c>
      <c r="AL1950">
        <v>85.6052195926368</v>
      </c>
      <c r="AM1950">
        <v>94.430597296521</v>
      </c>
      <c r="AN1950">
        <v>1.00000003623961</v>
      </c>
    </row>
    <row r="1951" spans="1:40" x14ac:dyDescent="0.25">
      <c r="A1951" t="str">
        <f>"20190305135829506"</f>
        <v>20190305135829506</v>
      </c>
      <c r="B1951" t="str">
        <f>"1551765509500216"</f>
        <v>1551765509500216</v>
      </c>
      <c r="C1951" t="s">
        <v>40</v>
      </c>
      <c r="D1951">
        <v>3.6902590000000002</v>
      </c>
      <c r="E1951">
        <v>0.55475569999999996</v>
      </c>
      <c r="F1951" t="s">
        <v>58</v>
      </c>
      <c r="G1951">
        <v>-501.43290000000002</v>
      </c>
      <c r="H1951">
        <v>8.000401E-2</v>
      </c>
      <c r="I1951">
        <v>293.15179999999998</v>
      </c>
      <c r="J1951">
        <v>-362.78379999999999</v>
      </c>
      <c r="K1951">
        <v>1.109019</v>
      </c>
      <c r="L1951">
        <v>283.78879999999998</v>
      </c>
      <c r="M1951">
        <v>-0.99991200000000002</v>
      </c>
      <c r="N1951">
        <v>-1.285471E-2</v>
      </c>
      <c r="O1951">
        <v>-3.3255379999999998E-3</v>
      </c>
      <c r="P1951">
        <v>-0.99475290000000005</v>
      </c>
      <c r="Q1951">
        <v>6.362392E-2</v>
      </c>
      <c r="R1951">
        <v>-8.0119579999999996E-2</v>
      </c>
      <c r="S1951">
        <v>-3.0339360000000002</v>
      </c>
      <c r="T1951">
        <v>-2.247381E-2</v>
      </c>
      <c r="U1951">
        <v>0.20446780000000001</v>
      </c>
      <c r="V1951">
        <v>-7.6781790000000003E-2</v>
      </c>
      <c r="W1951">
        <v>7.6438019999999995E-2</v>
      </c>
      <c r="X1951">
        <v>0.99411360000000004</v>
      </c>
      <c r="Y1951">
        <v>7.0553630000000006E-2</v>
      </c>
      <c r="Z1951">
        <v>6.9694020000000002E-4</v>
      </c>
      <c r="AA1951">
        <v>0.99750779999999994</v>
      </c>
      <c r="AB1951">
        <v>48</v>
      </c>
      <c r="AC1951">
        <v>-138.6491</v>
      </c>
      <c r="AD1951">
        <v>-1.0290149900000001</v>
      </c>
      <c r="AE1951">
        <v>9.3629999999999995</v>
      </c>
      <c r="AF1951">
        <v>9.8235304541693491</v>
      </c>
      <c r="AG1951">
        <v>-1.0290149900000001</v>
      </c>
      <c r="AH1951">
        <v>138.609593389829</v>
      </c>
      <c r="AI1951">
        <v>90.424282522124997</v>
      </c>
      <c r="AJ1951">
        <v>85.946115348633001</v>
      </c>
      <c r="AK1951">
        <v>138.961073693777</v>
      </c>
      <c r="AL1951">
        <v>85.616148137759595</v>
      </c>
      <c r="AM1951">
        <v>94.416553383964299</v>
      </c>
      <c r="AN1951">
        <v>1.00000003194104</v>
      </c>
    </row>
    <row r="1952" spans="1:40" x14ac:dyDescent="0.25">
      <c r="A1952" t="str">
        <f>"20190305135829519"</f>
        <v>20190305135829519</v>
      </c>
      <c r="B1952" t="str">
        <f>"1551765509510953"</f>
        <v>1551765509510953</v>
      </c>
      <c r="C1952" t="s">
        <v>40</v>
      </c>
      <c r="D1952">
        <v>3.6278670000000002</v>
      </c>
      <c r="E1952">
        <v>0.55484219999999995</v>
      </c>
      <c r="F1952" t="s">
        <v>58</v>
      </c>
      <c r="G1952">
        <v>-503.5616</v>
      </c>
      <c r="H1952">
        <v>8.0004229999999996E-2</v>
      </c>
      <c r="I1952">
        <v>293.315</v>
      </c>
      <c r="J1952">
        <v>-363.07690000000002</v>
      </c>
      <c r="K1952">
        <v>1.1090040000000001</v>
      </c>
      <c r="L1952">
        <v>283.78800000000001</v>
      </c>
      <c r="M1952">
        <v>-0.99991220000000003</v>
      </c>
      <c r="N1952">
        <v>-1.2855429999999999E-2</v>
      </c>
      <c r="O1952">
        <v>-3.230428E-3</v>
      </c>
      <c r="P1952">
        <v>-0.99478659999999997</v>
      </c>
      <c r="Q1952">
        <v>6.3330259999999999E-2</v>
      </c>
      <c r="R1952">
        <v>-7.99319E-2</v>
      </c>
      <c r="S1952">
        <v>-3.0338129999999999</v>
      </c>
      <c r="T1952">
        <v>-2.2175670000000001E-2</v>
      </c>
      <c r="U1952">
        <v>0.20529169999999999</v>
      </c>
      <c r="V1952">
        <v>-7.6686340000000006E-2</v>
      </c>
      <c r="W1952">
        <v>7.6147980000000004E-2</v>
      </c>
      <c r="X1952">
        <v>0.9941432</v>
      </c>
      <c r="Y1952">
        <v>7.0731210000000003E-2</v>
      </c>
      <c r="Z1952">
        <v>6.9550509999999897E-4</v>
      </c>
      <c r="AA1952">
        <v>0.99749520000000003</v>
      </c>
      <c r="AB1952">
        <v>48</v>
      </c>
      <c r="AC1952">
        <v>-140.48469999999901</v>
      </c>
      <c r="AD1952">
        <v>-1.02899977</v>
      </c>
      <c r="AE1952">
        <v>9.5269999999999797</v>
      </c>
      <c r="AF1952">
        <v>9.9802804763476907</v>
      </c>
      <c r="AG1952">
        <v>-1.02899977</v>
      </c>
      <c r="AH1952">
        <v>140.44568755671801</v>
      </c>
      <c r="AI1952">
        <v>90.418724133819694</v>
      </c>
      <c r="AJ1952">
        <v>85.935308953402</v>
      </c>
      <c r="AK1952">
        <v>140.803607880595</v>
      </c>
      <c r="AL1952">
        <v>85.632814666927601</v>
      </c>
      <c r="AM1952">
        <v>94.410953882876598</v>
      </c>
      <c r="AN1952">
        <v>1.0000000058534499</v>
      </c>
    </row>
    <row r="1953" spans="1:40" x14ac:dyDescent="0.25">
      <c r="A1953" t="str">
        <f>"20190305135829532"</f>
        <v>20190305135829532</v>
      </c>
      <c r="B1953" t="str">
        <f>"1551765509520713"</f>
        <v>1551765509520713</v>
      </c>
      <c r="C1953" t="s">
        <v>40</v>
      </c>
      <c r="D1953">
        <v>3.7089970000000001</v>
      </c>
      <c r="E1953">
        <v>0.55475969999999997</v>
      </c>
      <c r="F1953" t="s">
        <v>58</v>
      </c>
      <c r="G1953">
        <v>-504.22449999999998</v>
      </c>
      <c r="H1953">
        <v>8.00043E-2</v>
      </c>
      <c r="I1953">
        <v>293.40589999999997</v>
      </c>
      <c r="J1953">
        <v>-363.34859999999998</v>
      </c>
      <c r="K1953">
        <v>1.108986</v>
      </c>
      <c r="L1953">
        <v>283.78710000000001</v>
      </c>
      <c r="M1953">
        <v>-0.99991249999999998</v>
      </c>
      <c r="N1953">
        <v>-1.2855999999999999E-2</v>
      </c>
      <c r="O1953">
        <v>-3.1234740000000002E-3</v>
      </c>
      <c r="P1953">
        <v>-0.9948091</v>
      </c>
      <c r="Q1953">
        <v>6.2949560000000002E-2</v>
      </c>
      <c r="R1953">
        <v>-7.9952809999999999E-2</v>
      </c>
      <c r="S1953">
        <v>-3.0337830000000001</v>
      </c>
      <c r="T1953">
        <v>-2.2117020000000001E-2</v>
      </c>
      <c r="U1953">
        <v>0.2067261</v>
      </c>
      <c r="V1953">
        <v>-7.6810840000000005E-2</v>
      </c>
      <c r="W1953">
        <v>7.5771420000000006E-2</v>
      </c>
      <c r="X1953">
        <v>0.9941624</v>
      </c>
      <c r="Y1953">
        <v>7.1094619999999997E-2</v>
      </c>
      <c r="Z1953">
        <v>6.9904089999999895E-4</v>
      </c>
      <c r="AA1953">
        <v>0.9974693</v>
      </c>
      <c r="AB1953">
        <v>48</v>
      </c>
      <c r="AC1953">
        <v>-140.8759</v>
      </c>
      <c r="AD1953">
        <v>-1.0289816999999899</v>
      </c>
      <c r="AE1953">
        <v>9.6187999999999594</v>
      </c>
      <c r="AF1953">
        <v>10.0582775121329</v>
      </c>
      <c r="AG1953">
        <v>-1.0289816999999899</v>
      </c>
      <c r="AH1953">
        <v>140.83768717827999</v>
      </c>
      <c r="AI1953">
        <v>90.4175408535543</v>
      </c>
      <c r="AJ1953">
        <v>85.915013541932495</v>
      </c>
      <c r="AK1953">
        <v>141.200148298708</v>
      </c>
      <c r="AL1953">
        <v>85.654452651908699</v>
      </c>
      <c r="AM1953">
        <v>94.418001733072103</v>
      </c>
      <c r="AN1953">
        <v>1.0000000454020399</v>
      </c>
    </row>
    <row r="1954" spans="1:40" x14ac:dyDescent="0.25">
      <c r="A1954" t="str">
        <f>"20190305135829548"</f>
        <v>20190305135829548</v>
      </c>
      <c r="B1954" t="str">
        <f>"1551765509540242"</f>
        <v>1551765509540242</v>
      </c>
      <c r="C1954" t="s">
        <v>40</v>
      </c>
      <c r="D1954">
        <v>3.614995</v>
      </c>
      <c r="E1954">
        <v>0.55468799999999996</v>
      </c>
      <c r="F1954" t="s">
        <v>58</v>
      </c>
      <c r="G1954">
        <v>-499.95780000000002</v>
      </c>
      <c r="H1954">
        <v>7.6297140000000001E-3</v>
      </c>
      <c r="I1954">
        <v>293.06849999999997</v>
      </c>
      <c r="J1954">
        <v>-363.673</v>
      </c>
      <c r="K1954">
        <v>1.108962</v>
      </c>
      <c r="L1954">
        <v>283.78620000000001</v>
      </c>
      <c r="M1954">
        <v>-0.99991300000000005</v>
      </c>
      <c r="N1954">
        <v>-1.2856630000000001E-2</v>
      </c>
      <c r="O1954">
        <v>-2.979476E-3</v>
      </c>
      <c r="P1954">
        <v>-0.99484709999999998</v>
      </c>
      <c r="Q1954">
        <v>6.2448200000000002E-2</v>
      </c>
      <c r="R1954">
        <v>-7.9874269999999997E-2</v>
      </c>
      <c r="S1954">
        <v>-3.0337519999999998</v>
      </c>
      <c r="T1954">
        <v>-2.445841E-2</v>
      </c>
      <c r="U1954">
        <v>0.20611570000000001</v>
      </c>
      <c r="V1954">
        <v>-7.6871099999999998E-2</v>
      </c>
      <c r="W1954">
        <v>7.5275510000000004E-2</v>
      </c>
      <c r="X1954">
        <v>0.9941953</v>
      </c>
      <c r="Y1954">
        <v>7.0751179999999997E-2</v>
      </c>
      <c r="Z1954">
        <v>7.2597139999999998E-4</v>
      </c>
      <c r="AA1954">
        <v>0.99749370000000004</v>
      </c>
      <c r="AB1954">
        <v>48</v>
      </c>
      <c r="AC1954">
        <v>-136.28479999999999</v>
      </c>
      <c r="AD1954">
        <v>-1.1013322859999899</v>
      </c>
      <c r="AE1954">
        <v>9.2822999999999602</v>
      </c>
      <c r="AF1954">
        <v>9.68771988166786</v>
      </c>
      <c r="AG1954">
        <v>-1.1013322859999899</v>
      </c>
      <c r="AH1954">
        <v>136.247679828786</v>
      </c>
      <c r="AI1954">
        <v>90.461963222639099</v>
      </c>
      <c r="AJ1954">
        <v>85.932900525335299</v>
      </c>
      <c r="AK1954">
        <v>136.59610209679201</v>
      </c>
      <c r="AL1954">
        <v>85.682947089006106</v>
      </c>
      <c r="AM1954">
        <v>94.421308290975304</v>
      </c>
      <c r="AN1954">
        <v>0.99999993148152699</v>
      </c>
    </row>
    <row r="1955" spans="1:40" x14ac:dyDescent="0.25">
      <c r="A1955" t="str">
        <f>"20190305135829559"</f>
        <v>20190305135829559</v>
      </c>
      <c r="B1955" t="str">
        <f>"1551765509550970"</f>
        <v>1551765509550970</v>
      </c>
      <c r="C1955" t="s">
        <v>40</v>
      </c>
      <c r="D1955">
        <v>3.6291709999999999</v>
      </c>
      <c r="E1955">
        <v>0.55471119999999996</v>
      </c>
      <c r="F1955" t="s">
        <v>58</v>
      </c>
      <c r="G1955">
        <v>-492.06220000000002</v>
      </c>
      <c r="H1955" s="1">
        <v>5.0530679999999999E-6</v>
      </c>
      <c r="I1955">
        <v>292.49369999999999</v>
      </c>
      <c r="J1955">
        <v>-363.93950000000001</v>
      </c>
      <c r="K1955">
        <v>1.1089389999999999</v>
      </c>
      <c r="L1955">
        <v>283.78550000000001</v>
      </c>
      <c r="M1955">
        <v>-0.9999133</v>
      </c>
      <c r="N1955">
        <v>-1.285711E-2</v>
      </c>
      <c r="O1955">
        <v>-2.8483839999999998E-3</v>
      </c>
      <c r="P1955">
        <v>-0.99485539999999995</v>
      </c>
      <c r="Q1955">
        <v>6.2251470000000003E-2</v>
      </c>
      <c r="R1955">
        <v>-7.9920679999999994E-2</v>
      </c>
      <c r="S1955">
        <v>-3.0336910000000001</v>
      </c>
      <c r="T1955">
        <v>-2.620339E-2</v>
      </c>
      <c r="U1955">
        <v>0.2057495</v>
      </c>
      <c r="V1955">
        <v>-7.7044310000000005E-2</v>
      </c>
      <c r="W1955">
        <v>7.5083869999999997E-2</v>
      </c>
      <c r="X1955">
        <v>0.99419650000000004</v>
      </c>
      <c r="Y1955">
        <v>7.0501309999999998E-2</v>
      </c>
      <c r="Z1955">
        <v>7.4589610000000005E-4</v>
      </c>
      <c r="AA1955">
        <v>0.99751140000000005</v>
      </c>
      <c r="AB1955">
        <v>48</v>
      </c>
      <c r="AC1955">
        <v>-128.12270000000001</v>
      </c>
      <c r="AD1955">
        <v>-1.1089339469320001</v>
      </c>
      <c r="AE1955">
        <v>8.7081999999999695</v>
      </c>
      <c r="AF1955">
        <v>9.0724609560412208</v>
      </c>
      <c r="AG1955">
        <v>-1.1089339469320001</v>
      </c>
      <c r="AH1955">
        <v>128.08782245321399</v>
      </c>
      <c r="AI1955">
        <v>90.494792367778004</v>
      </c>
      <c r="AJ1955">
        <v>85.948505975847695</v>
      </c>
      <c r="AK1955">
        <v>128.41350997112301</v>
      </c>
      <c r="AL1955">
        <v>85.693958913030997</v>
      </c>
      <c r="AM1955">
        <v>94.431225653811396</v>
      </c>
      <c r="AN1955">
        <v>1.0000000469249</v>
      </c>
    </row>
    <row r="1956" spans="1:40" x14ac:dyDescent="0.25">
      <c r="A1956" t="str">
        <f>"20190305135829572"</f>
        <v>20190305135829572</v>
      </c>
      <c r="B1956" t="str">
        <f>"1551765509560730"</f>
        <v>1551765509560730</v>
      </c>
      <c r="C1956" t="s">
        <v>40</v>
      </c>
      <c r="D1956">
        <v>3.6923659999999998</v>
      </c>
      <c r="E1956">
        <v>0.55457630000000002</v>
      </c>
      <c r="F1956" t="s">
        <v>58</v>
      </c>
      <c r="G1956">
        <v>-492.78449999999998</v>
      </c>
      <c r="H1956" s="1">
        <v>4.9393110000000004E-6</v>
      </c>
      <c r="I1956">
        <v>292.53440000000001</v>
      </c>
      <c r="J1956">
        <v>-364.22340000000003</v>
      </c>
      <c r="K1956">
        <v>1.108911</v>
      </c>
      <c r="L1956">
        <v>283.78489999999999</v>
      </c>
      <c r="M1956">
        <v>-0.99991379999999996</v>
      </c>
      <c r="N1956">
        <v>-1.2857560000000001E-2</v>
      </c>
      <c r="O1956">
        <v>-2.683946E-3</v>
      </c>
      <c r="P1956">
        <v>-0.99487040000000004</v>
      </c>
      <c r="Q1956">
        <v>6.2227169999999998E-2</v>
      </c>
      <c r="R1956">
        <v>-7.9756809999999997E-2</v>
      </c>
      <c r="S1956">
        <v>-3.0336910000000001</v>
      </c>
      <c r="T1956">
        <v>-2.6110169999999999E-2</v>
      </c>
      <c r="U1956">
        <v>0.2059937</v>
      </c>
      <c r="V1956">
        <v>-7.7038250000000003E-2</v>
      </c>
      <c r="W1956">
        <v>7.5065339999999994E-2</v>
      </c>
      <c r="X1956">
        <v>0.99419829999999998</v>
      </c>
      <c r="Y1956">
        <v>7.0417220000000003E-2</v>
      </c>
      <c r="Z1956">
        <v>7.4453720000000004E-4</v>
      </c>
      <c r="AA1956">
        <v>0.99751730000000005</v>
      </c>
      <c r="AB1956">
        <v>48</v>
      </c>
      <c r="AC1956">
        <v>-128.56109999999899</v>
      </c>
      <c r="AD1956">
        <v>-1.108906060689</v>
      </c>
      <c r="AE1956">
        <v>8.74950000000001</v>
      </c>
      <c r="AF1956">
        <v>9.0938745729579296</v>
      </c>
      <c r="AG1956">
        <v>-1.108906060689</v>
      </c>
      <c r="AH1956">
        <v>128.52763343568299</v>
      </c>
      <c r="AI1956">
        <v>90.493089544938599</v>
      </c>
      <c r="AJ1956">
        <v>85.9528254772585</v>
      </c>
      <c r="AK1956">
        <v>128.85371854928101</v>
      </c>
      <c r="AL1956">
        <v>85.695023313211493</v>
      </c>
      <c r="AM1956">
        <v>94.430870509013204</v>
      </c>
      <c r="AN1956">
        <v>0.999999978477633</v>
      </c>
    </row>
    <row r="1957" spans="1:40" x14ac:dyDescent="0.25">
      <c r="A1957" t="str">
        <f>"20190305135829587"</f>
        <v>20190305135829587</v>
      </c>
      <c r="B1957" t="str">
        <f>"1551765509580249"</f>
        <v>1551765509580249</v>
      </c>
      <c r="C1957" t="s">
        <v>40</v>
      </c>
      <c r="D1957">
        <v>3.7033640000000001</v>
      </c>
      <c r="E1957">
        <v>0.55422289999999996</v>
      </c>
      <c r="F1957" t="s">
        <v>58</v>
      </c>
      <c r="G1957">
        <v>-478.96769999999998</v>
      </c>
      <c r="H1957">
        <v>8.0001450000000002E-2</v>
      </c>
      <c r="I1957">
        <v>291.56369999999998</v>
      </c>
      <c r="J1957">
        <v>-364.50779999999997</v>
      </c>
      <c r="K1957">
        <v>1.108886</v>
      </c>
      <c r="L1957">
        <v>283.7842</v>
      </c>
      <c r="M1957">
        <v>-0.99991430000000003</v>
      </c>
      <c r="N1957">
        <v>-1.285799E-2</v>
      </c>
      <c r="O1957">
        <v>-2.4992059999999999E-3</v>
      </c>
      <c r="P1957">
        <v>-0.99488030000000005</v>
      </c>
      <c r="Q1957">
        <v>6.2012299999999999E-2</v>
      </c>
      <c r="R1957">
        <v>-7.9799309999999998E-2</v>
      </c>
      <c r="S1957">
        <v>-3.03363</v>
      </c>
      <c r="T1957">
        <v>-2.7202489999999999E-2</v>
      </c>
      <c r="U1957">
        <v>0.20565800000000001</v>
      </c>
      <c r="V1957">
        <v>-7.7259910000000001E-2</v>
      </c>
      <c r="W1957">
        <v>7.4856590000000001E-2</v>
      </c>
      <c r="X1957">
        <v>0.99419679999999999</v>
      </c>
      <c r="Y1957">
        <v>7.0124049999999993E-2</v>
      </c>
      <c r="Z1957">
        <v>7.5570390000000002E-4</v>
      </c>
      <c r="AA1957">
        <v>0.99753800000000004</v>
      </c>
      <c r="AB1957">
        <v>48</v>
      </c>
      <c r="AC1957">
        <v>-114.4599</v>
      </c>
      <c r="AD1957">
        <v>-1.0288845499999999</v>
      </c>
      <c r="AE1957">
        <v>7.7794999999999801</v>
      </c>
      <c r="AF1957">
        <v>8.0649095220856104</v>
      </c>
      <c r="AG1957">
        <v>-1.0288845499999999</v>
      </c>
      <c r="AH1957">
        <v>114.430894478865</v>
      </c>
      <c r="AI1957">
        <v>90.5138760707557</v>
      </c>
      <c r="AJ1957">
        <v>85.968549746244307</v>
      </c>
      <c r="AK1957">
        <v>114.71935747836901</v>
      </c>
      <c r="AL1957">
        <v>85.707017387904102</v>
      </c>
      <c r="AM1957">
        <v>94.443575019584401</v>
      </c>
      <c r="AN1957">
        <v>0.99999993994493597</v>
      </c>
    </row>
    <row r="1958" spans="1:40" x14ac:dyDescent="0.25">
      <c r="A1958" t="str">
        <f>"20190305135829601"</f>
        <v>20190305135829601</v>
      </c>
      <c r="B1958" t="str">
        <f>"1551765509590984"</f>
        <v>1551765509590984</v>
      </c>
      <c r="C1958" t="s">
        <v>40</v>
      </c>
      <c r="D1958">
        <v>3.9431929999999999</v>
      </c>
      <c r="E1958">
        <v>0.55415899999999996</v>
      </c>
      <c r="F1958" t="s">
        <v>59</v>
      </c>
      <c r="G1958">
        <v>-467.81849999999997</v>
      </c>
      <c r="H1958">
        <v>8.0000580000000002E-2</v>
      </c>
      <c r="I1958">
        <v>290.69240000000002</v>
      </c>
      <c r="J1958">
        <v>-364.83940000000001</v>
      </c>
      <c r="K1958">
        <v>1.1088469999999999</v>
      </c>
      <c r="L1958">
        <v>283.78359999999998</v>
      </c>
      <c r="M1958">
        <v>-0.99991479999999999</v>
      </c>
      <c r="N1958">
        <v>-1.285915E-2</v>
      </c>
      <c r="O1958">
        <v>-2.2589250000000002E-3</v>
      </c>
      <c r="P1958">
        <v>-0.99486269999999999</v>
      </c>
      <c r="Q1958">
        <v>6.2400860000000002E-2</v>
      </c>
      <c r="R1958">
        <v>-7.9711740000000003E-2</v>
      </c>
      <c r="S1958">
        <v>-3.0335999999999999</v>
      </c>
      <c r="T1958">
        <v>-3.0212039999999999E-2</v>
      </c>
      <c r="U1958">
        <v>0.20285030000000001</v>
      </c>
      <c r="V1958">
        <v>-7.7404070000000005E-2</v>
      </c>
      <c r="W1958">
        <v>7.5253169999999994E-2</v>
      </c>
      <c r="X1958">
        <v>0.99415569999999998</v>
      </c>
      <c r="Y1958">
        <v>6.8964940000000002E-2</v>
      </c>
      <c r="Z1958">
        <v>7.8043299999999997E-4</v>
      </c>
      <c r="AA1958">
        <v>0.99761880000000003</v>
      </c>
      <c r="AB1958">
        <v>48</v>
      </c>
      <c r="AC1958">
        <v>-102.97909999999899</v>
      </c>
      <c r="AD1958">
        <v>-1.02884641999999</v>
      </c>
      <c r="AE1958">
        <v>6.9088000000000402</v>
      </c>
      <c r="AF1958">
        <v>7.14071409276466</v>
      </c>
      <c r="AG1958">
        <v>-1.02884641999999</v>
      </c>
      <c r="AH1958">
        <v>102.952999092287</v>
      </c>
      <c r="AI1958">
        <v>90.571186158757001</v>
      </c>
      <c r="AJ1958">
        <v>86.0323778438256</v>
      </c>
      <c r="AK1958">
        <v>103.205466642068</v>
      </c>
      <c r="AL1958">
        <v>85.684230982571606</v>
      </c>
      <c r="AM1958">
        <v>94.452016334974005</v>
      </c>
      <c r="AN1958">
        <v>0.99999999274505103</v>
      </c>
    </row>
    <row r="1959" spans="1:40" x14ac:dyDescent="0.25">
      <c r="A1959" t="str">
        <f>"20190305135829625"</f>
        <v>20190305135829625</v>
      </c>
      <c r="B1959" t="str">
        <f>"1551765509620266"</f>
        <v>1551765509620266</v>
      </c>
      <c r="C1959" t="s">
        <v>40</v>
      </c>
      <c r="D1959">
        <v>3.673915</v>
      </c>
      <c r="E1959">
        <v>0.55407510000000004</v>
      </c>
      <c r="F1959" t="s">
        <v>59</v>
      </c>
      <c r="G1959">
        <v>-468.35169999999999</v>
      </c>
      <c r="H1959">
        <v>8.0000740000000001E-2</v>
      </c>
      <c r="I1959">
        <v>290.69779999999997</v>
      </c>
      <c r="J1959">
        <v>-365.32549999999998</v>
      </c>
      <c r="K1959">
        <v>1.1087880000000001</v>
      </c>
      <c r="L1959">
        <v>283.78280000000001</v>
      </c>
      <c r="M1959">
        <v>-0.99991560000000002</v>
      </c>
      <c r="N1959">
        <v>-1.286726E-2</v>
      </c>
      <c r="O1959">
        <v>-1.8402399999999999E-3</v>
      </c>
      <c r="P1959">
        <v>-0.99488259999999995</v>
      </c>
      <c r="Q1959">
        <v>6.22879E-2</v>
      </c>
      <c r="R1959">
        <v>-7.9554349999999996E-2</v>
      </c>
      <c r="S1959">
        <v>-3.0336609999999999</v>
      </c>
      <c r="T1959">
        <v>-3.0152680000000001E-2</v>
      </c>
      <c r="U1959">
        <v>0.2026367</v>
      </c>
      <c r="V1959">
        <v>-7.7651609999999996E-2</v>
      </c>
      <c r="W1959">
        <v>7.5160439999999995E-2</v>
      </c>
      <c r="X1959">
        <v>0.99414340000000001</v>
      </c>
      <c r="Y1959">
        <v>6.8476019999999999E-2</v>
      </c>
      <c r="Z1959">
        <v>7.7561679999999997E-4</v>
      </c>
      <c r="AA1959">
        <v>0.99765250000000005</v>
      </c>
      <c r="AB1959">
        <v>48</v>
      </c>
      <c r="AC1959">
        <v>-103.0262</v>
      </c>
      <c r="AD1959">
        <v>-1.0287872600000001</v>
      </c>
      <c r="AE1959">
        <v>6.9149999999999601</v>
      </c>
      <c r="AF1959">
        <v>7.10389172536203</v>
      </c>
      <c r="AG1959">
        <v>-1.0287872600000001</v>
      </c>
      <c r="AH1959">
        <v>103.003074432235</v>
      </c>
      <c r="AI1959">
        <v>90.5708910389463</v>
      </c>
      <c r="AJ1959">
        <v>86.054685652424695</v>
      </c>
      <c r="AK1959">
        <v>103.25287900763099</v>
      </c>
      <c r="AL1959">
        <v>85.689559063409604</v>
      </c>
      <c r="AM1959">
        <v>94.466251507717104</v>
      </c>
      <c r="AN1959">
        <v>0.99999998202007201</v>
      </c>
    </row>
    <row r="1960" spans="1:40" x14ac:dyDescent="0.25">
      <c r="A1960" t="str">
        <f>"20190305135829637"</f>
        <v>20190305135829637</v>
      </c>
      <c r="B1960" t="str">
        <f>"1551765509631001"</f>
        <v>1551765509631001</v>
      </c>
      <c r="C1960" t="s">
        <v>40</v>
      </c>
      <c r="D1960">
        <v>3.6676099999999998</v>
      </c>
      <c r="E1960">
        <v>0.55405219999999999</v>
      </c>
      <c r="F1960" t="s">
        <v>59</v>
      </c>
      <c r="G1960">
        <v>-460.86529999999999</v>
      </c>
      <c r="H1960">
        <v>8.000003E-2</v>
      </c>
      <c r="I1960">
        <v>290.17219999999998</v>
      </c>
      <c r="J1960">
        <v>-365.5942</v>
      </c>
      <c r="K1960">
        <v>1.108752</v>
      </c>
      <c r="L1960">
        <v>283.78250000000003</v>
      </c>
      <c r="M1960">
        <v>-0.99991589999999997</v>
      </c>
      <c r="N1960">
        <v>-1.287628E-2</v>
      </c>
      <c r="O1960">
        <v>-1.582995E-3</v>
      </c>
      <c r="P1960">
        <v>-0.99489059999999996</v>
      </c>
      <c r="Q1960">
        <v>6.1961349999999998E-2</v>
      </c>
      <c r="R1960">
        <v>-7.9711260000000006E-2</v>
      </c>
      <c r="S1960">
        <v>-3.0336609999999999</v>
      </c>
      <c r="T1960">
        <v>-3.2666920000000002E-2</v>
      </c>
      <c r="U1960">
        <v>0.2028809</v>
      </c>
      <c r="V1960">
        <v>-7.8057790000000002E-2</v>
      </c>
      <c r="W1960">
        <v>7.4849940000000004E-2</v>
      </c>
      <c r="X1960">
        <v>0.99413499999999999</v>
      </c>
      <c r="Y1960">
        <v>6.8298360000000002E-2</v>
      </c>
      <c r="Z1960">
        <v>8.0421929999999902E-4</v>
      </c>
      <c r="AA1960">
        <v>0.99766460000000001</v>
      </c>
      <c r="AB1960">
        <v>48</v>
      </c>
      <c r="AC1960">
        <v>-95.271100000000004</v>
      </c>
      <c r="AD1960">
        <v>-1.0287519700000001</v>
      </c>
      <c r="AE1960">
        <v>6.38969999999994</v>
      </c>
      <c r="AF1960">
        <v>6.5397590412000799</v>
      </c>
      <c r="AG1960">
        <v>-1.0287519700000001</v>
      </c>
      <c r="AH1960">
        <v>95.249808505010094</v>
      </c>
      <c r="AI1960">
        <v>90.617349575266402</v>
      </c>
      <c r="AJ1960">
        <v>86.072291687753093</v>
      </c>
      <c r="AK1960">
        <v>95.479593626983004</v>
      </c>
      <c r="AL1960">
        <v>85.707399585235606</v>
      </c>
      <c r="AM1960">
        <v>94.489556091689494</v>
      </c>
      <c r="AN1960">
        <v>0.99999996516134304</v>
      </c>
    </row>
    <row r="1961" spans="1:40" x14ac:dyDescent="0.25">
      <c r="A1961" t="str">
        <f>"20190305135829660"</f>
        <v>20190305135829660</v>
      </c>
      <c r="B1961" t="str">
        <f>"1551765509650520"</f>
        <v>1551765509650520</v>
      </c>
      <c r="C1961" t="s">
        <v>40</v>
      </c>
      <c r="D1961">
        <v>3.697254</v>
      </c>
      <c r="E1961">
        <v>0.55404589999999998</v>
      </c>
      <c r="F1961" t="s">
        <v>59</v>
      </c>
      <c r="G1961">
        <v>-456.93639999999999</v>
      </c>
      <c r="H1961">
        <v>8.0000360000000006E-2</v>
      </c>
      <c r="I1961">
        <v>289.86430000000001</v>
      </c>
      <c r="J1961">
        <v>-366.06810000000002</v>
      </c>
      <c r="K1961">
        <v>1.108689</v>
      </c>
      <c r="L1961">
        <v>283.78210000000001</v>
      </c>
      <c r="M1961">
        <v>-0.99991600000000003</v>
      </c>
      <c r="N1961">
        <v>-1.291871E-2</v>
      </c>
      <c r="O1961">
        <v>-1.065046E-3</v>
      </c>
      <c r="P1961">
        <v>-0.99490210000000001</v>
      </c>
      <c r="Q1961">
        <v>6.1796410000000003E-2</v>
      </c>
      <c r="R1961">
        <v>-7.9694020000000004E-2</v>
      </c>
      <c r="S1961">
        <v>-3.033722</v>
      </c>
      <c r="T1961">
        <v>-3.4167650000000001E-2</v>
      </c>
      <c r="U1961">
        <v>0.2019958</v>
      </c>
      <c r="V1961">
        <v>-7.8544329999999996E-2</v>
      </c>
      <c r="W1961">
        <v>7.4740100000000004E-2</v>
      </c>
      <c r="X1961">
        <v>0.99410500000000002</v>
      </c>
      <c r="Y1961">
        <v>6.7489969999999996E-2</v>
      </c>
      <c r="Z1961">
        <v>8.1433370000000001E-4</v>
      </c>
      <c r="AA1961">
        <v>0.99771960000000004</v>
      </c>
      <c r="AB1961">
        <v>48</v>
      </c>
      <c r="AC1961">
        <v>-90.868299999999905</v>
      </c>
      <c r="AD1961">
        <v>-1.0286886399999999</v>
      </c>
      <c r="AE1961">
        <v>6.0822000000000003</v>
      </c>
      <c r="AF1961">
        <v>6.1781952956506796</v>
      </c>
      <c r="AG1961">
        <v>-1.0286886399999999</v>
      </c>
      <c r="AH1961">
        <v>90.850178915328399</v>
      </c>
      <c r="AI1961">
        <v>90.647232649830002</v>
      </c>
      <c r="AJ1961">
        <v>86.109635082879393</v>
      </c>
      <c r="AK1961">
        <v>91.065818540089097</v>
      </c>
      <c r="AL1961">
        <v>85.713710878543907</v>
      </c>
      <c r="AM1961">
        <v>94.517560119259898</v>
      </c>
      <c r="AN1961">
        <v>1.00000002267407</v>
      </c>
    </row>
    <row r="1962" spans="1:40" x14ac:dyDescent="0.25">
      <c r="A1962" t="str">
        <f>"20190305135829680"</f>
        <v>20190305135829680</v>
      </c>
      <c r="B1962" t="str">
        <f>"1551765509671016"</f>
        <v>1551765509671016</v>
      </c>
      <c r="C1962" t="s">
        <v>40</v>
      </c>
      <c r="D1962">
        <v>3.6358039999999998</v>
      </c>
      <c r="E1962">
        <v>0.55409030000000004</v>
      </c>
      <c r="F1962" t="s">
        <v>59</v>
      </c>
      <c r="G1962">
        <v>-454.16820000000001</v>
      </c>
      <c r="H1962">
        <v>8.0001009999999997E-2</v>
      </c>
      <c r="I1962">
        <v>289.65609999999998</v>
      </c>
      <c r="J1962">
        <v>-366.51659999999998</v>
      </c>
      <c r="K1962">
        <v>1.1086510000000001</v>
      </c>
      <c r="L1962">
        <v>283.78210000000001</v>
      </c>
      <c r="M1962">
        <v>-0.99991490000000005</v>
      </c>
      <c r="N1962">
        <v>-1.3032780000000001E-2</v>
      </c>
      <c r="O1962">
        <v>-5.0650369999999997E-4</v>
      </c>
      <c r="P1962">
        <v>-0.99495029999999995</v>
      </c>
      <c r="Q1962">
        <v>6.1216729999999997E-2</v>
      </c>
      <c r="R1962">
        <v>-7.9539040000000005E-2</v>
      </c>
      <c r="S1962">
        <v>-3.0337519999999998</v>
      </c>
      <c r="T1962">
        <v>-3.5423160000000002E-2</v>
      </c>
      <c r="U1962">
        <v>0.20227049999999999</v>
      </c>
      <c r="V1962">
        <v>-7.8932840000000004E-2</v>
      </c>
      <c r="W1962">
        <v>7.4287409999999998E-2</v>
      </c>
      <c r="X1962">
        <v>0.99410810000000005</v>
      </c>
      <c r="Y1962">
        <v>6.7021449999999996E-2</v>
      </c>
      <c r="Z1962">
        <v>8.2742119999999904E-4</v>
      </c>
      <c r="AA1962">
        <v>0.99775119999999895</v>
      </c>
      <c r="AB1962">
        <v>48</v>
      </c>
      <c r="AC1962">
        <v>-87.651600000000002</v>
      </c>
      <c r="AD1962">
        <v>-1.0286499899999999</v>
      </c>
      <c r="AE1962">
        <v>5.8739999999999597</v>
      </c>
      <c r="AF1962">
        <v>5.9175875177372497</v>
      </c>
      <c r="AG1962">
        <v>-1.0286499899999999</v>
      </c>
      <c r="AH1962">
        <v>87.636597435567396</v>
      </c>
      <c r="AI1962">
        <v>90.670960669128405</v>
      </c>
      <c r="AJ1962">
        <v>86.137014676157193</v>
      </c>
      <c r="AK1962">
        <v>87.842183334180007</v>
      </c>
      <c r="AL1962">
        <v>85.739720158911993</v>
      </c>
      <c r="AM1962">
        <v>94.539798404795704</v>
      </c>
      <c r="AN1962">
        <v>0.99999996350029097</v>
      </c>
    </row>
    <row r="1963" spans="1:40" x14ac:dyDescent="0.25">
      <c r="A1963" t="str">
        <f>"20190305135829694"</f>
        <v>20190305135829694</v>
      </c>
      <c r="B1963" t="str">
        <f>"1551765509690537"</f>
        <v>1551765509690537</v>
      </c>
      <c r="C1963" t="s">
        <v>40</v>
      </c>
      <c r="D1963">
        <v>3.6186720000000001</v>
      </c>
      <c r="E1963">
        <v>0.53112209999999904</v>
      </c>
      <c r="F1963" t="s">
        <v>59</v>
      </c>
      <c r="G1963">
        <v>-453.64010000000002</v>
      </c>
      <c r="H1963">
        <v>4.5848439999999997E-2</v>
      </c>
      <c r="I1963">
        <v>289.61630000000002</v>
      </c>
      <c r="J1963">
        <v>-366.81990000000002</v>
      </c>
      <c r="K1963">
        <v>1.10863</v>
      </c>
      <c r="L1963">
        <v>283.78219999999999</v>
      </c>
      <c r="M1963">
        <v>-0.99991370000000002</v>
      </c>
      <c r="N1963">
        <v>-1.313928E-2</v>
      </c>
      <c r="O1963" s="1">
        <v>-9.2704929999999996E-5</v>
      </c>
      <c r="P1963">
        <v>-0.99498470000000006</v>
      </c>
      <c r="Q1963">
        <v>6.1090159999999998E-2</v>
      </c>
      <c r="R1963">
        <v>-7.9207089999999994E-2</v>
      </c>
      <c r="S1963">
        <v>-3.0337519999999998</v>
      </c>
      <c r="T1963">
        <v>-3.700817E-2</v>
      </c>
      <c r="U1963">
        <v>0.20315549999999999</v>
      </c>
      <c r="V1963">
        <v>-7.9004499999999894E-2</v>
      </c>
      <c r="W1963">
        <v>7.4276019999999998E-2</v>
      </c>
      <c r="X1963">
        <v>0.99410330000000002</v>
      </c>
      <c r="Y1963">
        <v>6.6897650000000003E-2</v>
      </c>
      <c r="Z1963">
        <v>8.4751499999999997E-4</v>
      </c>
      <c r="AA1963">
        <v>0.99775950000000002</v>
      </c>
      <c r="AB1963">
        <v>48</v>
      </c>
      <c r="AC1963">
        <v>-86.8202</v>
      </c>
      <c r="AD1963">
        <v>-1.0627815599999999</v>
      </c>
      <c r="AE1963">
        <v>5.8341000000000296</v>
      </c>
      <c r="AF1963">
        <v>5.8412779699797097</v>
      </c>
      <c r="AG1963">
        <v>-1.0627815599999999</v>
      </c>
      <c r="AH1963">
        <v>86.806709525316407</v>
      </c>
      <c r="AI1963">
        <v>90.699859269437198</v>
      </c>
      <c r="AJ1963">
        <v>86.150334499418804</v>
      </c>
      <c r="AK1963">
        <v>87.009510121477604</v>
      </c>
      <c r="AL1963">
        <v>85.7403747412705</v>
      </c>
      <c r="AM1963">
        <v>94.543924504407201</v>
      </c>
      <c r="AN1963">
        <v>1.00000000461909</v>
      </c>
    </row>
    <row r="1964" spans="1:40" x14ac:dyDescent="0.25">
      <c r="A1964" t="str">
        <f>"20190305135829708"</f>
        <v>20190305135829708</v>
      </c>
      <c r="B1964" t="str">
        <f>"1551765509700296"</f>
        <v>1551765509700296</v>
      </c>
      <c r="C1964" t="s">
        <v>40</v>
      </c>
      <c r="D1964">
        <v>3.7179700000000002</v>
      </c>
      <c r="E1964">
        <v>0.52603239999999996</v>
      </c>
      <c r="F1964" t="s">
        <v>55</v>
      </c>
      <c r="G1964">
        <v>0</v>
      </c>
      <c r="H1964">
        <v>0</v>
      </c>
      <c r="I1964">
        <v>0</v>
      </c>
      <c r="J1964">
        <v>-367.10230000000001</v>
      </c>
      <c r="K1964">
        <v>1.108609</v>
      </c>
      <c r="L1964">
        <v>283.78250000000003</v>
      </c>
      <c r="M1964">
        <v>-0.99991240000000003</v>
      </c>
      <c r="N1964">
        <v>-1.324227E-2</v>
      </c>
      <c r="O1964">
        <v>3.2232909999999998E-4</v>
      </c>
      <c r="P1964">
        <v>-0.99502120000000005</v>
      </c>
      <c r="Q1964">
        <v>6.0875720000000001E-2</v>
      </c>
      <c r="R1964">
        <v>-7.8914520000000002E-2</v>
      </c>
      <c r="S1964">
        <v>-3.0161129999999998</v>
      </c>
      <c r="T1964">
        <v>9.0639589999999999E-3</v>
      </c>
      <c r="U1964">
        <v>1.9042969999999999E-2</v>
      </c>
      <c r="V1964">
        <v>-7.9116489999999998E-2</v>
      </c>
      <c r="W1964">
        <v>7.4172810000000006E-2</v>
      </c>
      <c r="X1964">
        <v>0.99410209999999999</v>
      </c>
      <c r="Y1964">
        <v>5.9914030000000002E-3</v>
      </c>
      <c r="Z1964" s="1">
        <v>3.5906289999999998E-5</v>
      </c>
      <c r="AA1964">
        <v>0.99998209999999998</v>
      </c>
      <c r="AB1964">
        <v>48</v>
      </c>
      <c r="AC1964">
        <v>-3.0161129999999998</v>
      </c>
      <c r="AD1964">
        <v>9.0639589999999999E-3</v>
      </c>
      <c r="AE1964">
        <v>1.9042969999999999E-2</v>
      </c>
      <c r="AF1964">
        <v>1.8070539711449798E-2</v>
      </c>
      <c r="AG1964">
        <v>9.0639589999999999E-3</v>
      </c>
      <c r="AH1964">
        <v>3.0160917443920998</v>
      </c>
      <c r="AI1964">
        <v>89.827818330368302</v>
      </c>
      <c r="AJ1964">
        <v>89.656723548783305</v>
      </c>
      <c r="AK1964">
        <v>3.01615949683507</v>
      </c>
      <c r="AL1964">
        <v>85.746304597308594</v>
      </c>
      <c r="AM1964">
        <v>94.550344020987396</v>
      </c>
      <c r="AN1964">
        <v>1.00000000497881</v>
      </c>
    </row>
    <row r="1965" spans="1:40" x14ac:dyDescent="0.25">
      <c r="A1965" t="str">
        <f>"20190305135829720"</f>
        <v>20190305135829720</v>
      </c>
      <c r="B1965" t="str">
        <f>"1551765509711033"</f>
        <v>1551765509711033</v>
      </c>
      <c r="C1965" t="s">
        <v>40</v>
      </c>
      <c r="D1965">
        <v>3.6684000000000001</v>
      </c>
      <c r="E1965">
        <v>0.52310579999999995</v>
      </c>
      <c r="F1965" t="s">
        <v>55</v>
      </c>
      <c r="G1965">
        <v>0</v>
      </c>
      <c r="H1965">
        <v>0</v>
      </c>
      <c r="I1965">
        <v>0</v>
      </c>
      <c r="J1965">
        <v>-367.38159999999999</v>
      </c>
      <c r="K1965">
        <v>1.108589</v>
      </c>
      <c r="L1965">
        <v>283.78280000000001</v>
      </c>
      <c r="M1965">
        <v>-0.99991079999999999</v>
      </c>
      <c r="N1965">
        <v>-1.3343860000000001E-2</v>
      </c>
      <c r="O1965">
        <v>7.5257399999999999E-4</v>
      </c>
      <c r="P1965">
        <v>-0.99505429999999995</v>
      </c>
      <c r="Q1965">
        <v>6.0735589999999999E-2</v>
      </c>
      <c r="R1965">
        <v>-7.8601760000000007E-2</v>
      </c>
      <c r="S1965">
        <v>-3.0131230000000002</v>
      </c>
      <c r="T1965">
        <v>4.0848259999999997E-3</v>
      </c>
      <c r="U1965">
        <v>-2.056885E-2</v>
      </c>
      <c r="V1965">
        <v>-7.9224269999999999E-2</v>
      </c>
      <c r="W1965">
        <v>7.4142369999999999E-2</v>
      </c>
      <c r="X1965">
        <v>0.99409579999999997</v>
      </c>
      <c r="Y1965">
        <v>-7.57886699999999E-3</v>
      </c>
      <c r="Z1965" s="1">
        <v>-3.4368339999999997E-5</v>
      </c>
      <c r="AA1965">
        <v>0.99997130000000001</v>
      </c>
      <c r="AB1965">
        <v>48</v>
      </c>
      <c r="AC1965">
        <v>-3.0131230000000002</v>
      </c>
      <c r="AD1965">
        <v>4.0848259999999997E-3</v>
      </c>
      <c r="AE1965">
        <v>-2.056885E-2</v>
      </c>
      <c r="AF1965">
        <v>-2.2836601879653601E-2</v>
      </c>
      <c r="AG1965">
        <v>4.0848259999999997E-3</v>
      </c>
      <c r="AH1965">
        <v>3.0131011282097702</v>
      </c>
      <c r="AI1965">
        <v>89.922327059478903</v>
      </c>
      <c r="AJ1965">
        <v>90.434242263307496</v>
      </c>
      <c r="AK1965">
        <v>3.0131904362333</v>
      </c>
      <c r="AL1965">
        <v>85.748053550898803</v>
      </c>
      <c r="AM1965">
        <v>94.556545601250093</v>
      </c>
      <c r="AN1965">
        <v>1.0000000177819399</v>
      </c>
    </row>
    <row r="1966" spans="1:40" x14ac:dyDescent="0.25">
      <c r="A1966" t="str">
        <f>"20190305135829738"</f>
        <v>20190305135829738</v>
      </c>
      <c r="B1966" t="str">
        <f>"1551765509730552"</f>
        <v>1551765509730552</v>
      </c>
      <c r="C1966" t="s">
        <v>40</v>
      </c>
      <c r="D1966">
        <v>3.646795</v>
      </c>
      <c r="E1966">
        <v>0.52181279999999997</v>
      </c>
      <c r="F1966" t="s">
        <v>55</v>
      </c>
      <c r="G1966">
        <v>0</v>
      </c>
      <c r="H1966">
        <v>0</v>
      </c>
      <c r="I1966">
        <v>0</v>
      </c>
      <c r="J1966">
        <v>-367.7543</v>
      </c>
      <c r="K1966">
        <v>1.1085499999999999</v>
      </c>
      <c r="L1966">
        <v>283.7835</v>
      </c>
      <c r="M1966">
        <v>-0.99990840000000003</v>
      </c>
      <c r="N1966">
        <v>-1.347169E-2</v>
      </c>
      <c r="O1966">
        <v>1.3717359999999999E-3</v>
      </c>
      <c r="P1966">
        <v>-0.99509760000000003</v>
      </c>
      <c r="Q1966">
        <v>6.0564510000000002E-2</v>
      </c>
      <c r="R1966">
        <v>-7.81858E-2</v>
      </c>
      <c r="S1966">
        <v>-3.0116879999999999</v>
      </c>
      <c r="T1966">
        <v>-2.4445059999999999E-3</v>
      </c>
      <c r="U1966">
        <v>-4.263306E-2</v>
      </c>
      <c r="V1966">
        <v>-7.9413600000000001E-2</v>
      </c>
      <c r="W1966">
        <v>7.4110519999999999E-2</v>
      </c>
      <c r="X1966">
        <v>0.99408300000000005</v>
      </c>
      <c r="Y1966">
        <v>-1.552596E-2</v>
      </c>
      <c r="Z1966" s="1">
        <v>-9.3525260000000001E-5</v>
      </c>
      <c r="AA1966">
        <v>0.99987950000000003</v>
      </c>
      <c r="AB1966">
        <v>48</v>
      </c>
      <c r="AC1966">
        <v>-3.0116879999999999</v>
      </c>
      <c r="AD1966">
        <v>-2.4445059999999999E-3</v>
      </c>
      <c r="AE1966">
        <v>-4.263306E-2</v>
      </c>
      <c r="AF1966">
        <v>-4.67646044981282E-2</v>
      </c>
      <c r="AG1966">
        <v>-2.4445059999999999E-3</v>
      </c>
      <c r="AH1966">
        <v>3.01162469569296</v>
      </c>
      <c r="AI1966">
        <v>90.046500801941406</v>
      </c>
      <c r="AJ1966">
        <v>90.889619197920197</v>
      </c>
      <c r="AK1966">
        <v>3.0119887469164199</v>
      </c>
      <c r="AL1966">
        <v>85.749883167022702</v>
      </c>
      <c r="AM1966">
        <v>94.5674473681987</v>
      </c>
      <c r="AN1966">
        <v>0.99999994996431396</v>
      </c>
    </row>
    <row r="1967" spans="1:40" x14ac:dyDescent="0.25">
      <c r="A1967" t="str">
        <f>"20190305135829751"</f>
        <v>20190305135829751</v>
      </c>
      <c r="B1967" t="str">
        <f>"1551765509740313"</f>
        <v>1551765509740313</v>
      </c>
      <c r="C1967" t="s">
        <v>40</v>
      </c>
      <c r="D1967">
        <v>3.6478199999999998</v>
      </c>
      <c r="E1967">
        <v>0.52173979999999998</v>
      </c>
      <c r="F1967" t="s">
        <v>54</v>
      </c>
      <c r="G1967">
        <v>-1054.328</v>
      </c>
      <c r="H1967">
        <v>-0.1</v>
      </c>
      <c r="I1967">
        <v>272.03059999999999</v>
      </c>
      <c r="J1967">
        <v>-368.0265</v>
      </c>
      <c r="K1967">
        <v>1.1085130000000001</v>
      </c>
      <c r="L1967">
        <v>283.7842</v>
      </c>
      <c r="M1967">
        <v>-0.99990650000000003</v>
      </c>
      <c r="N1967">
        <v>-1.355754E-2</v>
      </c>
      <c r="O1967">
        <v>1.8567049999999999E-3</v>
      </c>
      <c r="P1967">
        <v>-0.99513289999999999</v>
      </c>
      <c r="Q1967">
        <v>6.0327489999999998E-2</v>
      </c>
      <c r="R1967">
        <v>-7.7917890000000004E-2</v>
      </c>
      <c r="S1967">
        <v>-3.0110779999999999</v>
      </c>
      <c r="T1967">
        <v>-5.3002830000000003E-3</v>
      </c>
      <c r="U1967">
        <v>-5.1544189999999997E-2</v>
      </c>
      <c r="V1967">
        <v>-7.9620640000000006E-2</v>
      </c>
      <c r="W1967">
        <v>7.3968339999999994E-2</v>
      </c>
      <c r="X1967">
        <v>0.99407710000000005</v>
      </c>
      <c r="Y1967">
        <v>-1.8971869999999998E-2</v>
      </c>
      <c r="Z1967">
        <v>-1.234149E-4</v>
      </c>
      <c r="AA1967">
        <v>0.99982000000000004</v>
      </c>
      <c r="AB1967">
        <v>48</v>
      </c>
      <c r="AC1967">
        <v>-686.30150000000003</v>
      </c>
      <c r="AD1967">
        <v>-1.2085129999999999</v>
      </c>
      <c r="AE1967">
        <v>-11.7536</v>
      </c>
      <c r="AF1967">
        <v>-13.0279157357662</v>
      </c>
      <c r="AG1967">
        <v>-1.2085129999999999</v>
      </c>
      <c r="AH1967">
        <v>686.27636447209102</v>
      </c>
      <c r="AI1967">
        <v>90.100877945417295</v>
      </c>
      <c r="AJ1967">
        <v>91.087542831818794</v>
      </c>
      <c r="AK1967">
        <v>686.40107482806297</v>
      </c>
      <c r="AL1967">
        <v>85.758052204667493</v>
      </c>
      <c r="AM1967">
        <v>94.5793316896509</v>
      </c>
      <c r="AN1967">
        <v>1.0000000211903799</v>
      </c>
    </row>
    <row r="1968" spans="1:40" x14ac:dyDescent="0.25">
      <c r="A1968" t="str">
        <f>"20190305135829770"</f>
        <v>20190305135829770</v>
      </c>
      <c r="B1968" t="str">
        <f>"1551765509760824"</f>
        <v>1551765509760824</v>
      </c>
      <c r="C1968" t="s">
        <v>40</v>
      </c>
      <c r="D1968">
        <v>3.6428500000000001</v>
      </c>
      <c r="E1968">
        <v>0.52190740000000002</v>
      </c>
      <c r="F1968" t="s">
        <v>54</v>
      </c>
      <c r="G1968">
        <v>-873.67740000000003</v>
      </c>
      <c r="H1968">
        <v>-0.1</v>
      </c>
      <c r="I1968">
        <v>275.21570000000003</v>
      </c>
      <c r="J1968">
        <v>-368.4314</v>
      </c>
      <c r="K1968">
        <v>1.108457</v>
      </c>
      <c r="L1968">
        <v>283.78550000000001</v>
      </c>
      <c r="M1968">
        <v>-0.99990310000000004</v>
      </c>
      <c r="N1968">
        <v>-1.3679210000000001E-2</v>
      </c>
      <c r="O1968">
        <v>2.6030720000000001E-3</v>
      </c>
      <c r="P1968">
        <v>-0.99519340000000001</v>
      </c>
      <c r="Q1968">
        <v>6.0058010000000002E-2</v>
      </c>
      <c r="R1968">
        <v>-7.735388E-2</v>
      </c>
      <c r="S1968">
        <v>-3.011139</v>
      </c>
      <c r="T1968">
        <v>-7.1966649999999997E-3</v>
      </c>
      <c r="U1968">
        <v>-5.1025389999999997E-2</v>
      </c>
      <c r="V1968">
        <v>-7.9786869999999996E-2</v>
      </c>
      <c r="W1968">
        <v>7.3833759999999998E-2</v>
      </c>
      <c r="X1968">
        <v>0.99407369999999995</v>
      </c>
      <c r="Y1968">
        <v>-1.9545460000000001E-2</v>
      </c>
      <c r="Z1968">
        <v>-1.2766939999999999E-4</v>
      </c>
      <c r="AA1968">
        <v>0.99980899999999995</v>
      </c>
      <c r="AB1968">
        <v>48</v>
      </c>
      <c r="AC1968">
        <v>-505.24599999999998</v>
      </c>
      <c r="AD1968">
        <v>-1.2084569999999999</v>
      </c>
      <c r="AE1968">
        <v>-8.5697999999999794</v>
      </c>
      <c r="AF1968">
        <v>-9.8850291391213592</v>
      </c>
      <c r="AG1968">
        <v>-1.2084569999999999</v>
      </c>
      <c r="AH1968">
        <v>505.219088589666</v>
      </c>
      <c r="AI1968">
        <v>90.137021949552405</v>
      </c>
      <c r="AJ1968">
        <v>91.120896273475694</v>
      </c>
      <c r="AK1968">
        <v>505.317228723477</v>
      </c>
      <c r="AL1968">
        <v>85.765783889404105</v>
      </c>
      <c r="AM1968">
        <v>94.588867143292603</v>
      </c>
      <c r="AN1968">
        <v>0.99999994488591004</v>
      </c>
    </row>
    <row r="1969" spans="1:40" x14ac:dyDescent="0.25">
      <c r="A1969" t="str">
        <f>"20190305135829784"</f>
        <v>20190305135829784</v>
      </c>
      <c r="B1969" t="str">
        <f>"1551765509780328"</f>
        <v>1551765509780328</v>
      </c>
      <c r="C1969" t="s">
        <v>40</v>
      </c>
      <c r="D1969">
        <v>3.652183</v>
      </c>
      <c r="E1969">
        <v>0.52215869999999998</v>
      </c>
      <c r="F1969" t="s">
        <v>54</v>
      </c>
      <c r="G1969">
        <v>-911.67970000000003</v>
      </c>
      <c r="H1969">
        <v>-0.1</v>
      </c>
      <c r="I1969">
        <v>275.11410000000001</v>
      </c>
      <c r="J1969">
        <v>-368.72770000000003</v>
      </c>
      <c r="K1969">
        <v>1.108409</v>
      </c>
      <c r="L1969">
        <v>283.78660000000002</v>
      </c>
      <c r="M1969">
        <v>-0.99990029999999996</v>
      </c>
      <c r="N1969">
        <v>-1.3762669999999999E-2</v>
      </c>
      <c r="O1969">
        <v>3.169547E-3</v>
      </c>
      <c r="P1969">
        <v>-0.99525180000000002</v>
      </c>
      <c r="Q1969">
        <v>5.982055E-2</v>
      </c>
      <c r="R1969">
        <v>-7.6782340000000004E-2</v>
      </c>
      <c r="S1969">
        <v>-3.0112299999999999</v>
      </c>
      <c r="T1969">
        <v>-6.6984890000000002E-3</v>
      </c>
      <c r="U1969">
        <v>-4.8065190000000001E-2</v>
      </c>
      <c r="V1969">
        <v>-7.9770649999999999E-2</v>
      </c>
      <c r="W1969">
        <v>7.3688710000000004E-2</v>
      </c>
      <c r="X1969">
        <v>0.99408580000000002</v>
      </c>
      <c r="Y1969">
        <v>-1.9128760000000002E-2</v>
      </c>
      <c r="Z1969">
        <v>-1.163512E-4</v>
      </c>
      <c r="AA1969">
        <v>0.99981699999999996</v>
      </c>
      <c r="AB1969">
        <v>48</v>
      </c>
      <c r="AC1969">
        <v>-542.952</v>
      </c>
      <c r="AD1969">
        <v>-1.2084090000000001</v>
      </c>
      <c r="AE1969">
        <v>-8.6725000000000101</v>
      </c>
      <c r="AF1969">
        <v>-10.3934797875079</v>
      </c>
      <c r="AG1969">
        <v>-1.2084090000000001</v>
      </c>
      <c r="AH1969">
        <v>542.91909310248798</v>
      </c>
      <c r="AI1969">
        <v>90.127503229743397</v>
      </c>
      <c r="AJ1969">
        <v>91.096719203662303</v>
      </c>
      <c r="AK1969">
        <v>543.01991338221899</v>
      </c>
      <c r="AL1969">
        <v>85.774117492991493</v>
      </c>
      <c r="AM1969">
        <v>94.587882642252595</v>
      </c>
      <c r="AN1969">
        <v>0.99999998017226299</v>
      </c>
    </row>
    <row r="1970" spans="1:40" x14ac:dyDescent="0.25">
      <c r="A1970" t="str">
        <f>"20190305135829803"</f>
        <v>20190305135829803</v>
      </c>
      <c r="B1970" t="str">
        <f>"1551765509800824"</f>
        <v>1551765509800824</v>
      </c>
      <c r="C1970" t="s">
        <v>40</v>
      </c>
      <c r="D1970">
        <v>3.6947239999999999</v>
      </c>
      <c r="E1970">
        <v>0.52210590000000001</v>
      </c>
      <c r="F1970" t="s">
        <v>54</v>
      </c>
      <c r="G1970">
        <v>-1042.3800000000001</v>
      </c>
      <c r="H1970">
        <v>-0.1</v>
      </c>
      <c r="I1970">
        <v>273.78460000000001</v>
      </c>
      <c r="J1970">
        <v>-369.1318</v>
      </c>
      <c r="K1970">
        <v>1.108357</v>
      </c>
      <c r="L1970">
        <v>283.78840000000002</v>
      </c>
      <c r="M1970">
        <v>-0.99989600000000001</v>
      </c>
      <c r="N1970">
        <v>-1.3868749999999999E-2</v>
      </c>
      <c r="O1970">
        <v>3.9659439999999999E-3</v>
      </c>
      <c r="P1970">
        <v>-0.99535859999999998</v>
      </c>
      <c r="Q1970">
        <v>5.941809E-2</v>
      </c>
      <c r="R1970">
        <v>-7.5703629999999994E-2</v>
      </c>
      <c r="S1970">
        <v>-3.0111690000000002</v>
      </c>
      <c r="T1970">
        <v>-5.4014919999999999E-3</v>
      </c>
      <c r="U1970">
        <v>-4.4708249999999998E-2</v>
      </c>
      <c r="V1970">
        <v>-7.9475130000000005E-2</v>
      </c>
      <c r="W1970">
        <v>7.3403869999999996E-2</v>
      </c>
      <c r="X1970">
        <v>0.99413059999999998</v>
      </c>
      <c r="Y1970">
        <v>-1.8811049999999999E-2</v>
      </c>
      <c r="Z1970" s="1">
        <v>-9.9439649999999999E-5</v>
      </c>
      <c r="AA1970">
        <v>0.99982300000000002</v>
      </c>
      <c r="AB1970">
        <v>48</v>
      </c>
      <c r="AC1970">
        <v>-673.2482</v>
      </c>
      <c r="AD1970">
        <v>-1.2083569999999999</v>
      </c>
      <c r="AE1970">
        <v>-10.0038</v>
      </c>
      <c r="AF1970">
        <v>-12.674001862790901</v>
      </c>
      <c r="AG1970">
        <v>-1.2083569999999999</v>
      </c>
      <c r="AH1970">
        <v>673.20105782395399</v>
      </c>
      <c r="AI1970">
        <v>90.102824282458499</v>
      </c>
      <c r="AJ1970">
        <v>91.078550059948597</v>
      </c>
      <c r="AK1970">
        <v>673.321434906945</v>
      </c>
      <c r="AL1970">
        <v>85.790482181566304</v>
      </c>
      <c r="AM1970">
        <v>94.570753319861396</v>
      </c>
      <c r="AN1970">
        <v>1.0000000371379201</v>
      </c>
    </row>
    <row r="1971" spans="1:40" x14ac:dyDescent="0.25">
      <c r="A1971" t="str">
        <f>"20190305135829817"</f>
        <v>20190305135829817</v>
      </c>
      <c r="B1971" t="str">
        <f>"1551765509810585"</f>
        <v>1551765509810585</v>
      </c>
      <c r="C1971" t="s">
        <v>40</v>
      </c>
      <c r="D1971">
        <v>3.6629040000000002</v>
      </c>
      <c r="E1971">
        <v>0.52219490000000002</v>
      </c>
      <c r="F1971" t="s">
        <v>54</v>
      </c>
      <c r="G1971">
        <v>-793.39390000000003</v>
      </c>
      <c r="H1971">
        <v>-0.1</v>
      </c>
      <c r="I1971">
        <v>277.88940000000002</v>
      </c>
      <c r="J1971">
        <v>-369.4418</v>
      </c>
      <c r="K1971">
        <v>1.10832</v>
      </c>
      <c r="L1971">
        <v>283.79000000000002</v>
      </c>
      <c r="M1971">
        <v>-0.99989229999999996</v>
      </c>
      <c r="N1971">
        <v>-1.394512E-2</v>
      </c>
      <c r="O1971">
        <v>4.5900000000000003E-3</v>
      </c>
      <c r="P1971">
        <v>-0.99541880000000005</v>
      </c>
      <c r="Q1971">
        <v>5.9200040000000002E-2</v>
      </c>
      <c r="R1971">
        <v>-7.5080419999999995E-2</v>
      </c>
      <c r="S1971">
        <v>-3.0113530000000002</v>
      </c>
      <c r="T1971">
        <v>-8.5767510000000005E-3</v>
      </c>
      <c r="U1971">
        <v>-4.1870119999999997E-2</v>
      </c>
      <c r="V1971">
        <v>-7.9465469999999996E-2</v>
      </c>
      <c r="W1971">
        <v>7.3269749999999995E-2</v>
      </c>
      <c r="X1971">
        <v>0.99414119999999995</v>
      </c>
      <c r="Y1971">
        <v>-1.8491879999999999E-2</v>
      </c>
      <c r="Z1971">
        <v>-1.0434619999999999E-4</v>
      </c>
      <c r="AA1971">
        <v>0.99982899999999997</v>
      </c>
      <c r="AB1971">
        <v>47</v>
      </c>
      <c r="AC1971">
        <v>-423.95209999999997</v>
      </c>
      <c r="AD1971">
        <v>-1.2083200000000001</v>
      </c>
      <c r="AE1971">
        <v>-5.9005999999999901</v>
      </c>
      <c r="AF1971">
        <v>-7.84660333711901</v>
      </c>
      <c r="AG1971">
        <v>-1.2083200000000001</v>
      </c>
      <c r="AH1971">
        <v>423.91710386815998</v>
      </c>
      <c r="AI1971">
        <v>90.163285679097001</v>
      </c>
      <c r="AJ1971">
        <v>91.060409966438698</v>
      </c>
      <c r="AK1971">
        <v>423.99143879696499</v>
      </c>
      <c r="AL1971">
        <v>85.798187162843604</v>
      </c>
      <c r="AM1971">
        <v>94.570151586870793</v>
      </c>
      <c r="AN1971">
        <v>0.99999997136241103</v>
      </c>
    </row>
    <row r="1972" spans="1:40" x14ac:dyDescent="0.25">
      <c r="A1972" t="str">
        <f>"20190305135829837"</f>
        <v>20190305135829837</v>
      </c>
      <c r="B1972" t="str">
        <f>"1551765509831080"</f>
        <v>1551765509831080</v>
      </c>
      <c r="C1972" t="s">
        <v>40</v>
      </c>
      <c r="D1972">
        <v>3.6789809999999998</v>
      </c>
      <c r="E1972">
        <v>0.52226919999999999</v>
      </c>
      <c r="F1972" t="s">
        <v>54</v>
      </c>
      <c r="G1972">
        <v>-791.60199999999998</v>
      </c>
      <c r="H1972">
        <v>-0.1</v>
      </c>
      <c r="I1972">
        <v>278.28820000000002</v>
      </c>
      <c r="J1972">
        <v>-369.8603</v>
      </c>
      <c r="K1972">
        <v>1.1082799999999999</v>
      </c>
      <c r="L1972">
        <v>283.79259999999999</v>
      </c>
      <c r="M1972">
        <v>-0.99988659999999996</v>
      </c>
      <c r="N1972">
        <v>-1.403833E-2</v>
      </c>
      <c r="O1972">
        <v>5.4525619999999898E-3</v>
      </c>
      <c r="P1972">
        <v>-0.99552969999999996</v>
      </c>
      <c r="Q1972">
        <v>5.9169279999999998E-2</v>
      </c>
      <c r="R1972">
        <v>-7.3618749999999997E-2</v>
      </c>
      <c r="S1972">
        <v>-3.0113530000000002</v>
      </c>
      <c r="T1972">
        <v>-8.6191889999999993E-3</v>
      </c>
      <c r="U1972">
        <v>-3.924561E-2</v>
      </c>
      <c r="V1972">
        <v>-7.8854489999999999E-2</v>
      </c>
      <c r="W1972">
        <v>7.3340150000000007E-2</v>
      </c>
      <c r="X1972">
        <v>0.99418470000000003</v>
      </c>
      <c r="Y1972">
        <v>-1.8483099999999999E-2</v>
      </c>
      <c r="Z1972" s="1">
        <v>-9.5259970000000004E-5</v>
      </c>
      <c r="AA1972">
        <v>0.99982919999999997</v>
      </c>
      <c r="AB1972">
        <v>47</v>
      </c>
      <c r="AC1972">
        <v>-421.74169999999998</v>
      </c>
      <c r="AD1972">
        <v>-1.20828</v>
      </c>
      <c r="AE1972">
        <v>-5.5043999999999702</v>
      </c>
      <c r="AF1972">
        <v>-7.8040534875548904</v>
      </c>
      <c r="AG1972">
        <v>-1.20828</v>
      </c>
      <c r="AH1972">
        <v>421.70195261848102</v>
      </c>
      <c r="AI1972">
        <v>90.164137972478301</v>
      </c>
      <c r="AJ1972">
        <v>91.0601997238021</v>
      </c>
      <c r="AK1972">
        <v>421.775888397659</v>
      </c>
      <c r="AL1972">
        <v>85.794142833650596</v>
      </c>
      <c r="AM1972">
        <v>94.534962957995006</v>
      </c>
      <c r="AN1972">
        <v>1.00000001295463</v>
      </c>
    </row>
    <row r="1973" spans="1:40" x14ac:dyDescent="0.25">
      <c r="A1973" t="str">
        <f>"20190305135829852"</f>
        <v>20190305135829852</v>
      </c>
      <c r="B1973" t="str">
        <f>"1551765509840840"</f>
        <v>1551765509840840</v>
      </c>
      <c r="C1973" t="s">
        <v>40</v>
      </c>
      <c r="D1973">
        <v>3.566014</v>
      </c>
      <c r="E1973">
        <v>0.52226919999999999</v>
      </c>
      <c r="F1973" t="s">
        <v>54</v>
      </c>
      <c r="G1973">
        <v>-822.14940000000001</v>
      </c>
      <c r="H1973">
        <v>-0.1</v>
      </c>
      <c r="I1973">
        <v>278.64069999999998</v>
      </c>
      <c r="J1973">
        <v>-370.16419999999999</v>
      </c>
      <c r="K1973">
        <v>1.1082590000000001</v>
      </c>
      <c r="L1973">
        <v>283.79469999999998</v>
      </c>
      <c r="M1973">
        <v>-0.99988220000000005</v>
      </c>
      <c r="N1973">
        <v>-1.409941E-2</v>
      </c>
      <c r="O1973">
        <v>6.0895159999999997E-3</v>
      </c>
      <c r="P1973">
        <v>-0.99559900000000001</v>
      </c>
      <c r="Q1973">
        <v>5.9150210000000002E-2</v>
      </c>
      <c r="R1973">
        <v>-7.2693099999999997E-2</v>
      </c>
      <c r="S1973">
        <v>-3.0113829999999999</v>
      </c>
      <c r="T1973">
        <v>-8.0448389999999998E-3</v>
      </c>
      <c r="U1973">
        <v>-3.4301760000000001E-2</v>
      </c>
      <c r="V1973">
        <v>-7.8557929999999998E-2</v>
      </c>
      <c r="W1973">
        <v>7.3386740000000006E-2</v>
      </c>
      <c r="X1973">
        <v>0.99420469999999905</v>
      </c>
      <c r="Y1973">
        <v>-1.7478690000000002E-2</v>
      </c>
      <c r="Z1973" s="1">
        <v>-7.6984380000000006E-5</v>
      </c>
      <c r="AA1973">
        <v>0.99984720000000005</v>
      </c>
      <c r="AB1973">
        <v>47</v>
      </c>
      <c r="AC1973">
        <v>-451.98520000000002</v>
      </c>
      <c r="AD1973">
        <v>-1.208259</v>
      </c>
      <c r="AE1973">
        <v>-5.1539999999999901</v>
      </c>
      <c r="AF1973">
        <v>-7.90649225179118</v>
      </c>
      <c r="AG1973">
        <v>-1.208259</v>
      </c>
      <c r="AH1973">
        <v>451.94220025019001</v>
      </c>
      <c r="AI1973">
        <v>90.153155392267294</v>
      </c>
      <c r="AJ1973">
        <v>91.002257433738293</v>
      </c>
      <c r="AK1973">
        <v>452.012969810073</v>
      </c>
      <c r="AL1973">
        <v>85.791466045203094</v>
      </c>
      <c r="AM1973">
        <v>94.517887870556905</v>
      </c>
      <c r="AN1973">
        <v>0.99999997373789995</v>
      </c>
    </row>
    <row r="1974" spans="1:40" x14ac:dyDescent="0.25">
      <c r="A1974" t="str">
        <f>"20190305135829871"</f>
        <v>20190305135829871</v>
      </c>
      <c r="B1974" t="str">
        <f>"1551765509860360"</f>
        <v>1551765509860360</v>
      </c>
      <c r="C1974" t="s">
        <v>40</v>
      </c>
      <c r="D1974">
        <v>3.7165569999999999</v>
      </c>
      <c r="E1974">
        <v>0.52210679999999998</v>
      </c>
      <c r="F1974" t="s">
        <v>54</v>
      </c>
      <c r="G1974">
        <v>-820.31569999999999</v>
      </c>
      <c r="H1974">
        <v>-0.1</v>
      </c>
      <c r="I1974">
        <v>279.08690000000001</v>
      </c>
      <c r="J1974">
        <v>-370.56599999999997</v>
      </c>
      <c r="K1974">
        <v>1.1082299999999901</v>
      </c>
      <c r="L1974">
        <v>283.79770000000002</v>
      </c>
      <c r="M1974">
        <v>-0.99987550000000003</v>
      </c>
      <c r="N1974">
        <v>-1.41741E-2</v>
      </c>
      <c r="O1974">
        <v>6.9397649999999996E-3</v>
      </c>
      <c r="P1974">
        <v>-0.99566719999999997</v>
      </c>
      <c r="Q1974">
        <v>5.9587300000000003E-2</v>
      </c>
      <c r="R1974">
        <v>-7.13916E-2</v>
      </c>
      <c r="S1974">
        <v>-3.0114139999999998</v>
      </c>
      <c r="T1974">
        <v>-8.0829860000000003E-3</v>
      </c>
      <c r="U1974">
        <v>-3.1494139999999997E-2</v>
      </c>
      <c r="V1974">
        <v>-7.8096020000000002E-2</v>
      </c>
      <c r="W1974">
        <v>7.3903659999999996E-2</v>
      </c>
      <c r="X1974">
        <v>0.9942029</v>
      </c>
      <c r="Y1974">
        <v>-1.7396669999999999E-2</v>
      </c>
      <c r="Z1974" s="1">
        <v>-6.6907669999999994E-5</v>
      </c>
      <c r="AA1974">
        <v>0.99984870000000003</v>
      </c>
      <c r="AB1974">
        <v>47</v>
      </c>
      <c r="AC1974">
        <v>-449.74970000000002</v>
      </c>
      <c r="AD1974">
        <v>-1.2082299999999999</v>
      </c>
      <c r="AE1974">
        <v>-4.7107999999999999</v>
      </c>
      <c r="AF1974">
        <v>-7.8321006967423497</v>
      </c>
      <c r="AG1974">
        <v>-1.2082299999999999</v>
      </c>
      <c r="AH1974">
        <v>449.70292736154499</v>
      </c>
      <c r="AI1974">
        <v>90.153914534190207</v>
      </c>
      <c r="AJ1974">
        <v>90.997771915486396</v>
      </c>
      <c r="AK1974">
        <v>449.77274761661499</v>
      </c>
      <c r="AL1974">
        <v>85.761768485793894</v>
      </c>
      <c r="AM1974">
        <v>94.491440412050906</v>
      </c>
      <c r="AN1974">
        <v>1.00000007283482</v>
      </c>
    </row>
    <row r="1975" spans="1:40" x14ac:dyDescent="0.25">
      <c r="A1975" t="str">
        <f>"20190305135829892"</f>
        <v>20190305135829892</v>
      </c>
      <c r="B1975" t="str">
        <f>"1551765509880857"</f>
        <v>1551765509880857</v>
      </c>
      <c r="C1975" t="s">
        <v>40</v>
      </c>
      <c r="D1975">
        <v>3.7154989999999999</v>
      </c>
      <c r="E1975">
        <v>0.52189859999999999</v>
      </c>
      <c r="F1975" t="s">
        <v>54</v>
      </c>
      <c r="G1975">
        <v>-892.27560000000005</v>
      </c>
      <c r="H1975">
        <v>-0.1</v>
      </c>
      <c r="I1975">
        <v>278.78570000000002</v>
      </c>
      <c r="J1975">
        <v>-371.01549999999997</v>
      </c>
      <c r="K1975">
        <v>1.108203</v>
      </c>
      <c r="L1975">
        <v>283.80149999999998</v>
      </c>
      <c r="M1975">
        <v>-0.99986739999999996</v>
      </c>
      <c r="N1975">
        <v>-1.424861E-2</v>
      </c>
      <c r="O1975">
        <v>7.8990580000000005E-3</v>
      </c>
      <c r="P1975">
        <v>-0.99573610000000001</v>
      </c>
      <c r="Q1975">
        <v>5.9727160000000001E-2</v>
      </c>
      <c r="R1975">
        <v>-7.0303320000000002E-2</v>
      </c>
      <c r="S1975">
        <v>-3.011444</v>
      </c>
      <c r="T1975">
        <v>-6.9742199999999997E-3</v>
      </c>
      <c r="U1975">
        <v>-2.893066E-2</v>
      </c>
      <c r="V1975">
        <v>-7.7956799999999896E-2</v>
      </c>
      <c r="W1975">
        <v>7.4122889999999997E-2</v>
      </c>
      <c r="X1975">
        <v>0.99419740000000001</v>
      </c>
      <c r="Y1975">
        <v>-1.7504760000000001E-2</v>
      </c>
      <c r="Z1975" s="1">
        <v>-5.0727609999999898E-5</v>
      </c>
      <c r="AA1975">
        <v>0.99984680000000004</v>
      </c>
      <c r="AB1975">
        <v>47</v>
      </c>
      <c r="AC1975">
        <v>-521.26009999999997</v>
      </c>
      <c r="AD1975">
        <v>-1.2082029999999999</v>
      </c>
      <c r="AE1975">
        <v>-5.0157999999999499</v>
      </c>
      <c r="AF1975">
        <v>-9.1334757318501296</v>
      </c>
      <c r="AG1975">
        <v>-1.2082029999999999</v>
      </c>
      <c r="AH1975">
        <v>521.20141043290698</v>
      </c>
      <c r="AI1975">
        <v>90.132797380801506</v>
      </c>
      <c r="AJ1975">
        <v>91.003942130575496</v>
      </c>
      <c r="AK1975">
        <v>521.28283145590501</v>
      </c>
      <c r="AL1975">
        <v>85.749172539530093</v>
      </c>
      <c r="AM1975">
        <v>94.483490999206296</v>
      </c>
      <c r="AN1975">
        <v>0.99999996782747502</v>
      </c>
    </row>
    <row r="1976" spans="1:40" x14ac:dyDescent="0.25">
      <c r="A1976" t="str">
        <f>"20190305135829907"</f>
        <v>20190305135829907</v>
      </c>
      <c r="B1976" t="str">
        <f>"1551765509901354"</f>
        <v>1551765509901354</v>
      </c>
      <c r="C1976" t="s">
        <v>40</v>
      </c>
      <c r="D1976">
        <v>3.742969</v>
      </c>
      <c r="E1976">
        <v>0.52159140000000004</v>
      </c>
      <c r="F1976" t="s">
        <v>54</v>
      </c>
      <c r="G1976">
        <v>-827.57439999999997</v>
      </c>
      <c r="H1976">
        <v>-0.1</v>
      </c>
      <c r="I1976">
        <v>279.7439</v>
      </c>
      <c r="J1976">
        <v>-371.32810000000001</v>
      </c>
      <c r="K1976">
        <v>1.108187</v>
      </c>
      <c r="L1976">
        <v>283.80439999999999</v>
      </c>
      <c r="M1976">
        <v>-0.99986120000000001</v>
      </c>
      <c r="N1976">
        <v>-1.429485E-2</v>
      </c>
      <c r="O1976">
        <v>8.5697469999999904E-3</v>
      </c>
      <c r="P1976">
        <v>-0.99578409999999995</v>
      </c>
      <c r="Q1976">
        <v>5.9717630000000001E-2</v>
      </c>
      <c r="R1976">
        <v>-6.9627640000000005E-2</v>
      </c>
      <c r="S1976">
        <v>-3.011444</v>
      </c>
      <c r="T1976">
        <v>-7.9692600000000006E-3</v>
      </c>
      <c r="U1976">
        <v>-2.676392E-2</v>
      </c>
      <c r="V1976">
        <v>-7.794566E-2</v>
      </c>
      <c r="W1976">
        <v>7.4162809999999996E-2</v>
      </c>
      <c r="X1976">
        <v>0.9941953</v>
      </c>
      <c r="Y1976">
        <v>-1.7456039999999999E-2</v>
      </c>
      <c r="Z1976" s="1">
        <v>-4.804251E-5</v>
      </c>
      <c r="AA1976">
        <v>0.99984770000000001</v>
      </c>
      <c r="AB1976">
        <v>47</v>
      </c>
      <c r="AC1976">
        <v>-456.24630000000002</v>
      </c>
      <c r="AD1976">
        <v>-1.2081869999999999</v>
      </c>
      <c r="AE1976">
        <v>-4.0604999999999896</v>
      </c>
      <c r="AF1976">
        <v>-7.9706094822547504</v>
      </c>
      <c r="AG1976">
        <v>-1.2081869999999999</v>
      </c>
      <c r="AH1976">
        <v>456.19154300301602</v>
      </c>
      <c r="AI1976">
        <v>90.151719801807104</v>
      </c>
      <c r="AJ1976">
        <v>91.000973884869197</v>
      </c>
      <c r="AK1976">
        <v>456.26276885016398</v>
      </c>
      <c r="AL1976">
        <v>85.746878994525702</v>
      </c>
      <c r="AM1976">
        <v>94.482862351913198</v>
      </c>
      <c r="AN1976">
        <v>0.99999997142101005</v>
      </c>
    </row>
    <row r="1977" spans="1:40" x14ac:dyDescent="0.25">
      <c r="A1977" t="str">
        <f>"20190305135829926"</f>
        <v>20190305135829926</v>
      </c>
      <c r="B1977" t="str">
        <f>"1551765509920873"</f>
        <v>1551765509920873</v>
      </c>
      <c r="C1977" t="s">
        <v>40</v>
      </c>
      <c r="D1977">
        <v>3.7637</v>
      </c>
      <c r="E1977">
        <v>0.49993729999999997</v>
      </c>
      <c r="F1977" t="s">
        <v>54</v>
      </c>
      <c r="G1977">
        <v>-803.15970000000004</v>
      </c>
      <c r="H1977">
        <v>-0.1</v>
      </c>
      <c r="I1977">
        <v>279.86130000000003</v>
      </c>
      <c r="J1977">
        <v>-371.73450000000003</v>
      </c>
      <c r="K1977">
        <v>1.1081749999999999</v>
      </c>
      <c r="L1977">
        <v>283.80849999999998</v>
      </c>
      <c r="M1977">
        <v>-0.99985250000000003</v>
      </c>
      <c r="N1977">
        <v>-1.434911E-2</v>
      </c>
      <c r="O1977">
        <v>9.4430160000000003E-3</v>
      </c>
      <c r="P1977">
        <v>-0.99582340000000003</v>
      </c>
      <c r="Q1977">
        <v>5.977267E-2</v>
      </c>
      <c r="R1977">
        <v>-6.9019200000000003E-2</v>
      </c>
      <c r="S1977">
        <v>-3.0112299999999999</v>
      </c>
      <c r="T1977">
        <v>-8.4248780000000002E-3</v>
      </c>
      <c r="U1977">
        <v>-2.7496340000000001E-2</v>
      </c>
      <c r="V1977">
        <v>-7.820241E-2</v>
      </c>
      <c r="W1977">
        <v>7.4276490000000001E-2</v>
      </c>
      <c r="X1977">
        <v>0.99416669999999996</v>
      </c>
      <c r="Y1977">
        <v>-1.8572999999999999E-2</v>
      </c>
      <c r="Z1977" s="1">
        <v>-5.0160610000000003E-5</v>
      </c>
      <c r="AA1977">
        <v>0.99982749999999998</v>
      </c>
      <c r="AB1977">
        <v>47</v>
      </c>
      <c r="AC1977">
        <v>-431.42520000000002</v>
      </c>
      <c r="AD1977">
        <v>-1.208175</v>
      </c>
      <c r="AE1977">
        <v>-3.9471999999999499</v>
      </c>
      <c r="AF1977">
        <v>-8.0213354284087792</v>
      </c>
      <c r="AG1977">
        <v>-1.208175</v>
      </c>
      <c r="AH1977">
        <v>431.36530043746302</v>
      </c>
      <c r="AI1977">
        <v>90.160446800949401</v>
      </c>
      <c r="AJ1977">
        <v>91.065305215935894</v>
      </c>
      <c r="AK1977">
        <v>431.44156490814402</v>
      </c>
      <c r="AL1977">
        <v>85.740347806043403</v>
      </c>
      <c r="AM1977">
        <v>94.4976970968942</v>
      </c>
      <c r="AN1977">
        <v>1.0000000206427</v>
      </c>
    </row>
    <row r="1978" spans="1:40" x14ac:dyDescent="0.25">
      <c r="A1978" t="str">
        <f>"20190305135829939"</f>
        <v>20190305135829939</v>
      </c>
      <c r="B1978" t="str">
        <f>"1551765509930633"</f>
        <v>1551765509930633</v>
      </c>
      <c r="C1978" t="s">
        <v>40</v>
      </c>
      <c r="D1978">
        <v>3.7677960000000001</v>
      </c>
      <c r="E1978">
        <v>0.49748120000000001</v>
      </c>
      <c r="F1978" t="s">
        <v>61</v>
      </c>
      <c r="G1978">
        <v>-417.59550000000002</v>
      </c>
      <c r="H1978" s="1">
        <v>3.8840509999999999E-6</v>
      </c>
      <c r="I1978">
        <v>280.8304</v>
      </c>
      <c r="J1978">
        <v>-372.01350000000002</v>
      </c>
      <c r="K1978">
        <v>1.108166</v>
      </c>
      <c r="L1978">
        <v>283.81150000000002</v>
      </c>
      <c r="M1978">
        <v>-0.99984620000000002</v>
      </c>
      <c r="N1978">
        <v>-1.43833E-2</v>
      </c>
      <c r="O1978">
        <v>1.004272E-2</v>
      </c>
      <c r="P1978">
        <v>-0.99585489999999999</v>
      </c>
      <c r="Q1978">
        <v>5.9787529999999998E-2</v>
      </c>
      <c r="R1978">
        <v>-6.8547319999999995E-2</v>
      </c>
      <c r="S1978">
        <v>-3.003387</v>
      </c>
      <c r="T1978">
        <v>-7.2572949999999997E-2</v>
      </c>
      <c r="U1978">
        <v>-0.19503780000000001</v>
      </c>
      <c r="V1978">
        <v>-7.8325370000000005E-2</v>
      </c>
      <c r="W1978">
        <v>7.4327829999999998E-2</v>
      </c>
      <c r="X1978">
        <v>0.99415310000000001</v>
      </c>
      <c r="Y1978">
        <v>-7.4786950000000005E-2</v>
      </c>
      <c r="Z1978">
        <v>-1.539154E-3</v>
      </c>
      <c r="AA1978">
        <v>0.99719829999999998</v>
      </c>
      <c r="AB1978">
        <v>47</v>
      </c>
      <c r="AC1978">
        <v>-45.582000000000001</v>
      </c>
      <c r="AD1978">
        <v>-1.108162115949</v>
      </c>
      <c r="AE1978">
        <v>-2.9811000000000201</v>
      </c>
      <c r="AF1978">
        <v>-3.43674160471544</v>
      </c>
      <c r="AG1978">
        <v>-1.108162115949</v>
      </c>
      <c r="AH1978">
        <v>45.522967920331297</v>
      </c>
      <c r="AI1978">
        <v>91.390515969767506</v>
      </c>
      <c r="AJ1978">
        <v>94.317336460659902</v>
      </c>
      <c r="AK1978">
        <v>45.6659591425421</v>
      </c>
      <c r="AL1978">
        <v>85.737397734463997</v>
      </c>
      <c r="AM1978">
        <v>94.504801247901597</v>
      </c>
      <c r="AN1978">
        <v>0.99999993806887599</v>
      </c>
    </row>
    <row r="1979" spans="1:40" x14ac:dyDescent="0.25">
      <c r="A1979" t="str">
        <f>"20190305135829952"</f>
        <v>20190305135829952</v>
      </c>
      <c r="B1979" t="str">
        <f>"1551765509940394"</f>
        <v>1551765509940394</v>
      </c>
      <c r="C1979" t="s">
        <v>40</v>
      </c>
      <c r="D1979">
        <v>3.750089</v>
      </c>
      <c r="E1979">
        <v>0.49589860000000002</v>
      </c>
      <c r="F1979" t="s">
        <v>61</v>
      </c>
      <c r="G1979">
        <v>-421.8263</v>
      </c>
      <c r="H1979" s="1">
        <v>4.0207000000000003E-6</v>
      </c>
      <c r="I1979">
        <v>280.26909999999998</v>
      </c>
      <c r="J1979">
        <v>-372.28660000000002</v>
      </c>
      <c r="K1979">
        <v>1.1081559999999999</v>
      </c>
      <c r="L1979">
        <v>283.81459999999998</v>
      </c>
      <c r="M1979">
        <v>-0.9998397</v>
      </c>
      <c r="N1979">
        <v>-1.441316E-2</v>
      </c>
      <c r="O1979">
        <v>1.063037E-2</v>
      </c>
      <c r="P1979">
        <v>-0.99588319999999997</v>
      </c>
      <c r="Q1979">
        <v>5.9989099999999997E-2</v>
      </c>
      <c r="R1979">
        <v>-6.7955399999999999E-2</v>
      </c>
      <c r="S1979">
        <v>-3.0018009999999999</v>
      </c>
      <c r="T1979">
        <v>-6.6779729999999995E-2</v>
      </c>
      <c r="U1979">
        <v>-0.21347050000000001</v>
      </c>
      <c r="V1979">
        <v>-7.8315469999999998E-2</v>
      </c>
      <c r="W1979">
        <v>7.4561310000000006E-2</v>
      </c>
      <c r="X1979">
        <v>0.99413649999999998</v>
      </c>
      <c r="Y1979">
        <v>-8.1502240000000004E-2</v>
      </c>
      <c r="Z1979">
        <v>-1.5767279999999999E-3</v>
      </c>
      <c r="AA1979">
        <v>0.99667190000000006</v>
      </c>
      <c r="AB1979">
        <v>47</v>
      </c>
      <c r="AC1979">
        <v>-49.539699999999897</v>
      </c>
      <c r="AD1979">
        <v>-1.1081519793000001</v>
      </c>
      <c r="AE1979">
        <v>-3.5455000000000001</v>
      </c>
      <c r="AF1979">
        <v>-4.0699535206986699</v>
      </c>
      <c r="AG1979">
        <v>-1.1081519793000001</v>
      </c>
      <c r="AH1979">
        <v>49.474576863451396</v>
      </c>
      <c r="AI1979">
        <v>91.278801682588195</v>
      </c>
      <c r="AJ1979">
        <v>94.702764043610998</v>
      </c>
      <c r="AK1979">
        <v>49.654066080105103</v>
      </c>
      <c r="AL1979">
        <v>85.723983533277703</v>
      </c>
      <c r="AM1979">
        <v>94.504309104777803</v>
      </c>
      <c r="AN1979">
        <v>1.00000004121124</v>
      </c>
    </row>
    <row r="1980" spans="1:40" x14ac:dyDescent="0.25">
      <c r="A1980" t="str">
        <f>"20190305135829965"</f>
        <v>20190305135829965</v>
      </c>
      <c r="B1980" t="str">
        <f>"1551765509960889"</f>
        <v>1551765509960889</v>
      </c>
      <c r="C1980" t="s">
        <v>40</v>
      </c>
      <c r="D1980">
        <v>3.6192899999999999</v>
      </c>
      <c r="E1980">
        <v>0.49455359999999998</v>
      </c>
      <c r="F1980" t="s">
        <v>61</v>
      </c>
      <c r="G1980">
        <v>-424.55700000000002</v>
      </c>
      <c r="H1980" s="1">
        <v>3.5679089999999998E-6</v>
      </c>
      <c r="I1980">
        <v>279.90769999999998</v>
      </c>
      <c r="J1980">
        <v>-372.56630000000001</v>
      </c>
      <c r="K1980">
        <v>1.1081479999999999</v>
      </c>
      <c r="L1980">
        <v>283.81799999999998</v>
      </c>
      <c r="M1980">
        <v>-0.99983270000000002</v>
      </c>
      <c r="N1980">
        <v>-1.444166E-2</v>
      </c>
      <c r="O1980">
        <v>1.123203E-2</v>
      </c>
      <c r="P1980">
        <v>-0.99589749999999999</v>
      </c>
      <c r="Q1980">
        <v>6.0318370000000003E-2</v>
      </c>
      <c r="R1980">
        <v>-6.7454650000000005E-2</v>
      </c>
      <c r="S1980">
        <v>-3.0009459999999999</v>
      </c>
      <c r="T1980">
        <v>-6.3621280000000002E-2</v>
      </c>
      <c r="U1980">
        <v>-0.22430420000000001</v>
      </c>
      <c r="V1980">
        <v>-7.8411460000000002E-2</v>
      </c>
      <c r="W1980">
        <v>7.4920790000000001E-2</v>
      </c>
      <c r="X1980">
        <v>0.99410189999999998</v>
      </c>
      <c r="Y1980">
        <v>-8.5701319999999998E-2</v>
      </c>
      <c r="Z1980">
        <v>-1.602745E-3</v>
      </c>
      <c r="AA1980">
        <v>0.99631959999999997</v>
      </c>
      <c r="AB1980">
        <v>47</v>
      </c>
      <c r="AC1980">
        <v>-51.990699999999897</v>
      </c>
      <c r="AD1980">
        <v>-1.1081444320910001</v>
      </c>
      <c r="AE1980">
        <v>-3.9102999999999999</v>
      </c>
      <c r="AF1980">
        <v>-4.4920459951038296</v>
      </c>
      <c r="AG1980">
        <v>-1.1081444320910001</v>
      </c>
      <c r="AH1980">
        <v>51.920039969087803</v>
      </c>
      <c r="AI1980">
        <v>91.218145449257904</v>
      </c>
      <c r="AJ1980">
        <v>94.9448335440769</v>
      </c>
      <c r="AK1980">
        <v>52.125780681886901</v>
      </c>
      <c r="AL1980">
        <v>85.703329048195101</v>
      </c>
      <c r="AM1980">
        <v>94.509963520295301</v>
      </c>
      <c r="AN1980">
        <v>1.00000003470858</v>
      </c>
    </row>
    <row r="1981" spans="1:40" x14ac:dyDescent="0.25">
      <c r="A1981" t="str">
        <f>"20190305135829982"</f>
        <v>20190305135829982</v>
      </c>
      <c r="B1981" t="str">
        <f>"1551765509970649"</f>
        <v>1551765509970649</v>
      </c>
      <c r="C1981" t="s">
        <v>40</v>
      </c>
      <c r="D1981">
        <v>3.7670469999999998</v>
      </c>
      <c r="E1981">
        <v>0.49419220000000003</v>
      </c>
      <c r="F1981" t="s">
        <v>61</v>
      </c>
      <c r="G1981">
        <v>-414.86059999999998</v>
      </c>
      <c r="H1981" s="1">
        <v>3.424962E-6</v>
      </c>
      <c r="I1981">
        <v>280.53250000000003</v>
      </c>
      <c r="J1981">
        <v>-372.91269999999997</v>
      </c>
      <c r="K1981">
        <v>1.1081379999999901</v>
      </c>
      <c r="L1981">
        <v>283.82240000000002</v>
      </c>
      <c r="M1981">
        <v>-0.99982360000000003</v>
      </c>
      <c r="N1981">
        <v>-1.4473959999999999E-2</v>
      </c>
      <c r="O1981">
        <v>1.19775E-2</v>
      </c>
      <c r="P1981">
        <v>-0.99590599999999996</v>
      </c>
      <c r="Q1981">
        <v>6.0491219999999998E-2</v>
      </c>
      <c r="R1981">
        <v>-6.7171320000000007E-2</v>
      </c>
      <c r="S1981">
        <v>-3.0013730000000001</v>
      </c>
      <c r="T1981">
        <v>-7.8638319999999998E-2</v>
      </c>
      <c r="U1981">
        <v>-0.23315429999999901</v>
      </c>
      <c r="V1981">
        <v>-7.8867179999999995E-2</v>
      </c>
      <c r="W1981">
        <v>7.5128589999999995E-2</v>
      </c>
      <c r="X1981">
        <v>0.99405010000000005</v>
      </c>
      <c r="Y1981">
        <v>-8.9338199999999895E-2</v>
      </c>
      <c r="Z1981">
        <v>-1.9563670000000001E-3</v>
      </c>
      <c r="AA1981">
        <v>0.99599950000000004</v>
      </c>
      <c r="AB1981">
        <v>47</v>
      </c>
      <c r="AC1981">
        <v>-41.947899999999997</v>
      </c>
      <c r="AD1981">
        <v>-1.1081345750379901</v>
      </c>
      <c r="AE1981">
        <v>-3.2898999999999798</v>
      </c>
      <c r="AF1981">
        <v>-3.7895191547726501</v>
      </c>
      <c r="AG1981">
        <v>-1.1081345750379901</v>
      </c>
      <c r="AH1981">
        <v>41.876436444145902</v>
      </c>
      <c r="AI1981">
        <v>91.5096418803343</v>
      </c>
      <c r="AJ1981">
        <v>95.170776112638606</v>
      </c>
      <c r="AK1981">
        <v>42.062148624640798</v>
      </c>
      <c r="AL1981">
        <v>85.691389052906203</v>
      </c>
      <c r="AM1981">
        <v>94.536301316449496</v>
      </c>
      <c r="AN1981">
        <v>0.99999996921327405</v>
      </c>
    </row>
    <row r="1982" spans="1:40" x14ac:dyDescent="0.25">
      <c r="A1982" t="str">
        <f>"20190305135830004"</f>
        <v>20190305135830004</v>
      </c>
      <c r="B1982" t="str">
        <f>"1551765510000906"</f>
        <v>1551765510000906</v>
      </c>
      <c r="C1982" t="s">
        <v>40</v>
      </c>
      <c r="D1982">
        <v>3.7542219999999999</v>
      </c>
      <c r="E1982">
        <v>0.49499470000000001</v>
      </c>
      <c r="F1982" t="s">
        <v>61</v>
      </c>
      <c r="G1982">
        <v>-417.23880000000003</v>
      </c>
      <c r="H1982" s="1">
        <v>3.8631429999999996E-6</v>
      </c>
      <c r="I1982">
        <v>280.34570000000002</v>
      </c>
      <c r="J1982">
        <v>-373.39249999999998</v>
      </c>
      <c r="K1982">
        <v>1.1081289999999999</v>
      </c>
      <c r="L1982">
        <v>283.82889999999998</v>
      </c>
      <c r="M1982">
        <v>-0.99981019999999998</v>
      </c>
      <c r="N1982">
        <v>-1.451273E-2</v>
      </c>
      <c r="O1982">
        <v>1.301101E-2</v>
      </c>
      <c r="P1982">
        <v>-0.99593370000000003</v>
      </c>
      <c r="Q1982">
        <v>6.0691670000000003E-2</v>
      </c>
      <c r="R1982">
        <v>-6.6579529999999998E-2</v>
      </c>
      <c r="S1982">
        <v>-3.0009769999999998</v>
      </c>
      <c r="T1982">
        <v>-7.502317E-2</v>
      </c>
      <c r="U1982">
        <v>-0.23538210000000001</v>
      </c>
      <c r="V1982">
        <v>-7.9301330000000003E-2</v>
      </c>
      <c r="W1982">
        <v>7.5370599999999996E-2</v>
      </c>
      <c r="X1982">
        <v>0.99399729999999997</v>
      </c>
      <c r="Y1982">
        <v>-9.1115379999999996E-2</v>
      </c>
      <c r="Z1982">
        <v>-1.9356200000000001E-3</v>
      </c>
      <c r="AA1982">
        <v>0.99583849999999996</v>
      </c>
      <c r="AB1982">
        <v>47</v>
      </c>
      <c r="AC1982">
        <v>-43.846299999999999</v>
      </c>
      <c r="AD1982">
        <v>-1.108125136857</v>
      </c>
      <c r="AE1982">
        <v>-3.4831999999999499</v>
      </c>
      <c r="AF1982">
        <v>-4.0508785756576398</v>
      </c>
      <c r="AG1982">
        <v>-1.108125136857</v>
      </c>
      <c r="AH1982">
        <v>43.769481859655301</v>
      </c>
      <c r="AI1982">
        <v>91.444095754114699</v>
      </c>
      <c r="AJ1982">
        <v>95.287678475833303</v>
      </c>
      <c r="AK1982">
        <v>43.970502621829901</v>
      </c>
      <c r="AL1982">
        <v>85.677483739520099</v>
      </c>
      <c r="AM1982">
        <v>94.5614090396341</v>
      </c>
      <c r="AN1982">
        <v>1.0000000303457</v>
      </c>
    </row>
    <row r="1983" spans="1:40" x14ac:dyDescent="0.25">
      <c r="A1983" t="str">
        <f>"20190305135830028"</f>
        <v>20190305135830028</v>
      </c>
      <c r="B1983" t="str">
        <f>"1551765510020426"</f>
        <v>1551765510020426</v>
      </c>
      <c r="C1983" t="s">
        <v>40</v>
      </c>
      <c r="D1983">
        <v>3.7851669999999999</v>
      </c>
      <c r="E1983">
        <v>0.49447479999999999</v>
      </c>
      <c r="F1983" t="s">
        <v>61</v>
      </c>
      <c r="G1983">
        <v>-418.81979999999999</v>
      </c>
      <c r="H1983" s="1">
        <v>4.1396509999999996E-6</v>
      </c>
      <c r="I1983">
        <v>280.39069999999998</v>
      </c>
      <c r="J1983">
        <v>-373.87450000000001</v>
      </c>
      <c r="K1983">
        <v>1.108131</v>
      </c>
      <c r="L1983">
        <v>283.83589999999998</v>
      </c>
      <c r="M1983">
        <v>-0.99979560000000001</v>
      </c>
      <c r="N1983">
        <v>-1.4546089999999999E-2</v>
      </c>
      <c r="O1983">
        <v>1.405058E-2</v>
      </c>
      <c r="P1983">
        <v>-0.99596719999999905</v>
      </c>
      <c r="Q1983">
        <v>6.0899799999999997E-2</v>
      </c>
      <c r="R1983">
        <v>-6.5884990000000004E-2</v>
      </c>
      <c r="S1983">
        <v>-3.0015260000000001</v>
      </c>
      <c r="T1983">
        <v>-7.3217389999999993E-2</v>
      </c>
      <c r="U1983">
        <v>-0.22717290000000001</v>
      </c>
      <c r="V1983">
        <v>-7.9639210000000002E-2</v>
      </c>
      <c r="W1983">
        <v>7.5614509999999996E-2</v>
      </c>
      <c r="X1983">
        <v>0.99395169999999999</v>
      </c>
      <c r="Y1983">
        <v>-8.9431490000000002E-2</v>
      </c>
      <c r="Z1983">
        <v>-1.8787789999999999E-3</v>
      </c>
      <c r="AA1983">
        <v>0.99599119999999997</v>
      </c>
      <c r="AB1983">
        <v>47</v>
      </c>
      <c r="AC1983">
        <v>-44.945299999999897</v>
      </c>
      <c r="AD1983">
        <v>-1.108126860349</v>
      </c>
      <c r="AE1983">
        <v>-3.4451999999999998</v>
      </c>
      <c r="AF1983">
        <v>-4.0739721349820899</v>
      </c>
      <c r="AG1983">
        <v>-1.108126860349</v>
      </c>
      <c r="AH1983">
        <v>44.865337180439703</v>
      </c>
      <c r="AI1983">
        <v>91.409063212752599</v>
      </c>
      <c r="AJ1983">
        <v>95.188482345616606</v>
      </c>
      <c r="AK1983">
        <v>45.063551506841797</v>
      </c>
      <c r="AL1983">
        <v>85.663468470049907</v>
      </c>
      <c r="AM1983">
        <v>94.580970604845106</v>
      </c>
      <c r="AN1983">
        <v>0.99999996991242601</v>
      </c>
    </row>
    <row r="1984" spans="1:40" x14ac:dyDescent="0.25">
      <c r="A1984" t="str">
        <f>"20190305135830050"</f>
        <v>20190305135830050</v>
      </c>
      <c r="B1984" t="str">
        <f>"1551765510040922"</f>
        <v>1551765510040922</v>
      </c>
      <c r="C1984" t="s">
        <v>40</v>
      </c>
      <c r="D1984">
        <v>3.8475739999999998</v>
      </c>
      <c r="E1984">
        <v>0.49365399999999998</v>
      </c>
      <c r="F1984" t="s">
        <v>61</v>
      </c>
      <c r="G1984">
        <v>-418.15800000000002</v>
      </c>
      <c r="H1984" s="1">
        <v>4.0165910000000002E-6</v>
      </c>
      <c r="I1984">
        <v>280.4556</v>
      </c>
      <c r="J1984">
        <v>-374.35070000000002</v>
      </c>
      <c r="K1984">
        <v>1.108128</v>
      </c>
      <c r="L1984">
        <v>283.84339999999997</v>
      </c>
      <c r="M1984">
        <v>-0.99978009999999995</v>
      </c>
      <c r="N1984">
        <v>-1.4574149999999999E-2</v>
      </c>
      <c r="O1984">
        <v>1.507965E-2</v>
      </c>
      <c r="P1984">
        <v>-0.99601229999999996</v>
      </c>
      <c r="Q1984">
        <v>6.090305E-2</v>
      </c>
      <c r="R1984">
        <v>-6.5197099999999994E-2</v>
      </c>
      <c r="S1984">
        <v>-3.0015869999999998</v>
      </c>
      <c r="T1984">
        <v>-7.5110079999999996E-2</v>
      </c>
      <c r="U1984">
        <v>-0.229126</v>
      </c>
      <c r="V1984">
        <v>-7.9974580000000003E-2</v>
      </c>
      <c r="W1984">
        <v>7.5647329999999999E-2</v>
      </c>
      <c r="X1984">
        <v>0.99392230000000004</v>
      </c>
      <c r="Y1984">
        <v>-9.1096570000000002E-2</v>
      </c>
      <c r="Z1984">
        <v>-1.960289E-3</v>
      </c>
      <c r="AA1984">
        <v>0.99584010000000001</v>
      </c>
      <c r="AB1984">
        <v>47</v>
      </c>
      <c r="AC1984">
        <v>-43.807299999999998</v>
      </c>
      <c r="AD1984">
        <v>-1.108123983409</v>
      </c>
      <c r="AE1984">
        <v>-3.3877999999999702</v>
      </c>
      <c r="AF1984">
        <v>-4.0455104500427304</v>
      </c>
      <c r="AG1984">
        <v>-1.108123983409</v>
      </c>
      <c r="AH1984">
        <v>43.723415133367098</v>
      </c>
      <c r="AI1984">
        <v>91.445618444863896</v>
      </c>
      <c r="AJ1984">
        <v>95.286243235027698</v>
      </c>
      <c r="AK1984">
        <v>43.924151949568298</v>
      </c>
      <c r="AL1984">
        <v>85.661582731173397</v>
      </c>
      <c r="AM1984">
        <v>94.600314471191098</v>
      </c>
      <c r="AN1984">
        <v>0.99999999520979699</v>
      </c>
    </row>
    <row r="1985" spans="1:40" x14ac:dyDescent="0.25">
      <c r="A1985" t="str">
        <f>"20190305135830072"</f>
        <v>20190305135830072</v>
      </c>
      <c r="B1985" t="str">
        <f>"1551765510060441"</f>
        <v>1551765510060441</v>
      </c>
      <c r="C1985" t="s">
        <v>40</v>
      </c>
      <c r="D1985">
        <v>3.8459409999999998</v>
      </c>
      <c r="E1985">
        <v>0.49310999999999999</v>
      </c>
      <c r="F1985" t="s">
        <v>61</v>
      </c>
      <c r="G1985">
        <v>-416.41109999999998</v>
      </c>
      <c r="H1985" s="1">
        <v>3.6964319999999999E-6</v>
      </c>
      <c r="I1985">
        <v>280.57319999999999</v>
      </c>
      <c r="J1985">
        <v>-374.80250000000001</v>
      </c>
      <c r="K1985">
        <v>1.108128</v>
      </c>
      <c r="L1985">
        <v>283.85090000000002</v>
      </c>
      <c r="M1985">
        <v>-0.99976469999999995</v>
      </c>
      <c r="N1985">
        <v>-1.459688E-2</v>
      </c>
      <c r="O1985">
        <v>1.605753E-2</v>
      </c>
      <c r="P1985">
        <v>-0.99608989999999997</v>
      </c>
      <c r="Q1985">
        <v>6.0786220000000002E-2</v>
      </c>
      <c r="R1985">
        <v>-6.4111879999999996E-2</v>
      </c>
      <c r="S1985">
        <v>-3.0015559999999999</v>
      </c>
      <c r="T1985">
        <v>-7.9079029999999995E-2</v>
      </c>
      <c r="U1985">
        <v>-0.23336789999999999</v>
      </c>
      <c r="V1985">
        <v>-7.9863290000000003E-2</v>
      </c>
      <c r="W1985">
        <v>7.5553659999999995E-2</v>
      </c>
      <c r="X1985">
        <v>0.9939384</v>
      </c>
      <c r="Y1985">
        <v>-9.3464660000000005E-2</v>
      </c>
      <c r="Z1985">
        <v>-2.1009280000000002E-3</v>
      </c>
      <c r="AA1985">
        <v>0.99562039999999996</v>
      </c>
      <c r="AB1985">
        <v>47</v>
      </c>
      <c r="AC1985">
        <v>-41.608599999999903</v>
      </c>
      <c r="AD1985">
        <v>-1.108124303568</v>
      </c>
      <c r="AE1985">
        <v>-3.27770000000003</v>
      </c>
      <c r="AF1985">
        <v>-3.94270053700125</v>
      </c>
      <c r="AG1985">
        <v>-1.108124303568</v>
      </c>
      <c r="AH1985">
        <v>41.521328724476</v>
      </c>
      <c r="AI1985">
        <v>91.521908515565997</v>
      </c>
      <c r="AJ1985">
        <v>95.424315727459103</v>
      </c>
      <c r="AK1985">
        <v>41.722818289787497</v>
      </c>
      <c r="AL1985">
        <v>85.666965145485406</v>
      </c>
      <c r="AM1985">
        <v>94.593866149627999</v>
      </c>
      <c r="AN1985">
        <v>1.0000000218117799</v>
      </c>
    </row>
    <row r="1986" spans="1:40" x14ac:dyDescent="0.25">
      <c r="A1986" t="str">
        <f>"20190305135830093"</f>
        <v>20190305135830093</v>
      </c>
      <c r="B1986" t="str">
        <f>"1551765510090697"</f>
        <v>1551765510090697</v>
      </c>
      <c r="C1986" t="s">
        <v>40</v>
      </c>
      <c r="D1986">
        <v>3.8683179999999999</v>
      </c>
      <c r="E1986">
        <v>0.49256100000000003</v>
      </c>
      <c r="F1986" t="s">
        <v>61</v>
      </c>
      <c r="G1986">
        <v>-414.53559999999999</v>
      </c>
      <c r="H1986" s="1">
        <v>3.3484769999999998E-6</v>
      </c>
      <c r="I1986">
        <v>280.74779999999998</v>
      </c>
      <c r="J1986">
        <v>-375.25979999999998</v>
      </c>
      <c r="K1986">
        <v>1.1081289999999999</v>
      </c>
      <c r="L1986">
        <v>283.85899999999998</v>
      </c>
      <c r="M1986">
        <v>-0.99974790000000002</v>
      </c>
      <c r="N1986">
        <v>-1.4616570000000001E-2</v>
      </c>
      <c r="O1986">
        <v>1.7048629999999999E-2</v>
      </c>
      <c r="P1986">
        <v>-0.99614849999999999</v>
      </c>
      <c r="Q1986">
        <v>6.064365E-2</v>
      </c>
      <c r="R1986">
        <v>-6.3331470000000001E-2</v>
      </c>
      <c r="S1986">
        <v>-3.0018009999999999</v>
      </c>
      <c r="T1986">
        <v>-8.3717940000000005E-2</v>
      </c>
      <c r="U1986">
        <v>-0.23443600000000001</v>
      </c>
      <c r="V1986">
        <v>-8.0070210000000003E-2</v>
      </c>
      <c r="W1986">
        <v>7.5431940000000003E-2</v>
      </c>
      <c r="X1986">
        <v>0.99393100000000001</v>
      </c>
      <c r="Y1986">
        <v>-9.4791319999999998E-2</v>
      </c>
      <c r="Z1986">
        <v>-2.2395700000000002E-3</v>
      </c>
      <c r="AA1986">
        <v>0.99549469999999995</v>
      </c>
      <c r="AB1986">
        <v>47</v>
      </c>
      <c r="AC1986">
        <v>-39.275799999999997</v>
      </c>
      <c r="AD1986">
        <v>-1.108125651523</v>
      </c>
      <c r="AE1986">
        <v>-3.1112000000000499</v>
      </c>
      <c r="AF1986">
        <v>-3.7774296068277802</v>
      </c>
      <c r="AG1986">
        <v>-1.108125651523</v>
      </c>
      <c r="AH1986">
        <v>39.186044490312703</v>
      </c>
      <c r="AI1986">
        <v>91.612341538032894</v>
      </c>
      <c r="AJ1986">
        <v>95.506146373860801</v>
      </c>
      <c r="AK1986">
        <v>39.383283251791802</v>
      </c>
      <c r="AL1986">
        <v>85.673959157424306</v>
      </c>
      <c r="AM1986">
        <v>94.605751525571804</v>
      </c>
      <c r="AN1986">
        <v>1.0000000244313001</v>
      </c>
    </row>
    <row r="1987" spans="1:40" x14ac:dyDescent="0.25">
      <c r="A1987" t="str">
        <f>"20190305135830108"</f>
        <v>20190305135830108</v>
      </c>
      <c r="B1987" t="str">
        <f>"1551765510100457"</f>
        <v>1551765510100457</v>
      </c>
      <c r="C1987" t="s">
        <v>40</v>
      </c>
      <c r="D1987">
        <v>3.8574290000000002</v>
      </c>
      <c r="E1987">
        <v>0.49242819999999998</v>
      </c>
      <c r="F1987" t="s">
        <v>61</v>
      </c>
      <c r="G1987">
        <v>-415.45580000000001</v>
      </c>
      <c r="H1987" s="1">
        <v>3.5162549999999999E-6</v>
      </c>
      <c r="I1987">
        <v>280.69589999999999</v>
      </c>
      <c r="J1987">
        <v>-375.56009999999998</v>
      </c>
      <c r="K1987">
        <v>1.1081270000000001</v>
      </c>
      <c r="L1987">
        <v>283.8646</v>
      </c>
      <c r="M1987">
        <v>-0.99973639999999997</v>
      </c>
      <c r="N1987">
        <v>-1.462775E-2</v>
      </c>
      <c r="O1987">
        <v>1.7699139999999999E-2</v>
      </c>
      <c r="P1987">
        <v>-0.99619639999999998</v>
      </c>
      <c r="Q1987">
        <v>6.0500030000000003E-2</v>
      </c>
      <c r="R1987">
        <v>-6.2712989999999996E-2</v>
      </c>
      <c r="S1987">
        <v>-3.0016479999999999</v>
      </c>
      <c r="T1987">
        <v>-8.2749489999999995E-2</v>
      </c>
      <c r="U1987">
        <v>-0.2362061</v>
      </c>
      <c r="V1987">
        <v>-8.0099899999999905E-2</v>
      </c>
      <c r="W1987">
        <v>7.5299749999999999E-2</v>
      </c>
      <c r="X1987">
        <v>0.99393860000000001</v>
      </c>
      <c r="Y1987">
        <v>-9.6026700000000006E-2</v>
      </c>
      <c r="Z1987">
        <v>-2.2536879999999998E-3</v>
      </c>
      <c r="AA1987">
        <v>0.99537620000000004</v>
      </c>
      <c r="AB1987">
        <v>47</v>
      </c>
      <c r="AC1987">
        <v>-39.895699999999998</v>
      </c>
      <c r="AD1987">
        <v>-1.108123483745</v>
      </c>
      <c r="AE1987">
        <v>-3.1686999999999999</v>
      </c>
      <c r="AF1987">
        <v>-3.8714306385333601</v>
      </c>
      <c r="AG1987">
        <v>-1.108123483745</v>
      </c>
      <c r="AH1987">
        <v>39.802845488299198</v>
      </c>
      <c r="AI1987">
        <v>91.587233738563697</v>
      </c>
      <c r="AJ1987">
        <v>95.555408858596806</v>
      </c>
      <c r="AK1987">
        <v>40.006029818136398</v>
      </c>
      <c r="AL1987">
        <v>85.681554554359593</v>
      </c>
      <c r="AM1987">
        <v>94.607416906169206</v>
      </c>
      <c r="AN1987">
        <v>0.999999993450016</v>
      </c>
    </row>
    <row r="1988" spans="1:40" x14ac:dyDescent="0.25">
      <c r="A1988" t="str">
        <f>"20190305135830120"</f>
        <v>20190305135830120</v>
      </c>
      <c r="B1988" t="str">
        <f>"1551765510111193"</f>
        <v>1551765510111193</v>
      </c>
      <c r="C1988" t="s">
        <v>40</v>
      </c>
      <c r="D1988">
        <v>3.881345</v>
      </c>
      <c r="E1988">
        <v>0.49229139999999999</v>
      </c>
      <c r="F1988" t="s">
        <v>61</v>
      </c>
      <c r="G1988">
        <v>-416.18639999999999</v>
      </c>
      <c r="H1988" s="1">
        <v>3.6476169999999999E-6</v>
      </c>
      <c r="I1988">
        <v>280.67579999999998</v>
      </c>
      <c r="J1988">
        <v>-375.83920000000001</v>
      </c>
      <c r="K1988">
        <v>1.1081299999999901</v>
      </c>
      <c r="L1988">
        <v>283.86989999999997</v>
      </c>
      <c r="M1988">
        <v>-0.99972530000000004</v>
      </c>
      <c r="N1988">
        <v>-1.4637300000000001E-2</v>
      </c>
      <c r="O1988">
        <v>1.8302969999999998E-2</v>
      </c>
      <c r="P1988">
        <v>-0.99624550000000001</v>
      </c>
      <c r="Q1988">
        <v>6.016117E-2</v>
      </c>
      <c r="R1988">
        <v>-6.2255669999999999E-2</v>
      </c>
      <c r="S1988">
        <v>-3.0015559999999999</v>
      </c>
      <c r="T1988">
        <v>-8.1870440000000003E-2</v>
      </c>
      <c r="U1988">
        <v>-0.23559569999999999</v>
      </c>
      <c r="V1988">
        <v>-8.0245499999999997E-2</v>
      </c>
      <c r="W1988">
        <v>7.4971189999999993E-2</v>
      </c>
      <c r="X1988">
        <v>0.99395169999999999</v>
      </c>
      <c r="Y1988">
        <v>-9.6429840000000003E-2</v>
      </c>
      <c r="Z1988">
        <v>-2.2508979999999999E-3</v>
      </c>
      <c r="AA1988">
        <v>0.99533720000000003</v>
      </c>
      <c r="AB1988">
        <v>47</v>
      </c>
      <c r="AC1988">
        <v>-40.347200000000001</v>
      </c>
      <c r="AD1988">
        <v>-1.1081263523829901</v>
      </c>
      <c r="AE1988">
        <v>-3.1940999999999899</v>
      </c>
      <c r="AF1988">
        <v>-3.9291722038994998</v>
      </c>
      <c r="AG1988">
        <v>-1.1081263523829901</v>
      </c>
      <c r="AH1988">
        <v>40.2517987065916</v>
      </c>
      <c r="AI1988">
        <v>91.569490360833996</v>
      </c>
      <c r="AJ1988">
        <v>95.575253924271706</v>
      </c>
      <c r="AK1988">
        <v>40.458295037442099</v>
      </c>
      <c r="AL1988">
        <v>85.700433050488897</v>
      </c>
      <c r="AM1988">
        <v>94.615695219082795</v>
      </c>
      <c r="AN1988">
        <v>1.0000000007665699</v>
      </c>
    </row>
    <row r="1989" spans="1:40" x14ac:dyDescent="0.25">
      <c r="A1989" t="str">
        <f>"20190305135830139"</f>
        <v>20190305135830139</v>
      </c>
      <c r="B1989" t="str">
        <f>"1551765510130713"</f>
        <v>1551765510130713</v>
      </c>
      <c r="C1989" t="s">
        <v>40</v>
      </c>
      <c r="D1989">
        <v>3.8755269999999999</v>
      </c>
      <c r="E1989">
        <v>0.49203639999999998</v>
      </c>
      <c r="F1989" t="s">
        <v>61</v>
      </c>
      <c r="G1989">
        <v>-416.6404</v>
      </c>
      <c r="H1989" s="1">
        <v>3.7283380000000001E-6</v>
      </c>
      <c r="I1989">
        <v>280.67360000000002</v>
      </c>
      <c r="J1989">
        <v>-376.2149</v>
      </c>
      <c r="K1989">
        <v>1.108134</v>
      </c>
      <c r="L1989">
        <v>283.87729999999999</v>
      </c>
      <c r="M1989">
        <v>-0.99970999999999999</v>
      </c>
      <c r="N1989">
        <v>-1.464857E-2</v>
      </c>
      <c r="O1989">
        <v>1.911347E-2</v>
      </c>
      <c r="P1989">
        <v>-0.99629350000000005</v>
      </c>
      <c r="Q1989">
        <v>5.9854739999999997E-2</v>
      </c>
      <c r="R1989">
        <v>-6.1781799999999998E-2</v>
      </c>
      <c r="S1989">
        <v>-3.0015260000000001</v>
      </c>
      <c r="T1989">
        <v>-8.1518889999999997E-2</v>
      </c>
      <c r="U1989">
        <v>-0.23513790000000001</v>
      </c>
      <c r="V1989">
        <v>-8.0580470000000001E-2</v>
      </c>
      <c r="W1989">
        <v>7.4676859999999998E-2</v>
      </c>
      <c r="X1989">
        <v>0.99394669999999896</v>
      </c>
      <c r="Y1989">
        <v>-9.7086679999999995E-2</v>
      </c>
      <c r="Z1989">
        <v>-2.267336E-3</v>
      </c>
      <c r="AA1989">
        <v>0.99527339999999997</v>
      </c>
      <c r="AB1989">
        <v>47</v>
      </c>
      <c r="AC1989">
        <v>-40.4255</v>
      </c>
      <c r="AD1989">
        <v>-1.1081302716619901</v>
      </c>
      <c r="AE1989">
        <v>-3.20369999999996</v>
      </c>
      <c r="AF1989">
        <v>-3.9729025197435002</v>
      </c>
      <c r="AG1989">
        <v>-1.1081302716619901</v>
      </c>
      <c r="AH1989">
        <v>40.326760744536202</v>
      </c>
      <c r="AI1989">
        <v>91.566442559321402</v>
      </c>
      <c r="AJ1989">
        <v>95.626496151364904</v>
      </c>
      <c r="AK1989">
        <v>40.537137778553401</v>
      </c>
      <c r="AL1989">
        <v>85.717344080236003</v>
      </c>
      <c r="AM1989">
        <v>94.634902027537507</v>
      </c>
      <c r="AN1989">
        <v>0.99999994400288295</v>
      </c>
    </row>
    <row r="1990" spans="1:40" x14ac:dyDescent="0.25">
      <c r="A1990" t="str">
        <f>"20190305135830152"</f>
        <v>20190305135830152</v>
      </c>
      <c r="B1990" t="str">
        <f>"1551765510140473"</f>
        <v>1551765510140473</v>
      </c>
      <c r="C1990" t="s">
        <v>40</v>
      </c>
      <c r="D1990">
        <v>3.9211170000000002</v>
      </c>
      <c r="E1990">
        <v>0.4918882</v>
      </c>
      <c r="F1990" t="s">
        <v>61</v>
      </c>
      <c r="G1990">
        <v>-417.27010000000001</v>
      </c>
      <c r="H1990" s="1">
        <v>3.8420179999999999E-6</v>
      </c>
      <c r="I1990">
        <v>280.65100000000001</v>
      </c>
      <c r="J1990">
        <v>-376.4966</v>
      </c>
      <c r="K1990">
        <v>1.1081350000000001</v>
      </c>
      <c r="L1990">
        <v>283.88319999999999</v>
      </c>
      <c r="M1990">
        <v>-0.99969819999999998</v>
      </c>
      <c r="N1990">
        <v>-1.465579E-2</v>
      </c>
      <c r="O1990">
        <v>1.9718360000000001E-2</v>
      </c>
      <c r="P1990">
        <v>-0.99632929999999997</v>
      </c>
      <c r="Q1990">
        <v>5.9596219999999998E-2</v>
      </c>
      <c r="R1990">
        <v>-6.1453349999999997E-2</v>
      </c>
      <c r="S1990">
        <v>-3.0014340000000002</v>
      </c>
      <c r="T1990">
        <v>-8.101237E-2</v>
      </c>
      <c r="U1990">
        <v>-0.23587040000000001</v>
      </c>
      <c r="V1990">
        <v>-8.0855940000000001E-2</v>
      </c>
      <c r="W1990">
        <v>7.4425790000000006E-2</v>
      </c>
      <c r="X1990">
        <v>0.99394320000000003</v>
      </c>
      <c r="Y1990">
        <v>-9.7932669999999999E-2</v>
      </c>
      <c r="Z1990">
        <v>-2.281263E-3</v>
      </c>
      <c r="AA1990">
        <v>0.99519040000000003</v>
      </c>
      <c r="AB1990">
        <v>47</v>
      </c>
      <c r="AC1990">
        <v>-40.773499999999999</v>
      </c>
      <c r="AD1990">
        <v>-1.1081311579819999</v>
      </c>
      <c r="AE1990">
        <v>-3.23219999999997</v>
      </c>
      <c r="AF1990">
        <v>-4.0326842571698798</v>
      </c>
      <c r="AG1990">
        <v>-1.1081311579819999</v>
      </c>
      <c r="AH1990">
        <v>40.6719764557606</v>
      </c>
      <c r="AI1990">
        <v>91.553058408022693</v>
      </c>
      <c r="AJ1990">
        <v>95.662450490201905</v>
      </c>
      <c r="AK1990">
        <v>40.886430093605199</v>
      </c>
      <c r="AL1990">
        <v>85.731769642677406</v>
      </c>
      <c r="AM1990">
        <v>94.650693684337298</v>
      </c>
      <c r="AN1990">
        <v>0.99999998303832305</v>
      </c>
    </row>
    <row r="1991" spans="1:40" x14ac:dyDescent="0.25">
      <c r="A1991" t="str">
        <f>"20190305135830171"</f>
        <v>20190305135830171</v>
      </c>
      <c r="B1991" t="str">
        <f>"1551765510160969"</f>
        <v>1551765510160969</v>
      </c>
      <c r="C1991" t="s">
        <v>40</v>
      </c>
      <c r="D1991">
        <v>3.8760289999999999</v>
      </c>
      <c r="E1991">
        <v>0.4916412</v>
      </c>
      <c r="F1991" t="s">
        <v>61</v>
      </c>
      <c r="G1991">
        <v>-417.42809999999997</v>
      </c>
      <c r="H1991" s="1">
        <v>3.8690130000000003E-6</v>
      </c>
      <c r="I1991">
        <v>280.66269999999997</v>
      </c>
      <c r="J1991">
        <v>-376.90089999999998</v>
      </c>
      <c r="K1991">
        <v>1.1081399999999999</v>
      </c>
      <c r="L1991">
        <v>283.89170000000001</v>
      </c>
      <c r="M1991">
        <v>-0.99968060000000003</v>
      </c>
      <c r="N1991">
        <v>-1.466513E-2</v>
      </c>
      <c r="O1991">
        <v>2.0582949999999999E-2</v>
      </c>
      <c r="P1991">
        <v>-0.99639639999999996</v>
      </c>
      <c r="Q1991">
        <v>5.9203649999999997E-2</v>
      </c>
      <c r="R1991">
        <v>-6.0741789999999997E-2</v>
      </c>
      <c r="S1991">
        <v>-3.0013429999999999</v>
      </c>
      <c r="T1991">
        <v>-8.1254720000000002E-2</v>
      </c>
      <c r="U1991">
        <v>-0.23614499999999999</v>
      </c>
      <c r="V1991">
        <v>-8.100802E-2</v>
      </c>
      <c r="W1991">
        <v>7.4042510000000006E-2</v>
      </c>
      <c r="X1991">
        <v>0.9939595</v>
      </c>
      <c r="Y1991">
        <v>-9.8885290000000001E-2</v>
      </c>
      <c r="Z1991">
        <v>-2.3177139999999998E-3</v>
      </c>
      <c r="AA1991">
        <v>0.99509610000000004</v>
      </c>
      <c r="AB1991">
        <v>47</v>
      </c>
      <c r="AC1991">
        <v>-40.527199999999901</v>
      </c>
      <c r="AD1991">
        <v>-1.1081361309869999</v>
      </c>
      <c r="AE1991">
        <v>-3.2290000000000401</v>
      </c>
      <c r="AF1991">
        <v>-4.0595588738639803</v>
      </c>
      <c r="AG1991">
        <v>-1.1081361309869999</v>
      </c>
      <c r="AH1991">
        <v>40.422112331862003</v>
      </c>
      <c r="AI1991">
        <v>91.562463530231994</v>
      </c>
      <c r="AJ1991">
        <v>95.734937824350695</v>
      </c>
      <c r="AK1991">
        <v>40.640560396048201</v>
      </c>
      <c r="AL1991">
        <v>85.753790972092105</v>
      </c>
      <c r="AM1991">
        <v>94.659326510372097</v>
      </c>
      <c r="AN1991">
        <v>1.00000004011583</v>
      </c>
    </row>
    <row r="1992" spans="1:40" x14ac:dyDescent="0.25">
      <c r="A1992" t="str">
        <f>"20190305135830186"</f>
        <v>20190305135830186</v>
      </c>
      <c r="B1992" t="str">
        <f>"1551765510180489"</f>
        <v>1551765510180489</v>
      </c>
      <c r="C1992" t="s">
        <v>40</v>
      </c>
      <c r="D1992">
        <v>3.8998620000000002</v>
      </c>
      <c r="E1992">
        <v>0.49136839999999998</v>
      </c>
      <c r="F1992" t="s">
        <v>61</v>
      </c>
      <c r="G1992">
        <v>-416.51459999999997</v>
      </c>
      <c r="H1992" s="1">
        <v>3.6967710000000002E-6</v>
      </c>
      <c r="I1992">
        <v>280.77940000000001</v>
      </c>
      <c r="J1992">
        <v>-377.20609999999999</v>
      </c>
      <c r="K1992">
        <v>1.1081430000000001</v>
      </c>
      <c r="L1992">
        <v>283.89850000000001</v>
      </c>
      <c r="M1992">
        <v>-0.99966699999999997</v>
      </c>
      <c r="N1992">
        <v>-1.4671190000000001E-2</v>
      </c>
      <c r="O1992">
        <v>2.1230599999999999E-2</v>
      </c>
      <c r="P1992">
        <v>-0.99643380000000004</v>
      </c>
      <c r="Q1992">
        <v>5.9060090000000003E-2</v>
      </c>
      <c r="R1992">
        <v>-6.0263579999999997E-2</v>
      </c>
      <c r="S1992">
        <v>-3.0014340000000002</v>
      </c>
      <c r="T1992">
        <v>-8.3960649999999998E-2</v>
      </c>
      <c r="U1992">
        <v>-0.2358093</v>
      </c>
      <c r="V1992">
        <v>-8.117663E-2</v>
      </c>
      <c r="W1992">
        <v>7.3904600000000001E-2</v>
      </c>
      <c r="X1992">
        <v>0.99395599999999995</v>
      </c>
      <c r="Y1992">
        <v>-9.9413280000000007E-2</v>
      </c>
      <c r="Z1992">
        <v>-2.400709E-3</v>
      </c>
      <c r="AA1992">
        <v>0.99504329999999996</v>
      </c>
      <c r="AB1992">
        <v>47</v>
      </c>
      <c r="AC1992">
        <v>-39.308499999999903</v>
      </c>
      <c r="AD1992">
        <v>-1.1081393032289999</v>
      </c>
      <c r="AE1992">
        <v>-3.1191</v>
      </c>
      <c r="AF1992">
        <v>-3.9499102078232999</v>
      </c>
      <c r="AG1992">
        <v>-1.1081393032289999</v>
      </c>
      <c r="AH1992">
        <v>39.202450526656698</v>
      </c>
      <c r="AI1992">
        <v>91.611001556909599</v>
      </c>
      <c r="AJ1992">
        <v>95.753517321606594</v>
      </c>
      <c r="AK1992">
        <v>39.4165179925903</v>
      </c>
      <c r="AL1992">
        <v>85.761714309017805</v>
      </c>
      <c r="AM1992">
        <v>94.668997964037104</v>
      </c>
      <c r="AN1992">
        <v>1.0000000325476499</v>
      </c>
    </row>
    <row r="1993" spans="1:40" x14ac:dyDescent="0.25">
      <c r="A1993" t="str">
        <f>"20190305135830200"</f>
        <v>20190305135830200</v>
      </c>
      <c r="B1993" t="str">
        <f>"1551765510191225"</f>
        <v>1551765510191225</v>
      </c>
      <c r="C1993" t="s">
        <v>40</v>
      </c>
      <c r="D1993">
        <v>3.905697</v>
      </c>
      <c r="E1993">
        <v>0.49124800000000002</v>
      </c>
      <c r="F1993" t="s">
        <v>61</v>
      </c>
      <c r="G1993">
        <v>-417.35719999999998</v>
      </c>
      <c r="H1993" s="1">
        <v>3.8503339999999999E-6</v>
      </c>
      <c r="I1993">
        <v>280.73250000000002</v>
      </c>
      <c r="J1993">
        <v>-377.49970000000002</v>
      </c>
      <c r="K1993">
        <v>1.1081490000000001</v>
      </c>
      <c r="L1993">
        <v>283.9051</v>
      </c>
      <c r="M1993">
        <v>-0.99965369999999998</v>
      </c>
      <c r="N1993">
        <v>-1.4676369999999999E-2</v>
      </c>
      <c r="O1993">
        <v>2.18491E-2</v>
      </c>
      <c r="P1993">
        <v>-0.99647960000000002</v>
      </c>
      <c r="Q1993">
        <v>5.8759400000000003E-2</v>
      </c>
      <c r="R1993">
        <v>-5.9801550000000002E-2</v>
      </c>
      <c r="S1993">
        <v>-3.0013730000000001</v>
      </c>
      <c r="T1993">
        <v>-8.2835560000000003E-2</v>
      </c>
      <c r="U1993">
        <v>-0.23666380000000001</v>
      </c>
      <c r="V1993">
        <v>-8.1333409999999995E-2</v>
      </c>
      <c r="W1993">
        <v>7.3608820000000005E-2</v>
      </c>
      <c r="X1993">
        <v>0.99396510000000005</v>
      </c>
      <c r="Y1993">
        <v>-0.10031279999999999</v>
      </c>
      <c r="Z1993">
        <v>-2.4013340000000002E-3</v>
      </c>
      <c r="AA1993">
        <v>0.99495299999999998</v>
      </c>
      <c r="AB1993">
        <v>47</v>
      </c>
      <c r="AC1993">
        <v>-39.857499999999902</v>
      </c>
      <c r="AD1993">
        <v>-1.108145149666</v>
      </c>
      <c r="AE1993">
        <v>-3.1725999999999801</v>
      </c>
      <c r="AF1993">
        <v>-4.0396836807492402</v>
      </c>
      <c r="AG1993">
        <v>-1.108145149666</v>
      </c>
      <c r="AH1993">
        <v>39.7481258458456</v>
      </c>
      <c r="AI1993">
        <v>91.588765753426102</v>
      </c>
      <c r="AJ1993">
        <v>95.803162077212605</v>
      </c>
      <c r="AK1993">
        <v>39.968244121682602</v>
      </c>
      <c r="AL1993">
        <v>85.7787074058039</v>
      </c>
      <c r="AM1993">
        <v>94.677932785125805</v>
      </c>
      <c r="AN1993">
        <v>1.0000000009910099</v>
      </c>
    </row>
    <row r="1994" spans="1:40" x14ac:dyDescent="0.25">
      <c r="A1994" t="str">
        <f>"20190305135830212"</f>
        <v>20190305135830212</v>
      </c>
      <c r="B1994" t="str">
        <f>"1551765510210745"</f>
        <v>1551765510210745</v>
      </c>
      <c r="C1994" t="s">
        <v>40</v>
      </c>
      <c r="D1994">
        <v>4.2533960000000004</v>
      </c>
      <c r="E1994">
        <v>0.49143419999999999</v>
      </c>
      <c r="F1994" t="s">
        <v>61</v>
      </c>
      <c r="G1994">
        <v>-417.38099999999997</v>
      </c>
      <c r="H1994" s="1">
        <v>3.8517659999999996E-6</v>
      </c>
      <c r="I1994">
        <v>280.76440000000002</v>
      </c>
      <c r="J1994">
        <v>-377.77480000000003</v>
      </c>
      <c r="K1994">
        <v>1.1081570000000001</v>
      </c>
      <c r="L1994">
        <v>283.91149999999999</v>
      </c>
      <c r="M1994">
        <v>-0.99964090000000005</v>
      </c>
      <c r="N1994">
        <v>-1.4680500000000001E-2</v>
      </c>
      <c r="O1994">
        <v>2.242127E-2</v>
      </c>
      <c r="P1994">
        <v>-0.99652300000000005</v>
      </c>
      <c r="Q1994">
        <v>5.842162E-2</v>
      </c>
      <c r="R1994">
        <v>-5.94096E-2</v>
      </c>
      <c r="S1994">
        <v>-3.0013730000000001</v>
      </c>
      <c r="T1994">
        <v>-8.3396319999999996E-2</v>
      </c>
      <c r="U1994">
        <v>-0.2363586</v>
      </c>
      <c r="V1994">
        <v>-8.1514100000000006E-2</v>
      </c>
      <c r="W1994">
        <v>7.3274049999999993E-2</v>
      </c>
      <c r="X1994">
        <v>0.99397500000000005</v>
      </c>
      <c r="Y1994">
        <v>-0.1007807</v>
      </c>
      <c r="Z1994">
        <v>-2.4323040000000001E-3</v>
      </c>
      <c r="AA1994">
        <v>0.9949057</v>
      </c>
      <c r="AB1994">
        <v>47</v>
      </c>
      <c r="AC1994">
        <v>-39.606199999999902</v>
      </c>
      <c r="AD1994">
        <v>-1.1081531482339999</v>
      </c>
      <c r="AE1994">
        <v>-3.14709999999996</v>
      </c>
      <c r="AF1994">
        <v>-4.0312895703286404</v>
      </c>
      <c r="AG1994">
        <v>-1.1081531482339999</v>
      </c>
      <c r="AH1994">
        <v>39.494947491769203</v>
      </c>
      <c r="AI1994">
        <v>91.598885924114001</v>
      </c>
      <c r="AJ1994">
        <v>95.828054726868302</v>
      </c>
      <c r="AK1994">
        <v>39.715616278453801</v>
      </c>
      <c r="AL1994">
        <v>85.797940111803001</v>
      </c>
      <c r="AM1994">
        <v>94.688232500633902</v>
      </c>
      <c r="AN1994">
        <v>0.999999967763605</v>
      </c>
    </row>
    <row r="1995" spans="1:40" x14ac:dyDescent="0.25">
      <c r="A1995" t="str">
        <f>"20190305135830228"</f>
        <v>20190305135830228</v>
      </c>
      <c r="B1995" t="str">
        <f>"1551765510220506"</f>
        <v>1551765510220506</v>
      </c>
      <c r="C1995" t="s">
        <v>40</v>
      </c>
      <c r="D1995">
        <v>3.915956</v>
      </c>
      <c r="E1995">
        <v>0.4913149</v>
      </c>
      <c r="F1995" t="s">
        <v>61</v>
      </c>
      <c r="G1995">
        <v>-417.63729999999998</v>
      </c>
      <c r="H1995" s="1">
        <v>3.8935869999999997E-6</v>
      </c>
      <c r="I1995">
        <v>280.80599999999998</v>
      </c>
      <c r="J1995">
        <v>-378.08269999999999</v>
      </c>
      <c r="K1995">
        <v>1.1081669999999999</v>
      </c>
      <c r="L1995">
        <v>283.91879999999998</v>
      </c>
      <c r="M1995">
        <v>-0.99962649999999997</v>
      </c>
      <c r="N1995">
        <v>-1.4684539999999999E-2</v>
      </c>
      <c r="O1995">
        <v>2.3054379999999999E-2</v>
      </c>
      <c r="P1995">
        <v>-0.99658040000000003</v>
      </c>
      <c r="Q1995">
        <v>5.8307449999999997E-2</v>
      </c>
      <c r="R1995">
        <v>-5.8549520000000001E-2</v>
      </c>
      <c r="S1995">
        <v>-3.001404</v>
      </c>
      <c r="T1995">
        <v>-8.3437199999999906E-2</v>
      </c>
      <c r="U1995">
        <v>-0.2338257</v>
      </c>
      <c r="V1995">
        <v>-8.1287739999999997E-2</v>
      </c>
      <c r="W1995">
        <v>7.3161809999999994E-2</v>
      </c>
      <c r="X1995">
        <v>0.99400189999999999</v>
      </c>
      <c r="Y1995">
        <v>-0.1005755</v>
      </c>
      <c r="Z1995">
        <v>-2.4373540000000001E-3</v>
      </c>
      <c r="AA1995">
        <v>0.99492650000000005</v>
      </c>
      <c r="AB1995">
        <v>47</v>
      </c>
      <c r="AC1995">
        <v>-39.554599999999901</v>
      </c>
      <c r="AD1995">
        <v>-1.108163106413</v>
      </c>
      <c r="AE1995">
        <v>-3.1127999999999898</v>
      </c>
      <c r="AF1995">
        <v>-4.0208409393225102</v>
      </c>
      <c r="AG1995">
        <v>-1.108163106413</v>
      </c>
      <c r="AH1995">
        <v>39.441546154290798</v>
      </c>
      <c r="AI1995">
        <v>91.601084439496006</v>
      </c>
      <c r="AJ1995">
        <v>95.820869165377502</v>
      </c>
      <c r="AK1995">
        <v>39.661451692680103</v>
      </c>
      <c r="AL1995">
        <v>85.804388694221998</v>
      </c>
      <c r="AM1995">
        <v>94.675145376851503</v>
      </c>
      <c r="AN1995">
        <v>1.0000000621601901</v>
      </c>
    </row>
    <row r="1996" spans="1:40" x14ac:dyDescent="0.25">
      <c r="A1996" t="str">
        <f>"20190305135830241"</f>
        <v>20190305135830241</v>
      </c>
      <c r="B1996" t="str">
        <f>"1551765510231241"</f>
        <v>1551765510231241</v>
      </c>
      <c r="C1996" t="s">
        <v>40</v>
      </c>
      <c r="D1996">
        <v>3.8906839999999998</v>
      </c>
      <c r="E1996">
        <v>0.49115490000000001</v>
      </c>
      <c r="F1996" t="s">
        <v>61</v>
      </c>
      <c r="G1996">
        <v>-418.07299999999998</v>
      </c>
      <c r="H1996" s="1">
        <v>3.9692780000000001E-6</v>
      </c>
      <c r="I1996">
        <v>280.82420000000002</v>
      </c>
      <c r="J1996">
        <v>-378.35860000000002</v>
      </c>
      <c r="K1996">
        <v>1.1081780000000001</v>
      </c>
      <c r="L1996">
        <v>283.9255</v>
      </c>
      <c r="M1996">
        <v>-0.99961330000000004</v>
      </c>
      <c r="N1996">
        <v>-1.4687779999999999E-2</v>
      </c>
      <c r="O1996">
        <v>2.361446E-2</v>
      </c>
      <c r="P1996">
        <v>-0.99662139999999999</v>
      </c>
      <c r="Q1996">
        <v>5.8114279999999997E-2</v>
      </c>
      <c r="R1996">
        <v>-5.80414E-2</v>
      </c>
      <c r="S1996">
        <v>-3.0015260000000001</v>
      </c>
      <c r="T1996">
        <v>-8.3174819999999997E-2</v>
      </c>
      <c r="U1996">
        <v>-0.23226930000000001</v>
      </c>
      <c r="V1996">
        <v>-8.1340549999999998E-2</v>
      </c>
      <c r="W1996">
        <v>7.2970160000000006E-2</v>
      </c>
      <c r="X1996">
        <v>0.9940116</v>
      </c>
      <c r="Y1996">
        <v>-0.10061730000000001</v>
      </c>
      <c r="Z1996">
        <v>-2.4391500000000002E-3</v>
      </c>
      <c r="AA1996">
        <v>0.99492219999999998</v>
      </c>
      <c r="AB1996">
        <v>47</v>
      </c>
      <c r="AC1996">
        <v>-39.714399999999998</v>
      </c>
      <c r="AD1996">
        <v>-1.108174030722</v>
      </c>
      <c r="AE1996">
        <v>-3.1012999999999802</v>
      </c>
      <c r="AF1996">
        <v>-4.0352473726011002</v>
      </c>
      <c r="AG1996">
        <v>-1.108174030722</v>
      </c>
      <c r="AH1996">
        <v>39.599433790354603</v>
      </c>
      <c r="AI1996">
        <v>91.594726600585403</v>
      </c>
      <c r="AJ1996">
        <v>95.818450057940495</v>
      </c>
      <c r="AK1996">
        <v>39.819925006924997</v>
      </c>
      <c r="AL1996">
        <v>85.815398577672994</v>
      </c>
      <c r="AM1996">
        <v>94.678123741031897</v>
      </c>
      <c r="AN1996">
        <v>0.99999999512964399</v>
      </c>
    </row>
    <row r="1997" spans="1:40" x14ac:dyDescent="0.25">
      <c r="A1997" t="str">
        <f>"20190305135830262"</f>
        <v>20190305135830262</v>
      </c>
      <c r="B1997" t="str">
        <f>"1551765510250761"</f>
        <v>1551765510250761</v>
      </c>
      <c r="C1997" t="s">
        <v>40</v>
      </c>
      <c r="D1997">
        <v>3.8934790000000001</v>
      </c>
      <c r="E1997">
        <v>0.49088199999999999</v>
      </c>
      <c r="F1997" t="s">
        <v>61</v>
      </c>
      <c r="G1997">
        <v>-417.52030000000002</v>
      </c>
      <c r="H1997" s="1">
        <v>3.8648400000000001E-6</v>
      </c>
      <c r="I1997">
        <v>280.89760000000001</v>
      </c>
      <c r="J1997">
        <v>-378.7885</v>
      </c>
      <c r="K1997">
        <v>1.1081989999999999</v>
      </c>
      <c r="L1997">
        <v>283.93630000000002</v>
      </c>
      <c r="M1997">
        <v>-0.9995927</v>
      </c>
      <c r="N1997">
        <v>-1.4691910000000001E-2</v>
      </c>
      <c r="O1997">
        <v>2.446483E-2</v>
      </c>
      <c r="P1997">
        <v>-0.99667380000000005</v>
      </c>
      <c r="Q1997">
        <v>5.8132490000000002E-2</v>
      </c>
      <c r="R1997">
        <v>-5.7116630000000002E-2</v>
      </c>
      <c r="S1997">
        <v>-3.0016479999999999</v>
      </c>
      <c r="T1997">
        <v>-8.4938650000000004E-2</v>
      </c>
      <c r="U1997">
        <v>-0.23208619999999999</v>
      </c>
      <c r="V1997">
        <v>-8.1267450000000005E-2</v>
      </c>
      <c r="W1997">
        <v>7.2988230000000001E-2</v>
      </c>
      <c r="X1997">
        <v>0.99401620000000002</v>
      </c>
      <c r="Y1997">
        <v>-0.1013974</v>
      </c>
      <c r="Z1997">
        <v>-2.510857E-3</v>
      </c>
      <c r="AA1997">
        <v>0.99484280000000003</v>
      </c>
      <c r="AB1997">
        <v>47</v>
      </c>
      <c r="AC1997">
        <v>-38.7318</v>
      </c>
      <c r="AD1997">
        <v>-1.1081951351599999</v>
      </c>
      <c r="AE1997">
        <v>-3.0387</v>
      </c>
      <c r="AF1997">
        <v>-3.9822194140451899</v>
      </c>
      <c r="AG1997">
        <v>-1.1081951351599999</v>
      </c>
      <c r="AH1997">
        <v>38.614437183373802</v>
      </c>
      <c r="AI1997">
        <v>91.635211707667196</v>
      </c>
      <c r="AJ1997">
        <v>95.887969293860905</v>
      </c>
      <c r="AK1997">
        <v>38.835047661975601</v>
      </c>
      <c r="AL1997">
        <v>85.814360256229804</v>
      </c>
      <c r="AM1997">
        <v>94.673916655686</v>
      </c>
      <c r="AN1997">
        <v>0.99999994300523598</v>
      </c>
    </row>
    <row r="1998" spans="1:40" x14ac:dyDescent="0.25">
      <c r="A1998" t="str">
        <f>"20190305135830283"</f>
        <v>20190305135830283</v>
      </c>
      <c r="B1998" t="str">
        <f>"1551765510281018"</f>
        <v>1551765510281018</v>
      </c>
      <c r="C1998" t="s">
        <v>40</v>
      </c>
      <c r="D1998">
        <v>3.8869370000000001</v>
      </c>
      <c r="E1998">
        <v>0.49057020000000001</v>
      </c>
      <c r="F1998" t="s">
        <v>61</v>
      </c>
      <c r="G1998">
        <v>-417.13409999999999</v>
      </c>
      <c r="H1998" s="1">
        <v>3.7891089999999999E-6</v>
      </c>
      <c r="I1998">
        <v>280.98020000000002</v>
      </c>
      <c r="J1998">
        <v>-379.23750000000001</v>
      </c>
      <c r="K1998">
        <v>1.108233</v>
      </c>
      <c r="L1998">
        <v>283.94799999999998</v>
      </c>
      <c r="M1998">
        <v>-0.99957130000000005</v>
      </c>
      <c r="N1998">
        <v>-1.4694870000000001E-2</v>
      </c>
      <c r="O1998">
        <v>2.5322689999999998E-2</v>
      </c>
      <c r="P1998">
        <v>-0.99673250000000002</v>
      </c>
      <c r="Q1998">
        <v>5.8382490000000002E-2</v>
      </c>
      <c r="R1998">
        <v>-5.5819979999999998E-2</v>
      </c>
      <c r="S1998">
        <v>-3.0018009999999999</v>
      </c>
      <c r="T1998">
        <v>-8.6752650000000001E-2</v>
      </c>
      <c r="U1998">
        <v>-0.2314148</v>
      </c>
      <c r="V1998">
        <v>-8.0830860000000004E-2</v>
      </c>
      <c r="W1998">
        <v>7.3234569999999999E-2</v>
      </c>
      <c r="X1998">
        <v>0.99403379999999997</v>
      </c>
      <c r="Y1998">
        <v>-0.10202319999999999</v>
      </c>
      <c r="Z1998">
        <v>-2.581982E-3</v>
      </c>
      <c r="AA1998">
        <v>0.99477870000000002</v>
      </c>
      <c r="AB1998">
        <v>47</v>
      </c>
      <c r="AC1998">
        <v>-37.8965999999999</v>
      </c>
      <c r="AD1998">
        <v>-1.1082292108909999</v>
      </c>
      <c r="AE1998">
        <v>-2.9677999999999498</v>
      </c>
      <c r="AF1998">
        <v>-3.9232609572073098</v>
      </c>
      <c r="AG1998">
        <v>-1.1082292108909999</v>
      </c>
      <c r="AH1998">
        <v>37.777174802710597</v>
      </c>
      <c r="AI1998">
        <v>91.671360232596001</v>
      </c>
      <c r="AJ1998">
        <v>95.929065644417406</v>
      </c>
      <c r="AK1998">
        <v>37.996514111122998</v>
      </c>
      <c r="AL1998">
        <v>85.800208643142795</v>
      </c>
      <c r="AM1998">
        <v>94.648835557648198</v>
      </c>
      <c r="AN1998">
        <v>1.0000000628569301</v>
      </c>
    </row>
    <row r="1999" spans="1:40" x14ac:dyDescent="0.25">
      <c r="A1999" t="str">
        <f>"20190305135830305"</f>
        <v>20190305135830305</v>
      </c>
      <c r="B1999" t="str">
        <f>"1551765510300537"</f>
        <v>1551765510300537</v>
      </c>
      <c r="C1999" t="s">
        <v>40</v>
      </c>
      <c r="D1999">
        <v>3.894282</v>
      </c>
      <c r="E1999">
        <v>0.49032389999999998</v>
      </c>
      <c r="F1999" t="s">
        <v>61</v>
      </c>
      <c r="G1999">
        <v>-417.38150000000002</v>
      </c>
      <c r="H1999" s="1">
        <v>3.8288550000000001E-6</v>
      </c>
      <c r="I1999">
        <v>281.0274</v>
      </c>
      <c r="J1999">
        <v>-379.685</v>
      </c>
      <c r="K1999">
        <v>1.108268</v>
      </c>
      <c r="L1999">
        <v>283.95999999999998</v>
      </c>
      <c r="M1999">
        <v>-0.99955020000000006</v>
      </c>
      <c r="N1999">
        <v>-1.4697190000000001E-2</v>
      </c>
      <c r="O1999">
        <v>2.6144359999999998E-2</v>
      </c>
      <c r="P1999">
        <v>-0.99678719999999998</v>
      </c>
      <c r="Q1999">
        <v>5.843168E-2</v>
      </c>
      <c r="R1999">
        <v>-5.4783940000000003E-2</v>
      </c>
      <c r="S1999">
        <v>-3.002075</v>
      </c>
      <c r="T1999">
        <v>-8.7221740000000006E-2</v>
      </c>
      <c r="U1999">
        <v>-0.22985839999999999</v>
      </c>
      <c r="V1999">
        <v>-8.0619659999999996E-2</v>
      </c>
      <c r="W1999">
        <v>7.3279280000000002E-2</v>
      </c>
      <c r="X1999">
        <v>0.99404760000000003</v>
      </c>
      <c r="Y1999">
        <v>-0.10232040000000001</v>
      </c>
      <c r="Z1999">
        <v>-2.6120480000000001E-3</v>
      </c>
      <c r="AA1999">
        <v>0.99474810000000002</v>
      </c>
      <c r="AB1999">
        <v>47</v>
      </c>
      <c r="AC1999">
        <v>-37.6965</v>
      </c>
      <c r="AD1999">
        <v>-1.1082641711450001</v>
      </c>
      <c r="AE1999">
        <v>-2.9325999999999701</v>
      </c>
      <c r="AF1999">
        <v>-3.9138920329721301</v>
      </c>
      <c r="AG1999">
        <v>-1.1082641711450001</v>
      </c>
      <c r="AH1999">
        <v>37.574650594667702</v>
      </c>
      <c r="AI1999">
        <v>91.680362910158195</v>
      </c>
      <c r="AJ1999">
        <v>95.9466608105039</v>
      </c>
      <c r="AK1999">
        <v>37.794194893265903</v>
      </c>
      <c r="AL1999">
        <v>85.797639811287397</v>
      </c>
      <c r="AM1999">
        <v>94.636677728553806</v>
      </c>
      <c r="AN1999">
        <v>1.0000000067607899</v>
      </c>
    </row>
    <row r="2000" spans="1:40" x14ac:dyDescent="0.25">
      <c r="A2000" t="str">
        <f>"20190305135830328"</f>
        <v>20190305135830328</v>
      </c>
      <c r="B2000" t="str">
        <f>"1551765510321033"</f>
        <v>1551765510321033</v>
      </c>
      <c r="C2000" t="s">
        <v>40</v>
      </c>
      <c r="D2000">
        <v>3.868668</v>
      </c>
      <c r="E2000">
        <v>0.49004609999999899</v>
      </c>
      <c r="F2000" t="s">
        <v>61</v>
      </c>
      <c r="G2000">
        <v>-417.18869999999998</v>
      </c>
      <c r="H2000" s="1">
        <v>3.7877760000000002E-6</v>
      </c>
      <c r="I2000">
        <v>281.1062</v>
      </c>
      <c r="J2000">
        <v>-380.17939999999999</v>
      </c>
      <c r="K2000">
        <v>1.1083099999999999</v>
      </c>
      <c r="L2000">
        <v>283.9735</v>
      </c>
      <c r="M2000">
        <v>-0.99952730000000001</v>
      </c>
      <c r="N2000">
        <v>-1.4699139999999999E-2</v>
      </c>
      <c r="O2000">
        <v>2.7007139999999999E-2</v>
      </c>
      <c r="P2000">
        <v>-0.99683900000000003</v>
      </c>
      <c r="Q2000">
        <v>5.8406739999999999E-2</v>
      </c>
      <c r="R2000">
        <v>-5.386262E-2</v>
      </c>
      <c r="S2000">
        <v>-3.002319</v>
      </c>
      <c r="T2000">
        <v>-8.8720919999999995E-2</v>
      </c>
      <c r="U2000">
        <v>-0.22845460000000001</v>
      </c>
      <c r="V2000">
        <v>-8.0566280000000004E-2</v>
      </c>
      <c r="W2000">
        <v>7.3248359999999998E-2</v>
      </c>
      <c r="X2000">
        <v>0.9940542</v>
      </c>
      <c r="Y2000">
        <v>-0.10270799999999999</v>
      </c>
      <c r="Z2000">
        <v>-2.6718359999999999E-3</v>
      </c>
      <c r="AA2000">
        <v>0.99470789999999998</v>
      </c>
      <c r="AB2000">
        <v>47</v>
      </c>
      <c r="AC2000">
        <v>-37.009300000000003</v>
      </c>
      <c r="AD2000">
        <v>-1.1083062122239999</v>
      </c>
      <c r="AE2000">
        <v>-2.8673000000000002</v>
      </c>
      <c r="AF2000">
        <v>-3.8624339259193001</v>
      </c>
      <c r="AG2000">
        <v>-1.1083062122239999</v>
      </c>
      <c r="AH2000">
        <v>36.8854699815424</v>
      </c>
      <c r="AI2000">
        <v>91.711708358985405</v>
      </c>
      <c r="AJ2000">
        <v>95.977898122654295</v>
      </c>
      <c r="AK2000">
        <v>37.103701085625097</v>
      </c>
      <c r="AL2000">
        <v>85.799416142657094</v>
      </c>
      <c r="AM2000">
        <v>94.633590427115095</v>
      </c>
      <c r="AN2000">
        <v>1.00000000012668</v>
      </c>
    </row>
    <row r="2001" spans="1:40" x14ac:dyDescent="0.25">
      <c r="A2001" t="str">
        <f>"20190305135830342"</f>
        <v>20190305135830342</v>
      </c>
      <c r="B2001" t="str">
        <f>"1551765510330793"</f>
        <v>1551765510330793</v>
      </c>
      <c r="C2001" t="s">
        <v>40</v>
      </c>
      <c r="D2001">
        <v>3.8836309999999998</v>
      </c>
      <c r="E2001">
        <v>0.48991390000000001</v>
      </c>
      <c r="F2001" t="s">
        <v>61</v>
      </c>
      <c r="G2001">
        <v>-417.22430000000003</v>
      </c>
      <c r="H2001" s="1">
        <v>3.789076E-6</v>
      </c>
      <c r="I2001">
        <v>281.1635</v>
      </c>
      <c r="J2001">
        <v>-380.46469999999999</v>
      </c>
      <c r="K2001">
        <v>1.1083350000000001</v>
      </c>
      <c r="L2001">
        <v>283.98160000000001</v>
      </c>
      <c r="M2001">
        <v>-0.99951420000000002</v>
      </c>
      <c r="N2001">
        <v>-1.469992E-2</v>
      </c>
      <c r="O2001">
        <v>2.7482610000000001E-2</v>
      </c>
      <c r="P2001">
        <v>-0.99684070000000002</v>
      </c>
      <c r="Q2001">
        <v>5.8607090000000001E-2</v>
      </c>
      <c r="R2001">
        <v>-5.3608450000000002E-2</v>
      </c>
      <c r="S2001">
        <v>-3.0025019999999998</v>
      </c>
      <c r="T2001">
        <v>-8.9828610000000003E-2</v>
      </c>
      <c r="U2001">
        <v>-0.2277527</v>
      </c>
      <c r="V2001">
        <v>-8.078979E-2</v>
      </c>
      <c r="W2001">
        <v>7.3444759999999998E-2</v>
      </c>
      <c r="X2001">
        <v>0.99402159999999995</v>
      </c>
      <c r="Y2001">
        <v>-0.1029437</v>
      </c>
      <c r="Z2001">
        <v>-2.7130629999999999E-3</v>
      </c>
      <c r="AA2001">
        <v>0.99468350000000005</v>
      </c>
      <c r="AB2001">
        <v>47</v>
      </c>
      <c r="AC2001">
        <v>-36.759599999999999</v>
      </c>
      <c r="AD2001">
        <v>-1.108331210924</v>
      </c>
      <c r="AE2001">
        <v>-2.81810000000001</v>
      </c>
      <c r="AF2001">
        <v>-3.8239383143118402</v>
      </c>
      <c r="AG2001">
        <v>-1.108331210924</v>
      </c>
      <c r="AH2001">
        <v>36.635145774386203</v>
      </c>
      <c r="AI2001">
        <v>91.723495829760793</v>
      </c>
      <c r="AJ2001">
        <v>95.958895580398902</v>
      </c>
      <c r="AK2001">
        <v>36.8508454206317</v>
      </c>
      <c r="AL2001">
        <v>85.788132995099801</v>
      </c>
      <c r="AM2001">
        <v>94.646540617112706</v>
      </c>
      <c r="AN2001">
        <v>1.0000000321031299</v>
      </c>
    </row>
    <row r="2002" spans="1:40" x14ac:dyDescent="0.25">
      <c r="A2002" t="str">
        <f>"20190305135830362"</f>
        <v>20190305135830362</v>
      </c>
      <c r="B2002" t="str">
        <f>"1551765510350313"</f>
        <v>1551765510350313</v>
      </c>
      <c r="C2002" t="s">
        <v>40</v>
      </c>
      <c r="D2002">
        <v>3.9155600000000002</v>
      </c>
      <c r="E2002">
        <v>0.48977769999999998</v>
      </c>
      <c r="F2002" t="s">
        <v>61</v>
      </c>
      <c r="G2002">
        <v>-417.56119999999999</v>
      </c>
      <c r="H2002" s="1">
        <v>3.8485999999999999E-6</v>
      </c>
      <c r="I2002">
        <v>281.1662</v>
      </c>
      <c r="J2002">
        <v>-380.8682</v>
      </c>
      <c r="K2002">
        <v>1.1083860000000001</v>
      </c>
      <c r="L2002">
        <v>283.9932</v>
      </c>
      <c r="M2002">
        <v>-0.99949659999999996</v>
      </c>
      <c r="N2002">
        <v>-1.470051E-2</v>
      </c>
      <c r="O2002">
        <v>2.8121119999999999E-2</v>
      </c>
      <c r="P2002">
        <v>-0.99687550000000003</v>
      </c>
      <c r="Q2002">
        <v>5.8332340000000003E-2</v>
      </c>
      <c r="R2002">
        <v>-5.3264739999999998E-2</v>
      </c>
      <c r="S2002">
        <v>-3.0025330000000001</v>
      </c>
      <c r="T2002">
        <v>-8.9706659999999994E-2</v>
      </c>
      <c r="U2002">
        <v>-0.22787479999999999</v>
      </c>
      <c r="V2002">
        <v>-8.1090079999999995E-2</v>
      </c>
      <c r="W2002">
        <v>7.3163259999999994E-2</v>
      </c>
      <c r="X2002">
        <v>0.99401790000000001</v>
      </c>
      <c r="Y2002">
        <v>-0.10361819999999999</v>
      </c>
      <c r="Z2002">
        <v>-2.734556E-3</v>
      </c>
      <c r="AA2002">
        <v>0.99461339999999998</v>
      </c>
      <c r="AB2002">
        <v>47</v>
      </c>
      <c r="AC2002">
        <v>-36.692999999999898</v>
      </c>
      <c r="AD2002">
        <v>-1.1083821514000001</v>
      </c>
      <c r="AE2002">
        <v>-2.8269999999999902</v>
      </c>
      <c r="AF2002">
        <v>-3.8543451569389999</v>
      </c>
      <c r="AG2002">
        <v>-1.1083821514000001</v>
      </c>
      <c r="AH2002">
        <v>36.565810785943903</v>
      </c>
      <c r="AI2002">
        <v>91.726656885773494</v>
      </c>
      <c r="AJ2002">
        <v>96.0172387930985</v>
      </c>
      <c r="AK2002">
        <v>36.785092170821201</v>
      </c>
      <c r="AL2002">
        <v>85.804305234244595</v>
      </c>
      <c r="AM2002">
        <v>94.663752721751905</v>
      </c>
      <c r="AN2002">
        <v>1.0000000246043199</v>
      </c>
    </row>
    <row r="2003" spans="1:40" x14ac:dyDescent="0.25">
      <c r="A2003" t="str">
        <f>"20190305135830377"</f>
        <v>20190305135830377</v>
      </c>
      <c r="B2003" t="str">
        <f>"1551765510370809"</f>
        <v>1551765510370809</v>
      </c>
      <c r="C2003" t="s">
        <v>40</v>
      </c>
      <c r="D2003">
        <v>3.855721</v>
      </c>
      <c r="E2003">
        <v>0.48947230000000003</v>
      </c>
      <c r="F2003" t="s">
        <v>61</v>
      </c>
      <c r="G2003">
        <v>-417.37900000000002</v>
      </c>
      <c r="H2003" s="1">
        <v>3.8115209999999998E-6</v>
      </c>
      <c r="I2003">
        <v>281.2208</v>
      </c>
      <c r="J2003">
        <v>-381.18889999999999</v>
      </c>
      <c r="K2003">
        <v>1.1084240000000001</v>
      </c>
      <c r="L2003">
        <v>284.0025</v>
      </c>
      <c r="M2003">
        <v>-0.9994828</v>
      </c>
      <c r="N2003">
        <v>-1.470084E-2</v>
      </c>
      <c r="O2003">
        <v>2.860277E-2</v>
      </c>
      <c r="P2003">
        <v>-0.99689289999999997</v>
      </c>
      <c r="Q2003">
        <v>5.8266980000000003E-2</v>
      </c>
      <c r="R2003">
        <v>-5.3006879999999999E-2</v>
      </c>
      <c r="S2003">
        <v>-3.0025629999999999</v>
      </c>
      <c r="T2003">
        <v>-9.1150759999999997E-2</v>
      </c>
      <c r="U2003">
        <v>-0.2279968</v>
      </c>
      <c r="V2003">
        <v>-8.1319440000000007E-2</v>
      </c>
      <c r="W2003">
        <v>7.3091900000000001E-2</v>
      </c>
      <c r="X2003">
        <v>0.99400440000000001</v>
      </c>
      <c r="Y2003">
        <v>-0.1041344</v>
      </c>
      <c r="Z2003">
        <v>-2.792068E-3</v>
      </c>
      <c r="AA2003">
        <v>0.99455930000000003</v>
      </c>
      <c r="AB2003">
        <v>46</v>
      </c>
      <c r="AC2003">
        <v>-36.190100000000001</v>
      </c>
      <c r="AD2003">
        <v>-1.1084201884789999</v>
      </c>
      <c r="AE2003">
        <v>-2.7816999999999998</v>
      </c>
      <c r="AF2003">
        <v>-3.8122554581524102</v>
      </c>
      <c r="AG2003">
        <v>-1.1084201884789999</v>
      </c>
      <c r="AH2003">
        <v>36.062087342463798</v>
      </c>
      <c r="AI2003">
        <v>91.750764606235194</v>
      </c>
      <c r="AJ2003">
        <v>96.034534100443295</v>
      </c>
      <c r="AK2003">
        <v>36.279967344085797</v>
      </c>
      <c r="AL2003">
        <v>85.808404785156597</v>
      </c>
      <c r="AM2003">
        <v>94.676948758764496</v>
      </c>
      <c r="AN2003">
        <v>1.00000001219344</v>
      </c>
    </row>
    <row r="2004" spans="1:40" x14ac:dyDescent="0.25">
      <c r="A2004" t="str">
        <f>"20190305135830406"</f>
        <v>20190305135830406</v>
      </c>
      <c r="B2004" t="str">
        <f>"1551765510401065"</f>
        <v>1551765510401065</v>
      </c>
      <c r="C2004" t="s">
        <v>40</v>
      </c>
      <c r="D2004">
        <v>3.897418</v>
      </c>
      <c r="E2004">
        <v>0.48910700000000001</v>
      </c>
      <c r="F2004" t="s">
        <v>61</v>
      </c>
      <c r="G2004">
        <v>-416.99040000000002</v>
      </c>
      <c r="H2004" s="1">
        <v>3.7385630000000001E-6</v>
      </c>
      <c r="I2004">
        <v>281.26679999999999</v>
      </c>
      <c r="J2004">
        <v>-381.79430000000002</v>
      </c>
      <c r="K2004">
        <v>1.1085020000000001</v>
      </c>
      <c r="L2004">
        <v>284.0206</v>
      </c>
      <c r="M2004">
        <v>-0.99945859999999997</v>
      </c>
      <c r="N2004">
        <v>-1.47002E-2</v>
      </c>
      <c r="O2004">
        <v>2.9434100000000001E-2</v>
      </c>
      <c r="P2004">
        <v>-0.99691249999999998</v>
      </c>
      <c r="Q2004">
        <v>5.7432879999999999E-2</v>
      </c>
      <c r="R2004">
        <v>-5.3545450000000001E-2</v>
      </c>
      <c r="S2004">
        <v>-3.0025940000000002</v>
      </c>
      <c r="T2004">
        <v>-9.2960600000000004E-2</v>
      </c>
      <c r="U2004">
        <v>-0.2294312</v>
      </c>
      <c r="V2004">
        <v>-8.270044E-2</v>
      </c>
      <c r="W2004">
        <v>7.2244900000000001E-2</v>
      </c>
      <c r="X2004">
        <v>0.99395239999999996</v>
      </c>
      <c r="Y2004">
        <v>-0.1054295</v>
      </c>
      <c r="Z2004">
        <v>-2.8835940000000002E-3</v>
      </c>
      <c r="AA2004">
        <v>0.99442260000000005</v>
      </c>
      <c r="AB2004">
        <v>46</v>
      </c>
      <c r="AC2004">
        <v>-35.196100000000001</v>
      </c>
      <c r="AD2004">
        <v>-1.108498261437</v>
      </c>
      <c r="AE2004">
        <v>-2.7538000000000098</v>
      </c>
      <c r="AF2004">
        <v>-3.7849525225535898</v>
      </c>
      <c r="AG2004">
        <v>-1.108498261437</v>
      </c>
      <c r="AH2004">
        <v>35.065212059775099</v>
      </c>
      <c r="AI2004">
        <v>91.800208678394796</v>
      </c>
      <c r="AJ2004">
        <v>96.1606761675299</v>
      </c>
      <c r="AK2004">
        <v>35.2863108129851</v>
      </c>
      <c r="AL2004">
        <v>85.857063033534004</v>
      </c>
      <c r="AM2004">
        <v>94.756260966993807</v>
      </c>
      <c r="AN2004">
        <v>1.00000003090898</v>
      </c>
    </row>
    <row r="2005" spans="1:40" x14ac:dyDescent="0.25">
      <c r="A2005" t="str">
        <f>"20190305135830428"</f>
        <v>20190305135830428</v>
      </c>
      <c r="B2005" t="str">
        <f>"1551765510420589"</f>
        <v>1551765510420589</v>
      </c>
      <c r="C2005" t="s">
        <v>40</v>
      </c>
      <c r="D2005">
        <v>3.8806509999999999</v>
      </c>
      <c r="E2005">
        <v>0.48880109999999899</v>
      </c>
      <c r="F2005" t="s">
        <v>61</v>
      </c>
      <c r="G2005">
        <v>-416.26150000000001</v>
      </c>
      <c r="H2005" s="1">
        <v>3.6031930000000001E-6</v>
      </c>
      <c r="I2005">
        <v>281.33620000000002</v>
      </c>
      <c r="J2005">
        <v>-382.255</v>
      </c>
      <c r="K2005">
        <v>1.108555</v>
      </c>
      <c r="L2005">
        <v>284.03460000000001</v>
      </c>
      <c r="M2005">
        <v>-0.99944169999999999</v>
      </c>
      <c r="N2005">
        <v>-1.469927E-2</v>
      </c>
      <c r="O2005">
        <v>3.0006950000000001E-2</v>
      </c>
      <c r="P2005">
        <v>-0.9969074</v>
      </c>
      <c r="Q2005">
        <v>5.7068580000000001E-2</v>
      </c>
      <c r="R2005">
        <v>-5.4027289999999999E-2</v>
      </c>
      <c r="S2005">
        <v>-3.002319</v>
      </c>
      <c r="T2005">
        <v>-9.6557619999999997E-2</v>
      </c>
      <c r="U2005">
        <v>-0.2338257</v>
      </c>
      <c r="V2005">
        <v>-8.3762899999999904E-2</v>
      </c>
      <c r="W2005">
        <v>7.1869649999999993E-2</v>
      </c>
      <c r="X2005">
        <v>0.99389059999999996</v>
      </c>
      <c r="Y2005">
        <v>-0.107446</v>
      </c>
      <c r="Z2005">
        <v>-3.0391749999999999E-3</v>
      </c>
      <c r="AA2005">
        <v>0.99420620000000004</v>
      </c>
      <c r="AB2005">
        <v>46</v>
      </c>
      <c r="AC2005">
        <v>-34.006500000000003</v>
      </c>
      <c r="AD2005">
        <v>-1.108551396807</v>
      </c>
      <c r="AE2005">
        <v>-2.6983999999999901</v>
      </c>
      <c r="AF2005">
        <v>-3.7138043660427602</v>
      </c>
      <c r="AG2005">
        <v>-1.108551396807</v>
      </c>
      <c r="AH2005">
        <v>33.874432499470501</v>
      </c>
      <c r="AI2005">
        <v>91.863197224344603</v>
      </c>
      <c r="AJ2005">
        <v>96.256602908977698</v>
      </c>
      <c r="AK2005">
        <v>34.095430870276203</v>
      </c>
      <c r="AL2005">
        <v>85.878619171495203</v>
      </c>
      <c r="AM2005">
        <v>94.8173774728984</v>
      </c>
      <c r="AN2005">
        <v>0.99999999738794598</v>
      </c>
    </row>
    <row r="2006" spans="1:40" x14ac:dyDescent="0.25">
      <c r="A2006" t="str">
        <f>"20190305135830450"</f>
        <v>20190305135830450</v>
      </c>
      <c r="B2006" t="str">
        <f>"1551765510441081"</f>
        <v>1551765510441081</v>
      </c>
      <c r="C2006" t="s">
        <v>40</v>
      </c>
      <c r="D2006">
        <v>3.8545240000000001</v>
      </c>
      <c r="E2006">
        <v>0.48862359999999999</v>
      </c>
      <c r="F2006" t="s">
        <v>61</v>
      </c>
      <c r="G2006">
        <v>-415.93389999999999</v>
      </c>
      <c r="H2006" s="1">
        <v>3.5422600000000001E-6</v>
      </c>
      <c r="I2006">
        <v>281.36860000000001</v>
      </c>
      <c r="J2006">
        <v>-382.70370000000003</v>
      </c>
      <c r="K2006">
        <v>1.108616</v>
      </c>
      <c r="L2006">
        <v>284.04840000000002</v>
      </c>
      <c r="M2006">
        <v>-0.99942629999999999</v>
      </c>
      <c r="N2006">
        <v>-1.4698309999999999E-2</v>
      </c>
      <c r="O2006">
        <v>3.0515190000000001E-2</v>
      </c>
      <c r="P2006">
        <v>-0.99690469999999998</v>
      </c>
      <c r="Q2006">
        <v>5.6874649999999999E-2</v>
      </c>
      <c r="R2006">
        <v>-5.4280210000000002E-2</v>
      </c>
      <c r="S2006">
        <v>-3.002075</v>
      </c>
      <c r="T2006">
        <v>-9.8814250000000006E-2</v>
      </c>
      <c r="U2006">
        <v>-0.2376404</v>
      </c>
      <c r="V2006">
        <v>-8.4532350000000006E-2</v>
      </c>
      <c r="W2006">
        <v>7.1663710000000005E-2</v>
      </c>
      <c r="X2006">
        <v>0.99384030000000001</v>
      </c>
      <c r="Y2006">
        <v>-0.10920820000000001</v>
      </c>
      <c r="Z2006">
        <v>-3.1532859999999999E-3</v>
      </c>
      <c r="AA2006">
        <v>0.99401390000000001</v>
      </c>
      <c r="AB2006">
        <v>46</v>
      </c>
      <c r="AC2006">
        <v>-33.230199999999897</v>
      </c>
      <c r="AD2006">
        <v>-1.1086124577399901</v>
      </c>
      <c r="AE2006">
        <v>-2.6798000000000002</v>
      </c>
      <c r="AF2006">
        <v>-3.6886082219127898</v>
      </c>
      <c r="AG2006">
        <v>-1.1086124577399901</v>
      </c>
      <c r="AH2006">
        <v>33.096339940725898</v>
      </c>
      <c r="AI2006">
        <v>91.906695907979199</v>
      </c>
      <c r="AJ2006">
        <v>96.359407283886796</v>
      </c>
      <c r="AK2006">
        <v>33.319702424666197</v>
      </c>
      <c r="AL2006">
        <v>85.8904490712018</v>
      </c>
      <c r="AM2006">
        <v>94.861663874113603</v>
      </c>
      <c r="AN2006">
        <v>0.99999997371578797</v>
      </c>
    </row>
    <row r="2007" spans="1:40" x14ac:dyDescent="0.25">
      <c r="A2007" t="str">
        <f>"20190305135830474"</f>
        <v>20190305135830474</v>
      </c>
      <c r="B2007" t="str">
        <f>"1551765510470361"</f>
        <v>1551765510470361</v>
      </c>
      <c r="C2007" t="s">
        <v>40</v>
      </c>
      <c r="D2007">
        <v>3.8540299999999998</v>
      </c>
      <c r="E2007">
        <v>0.48831079999999999</v>
      </c>
      <c r="F2007" t="s">
        <v>61</v>
      </c>
      <c r="G2007">
        <v>-416.0804</v>
      </c>
      <c r="H2007" s="1">
        <v>3.567356E-6</v>
      </c>
      <c r="I2007">
        <v>281.37880000000001</v>
      </c>
      <c r="J2007">
        <v>-383.18189999999998</v>
      </c>
      <c r="K2007">
        <v>1.108681</v>
      </c>
      <c r="L2007">
        <v>284.0634</v>
      </c>
      <c r="M2007">
        <v>-0.9994113</v>
      </c>
      <c r="N2007">
        <v>-1.4696870000000001E-2</v>
      </c>
      <c r="O2007">
        <v>3.1000799999999998E-2</v>
      </c>
      <c r="P2007">
        <v>-0.99688500000000002</v>
      </c>
      <c r="Q2007">
        <v>5.7398480000000002E-2</v>
      </c>
      <c r="R2007">
        <v>-5.4090190000000003E-2</v>
      </c>
      <c r="S2007">
        <v>-3.0019529999999999</v>
      </c>
      <c r="T2007">
        <v>-9.9710350000000003E-2</v>
      </c>
      <c r="U2007">
        <v>-0.2401123</v>
      </c>
      <c r="V2007">
        <v>-8.4834899999999894E-2</v>
      </c>
      <c r="W2007">
        <v>7.2172600000000003E-2</v>
      </c>
      <c r="X2007">
        <v>0.99377769999999999</v>
      </c>
      <c r="Y2007">
        <v>-0.11050500000000001</v>
      </c>
      <c r="Z2007">
        <v>-3.218701E-3</v>
      </c>
      <c r="AA2007">
        <v>0.99387040000000004</v>
      </c>
      <c r="AB2007">
        <v>46</v>
      </c>
      <c r="AC2007">
        <v>-32.898499999999999</v>
      </c>
      <c r="AD2007">
        <v>-1.1086774326440001</v>
      </c>
      <c r="AE2007">
        <v>-2.6845999999999801</v>
      </c>
      <c r="AF2007">
        <v>-3.6991261241284898</v>
      </c>
      <c r="AG2007">
        <v>-1.1086774326440001</v>
      </c>
      <c r="AH2007">
        <v>32.762488732015498</v>
      </c>
      <c r="AI2007">
        <v>91.925912865478296</v>
      </c>
      <c r="AJ2007">
        <v>96.441834014444694</v>
      </c>
      <c r="AK2007">
        <v>32.9892917118162</v>
      </c>
      <c r="AL2007">
        <v>85.861216152325198</v>
      </c>
      <c r="AM2007">
        <v>94.879286277515405</v>
      </c>
      <c r="AN2007">
        <v>0.99999998073302898</v>
      </c>
    </row>
    <row r="2008" spans="1:40" x14ac:dyDescent="0.25">
      <c r="A2008" t="str">
        <f>"20190305135830496"</f>
        <v>20190305135830496</v>
      </c>
      <c r="B2008" t="str">
        <f>"1551765510490857"</f>
        <v>1551765510490857</v>
      </c>
      <c r="C2008" t="s">
        <v>40</v>
      </c>
      <c r="D2008">
        <v>3.8347000000000002</v>
      </c>
      <c r="E2008">
        <v>0.47282469999999999</v>
      </c>
      <c r="F2008" t="s">
        <v>61</v>
      </c>
      <c r="G2008">
        <v>-416.78199999999998</v>
      </c>
      <c r="H2008" s="1">
        <v>3.693688E-6</v>
      </c>
      <c r="I2008">
        <v>281.3571</v>
      </c>
      <c r="J2008">
        <v>-383.65370000000001</v>
      </c>
      <c r="K2008">
        <v>1.108754</v>
      </c>
      <c r="L2008">
        <v>284.07839999999999</v>
      </c>
      <c r="M2008">
        <v>-0.99939840000000002</v>
      </c>
      <c r="N2008">
        <v>-1.469519E-2</v>
      </c>
      <c r="O2008">
        <v>3.1417920000000002E-2</v>
      </c>
      <c r="P2008">
        <v>-0.99689629999999996</v>
      </c>
      <c r="Q2008">
        <v>5.7417240000000001E-2</v>
      </c>
      <c r="R2008">
        <v>-5.3860430000000001E-2</v>
      </c>
      <c r="S2008">
        <v>-3.0019529999999999</v>
      </c>
      <c r="T2008">
        <v>-9.9053500000000003E-2</v>
      </c>
      <c r="U2008">
        <v>-0.2417908</v>
      </c>
      <c r="V2008">
        <v>-8.5032490000000002E-2</v>
      </c>
      <c r="W2008">
        <v>7.2175929999999999E-2</v>
      </c>
      <c r="X2008">
        <v>0.99376059999999999</v>
      </c>
      <c r="Y2008">
        <v>-0.11147219999999999</v>
      </c>
      <c r="Z2008">
        <v>-3.2304669999999999E-3</v>
      </c>
      <c r="AA2008">
        <v>0.99376229999999999</v>
      </c>
      <c r="AB2008">
        <v>46</v>
      </c>
      <c r="AC2008">
        <v>-33.128299999999903</v>
      </c>
      <c r="AD2008">
        <v>-1.1087503063119999</v>
      </c>
      <c r="AE2008">
        <v>-2.7212999999999798</v>
      </c>
      <c r="AF2008">
        <v>-3.7567110692449401</v>
      </c>
      <c r="AG2008">
        <v>-1.1087503063119999</v>
      </c>
      <c r="AH2008">
        <v>32.989730209539502</v>
      </c>
      <c r="AI2008">
        <v>91.912575130997695</v>
      </c>
      <c r="AJ2008">
        <v>96.496581379370298</v>
      </c>
      <c r="AK2008">
        <v>33.2214464555314</v>
      </c>
      <c r="AL2008">
        <v>85.861024978465295</v>
      </c>
      <c r="AM2008">
        <v>94.890679373373104</v>
      </c>
      <c r="AN2008">
        <v>1.00000000966966</v>
      </c>
    </row>
    <row r="2009" spans="1:40" x14ac:dyDescent="0.25">
      <c r="A2009" t="str">
        <f>"20190305135830519"</f>
        <v>20190305135830519</v>
      </c>
      <c r="B2009" t="str">
        <f>"1551765510510377"</f>
        <v>1551765510510377</v>
      </c>
      <c r="C2009" t="s">
        <v>40</v>
      </c>
      <c r="D2009">
        <v>3.8860760000000001</v>
      </c>
      <c r="E2009">
        <v>0.46951490000000001</v>
      </c>
      <c r="F2009" t="s">
        <v>61</v>
      </c>
      <c r="G2009">
        <v>-429.92259999999999</v>
      </c>
      <c r="H2009" s="1">
        <v>2.9596559999999999E-6</v>
      </c>
      <c r="I2009">
        <v>278.4153</v>
      </c>
      <c r="J2009">
        <v>-384.10950000000003</v>
      </c>
      <c r="K2009">
        <v>1.108819</v>
      </c>
      <c r="L2009">
        <v>284.09300000000002</v>
      </c>
      <c r="M2009">
        <v>-0.99938780000000005</v>
      </c>
      <c r="N2009">
        <v>-1.4693299999999999E-2</v>
      </c>
      <c r="O2009">
        <v>3.1752049999999997E-2</v>
      </c>
      <c r="P2009">
        <v>-0.99688449999999995</v>
      </c>
      <c r="Q2009">
        <v>5.8051520000000002E-2</v>
      </c>
      <c r="R2009">
        <v>-5.3400059999999999E-2</v>
      </c>
      <c r="S2009">
        <v>-2.993744</v>
      </c>
      <c r="T2009">
        <v>-7.1739549999999999E-2</v>
      </c>
      <c r="U2009">
        <v>-0.36642459999999999</v>
      </c>
      <c r="V2009">
        <v>-8.4915879999999999E-2</v>
      </c>
      <c r="W2009">
        <v>7.2793259999999999E-2</v>
      </c>
      <c r="X2009">
        <v>0.99372550000000004</v>
      </c>
      <c r="Y2009">
        <v>-0.1528776</v>
      </c>
      <c r="Z2009">
        <v>-3.2458539999999998E-3</v>
      </c>
      <c r="AA2009">
        <v>0.9882398</v>
      </c>
      <c r="AB2009">
        <v>46</v>
      </c>
      <c r="AC2009">
        <v>-45.813099999999899</v>
      </c>
      <c r="AD2009">
        <v>-1.1088160403439999</v>
      </c>
      <c r="AE2009">
        <v>-5.6777000000000104</v>
      </c>
      <c r="AF2009">
        <v>-7.1255424915408696</v>
      </c>
      <c r="AG2009">
        <v>-1.1088160403439999</v>
      </c>
      <c r="AH2009">
        <v>45.583398659896702</v>
      </c>
      <c r="AI2009">
        <v>91.376732329562699</v>
      </c>
      <c r="AJ2009">
        <v>98.884507498516896</v>
      </c>
      <c r="AK2009">
        <v>46.150287780220303</v>
      </c>
      <c r="AL2009">
        <v>85.825561111653698</v>
      </c>
      <c r="AM2009">
        <v>94.884176640626706</v>
      </c>
      <c r="AN2009">
        <v>0.99999996736392505</v>
      </c>
    </row>
    <row r="2010" spans="1:40" x14ac:dyDescent="0.25">
      <c r="A2010" t="str">
        <f>"20190305135830539"</f>
        <v>20190305135830539</v>
      </c>
      <c r="B2010" t="str">
        <f>"1551765510530877"</f>
        <v>1551765510530877</v>
      </c>
      <c r="C2010" t="s">
        <v>40</v>
      </c>
      <c r="D2010">
        <v>3.8645070000000001</v>
      </c>
      <c r="E2010">
        <v>0.46857379999999998</v>
      </c>
      <c r="F2010" t="s">
        <v>61</v>
      </c>
      <c r="G2010">
        <v>-421.8021</v>
      </c>
      <c r="H2010" s="1">
        <v>4.1980939999999999E-6</v>
      </c>
      <c r="I2010">
        <v>279.17809999999997</v>
      </c>
      <c r="J2010">
        <v>-384.553</v>
      </c>
      <c r="K2010">
        <v>1.1089</v>
      </c>
      <c r="L2010">
        <v>284.10739999999998</v>
      </c>
      <c r="M2010">
        <v>-0.99938000000000005</v>
      </c>
      <c r="N2010">
        <v>-1.469145E-2</v>
      </c>
      <c r="O2010">
        <v>3.2000590000000002E-2</v>
      </c>
      <c r="P2010">
        <v>-0.9969055</v>
      </c>
      <c r="Q2010">
        <v>5.7892140000000002E-2</v>
      </c>
      <c r="R2010">
        <v>-5.3179030000000002E-2</v>
      </c>
      <c r="S2010">
        <v>-2.9935909999999999</v>
      </c>
      <c r="T2010">
        <v>-8.806348E-2</v>
      </c>
      <c r="U2010">
        <v>-0.39035029999999998</v>
      </c>
      <c r="V2010">
        <v>-8.4957279999999996E-2</v>
      </c>
      <c r="W2010">
        <v>7.2615860000000004E-2</v>
      </c>
      <c r="X2010">
        <v>0.99373500000000003</v>
      </c>
      <c r="Y2010">
        <v>-0.16086329999999999</v>
      </c>
      <c r="Z2010">
        <v>-4.0123160000000001E-3</v>
      </c>
      <c r="AA2010">
        <v>0.98696850000000003</v>
      </c>
      <c r="AB2010">
        <v>46</v>
      </c>
      <c r="AC2010">
        <v>-37.249099999999899</v>
      </c>
      <c r="AD2010">
        <v>-1.108895801906</v>
      </c>
      <c r="AE2010">
        <v>-4.9293000000000102</v>
      </c>
      <c r="AF2010">
        <v>-6.1135717708727304</v>
      </c>
      <c r="AG2010">
        <v>-1.108895801906</v>
      </c>
      <c r="AH2010">
        <v>37.039999986411203</v>
      </c>
      <c r="AI2010">
        <v>91.691919242009604</v>
      </c>
      <c r="AJ2010">
        <v>99.372354295455196</v>
      </c>
      <c r="AK2010">
        <v>37.557516007990202</v>
      </c>
      <c r="AL2010">
        <v>85.835752600409506</v>
      </c>
      <c r="AM2010">
        <v>94.886499862420806</v>
      </c>
      <c r="AN2010">
        <v>1.0000000263867601</v>
      </c>
    </row>
    <row r="2011" spans="1:40" x14ac:dyDescent="0.25">
      <c r="A2011" t="str">
        <f>"20190305135830563"</f>
        <v>20190305135830563</v>
      </c>
      <c r="B2011" t="str">
        <f>"1551765510550393"</f>
        <v>1551765510550393</v>
      </c>
      <c r="C2011" t="s">
        <v>40</v>
      </c>
      <c r="D2011">
        <v>3.881167</v>
      </c>
      <c r="E2011">
        <v>0.4684951</v>
      </c>
      <c r="F2011" t="s">
        <v>61</v>
      </c>
      <c r="G2011">
        <v>-419.72039999999998</v>
      </c>
      <c r="H2011" s="1">
        <v>4.4277680000000002E-6</v>
      </c>
      <c r="I2011">
        <v>279.44470000000001</v>
      </c>
      <c r="J2011">
        <v>-385.01600000000002</v>
      </c>
      <c r="K2011">
        <v>1.1089830000000001</v>
      </c>
      <c r="L2011">
        <v>284.12240000000003</v>
      </c>
      <c r="M2011">
        <v>-0.99937379999999998</v>
      </c>
      <c r="N2011">
        <v>-1.468918E-2</v>
      </c>
      <c r="O2011">
        <v>3.2192579999999998E-2</v>
      </c>
      <c r="P2011">
        <v>-0.99694629999999995</v>
      </c>
      <c r="Q2011">
        <v>5.760067E-2</v>
      </c>
      <c r="R2011">
        <v>-5.2729900000000003E-2</v>
      </c>
      <c r="S2011">
        <v>-2.9936219999999998</v>
      </c>
      <c r="T2011">
        <v>-9.4394800000000001E-2</v>
      </c>
      <c r="U2011">
        <v>-0.39691159999999998</v>
      </c>
      <c r="V2011">
        <v>-8.4716550000000002E-2</v>
      </c>
      <c r="W2011">
        <v>7.2305300000000003E-2</v>
      </c>
      <c r="X2011">
        <v>0.99377819999999994</v>
      </c>
      <c r="Y2011">
        <v>-0.16316220000000001</v>
      </c>
      <c r="Z2011">
        <v>-4.3048909999999999E-3</v>
      </c>
      <c r="AA2011">
        <v>0.98658979999999996</v>
      </c>
      <c r="AB2011">
        <v>46</v>
      </c>
      <c r="AC2011">
        <v>-34.7044</v>
      </c>
      <c r="AD2011">
        <v>-1.108978572232</v>
      </c>
      <c r="AE2011">
        <v>-4.6777000000000104</v>
      </c>
      <c r="AF2011">
        <v>-5.7868160053797997</v>
      </c>
      <c r="AG2011">
        <v>-1.108978572232</v>
      </c>
      <c r="AH2011">
        <v>34.5012035367442</v>
      </c>
      <c r="AI2011">
        <v>91.815689368579896</v>
      </c>
      <c r="AJ2011">
        <v>99.521475408353297</v>
      </c>
      <c r="AK2011">
        <v>35.000715970357497</v>
      </c>
      <c r="AL2011">
        <v>85.853593292670595</v>
      </c>
      <c r="AM2011">
        <v>94.872509721613199</v>
      </c>
      <c r="AN2011">
        <v>1.0000000305236101</v>
      </c>
    </row>
    <row r="2012" spans="1:40" x14ac:dyDescent="0.25">
      <c r="A2012" t="str">
        <f>"20190305135830584"</f>
        <v>20190305135830584</v>
      </c>
      <c r="B2012" t="str">
        <f>"1551765510580649"</f>
        <v>1551765510580649</v>
      </c>
      <c r="C2012" t="s">
        <v>40</v>
      </c>
      <c r="D2012">
        <v>3.883772</v>
      </c>
      <c r="E2012">
        <v>0.46823920000000002</v>
      </c>
      <c r="F2012" t="s">
        <v>61</v>
      </c>
      <c r="G2012">
        <v>-418.50299999999999</v>
      </c>
      <c r="H2012" s="1">
        <v>4.1444279999999996E-6</v>
      </c>
      <c r="I2012">
        <v>279.69330000000002</v>
      </c>
      <c r="J2012">
        <v>-385.47879999999998</v>
      </c>
      <c r="K2012">
        <v>1.1090610000000001</v>
      </c>
      <c r="L2012">
        <v>284.13740000000001</v>
      </c>
      <c r="M2012">
        <v>-0.99936950000000002</v>
      </c>
      <c r="N2012">
        <v>-1.468677E-2</v>
      </c>
      <c r="O2012">
        <v>3.2327290000000002E-2</v>
      </c>
      <c r="P2012">
        <v>-0.99700569999999999</v>
      </c>
      <c r="Q2012">
        <v>5.6934409999999998E-2</v>
      </c>
      <c r="R2012">
        <v>-5.2330399999999999E-2</v>
      </c>
      <c r="S2012">
        <v>-2.9939879999999999</v>
      </c>
      <c r="T2012">
        <v>-9.9151130000000004E-2</v>
      </c>
      <c r="U2012">
        <v>-0.39599610000000002</v>
      </c>
      <c r="V2012">
        <v>-8.4467689999999998E-2</v>
      </c>
      <c r="W2012">
        <v>7.1620909999999996E-2</v>
      </c>
      <c r="X2012">
        <v>0.99384890000000004</v>
      </c>
      <c r="Y2012">
        <v>-0.16297210000000001</v>
      </c>
      <c r="Z2012">
        <v>-4.4822000000000004E-3</v>
      </c>
      <c r="AA2012">
        <v>0.98662050000000001</v>
      </c>
      <c r="AB2012">
        <v>46</v>
      </c>
      <c r="AC2012">
        <v>-33.0242</v>
      </c>
      <c r="AD2012">
        <v>-1.109056855572</v>
      </c>
      <c r="AE2012">
        <v>-4.4440999999999899</v>
      </c>
      <c r="AF2012">
        <v>-5.5033782346664504</v>
      </c>
      <c r="AG2012">
        <v>-1.109056855572</v>
      </c>
      <c r="AH2012">
        <v>32.826889982063499</v>
      </c>
      <c r="AI2012">
        <v>91.908389902146993</v>
      </c>
      <c r="AJ2012">
        <v>99.517046911094795</v>
      </c>
      <c r="AK2012">
        <v>33.303481574712102</v>
      </c>
      <c r="AL2012">
        <v>85.892907718164494</v>
      </c>
      <c r="AM2012">
        <v>94.857921085896194</v>
      </c>
      <c r="AN2012">
        <v>0.99999999071718704</v>
      </c>
    </row>
    <row r="2013" spans="1:40" x14ac:dyDescent="0.25">
      <c r="A2013" t="str">
        <f>"20190305135830608"</f>
        <v>20190305135830608</v>
      </c>
      <c r="B2013" t="str">
        <f>"1551765510601018"</f>
        <v>1551765510601018</v>
      </c>
      <c r="C2013" t="s">
        <v>40</v>
      </c>
      <c r="D2013">
        <v>3.8027690000000001</v>
      </c>
      <c r="E2013">
        <v>0.46833809999999898</v>
      </c>
      <c r="F2013" t="s">
        <v>61</v>
      </c>
      <c r="G2013">
        <v>-417.46359999999999</v>
      </c>
      <c r="H2013" s="1">
        <v>3.9422670000000001E-6</v>
      </c>
      <c r="I2013">
        <v>279.89670000000001</v>
      </c>
      <c r="J2013">
        <v>-385.95979999999997</v>
      </c>
      <c r="K2013">
        <v>1.109137</v>
      </c>
      <c r="L2013">
        <v>284.15309999999999</v>
      </c>
      <c r="M2013">
        <v>-0.99936689999999995</v>
      </c>
      <c r="N2013">
        <v>-1.468408E-2</v>
      </c>
      <c r="O2013">
        <v>3.2411099999999998E-2</v>
      </c>
      <c r="P2013">
        <v>-0.99707109999999999</v>
      </c>
      <c r="Q2013">
        <v>5.6215040000000001E-2</v>
      </c>
      <c r="R2013">
        <v>-5.1858370000000001E-2</v>
      </c>
      <c r="S2013">
        <v>-2.9940799999999999</v>
      </c>
      <c r="T2013">
        <v>-0.10381840000000001</v>
      </c>
      <c r="U2013">
        <v>-0.39697270000000001</v>
      </c>
      <c r="V2013">
        <v>-8.4094890000000005E-2</v>
      </c>
      <c r="W2013">
        <v>7.0884169999999996E-2</v>
      </c>
      <c r="X2013">
        <v>0.99393330000000002</v>
      </c>
      <c r="Y2013">
        <v>-0.16335559999999999</v>
      </c>
      <c r="Z2013">
        <v>-4.6695859999999999E-3</v>
      </c>
      <c r="AA2013">
        <v>0.98655619999999999</v>
      </c>
      <c r="AB2013">
        <v>46</v>
      </c>
      <c r="AC2013">
        <v>-31.503799999999998</v>
      </c>
      <c r="AD2013">
        <v>-1.1091330577330001</v>
      </c>
      <c r="AE2013">
        <v>-4.2563999999999798</v>
      </c>
      <c r="AF2013">
        <v>-5.2689323700766701</v>
      </c>
      <c r="AG2013">
        <v>-1.1091330577330001</v>
      </c>
      <c r="AH2013">
        <v>31.311161586125401</v>
      </c>
      <c r="AI2013">
        <v>92.000631242126602</v>
      </c>
      <c r="AJ2013">
        <v>99.552041929744505</v>
      </c>
      <c r="AK2013">
        <v>31.7707517117971</v>
      </c>
      <c r="AL2013">
        <v>85.935227252504006</v>
      </c>
      <c r="AM2013">
        <v>94.836173725906207</v>
      </c>
      <c r="AN2013">
        <v>0.999999960464794</v>
      </c>
    </row>
    <row r="2014" spans="1:40" x14ac:dyDescent="0.25">
      <c r="A2014" t="str">
        <f>"20190305135830629"</f>
        <v>20190305135830629</v>
      </c>
      <c r="B2014" t="str">
        <f>"1551765510620538"</f>
        <v>1551765510620538</v>
      </c>
      <c r="C2014" t="s">
        <v>40</v>
      </c>
      <c r="D2014">
        <v>3.853939</v>
      </c>
      <c r="E2014">
        <v>0.46826760000000001</v>
      </c>
      <c r="F2014" t="s">
        <v>61</v>
      </c>
      <c r="G2014">
        <v>-417.38869999999997</v>
      </c>
      <c r="H2014" s="1">
        <v>3.9192349999999996E-6</v>
      </c>
      <c r="I2014">
        <v>280.00839999999999</v>
      </c>
      <c r="J2014">
        <v>-386.39839999999998</v>
      </c>
      <c r="K2014">
        <v>1.1092109999999999</v>
      </c>
      <c r="L2014">
        <v>284.16739999999999</v>
      </c>
      <c r="M2014">
        <v>-0.99936610000000003</v>
      </c>
      <c r="N2014">
        <v>-1.4681639999999999E-2</v>
      </c>
      <c r="O2014">
        <v>3.2431069999999999E-2</v>
      </c>
      <c r="P2014">
        <v>-0.99706099999999998</v>
      </c>
      <c r="Q2014">
        <v>5.6390179999999998E-2</v>
      </c>
      <c r="R2014">
        <v>-5.186433E-2</v>
      </c>
      <c r="S2014">
        <v>-2.994202</v>
      </c>
      <c r="T2014">
        <v>-0.105666</v>
      </c>
      <c r="U2014">
        <v>-0.39486690000000002</v>
      </c>
      <c r="V2014">
        <v>-8.4131849999999994E-2</v>
      </c>
      <c r="W2014">
        <v>7.1043019999999998E-2</v>
      </c>
      <c r="X2014">
        <v>0.99391890000000005</v>
      </c>
      <c r="Y2014">
        <v>-0.1626841</v>
      </c>
      <c r="Z2014">
        <v>-4.7231290000000004E-3</v>
      </c>
      <c r="AA2014">
        <v>0.98666690000000001</v>
      </c>
      <c r="AB2014">
        <v>46</v>
      </c>
      <c r="AC2014">
        <v>-30.990299999999898</v>
      </c>
      <c r="AD2014">
        <v>-1.1092070807650001</v>
      </c>
      <c r="AE2014">
        <v>-4.15899999999999</v>
      </c>
      <c r="AF2014">
        <v>-5.1554810522292502</v>
      </c>
      <c r="AG2014">
        <v>-1.1092070807650001</v>
      </c>
      <c r="AH2014">
        <v>30.800340039404698</v>
      </c>
      <c r="AI2014">
        <v>92.034215671829998</v>
      </c>
      <c r="AJ2014">
        <v>99.502301361283997</v>
      </c>
      <c r="AK2014">
        <v>31.2485243134916</v>
      </c>
      <c r="AL2014">
        <v>85.926103094998894</v>
      </c>
      <c r="AM2014">
        <v>94.838358918320594</v>
      </c>
      <c r="AN2014">
        <v>1.0000000293261699</v>
      </c>
    </row>
    <row r="2015" spans="1:40" x14ac:dyDescent="0.25">
      <c r="A2015" t="str">
        <f>"20190305135830651"</f>
        <v>20190305135830651</v>
      </c>
      <c r="B2015" t="str">
        <f>"1551765510641034"</f>
        <v>1551765510641034</v>
      </c>
      <c r="C2015" t="s">
        <v>40</v>
      </c>
      <c r="D2015">
        <v>3.869027</v>
      </c>
      <c r="E2015">
        <v>0.46788000000000002</v>
      </c>
      <c r="F2015" t="s">
        <v>61</v>
      </c>
      <c r="G2015">
        <v>-417.09589999999997</v>
      </c>
      <c r="H2015" s="1">
        <v>3.8576909999999999E-6</v>
      </c>
      <c r="I2015">
        <v>280.11799999999999</v>
      </c>
      <c r="J2015">
        <v>-386.85419999999999</v>
      </c>
      <c r="K2015">
        <v>1.109289</v>
      </c>
      <c r="L2015">
        <v>284.18220000000002</v>
      </c>
      <c r="M2015">
        <v>-0.99936769999999997</v>
      </c>
      <c r="N2015">
        <v>-1.4679050000000001E-2</v>
      </c>
      <c r="O2015">
        <v>3.2387199999999998E-2</v>
      </c>
      <c r="P2015">
        <v>-0.99705279999999996</v>
      </c>
      <c r="Q2015">
        <v>5.6075979999999997E-2</v>
      </c>
      <c r="R2015">
        <v>-5.2358590000000003E-2</v>
      </c>
      <c r="S2015">
        <v>-2.994354</v>
      </c>
      <c r="T2015">
        <v>-0.10819670000000001</v>
      </c>
      <c r="U2015">
        <v>-0.39498899999999998</v>
      </c>
      <c r="V2015">
        <v>-8.4594989999999995E-2</v>
      </c>
      <c r="W2015">
        <v>7.0710540000000002E-2</v>
      </c>
      <c r="X2015">
        <v>0.99390330000000005</v>
      </c>
      <c r="Y2015">
        <v>-0.16266739999999999</v>
      </c>
      <c r="Z2015">
        <v>-4.8171209999999997E-3</v>
      </c>
      <c r="AA2015">
        <v>0.98666920000000002</v>
      </c>
      <c r="AB2015">
        <v>46</v>
      </c>
      <c r="AC2015">
        <v>-30.241699999999899</v>
      </c>
      <c r="AD2015">
        <v>-1.109285142309</v>
      </c>
      <c r="AE2015">
        <v>-4.06420000000002</v>
      </c>
      <c r="AF2015">
        <v>-5.0349626646835004</v>
      </c>
      <c r="AG2015">
        <v>-1.109285142309</v>
      </c>
      <c r="AH2015">
        <v>30.054469461315701</v>
      </c>
      <c r="AI2015">
        <v>92.084753112551795</v>
      </c>
      <c r="AJ2015">
        <v>99.510327824181402</v>
      </c>
      <c r="AK2015">
        <v>30.493482863767198</v>
      </c>
      <c r="AL2015">
        <v>85.945200832505506</v>
      </c>
      <c r="AM2015">
        <v>94.864942257975997</v>
      </c>
      <c r="AN2015">
        <v>1.0000000312755399</v>
      </c>
    </row>
    <row r="2016" spans="1:40" x14ac:dyDescent="0.25">
      <c r="A2016" t="str">
        <f>"20190305135830675"</f>
        <v>20190305135830675</v>
      </c>
      <c r="B2016" t="str">
        <f>"1551765510670314"</f>
        <v>1551765510670314</v>
      </c>
      <c r="C2016" t="s">
        <v>40</v>
      </c>
      <c r="D2016">
        <v>3.8623810000000001</v>
      </c>
      <c r="E2016">
        <v>0.46753</v>
      </c>
      <c r="F2016" t="s">
        <v>61</v>
      </c>
      <c r="G2016">
        <v>-416.56240000000003</v>
      </c>
      <c r="H2016" s="1">
        <v>3.7540040000000001E-6</v>
      </c>
      <c r="I2016">
        <v>280.2217</v>
      </c>
      <c r="J2016">
        <v>-387.31810000000002</v>
      </c>
      <c r="K2016">
        <v>1.1093729999999999</v>
      </c>
      <c r="L2016">
        <v>284.19709999999998</v>
      </c>
      <c r="M2016">
        <v>-0.99937129999999996</v>
      </c>
      <c r="N2016">
        <v>-1.4676410000000001E-2</v>
      </c>
      <c r="O2016">
        <v>3.227501E-2</v>
      </c>
      <c r="P2016">
        <v>-0.99706240000000002</v>
      </c>
      <c r="Q2016">
        <v>5.582873E-2</v>
      </c>
      <c r="R2016">
        <v>-5.2439239999999998E-2</v>
      </c>
      <c r="S2016">
        <v>-2.9942630000000001</v>
      </c>
      <c r="T2016">
        <v>-0.111804</v>
      </c>
      <c r="U2016">
        <v>-0.39916990000000002</v>
      </c>
      <c r="V2016">
        <v>-8.4578109999999998E-2</v>
      </c>
      <c r="W2016">
        <v>7.0444670000000001E-2</v>
      </c>
      <c r="X2016">
        <v>0.99392360000000002</v>
      </c>
      <c r="Y2016">
        <v>-0.16390379999999999</v>
      </c>
      <c r="Z2016">
        <v>-4.9827780000000002E-3</v>
      </c>
      <c r="AA2016">
        <v>0.98646369999999906</v>
      </c>
      <c r="AB2016">
        <v>46</v>
      </c>
      <c r="AC2016">
        <v>-29.244299999999999</v>
      </c>
      <c r="AD2016">
        <v>-1.1093692459959901</v>
      </c>
      <c r="AE2016">
        <v>-3.9753999999999698</v>
      </c>
      <c r="AF2016">
        <v>-4.91035224894578</v>
      </c>
      <c r="AG2016">
        <v>-1.1093692459959901</v>
      </c>
      <c r="AH2016">
        <v>29.059682293978302</v>
      </c>
      <c r="AI2016">
        <v>92.155706716058305</v>
      </c>
      <c r="AJ2016">
        <v>99.590942559615897</v>
      </c>
      <c r="AK2016">
        <v>29.492497255397701</v>
      </c>
      <c r="AL2016">
        <v>85.960472079052494</v>
      </c>
      <c r="AM2016">
        <v>94.863877304143799</v>
      </c>
      <c r="AN2016">
        <v>1.0000000154297699</v>
      </c>
    </row>
    <row r="2017" spans="1:40" x14ac:dyDescent="0.25">
      <c r="A2017" t="str">
        <f>"20190305135830697"</f>
        <v>20190305135830697</v>
      </c>
      <c r="B2017" t="str">
        <f>"1551765510690810"</f>
        <v>1551765510690810</v>
      </c>
      <c r="C2017" t="s">
        <v>40</v>
      </c>
      <c r="D2017">
        <v>3.8554400000000002</v>
      </c>
      <c r="E2017">
        <v>0.46729310000000002</v>
      </c>
      <c r="F2017" t="s">
        <v>61</v>
      </c>
      <c r="G2017">
        <v>-416.27620000000002</v>
      </c>
      <c r="H2017" s="1">
        <v>3.6957929999999999E-6</v>
      </c>
      <c r="I2017">
        <v>280.30669999999998</v>
      </c>
      <c r="J2017">
        <v>-387.79559999999998</v>
      </c>
      <c r="K2017">
        <v>1.1094630000000001</v>
      </c>
      <c r="L2017">
        <v>284.21249999999998</v>
      </c>
      <c r="M2017">
        <v>-0.99937730000000002</v>
      </c>
      <c r="N2017">
        <v>-1.467371E-2</v>
      </c>
      <c r="O2017">
        <v>3.2094780000000003E-2</v>
      </c>
      <c r="P2017">
        <v>-0.99704800000000005</v>
      </c>
      <c r="Q2017">
        <v>5.5931460000000002E-2</v>
      </c>
      <c r="R2017">
        <v>-5.2605619999999999E-2</v>
      </c>
      <c r="S2017">
        <v>-2.9941409999999999</v>
      </c>
      <c r="T2017">
        <v>-0.1147041</v>
      </c>
      <c r="U2017">
        <v>-0.4022522</v>
      </c>
      <c r="V2017">
        <v>-8.4579039999999994E-2</v>
      </c>
      <c r="W2017">
        <v>7.052696E-2</v>
      </c>
      <c r="X2017">
        <v>0.99391759999999996</v>
      </c>
      <c r="Y2017">
        <v>-0.16472020000000001</v>
      </c>
      <c r="Z2017">
        <v>-5.1100579999999998E-3</v>
      </c>
      <c r="AA2017">
        <v>0.98632710000000001</v>
      </c>
      <c r="AB2017">
        <v>46</v>
      </c>
      <c r="AC2017">
        <v>-28.480599999999999</v>
      </c>
      <c r="AD2017">
        <v>-1.10945930420699</v>
      </c>
      <c r="AE2017">
        <v>-3.9057999999999899</v>
      </c>
      <c r="AF2017">
        <v>-4.8107987047089296</v>
      </c>
      <c r="AG2017">
        <v>-1.10945930420699</v>
      </c>
      <c r="AH2017">
        <v>28.298405523983899</v>
      </c>
      <c r="AI2017">
        <v>92.213447147906905</v>
      </c>
      <c r="AJ2017">
        <v>99.6481826029205</v>
      </c>
      <c r="AK2017">
        <v>28.725849671067401</v>
      </c>
      <c r="AL2017">
        <v>85.9557451106146</v>
      </c>
      <c r="AM2017">
        <v>94.863959750870293</v>
      </c>
      <c r="AN2017">
        <v>0.99999993084195904</v>
      </c>
    </row>
    <row r="2018" spans="1:40" x14ac:dyDescent="0.25">
      <c r="A2018" t="str">
        <f>"20190305135830719"</f>
        <v>20190305135830719</v>
      </c>
      <c r="B2018" t="str">
        <f>"1551765510711125"</f>
        <v>1551765510711125</v>
      </c>
      <c r="C2018" t="s">
        <v>40</v>
      </c>
      <c r="D2018">
        <v>3.838025</v>
      </c>
      <c r="E2018">
        <v>0.46705590000000002</v>
      </c>
      <c r="F2018" t="s">
        <v>61</v>
      </c>
      <c r="G2018">
        <v>-416.65940000000001</v>
      </c>
      <c r="H2018" s="1">
        <v>3.7634560000000001E-6</v>
      </c>
      <c r="I2018">
        <v>280.31040000000002</v>
      </c>
      <c r="J2018">
        <v>-388.23509999999999</v>
      </c>
      <c r="K2018">
        <v>1.1095389999999901</v>
      </c>
      <c r="L2018">
        <v>284.22640000000001</v>
      </c>
      <c r="M2018">
        <v>-0.99938439999999995</v>
      </c>
      <c r="N2018">
        <v>-1.4671210000000001E-2</v>
      </c>
      <c r="O2018">
        <v>3.1872480000000002E-2</v>
      </c>
      <c r="P2018">
        <v>-0.99699159999999998</v>
      </c>
      <c r="Q2018">
        <v>5.6680059999999997E-2</v>
      </c>
      <c r="R2018">
        <v>-5.287327E-2</v>
      </c>
      <c r="S2018">
        <v>-2.9940190000000002</v>
      </c>
      <c r="T2018">
        <v>-0.11508309999999999</v>
      </c>
      <c r="U2018">
        <v>-0.40475460000000002</v>
      </c>
      <c r="V2018">
        <v>-8.4636710000000004E-2</v>
      </c>
      <c r="W2018">
        <v>7.125658E-2</v>
      </c>
      <c r="X2018">
        <v>0.99386070000000004</v>
      </c>
      <c r="Y2018">
        <v>-0.165314299999999</v>
      </c>
      <c r="Z2018">
        <v>-5.1348510000000002E-3</v>
      </c>
      <c r="AA2018">
        <v>0.98622759999999998</v>
      </c>
      <c r="AB2018">
        <v>46</v>
      </c>
      <c r="AC2018">
        <v>-28.424299999999999</v>
      </c>
      <c r="AD2018">
        <v>-1.1095352365440001</v>
      </c>
      <c r="AE2018">
        <v>-3.9159999999999902</v>
      </c>
      <c r="AF2018">
        <v>-4.8128635309997101</v>
      </c>
      <c r="AG2018">
        <v>-1.1095352365440001</v>
      </c>
      <c r="AH2018">
        <v>28.242797414688699</v>
      </c>
      <c r="AI2018">
        <v>92.217803089094005</v>
      </c>
      <c r="AJ2018">
        <v>99.670891815818294</v>
      </c>
      <c r="AK2018">
        <v>28.671420083705399</v>
      </c>
      <c r="AL2018">
        <v>85.913835725279895</v>
      </c>
      <c r="AM2018">
        <v>94.867537621267402</v>
      </c>
      <c r="AN2018">
        <v>0.99999998193870498</v>
      </c>
    </row>
    <row r="2019" spans="1:40" x14ac:dyDescent="0.25">
      <c r="A2019" t="str">
        <f>"20190305135830741"</f>
        <v>20190305135830741</v>
      </c>
      <c r="B2019" t="str">
        <f>"1551765510730644"</f>
        <v>1551765510730644</v>
      </c>
      <c r="C2019" t="s">
        <v>40</v>
      </c>
      <c r="D2019">
        <v>4.0058410000000002</v>
      </c>
      <c r="E2019">
        <v>0.46692519999999998</v>
      </c>
      <c r="F2019" t="s">
        <v>61</v>
      </c>
      <c r="G2019">
        <v>-417.27879999999999</v>
      </c>
      <c r="H2019" s="1">
        <v>3.8766969999999998E-6</v>
      </c>
      <c r="I2019">
        <v>280.27190000000002</v>
      </c>
      <c r="J2019">
        <v>-388.68380000000002</v>
      </c>
      <c r="K2019">
        <v>1.1096170000000001</v>
      </c>
      <c r="L2019">
        <v>284.24059999999997</v>
      </c>
      <c r="M2019">
        <v>-0.99939319999999998</v>
      </c>
      <c r="N2019">
        <v>-1.4668550000000001E-2</v>
      </c>
      <c r="O2019">
        <v>3.1595659999999998E-2</v>
      </c>
      <c r="P2019">
        <v>-0.99693860000000001</v>
      </c>
      <c r="Q2019">
        <v>5.7536450000000003E-2</v>
      </c>
      <c r="R2019">
        <v>-5.2944629999999999E-2</v>
      </c>
      <c r="S2019">
        <v>-2.9939580000000001</v>
      </c>
      <c r="T2019">
        <v>-0.1143758</v>
      </c>
      <c r="U2019">
        <v>-0.40765380000000001</v>
      </c>
      <c r="V2019">
        <v>-8.4443470000000007E-2</v>
      </c>
      <c r="W2019">
        <v>7.2095090000000001E-2</v>
      </c>
      <c r="X2019">
        <v>0.9938167</v>
      </c>
      <c r="Y2019">
        <v>-0.16598280000000001</v>
      </c>
      <c r="Z2019">
        <v>-5.1188659999999997E-3</v>
      </c>
      <c r="AA2019">
        <v>0.98611530000000003</v>
      </c>
      <c r="AB2019">
        <v>46</v>
      </c>
      <c r="AC2019">
        <v>-28.594999999999899</v>
      </c>
      <c r="AD2019">
        <v>-1.109613123303</v>
      </c>
      <c r="AE2019">
        <v>-3.9686999999999499</v>
      </c>
      <c r="AF2019">
        <v>-4.8631087384214897</v>
      </c>
      <c r="AG2019">
        <v>-1.109613123303</v>
      </c>
      <c r="AH2019">
        <v>28.413337389916901</v>
      </c>
      <c r="AI2019">
        <v>92.204386892341702</v>
      </c>
      <c r="AJ2019">
        <v>99.712397831804495</v>
      </c>
      <c r="AK2019">
        <v>28.8478562378276</v>
      </c>
      <c r="AL2019">
        <v>85.865668899378207</v>
      </c>
      <c r="AM2019">
        <v>94.856691404891507</v>
      </c>
      <c r="AN2019">
        <v>1.0000000174133099</v>
      </c>
    </row>
    <row r="2020" spans="1:40" x14ac:dyDescent="0.25">
      <c r="A2020" t="str">
        <f>"20190305135830763"</f>
        <v>20190305135830763</v>
      </c>
      <c r="B2020" t="str">
        <f>"1551765510760901"</f>
        <v>1551765510760901</v>
      </c>
      <c r="C2020" t="s">
        <v>40</v>
      </c>
      <c r="D2020">
        <v>3.8567659999999999</v>
      </c>
      <c r="E2020">
        <v>0.46715400000000001</v>
      </c>
      <c r="F2020" t="s">
        <v>61</v>
      </c>
      <c r="G2020">
        <v>-418.28570000000002</v>
      </c>
      <c r="H2020" s="1">
        <v>4.0618949999999997E-6</v>
      </c>
      <c r="I2020">
        <v>280.19639999999998</v>
      </c>
      <c r="J2020">
        <v>-389.1429</v>
      </c>
      <c r="K2020">
        <v>1.109685</v>
      </c>
      <c r="L2020">
        <v>284.25479999999999</v>
      </c>
      <c r="M2020">
        <v>-0.9994035</v>
      </c>
      <c r="N2020">
        <v>-1.466553E-2</v>
      </c>
      <c r="O2020">
        <v>3.1271170000000001E-2</v>
      </c>
      <c r="P2020">
        <v>-0.99689260000000002</v>
      </c>
      <c r="Q2020">
        <v>5.8003720000000002E-2</v>
      </c>
      <c r="R2020">
        <v>-5.3303080000000003E-2</v>
      </c>
      <c r="S2020">
        <v>-2.9939269999999998</v>
      </c>
      <c r="T2020">
        <v>-0.11222600000000001</v>
      </c>
      <c r="U2020">
        <v>-0.40902709999999998</v>
      </c>
      <c r="V2020">
        <v>-8.4489040000000001E-2</v>
      </c>
      <c r="W2020">
        <v>7.2545949999999998E-2</v>
      </c>
      <c r="X2020">
        <v>0.99378</v>
      </c>
      <c r="Y2020">
        <v>-0.16611389999999901</v>
      </c>
      <c r="Z2020">
        <v>-5.0328559999999996E-3</v>
      </c>
      <c r="AA2020">
        <v>0.98609380000000002</v>
      </c>
      <c r="AB2020">
        <v>46</v>
      </c>
      <c r="AC2020">
        <v>-29.142800000000001</v>
      </c>
      <c r="AD2020">
        <v>-1.1096809381049999</v>
      </c>
      <c r="AE2020">
        <v>-4.0583999999999998</v>
      </c>
      <c r="AF2020">
        <v>-4.96078634886487</v>
      </c>
      <c r="AG2020">
        <v>-1.1096809381049999</v>
      </c>
      <c r="AH2020">
        <v>28.960429242692001</v>
      </c>
      <c r="AI2020">
        <v>92.162865632227394</v>
      </c>
      <c r="AJ2020">
        <v>99.720162286117798</v>
      </c>
      <c r="AK2020">
        <v>29.403184434758899</v>
      </c>
      <c r="AL2020">
        <v>85.839768633117799</v>
      </c>
      <c r="AM2020">
        <v>94.859478369737403</v>
      </c>
      <c r="AN2020">
        <v>1.0000000005707601</v>
      </c>
    </row>
    <row r="2021" spans="1:40" x14ac:dyDescent="0.25">
      <c r="A2021" t="str">
        <f>"20190305135830786"</f>
        <v>20190305135830786</v>
      </c>
      <c r="B2021" t="str">
        <f>"1551765510780421"</f>
        <v>1551765510780421</v>
      </c>
      <c r="C2021" t="s">
        <v>40</v>
      </c>
      <c r="D2021">
        <v>3.8511739999999999</v>
      </c>
      <c r="E2021">
        <v>0.46672550000000002</v>
      </c>
      <c r="F2021" t="s">
        <v>61</v>
      </c>
      <c r="G2021">
        <v>-418.52069999999998</v>
      </c>
      <c r="H2021" s="1">
        <v>4.0989389999999999E-6</v>
      </c>
      <c r="I2021">
        <v>280.24959999999999</v>
      </c>
      <c r="J2021">
        <v>-389.61020000000002</v>
      </c>
      <c r="K2021">
        <v>1.109748</v>
      </c>
      <c r="L2021">
        <v>284.26920000000001</v>
      </c>
      <c r="M2021">
        <v>-0.99941480000000005</v>
      </c>
      <c r="N2021">
        <v>-1.4662690000000001E-2</v>
      </c>
      <c r="O2021">
        <v>3.090528E-2</v>
      </c>
      <c r="P2021">
        <v>-0.99686770000000002</v>
      </c>
      <c r="Q2021">
        <v>5.8405699999999998E-2</v>
      </c>
      <c r="R2021">
        <v>-5.3325329999999997E-2</v>
      </c>
      <c r="S2021">
        <v>-2.99411</v>
      </c>
      <c r="T2021">
        <v>-0.1130956</v>
      </c>
      <c r="U2021">
        <v>-0.40820309999999999</v>
      </c>
      <c r="V2021">
        <v>-8.4156359999999999E-2</v>
      </c>
      <c r="W2021">
        <v>7.2933540000000005E-2</v>
      </c>
      <c r="X2021">
        <v>0.99377979999999999</v>
      </c>
      <c r="Y2021">
        <v>-0.1654767</v>
      </c>
      <c r="Z2021">
        <v>-5.0404309999999997E-3</v>
      </c>
      <c r="AA2021">
        <v>0.98620079999999999</v>
      </c>
      <c r="AB2021">
        <v>46</v>
      </c>
      <c r="AC2021">
        <v>-28.9104999999999</v>
      </c>
      <c r="AD2021">
        <v>-1.109743901061</v>
      </c>
      <c r="AE2021">
        <v>-4.01960000000002</v>
      </c>
      <c r="AF2021">
        <v>-4.9041736238791698</v>
      </c>
      <c r="AG2021">
        <v>-1.109743901061</v>
      </c>
      <c r="AH2021">
        <v>28.730916147926902</v>
      </c>
      <c r="AI2021">
        <v>92.180468254473197</v>
      </c>
      <c r="AJ2021">
        <v>99.686645845950494</v>
      </c>
      <c r="AK2021">
        <v>29.167584630173</v>
      </c>
      <c r="AL2021">
        <v>85.817502134357596</v>
      </c>
      <c r="AM2021">
        <v>94.840435981623898</v>
      </c>
      <c r="AN2021">
        <v>0.99999994253670799</v>
      </c>
    </row>
    <row r="2022" spans="1:40" x14ac:dyDescent="0.25">
      <c r="A2022" t="str">
        <f>"20190305135830808"</f>
        <v>20190305135830808</v>
      </c>
      <c r="B2022" t="str">
        <f>"1551765510800928"</f>
        <v>1551765510800928</v>
      </c>
      <c r="C2022" t="s">
        <v>40</v>
      </c>
      <c r="D2022">
        <v>3.675694</v>
      </c>
      <c r="E2022">
        <v>0.46657999999999999</v>
      </c>
      <c r="F2022" t="s">
        <v>61</v>
      </c>
      <c r="G2022">
        <v>-419.16090000000003</v>
      </c>
      <c r="H2022" s="1">
        <v>4.2166140000000004E-6</v>
      </c>
      <c r="I2022">
        <v>280.20249999999999</v>
      </c>
      <c r="J2022">
        <v>-390.0745</v>
      </c>
      <c r="K2022">
        <v>1.109799</v>
      </c>
      <c r="L2022">
        <v>284.28320000000002</v>
      </c>
      <c r="M2022">
        <v>-0.99942699999999995</v>
      </c>
      <c r="N2022">
        <v>-1.4660039999999999E-2</v>
      </c>
      <c r="O2022">
        <v>3.0511569999999998E-2</v>
      </c>
      <c r="P2022">
        <v>-0.99685599999999996</v>
      </c>
      <c r="Q2022">
        <v>5.8514650000000001E-2</v>
      </c>
      <c r="R2022">
        <v>-5.3425760000000003E-2</v>
      </c>
      <c r="S2022">
        <v>-2.9939879999999999</v>
      </c>
      <c r="T2022">
        <v>-0.11243590000000001</v>
      </c>
      <c r="U2022">
        <v>-0.41201779999999999</v>
      </c>
      <c r="V2022">
        <v>-8.3872870000000002E-2</v>
      </c>
      <c r="W2022">
        <v>7.303055E-2</v>
      </c>
      <c r="X2022">
        <v>0.99379669999999998</v>
      </c>
      <c r="Y2022">
        <v>-0.166328</v>
      </c>
      <c r="Z2022">
        <v>-5.0285369999999996E-3</v>
      </c>
      <c r="AA2022">
        <v>0.98605759999999998</v>
      </c>
      <c r="AB2022">
        <v>46</v>
      </c>
      <c r="AC2022">
        <v>-29.086400000000001</v>
      </c>
      <c r="AD2022">
        <v>-1.109794783386</v>
      </c>
      <c r="AE2022">
        <v>-4.0807000000000304</v>
      </c>
      <c r="AF2022">
        <v>-4.9592862687892296</v>
      </c>
      <c r="AG2022">
        <v>-1.109794783386</v>
      </c>
      <c r="AH2022">
        <v>28.907062000558199</v>
      </c>
      <c r="AI2022">
        <v>92.166981623571999</v>
      </c>
      <c r="AJ2022">
        <v>99.734875829668795</v>
      </c>
      <c r="AK2022">
        <v>29.3503730514818</v>
      </c>
      <c r="AL2022">
        <v>85.811929250466505</v>
      </c>
      <c r="AM2022">
        <v>94.824125870920895</v>
      </c>
      <c r="AN2022">
        <v>1.00000000024311</v>
      </c>
    </row>
    <row r="2023" spans="1:40" x14ac:dyDescent="0.25">
      <c r="A2023" t="str">
        <f>"20190305135830830"</f>
        <v>20190305135830830</v>
      </c>
      <c r="B2023" t="str">
        <f>"1551765510820437"</f>
        <v>1551765510820437</v>
      </c>
      <c r="C2023" t="s">
        <v>40</v>
      </c>
      <c r="D2023">
        <v>3.7790219999999999</v>
      </c>
      <c r="E2023">
        <v>0.46646169999999998</v>
      </c>
      <c r="F2023" t="s">
        <v>61</v>
      </c>
      <c r="G2023">
        <v>-419.55779999999999</v>
      </c>
      <c r="H2023" s="1">
        <v>4.286088E-6</v>
      </c>
      <c r="I2023">
        <v>280.21319999999997</v>
      </c>
      <c r="J2023">
        <v>-390.5059</v>
      </c>
      <c r="K2023">
        <v>1.1098410000000001</v>
      </c>
      <c r="L2023">
        <v>284.29610000000002</v>
      </c>
      <c r="M2023">
        <v>-0.99943879999999996</v>
      </c>
      <c r="N2023">
        <v>-1.465751E-2</v>
      </c>
      <c r="O2023">
        <v>3.0123529999999999E-2</v>
      </c>
      <c r="P2023">
        <v>-0.99684669999999997</v>
      </c>
      <c r="Q2023">
        <v>5.8482020000000003E-2</v>
      </c>
      <c r="R2023">
        <v>-5.3635219999999997E-2</v>
      </c>
      <c r="S2023">
        <v>-2.9939580000000001</v>
      </c>
      <c r="T2023">
        <v>-0.11269659999999999</v>
      </c>
      <c r="U2023">
        <v>-0.41329959999999999</v>
      </c>
      <c r="V2023">
        <v>-8.3703479999999997E-2</v>
      </c>
      <c r="W2023">
        <v>7.2987280000000002E-2</v>
      </c>
      <c r="X2023">
        <v>0.99381419999999998</v>
      </c>
      <c r="Y2023">
        <v>-0.16636020000000001</v>
      </c>
      <c r="Z2023">
        <v>-5.0301709999999999E-3</v>
      </c>
      <c r="AA2023">
        <v>0.98605220000000005</v>
      </c>
      <c r="AB2023">
        <v>46</v>
      </c>
      <c r="AC2023">
        <v>-29.0518999999999</v>
      </c>
      <c r="AD2023">
        <v>-1.109836713912</v>
      </c>
      <c r="AE2023">
        <v>-4.0829000000000502</v>
      </c>
      <c r="AF2023">
        <v>-4.9492035530239296</v>
      </c>
      <c r="AG2023">
        <v>-1.109836713912</v>
      </c>
      <c r="AH2023">
        <v>28.874385765834901</v>
      </c>
      <c r="AI2023">
        <v>92.169569455142195</v>
      </c>
      <c r="AJ2023">
        <v>99.726246243114602</v>
      </c>
      <c r="AK2023">
        <v>29.3164886487973</v>
      </c>
      <c r="AL2023">
        <v>85.814415238920404</v>
      </c>
      <c r="AM2023">
        <v>94.814344509322396</v>
      </c>
      <c r="AN2023">
        <v>1.0000000398637701</v>
      </c>
    </row>
    <row r="2024" spans="1:40" x14ac:dyDescent="0.25">
      <c r="A2024" t="str">
        <f>"20190305135830852"</f>
        <v>20190305135830852</v>
      </c>
      <c r="B2024" t="str">
        <f>"1551765510840936"</f>
        <v>1551765510840936</v>
      </c>
      <c r="C2024" t="s">
        <v>40</v>
      </c>
      <c r="D2024">
        <v>3.7841230000000001</v>
      </c>
      <c r="E2024">
        <v>0.466362</v>
      </c>
      <c r="F2024" t="s">
        <v>61</v>
      </c>
      <c r="G2024">
        <v>-420.85599999999999</v>
      </c>
      <c r="H2024" s="1">
        <v>4.2085329999999999E-6</v>
      </c>
      <c r="I2024">
        <v>280.08920000000001</v>
      </c>
      <c r="J2024">
        <v>-390.96030000000002</v>
      </c>
      <c r="K2024">
        <v>1.109883</v>
      </c>
      <c r="L2024">
        <v>284.30950000000001</v>
      </c>
      <c r="M2024">
        <v>-0.9994516</v>
      </c>
      <c r="N2024">
        <v>-1.4654850000000001E-2</v>
      </c>
      <c r="O2024">
        <v>2.969341E-2</v>
      </c>
      <c r="P2024">
        <v>-0.99690570000000001</v>
      </c>
      <c r="Q2024">
        <v>5.7868990000000002E-2</v>
      </c>
      <c r="R2024">
        <v>-5.319931E-2</v>
      </c>
      <c r="S2024">
        <v>-2.9935909999999999</v>
      </c>
      <c r="T2024">
        <v>-0.1094692</v>
      </c>
      <c r="U2024">
        <v>-0.41494750000000002</v>
      </c>
      <c r="V2024">
        <v>-8.2848050000000006E-2</v>
      </c>
      <c r="W2024">
        <v>7.2365699999999894E-2</v>
      </c>
      <c r="X2024">
        <v>0.99393129999999996</v>
      </c>
      <c r="Y2024">
        <v>-0.16649330000000001</v>
      </c>
      <c r="Z2024">
        <v>-4.9029620000000003E-3</v>
      </c>
      <c r="AA2024">
        <v>0.98603039999999997</v>
      </c>
      <c r="AB2024">
        <v>46</v>
      </c>
      <c r="AC2024">
        <v>-29.895699999999898</v>
      </c>
      <c r="AD2024">
        <v>-1.1098787914670001</v>
      </c>
      <c r="AE2024">
        <v>-4.2202999999999999</v>
      </c>
      <c r="AF2024">
        <v>-5.0993483621956601</v>
      </c>
      <c r="AG2024">
        <v>-1.1098787914670001</v>
      </c>
      <c r="AH2024">
        <v>29.717028449612801</v>
      </c>
      <c r="AI2024">
        <v>92.108118840898499</v>
      </c>
      <c r="AJ2024">
        <v>99.736944475341005</v>
      </c>
      <c r="AK2024">
        <v>30.171790873693102</v>
      </c>
      <c r="AL2024">
        <v>85.850123459183195</v>
      </c>
      <c r="AM2024">
        <v>94.764811934442704</v>
      </c>
      <c r="AN2024">
        <v>1.0000000115224901</v>
      </c>
    </row>
    <row r="2025" spans="1:40" x14ac:dyDescent="0.25">
      <c r="A2025" t="str">
        <f>"20190305135830876"</f>
        <v>20190305135830876</v>
      </c>
      <c r="B2025" t="str">
        <f>"1551765510870213"</f>
        <v>1551765510870213</v>
      </c>
      <c r="C2025" t="s">
        <v>40</v>
      </c>
      <c r="D2025">
        <v>3.7848320000000002</v>
      </c>
      <c r="E2025">
        <v>0.4662307</v>
      </c>
      <c r="F2025" t="s">
        <v>61</v>
      </c>
      <c r="G2025">
        <v>-421.8254</v>
      </c>
      <c r="H2025" s="1">
        <v>4.0416699999999901E-6</v>
      </c>
      <c r="I2025">
        <v>280.03100000000001</v>
      </c>
      <c r="J2025">
        <v>-391.42649999999998</v>
      </c>
      <c r="K2025">
        <v>1.1099159999999999</v>
      </c>
      <c r="L2025">
        <v>284.32299999999998</v>
      </c>
      <c r="M2025">
        <v>-0.9994653</v>
      </c>
      <c r="N2025">
        <v>-1.4652149999999999E-2</v>
      </c>
      <c r="O2025">
        <v>2.9232020000000001E-2</v>
      </c>
      <c r="P2025">
        <v>-0.99695619999999996</v>
      </c>
      <c r="Q2025">
        <v>5.7179199999999902E-2</v>
      </c>
      <c r="R2025">
        <v>-5.300059E-2</v>
      </c>
      <c r="S2025">
        <v>-2.9934080000000001</v>
      </c>
      <c r="T2025">
        <v>-0.10764</v>
      </c>
      <c r="U2025">
        <v>-0.41494750000000002</v>
      </c>
      <c r="V2025">
        <v>-8.219767E-2</v>
      </c>
      <c r="W2025">
        <v>7.1667519999999998E-2</v>
      </c>
      <c r="X2025">
        <v>0.99403580000000002</v>
      </c>
      <c r="Y2025">
        <v>-0.16605149999999999</v>
      </c>
      <c r="Z2025">
        <v>-4.8134689999999999E-3</v>
      </c>
      <c r="AA2025">
        <v>0.98610529999999996</v>
      </c>
      <c r="AB2025">
        <v>46</v>
      </c>
      <c r="AC2025">
        <v>-30.398900000000001</v>
      </c>
      <c r="AD2025">
        <v>-1.1099119583299999</v>
      </c>
      <c r="AE2025">
        <v>-4.2919999999999696</v>
      </c>
      <c r="AF2025">
        <v>-5.17212187905678</v>
      </c>
      <c r="AG2025">
        <v>-1.1099119583299999</v>
      </c>
      <c r="AH2025">
        <v>30.220929062672099</v>
      </c>
      <c r="AI2025">
        <v>92.073217367720403</v>
      </c>
      <c r="AJ2025">
        <v>99.711722322326594</v>
      </c>
      <c r="AK2025">
        <v>30.680405843113</v>
      </c>
      <c r="AL2025">
        <v>85.890230035790907</v>
      </c>
      <c r="AM2025">
        <v>94.727082314289206</v>
      </c>
      <c r="AN2025">
        <v>0.99999993102900697</v>
      </c>
    </row>
    <row r="2026" spans="1:40" x14ac:dyDescent="0.25">
      <c r="A2026" t="str">
        <f>"20190305135830900"</f>
        <v>20190305135830900</v>
      </c>
      <c r="B2026" t="str">
        <f>"1551765510890710"</f>
        <v>1551765510890710</v>
      </c>
      <c r="C2026" t="s">
        <v>40</v>
      </c>
      <c r="D2026">
        <v>3.8457020000000002</v>
      </c>
      <c r="E2026">
        <v>0.46591009999999999</v>
      </c>
      <c r="F2026" t="s">
        <v>61</v>
      </c>
      <c r="G2026">
        <v>-422.92950000000002</v>
      </c>
      <c r="H2026" s="1">
        <v>3.8528029999999996E-6</v>
      </c>
      <c r="I2026">
        <v>279.9511</v>
      </c>
      <c r="J2026">
        <v>-391.90159999999997</v>
      </c>
      <c r="K2026">
        <v>1.109947</v>
      </c>
      <c r="L2026">
        <v>284.3365</v>
      </c>
      <c r="M2026">
        <v>-0.99947940000000002</v>
      </c>
      <c r="N2026">
        <v>-1.4649229999999999E-2</v>
      </c>
      <c r="O2026">
        <v>2.8743979999999999E-2</v>
      </c>
      <c r="P2026">
        <v>-0.99697599999999997</v>
      </c>
      <c r="Q2026">
        <v>5.6572459999999998E-2</v>
      </c>
      <c r="R2026">
        <v>-5.3275990000000002E-2</v>
      </c>
      <c r="S2026">
        <v>-2.9930729999999999</v>
      </c>
      <c r="T2026">
        <v>-0.1054517</v>
      </c>
      <c r="U2026">
        <v>-0.41537479999999899</v>
      </c>
      <c r="V2026">
        <v>-8.1993209999999997E-2</v>
      </c>
      <c r="W2026">
        <v>7.1051119999999995E-2</v>
      </c>
      <c r="X2026">
        <v>0.99409700000000001</v>
      </c>
      <c r="Y2026">
        <v>-0.16572909999999999</v>
      </c>
      <c r="Z2026">
        <v>-4.7140619999999998E-3</v>
      </c>
      <c r="AA2026">
        <v>0.98616000000000004</v>
      </c>
      <c r="AB2026">
        <v>46</v>
      </c>
      <c r="AC2026">
        <v>-31.027899999999999</v>
      </c>
      <c r="AD2026">
        <v>-1.109943147197</v>
      </c>
      <c r="AE2026">
        <v>-4.3853999999999997</v>
      </c>
      <c r="AF2026">
        <v>-5.2689382608382402</v>
      </c>
      <c r="AG2026">
        <v>-1.109943147197</v>
      </c>
      <c r="AH2026">
        <v>30.8503044193485</v>
      </c>
      <c r="AI2026">
        <v>92.031133660689605</v>
      </c>
      <c r="AJ2026">
        <v>99.692058506623596</v>
      </c>
      <c r="AK2026">
        <v>31.316688313948699</v>
      </c>
      <c r="AL2026">
        <v>85.925637690587905</v>
      </c>
      <c r="AM2026">
        <v>94.715088183677295</v>
      </c>
      <c r="AN2026">
        <v>0.99999999677417895</v>
      </c>
    </row>
    <row r="2027" spans="1:40" x14ac:dyDescent="0.25">
      <c r="A2027" t="str">
        <f>"20190305135830919"</f>
        <v>20190305135830919</v>
      </c>
      <c r="B2027" t="str">
        <f>"1551765510910735"</f>
        <v>1551765510910735</v>
      </c>
      <c r="C2027" t="s">
        <v>40</v>
      </c>
      <c r="D2027">
        <v>3.8526600000000002</v>
      </c>
      <c r="E2027">
        <v>0.46574270000000001</v>
      </c>
      <c r="F2027" t="s">
        <v>61</v>
      </c>
      <c r="G2027">
        <v>-422.42829999999998</v>
      </c>
      <c r="H2027" s="1">
        <v>3.9317620000000004E-6</v>
      </c>
      <c r="I2027">
        <v>280.06490000000002</v>
      </c>
      <c r="J2027">
        <v>-392.33159999999998</v>
      </c>
      <c r="K2027">
        <v>1.109977</v>
      </c>
      <c r="L2027">
        <v>284.34859999999998</v>
      </c>
      <c r="M2027">
        <v>-0.99949259999999995</v>
      </c>
      <c r="N2027">
        <v>-1.4646660000000001E-2</v>
      </c>
      <c r="O2027">
        <v>2.82875E-2</v>
      </c>
      <c r="P2027">
        <v>-0.99697270000000004</v>
      </c>
      <c r="Q2027">
        <v>5.6329600000000001E-2</v>
      </c>
      <c r="R2027">
        <v>-5.3597499999999999E-2</v>
      </c>
      <c r="S2027">
        <v>-2.9928889999999999</v>
      </c>
      <c r="T2027">
        <v>-0.1088208</v>
      </c>
      <c r="U2027">
        <v>-0.41879270000000002</v>
      </c>
      <c r="V2027">
        <v>-8.1864790000000007E-2</v>
      </c>
      <c r="W2027">
        <v>7.0800940000000007E-2</v>
      </c>
      <c r="X2027">
        <v>0.99412540000000005</v>
      </c>
      <c r="Y2027">
        <v>-0.16638259999999999</v>
      </c>
      <c r="Z2027">
        <v>-4.8456990000000002E-3</v>
      </c>
      <c r="AA2027">
        <v>0.98604939999999996</v>
      </c>
      <c r="AB2027">
        <v>46</v>
      </c>
      <c r="AC2027">
        <v>-30.096699999999998</v>
      </c>
      <c r="AD2027">
        <v>-1.109973068238</v>
      </c>
      <c r="AE2027">
        <v>-4.2836999999999499</v>
      </c>
      <c r="AF2027">
        <v>-5.1266025837290199</v>
      </c>
      <c r="AG2027">
        <v>-1.109973068238</v>
      </c>
      <c r="AH2027">
        <v>29.923572995562601</v>
      </c>
      <c r="AI2027">
        <v>92.093853773004</v>
      </c>
      <c r="AJ2027">
        <v>99.721714032002197</v>
      </c>
      <c r="AK2027">
        <v>30.379834020028401</v>
      </c>
      <c r="AL2027">
        <v>85.940008006100697</v>
      </c>
      <c r="AM2027">
        <v>94.707602617548005</v>
      </c>
      <c r="AN2027">
        <v>0.99999996393589297</v>
      </c>
    </row>
    <row r="2028" spans="1:40" x14ac:dyDescent="0.25">
      <c r="A2028" t="str">
        <f>"20190305135830941"</f>
        <v>20190305135830941</v>
      </c>
      <c r="B2028" t="str">
        <f>"1551765510930258"</f>
        <v>1551765510930258</v>
      </c>
      <c r="C2028" t="s">
        <v>40</v>
      </c>
      <c r="D2028">
        <v>4.0556419999999997</v>
      </c>
      <c r="E2028">
        <v>0.46584619999999999</v>
      </c>
      <c r="F2028" t="s">
        <v>61</v>
      </c>
      <c r="G2028">
        <v>-422.7747</v>
      </c>
      <c r="H2028" s="1">
        <v>3.8700850000000002E-6</v>
      </c>
      <c r="I2028">
        <v>280.06760000000003</v>
      </c>
      <c r="J2028">
        <v>-392.77659999999997</v>
      </c>
      <c r="K2028">
        <v>1.1100049999999999</v>
      </c>
      <c r="L2028">
        <v>284.36079999999998</v>
      </c>
      <c r="M2028">
        <v>-0.99950620000000001</v>
      </c>
      <c r="N2028">
        <v>-1.46439E-2</v>
      </c>
      <c r="O2028">
        <v>2.7805110000000001E-2</v>
      </c>
      <c r="P2028">
        <v>-0.99695610000000001</v>
      </c>
      <c r="Q2028">
        <v>5.6297630000000001E-2</v>
      </c>
      <c r="R2028">
        <v>-5.3938369999999999E-2</v>
      </c>
      <c r="S2028">
        <v>-2.9926759999999999</v>
      </c>
      <c r="T2028">
        <v>-0.1091148</v>
      </c>
      <c r="U2028">
        <v>-0.42083739999999997</v>
      </c>
      <c r="V2028">
        <v>-8.1728969999999998E-2</v>
      </c>
      <c r="W2028">
        <v>7.0761930000000001E-2</v>
      </c>
      <c r="X2028">
        <v>0.99413940000000001</v>
      </c>
      <c r="Y2028">
        <v>-0.16657620000000001</v>
      </c>
      <c r="Z2028">
        <v>-4.8510640000000004E-3</v>
      </c>
      <c r="AA2028">
        <v>0.98601660000000002</v>
      </c>
      <c r="AB2028">
        <v>46</v>
      </c>
      <c r="AC2028">
        <v>-29.998100000000001</v>
      </c>
      <c r="AD2028">
        <v>-1.1100011299150001</v>
      </c>
      <c r="AE2028">
        <v>-4.2931999999999499</v>
      </c>
      <c r="AF2028">
        <v>-5.1188616118857704</v>
      </c>
      <c r="AG2028">
        <v>-1.1100011299150001</v>
      </c>
      <c r="AH2028">
        <v>29.8270945801553</v>
      </c>
      <c r="AI2028">
        <v>92.100570530973997</v>
      </c>
      <c r="AJ2028">
        <v>99.738113042626296</v>
      </c>
      <c r="AK2028">
        <v>30.283500752118801</v>
      </c>
      <c r="AL2028">
        <v>85.942248925731803</v>
      </c>
      <c r="AM2028">
        <v>94.699761468832094</v>
      </c>
      <c r="AN2028">
        <v>1.0000000109534699</v>
      </c>
    </row>
    <row r="2029" spans="1:40" x14ac:dyDescent="0.25">
      <c r="A2029" t="str">
        <f>"20190305135830965"</f>
        <v>20190305135830965</v>
      </c>
      <c r="B2029" t="str">
        <f>"1551765510960512"</f>
        <v>1551765510960512</v>
      </c>
      <c r="C2029" t="s">
        <v>40</v>
      </c>
      <c r="D2029">
        <v>3.9467279999999998</v>
      </c>
      <c r="E2029">
        <v>0.53829649999999996</v>
      </c>
      <c r="F2029" t="s">
        <v>61</v>
      </c>
      <c r="G2029">
        <v>-423.65550000000002</v>
      </c>
      <c r="H2029" s="1">
        <v>3.7181430000000002E-6</v>
      </c>
      <c r="I2029">
        <v>280.01839999999999</v>
      </c>
      <c r="J2029">
        <v>-393.2448</v>
      </c>
      <c r="K2029">
        <v>1.1100209999999999</v>
      </c>
      <c r="L2029">
        <v>284.3734</v>
      </c>
      <c r="M2029">
        <v>-0.99952039999999998</v>
      </c>
      <c r="N2029">
        <v>-1.464091E-2</v>
      </c>
      <c r="O2029">
        <v>2.7288759999999999E-2</v>
      </c>
      <c r="P2029">
        <v>-0.99695619999999996</v>
      </c>
      <c r="Q2029">
        <v>5.6063979999999999E-2</v>
      </c>
      <c r="R2029">
        <v>-5.4181340000000001E-2</v>
      </c>
      <c r="S2029">
        <v>-2.9924010000000001</v>
      </c>
      <c r="T2029">
        <v>-0.10756780000000001</v>
      </c>
      <c r="U2029">
        <v>-0.42080689999999998</v>
      </c>
      <c r="V2029">
        <v>-8.1461099999999995E-2</v>
      </c>
      <c r="W2029">
        <v>7.0521730000000005E-2</v>
      </c>
      <c r="X2029">
        <v>0.99417840000000002</v>
      </c>
      <c r="Y2029">
        <v>-0.166074</v>
      </c>
      <c r="Z2029">
        <v>-4.7705120000000002E-3</v>
      </c>
      <c r="AA2029">
        <v>0.98610169999999997</v>
      </c>
      <c r="AB2029">
        <v>46</v>
      </c>
      <c r="AC2029">
        <v>-30.410699999999999</v>
      </c>
      <c r="AD2029">
        <v>-1.110017281857</v>
      </c>
      <c r="AE2029">
        <v>-4.3550000000000102</v>
      </c>
      <c r="AF2029">
        <v>-5.1765788119305798</v>
      </c>
      <c r="AG2029">
        <v>-1.110017281857</v>
      </c>
      <c r="AH2029">
        <v>30.241036225523199</v>
      </c>
      <c r="AI2029">
        <v>92.072024964544298</v>
      </c>
      <c r="AJ2029">
        <v>99.713591966912006</v>
      </c>
      <c r="AK2029">
        <v>30.700967062220599</v>
      </c>
      <c r="AL2029">
        <v>85.956045626051605</v>
      </c>
      <c r="AM2029">
        <v>94.684243529962998</v>
      </c>
      <c r="AN2029">
        <v>0.99999995812097997</v>
      </c>
    </row>
    <row r="2030" spans="1:40" x14ac:dyDescent="0.25">
      <c r="A2030" t="str">
        <f>"20190305135830980"</f>
        <v>20190305135830980</v>
      </c>
      <c r="B2030" t="str">
        <f>"1551765510970272"</f>
        <v>1551765510970272</v>
      </c>
      <c r="C2030" t="s">
        <v>40</v>
      </c>
      <c r="D2030">
        <v>3.9650989999999999</v>
      </c>
      <c r="E2030">
        <v>0.54713330000000004</v>
      </c>
      <c r="F2030" t="s">
        <v>43</v>
      </c>
      <c r="G2030">
        <v>-529.34159999999997</v>
      </c>
      <c r="H2030">
        <v>-0.05</v>
      </c>
      <c r="I2030">
        <v>291.233</v>
      </c>
      <c r="J2030">
        <v>-393.55860000000001</v>
      </c>
      <c r="K2030">
        <v>1.110034</v>
      </c>
      <c r="L2030">
        <v>284.38170000000002</v>
      </c>
      <c r="M2030">
        <v>-0.99952989999999997</v>
      </c>
      <c r="N2030">
        <v>-1.4638999999999999E-2</v>
      </c>
      <c r="O2030">
        <v>2.6939350000000001E-2</v>
      </c>
      <c r="P2030">
        <v>-0.99694309999999997</v>
      </c>
      <c r="Q2030">
        <v>5.6118059999999997E-2</v>
      </c>
      <c r="R2030">
        <v>-5.4363309999999998E-2</v>
      </c>
      <c r="S2030">
        <v>-3.0189210000000002</v>
      </c>
      <c r="T2030">
        <v>-2.5731799999999999E-2</v>
      </c>
      <c r="U2030">
        <v>0.15216060000000001</v>
      </c>
      <c r="V2030">
        <v>-8.1297250000000001E-2</v>
      </c>
      <c r="W2030">
        <v>7.0572140000000005E-2</v>
      </c>
      <c r="X2030">
        <v>0.99418819999999997</v>
      </c>
      <c r="Y2030">
        <v>2.3410279999999999E-2</v>
      </c>
      <c r="Z2030">
        <v>4.3601730000000002E-4</v>
      </c>
      <c r="AA2030">
        <v>0.9997258</v>
      </c>
      <c r="AB2030">
        <v>45</v>
      </c>
      <c r="AC2030">
        <v>-135.78299999999899</v>
      </c>
      <c r="AD2030">
        <v>-1.160034</v>
      </c>
      <c r="AE2030">
        <v>6.8512999999999797</v>
      </c>
      <c r="AF2030">
        <v>3.1902829851561498</v>
      </c>
      <c r="AG2030">
        <v>-1.160034</v>
      </c>
      <c r="AH2030">
        <v>135.90840456454501</v>
      </c>
      <c r="AI2030">
        <v>90.488896442332404</v>
      </c>
      <c r="AJ2030">
        <v>88.655298848501403</v>
      </c>
      <c r="AK2030">
        <v>135.95079262618</v>
      </c>
      <c r="AL2030">
        <v>85.953149990744805</v>
      </c>
      <c r="AM2030">
        <v>94.674817616157</v>
      </c>
      <c r="AN2030">
        <v>0.99999992341048805</v>
      </c>
    </row>
    <row r="2031" spans="1:40" x14ac:dyDescent="0.25">
      <c r="A2031" t="str">
        <f>"20190305135830995"</f>
        <v>20190305135830995</v>
      </c>
      <c r="B2031" t="str">
        <f>"1551765510990768"</f>
        <v>1551765510990768</v>
      </c>
      <c r="C2031" t="s">
        <v>40</v>
      </c>
      <c r="D2031">
        <v>3.9175849999999999</v>
      </c>
      <c r="E2031">
        <v>0.55636509999999995</v>
      </c>
      <c r="F2031" t="s">
        <v>59</v>
      </c>
      <c r="G2031">
        <v>-446.56200000000001</v>
      </c>
      <c r="H2031" s="1">
        <v>1.793782E-6</v>
      </c>
      <c r="I2031">
        <v>288.3082</v>
      </c>
      <c r="J2031">
        <v>-393.87700000000001</v>
      </c>
      <c r="K2031">
        <v>1.110044</v>
      </c>
      <c r="L2031">
        <v>284.39</v>
      </c>
      <c r="M2031">
        <v>-0.99953959999999997</v>
      </c>
      <c r="N2031">
        <v>-1.463704E-2</v>
      </c>
      <c r="O2031">
        <v>2.6582160000000001E-2</v>
      </c>
      <c r="P2031">
        <v>-0.99692170000000002</v>
      </c>
      <c r="Q2031">
        <v>5.6242920000000002E-2</v>
      </c>
      <c r="R2031">
        <v>-5.4630079999999998E-2</v>
      </c>
      <c r="S2031">
        <v>-3.024994</v>
      </c>
      <c r="T2031">
        <v>-6.335151E-2</v>
      </c>
      <c r="U2031">
        <v>0.2240906</v>
      </c>
      <c r="V2031">
        <v>-8.1208849999999999E-2</v>
      </c>
      <c r="W2031">
        <v>7.0693430000000002E-2</v>
      </c>
      <c r="X2031">
        <v>0.99418689999999998</v>
      </c>
      <c r="Y2031">
        <v>4.7321740000000001E-2</v>
      </c>
      <c r="Z2031">
        <v>6.7466819999999997E-4</v>
      </c>
      <c r="AA2031">
        <v>0.99887950000000003</v>
      </c>
      <c r="AB2031">
        <v>45</v>
      </c>
      <c r="AC2031">
        <v>-52.685000000000002</v>
      </c>
      <c r="AD2031">
        <v>-1.110042206218</v>
      </c>
      <c r="AE2031">
        <v>3.9182000000000099</v>
      </c>
      <c r="AF2031">
        <v>2.51507382697985</v>
      </c>
      <c r="AG2031">
        <v>-1.110042206218</v>
      </c>
      <c r="AH2031">
        <v>52.747257402510598</v>
      </c>
      <c r="AI2031">
        <v>91.204218111208306</v>
      </c>
      <c r="AJ2031">
        <v>87.270112922830094</v>
      </c>
      <c r="AK2031">
        <v>52.818850361792698</v>
      </c>
      <c r="AL2031">
        <v>85.946183557627904</v>
      </c>
      <c r="AM2031">
        <v>94.669762943042102</v>
      </c>
      <c r="AN2031">
        <v>1.0000000152475399</v>
      </c>
    </row>
    <row r="2032" spans="1:40" x14ac:dyDescent="0.25">
      <c r="A2032" t="str">
        <f>"20190305135831010"</f>
        <v>20190305135831010</v>
      </c>
      <c r="B2032" t="str">
        <f>"1551765511000529"</f>
        <v>1551765511000529</v>
      </c>
      <c r="C2032" t="s">
        <v>40</v>
      </c>
      <c r="D2032">
        <v>3.8985729999999998</v>
      </c>
      <c r="E2032">
        <v>0.55840210000000001</v>
      </c>
      <c r="F2032" t="s">
        <v>61</v>
      </c>
      <c r="G2032">
        <v>-433.08339999999998</v>
      </c>
      <c r="H2032" s="1">
        <v>3.2675259999999999E-6</v>
      </c>
      <c r="I2032">
        <v>288.24029999999999</v>
      </c>
      <c r="J2032">
        <v>-394.15960000000001</v>
      </c>
      <c r="K2032">
        <v>1.11006</v>
      </c>
      <c r="L2032">
        <v>284.39729999999997</v>
      </c>
      <c r="M2032">
        <v>-0.99954799999999999</v>
      </c>
      <c r="N2032">
        <v>-1.463538E-2</v>
      </c>
      <c r="O2032">
        <v>2.626411E-2</v>
      </c>
      <c r="P2032">
        <v>-0.99689709999999998</v>
      </c>
      <c r="Q2032">
        <v>5.6435869999999999E-2</v>
      </c>
      <c r="R2032">
        <v>-5.4875979999999998E-2</v>
      </c>
      <c r="S2032">
        <v>-3.0304259999999998</v>
      </c>
      <c r="T2032">
        <v>-8.5799810000000004E-2</v>
      </c>
      <c r="U2032">
        <v>0.29760740000000002</v>
      </c>
      <c r="V2032">
        <v>-8.1139500000000003E-2</v>
      </c>
      <c r="W2032">
        <v>7.0882749999999994E-2</v>
      </c>
      <c r="X2032">
        <v>0.99417909999999998</v>
      </c>
      <c r="Y2032">
        <v>7.152066E-2</v>
      </c>
      <c r="Z2032">
        <v>1.1768799999999999E-3</v>
      </c>
      <c r="AA2032">
        <v>0.99743839999999995</v>
      </c>
      <c r="AB2032">
        <v>45</v>
      </c>
      <c r="AC2032">
        <v>-38.9237999999999</v>
      </c>
      <c r="AD2032">
        <v>-1.1100567324740001</v>
      </c>
      <c r="AE2032">
        <v>3.8430000000000102</v>
      </c>
      <c r="AF2032">
        <v>2.8169966721974702</v>
      </c>
      <c r="AG2032">
        <v>-1.1100567324740001</v>
      </c>
      <c r="AH2032">
        <v>38.979916721846401</v>
      </c>
      <c r="AI2032">
        <v>91.626968025003805</v>
      </c>
      <c r="AJ2032">
        <v>85.866540286956393</v>
      </c>
      <c r="AK2032">
        <v>39.097334996679201</v>
      </c>
      <c r="AL2032">
        <v>85.935309112166095</v>
      </c>
      <c r="AM2032">
        <v>94.665829159821399</v>
      </c>
      <c r="AN2032">
        <v>1.00000003279231</v>
      </c>
    </row>
    <row r="2033" spans="1:40" x14ac:dyDescent="0.25">
      <c r="A2033" t="str">
        <f>"20190305135831032"</f>
        <v>20190305135831032</v>
      </c>
      <c r="B2033" t="str">
        <f>"1551765511021024"</f>
        <v>1551765511021024</v>
      </c>
      <c r="C2033" t="s">
        <v>40</v>
      </c>
      <c r="D2033">
        <v>3.8805390000000002</v>
      </c>
      <c r="E2033">
        <v>0.56058359999999996</v>
      </c>
      <c r="F2033" t="s">
        <v>61</v>
      </c>
      <c r="G2033">
        <v>-428.2004</v>
      </c>
      <c r="H2033" s="1">
        <v>2.2211959999999999E-6</v>
      </c>
      <c r="I2033">
        <v>287.9196</v>
      </c>
      <c r="J2033">
        <v>-394.60430000000002</v>
      </c>
      <c r="K2033">
        <v>1.110079</v>
      </c>
      <c r="L2033">
        <v>284.4085</v>
      </c>
      <c r="M2033">
        <v>-0.99956100000000003</v>
      </c>
      <c r="N2033">
        <v>-1.463267E-2</v>
      </c>
      <c r="O2033">
        <v>2.5763899999999999E-2</v>
      </c>
      <c r="P2033">
        <v>-0.99684360000000005</v>
      </c>
      <c r="Q2033">
        <v>5.692738E-2</v>
      </c>
      <c r="R2033">
        <v>-5.533304E-2</v>
      </c>
      <c r="S2033">
        <v>-3.0321660000000001</v>
      </c>
      <c r="T2033">
        <v>-9.8877670000000001E-2</v>
      </c>
      <c r="U2033">
        <v>0.31375120000000001</v>
      </c>
      <c r="V2033">
        <v>-8.109922E-2</v>
      </c>
      <c r="W2033">
        <v>7.1369779999999994E-2</v>
      </c>
      <c r="X2033">
        <v>0.99414749999999996</v>
      </c>
      <c r="Y2033">
        <v>7.7205910000000003E-2</v>
      </c>
      <c r="Z2033">
        <v>1.360527E-3</v>
      </c>
      <c r="AA2033">
        <v>0.99701419999999996</v>
      </c>
      <c r="AB2033">
        <v>45</v>
      </c>
      <c r="AC2033">
        <v>-33.5960999999999</v>
      </c>
      <c r="AD2033">
        <v>-1.110076778804</v>
      </c>
      <c r="AE2033">
        <v>3.5110999999999901</v>
      </c>
      <c r="AF2033">
        <v>2.6414224071733798</v>
      </c>
      <c r="AG2033">
        <v>-1.110076778804</v>
      </c>
      <c r="AH2033">
        <v>33.639085776388697</v>
      </c>
      <c r="AI2033">
        <v>91.884256799155594</v>
      </c>
      <c r="AJ2033">
        <v>85.510209311095906</v>
      </c>
      <c r="AK2033">
        <v>33.7608867575956</v>
      </c>
      <c r="AL2033">
        <v>85.907333322103895</v>
      </c>
      <c r="AM2033">
        <v>94.663670706999696</v>
      </c>
      <c r="AN2033">
        <v>0.99999999036905296</v>
      </c>
    </row>
    <row r="2034" spans="1:40" x14ac:dyDescent="0.25">
      <c r="A2034" t="str">
        <f>"20190305135831054"</f>
        <v>20190305135831054</v>
      </c>
      <c r="B2034" t="str">
        <f>"1551765511051281"</f>
        <v>1551765511051281</v>
      </c>
      <c r="C2034" t="s">
        <v>40</v>
      </c>
      <c r="D2034">
        <v>3.8677800000000002</v>
      </c>
      <c r="E2034">
        <v>0.56240800000000002</v>
      </c>
      <c r="F2034" t="s">
        <v>61</v>
      </c>
      <c r="G2034">
        <v>-423.9975</v>
      </c>
      <c r="H2034" s="1">
        <v>2.9935810000000001E-6</v>
      </c>
      <c r="I2034">
        <v>287.61239999999998</v>
      </c>
      <c r="J2034">
        <v>-395.05279999999999</v>
      </c>
      <c r="K2034">
        <v>1.1100909999999999</v>
      </c>
      <c r="L2034">
        <v>284.41969999999998</v>
      </c>
      <c r="M2034">
        <v>-0.99957379999999996</v>
      </c>
      <c r="N2034">
        <v>-1.462974E-2</v>
      </c>
      <c r="O2034">
        <v>2.5262739999999999E-2</v>
      </c>
      <c r="P2034">
        <v>-0.99678560000000005</v>
      </c>
      <c r="Q2034">
        <v>5.6985389999999997E-2</v>
      </c>
      <c r="R2034">
        <v>-5.6313830000000002E-2</v>
      </c>
      <c r="S2034">
        <v>-3.0343930000000001</v>
      </c>
      <c r="T2034">
        <v>-0.1145982</v>
      </c>
      <c r="U2034">
        <v>0.33074949999999997</v>
      </c>
      <c r="V2034">
        <v>-8.1580059999999996E-2</v>
      </c>
      <c r="W2034">
        <v>7.1422109999999997E-2</v>
      </c>
      <c r="X2034">
        <v>0.9941044</v>
      </c>
      <c r="Y2034">
        <v>8.3132349999999994E-2</v>
      </c>
      <c r="Z2034">
        <v>1.592911E-3</v>
      </c>
      <c r="AA2034">
        <v>0.99653729999999996</v>
      </c>
      <c r="AB2034">
        <v>45</v>
      </c>
      <c r="AC2034">
        <v>-28.944700000000001</v>
      </c>
      <c r="AD2034">
        <v>-1.110088006419</v>
      </c>
      <c r="AE2034">
        <v>3.1926999999999999</v>
      </c>
      <c r="AF2034">
        <v>2.4568099009855602</v>
      </c>
      <c r="AG2034">
        <v>-1.110088006419</v>
      </c>
      <c r="AH2034">
        <v>28.974020218830699</v>
      </c>
      <c r="AI2034">
        <v>92.186274768290801</v>
      </c>
      <c r="AJ2034">
        <v>85.153281407150203</v>
      </c>
      <c r="AK2034">
        <v>29.099176241137599</v>
      </c>
      <c r="AL2034">
        <v>85.904327365649493</v>
      </c>
      <c r="AM2034">
        <v>94.691401197445501</v>
      </c>
      <c r="AN2034">
        <v>0.99999999104290704</v>
      </c>
    </row>
    <row r="2035" spans="1:40" x14ac:dyDescent="0.25">
      <c r="A2035" t="str">
        <f>"20190305135831067"</f>
        <v>20190305135831067</v>
      </c>
      <c r="B2035" t="str">
        <f>"1551765511061040"</f>
        <v>1551765511061040</v>
      </c>
      <c r="C2035" t="s">
        <v>40</v>
      </c>
      <c r="D2035">
        <v>3.8809749999999998</v>
      </c>
      <c r="E2035">
        <v>0.56286259999999999</v>
      </c>
      <c r="F2035" t="s">
        <v>61</v>
      </c>
      <c r="G2035">
        <v>-421.9366</v>
      </c>
      <c r="H2035" s="1">
        <v>3.372674E-6</v>
      </c>
      <c r="I2035">
        <v>287.45769999999999</v>
      </c>
      <c r="J2035">
        <v>-395.33280000000002</v>
      </c>
      <c r="K2035">
        <v>1.1100950000000001</v>
      </c>
      <c r="L2035">
        <v>284.42649999999998</v>
      </c>
      <c r="M2035">
        <v>-0.99958159999999896</v>
      </c>
      <c r="N2035">
        <v>-1.4627940000000001E-2</v>
      </c>
      <c r="O2035">
        <v>2.4954839999999999E-2</v>
      </c>
      <c r="P2035">
        <v>-0.99678650000000002</v>
      </c>
      <c r="Q2035">
        <v>5.6750509999999997E-2</v>
      </c>
      <c r="R2035">
        <v>-5.6533930000000003E-2</v>
      </c>
      <c r="S2035">
        <v>-3.0361940000000001</v>
      </c>
      <c r="T2035">
        <v>-0.12537089999999901</v>
      </c>
      <c r="U2035">
        <v>0.3431091</v>
      </c>
      <c r="V2035">
        <v>-8.1493750000000004E-2</v>
      </c>
      <c r="W2035">
        <v>7.1185719999999994E-2</v>
      </c>
      <c r="X2035">
        <v>0.99412849999999997</v>
      </c>
      <c r="Y2035">
        <v>8.7365899999999996E-2</v>
      </c>
      <c r="Z2035">
        <v>1.776361E-3</v>
      </c>
      <c r="AA2035">
        <v>0.99617469999999997</v>
      </c>
      <c r="AB2035">
        <v>45</v>
      </c>
      <c r="AC2035">
        <v>-26.6037999999999</v>
      </c>
      <c r="AD2035">
        <v>-1.110091627326</v>
      </c>
      <c r="AE2035">
        <v>3.0312000000000099</v>
      </c>
      <c r="AF2035">
        <v>2.3622310064676899</v>
      </c>
      <c r="AG2035">
        <v>-1.110091627326</v>
      </c>
      <c r="AH2035">
        <v>26.6254003815028</v>
      </c>
      <c r="AI2035">
        <v>92.378117212945199</v>
      </c>
      <c r="AJ2035">
        <v>84.929938632948193</v>
      </c>
      <c r="AK2035">
        <v>26.753025702232399</v>
      </c>
      <c r="AL2035">
        <v>85.917906344583102</v>
      </c>
      <c r="AM2035">
        <v>94.686346807965094</v>
      </c>
      <c r="AN2035">
        <v>1.00000005626661</v>
      </c>
    </row>
    <row r="2036" spans="1:40" x14ac:dyDescent="0.25">
      <c r="A2036" t="str">
        <f>"20190305135831082"</f>
        <v>20190305135831082</v>
      </c>
      <c r="B2036" t="str">
        <f>"1551765511070801"</f>
        <v>1551765511070801</v>
      </c>
      <c r="C2036" t="s">
        <v>40</v>
      </c>
      <c r="D2036">
        <v>3.8865759999999998</v>
      </c>
      <c r="E2036">
        <v>0.56321359999999998</v>
      </c>
      <c r="F2036" t="s">
        <v>61</v>
      </c>
      <c r="G2036">
        <v>-421.44650000000001</v>
      </c>
      <c r="H2036" s="1">
        <v>3.4643579999999999E-6</v>
      </c>
      <c r="I2036">
        <v>287.40339999999998</v>
      </c>
      <c r="J2036">
        <v>-395.61450000000002</v>
      </c>
      <c r="K2036">
        <v>1.110096</v>
      </c>
      <c r="L2036">
        <v>284.43329999999997</v>
      </c>
      <c r="M2036">
        <v>-0.99958930000000001</v>
      </c>
      <c r="N2036">
        <v>-1.4626139999999999E-2</v>
      </c>
      <c r="O2036">
        <v>2.464821E-2</v>
      </c>
      <c r="P2036">
        <v>-0.99678719999999998</v>
      </c>
      <c r="Q2036">
        <v>5.6413320000000003E-2</v>
      </c>
      <c r="R2036">
        <v>-5.6860559999999997E-2</v>
      </c>
      <c r="S2036">
        <v>-3.0366209999999998</v>
      </c>
      <c r="T2036">
        <v>-0.12908649999999999</v>
      </c>
      <c r="U2036">
        <v>0.34616089999999999</v>
      </c>
      <c r="V2036">
        <v>-8.1514680000000006E-2</v>
      </c>
      <c r="W2036">
        <v>7.0847540000000001E-2</v>
      </c>
      <c r="X2036">
        <v>0.99415089999999995</v>
      </c>
      <c r="Y2036">
        <v>8.8638190000000006E-2</v>
      </c>
      <c r="Z2036">
        <v>1.8437270000000001E-3</v>
      </c>
      <c r="AA2036">
        <v>0.99606220000000001</v>
      </c>
      <c r="AB2036">
        <v>45</v>
      </c>
      <c r="AC2036">
        <v>-25.831999999999901</v>
      </c>
      <c r="AD2036">
        <v>-1.1100925356419999</v>
      </c>
      <c r="AE2036">
        <v>2.9701</v>
      </c>
      <c r="AF2036">
        <v>2.3281734480713898</v>
      </c>
      <c r="AG2036">
        <v>-1.1100925356419999</v>
      </c>
      <c r="AH2036">
        <v>25.850250236795201</v>
      </c>
      <c r="AI2036">
        <v>92.449052939568205</v>
      </c>
      <c r="AJ2036">
        <v>84.853605668024301</v>
      </c>
      <c r="AK2036">
        <v>25.978609168832101</v>
      </c>
      <c r="AL2036">
        <v>85.937331506633598</v>
      </c>
      <c r="AM2036">
        <v>94.687439889127901</v>
      </c>
      <c r="AN2036">
        <v>1.0000000144751799</v>
      </c>
    </row>
    <row r="2037" spans="1:40" x14ac:dyDescent="0.25">
      <c r="A2037" t="str">
        <f>"20190305135831100"</f>
        <v>20190305135831100</v>
      </c>
      <c r="B2037" t="str">
        <f>"1551765511090320"</f>
        <v>1551765511090320</v>
      </c>
      <c r="C2037" t="s">
        <v>40</v>
      </c>
      <c r="D2037">
        <v>3.8617819999999998</v>
      </c>
      <c r="E2037">
        <v>0.56384990000000001</v>
      </c>
      <c r="F2037" t="s">
        <v>61</v>
      </c>
      <c r="G2037">
        <v>-420.6678</v>
      </c>
      <c r="H2037" s="1">
        <v>3.6110639999999999E-6</v>
      </c>
      <c r="I2037">
        <v>287.30540000000002</v>
      </c>
      <c r="J2037">
        <v>-395.98239999999998</v>
      </c>
      <c r="K2037">
        <v>1.110093</v>
      </c>
      <c r="L2037">
        <v>284.44220000000001</v>
      </c>
      <c r="M2037">
        <v>-0.99959889999999996</v>
      </c>
      <c r="N2037">
        <v>-1.4623789999999999E-2</v>
      </c>
      <c r="O2037">
        <v>2.4254330000000001E-2</v>
      </c>
      <c r="P2037">
        <v>-0.99677499999999997</v>
      </c>
      <c r="Q2037">
        <v>5.6065690000000001E-2</v>
      </c>
      <c r="R2037">
        <v>-5.741483E-2</v>
      </c>
      <c r="S2037">
        <v>-3.03714</v>
      </c>
      <c r="T2037">
        <v>-0.13457379999999999</v>
      </c>
      <c r="U2037">
        <v>0.34817500000000001</v>
      </c>
      <c r="V2037">
        <v>-8.1675049999999999E-2</v>
      </c>
      <c r="W2037">
        <v>7.0497939999999995E-2</v>
      </c>
      <c r="X2037">
        <v>0.99416260000000001</v>
      </c>
      <c r="Y2037">
        <v>8.9655330000000005E-2</v>
      </c>
      <c r="Z2037">
        <v>1.920359E-3</v>
      </c>
      <c r="AA2037">
        <v>0.99597100000000005</v>
      </c>
      <c r="AB2037">
        <v>45</v>
      </c>
      <c r="AC2037">
        <v>-24.685400000000001</v>
      </c>
      <c r="AD2037">
        <v>-1.110089388936</v>
      </c>
      <c r="AE2037">
        <v>2.8632</v>
      </c>
      <c r="AF2037">
        <v>2.2590579387207499</v>
      </c>
      <c r="AG2037">
        <v>-1.110089388936</v>
      </c>
      <c r="AH2037">
        <v>24.698305710452001</v>
      </c>
      <c r="AI2037">
        <v>92.562799005878205</v>
      </c>
      <c r="AJ2037">
        <v>84.773919458060107</v>
      </c>
      <c r="AK2037">
        <v>24.826235038540801</v>
      </c>
      <c r="AL2037">
        <v>85.957412361656296</v>
      </c>
      <c r="AM2037">
        <v>94.696565604052495</v>
      </c>
      <c r="AN2037">
        <v>1.00000002428775</v>
      </c>
    </row>
    <row r="2038" spans="1:40" x14ac:dyDescent="0.25">
      <c r="A2038" t="str">
        <f>"20190305135831121"</f>
        <v>20190305135831121</v>
      </c>
      <c r="B2038" t="str">
        <f>"1551765511110816"</f>
        <v>1551765511110816</v>
      </c>
      <c r="C2038" t="s">
        <v>40</v>
      </c>
      <c r="D2038">
        <v>3.7521040000000001</v>
      </c>
      <c r="E2038">
        <v>0.56479889999999999</v>
      </c>
      <c r="F2038" t="s">
        <v>61</v>
      </c>
      <c r="G2038">
        <v>-419.70940000000002</v>
      </c>
      <c r="H2038" s="1">
        <v>3.7028590000000001E-6</v>
      </c>
      <c r="I2038">
        <v>287.19200000000001</v>
      </c>
      <c r="J2038">
        <v>-396.41379999999998</v>
      </c>
      <c r="K2038">
        <v>1.110087</v>
      </c>
      <c r="L2038">
        <v>284.4522</v>
      </c>
      <c r="M2038">
        <v>-0.99960979999999999</v>
      </c>
      <c r="N2038">
        <v>-1.462112E-2</v>
      </c>
      <c r="O2038">
        <v>2.3802029999999998E-2</v>
      </c>
      <c r="P2038">
        <v>-0.99675539999999996</v>
      </c>
      <c r="Q2038">
        <v>5.5629249999999998E-2</v>
      </c>
      <c r="R2038">
        <v>-5.8172729999999999E-2</v>
      </c>
      <c r="S2038">
        <v>-3.0379939999999999</v>
      </c>
      <c r="T2038">
        <v>-0.1421356</v>
      </c>
      <c r="U2038">
        <v>0.35208129999999999</v>
      </c>
      <c r="V2038">
        <v>-8.1980499999999998E-2</v>
      </c>
      <c r="W2038">
        <v>7.0059380000000004E-2</v>
      </c>
      <c r="X2038">
        <v>0.99416850000000001</v>
      </c>
      <c r="Y2038">
        <v>9.1325660000000003E-2</v>
      </c>
      <c r="Z2038">
        <v>2.0365399999999999E-3</v>
      </c>
      <c r="AA2038">
        <v>0.99581900000000001</v>
      </c>
      <c r="AB2038">
        <v>45</v>
      </c>
      <c r="AC2038">
        <v>-23.2956</v>
      </c>
      <c r="AD2038">
        <v>-1.110083297141</v>
      </c>
      <c r="AE2038">
        <v>2.7397999999999998</v>
      </c>
      <c r="AF2038">
        <v>2.17960006276618</v>
      </c>
      <c r="AG2038">
        <v>-1.110083297141</v>
      </c>
      <c r="AH2038">
        <v>23.3020280757435</v>
      </c>
      <c r="AI2038">
        <v>92.715610722262198</v>
      </c>
      <c r="AJ2038">
        <v>84.656277105078004</v>
      </c>
      <c r="AK2038">
        <v>23.430054498505601</v>
      </c>
      <c r="AL2038">
        <v>85.982602437727905</v>
      </c>
      <c r="AM2038">
        <v>94.714023053252006</v>
      </c>
      <c r="AN2038">
        <v>1.00000006274924</v>
      </c>
    </row>
    <row r="2039" spans="1:40" x14ac:dyDescent="0.25">
      <c r="A2039" t="str">
        <f>"20190305135831144"</f>
        <v>20190305135831144</v>
      </c>
      <c r="B2039" t="str">
        <f>"1551765511141072"</f>
        <v>1551765511141072</v>
      </c>
      <c r="C2039" t="s">
        <v>40</v>
      </c>
      <c r="D2039">
        <v>3.8639039999999998</v>
      </c>
      <c r="E2039">
        <v>0.56609009999999904</v>
      </c>
      <c r="F2039" t="s">
        <v>61</v>
      </c>
      <c r="G2039">
        <v>-420.24489999999997</v>
      </c>
      <c r="H2039" s="1">
        <v>3.6904479999999999E-6</v>
      </c>
      <c r="I2039">
        <v>287.25529999999998</v>
      </c>
      <c r="J2039">
        <v>-396.85500000000002</v>
      </c>
      <c r="K2039">
        <v>1.110074</v>
      </c>
      <c r="L2039">
        <v>284.4624</v>
      </c>
      <c r="M2039">
        <v>-0.99962059999999997</v>
      </c>
      <c r="N2039">
        <v>-1.4618259999999999E-2</v>
      </c>
      <c r="O2039">
        <v>2.334874E-2</v>
      </c>
      <c r="P2039">
        <v>-0.99673239999999996</v>
      </c>
      <c r="Q2039">
        <v>5.535847E-2</v>
      </c>
      <c r="R2039">
        <v>-5.8822409999999999E-2</v>
      </c>
      <c r="S2039">
        <v>-3.038513</v>
      </c>
      <c r="T2039">
        <v>-0.14153769999999999</v>
      </c>
      <c r="U2039">
        <v>0.35739140000000003</v>
      </c>
      <c r="V2039">
        <v>-8.2176890000000002E-2</v>
      </c>
      <c r="W2039">
        <v>6.9786819999999999E-2</v>
      </c>
      <c r="X2039">
        <v>0.99417140000000004</v>
      </c>
      <c r="Y2039">
        <v>9.3472059999999996E-2</v>
      </c>
      <c r="Z2039">
        <v>2.111772E-3</v>
      </c>
      <c r="AA2039">
        <v>0.9956197</v>
      </c>
      <c r="AB2039">
        <v>45</v>
      </c>
      <c r="AC2039">
        <v>-23.389899999999901</v>
      </c>
      <c r="AD2039">
        <v>-1.1100703095519999</v>
      </c>
      <c r="AE2039">
        <v>2.7928999999999702</v>
      </c>
      <c r="AF2039">
        <v>2.2409788298768101</v>
      </c>
      <c r="AG2039">
        <v>-1.1100703095519999</v>
      </c>
      <c r="AH2039">
        <v>23.396781817272998</v>
      </c>
      <c r="AI2039">
        <v>92.704029004925601</v>
      </c>
      <c r="AJ2039">
        <v>84.528814685662496</v>
      </c>
      <c r="AK2039">
        <v>23.530058257751499</v>
      </c>
      <c r="AL2039">
        <v>85.998257068207394</v>
      </c>
      <c r="AM2039">
        <v>94.725251027559693</v>
      </c>
      <c r="AN2039">
        <v>1.00000000703687</v>
      </c>
    </row>
    <row r="2040" spans="1:40" x14ac:dyDescent="0.25">
      <c r="A2040" t="str">
        <f>"20190305135831156"</f>
        <v>20190305135831156</v>
      </c>
      <c r="B2040" t="str">
        <f>"1551765511150832"</f>
        <v>1551765511150832</v>
      </c>
      <c r="C2040" t="s">
        <v>40</v>
      </c>
      <c r="D2040">
        <v>3.866886</v>
      </c>
      <c r="E2040">
        <v>0.56645880000000004</v>
      </c>
      <c r="F2040" t="s">
        <v>61</v>
      </c>
      <c r="G2040">
        <v>-419.43380000000002</v>
      </c>
      <c r="H2040" s="1">
        <v>3.655008E-6</v>
      </c>
      <c r="I2040">
        <v>287.18029999999999</v>
      </c>
      <c r="J2040">
        <v>-397.12200000000001</v>
      </c>
      <c r="K2040">
        <v>1.110063</v>
      </c>
      <c r="L2040">
        <v>284.46839999999997</v>
      </c>
      <c r="M2040">
        <v>-0.99962689999999998</v>
      </c>
      <c r="N2040">
        <v>-1.4616540000000001E-2</v>
      </c>
      <c r="O2040">
        <v>2.3077770000000001E-2</v>
      </c>
      <c r="P2040">
        <v>-0.99671730000000003</v>
      </c>
      <c r="Q2040">
        <v>5.494827E-2</v>
      </c>
      <c r="R2040">
        <v>-5.9459409999999997E-2</v>
      </c>
      <c r="S2040">
        <v>-3.0397340000000002</v>
      </c>
      <c r="T2040">
        <v>-0.14944640000000001</v>
      </c>
      <c r="U2040">
        <v>0.3659058</v>
      </c>
      <c r="V2040">
        <v>-8.2541920000000005E-2</v>
      </c>
      <c r="W2040">
        <v>6.9375370000000006E-2</v>
      </c>
      <c r="X2040">
        <v>0.99417</v>
      </c>
      <c r="Y2040">
        <v>9.6429100000000004E-2</v>
      </c>
      <c r="Z2040">
        <v>2.2750869999999999E-3</v>
      </c>
      <c r="AA2040">
        <v>0.99533720000000003</v>
      </c>
      <c r="AB2040">
        <v>45</v>
      </c>
      <c r="AC2040">
        <v>-22.311800000000002</v>
      </c>
      <c r="AD2040">
        <v>-1.110059344992</v>
      </c>
      <c r="AE2040">
        <v>2.7119000000000102</v>
      </c>
      <c r="AF2040">
        <v>2.1908719774128702</v>
      </c>
      <c r="AG2040">
        <v>-1.110059344992</v>
      </c>
      <c r="AH2040">
        <v>22.314018580504602</v>
      </c>
      <c r="AI2040">
        <v>92.834348800575299</v>
      </c>
      <c r="AJ2040">
        <v>84.392463610348003</v>
      </c>
      <c r="AK2040">
        <v>22.448776736871899</v>
      </c>
      <c r="AL2040">
        <v>86.021888862727593</v>
      </c>
      <c r="AM2040">
        <v>94.746151585225405</v>
      </c>
      <c r="AN2040">
        <v>1.0000000497099599</v>
      </c>
    </row>
    <row r="2041" spans="1:40" x14ac:dyDescent="0.25">
      <c r="A2041" t="str">
        <f>"20190305135831169"</f>
        <v>20190305135831169</v>
      </c>
      <c r="B2041" t="str">
        <f>"1551765511160592"</f>
        <v>1551765511160592</v>
      </c>
      <c r="C2041" t="s">
        <v>40</v>
      </c>
      <c r="D2041">
        <v>3.7745829999999998</v>
      </c>
      <c r="E2041">
        <v>0.56689299999999998</v>
      </c>
      <c r="F2041" t="s">
        <v>61</v>
      </c>
      <c r="G2041">
        <v>-419.19560000000001</v>
      </c>
      <c r="H2041" s="1">
        <v>3.616677E-6</v>
      </c>
      <c r="I2041">
        <v>287.13529999999997</v>
      </c>
      <c r="J2041">
        <v>-397.38889999999998</v>
      </c>
      <c r="K2041">
        <v>1.11006</v>
      </c>
      <c r="L2041">
        <v>284.4744</v>
      </c>
      <c r="M2041">
        <v>-0.99963310000000005</v>
      </c>
      <c r="N2041">
        <v>-1.4614739999999999E-2</v>
      </c>
      <c r="O2041">
        <v>2.2809940000000001E-2</v>
      </c>
      <c r="P2041">
        <v>-0.99672110000000003</v>
      </c>
      <c r="Q2041">
        <v>5.4582699999999998E-2</v>
      </c>
      <c r="R2041">
        <v>-5.9734710000000003E-2</v>
      </c>
      <c r="S2041">
        <v>-3.040222</v>
      </c>
      <c r="T2041">
        <v>-0.15289040000000001</v>
      </c>
      <c r="U2041">
        <v>0.36730960000000001</v>
      </c>
      <c r="V2041">
        <v>-8.2549239999999996E-2</v>
      </c>
      <c r="W2041">
        <v>6.9009089999999995E-2</v>
      </c>
      <c r="X2041">
        <v>0.99419480000000005</v>
      </c>
      <c r="Y2041">
        <v>9.7123319999999999E-2</v>
      </c>
      <c r="Z2041">
        <v>2.3350609999999998E-3</v>
      </c>
      <c r="AA2041">
        <v>0.99526959999999998</v>
      </c>
      <c r="AB2041">
        <v>45</v>
      </c>
      <c r="AC2041">
        <v>-21.806699999999999</v>
      </c>
      <c r="AD2041">
        <v>-1.1100563833229999</v>
      </c>
      <c r="AE2041">
        <v>2.6608999999999599</v>
      </c>
      <c r="AF2041">
        <v>2.1572370025732801</v>
      </c>
      <c r="AG2041">
        <v>-1.1100563833229999</v>
      </c>
      <c r="AH2041">
        <v>21.806050498266899</v>
      </c>
      <c r="AI2041">
        <v>92.900044830523598</v>
      </c>
      <c r="AJ2041">
        <v>84.350205323536301</v>
      </c>
      <c r="AK2041">
        <v>21.940595593383399</v>
      </c>
      <c r="AL2041">
        <v>86.042925245629206</v>
      </c>
      <c r="AM2041">
        <v>94.746452700081505</v>
      </c>
      <c r="AN2041">
        <v>0.99999996593712204</v>
      </c>
    </row>
    <row r="2042" spans="1:40" x14ac:dyDescent="0.25">
      <c r="A2042" t="str">
        <f>"20190305135831182"</f>
        <v>20190305135831182</v>
      </c>
      <c r="B2042" t="str">
        <f>"1551765511170352"</f>
        <v>1551765511170352</v>
      </c>
      <c r="C2042" t="s">
        <v>40</v>
      </c>
      <c r="D2042">
        <v>3.8225989999999999</v>
      </c>
      <c r="E2042">
        <v>0.56720890000000002</v>
      </c>
      <c r="F2042" t="s">
        <v>61</v>
      </c>
      <c r="G2042">
        <v>-419.78590000000003</v>
      </c>
      <c r="H2042" s="1">
        <v>3.7159380000000001E-6</v>
      </c>
      <c r="I2042">
        <v>287.19779999999997</v>
      </c>
      <c r="J2042">
        <v>-397.64580000000001</v>
      </c>
      <c r="K2042">
        <v>1.1100540000000001</v>
      </c>
      <c r="L2042">
        <v>284.48</v>
      </c>
      <c r="M2042">
        <v>-0.9996389</v>
      </c>
      <c r="N2042">
        <v>-1.4613070000000001E-2</v>
      </c>
      <c r="O2042">
        <v>2.255337E-2</v>
      </c>
      <c r="P2042">
        <v>-0.99669439999999998</v>
      </c>
      <c r="Q2042">
        <v>5.4259290000000002E-2</v>
      </c>
      <c r="R2042">
        <v>-6.0466110000000003E-2</v>
      </c>
      <c r="S2042">
        <v>-3.0402529999999999</v>
      </c>
      <c r="T2042">
        <v>-0.15068239999999999</v>
      </c>
      <c r="U2042">
        <v>0.36968990000000002</v>
      </c>
      <c r="V2042">
        <v>-8.3024219999999996E-2</v>
      </c>
      <c r="W2042">
        <v>6.8683690000000006E-2</v>
      </c>
      <c r="X2042">
        <v>0.9941778</v>
      </c>
      <c r="Y2042">
        <v>9.8147159999999997E-2</v>
      </c>
      <c r="Z2042">
        <v>2.3579650000000001E-3</v>
      </c>
      <c r="AA2042">
        <v>0.99516910000000003</v>
      </c>
      <c r="AB2042">
        <v>45</v>
      </c>
      <c r="AC2042">
        <v>-22.1401</v>
      </c>
      <c r="AD2042">
        <v>-1.1100502840619999</v>
      </c>
      <c r="AE2042">
        <v>2.7177999999999498</v>
      </c>
      <c r="AF2042">
        <v>2.21224287220143</v>
      </c>
      <c r="AG2042">
        <v>-1.1100502840619999</v>
      </c>
      <c r="AH2042">
        <v>22.140938270074901</v>
      </c>
      <c r="AI2042">
        <v>92.855961024238098</v>
      </c>
      <c r="AJ2042">
        <v>84.294149333088399</v>
      </c>
      <c r="AK2042">
        <v>22.2788549444988</v>
      </c>
      <c r="AL2042">
        <v>86.061613707486501</v>
      </c>
      <c r="AM2042">
        <v>94.773718709221399</v>
      </c>
      <c r="AN2042">
        <v>0.99999998419573199</v>
      </c>
    </row>
    <row r="2043" spans="1:40" x14ac:dyDescent="0.25">
      <c r="A2043" t="str">
        <f>"20190305135831196"</f>
        <v>20190305135831196</v>
      </c>
      <c r="B2043" t="str">
        <f>"1551765511190848"</f>
        <v>1551765511190848</v>
      </c>
      <c r="C2043" t="s">
        <v>40</v>
      </c>
      <c r="D2043">
        <v>3.81338</v>
      </c>
      <c r="E2043">
        <v>0.56782969999999999</v>
      </c>
      <c r="F2043" t="s">
        <v>61</v>
      </c>
      <c r="G2043">
        <v>-419.73500000000001</v>
      </c>
      <c r="H2043" s="1">
        <v>3.7094119999999999E-6</v>
      </c>
      <c r="I2043">
        <v>287.16899999999998</v>
      </c>
      <c r="J2043">
        <v>-397.93099999999998</v>
      </c>
      <c r="K2043">
        <v>1.1100490000000001</v>
      </c>
      <c r="L2043">
        <v>284.48630000000003</v>
      </c>
      <c r="M2043">
        <v>-0.99964520000000001</v>
      </c>
      <c r="N2043">
        <v>-1.461136E-2</v>
      </c>
      <c r="O2043">
        <v>2.2270580000000002E-2</v>
      </c>
      <c r="P2043">
        <v>-0.99668619999999997</v>
      </c>
      <c r="Q2043">
        <v>5.4023439999999999E-2</v>
      </c>
      <c r="R2043">
        <v>-6.0811240000000003E-2</v>
      </c>
      <c r="S2043">
        <v>-3.0407099999999998</v>
      </c>
      <c r="T2043">
        <v>-0.15280560000000001</v>
      </c>
      <c r="U2043">
        <v>0.37014770000000002</v>
      </c>
      <c r="V2043">
        <v>-8.3086240000000006E-2</v>
      </c>
      <c r="W2043">
        <v>6.8446779999999999E-2</v>
      </c>
      <c r="X2043">
        <v>0.99418899999999999</v>
      </c>
      <c r="Y2043">
        <v>9.8554249999999996E-2</v>
      </c>
      <c r="Z2043">
        <v>2.3992610000000002E-3</v>
      </c>
      <c r="AA2043">
        <v>0.99512880000000004</v>
      </c>
      <c r="AB2043">
        <v>45</v>
      </c>
      <c r="AC2043">
        <v>-21.803999999999998</v>
      </c>
      <c r="AD2043">
        <v>-1.1100452905880001</v>
      </c>
      <c r="AE2043">
        <v>2.6827000000000099</v>
      </c>
      <c r="AF2043">
        <v>2.1908013820918799</v>
      </c>
      <c r="AG2043">
        <v>-1.1100452905880001</v>
      </c>
      <c r="AH2043">
        <v>21.8026762030618</v>
      </c>
      <c r="AI2043">
        <v>92.900019546310403</v>
      </c>
      <c r="AJ2043">
        <v>84.262000327011805</v>
      </c>
      <c r="AK2043">
        <v>21.940567468925899</v>
      </c>
      <c r="AL2043">
        <v>86.0752198363421</v>
      </c>
      <c r="AM2043">
        <v>94.777214661829206</v>
      </c>
      <c r="AN2043">
        <v>1.0000000263453499</v>
      </c>
    </row>
    <row r="2044" spans="1:40" x14ac:dyDescent="0.25">
      <c r="A2044" t="str">
        <f>"20190305135831210"</f>
        <v>20190305135831210</v>
      </c>
      <c r="B2044" t="str">
        <f>"1551765511200608"</f>
        <v>1551765511200608</v>
      </c>
      <c r="C2044" t="s">
        <v>40</v>
      </c>
      <c r="D2044">
        <v>3.766508</v>
      </c>
      <c r="E2044">
        <v>0.56813329999999995</v>
      </c>
      <c r="F2044" t="s">
        <v>61</v>
      </c>
      <c r="G2044">
        <v>-419.70069999999998</v>
      </c>
      <c r="H2044" s="1">
        <v>3.703715E-6</v>
      </c>
      <c r="I2044">
        <v>287.16469999999998</v>
      </c>
      <c r="J2044">
        <v>-398.19990000000001</v>
      </c>
      <c r="K2044">
        <v>1.1100490000000001</v>
      </c>
      <c r="L2044">
        <v>284.49209999999999</v>
      </c>
      <c r="M2044">
        <v>-0.99965119999999996</v>
      </c>
      <c r="N2044">
        <v>-1.460966E-2</v>
      </c>
      <c r="O2044">
        <v>2.2005589999999998E-2</v>
      </c>
      <c r="P2044">
        <v>-0.9966351</v>
      </c>
      <c r="Q2044">
        <v>5.3958140000000002E-2</v>
      </c>
      <c r="R2044">
        <v>-6.1703670000000002E-2</v>
      </c>
      <c r="S2044">
        <v>-3.0412599999999999</v>
      </c>
      <c r="T2044">
        <v>-0.15507509999999999</v>
      </c>
      <c r="U2044">
        <v>0.37417600000000001</v>
      </c>
      <c r="V2044">
        <v>-8.3713350000000006E-2</v>
      </c>
      <c r="W2044">
        <v>6.8378750000000002E-2</v>
      </c>
      <c r="X2044">
        <v>0.99414100000000005</v>
      </c>
      <c r="Y2044">
        <v>0.10008880000000001</v>
      </c>
      <c r="Z2044">
        <v>2.478676E-3</v>
      </c>
      <c r="AA2044">
        <v>0.99497539999999995</v>
      </c>
      <c r="AB2044">
        <v>45</v>
      </c>
      <c r="AC2044">
        <v>-21.500799999999899</v>
      </c>
      <c r="AD2044">
        <v>-1.110045296285</v>
      </c>
      <c r="AE2044">
        <v>2.6725999999999801</v>
      </c>
      <c r="AF2044">
        <v>2.1930080120109801</v>
      </c>
      <c r="AG2044">
        <v>-1.110045296285</v>
      </c>
      <c r="AH2044">
        <v>21.4979807309739</v>
      </c>
      <c r="AI2044">
        <v>92.940601295420294</v>
      </c>
      <c r="AJ2044">
        <v>84.175408070240593</v>
      </c>
      <c r="AK2044">
        <v>21.6380373465311</v>
      </c>
      <c r="AL2044">
        <v>86.079126534350493</v>
      </c>
      <c r="AM2044">
        <v>94.813334181641693</v>
      </c>
      <c r="AN2044">
        <v>0.99999995315039103</v>
      </c>
    </row>
    <row r="2045" spans="1:40" x14ac:dyDescent="0.25">
      <c r="A2045" t="str">
        <f>"20190305135831223"</f>
        <v>20190305135831223</v>
      </c>
      <c r="B2045" t="str">
        <f>"1551765511221104"</f>
        <v>1551765511221104</v>
      </c>
      <c r="C2045" t="s">
        <v>40</v>
      </c>
      <c r="D2045">
        <v>3.764148</v>
      </c>
      <c r="E2045">
        <v>0.56867730000000005</v>
      </c>
      <c r="F2045" t="s">
        <v>61</v>
      </c>
      <c r="G2045">
        <v>-419.7978</v>
      </c>
      <c r="H2045" s="1">
        <v>3.722366E-6</v>
      </c>
      <c r="I2045">
        <v>287.14830000000001</v>
      </c>
      <c r="J2045">
        <v>-398.46769999999998</v>
      </c>
      <c r="K2045">
        <v>1.1100509999999999</v>
      </c>
      <c r="L2045">
        <v>284.49779999999998</v>
      </c>
      <c r="M2045">
        <v>-0.99965689999999996</v>
      </c>
      <c r="N2045">
        <v>-1.460795E-2</v>
      </c>
      <c r="O2045">
        <v>2.1742089999999999E-2</v>
      </c>
      <c r="P2045">
        <v>-0.99659699999999996</v>
      </c>
      <c r="Q2045">
        <v>5.3963490000000003E-2</v>
      </c>
      <c r="R2045">
        <v>-6.2311989999999998E-2</v>
      </c>
      <c r="S2045">
        <v>-3.0417480000000001</v>
      </c>
      <c r="T2045">
        <v>-0.15633379999999999</v>
      </c>
      <c r="U2045">
        <v>0.37408449999999999</v>
      </c>
      <c r="V2045">
        <v>-8.4057960000000001E-2</v>
      </c>
      <c r="W2045">
        <v>6.8382100000000001E-2</v>
      </c>
      <c r="X2045">
        <v>0.99411170000000004</v>
      </c>
      <c r="Y2045">
        <v>0.1002996</v>
      </c>
      <c r="Z2045">
        <v>2.5064499999999999E-3</v>
      </c>
      <c r="AA2045">
        <v>0.99495409999999995</v>
      </c>
      <c r="AB2045">
        <v>45</v>
      </c>
      <c r="AC2045">
        <v>-21.330100000000002</v>
      </c>
      <c r="AD2045">
        <v>-1.110047277634</v>
      </c>
      <c r="AE2045">
        <v>2.6505000000000201</v>
      </c>
      <c r="AF2045">
        <v>2.18024790249987</v>
      </c>
      <c r="AG2045">
        <v>-1.110047277634</v>
      </c>
      <c r="AH2045">
        <v>21.325811820356002</v>
      </c>
      <c r="AI2045">
        <v>92.964237304003404</v>
      </c>
      <c r="AJ2045">
        <v>84.162637545658797</v>
      </c>
      <c r="AK2045">
        <v>21.465692061337599</v>
      </c>
      <c r="AL2045">
        <v>86.078934178529707</v>
      </c>
      <c r="AM2045">
        <v>94.833196607633695</v>
      </c>
      <c r="AN2045">
        <v>0.99999996215832998</v>
      </c>
    </row>
    <row r="2046" spans="1:40" x14ac:dyDescent="0.25">
      <c r="A2046" t="str">
        <f>"20190305135831237"</f>
        <v>20190305135831237</v>
      </c>
      <c r="B2046" t="str">
        <f>"1551765511230864"</f>
        <v>1551765511230864</v>
      </c>
      <c r="C2046" t="s">
        <v>40</v>
      </c>
      <c r="D2046">
        <v>3.7767930000000001</v>
      </c>
      <c r="E2046">
        <v>0.56897849999999905</v>
      </c>
      <c r="F2046" t="s">
        <v>61</v>
      </c>
      <c r="G2046">
        <v>-420.28339999999997</v>
      </c>
      <c r="H2046" s="1">
        <v>3.688555E-6</v>
      </c>
      <c r="I2046">
        <v>287.19889999999998</v>
      </c>
      <c r="J2046">
        <v>-398.7586</v>
      </c>
      <c r="K2046">
        <v>1.1100490000000001</v>
      </c>
      <c r="L2046">
        <v>284.50389999999999</v>
      </c>
      <c r="M2046">
        <v>-0.99966310000000003</v>
      </c>
      <c r="N2046">
        <v>-1.460608E-2</v>
      </c>
      <c r="O2046">
        <v>2.1456010000000001E-2</v>
      </c>
      <c r="P2046">
        <v>-0.9965482</v>
      </c>
      <c r="Q2046">
        <v>5.4344999999999997E-2</v>
      </c>
      <c r="R2046">
        <v>-6.2760380000000004E-2</v>
      </c>
      <c r="S2046">
        <v>-3.0421749999999999</v>
      </c>
      <c r="T2046">
        <v>-0.1547954</v>
      </c>
      <c r="U2046">
        <v>0.37667850000000003</v>
      </c>
      <c r="V2046">
        <v>-8.4220249999999997E-2</v>
      </c>
      <c r="W2046">
        <v>6.8761240000000001E-2</v>
      </c>
      <c r="X2046">
        <v>0.99407179999999995</v>
      </c>
      <c r="Y2046">
        <v>0.1014036</v>
      </c>
      <c r="Z2046">
        <v>2.5381449999999999E-3</v>
      </c>
      <c r="AA2046">
        <v>0.99484209999999995</v>
      </c>
      <c r="AB2046">
        <v>45</v>
      </c>
      <c r="AC2046">
        <v>-21.5247999999999</v>
      </c>
      <c r="AD2046">
        <v>-1.110045311445</v>
      </c>
      <c r="AE2046">
        <v>2.6949999999999901</v>
      </c>
      <c r="AF2046">
        <v>2.2266634123047702</v>
      </c>
      <c r="AG2046">
        <v>-1.110045311445</v>
      </c>
      <c r="AH2046">
        <v>21.5213209321726</v>
      </c>
      <c r="AI2046">
        <v>92.936984626626199</v>
      </c>
      <c r="AJ2046">
        <v>84.093016327144099</v>
      </c>
      <c r="AK2046">
        <v>21.664659822178798</v>
      </c>
      <c r="AL2046">
        <v>86.057159759358896</v>
      </c>
      <c r="AM2046">
        <v>94.842677131515103</v>
      </c>
      <c r="AN2046">
        <v>0.99999995109581796</v>
      </c>
    </row>
    <row r="2047" spans="1:40" x14ac:dyDescent="0.25">
      <c r="A2047" t="str">
        <f>"20190305135831250"</f>
        <v>20190305135831250</v>
      </c>
      <c r="B2047" t="str">
        <f>"1551765511240623"</f>
        <v>1551765511240623</v>
      </c>
      <c r="C2047" t="s">
        <v>40</v>
      </c>
      <c r="D2047">
        <v>3.7927740000000001</v>
      </c>
      <c r="E2047">
        <v>0.56918349999999995</v>
      </c>
      <c r="F2047" t="s">
        <v>61</v>
      </c>
      <c r="G2047">
        <v>-420.62119999999999</v>
      </c>
      <c r="H2047" s="1">
        <v>3.626916E-6</v>
      </c>
      <c r="I2047">
        <v>287.21859999999998</v>
      </c>
      <c r="J2047">
        <v>-399.02319999999997</v>
      </c>
      <c r="K2047">
        <v>1.110052</v>
      </c>
      <c r="L2047">
        <v>284.5093</v>
      </c>
      <c r="M2047">
        <v>-0.99966860000000002</v>
      </c>
      <c r="N2047">
        <v>-1.4604580000000001E-2</v>
      </c>
      <c r="O2047">
        <v>2.1196550000000002E-2</v>
      </c>
      <c r="P2047">
        <v>-0.99650229999999995</v>
      </c>
      <c r="Q2047">
        <v>5.454817E-2</v>
      </c>
      <c r="R2047">
        <v>-6.3305189999999997E-2</v>
      </c>
      <c r="S2047">
        <v>-3.0426030000000002</v>
      </c>
      <c r="T2047">
        <v>-0.15448439999999999</v>
      </c>
      <c r="U2047">
        <v>0.37780760000000002</v>
      </c>
      <c r="V2047">
        <v>-8.4506299999999895E-2</v>
      </c>
      <c r="W2047">
        <v>6.8962460000000003E-2</v>
      </c>
      <c r="X2047">
        <v>0.99403359999999996</v>
      </c>
      <c r="Y2047">
        <v>0.1020078</v>
      </c>
      <c r="Z2047">
        <v>2.5638620000000001E-3</v>
      </c>
      <c r="AA2047">
        <v>0.99478029999999995</v>
      </c>
      <c r="AB2047">
        <v>45</v>
      </c>
      <c r="AC2047">
        <v>-21.597999999999999</v>
      </c>
      <c r="AD2047">
        <v>-1.1100483730840001</v>
      </c>
      <c r="AE2047">
        <v>2.7092999999999798</v>
      </c>
      <c r="AF2047">
        <v>2.2450008423852501</v>
      </c>
      <c r="AG2047">
        <v>-1.1100483730840001</v>
      </c>
      <c r="AH2047">
        <v>21.594421668329598</v>
      </c>
      <c r="AI2047">
        <v>92.926918232236602</v>
      </c>
      <c r="AJ2047">
        <v>84.064733712310399</v>
      </c>
      <c r="AK2047">
        <v>21.7391647347022</v>
      </c>
      <c r="AL2047">
        <v>86.045603331400599</v>
      </c>
      <c r="AM2047">
        <v>94.859232267477395</v>
      </c>
      <c r="AN2047">
        <v>0.99999996677894998</v>
      </c>
    </row>
    <row r="2048" spans="1:40" x14ac:dyDescent="0.25">
      <c r="A2048" t="str">
        <f>"20190305135831266"</f>
        <v>20190305135831266</v>
      </c>
      <c r="B2048" t="str">
        <f>"1551765511261120"</f>
        <v>1551765511261120</v>
      </c>
      <c r="C2048" t="s">
        <v>40</v>
      </c>
      <c r="D2048">
        <v>3.7754249999999998</v>
      </c>
      <c r="E2048">
        <v>0.56979349999999995</v>
      </c>
      <c r="F2048" t="s">
        <v>61</v>
      </c>
      <c r="G2048">
        <v>-420.916</v>
      </c>
      <c r="H2048" s="1">
        <v>3.5740309999999998E-6</v>
      </c>
      <c r="I2048">
        <v>287.2253</v>
      </c>
      <c r="J2048">
        <v>-399.34089999999998</v>
      </c>
      <c r="K2048">
        <v>1.1100559999999999</v>
      </c>
      <c r="L2048">
        <v>284.51580000000001</v>
      </c>
      <c r="M2048">
        <v>-0.99967530000000004</v>
      </c>
      <c r="N2048">
        <v>-1.46027E-2</v>
      </c>
      <c r="O2048">
        <v>2.08846E-2</v>
      </c>
      <c r="P2048">
        <v>-0.9964305</v>
      </c>
      <c r="Q2048">
        <v>5.5140139999999997E-2</v>
      </c>
      <c r="R2048">
        <v>-6.3920279999999996E-2</v>
      </c>
      <c r="S2048">
        <v>-3.0429379999999999</v>
      </c>
      <c r="T2048">
        <v>-0.1542886</v>
      </c>
      <c r="U2048">
        <v>0.37750240000000002</v>
      </c>
      <c r="V2048">
        <v>-8.4809019999999999E-2</v>
      </c>
      <c r="W2048">
        <v>6.9551829999999995E-2</v>
      </c>
      <c r="X2048">
        <v>0.99396680000000004</v>
      </c>
      <c r="Y2048">
        <v>0.1022063</v>
      </c>
      <c r="Z2048">
        <v>2.5793220000000002E-3</v>
      </c>
      <c r="AA2048">
        <v>0.99475990000000003</v>
      </c>
      <c r="AB2048">
        <v>45</v>
      </c>
      <c r="AC2048">
        <v>-21.575099999999999</v>
      </c>
      <c r="AD2048">
        <v>-1.1100524259689999</v>
      </c>
      <c r="AE2048">
        <v>2.70949999999999</v>
      </c>
      <c r="AF2048">
        <v>2.2524036440000201</v>
      </c>
      <c r="AG2048">
        <v>-1.1100524259689999</v>
      </c>
      <c r="AH2048">
        <v>21.570771327226499</v>
      </c>
      <c r="AI2048">
        <v>92.929994587387199</v>
      </c>
      <c r="AJ2048">
        <v>84.038821020246601</v>
      </c>
      <c r="AK2048">
        <v>21.716438801410401</v>
      </c>
      <c r="AL2048">
        <v>86.011753823214093</v>
      </c>
      <c r="AM2048">
        <v>94.876881454452203</v>
      </c>
      <c r="AN2048">
        <v>1.0000000132159701</v>
      </c>
    </row>
    <row r="2049" spans="1:40" x14ac:dyDescent="0.25">
      <c r="A2049" t="str">
        <f>"20190305135831281"</f>
        <v>20190305135831281</v>
      </c>
      <c r="B2049" t="str">
        <f>"1551765511270880"</f>
        <v>1551765511270880</v>
      </c>
      <c r="C2049" t="s">
        <v>40</v>
      </c>
      <c r="D2049">
        <v>3.7630659999999998</v>
      </c>
      <c r="E2049">
        <v>0.57006299999999999</v>
      </c>
      <c r="F2049" t="s">
        <v>61</v>
      </c>
      <c r="G2049">
        <v>-421.29700000000003</v>
      </c>
      <c r="H2049" s="1">
        <v>3.5033929999999998E-6</v>
      </c>
      <c r="I2049">
        <v>287.2602</v>
      </c>
      <c r="J2049">
        <v>-399.62630000000001</v>
      </c>
      <c r="K2049">
        <v>1.1100570000000001</v>
      </c>
      <c r="L2049">
        <v>284.52159999999998</v>
      </c>
      <c r="M2049">
        <v>-0.99968120000000005</v>
      </c>
      <c r="N2049">
        <v>-1.460094E-2</v>
      </c>
      <c r="O2049">
        <v>2.0603699999999999E-2</v>
      </c>
      <c r="P2049">
        <v>-0.99638970000000004</v>
      </c>
      <c r="Q2049">
        <v>5.5356410000000002E-2</v>
      </c>
      <c r="R2049">
        <v>-6.4369090000000004E-2</v>
      </c>
      <c r="S2049">
        <v>-3.0436399999999999</v>
      </c>
      <c r="T2049">
        <v>-0.1538794</v>
      </c>
      <c r="U2049">
        <v>0.3804321</v>
      </c>
      <c r="V2049">
        <v>-8.4977430000000007E-2</v>
      </c>
      <c r="W2049">
        <v>6.9765900000000006E-2</v>
      </c>
      <c r="X2049">
        <v>0.99393739999999997</v>
      </c>
      <c r="Y2049">
        <v>0.1033993</v>
      </c>
      <c r="Z2049">
        <v>2.623551E-3</v>
      </c>
      <c r="AA2049">
        <v>0.99463650000000003</v>
      </c>
      <c r="AB2049">
        <v>45</v>
      </c>
      <c r="AC2049">
        <v>-21.670699999999901</v>
      </c>
      <c r="AD2049">
        <v>-1.1100534966069999</v>
      </c>
      <c r="AE2049">
        <v>2.7386000000000101</v>
      </c>
      <c r="AF2049">
        <v>2.2855716026442199</v>
      </c>
      <c r="AG2049">
        <v>-1.1100534966069999</v>
      </c>
      <c r="AH2049">
        <v>21.666573510069899</v>
      </c>
      <c r="AI2049">
        <v>92.916741208815395</v>
      </c>
      <c r="AJ2049">
        <v>83.978231841129499</v>
      </c>
      <c r="AK2049">
        <v>21.815051317459801</v>
      </c>
      <c r="AL2049">
        <v>85.999458595371394</v>
      </c>
      <c r="AM2049">
        <v>94.886662744028797</v>
      </c>
      <c r="AN2049">
        <v>0.99999999976548704</v>
      </c>
    </row>
    <row r="2050" spans="1:40" x14ac:dyDescent="0.25">
      <c r="A2050" t="str">
        <f>"20190305135831300"</f>
        <v>20190305135831300</v>
      </c>
      <c r="B2050" t="str">
        <f>"1551765511290400"</f>
        <v>1551765511290400</v>
      </c>
      <c r="C2050" t="s">
        <v>40</v>
      </c>
      <c r="D2050">
        <v>3.7811880000000002</v>
      </c>
      <c r="E2050">
        <v>0.57065769999999905</v>
      </c>
      <c r="F2050" t="s">
        <v>61</v>
      </c>
      <c r="G2050">
        <v>-421.57670000000002</v>
      </c>
      <c r="H2050" s="1">
        <v>3.4529469999999998E-6</v>
      </c>
      <c r="I2050">
        <v>287.2697</v>
      </c>
      <c r="J2050">
        <v>-400.01179999999999</v>
      </c>
      <c r="K2050">
        <v>1.110058</v>
      </c>
      <c r="L2050">
        <v>284.5292</v>
      </c>
      <c r="M2050">
        <v>-0.99968889999999999</v>
      </c>
      <c r="N2050">
        <v>-1.4598409999999999E-2</v>
      </c>
      <c r="O2050">
        <v>2.0224410000000002E-2</v>
      </c>
      <c r="P2050">
        <v>-0.99634719999999999</v>
      </c>
      <c r="Q2050">
        <v>5.5409300000000002E-2</v>
      </c>
      <c r="R2050">
        <v>-6.4975610000000003E-2</v>
      </c>
      <c r="S2050">
        <v>-3.0440369999999999</v>
      </c>
      <c r="T2050">
        <v>-0.15393979999999999</v>
      </c>
      <c r="U2050">
        <v>0.38110349999999998</v>
      </c>
      <c r="V2050">
        <v>-8.5205089999999997E-2</v>
      </c>
      <c r="W2050">
        <v>6.9816810000000007E-2</v>
      </c>
      <c r="X2050">
        <v>0.99391430000000003</v>
      </c>
      <c r="Y2050">
        <v>0.1039755</v>
      </c>
      <c r="Z2050">
        <v>2.656055E-3</v>
      </c>
      <c r="AA2050">
        <v>0.99457629999999997</v>
      </c>
      <c r="AB2050">
        <v>45</v>
      </c>
      <c r="AC2050">
        <v>-21.564900000000002</v>
      </c>
      <c r="AD2050">
        <v>-1.1100545470530001</v>
      </c>
      <c r="AE2050">
        <v>2.7404999999999902</v>
      </c>
      <c r="AF2050">
        <v>2.2977639211147101</v>
      </c>
      <c r="AG2050">
        <v>-1.1100545470530001</v>
      </c>
      <c r="AH2050">
        <v>21.559700761678801</v>
      </c>
      <c r="AI2050">
        <v>92.9308433695183</v>
      </c>
      <c r="AJ2050">
        <v>83.916562936782597</v>
      </c>
      <c r="AK2050">
        <v>21.710196615133199</v>
      </c>
      <c r="AL2050">
        <v>85.9965343979637</v>
      </c>
      <c r="AM2050">
        <v>94.899804101234196</v>
      </c>
      <c r="AN2050">
        <v>0.999999965032486</v>
      </c>
    </row>
    <row r="2051" spans="1:40" x14ac:dyDescent="0.25">
      <c r="A2051" t="str">
        <f>"20190305135831321"</f>
        <v>20190305135831321</v>
      </c>
      <c r="B2051" t="str">
        <f>"1551765511310898"</f>
        <v>1551765511310898</v>
      </c>
      <c r="C2051" t="s">
        <v>40</v>
      </c>
      <c r="D2051">
        <v>3.7507090000000001</v>
      </c>
      <c r="E2051">
        <v>0.57120019999999905</v>
      </c>
      <c r="F2051" t="s">
        <v>61</v>
      </c>
      <c r="G2051">
        <v>-421.8562</v>
      </c>
      <c r="H2051" s="1">
        <v>3.4022210000000002E-6</v>
      </c>
      <c r="I2051">
        <v>287.28280000000001</v>
      </c>
      <c r="J2051">
        <v>-400.44569999999999</v>
      </c>
      <c r="K2051">
        <v>1.110058</v>
      </c>
      <c r="L2051">
        <v>284.53769999999997</v>
      </c>
      <c r="M2051">
        <v>-0.99969739999999996</v>
      </c>
      <c r="N2051">
        <v>-1.4595459999999999E-2</v>
      </c>
      <c r="O2051">
        <v>1.9797080000000002E-2</v>
      </c>
      <c r="P2051">
        <v>-0.99628450000000002</v>
      </c>
      <c r="Q2051">
        <v>5.5352510000000001E-2</v>
      </c>
      <c r="R2051">
        <v>-6.5979999999999997E-2</v>
      </c>
      <c r="S2051">
        <v>-3.0446170000000001</v>
      </c>
      <c r="T2051">
        <v>-0.15471660000000001</v>
      </c>
      <c r="U2051">
        <v>0.38378909999999999</v>
      </c>
      <c r="V2051">
        <v>-8.5782220000000006E-2</v>
      </c>
      <c r="W2051">
        <v>6.9755899999999996E-2</v>
      </c>
      <c r="X2051">
        <v>0.99386890000000006</v>
      </c>
      <c r="Y2051">
        <v>0.1052372</v>
      </c>
      <c r="Z2051">
        <v>2.720091E-3</v>
      </c>
      <c r="AA2051">
        <v>0.99444339999999998</v>
      </c>
      <c r="AB2051">
        <v>45</v>
      </c>
      <c r="AC2051">
        <v>-21.410499999999999</v>
      </c>
      <c r="AD2051">
        <v>-1.110054597779</v>
      </c>
      <c r="AE2051">
        <v>2.7451000000000301</v>
      </c>
      <c r="AF2051">
        <v>2.31453040564555</v>
      </c>
      <c r="AG2051">
        <v>-1.110054597779</v>
      </c>
      <c r="AH2051">
        <v>21.404049442666601</v>
      </c>
      <c r="AI2051">
        <v>92.951631821545604</v>
      </c>
      <c r="AJ2051">
        <v>83.828292605753006</v>
      </c>
      <c r="AK2051">
        <v>21.5574257450379</v>
      </c>
      <c r="AL2051">
        <v>86.000032683432806</v>
      </c>
      <c r="AM2051">
        <v>94.933053550441699</v>
      </c>
      <c r="AN2051">
        <v>0.99999993262007203</v>
      </c>
    </row>
    <row r="2052" spans="1:40" x14ac:dyDescent="0.25">
      <c r="A2052" t="str">
        <f>"20190305135831344"</f>
        <v>20190305135831344</v>
      </c>
      <c r="B2052" t="str">
        <f>"1551765511341152"</f>
        <v>1551765511341152</v>
      </c>
      <c r="C2052" t="s">
        <v>40</v>
      </c>
      <c r="D2052">
        <v>3.7590840000000001</v>
      </c>
      <c r="E2052">
        <v>0.57206759999999901</v>
      </c>
      <c r="F2052" t="s">
        <v>61</v>
      </c>
      <c r="G2052">
        <v>-422.12349999999998</v>
      </c>
      <c r="H2052" s="1">
        <v>3.3554099999999999E-6</v>
      </c>
      <c r="I2052">
        <v>287.27600000000001</v>
      </c>
      <c r="J2052">
        <v>-400.88760000000002</v>
      </c>
      <c r="K2052">
        <v>1.1100559999999999</v>
      </c>
      <c r="L2052">
        <v>284.54610000000002</v>
      </c>
      <c r="M2052">
        <v>-0.99970610000000004</v>
      </c>
      <c r="N2052">
        <v>-1.459266E-2</v>
      </c>
      <c r="O2052">
        <v>1.9361699999999999E-2</v>
      </c>
      <c r="P2052">
        <v>-0.99619009999999997</v>
      </c>
      <c r="Q2052">
        <v>5.5755850000000003E-2</v>
      </c>
      <c r="R2052">
        <v>-6.7057939999999996E-2</v>
      </c>
      <c r="S2052">
        <v>-3.0453489999999999</v>
      </c>
      <c r="T2052">
        <v>-0.15594330000000001</v>
      </c>
      <c r="U2052">
        <v>0.38467410000000002</v>
      </c>
      <c r="V2052">
        <v>-8.6424780000000007E-2</v>
      </c>
      <c r="W2052">
        <v>7.0154999999999995E-2</v>
      </c>
      <c r="X2052">
        <v>0.99378520000000004</v>
      </c>
      <c r="Y2052">
        <v>0.1059216</v>
      </c>
      <c r="Z2052">
        <v>2.770925E-3</v>
      </c>
      <c r="AA2052">
        <v>0.99437059999999999</v>
      </c>
      <c r="AB2052">
        <v>45</v>
      </c>
      <c r="AC2052">
        <v>-21.235899999999901</v>
      </c>
      <c r="AD2052">
        <v>-1.1100526445900001</v>
      </c>
      <c r="AE2052">
        <v>2.7298999999999798</v>
      </c>
      <c r="AF2052">
        <v>2.31196672691524</v>
      </c>
      <c r="AG2052">
        <v>-1.1100526445900001</v>
      </c>
      <c r="AH2052">
        <v>21.227719613539001</v>
      </c>
      <c r="AI2052">
        <v>92.975852951037197</v>
      </c>
      <c r="AJ2052">
        <v>83.784265756300101</v>
      </c>
      <c r="AK2052">
        <v>21.382083317842302</v>
      </c>
      <c r="AL2052">
        <v>85.977110029768696</v>
      </c>
      <c r="AM2052">
        <v>94.970237160804103</v>
      </c>
      <c r="AN2052">
        <v>0.99999999518104399</v>
      </c>
    </row>
    <row r="2053" spans="1:40" x14ac:dyDescent="0.25">
      <c r="A2053" t="str">
        <f>"20190305135831356"</f>
        <v>20190305135831356</v>
      </c>
      <c r="B2053" t="str">
        <f>"1551765511350912"</f>
        <v>1551765511350912</v>
      </c>
      <c r="C2053" t="s">
        <v>40</v>
      </c>
      <c r="D2053">
        <v>3.7545660000000001</v>
      </c>
      <c r="E2053">
        <v>0.57231580000000004</v>
      </c>
      <c r="F2053" t="s">
        <v>61</v>
      </c>
      <c r="G2053">
        <v>-422.54919999999998</v>
      </c>
      <c r="H2053" s="1">
        <v>3.2771439999999999E-6</v>
      </c>
      <c r="I2053">
        <v>287.30759999999998</v>
      </c>
      <c r="J2053">
        <v>-401.1506</v>
      </c>
      <c r="K2053">
        <v>1.110058</v>
      </c>
      <c r="L2053">
        <v>284.55099999999999</v>
      </c>
      <c r="M2053">
        <v>-0.99971120000000002</v>
      </c>
      <c r="N2053">
        <v>-1.459103E-2</v>
      </c>
      <c r="O2053">
        <v>1.910247E-2</v>
      </c>
      <c r="P2053">
        <v>-0.9961721</v>
      </c>
      <c r="Q2053">
        <v>5.5699319999999997E-2</v>
      </c>
      <c r="R2053">
        <v>-6.7373069999999993E-2</v>
      </c>
      <c r="S2053">
        <v>-3.0463559999999998</v>
      </c>
      <c r="T2053">
        <v>-0.15611149999999999</v>
      </c>
      <c r="U2053">
        <v>0.38836670000000001</v>
      </c>
      <c r="V2053">
        <v>-8.6481530000000001E-2</v>
      </c>
      <c r="W2053">
        <v>7.0096969999999995E-2</v>
      </c>
      <c r="X2053">
        <v>0.99378440000000001</v>
      </c>
      <c r="Y2053">
        <v>0.107322</v>
      </c>
      <c r="Z2053">
        <v>2.8274250000000002E-3</v>
      </c>
      <c r="AA2053">
        <v>0.99422029999999995</v>
      </c>
      <c r="AB2053">
        <v>45</v>
      </c>
      <c r="AC2053">
        <v>-21.398599999999899</v>
      </c>
      <c r="AD2053">
        <v>-1.110054722856</v>
      </c>
      <c r="AE2053">
        <v>2.7565999999999899</v>
      </c>
      <c r="AF2053">
        <v>2.3410902273144201</v>
      </c>
      <c r="AG2053">
        <v>-1.110054722856</v>
      </c>
      <c r="AH2053">
        <v>21.3907346789088</v>
      </c>
      <c r="AI2053">
        <v>92.953051266171997</v>
      </c>
      <c r="AJ2053">
        <v>83.754171964530499</v>
      </c>
      <c r="AK2053">
        <v>21.547075324591798</v>
      </c>
      <c r="AL2053">
        <v>85.980443277641101</v>
      </c>
      <c r="AM2053">
        <v>94.973488438627498</v>
      </c>
      <c r="AN2053">
        <v>1.00000003695884</v>
      </c>
    </row>
    <row r="2054" spans="1:40" x14ac:dyDescent="0.25">
      <c r="A2054" t="str">
        <f>"20190305135831371"</f>
        <v>20190305135831371</v>
      </c>
      <c r="B2054" t="str">
        <f>"1551765511360672"</f>
        <v>1551765511360672</v>
      </c>
      <c r="C2054" t="s">
        <v>40</v>
      </c>
      <c r="D2054">
        <v>3.7949160000000002</v>
      </c>
      <c r="E2054">
        <v>0.57261980000000001</v>
      </c>
      <c r="F2054" t="s">
        <v>61</v>
      </c>
      <c r="G2054">
        <v>-422.71980000000002</v>
      </c>
      <c r="H2054" s="1">
        <v>3.2469289999999999E-6</v>
      </c>
      <c r="I2054">
        <v>287.30700000000002</v>
      </c>
      <c r="J2054">
        <v>-401.4289</v>
      </c>
      <c r="K2054">
        <v>1.1100620000000001</v>
      </c>
      <c r="L2054">
        <v>284.55610000000001</v>
      </c>
      <c r="M2054">
        <v>-0.99971639999999995</v>
      </c>
      <c r="N2054">
        <v>-1.4589380000000001E-2</v>
      </c>
      <c r="O2054">
        <v>1.8828339999999999E-2</v>
      </c>
      <c r="P2054">
        <v>-0.99613160000000001</v>
      </c>
      <c r="Q2054">
        <v>5.530065E-2</v>
      </c>
      <c r="R2054">
        <v>-6.8293619999999999E-2</v>
      </c>
      <c r="S2054">
        <v>-3.0466000000000002</v>
      </c>
      <c r="T2054">
        <v>-0.1567926</v>
      </c>
      <c r="U2054">
        <v>0.38928220000000002</v>
      </c>
      <c r="V2054">
        <v>-8.7127479999999993E-2</v>
      </c>
      <c r="W2054">
        <v>6.9695499999999994E-2</v>
      </c>
      <c r="X2054">
        <v>0.99375619999999998</v>
      </c>
      <c r="Y2054">
        <v>0.10787629999999999</v>
      </c>
      <c r="Z2054">
        <v>2.8631339999999998E-3</v>
      </c>
      <c r="AA2054">
        <v>0.99416020000000005</v>
      </c>
      <c r="AB2054">
        <v>45</v>
      </c>
      <c r="AC2054">
        <v>-21.290900000000001</v>
      </c>
      <c r="AD2054">
        <v>-1.110058753071</v>
      </c>
      <c r="AE2054">
        <v>2.7509000000000001</v>
      </c>
      <c r="AF2054">
        <v>2.3432322075362402</v>
      </c>
      <c r="AG2054">
        <v>-1.110058753071</v>
      </c>
      <c r="AH2054">
        <v>21.2820235014871</v>
      </c>
      <c r="AI2054">
        <v>92.967907666905106</v>
      </c>
      <c r="AJ2054">
        <v>83.716823918270805</v>
      </c>
      <c r="AK2054">
        <v>21.4393911278178</v>
      </c>
      <c r="AL2054">
        <v>86.003502152709601</v>
      </c>
      <c r="AM2054">
        <v>95.010589597482095</v>
      </c>
      <c r="AN2054">
        <v>1.0000000227649199</v>
      </c>
    </row>
    <row r="2055" spans="1:40" x14ac:dyDescent="0.25">
      <c r="A2055" t="str">
        <f>"20190305135831388"</f>
        <v>20190305135831388</v>
      </c>
      <c r="B2055" t="str">
        <f>"1551765511381171"</f>
        <v>1551765511381171</v>
      </c>
      <c r="C2055" t="s">
        <v>40</v>
      </c>
      <c r="D2055">
        <v>3.7619829999999999</v>
      </c>
      <c r="E2055">
        <v>0.57316929999999999</v>
      </c>
      <c r="F2055" t="s">
        <v>61</v>
      </c>
      <c r="G2055">
        <v>-422.76049999999998</v>
      </c>
      <c r="H2055" s="1">
        <v>3.2421720000000001E-6</v>
      </c>
      <c r="I2055">
        <v>287.27870000000001</v>
      </c>
      <c r="J2055">
        <v>-401.78899999999999</v>
      </c>
      <c r="K2055">
        <v>1.1100620000000001</v>
      </c>
      <c r="L2055">
        <v>284.56259999999997</v>
      </c>
      <c r="M2055">
        <v>-0.99972289999999997</v>
      </c>
      <c r="N2055">
        <v>-1.458722E-2</v>
      </c>
      <c r="O2055">
        <v>1.8473340000000001E-2</v>
      </c>
      <c r="P2055">
        <v>-0.9960715</v>
      </c>
      <c r="Q2055">
        <v>5.5165029999999997E-2</v>
      </c>
      <c r="R2055">
        <v>-6.9270880000000007E-2</v>
      </c>
      <c r="S2055">
        <v>-3.0471189999999999</v>
      </c>
      <c r="T2055">
        <v>-0.1585664</v>
      </c>
      <c r="U2055">
        <v>0.38891599999999998</v>
      </c>
      <c r="V2055">
        <v>-8.775049E-2</v>
      </c>
      <c r="W2055">
        <v>6.9556590000000001E-2</v>
      </c>
      <c r="X2055">
        <v>0.99371109999999896</v>
      </c>
      <c r="Y2055">
        <v>0.10808669999999999</v>
      </c>
      <c r="Z2055">
        <v>2.9032139999999999E-3</v>
      </c>
      <c r="AA2055">
        <v>0.99413720000000005</v>
      </c>
      <c r="AB2055">
        <v>45</v>
      </c>
      <c r="AC2055">
        <v>-20.971499999999899</v>
      </c>
      <c r="AD2055">
        <v>-1.1100587578279999</v>
      </c>
      <c r="AE2055">
        <v>2.7161000000000399</v>
      </c>
      <c r="AF2055">
        <v>2.32178372383065</v>
      </c>
      <c r="AG2055">
        <v>-1.1100587578279999</v>
      </c>
      <c r="AH2055">
        <v>20.960343986572799</v>
      </c>
      <c r="AI2055">
        <v>93.013154290007805</v>
      </c>
      <c r="AJ2055">
        <v>83.679097521218907</v>
      </c>
      <c r="AK2055">
        <v>21.117739702476101</v>
      </c>
      <c r="AL2055">
        <v>86.011480416303101</v>
      </c>
      <c r="AM2055">
        <v>95.046461605422706</v>
      </c>
      <c r="AN2055">
        <v>1.00000000898543</v>
      </c>
    </row>
    <row r="2056" spans="1:40" x14ac:dyDescent="0.25">
      <c r="A2056" t="str">
        <f>"20190305135831402"</f>
        <v>20190305135831402</v>
      </c>
      <c r="B2056" t="str">
        <f>"1551765511390928"</f>
        <v>1551765511390928</v>
      </c>
      <c r="C2056" t="s">
        <v>40</v>
      </c>
      <c r="D2056">
        <v>3.7704629999999999</v>
      </c>
      <c r="E2056">
        <v>0.57338169999999899</v>
      </c>
      <c r="F2056" t="s">
        <v>61</v>
      </c>
      <c r="G2056">
        <v>-422.90589999999997</v>
      </c>
      <c r="H2056" s="1">
        <v>3.217388E-6</v>
      </c>
      <c r="I2056">
        <v>287.26740000000001</v>
      </c>
      <c r="J2056">
        <v>-402.05459999999999</v>
      </c>
      <c r="K2056">
        <v>1.1100620000000001</v>
      </c>
      <c r="L2056">
        <v>284.56740000000002</v>
      </c>
      <c r="M2056">
        <v>-0.99972780000000006</v>
      </c>
      <c r="N2056">
        <v>-1.4585590000000001E-2</v>
      </c>
      <c r="O2056">
        <v>1.8211479999999999E-2</v>
      </c>
      <c r="P2056">
        <v>-0.9960405</v>
      </c>
      <c r="Q2056">
        <v>5.4892150000000001E-2</v>
      </c>
      <c r="R2056">
        <v>-6.9931660000000007E-2</v>
      </c>
      <c r="S2056">
        <v>-3.0477910000000001</v>
      </c>
      <c r="T2056">
        <v>-0.16021489999999999</v>
      </c>
      <c r="U2056">
        <v>0.39038089999999998</v>
      </c>
      <c r="V2056">
        <v>-8.8148799999999999E-2</v>
      </c>
      <c r="W2056">
        <v>6.928165E-2</v>
      </c>
      <c r="X2056">
        <v>0.99369499999999999</v>
      </c>
      <c r="Y2056">
        <v>0.1087853</v>
      </c>
      <c r="Z2056">
        <v>2.9550679999999999E-3</v>
      </c>
      <c r="AA2056">
        <v>0.99406090000000003</v>
      </c>
      <c r="AB2056">
        <v>45</v>
      </c>
      <c r="AC2056">
        <v>-20.851299999999899</v>
      </c>
      <c r="AD2056">
        <v>-1.1100587826119901</v>
      </c>
      <c r="AE2056">
        <v>2.6999999999999802</v>
      </c>
      <c r="AF2056">
        <v>2.3133304621526101</v>
      </c>
      <c r="AG2056">
        <v>-1.1100587826119901</v>
      </c>
      <c r="AH2056">
        <v>20.838930370113101</v>
      </c>
      <c r="AI2056">
        <v>93.030597790892401</v>
      </c>
      <c r="AJ2056">
        <v>83.665528730651005</v>
      </c>
      <c r="AK2056">
        <v>20.996303181712701</v>
      </c>
      <c r="AL2056">
        <v>86.027271199459904</v>
      </c>
      <c r="AM2056">
        <v>95.069330720282395</v>
      </c>
      <c r="AN2056">
        <v>0.99999995549658005</v>
      </c>
    </row>
    <row r="2057" spans="1:40" x14ac:dyDescent="0.25">
      <c r="A2057" t="str">
        <f>"20190305135831416"</f>
        <v>20190305135831416</v>
      </c>
      <c r="B2057" t="str">
        <f>"1551765511410448"</f>
        <v>1551765511410448</v>
      </c>
      <c r="C2057" t="s">
        <v>40</v>
      </c>
      <c r="D2057">
        <v>3.773247</v>
      </c>
      <c r="E2057">
        <v>0.57386340000000002</v>
      </c>
      <c r="F2057" t="s">
        <v>61</v>
      </c>
      <c r="G2057">
        <v>-423.00619999999998</v>
      </c>
      <c r="H2057" s="1">
        <v>3.2012719999999998E-6</v>
      </c>
      <c r="I2057">
        <v>287.24799999999999</v>
      </c>
      <c r="J2057">
        <v>-402.34879999999998</v>
      </c>
      <c r="K2057">
        <v>1.1100650000000001</v>
      </c>
      <c r="L2057">
        <v>284.57240000000002</v>
      </c>
      <c r="M2057">
        <v>-0.99973299999999998</v>
      </c>
      <c r="N2057">
        <v>-1.458373E-2</v>
      </c>
      <c r="O2057">
        <v>1.7922029999999999E-2</v>
      </c>
      <c r="P2057">
        <v>-0.99600489999999997</v>
      </c>
      <c r="Q2057">
        <v>5.47961E-2</v>
      </c>
      <c r="R2057">
        <v>-7.0510879999999998E-2</v>
      </c>
      <c r="S2057">
        <v>-3.0482480000000001</v>
      </c>
      <c r="T2057">
        <v>-0.16150210000000001</v>
      </c>
      <c r="U2057">
        <v>0.39001459999999999</v>
      </c>
      <c r="V2057">
        <v>-8.8439359999999995E-2</v>
      </c>
      <c r="W2057">
        <v>6.9183170000000002E-2</v>
      </c>
      <c r="X2057">
        <v>0.99367609999999995</v>
      </c>
      <c r="Y2057">
        <v>0.1089339</v>
      </c>
      <c r="Z2057">
        <v>2.9859109999999999E-3</v>
      </c>
      <c r="AA2057">
        <v>0.9940445</v>
      </c>
      <c r="AB2057">
        <v>45</v>
      </c>
      <c r="AC2057">
        <v>-20.657399999999999</v>
      </c>
      <c r="AD2057">
        <v>-1.1100617987279999</v>
      </c>
      <c r="AE2057">
        <v>2.67559999999997</v>
      </c>
      <c r="AF2057">
        <v>2.2983808548656199</v>
      </c>
      <c r="AG2057">
        <v>-1.1100617987279999</v>
      </c>
      <c r="AH2057">
        <v>20.643411544666499</v>
      </c>
      <c r="AI2057">
        <v>93.059145634958895</v>
      </c>
      <c r="AJ2057">
        <v>83.647009276524301</v>
      </c>
      <c r="AK2057">
        <v>20.800606528500001</v>
      </c>
      <c r="AL2057">
        <v>86.032927482231699</v>
      </c>
      <c r="AM2057">
        <v>95.086049207336998</v>
      </c>
      <c r="AN2057">
        <v>1.00000001155983</v>
      </c>
    </row>
    <row r="2058" spans="1:40" x14ac:dyDescent="0.25">
      <c r="A2058" t="str">
        <f>"20190305135831429"</f>
        <v>20190305135831429</v>
      </c>
      <c r="B2058" t="str">
        <f>"1551765511421185"</f>
        <v>1551765511421185</v>
      </c>
      <c r="C2058" t="s">
        <v>40</v>
      </c>
      <c r="D2058">
        <v>3.773774</v>
      </c>
      <c r="E2058">
        <v>0.57416730000000005</v>
      </c>
      <c r="F2058" t="s">
        <v>61</v>
      </c>
      <c r="G2058">
        <v>-423.14120000000003</v>
      </c>
      <c r="H2058" s="1">
        <v>3.1773690000000001E-6</v>
      </c>
      <c r="I2058">
        <v>287.24770000000001</v>
      </c>
      <c r="J2058">
        <v>-402.6078</v>
      </c>
      <c r="K2058">
        <v>1.1100650000000001</v>
      </c>
      <c r="L2058">
        <v>284.57690000000002</v>
      </c>
      <c r="M2058">
        <v>-0.99973769999999995</v>
      </c>
      <c r="N2058">
        <v>-1.4582070000000001E-2</v>
      </c>
      <c r="O2058">
        <v>1.766643E-2</v>
      </c>
      <c r="P2058">
        <v>-0.99593540000000003</v>
      </c>
      <c r="Q2058">
        <v>5.4903800000000003E-2</v>
      </c>
      <c r="R2058">
        <v>-7.1404540000000002E-2</v>
      </c>
      <c r="S2058">
        <v>-3.0487980000000001</v>
      </c>
      <c r="T2058">
        <v>-0.16276940000000001</v>
      </c>
      <c r="U2058">
        <v>0.39227289999999998</v>
      </c>
      <c r="V2058">
        <v>-8.9077409999999996E-2</v>
      </c>
      <c r="W2058">
        <v>6.9287840000000003E-2</v>
      </c>
      <c r="X2058">
        <v>0.99361180000000004</v>
      </c>
      <c r="Y2058">
        <v>0.1098856</v>
      </c>
      <c r="Z2058">
        <v>3.042604E-3</v>
      </c>
      <c r="AA2058">
        <v>0.99393960000000003</v>
      </c>
      <c r="AB2058">
        <v>45</v>
      </c>
      <c r="AC2058">
        <v>-20.5334</v>
      </c>
      <c r="AD2058">
        <v>-1.110061822631</v>
      </c>
      <c r="AE2058">
        <v>2.6707999999999799</v>
      </c>
      <c r="AF2058">
        <v>2.30097967655484</v>
      </c>
      <c r="AG2058">
        <v>-1.110061822631</v>
      </c>
      <c r="AH2058">
        <v>20.518413437775902</v>
      </c>
      <c r="AI2058">
        <v>93.077473417770605</v>
      </c>
      <c r="AJ2058">
        <v>83.601459244286104</v>
      </c>
      <c r="AK2058">
        <v>20.676847794707101</v>
      </c>
      <c r="AL2058">
        <v>86.026915859037402</v>
      </c>
      <c r="AM2058">
        <v>95.122877956982094</v>
      </c>
      <c r="AN2058">
        <v>0.99999999942170603</v>
      </c>
    </row>
    <row r="2059" spans="1:40" x14ac:dyDescent="0.25">
      <c r="A2059" t="str">
        <f>"20190305135831444"</f>
        <v>20190305135831444</v>
      </c>
      <c r="B2059" t="str">
        <f>"1551765511430944"</f>
        <v>1551765511430944</v>
      </c>
      <c r="C2059" t="s">
        <v>40</v>
      </c>
      <c r="D2059">
        <v>3.7594509999999999</v>
      </c>
      <c r="E2059">
        <v>0.57445900000000005</v>
      </c>
      <c r="F2059" t="s">
        <v>61</v>
      </c>
      <c r="G2059">
        <v>-423.47269999999997</v>
      </c>
      <c r="H2059" s="1">
        <v>3.117623E-6</v>
      </c>
      <c r="I2059">
        <v>287.25839999999999</v>
      </c>
      <c r="J2059">
        <v>-402.90199999999999</v>
      </c>
      <c r="K2059">
        <v>1.1100730000000001</v>
      </c>
      <c r="L2059">
        <v>284.58190000000002</v>
      </c>
      <c r="M2059">
        <v>-0.99974269999999998</v>
      </c>
      <c r="N2059">
        <v>-1.458018E-2</v>
      </c>
      <c r="O2059">
        <v>1.737644E-2</v>
      </c>
      <c r="P2059">
        <v>-0.99580500000000005</v>
      </c>
      <c r="Q2059">
        <v>5.6166800000000003E-2</v>
      </c>
      <c r="R2059">
        <v>-7.2235880000000002E-2</v>
      </c>
      <c r="S2059">
        <v>-3.0492859999999999</v>
      </c>
      <c r="T2059">
        <v>-0.1622294</v>
      </c>
      <c r="U2059">
        <v>0.39187620000000001</v>
      </c>
      <c r="V2059">
        <v>-8.961906E-2</v>
      </c>
      <c r="W2059">
        <v>7.0546460000000005E-2</v>
      </c>
      <c r="X2059">
        <v>0.99347450000000004</v>
      </c>
      <c r="Y2059">
        <v>0.1100271</v>
      </c>
      <c r="Z2059">
        <v>3.0515149999999999E-3</v>
      </c>
      <c r="AA2059">
        <v>0.99392389999999997</v>
      </c>
      <c r="AB2059">
        <v>45</v>
      </c>
      <c r="AC2059">
        <v>-20.570699999999899</v>
      </c>
      <c r="AD2059">
        <v>-1.1100698823770001</v>
      </c>
      <c r="AE2059">
        <v>2.6764999999999701</v>
      </c>
      <c r="AF2059">
        <v>2.3119916652434398</v>
      </c>
      <c r="AG2059">
        <v>-1.1100698823770001</v>
      </c>
      <c r="AH2059">
        <v>20.555244604752101</v>
      </c>
      <c r="AI2059">
        <v>93.071878144496196</v>
      </c>
      <c r="AJ2059">
        <v>83.582516208477202</v>
      </c>
      <c r="AK2059">
        <v>20.714623852850998</v>
      </c>
      <c r="AL2059">
        <v>85.954625254369304</v>
      </c>
      <c r="AM2059">
        <v>95.154569645919906</v>
      </c>
      <c r="AN2059">
        <v>0.99999998054203199</v>
      </c>
    </row>
    <row r="2060" spans="1:40" x14ac:dyDescent="0.25">
      <c r="A2060" t="str">
        <f>"20190305135831458"</f>
        <v>20190305135831458</v>
      </c>
      <c r="B2060" t="str">
        <f>"1551765511450464"</f>
        <v>1551765511450464</v>
      </c>
      <c r="C2060" t="s">
        <v>40</v>
      </c>
      <c r="D2060">
        <v>3.782473</v>
      </c>
      <c r="E2060">
        <v>0.5751193</v>
      </c>
      <c r="F2060" t="s">
        <v>61</v>
      </c>
      <c r="G2060">
        <v>-424.46980000000002</v>
      </c>
      <c r="H2060" s="1">
        <v>2.9322820000000002E-6</v>
      </c>
      <c r="I2060">
        <v>287.3553</v>
      </c>
      <c r="J2060">
        <v>-403.17759999999998</v>
      </c>
      <c r="K2060">
        <v>1.1100719999999999</v>
      </c>
      <c r="L2060">
        <v>284.5865</v>
      </c>
      <c r="M2060">
        <v>-0.99974750000000001</v>
      </c>
      <c r="N2060">
        <v>-1.457842E-2</v>
      </c>
      <c r="O2060">
        <v>1.710486E-2</v>
      </c>
      <c r="P2060">
        <v>-0.99571319999999996</v>
      </c>
      <c r="Q2060">
        <v>5.6897320000000001E-2</v>
      </c>
      <c r="R2060">
        <v>-7.2925139999999999E-2</v>
      </c>
      <c r="S2060">
        <v>-3.0499269999999998</v>
      </c>
      <c r="T2060">
        <v>-0.156976</v>
      </c>
      <c r="U2060">
        <v>0.39218140000000001</v>
      </c>
      <c r="V2060">
        <v>-9.0037909999999999E-2</v>
      </c>
      <c r="W2060">
        <v>7.1273710000000004E-2</v>
      </c>
      <c r="X2060">
        <v>0.99338470000000001</v>
      </c>
      <c r="Y2060">
        <v>0.1103779</v>
      </c>
      <c r="Z2060">
        <v>3.0079999999999998E-3</v>
      </c>
      <c r="AA2060">
        <v>0.99388520000000002</v>
      </c>
      <c r="AB2060">
        <v>45</v>
      </c>
      <c r="AC2060">
        <v>-21.292200000000001</v>
      </c>
      <c r="AD2060">
        <v>-1.1100690677179901</v>
      </c>
      <c r="AE2060">
        <v>2.7687999999999899</v>
      </c>
      <c r="AF2060">
        <v>2.3977472188295601</v>
      </c>
      <c r="AG2060">
        <v>-1.1100690677179901</v>
      </c>
      <c r="AH2060">
        <v>21.279571934484601</v>
      </c>
      <c r="AI2060">
        <v>92.967437326219496</v>
      </c>
      <c r="AJ2060">
        <v>83.571122044105294</v>
      </c>
      <c r="AK2060">
        <v>21.442985491190601</v>
      </c>
      <c r="AL2060">
        <v>85.912851675651098</v>
      </c>
      <c r="AM2060">
        <v>95.178995309955098</v>
      </c>
      <c r="AN2060">
        <v>0.99999996458421003</v>
      </c>
    </row>
    <row r="2061" spans="1:40" x14ac:dyDescent="0.25">
      <c r="A2061" t="str">
        <f>"20190305135831479"</f>
        <v>20190305135831479</v>
      </c>
      <c r="B2061" t="str">
        <f>"1551765511470960"</f>
        <v>1551765511470960</v>
      </c>
      <c r="C2061" t="s">
        <v>40</v>
      </c>
      <c r="D2061">
        <v>3.7687979999999999</v>
      </c>
      <c r="E2061">
        <v>0.57575290000000001</v>
      </c>
      <c r="F2061" t="s">
        <v>61</v>
      </c>
      <c r="G2061">
        <v>-425.3811</v>
      </c>
      <c r="H2061" s="1">
        <v>2.7609239999999999E-6</v>
      </c>
      <c r="I2061">
        <v>287.46629999999999</v>
      </c>
      <c r="J2061">
        <v>-403.5883</v>
      </c>
      <c r="K2061">
        <v>1.1100509999999999</v>
      </c>
      <c r="L2061">
        <v>284.59320000000002</v>
      </c>
      <c r="M2061">
        <v>-0.99975440000000004</v>
      </c>
      <c r="N2061">
        <v>-1.457582E-2</v>
      </c>
      <c r="O2061">
        <v>1.6699970000000001E-2</v>
      </c>
      <c r="P2061">
        <v>-0.99576659999999995</v>
      </c>
      <c r="Q2061">
        <v>5.4045219999999998E-2</v>
      </c>
      <c r="R2061">
        <v>-7.4350059999999996E-2</v>
      </c>
      <c r="S2061">
        <v>-3.0505680000000002</v>
      </c>
      <c r="T2061">
        <v>-0.1525137</v>
      </c>
      <c r="U2061">
        <v>0.39566040000000002</v>
      </c>
      <c r="V2061">
        <v>-9.1056520000000002E-2</v>
      </c>
      <c r="W2061">
        <v>6.8419199999999999E-2</v>
      </c>
      <c r="X2061">
        <v>0.99349259999999995</v>
      </c>
      <c r="Y2061">
        <v>0.1118746</v>
      </c>
      <c r="Z2061">
        <v>3.0143520000000001E-3</v>
      </c>
      <c r="AA2061">
        <v>0.99371779999999998</v>
      </c>
      <c r="AB2061">
        <v>45</v>
      </c>
      <c r="AC2061">
        <v>-21.7928</v>
      </c>
      <c r="AD2061">
        <v>-1.110048239076</v>
      </c>
      <c r="AE2061">
        <v>2.87309999999996</v>
      </c>
      <c r="AF2061">
        <v>2.5023400493737098</v>
      </c>
      <c r="AG2061">
        <v>-1.110048239076</v>
      </c>
      <c r="AH2061">
        <v>21.782197104671301</v>
      </c>
      <c r="AI2061">
        <v>92.898311825892506</v>
      </c>
      <c r="AJ2061">
        <v>83.446586209038202</v>
      </c>
      <c r="AK2061">
        <v>21.953542391207101</v>
      </c>
      <c r="AL2061">
        <v>86.076803708786898</v>
      </c>
      <c r="AM2061">
        <v>95.236696273248299</v>
      </c>
      <c r="AN2061">
        <v>1.00000001150895</v>
      </c>
    </row>
    <row r="2062" spans="1:40" x14ac:dyDescent="0.25">
      <c r="A2062" t="str">
        <f>"20190305135831501"</f>
        <v>20190305135831501</v>
      </c>
      <c r="B2062" t="str">
        <f>"1551765511490481"</f>
        <v>1551765511490481</v>
      </c>
      <c r="C2062" t="s">
        <v>40</v>
      </c>
      <c r="D2062">
        <v>3.7664659999999999</v>
      </c>
      <c r="E2062">
        <v>0.57633480000000004</v>
      </c>
      <c r="F2062" t="s">
        <v>61</v>
      </c>
      <c r="G2062">
        <v>-424.8913</v>
      </c>
      <c r="H2062" s="1">
        <v>2.8566529999999999E-6</v>
      </c>
      <c r="I2062">
        <v>287.36520000000002</v>
      </c>
      <c r="J2062">
        <v>-404.02809999999999</v>
      </c>
      <c r="K2062">
        <v>1.1100179999999999</v>
      </c>
      <c r="L2062">
        <v>284.60019999999997</v>
      </c>
      <c r="M2062">
        <v>-0.99976160000000003</v>
      </c>
      <c r="N2062">
        <v>-1.457291E-2</v>
      </c>
      <c r="O2062">
        <v>1.626617E-2</v>
      </c>
      <c r="P2062">
        <v>-0.99597369999999996</v>
      </c>
      <c r="Q2062">
        <v>4.666522E-2</v>
      </c>
      <c r="R2062">
        <v>-7.6544550000000003E-2</v>
      </c>
      <c r="S2062">
        <v>-3.0510250000000001</v>
      </c>
      <c r="T2062">
        <v>-0.1589817</v>
      </c>
      <c r="U2062">
        <v>0.3970032</v>
      </c>
      <c r="V2062">
        <v>-9.2813450000000006E-2</v>
      </c>
      <c r="W2062">
        <v>6.1038500000000002E-2</v>
      </c>
      <c r="X2062">
        <v>0.99381079999999999</v>
      </c>
      <c r="Y2062">
        <v>0.1127027</v>
      </c>
      <c r="Z2062">
        <v>3.140253E-3</v>
      </c>
      <c r="AA2062">
        <v>0.99362379999999995</v>
      </c>
      <c r="AB2062">
        <v>45</v>
      </c>
      <c r="AC2062">
        <v>-20.863199999999999</v>
      </c>
      <c r="AD2062">
        <v>-1.110015143347</v>
      </c>
      <c r="AE2062">
        <v>2.7650000000000401</v>
      </c>
      <c r="AF2062">
        <v>2.4185058151345999</v>
      </c>
      <c r="AG2062">
        <v>-1.110015143347</v>
      </c>
      <c r="AH2062">
        <v>20.847425415623601</v>
      </c>
      <c r="AI2062">
        <v>93.0275526373254</v>
      </c>
      <c r="AJ2062">
        <v>83.382707619545997</v>
      </c>
      <c r="AK2062">
        <v>21.0165756120327</v>
      </c>
      <c r="AL2062">
        <v>86.500576194663395</v>
      </c>
      <c r="AM2062">
        <v>95.335460997001107</v>
      </c>
      <c r="AN2062">
        <v>0.99999997058989498</v>
      </c>
    </row>
    <row r="2063" spans="1:40" x14ac:dyDescent="0.25">
      <c r="A2063" t="str">
        <f>"20190305135831522"</f>
        <v>20190305135831522</v>
      </c>
      <c r="B2063" t="str">
        <f>"1551765511510976"</f>
        <v>1551765511510976</v>
      </c>
      <c r="C2063" t="s">
        <v>40</v>
      </c>
      <c r="D2063">
        <v>3.771938</v>
      </c>
      <c r="E2063">
        <v>0.57694979999999996</v>
      </c>
      <c r="F2063" t="s">
        <v>61</v>
      </c>
      <c r="G2063">
        <v>-422.89159999999998</v>
      </c>
      <c r="H2063" s="1">
        <v>3.2394050000000002E-6</v>
      </c>
      <c r="I2063">
        <v>287.0444</v>
      </c>
      <c r="J2063">
        <v>-404.45679999999999</v>
      </c>
      <c r="K2063">
        <v>1.1099969999999999</v>
      </c>
      <c r="L2063">
        <v>284.60680000000002</v>
      </c>
      <c r="M2063">
        <v>-0.9997684</v>
      </c>
      <c r="N2063">
        <v>-1.457031E-2</v>
      </c>
      <c r="O2063">
        <v>1.5843159999999998E-2</v>
      </c>
      <c r="P2063">
        <v>-0.99596790000000002</v>
      </c>
      <c r="Q2063">
        <v>4.2455850000000003E-2</v>
      </c>
      <c r="R2063">
        <v>-7.9026609999999997E-2</v>
      </c>
      <c r="S2063">
        <v>-3.050964</v>
      </c>
      <c r="T2063">
        <v>-0.17953279999999999</v>
      </c>
      <c r="U2063">
        <v>0.39532469999999997</v>
      </c>
      <c r="V2063">
        <v>-9.4868919999999995E-2</v>
      </c>
      <c r="W2063">
        <v>5.6824409999999999E-2</v>
      </c>
      <c r="X2063">
        <v>0.99386660000000004</v>
      </c>
      <c r="Y2063">
        <v>0.1125456</v>
      </c>
      <c r="Z2063">
        <v>3.4214580000000001E-3</v>
      </c>
      <c r="AA2063">
        <v>0.99364070000000004</v>
      </c>
      <c r="AB2063">
        <v>45</v>
      </c>
      <c r="AC2063">
        <v>-18.434799999999999</v>
      </c>
      <c r="AD2063">
        <v>-1.1099937605950001</v>
      </c>
      <c r="AE2063">
        <v>2.43759999999997</v>
      </c>
      <c r="AF2063">
        <v>2.1375809561215098</v>
      </c>
      <c r="AG2063">
        <v>-1.1099937605950001</v>
      </c>
      <c r="AH2063">
        <v>18.405527111746</v>
      </c>
      <c r="AI2063">
        <v>93.428205914135305</v>
      </c>
      <c r="AJ2063">
        <v>83.375460854893404</v>
      </c>
      <c r="AK2063">
        <v>18.562455838432399</v>
      </c>
      <c r="AL2063">
        <v>86.742446321919601</v>
      </c>
      <c r="AM2063">
        <v>95.452612587522594</v>
      </c>
      <c r="AN2063">
        <v>0.99999997207468605</v>
      </c>
    </row>
    <row r="2064" spans="1:40" x14ac:dyDescent="0.25">
      <c r="A2064" t="str">
        <f>"20190305135831545"</f>
        <v>20190305135831545</v>
      </c>
      <c r="B2064" t="str">
        <f>"1551765511540259"</f>
        <v>1551765511540259</v>
      </c>
      <c r="C2064" t="s">
        <v>40</v>
      </c>
      <c r="D2064">
        <v>3.7398549999999999</v>
      </c>
      <c r="E2064">
        <v>0.57778169999999995</v>
      </c>
      <c r="F2064" t="s">
        <v>41</v>
      </c>
      <c r="G2064">
        <v>-405.49549999999999</v>
      </c>
      <c r="H2064">
        <v>1.044929</v>
      </c>
      <c r="I2064">
        <v>284.7407</v>
      </c>
      <c r="J2064">
        <v>-404.90179999999998</v>
      </c>
      <c r="K2064">
        <v>1.10999</v>
      </c>
      <c r="L2064">
        <v>284.61349999999999</v>
      </c>
      <c r="M2064">
        <v>-0.99977539999999998</v>
      </c>
      <c r="N2064">
        <v>-1.4567460000000001E-2</v>
      </c>
      <c r="O2064">
        <v>1.5404289999999999E-2</v>
      </c>
      <c r="P2064">
        <v>-0.99581249999999999</v>
      </c>
      <c r="Q2064">
        <v>4.2164119999999999E-2</v>
      </c>
      <c r="R2064">
        <v>-8.111662E-2</v>
      </c>
      <c r="S2064">
        <v>-3.051453</v>
      </c>
      <c r="T2064">
        <v>-0.1911979</v>
      </c>
      <c r="U2064">
        <v>0.39291379999999998</v>
      </c>
      <c r="V2064">
        <v>-9.6519170000000001E-2</v>
      </c>
      <c r="W2064">
        <v>5.652592E-2</v>
      </c>
      <c r="X2064">
        <v>0.99372479999999996</v>
      </c>
      <c r="Y2064">
        <v>0.11216370000000001</v>
      </c>
      <c r="Z2064">
        <v>3.5808400000000001E-3</v>
      </c>
      <c r="AA2064">
        <v>0.99368330000000005</v>
      </c>
      <c r="AB2064">
        <v>45</v>
      </c>
      <c r="AC2064">
        <v>-0.593700000000012</v>
      </c>
      <c r="AD2064">
        <v>-6.5060999999999994E-2</v>
      </c>
      <c r="AE2064">
        <v>0.12720000000001599</v>
      </c>
      <c r="AF2064">
        <v>0.116698481014718</v>
      </c>
      <c r="AG2064">
        <v>-6.5060999999999994E-2</v>
      </c>
      <c r="AH2064">
        <v>0.588828271744121</v>
      </c>
      <c r="AI2064">
        <v>96.185813140190106</v>
      </c>
      <c r="AJ2064">
        <v>78.789949371021706</v>
      </c>
      <c r="AK2064">
        <v>0.60379649120983703</v>
      </c>
      <c r="AL2064">
        <v>86.759576338499798</v>
      </c>
      <c r="AM2064">
        <v>95.547661132801906</v>
      </c>
      <c r="AN2064">
        <v>1.0000000539721801</v>
      </c>
    </row>
    <row r="2065" spans="1:40" x14ac:dyDescent="0.25">
      <c r="A2065" t="str">
        <f>"20190305135831558"</f>
        <v>20190305135831558</v>
      </c>
      <c r="B2065" t="str">
        <f>"1551765511550992"</f>
        <v>1551765511550992</v>
      </c>
      <c r="C2065" t="s">
        <v>40</v>
      </c>
      <c r="D2065">
        <v>3.7854139999999998</v>
      </c>
      <c r="E2065">
        <v>0.57778169999999995</v>
      </c>
      <c r="F2065" t="s">
        <v>41</v>
      </c>
      <c r="G2065">
        <v>-405.90129999999999</v>
      </c>
      <c r="H2065">
        <v>1.0476460000000001</v>
      </c>
      <c r="I2065">
        <v>284.74220000000003</v>
      </c>
      <c r="J2065">
        <v>-405.17189999999999</v>
      </c>
      <c r="K2065">
        <v>1.1099889999999999</v>
      </c>
      <c r="L2065">
        <v>284.61739999999998</v>
      </c>
      <c r="M2065">
        <v>-0.99977930000000004</v>
      </c>
      <c r="N2065">
        <v>-1.4565760000000001E-2</v>
      </c>
      <c r="O2065">
        <v>1.513754E-2</v>
      </c>
      <c r="P2065">
        <v>-0.9957568</v>
      </c>
      <c r="Q2065">
        <v>4.216255E-2</v>
      </c>
      <c r="R2065">
        <v>-8.1794259999999994E-2</v>
      </c>
      <c r="S2065">
        <v>-3.0527039999999999</v>
      </c>
      <c r="T2065">
        <v>-0.19038920000000001</v>
      </c>
      <c r="U2065">
        <v>0.39328000000000002</v>
      </c>
      <c r="V2065">
        <v>-9.6930470000000005E-2</v>
      </c>
      <c r="W2065">
        <v>5.6521620000000002E-2</v>
      </c>
      <c r="X2065">
        <v>0.99368489999999998</v>
      </c>
      <c r="Y2065">
        <v>0.1124955</v>
      </c>
      <c r="Z2065">
        <v>3.5943580000000002E-3</v>
      </c>
      <c r="AA2065">
        <v>0.99364569999999997</v>
      </c>
      <c r="AB2065">
        <v>44</v>
      </c>
      <c r="AC2065">
        <v>-0.72939999999999805</v>
      </c>
      <c r="AD2065">
        <v>-6.2343000000000003E-2</v>
      </c>
      <c r="AE2065">
        <v>0.12480000000005</v>
      </c>
      <c r="AF2065">
        <v>0.112941588212547</v>
      </c>
      <c r="AG2065">
        <v>-6.2343000000000003E-2</v>
      </c>
      <c r="AH2065">
        <v>0.72605253246115697</v>
      </c>
      <c r="AI2065">
        <v>94.849662650891503</v>
      </c>
      <c r="AJ2065">
        <v>81.158179032122902</v>
      </c>
      <c r="AK2065">
        <v>0.73742439062607101</v>
      </c>
      <c r="AL2065">
        <v>86.759822751437497</v>
      </c>
      <c r="AM2065">
        <v>95.571375426086703</v>
      </c>
      <c r="AN2065">
        <v>0.99999994501492595</v>
      </c>
    </row>
    <row r="2066" spans="1:40" x14ac:dyDescent="0.25">
      <c r="A2066" t="str">
        <f>"20190305135831571"</f>
        <v>20190305135831571</v>
      </c>
      <c r="B2066" t="str">
        <f>"1551765511560752"</f>
        <v>1551765511560752</v>
      </c>
      <c r="C2066" t="s">
        <v>40</v>
      </c>
      <c r="D2066">
        <v>3.8078780000000001</v>
      </c>
      <c r="E2066">
        <v>0.59448420000000002</v>
      </c>
      <c r="F2066" t="s">
        <v>41</v>
      </c>
      <c r="G2066">
        <v>-406.28680000000003</v>
      </c>
      <c r="H2066">
        <v>1.0404040000000001</v>
      </c>
      <c r="I2066">
        <v>284.76049999999998</v>
      </c>
      <c r="J2066">
        <v>-405.4402</v>
      </c>
      <c r="K2066">
        <v>1.1099939999999999</v>
      </c>
      <c r="L2066">
        <v>284.62130000000002</v>
      </c>
      <c r="M2066">
        <v>-0.99978330000000004</v>
      </c>
      <c r="N2066">
        <v>-1.456408E-2</v>
      </c>
      <c r="O2066">
        <v>1.4872700000000001E-2</v>
      </c>
      <c r="P2066">
        <v>-0.99567640000000002</v>
      </c>
      <c r="Q2066">
        <v>4.2852010000000003E-2</v>
      </c>
      <c r="R2066">
        <v>-8.2416199999999995E-2</v>
      </c>
      <c r="S2066">
        <v>-3.0529169999999999</v>
      </c>
      <c r="T2066">
        <v>-0.19064400000000001</v>
      </c>
      <c r="U2066">
        <v>0.39096069999999999</v>
      </c>
      <c r="V2066">
        <v>-9.7288189999999997E-2</v>
      </c>
      <c r="W2066">
        <v>5.720811E-2</v>
      </c>
      <c r="X2066">
        <v>0.99361069999999996</v>
      </c>
      <c r="Y2066">
        <v>0.1120075</v>
      </c>
      <c r="Z2066">
        <v>3.5914380000000002E-3</v>
      </c>
      <c r="AA2066">
        <v>0.9937009</v>
      </c>
      <c r="AB2066">
        <v>44</v>
      </c>
      <c r="AC2066">
        <v>-0.846600000000023</v>
      </c>
      <c r="AD2066">
        <v>-6.9589999999999999E-2</v>
      </c>
      <c r="AE2066">
        <v>0.139199999999959</v>
      </c>
      <c r="AF2066">
        <v>0.12576464625603001</v>
      </c>
      <c r="AG2066">
        <v>-6.9589999999999999E-2</v>
      </c>
      <c r="AH2066">
        <v>0.84303064354897905</v>
      </c>
      <c r="AI2066">
        <v>94.667499370838797</v>
      </c>
      <c r="AJ2066">
        <v>81.515099854924301</v>
      </c>
      <c r="AK2066">
        <v>0.85519598941442099</v>
      </c>
      <c r="AL2066">
        <v>86.720426172825796</v>
      </c>
      <c r="AM2066">
        <v>95.592221335919703</v>
      </c>
      <c r="AN2066">
        <v>0.99999999145886898</v>
      </c>
    </row>
    <row r="2067" spans="1:40" x14ac:dyDescent="0.25">
      <c r="A2067" t="str">
        <f>"20190305135831586"</f>
        <v>20190305135831586</v>
      </c>
      <c r="B2067" t="str">
        <f>"1551765511581249"</f>
        <v>1551765511581249</v>
      </c>
      <c r="C2067" t="s">
        <v>40</v>
      </c>
      <c r="D2067">
        <v>3.7480169999999999</v>
      </c>
      <c r="E2067">
        <v>0.59425550000000005</v>
      </c>
      <c r="F2067" t="s">
        <v>61</v>
      </c>
      <c r="G2067">
        <v>-427.44200000000001</v>
      </c>
      <c r="H2067" s="1">
        <v>2.3175880000000001E-6</v>
      </c>
      <c r="I2067">
        <v>288.35590000000002</v>
      </c>
      <c r="J2067">
        <v>-405.71170000000001</v>
      </c>
      <c r="K2067">
        <v>1.109998</v>
      </c>
      <c r="L2067">
        <v>284.62509999999997</v>
      </c>
      <c r="M2067">
        <v>-0.99978730000000005</v>
      </c>
      <c r="N2067">
        <v>-1.45624E-2</v>
      </c>
      <c r="O2067">
        <v>1.4604870000000001E-2</v>
      </c>
      <c r="P2067">
        <v>-0.99564699999999995</v>
      </c>
      <c r="Q2067">
        <v>4.3209999999999998E-2</v>
      </c>
      <c r="R2067">
        <v>-8.2583809999999994E-2</v>
      </c>
      <c r="S2067">
        <v>-3.0626829999999998</v>
      </c>
      <c r="T2067">
        <v>-0.15451280000000001</v>
      </c>
      <c r="U2067">
        <v>0.51986690000000002</v>
      </c>
      <c r="V2067">
        <v>-9.718955E-2</v>
      </c>
      <c r="W2067">
        <v>5.7564200000000003E-2</v>
      </c>
      <c r="X2067">
        <v>0.99359980000000003</v>
      </c>
      <c r="Y2067">
        <v>0.15269489999999999</v>
      </c>
      <c r="Z2067">
        <v>4.4229309999999997E-3</v>
      </c>
      <c r="AA2067">
        <v>0.98826349999999996</v>
      </c>
      <c r="AB2067">
        <v>44</v>
      </c>
      <c r="AC2067">
        <v>-21.7302999999999</v>
      </c>
      <c r="AD2067">
        <v>-1.1099956824120001</v>
      </c>
      <c r="AE2067">
        <v>3.7308000000000399</v>
      </c>
      <c r="AF2067">
        <v>3.4043717093582702</v>
      </c>
      <c r="AG2067">
        <v>-1.1099956824120001</v>
      </c>
      <c r="AH2067">
        <v>21.727407021072001</v>
      </c>
      <c r="AI2067">
        <v>92.889355627604701</v>
      </c>
      <c r="AJ2067">
        <v>81.094979481112702</v>
      </c>
      <c r="AK2067">
        <v>22.020491661399902</v>
      </c>
      <c r="AL2067">
        <v>86.699990082774306</v>
      </c>
      <c r="AM2067">
        <v>95.586648195647697</v>
      </c>
      <c r="AN2067">
        <v>1.00000000415544</v>
      </c>
    </row>
    <row r="2068" spans="1:40" x14ac:dyDescent="0.25">
      <c r="A2068" t="str">
        <f>"20190305135831599"</f>
        <v>20190305135831599</v>
      </c>
      <c r="B2068" t="str">
        <f>"1551765511591009"</f>
        <v>1551765511591009</v>
      </c>
      <c r="C2068" t="s">
        <v>40</v>
      </c>
      <c r="D2068">
        <v>3.7449309999999998</v>
      </c>
      <c r="E2068">
        <v>0.59413340000000003</v>
      </c>
      <c r="F2068" t="s">
        <v>61</v>
      </c>
      <c r="G2068">
        <v>-429.66030000000001</v>
      </c>
      <c r="H2068" s="1">
        <v>1.8969570000000001E-6</v>
      </c>
      <c r="I2068">
        <v>288.66640000000001</v>
      </c>
      <c r="J2068">
        <v>-405.9905</v>
      </c>
      <c r="K2068">
        <v>1.110004</v>
      </c>
      <c r="L2068">
        <v>284.62900000000002</v>
      </c>
      <c r="M2068">
        <v>-0.99979130000000005</v>
      </c>
      <c r="N2068">
        <v>-1.4560679999999999E-2</v>
      </c>
      <c r="O2068">
        <v>1.432959E-2</v>
      </c>
      <c r="P2068">
        <v>-0.99560150000000003</v>
      </c>
      <c r="Q2068">
        <v>4.3627150000000003E-2</v>
      </c>
      <c r="R2068">
        <v>-8.2913710000000002E-2</v>
      </c>
      <c r="S2068">
        <v>-3.0621339999999999</v>
      </c>
      <c r="T2068">
        <v>-0.1419271</v>
      </c>
      <c r="U2068">
        <v>0.51672359999999995</v>
      </c>
      <c r="V2068">
        <v>-9.7245479999999995E-2</v>
      </c>
      <c r="W2068">
        <v>5.7979780000000002E-2</v>
      </c>
      <c r="X2068">
        <v>0.99357010000000001</v>
      </c>
      <c r="Y2068">
        <v>0.1520427</v>
      </c>
      <c r="Z2068">
        <v>4.1607160000000001E-3</v>
      </c>
      <c r="AA2068">
        <v>0.98836520000000005</v>
      </c>
      <c r="AB2068">
        <v>44</v>
      </c>
      <c r="AC2068">
        <v>-23.669799999999999</v>
      </c>
      <c r="AD2068">
        <v>-1.1100021030429901</v>
      </c>
      <c r="AE2068">
        <v>4.0373999999999901</v>
      </c>
      <c r="AF2068">
        <v>3.6898856261710198</v>
      </c>
      <c r="AG2068">
        <v>-1.1100021030429901</v>
      </c>
      <c r="AH2068">
        <v>23.674637105519899</v>
      </c>
      <c r="AI2068">
        <v>92.6524112751855</v>
      </c>
      <c r="AJ2068">
        <v>81.141257298114496</v>
      </c>
      <c r="AK2068">
        <v>23.986158564493898</v>
      </c>
      <c r="AL2068">
        <v>86.676139056758402</v>
      </c>
      <c r="AM2068">
        <v>95.5900088416156</v>
      </c>
      <c r="AN2068">
        <v>0.99999994094164202</v>
      </c>
    </row>
    <row r="2069" spans="1:40" x14ac:dyDescent="0.25">
      <c r="A2069" t="str">
        <f>"20190305135831611"</f>
        <v>20190305135831611</v>
      </c>
      <c r="B2069" t="str">
        <f>"1551765511600768"</f>
        <v>1551765511600768</v>
      </c>
      <c r="C2069" t="s">
        <v>40</v>
      </c>
      <c r="D2069">
        <v>3.7820939999999998</v>
      </c>
      <c r="E2069">
        <v>0.59457109999999902</v>
      </c>
      <c r="F2069" t="s">
        <v>61</v>
      </c>
      <c r="G2069">
        <v>-430.75189999999998</v>
      </c>
      <c r="H2069" s="1">
        <v>2.1857140000000001E-6</v>
      </c>
      <c r="I2069">
        <v>288.78809999999999</v>
      </c>
      <c r="J2069">
        <v>-406.22809999999998</v>
      </c>
      <c r="K2069">
        <v>1.110017</v>
      </c>
      <c r="L2069">
        <v>284.63220000000001</v>
      </c>
      <c r="M2069">
        <v>-0.99979470000000004</v>
      </c>
      <c r="N2069">
        <v>-1.455921E-2</v>
      </c>
      <c r="O2069">
        <v>1.4095440000000001E-2</v>
      </c>
      <c r="P2069">
        <v>-0.99553239999999998</v>
      </c>
      <c r="Q2069">
        <v>4.4488769999999997E-2</v>
      </c>
      <c r="R2069">
        <v>-8.3283190000000007E-2</v>
      </c>
      <c r="S2069">
        <v>-3.0621339999999999</v>
      </c>
      <c r="T2069">
        <v>-0.13726910000000001</v>
      </c>
      <c r="U2069">
        <v>0.51434329999999995</v>
      </c>
      <c r="V2069">
        <v>-9.738223E-2</v>
      </c>
      <c r="W2069">
        <v>5.8839000000000002E-2</v>
      </c>
      <c r="X2069">
        <v>0.99350629999999995</v>
      </c>
      <c r="Y2069">
        <v>0.151538899999999</v>
      </c>
      <c r="Z2069">
        <v>4.0597330000000003E-3</v>
      </c>
      <c r="AA2069">
        <v>0.98844299999999996</v>
      </c>
      <c r="AB2069">
        <v>44</v>
      </c>
      <c r="AC2069">
        <v>-24.523799999999898</v>
      </c>
      <c r="AD2069">
        <v>-1.110014814286</v>
      </c>
      <c r="AE2069">
        <v>4.1558999999999697</v>
      </c>
      <c r="AF2069">
        <v>3.8022044809542801</v>
      </c>
      <c r="AG2069">
        <v>-1.110014814286</v>
      </c>
      <c r="AH2069">
        <v>24.531094319842701</v>
      </c>
      <c r="AI2069">
        <v>92.560296792764007</v>
      </c>
      <c r="AJ2069">
        <v>81.189529627174196</v>
      </c>
      <c r="AK2069">
        <v>24.848812453152402</v>
      </c>
      <c r="AL2069">
        <v>86.626825539234204</v>
      </c>
      <c r="AM2069">
        <v>95.5981770065479</v>
      </c>
      <c r="AN2069">
        <v>1.00000004739023</v>
      </c>
    </row>
    <row r="2070" spans="1:40" x14ac:dyDescent="0.25">
      <c r="A2070" t="str">
        <f>"20190305135831634"</f>
        <v>20190305135831634</v>
      </c>
      <c r="B2070" t="str">
        <f>"1551765511631025"</f>
        <v>1551765511631025</v>
      </c>
      <c r="C2070" t="s">
        <v>40</v>
      </c>
      <c r="D2070">
        <v>3.7617430000000001</v>
      </c>
      <c r="E2070">
        <v>0.59551379999999998</v>
      </c>
      <c r="F2070" t="s">
        <v>61</v>
      </c>
      <c r="G2070">
        <v>-431.90039999999999</v>
      </c>
      <c r="H2070" s="1">
        <v>2.6796370000000001E-6</v>
      </c>
      <c r="I2070">
        <v>288.96420000000001</v>
      </c>
      <c r="J2070">
        <v>-406.67649999999998</v>
      </c>
      <c r="K2070">
        <v>1.1100270000000001</v>
      </c>
      <c r="L2070">
        <v>284.63819999999998</v>
      </c>
      <c r="M2070">
        <v>-0.99980089999999999</v>
      </c>
      <c r="N2070">
        <v>-1.4556410000000001E-2</v>
      </c>
      <c r="O2070">
        <v>1.36524E-2</v>
      </c>
      <c r="P2070">
        <v>-0.99558219999999997</v>
      </c>
      <c r="Q2070">
        <v>4.4159410000000003E-2</v>
      </c>
      <c r="R2070">
        <v>-8.2863729999999997E-2</v>
      </c>
      <c r="S2070">
        <v>-3.062592</v>
      </c>
      <c r="T2070">
        <v>-0.1324196</v>
      </c>
      <c r="U2070">
        <v>0.51678469999999999</v>
      </c>
      <c r="V2070">
        <v>-9.6521850000000006E-2</v>
      </c>
      <c r="W2070">
        <v>5.8509119999999998E-2</v>
      </c>
      <c r="X2070">
        <v>0.99360970000000004</v>
      </c>
      <c r="Y2070">
        <v>0.15272859999999999</v>
      </c>
      <c r="Z2070">
        <v>4.0089219999999998E-3</v>
      </c>
      <c r="AA2070">
        <v>0.98826000000000003</v>
      </c>
      <c r="AB2070">
        <v>44</v>
      </c>
      <c r="AC2070">
        <v>-25.2239</v>
      </c>
      <c r="AD2070">
        <v>-1.110024320363</v>
      </c>
      <c r="AE2070">
        <v>4.3260000000000201</v>
      </c>
      <c r="AF2070">
        <v>3.97371786951603</v>
      </c>
      <c r="AG2070">
        <v>-1.110024320363</v>
      </c>
      <c r="AH2070">
        <v>25.2331449120441</v>
      </c>
      <c r="AI2070">
        <v>92.488233010653005</v>
      </c>
      <c r="AJ2070">
        <v>81.0505546310184</v>
      </c>
      <c r="AK2070">
        <v>25.568226177240501</v>
      </c>
      <c r="AL2070">
        <v>86.645758764091596</v>
      </c>
      <c r="AM2070">
        <v>95.5484528611359</v>
      </c>
      <c r="AN2070">
        <v>1.0000000102923401</v>
      </c>
    </row>
    <row r="2071" spans="1:40" x14ac:dyDescent="0.25">
      <c r="A2071" t="str">
        <f>"20190305135831648"</f>
        <v>20190305135831648</v>
      </c>
      <c r="B2071" t="str">
        <f>"1551765511640785"</f>
        <v>1551765511640785</v>
      </c>
      <c r="C2071" t="s">
        <v>40</v>
      </c>
      <c r="D2071">
        <v>3.7731569999999999</v>
      </c>
      <c r="E2071">
        <v>0.59595810000000005</v>
      </c>
      <c r="F2071" t="s">
        <v>61</v>
      </c>
      <c r="G2071">
        <v>-433.16550000000001</v>
      </c>
      <c r="H2071" s="1">
        <v>3.2216100000000001E-6</v>
      </c>
      <c r="I2071">
        <v>289.18189999999998</v>
      </c>
      <c r="J2071">
        <v>-406.93970000000002</v>
      </c>
      <c r="K2071">
        <v>1.1100270000000001</v>
      </c>
      <c r="L2071">
        <v>284.64150000000001</v>
      </c>
      <c r="M2071">
        <v>-0.99980449999999998</v>
      </c>
      <c r="N2071">
        <v>-1.4554849999999999E-2</v>
      </c>
      <c r="O2071">
        <v>1.3391180000000001E-2</v>
      </c>
      <c r="P2071">
        <v>-0.99559299999999995</v>
      </c>
      <c r="Q2071">
        <v>4.4255629999999997E-2</v>
      </c>
      <c r="R2071">
        <v>-8.2683430000000002E-2</v>
      </c>
      <c r="S2071">
        <v>-3.0627439999999999</v>
      </c>
      <c r="T2071">
        <v>-0.1283445</v>
      </c>
      <c r="U2071">
        <v>0.5253601</v>
      </c>
      <c r="V2071">
        <v>-9.6082109999999998E-2</v>
      </c>
      <c r="W2071">
        <v>5.8604799999999999E-2</v>
      </c>
      <c r="X2071">
        <v>0.99364669999999999</v>
      </c>
      <c r="Y2071">
        <v>0.15567329999999999</v>
      </c>
      <c r="Z2071">
        <v>4.0153740000000004E-3</v>
      </c>
      <c r="AA2071">
        <v>0.98780040000000002</v>
      </c>
      <c r="AB2071">
        <v>44</v>
      </c>
      <c r="AC2071">
        <v>-26.2257999999999</v>
      </c>
      <c r="AD2071">
        <v>-1.11002377839</v>
      </c>
      <c r="AE2071">
        <v>4.5403999999999698</v>
      </c>
      <c r="AF2071">
        <v>4.1814882424270197</v>
      </c>
      <c r="AG2071">
        <v>-1.11002377839</v>
      </c>
      <c r="AH2071">
        <v>26.238618156694798</v>
      </c>
      <c r="AI2071">
        <v>92.392299153946198</v>
      </c>
      <c r="AJ2071">
        <v>80.945263313315706</v>
      </c>
      <c r="AK2071">
        <v>26.592895282067001</v>
      </c>
      <c r="AL2071">
        <v>86.640267345337406</v>
      </c>
      <c r="AM2071">
        <v>95.523127159715699</v>
      </c>
      <c r="AN2071">
        <v>1.00000002943299</v>
      </c>
    </row>
    <row r="2072" spans="1:40" x14ac:dyDescent="0.25">
      <c r="A2072" t="str">
        <f>"20190305135831669"</f>
        <v>20190305135831669</v>
      </c>
      <c r="B2072" t="str">
        <f>"1551765511660304"</f>
        <v>1551765511660304</v>
      </c>
      <c r="C2072" t="s">
        <v>40</v>
      </c>
      <c r="D2072">
        <v>3.7639209999999999</v>
      </c>
      <c r="E2072">
        <v>0.59635769999999899</v>
      </c>
      <c r="F2072" t="s">
        <v>61</v>
      </c>
      <c r="G2072">
        <v>-433.2491</v>
      </c>
      <c r="H2072" s="1">
        <v>3.258133E-6</v>
      </c>
      <c r="I2072">
        <v>289.1884</v>
      </c>
      <c r="J2072">
        <v>-407.35039999999998</v>
      </c>
      <c r="K2072">
        <v>1.1100289999999999</v>
      </c>
      <c r="L2072">
        <v>284.64670000000001</v>
      </c>
      <c r="M2072">
        <v>-0.99980990000000003</v>
      </c>
      <c r="N2072">
        <v>-1.455238E-2</v>
      </c>
      <c r="O2072">
        <v>1.298125E-2</v>
      </c>
      <c r="P2072">
        <v>-0.99566659999999996</v>
      </c>
      <c r="Q2072">
        <v>4.4008869999999999E-2</v>
      </c>
      <c r="R2072">
        <v>-8.1924250000000004E-2</v>
      </c>
      <c r="S2072">
        <v>-3.0629879999999998</v>
      </c>
      <c r="T2072">
        <v>-0.12923090000000001</v>
      </c>
      <c r="U2072">
        <v>0.52935790000000005</v>
      </c>
      <c r="V2072">
        <v>-9.4915959999999994E-2</v>
      </c>
      <c r="W2072">
        <v>5.8358699999999999E-2</v>
      </c>
      <c r="X2072">
        <v>0.99377320000000002</v>
      </c>
      <c r="Y2072">
        <v>0.15731300000000001</v>
      </c>
      <c r="Z2072">
        <v>4.0908150000000002E-3</v>
      </c>
      <c r="AA2072">
        <v>0.98754030000000004</v>
      </c>
      <c r="AB2072">
        <v>44</v>
      </c>
      <c r="AC2072">
        <v>-25.898700000000002</v>
      </c>
      <c r="AD2072">
        <v>-1.1100257418670001</v>
      </c>
      <c r="AE2072">
        <v>4.5416999999999899</v>
      </c>
      <c r="AF2072">
        <v>4.1976031954784698</v>
      </c>
      <c r="AG2072">
        <v>-1.1100257418670001</v>
      </c>
      <c r="AH2072">
        <v>25.9093050064937</v>
      </c>
      <c r="AI2072">
        <v>92.421670779685599</v>
      </c>
      <c r="AJ2072">
        <v>80.797389463303304</v>
      </c>
      <c r="AK2072">
        <v>26.270594124492501</v>
      </c>
      <c r="AL2072">
        <v>86.654391829269301</v>
      </c>
      <c r="AM2072">
        <v>95.455809539953194</v>
      </c>
      <c r="AN2072">
        <v>0.99999997518332495</v>
      </c>
    </row>
    <row r="2073" spans="1:40" x14ac:dyDescent="0.25">
      <c r="A2073" t="str">
        <f>"20190305135831681"</f>
        <v>20190305135831681</v>
      </c>
      <c r="B2073" t="str">
        <f>"1551765511671040"</f>
        <v>1551765511671040</v>
      </c>
      <c r="C2073" t="s">
        <v>40</v>
      </c>
      <c r="D2073">
        <v>3.745657</v>
      </c>
      <c r="E2073">
        <v>0.59650309999999995</v>
      </c>
      <c r="F2073" t="s">
        <v>61</v>
      </c>
      <c r="G2073">
        <v>-433.3485</v>
      </c>
      <c r="H2073" s="1">
        <v>3.302319E-6</v>
      </c>
      <c r="I2073">
        <v>289.18720000000002</v>
      </c>
      <c r="J2073">
        <v>-407.60829999999999</v>
      </c>
      <c r="K2073">
        <v>1.1100289999999999</v>
      </c>
      <c r="L2073">
        <v>284.64980000000003</v>
      </c>
      <c r="M2073">
        <v>-0.99981319999999996</v>
      </c>
      <c r="N2073">
        <v>-1.4550779999999999E-2</v>
      </c>
      <c r="O2073">
        <v>1.272131E-2</v>
      </c>
      <c r="P2073">
        <v>-0.99567119999999998</v>
      </c>
      <c r="Q2073">
        <v>4.3470050000000003E-2</v>
      </c>
      <c r="R2073">
        <v>-8.2154099999999994E-2</v>
      </c>
      <c r="S2073">
        <v>-3.0628660000000001</v>
      </c>
      <c r="T2073">
        <v>-0.13077339999999901</v>
      </c>
      <c r="U2073">
        <v>0.5349121</v>
      </c>
      <c r="V2073">
        <v>-9.4887170000000007E-2</v>
      </c>
      <c r="W2073">
        <v>5.7818399999999999E-2</v>
      </c>
      <c r="X2073">
        <v>0.99380760000000001</v>
      </c>
      <c r="Y2073">
        <v>0.15930830000000001</v>
      </c>
      <c r="Z2073">
        <v>4.1874399999999997E-3</v>
      </c>
      <c r="AA2073">
        <v>0.98721999999999999</v>
      </c>
      <c r="AB2073">
        <v>44</v>
      </c>
      <c r="AC2073">
        <v>-25.740200000000002</v>
      </c>
      <c r="AD2073">
        <v>-1.1100256976809999</v>
      </c>
      <c r="AE2073">
        <v>4.5373999999999901</v>
      </c>
      <c r="AF2073">
        <v>4.2019701353099403</v>
      </c>
      <c r="AG2073">
        <v>-1.1100256976809999</v>
      </c>
      <c r="AH2073">
        <v>25.7494015237396</v>
      </c>
      <c r="AI2073">
        <v>92.4362379362978</v>
      </c>
      <c r="AJ2073">
        <v>80.731762875060397</v>
      </c>
      <c r="AK2073">
        <v>26.113605436597801</v>
      </c>
      <c r="AL2073">
        <v>86.685401330008901</v>
      </c>
      <c r="AM2073">
        <v>95.453977005300104</v>
      </c>
      <c r="AN2073">
        <v>1.00000004411346</v>
      </c>
    </row>
    <row r="2074" spans="1:40" x14ac:dyDescent="0.25">
      <c r="A2074" t="str">
        <f>"20190305135831697"</f>
        <v>20190305135831697</v>
      </c>
      <c r="B2074" t="str">
        <f>"1551765511690560"</f>
        <v>1551765511690560</v>
      </c>
      <c r="C2074" t="s">
        <v>40</v>
      </c>
      <c r="D2074">
        <v>3.8171089999999999</v>
      </c>
      <c r="E2074">
        <v>0.59655219999999998</v>
      </c>
      <c r="F2074" t="s">
        <v>61</v>
      </c>
      <c r="G2074">
        <v>-433.39679999999998</v>
      </c>
      <c r="H2074" s="1">
        <v>3.3263190000000001E-6</v>
      </c>
      <c r="I2074">
        <v>289.15730000000002</v>
      </c>
      <c r="J2074">
        <v>-407.92070000000001</v>
      </c>
      <c r="K2074">
        <v>1.110028</v>
      </c>
      <c r="L2074">
        <v>284.65359999999998</v>
      </c>
      <c r="M2074">
        <v>-0.99981739999999997</v>
      </c>
      <c r="N2074">
        <v>-1.454886E-2</v>
      </c>
      <c r="O2074">
        <v>1.2402639999999999E-2</v>
      </c>
      <c r="P2074">
        <v>-0.99563520000000005</v>
      </c>
      <c r="Q2074">
        <v>4.3497590000000003E-2</v>
      </c>
      <c r="R2074">
        <v>-8.257631E-2</v>
      </c>
      <c r="S2074">
        <v>-3.0629580000000001</v>
      </c>
      <c r="T2074">
        <v>-0.1318405</v>
      </c>
      <c r="U2074">
        <v>0.53536989999999995</v>
      </c>
      <c r="V2074">
        <v>-9.4992240000000006E-2</v>
      </c>
      <c r="W2074">
        <v>5.784363E-2</v>
      </c>
      <c r="X2074">
        <v>0.99379609999999996</v>
      </c>
      <c r="Y2074">
        <v>0.15975790000000001</v>
      </c>
      <c r="Z2074">
        <v>4.2321659999999999E-3</v>
      </c>
      <c r="AA2074">
        <v>0.9871472</v>
      </c>
      <c r="AB2074">
        <v>44</v>
      </c>
      <c r="AC2074">
        <v>-25.476099999999899</v>
      </c>
      <c r="AD2074">
        <v>-1.110024673681</v>
      </c>
      <c r="AE2074">
        <v>4.5037000000000296</v>
      </c>
      <c r="AF2074">
        <v>4.1796548238921201</v>
      </c>
      <c r="AG2074">
        <v>-1.110024673681</v>
      </c>
      <c r="AH2074">
        <v>25.483091435853702</v>
      </c>
      <c r="AI2074">
        <v>92.461339311767802</v>
      </c>
      <c r="AJ2074">
        <v>80.685464364821897</v>
      </c>
      <c r="AK2074">
        <v>25.8474296275499</v>
      </c>
      <c r="AL2074">
        <v>86.683953352993299</v>
      </c>
      <c r="AM2074">
        <v>95.460042600862593</v>
      </c>
      <c r="AN2074">
        <v>1.0000000497835</v>
      </c>
    </row>
    <row r="2075" spans="1:40" x14ac:dyDescent="0.25">
      <c r="A2075" t="str">
        <f>"20190305135831713"</f>
        <v>20190305135831713</v>
      </c>
      <c r="B2075" t="str">
        <f>"1551765511700320"</f>
        <v>1551765511700320</v>
      </c>
      <c r="C2075" t="s">
        <v>40</v>
      </c>
      <c r="D2075">
        <v>3.6600299999999999</v>
      </c>
      <c r="E2075">
        <v>0.57054799999999894</v>
      </c>
      <c r="F2075" t="s">
        <v>61</v>
      </c>
      <c r="G2075">
        <v>-433.5471</v>
      </c>
      <c r="H2075" s="1">
        <v>3.395801E-6</v>
      </c>
      <c r="I2075">
        <v>289.12520000000001</v>
      </c>
      <c r="J2075">
        <v>-408.21969999999999</v>
      </c>
      <c r="K2075">
        <v>1.1100270000000001</v>
      </c>
      <c r="L2075">
        <v>284.65699999999998</v>
      </c>
      <c r="M2075">
        <v>-0.99982119999999997</v>
      </c>
      <c r="N2075">
        <v>-1.454714E-2</v>
      </c>
      <c r="O2075">
        <v>1.208892E-2</v>
      </c>
      <c r="P2075">
        <v>-0.99563650000000004</v>
      </c>
      <c r="Q2075">
        <v>4.2468140000000001E-2</v>
      </c>
      <c r="R2075">
        <v>-8.3093829999999994E-2</v>
      </c>
      <c r="S2075">
        <v>-3.0632929999999998</v>
      </c>
      <c r="T2075">
        <v>-0.13268840000000001</v>
      </c>
      <c r="U2075">
        <v>0.53451539999999997</v>
      </c>
      <c r="V2075">
        <v>-9.5196929999999999E-2</v>
      </c>
      <c r="W2075">
        <v>5.6811550000000002E-2</v>
      </c>
      <c r="X2075">
        <v>0.99383600000000005</v>
      </c>
      <c r="Y2075">
        <v>0.159779799999999</v>
      </c>
      <c r="Z2075">
        <v>4.259835E-3</v>
      </c>
      <c r="AA2075">
        <v>0.98714349999999995</v>
      </c>
      <c r="AB2075">
        <v>44</v>
      </c>
      <c r="AC2075">
        <v>-25.327400000000001</v>
      </c>
      <c r="AD2075">
        <v>-1.1100236041989999</v>
      </c>
      <c r="AE2075">
        <v>4.4682000000000199</v>
      </c>
      <c r="AF2075">
        <v>4.1539220977214502</v>
      </c>
      <c r="AG2075">
        <v>-1.1100236041989999</v>
      </c>
      <c r="AH2075">
        <v>25.3323804093014</v>
      </c>
      <c r="AI2075">
        <v>92.475977913501794</v>
      </c>
      <c r="AJ2075">
        <v>80.687696815598599</v>
      </c>
      <c r="AK2075">
        <v>25.694682687228799</v>
      </c>
      <c r="AL2075">
        <v>86.743184433159001</v>
      </c>
      <c r="AM2075">
        <v>95.471518270316807</v>
      </c>
      <c r="AN2075">
        <v>1.00000000129541</v>
      </c>
    </row>
    <row r="2076" spans="1:40" x14ac:dyDescent="0.25">
      <c r="A2076" t="str">
        <f>"20190305135831735"</f>
        <v>20190305135831735</v>
      </c>
      <c r="B2076" t="str">
        <f>"1551765511730584"</f>
        <v>1551765511730584</v>
      </c>
      <c r="C2076" t="s">
        <v>40</v>
      </c>
      <c r="D2076">
        <v>3.6433300000000002</v>
      </c>
      <c r="E2076">
        <v>0.56730659999999999</v>
      </c>
      <c r="F2076" t="s">
        <v>59</v>
      </c>
      <c r="G2076">
        <v>-450.65</v>
      </c>
      <c r="H2076" s="1">
        <v>-1.3894129999999999E-6</v>
      </c>
      <c r="I2076">
        <v>289.15839999999997</v>
      </c>
      <c r="J2076">
        <v>-408.66</v>
      </c>
      <c r="K2076">
        <v>1.110028</v>
      </c>
      <c r="L2076">
        <v>284.6619</v>
      </c>
      <c r="M2076">
        <v>-0.99982689999999996</v>
      </c>
      <c r="N2076">
        <v>-1.4544430000000001E-2</v>
      </c>
      <c r="O2076">
        <v>1.1605580000000001E-2</v>
      </c>
      <c r="P2076">
        <v>-0.99559160000000002</v>
      </c>
      <c r="Q2076">
        <v>4.1098160000000002E-2</v>
      </c>
      <c r="R2076">
        <v>-8.4311410000000003E-2</v>
      </c>
      <c r="S2076">
        <v>-3.043488</v>
      </c>
      <c r="T2076">
        <v>-7.9621200000000003E-2</v>
      </c>
      <c r="U2076">
        <v>0.322876</v>
      </c>
      <c r="V2076">
        <v>-9.5934149999999996E-2</v>
      </c>
      <c r="W2076">
        <v>5.5434230000000001E-2</v>
      </c>
      <c r="X2076">
        <v>0.99384289999999997</v>
      </c>
      <c r="Y2076">
        <v>9.3897540000000002E-2</v>
      </c>
      <c r="Z2076">
        <v>1.775247E-3</v>
      </c>
      <c r="AA2076">
        <v>0.99558029999999997</v>
      </c>
      <c r="AB2076">
        <v>44</v>
      </c>
      <c r="AC2076">
        <v>-41.989999999999903</v>
      </c>
      <c r="AD2076">
        <v>-1.110029389413</v>
      </c>
      <c r="AE2076">
        <v>4.4964999999999602</v>
      </c>
      <c r="AF2076">
        <v>4.0060594170501602</v>
      </c>
      <c r="AG2076">
        <v>-1.110029389413</v>
      </c>
      <c r="AH2076">
        <v>42.010335886832998</v>
      </c>
      <c r="AI2076">
        <v>91.506729050480004</v>
      </c>
      <c r="AJ2076">
        <v>84.552808663253202</v>
      </c>
      <c r="AK2076">
        <v>42.215506613362201</v>
      </c>
      <c r="AL2076">
        <v>86.822223674031505</v>
      </c>
      <c r="AM2076">
        <v>95.513592412301804</v>
      </c>
      <c r="AN2076">
        <v>1.0000000124361601</v>
      </c>
    </row>
    <row r="2077" spans="1:40" x14ac:dyDescent="0.25">
      <c r="A2077" t="str">
        <f>"20190305135831748"</f>
        <v>20190305135831748</v>
      </c>
      <c r="B2077" t="str">
        <f>"1551765511740336"</f>
        <v>1551765511740336</v>
      </c>
      <c r="C2077" t="s">
        <v>40</v>
      </c>
      <c r="D2077">
        <v>3.6396139999999999</v>
      </c>
      <c r="E2077">
        <v>0.56726829999999995</v>
      </c>
      <c r="F2077" t="s">
        <v>60</v>
      </c>
      <c r="G2077">
        <v>-510.95389999999998</v>
      </c>
      <c r="H2077">
        <v>0.84307940000000003</v>
      </c>
      <c r="I2077">
        <v>294.39870000000002</v>
      </c>
      <c r="J2077">
        <v>-408.92079999999999</v>
      </c>
      <c r="K2077">
        <v>1.110034</v>
      </c>
      <c r="L2077">
        <v>284.66469999999998</v>
      </c>
      <c r="M2077">
        <v>-0.99983049999999996</v>
      </c>
      <c r="N2077">
        <v>-1.454282E-2</v>
      </c>
      <c r="O2077">
        <v>1.1299729999999999E-2</v>
      </c>
      <c r="P2077">
        <v>-0.99555700000000003</v>
      </c>
      <c r="Q2077">
        <v>4.0182969999999998E-2</v>
      </c>
      <c r="R2077">
        <v>-8.5159330000000005E-2</v>
      </c>
      <c r="S2077">
        <v>-3.0381469999999999</v>
      </c>
      <c r="T2077">
        <v>-7.9258680000000008E-3</v>
      </c>
      <c r="U2077">
        <v>0.28918460000000001</v>
      </c>
      <c r="V2077">
        <v>-9.6477869999999993E-2</v>
      </c>
      <c r="W2077">
        <v>5.4512959999999999E-2</v>
      </c>
      <c r="X2077">
        <v>0.99384119999999998</v>
      </c>
      <c r="Y2077">
        <v>8.3499019999999993E-2</v>
      </c>
      <c r="Z2077">
        <v>8.5181979999999905E-4</v>
      </c>
      <c r="AA2077">
        <v>0.99650749999999999</v>
      </c>
      <c r="AB2077">
        <v>44</v>
      </c>
      <c r="AC2077">
        <v>-102.0331</v>
      </c>
      <c r="AD2077">
        <v>-0.26695459999999899</v>
      </c>
      <c r="AE2077">
        <v>9.7340000000000302</v>
      </c>
      <c r="AF2077">
        <v>8.5802519047220294</v>
      </c>
      <c r="AG2077">
        <v>-0.26695459999999899</v>
      </c>
      <c r="AH2077">
        <v>102.13589477159699</v>
      </c>
      <c r="AI2077">
        <v>90.149229111681095</v>
      </c>
      <c r="AJ2077">
        <v>85.197960546077397</v>
      </c>
      <c r="AK2077">
        <v>102.496014499598</v>
      </c>
      <c r="AL2077">
        <v>86.875088418701907</v>
      </c>
      <c r="AM2077">
        <v>95.544656693941107</v>
      </c>
      <c r="AN2077">
        <v>0.99999998651256905</v>
      </c>
    </row>
    <row r="2078" spans="1:40" x14ac:dyDescent="0.25">
      <c r="A2078" t="str">
        <f>"20190305135831769"</f>
        <v>20190305135831769</v>
      </c>
      <c r="B2078" t="str">
        <f>"1551765511760836"</f>
        <v>1551765511760836</v>
      </c>
      <c r="C2078" t="s">
        <v>40</v>
      </c>
      <c r="D2078">
        <v>3.6296140000000001</v>
      </c>
      <c r="E2078">
        <v>0.56727709999999998</v>
      </c>
      <c r="F2078" t="s">
        <v>60</v>
      </c>
      <c r="G2078">
        <v>-510.95389999999998</v>
      </c>
      <c r="H2078">
        <v>0.93528739999999999</v>
      </c>
      <c r="I2078">
        <v>294.27050000000003</v>
      </c>
      <c r="J2078">
        <v>-409.3415</v>
      </c>
      <c r="K2078">
        <v>1.110052</v>
      </c>
      <c r="L2078">
        <v>284.66899999999998</v>
      </c>
      <c r="M2078">
        <v>-0.99983630000000001</v>
      </c>
      <c r="N2078">
        <v>-1.454038E-2</v>
      </c>
      <c r="O2078">
        <v>1.07773E-2</v>
      </c>
      <c r="P2078">
        <v>-0.99546710000000005</v>
      </c>
      <c r="Q2078">
        <v>3.8860949999999998E-2</v>
      </c>
      <c r="R2078">
        <v>-8.680802E-2</v>
      </c>
      <c r="S2078">
        <v>-3.0380250000000002</v>
      </c>
      <c r="T2078">
        <v>-5.2005050000000002E-3</v>
      </c>
      <c r="U2078">
        <v>0.28601070000000001</v>
      </c>
      <c r="V2078">
        <v>-9.7607509999999995E-2</v>
      </c>
      <c r="W2078">
        <v>5.3179270000000001E-2</v>
      </c>
      <c r="X2078">
        <v>0.99380310000000005</v>
      </c>
      <c r="Y2078">
        <v>8.2992479999999993E-2</v>
      </c>
      <c r="Z2078">
        <v>8.1360109999999999E-4</v>
      </c>
      <c r="AA2078">
        <v>0.99654980000000004</v>
      </c>
      <c r="AB2078">
        <v>44</v>
      </c>
      <c r="AC2078">
        <v>-101.612399999999</v>
      </c>
      <c r="AD2078">
        <v>-0.17476459999999999</v>
      </c>
      <c r="AE2078">
        <v>9.6014999999999802</v>
      </c>
      <c r="AF2078">
        <v>8.5056943271003806</v>
      </c>
      <c r="AG2078">
        <v>-0.17476459999999999</v>
      </c>
      <c r="AH2078">
        <v>101.70968840263799</v>
      </c>
      <c r="AI2078">
        <v>90.098107004755406</v>
      </c>
      <c r="AJ2078">
        <v>85.219638705915003</v>
      </c>
      <c r="AK2078">
        <v>102.064871986463</v>
      </c>
      <c r="AL2078">
        <v>86.951614084963893</v>
      </c>
      <c r="AM2078">
        <v>95.609379993797106</v>
      </c>
      <c r="AN2078">
        <v>0.99999993116786901</v>
      </c>
    </row>
    <row r="2079" spans="1:40" x14ac:dyDescent="0.25">
      <c r="A2079" t="str">
        <f>"20190305135831790"</f>
        <v>20190305135831790</v>
      </c>
      <c r="B2079" t="str">
        <f>"1551765511780352"</f>
        <v>1551765511780352</v>
      </c>
      <c r="C2079" t="s">
        <v>40</v>
      </c>
      <c r="D2079">
        <v>3.6183489999999998</v>
      </c>
      <c r="E2079">
        <v>0.56771609999999995</v>
      </c>
      <c r="F2079" t="s">
        <v>60</v>
      </c>
      <c r="G2079">
        <v>-510.95400000000001</v>
      </c>
      <c r="H2079">
        <v>1.145024</v>
      </c>
      <c r="I2079">
        <v>294.05329999999998</v>
      </c>
      <c r="J2079">
        <v>-409.75290000000001</v>
      </c>
      <c r="K2079">
        <v>1.1100749999999999</v>
      </c>
      <c r="L2079">
        <v>284.673</v>
      </c>
      <c r="M2079">
        <v>-0.99984200000000001</v>
      </c>
      <c r="N2079">
        <v>-1.453812E-2</v>
      </c>
      <c r="O2079">
        <v>1.02229E-2</v>
      </c>
      <c r="P2079">
        <v>-0.99539509999999998</v>
      </c>
      <c r="Q2079">
        <v>3.8086009999999997E-2</v>
      </c>
      <c r="R2079">
        <v>-8.7966900000000001E-2</v>
      </c>
      <c r="S2079">
        <v>-3.0380859999999998</v>
      </c>
      <c r="T2079">
        <v>1.048207E-3</v>
      </c>
      <c r="U2079">
        <v>0.28057860000000001</v>
      </c>
      <c r="V2079">
        <v>-9.8218139999999995E-2</v>
      </c>
      <c r="W2079">
        <v>5.2391670000000001E-2</v>
      </c>
      <c r="X2079">
        <v>0.99378480000000002</v>
      </c>
      <c r="Y2079">
        <v>8.1778249999999997E-2</v>
      </c>
      <c r="Z2079">
        <v>7.3351869999999997E-4</v>
      </c>
      <c r="AA2079">
        <v>0.99665029999999999</v>
      </c>
      <c r="AB2079">
        <v>44</v>
      </c>
      <c r="AC2079">
        <v>-101.2011</v>
      </c>
      <c r="AD2079">
        <v>3.4949000000000098E-2</v>
      </c>
      <c r="AE2079">
        <v>9.3802999999999699</v>
      </c>
      <c r="AF2079">
        <v>8.3451306087288994</v>
      </c>
      <c r="AG2079">
        <v>3.4949000000000098E-2</v>
      </c>
      <c r="AH2079">
        <v>101.29170262937799</v>
      </c>
      <c r="AI2079">
        <v>89.980297807365105</v>
      </c>
      <c r="AJ2079">
        <v>85.290203240863207</v>
      </c>
      <c r="AK2079">
        <v>101.63489286592301</v>
      </c>
      <c r="AL2079">
        <v>86.9968033294235</v>
      </c>
      <c r="AM2079">
        <v>95.644349497561606</v>
      </c>
      <c r="AN2079">
        <v>0.99999995941074304</v>
      </c>
    </row>
    <row r="2080" spans="1:40" x14ac:dyDescent="0.25">
      <c r="A2080" t="str">
        <f>"20190305135831804"</f>
        <v>20190305135831804</v>
      </c>
      <c r="B2080" t="str">
        <f>"1551765511800849"</f>
        <v>1551765511800849</v>
      </c>
      <c r="C2080" t="s">
        <v>40</v>
      </c>
      <c r="D2080">
        <v>3.6033189999999999</v>
      </c>
      <c r="E2080">
        <v>0.56806820000000002</v>
      </c>
      <c r="F2080" t="s">
        <v>60</v>
      </c>
      <c r="G2080">
        <v>-510.95409999999998</v>
      </c>
      <c r="H2080">
        <v>1.3752740000000001</v>
      </c>
      <c r="I2080">
        <v>294.00420000000003</v>
      </c>
      <c r="J2080">
        <v>-410.02510000000001</v>
      </c>
      <c r="K2080">
        <v>1.110098</v>
      </c>
      <c r="L2080">
        <v>284.6755</v>
      </c>
      <c r="M2080">
        <v>-0.99984609999999996</v>
      </c>
      <c r="N2080">
        <v>-1.453664E-2</v>
      </c>
      <c r="O2080">
        <v>9.8300609999999993E-3</v>
      </c>
      <c r="P2080">
        <v>-0.99536009999999997</v>
      </c>
      <c r="Q2080">
        <v>3.769074E-2</v>
      </c>
      <c r="R2080">
        <v>-8.8531180000000001E-2</v>
      </c>
      <c r="S2080">
        <v>-3.0383610000000001</v>
      </c>
      <c r="T2080">
        <v>7.9646109999999999E-3</v>
      </c>
      <c r="U2080">
        <v>0.28015139999999999</v>
      </c>
      <c r="V2080">
        <v>-9.8394609999999993E-2</v>
      </c>
      <c r="W2080">
        <v>5.1988350000000003E-2</v>
      </c>
      <c r="X2080">
        <v>0.99378849999999996</v>
      </c>
      <c r="Y2080">
        <v>8.2024E-2</v>
      </c>
      <c r="Z2080">
        <v>6.5851419999999998E-4</v>
      </c>
      <c r="AA2080">
        <v>0.99663009999999996</v>
      </c>
      <c r="AB2080">
        <v>44</v>
      </c>
      <c r="AC2080">
        <v>-100.92899999999899</v>
      </c>
      <c r="AD2080">
        <v>0.26517599999999902</v>
      </c>
      <c r="AE2080">
        <v>9.3287000000000209</v>
      </c>
      <c r="AF2080">
        <v>8.3359491354920898</v>
      </c>
      <c r="AG2080">
        <v>0.26517599999999902</v>
      </c>
      <c r="AH2080">
        <v>101.015142436777</v>
      </c>
      <c r="AI2080">
        <v>89.850102065099705</v>
      </c>
      <c r="AJ2080">
        <v>85.282539428862094</v>
      </c>
      <c r="AK2080">
        <v>101.35885441254101</v>
      </c>
      <c r="AL2080">
        <v>87.019943328235698</v>
      </c>
      <c r="AM2080">
        <v>95.654404208792002</v>
      </c>
      <c r="AN2080">
        <v>0.99999993527250997</v>
      </c>
    </row>
    <row r="2081" spans="1:40" x14ac:dyDescent="0.25">
      <c r="A2081" t="str">
        <f>"20190305135831824"</f>
        <v>20190305135831824</v>
      </c>
      <c r="B2081" t="str">
        <f>"1551765511820369"</f>
        <v>1551765511820369</v>
      </c>
      <c r="C2081" t="s">
        <v>40</v>
      </c>
      <c r="D2081">
        <v>3.570989</v>
      </c>
      <c r="E2081">
        <v>0.56839479999999998</v>
      </c>
      <c r="F2081" t="s">
        <v>60</v>
      </c>
      <c r="G2081">
        <v>-510.95409999999998</v>
      </c>
      <c r="H2081">
        <v>1.5938490000000001</v>
      </c>
      <c r="I2081">
        <v>293.99689999999998</v>
      </c>
      <c r="J2081">
        <v>-410.41109999999998</v>
      </c>
      <c r="K2081">
        <v>1.110128</v>
      </c>
      <c r="L2081">
        <v>284.67880000000002</v>
      </c>
      <c r="M2081">
        <v>-0.99985179999999996</v>
      </c>
      <c r="N2081">
        <v>-1.453463E-2</v>
      </c>
      <c r="O2081">
        <v>9.2302530000000008E-3</v>
      </c>
      <c r="P2081">
        <v>-0.9952993</v>
      </c>
      <c r="Q2081">
        <v>3.7476089999999997E-2</v>
      </c>
      <c r="R2081">
        <v>-8.9301720000000001E-2</v>
      </c>
      <c r="S2081">
        <v>-3.0383610000000001</v>
      </c>
      <c r="T2081">
        <v>1.4565349999999999E-2</v>
      </c>
      <c r="U2081">
        <v>0.2806091</v>
      </c>
      <c r="V2081">
        <v>-9.8573010000000003E-2</v>
      </c>
      <c r="W2081">
        <v>5.1760250000000001E-2</v>
      </c>
      <c r="X2081">
        <v>0.99378279999999997</v>
      </c>
      <c r="Y2081">
        <v>8.2771670000000006E-2</v>
      </c>
      <c r="Z2081">
        <v>5.8289810000000002E-4</v>
      </c>
      <c r="AA2081">
        <v>0.99656840000000002</v>
      </c>
      <c r="AB2081">
        <v>44</v>
      </c>
      <c r="AC2081">
        <v>-100.542999999999</v>
      </c>
      <c r="AD2081">
        <v>0.48372100000000001</v>
      </c>
      <c r="AE2081">
        <v>9.3180999999999603</v>
      </c>
      <c r="AF2081">
        <v>8.3893751019996099</v>
      </c>
      <c r="AG2081">
        <v>0.48372100000000001</v>
      </c>
      <c r="AH2081">
        <v>100.62242427066199</v>
      </c>
      <c r="AI2081">
        <v>89.725517140439607</v>
      </c>
      <c r="AJ2081">
        <v>85.233998496717803</v>
      </c>
      <c r="AK2081">
        <v>100.9727085242</v>
      </c>
      <c r="AL2081">
        <v>87.033030331198802</v>
      </c>
      <c r="AM2081">
        <v>95.664621914925107</v>
      </c>
      <c r="AN2081">
        <v>1.0000000076781801</v>
      </c>
    </row>
    <row r="2082" spans="1:40" x14ac:dyDescent="0.25">
      <c r="A2082" t="str">
        <f>"20190305135831835"</f>
        <v>20190305135831835</v>
      </c>
      <c r="B2082" t="str">
        <f>"1551765511831105"</f>
        <v>1551765511831105</v>
      </c>
      <c r="C2082" t="s">
        <v>40</v>
      </c>
      <c r="D2082">
        <v>3.5369290000000002</v>
      </c>
      <c r="E2082">
        <v>0.56857389999999997</v>
      </c>
      <c r="F2082" t="s">
        <v>60</v>
      </c>
      <c r="G2082">
        <v>-510.95420000000001</v>
      </c>
      <c r="H2082">
        <v>1.75975999999999</v>
      </c>
      <c r="I2082">
        <v>293.9597</v>
      </c>
      <c r="J2082">
        <v>-410.65769999999998</v>
      </c>
      <c r="K2082">
        <v>1.110158</v>
      </c>
      <c r="L2082">
        <v>284.68079999999998</v>
      </c>
      <c r="M2082">
        <v>-0.99985550000000001</v>
      </c>
      <c r="N2082">
        <v>-1.453342E-2</v>
      </c>
      <c r="O2082">
        <v>8.8217250000000007E-3</v>
      </c>
      <c r="P2082">
        <v>-0.99527980000000005</v>
      </c>
      <c r="Q2082">
        <v>3.6782589999999997E-2</v>
      </c>
      <c r="R2082">
        <v>-8.9806490000000003E-2</v>
      </c>
      <c r="S2082">
        <v>-3.038605</v>
      </c>
      <c r="T2082">
        <v>1.9635679999999999E-2</v>
      </c>
      <c r="U2082">
        <v>0.28048709999999999</v>
      </c>
      <c r="V2082">
        <v>-9.8673730000000001E-2</v>
      </c>
      <c r="W2082">
        <v>5.1058319999999997E-2</v>
      </c>
      <c r="X2082">
        <v>0.9938091</v>
      </c>
      <c r="Y2082">
        <v>8.3132280000000003E-2</v>
      </c>
      <c r="Z2082">
        <v>5.2220619999999995E-4</v>
      </c>
      <c r="AA2082">
        <v>0.99653840000000005</v>
      </c>
      <c r="AB2082">
        <v>44</v>
      </c>
      <c r="AC2082">
        <v>-100.29649999999999</v>
      </c>
      <c r="AD2082">
        <v>0.64960199999999901</v>
      </c>
      <c r="AE2082">
        <v>9.2789000000000197</v>
      </c>
      <c r="AF2082">
        <v>8.3933081868697705</v>
      </c>
      <c r="AG2082">
        <v>0.64960199999999901</v>
      </c>
      <c r="AH2082">
        <v>100.370286251834</v>
      </c>
      <c r="AI2082">
        <v>89.630473488855699</v>
      </c>
      <c r="AJ2082">
        <v>85.219851692096299</v>
      </c>
      <c r="AK2082">
        <v>100.72270830033</v>
      </c>
      <c r="AL2082">
        <v>87.073301164170502</v>
      </c>
      <c r="AM2082">
        <v>95.670223134076195</v>
      </c>
      <c r="AN2082">
        <v>0.999999992138072</v>
      </c>
    </row>
    <row r="2083" spans="1:40" x14ac:dyDescent="0.25">
      <c r="A2083" t="str">
        <f>"20190305135831848"</f>
        <v>20190305135831848</v>
      </c>
      <c r="B2083" t="str">
        <f>"1551765511840864"</f>
        <v>1551765511840864</v>
      </c>
      <c r="C2083" t="s">
        <v>40</v>
      </c>
      <c r="D2083">
        <v>3.5731830000000002</v>
      </c>
      <c r="E2083">
        <v>0.56876709999999997</v>
      </c>
      <c r="F2083" t="s">
        <v>60</v>
      </c>
      <c r="G2083">
        <v>-510.95409999999998</v>
      </c>
      <c r="H2083">
        <v>1.541803</v>
      </c>
      <c r="I2083">
        <v>293.9495</v>
      </c>
      <c r="J2083">
        <v>-410.90480000000002</v>
      </c>
      <c r="K2083">
        <v>1.1101989999999999</v>
      </c>
      <c r="L2083">
        <v>284.68259999999998</v>
      </c>
      <c r="M2083">
        <v>-0.99985930000000001</v>
      </c>
      <c r="N2083">
        <v>-1.453218E-2</v>
      </c>
      <c r="O2083">
        <v>8.381253E-3</v>
      </c>
      <c r="P2083">
        <v>-0.99524310000000005</v>
      </c>
      <c r="Q2083">
        <v>3.6642330000000001E-2</v>
      </c>
      <c r="R2083">
        <v>-9.0271039999999997E-2</v>
      </c>
      <c r="S2083">
        <v>-3.0391240000000002</v>
      </c>
      <c r="T2083">
        <v>1.308203E-2</v>
      </c>
      <c r="U2083">
        <v>0.28085329999999997</v>
      </c>
      <c r="V2083">
        <v>-9.8704330000000007E-2</v>
      </c>
      <c r="W2083">
        <v>5.090832E-2</v>
      </c>
      <c r="X2083">
        <v>0.99381379999999997</v>
      </c>
      <c r="Y2083">
        <v>8.3673999999999998E-2</v>
      </c>
      <c r="Z2083">
        <v>5.8714800000000001E-4</v>
      </c>
      <c r="AA2083">
        <v>0.99649299999999996</v>
      </c>
      <c r="AB2083">
        <v>44</v>
      </c>
      <c r="AC2083">
        <v>-100.04929999999899</v>
      </c>
      <c r="AD2083">
        <v>0.43160399999999999</v>
      </c>
      <c r="AE2083">
        <v>9.2669000000000192</v>
      </c>
      <c r="AF2083">
        <v>8.4277919090430604</v>
      </c>
      <c r="AG2083">
        <v>0.43160399999999999</v>
      </c>
      <c r="AH2083">
        <v>100.121614229513</v>
      </c>
      <c r="AI2083">
        <v>89.753881418907</v>
      </c>
      <c r="AJ2083">
        <v>85.188439016537103</v>
      </c>
      <c r="AK2083">
        <v>100.476622128724</v>
      </c>
      <c r="AL2083">
        <v>87.0819068491232</v>
      </c>
      <c r="AM2083">
        <v>95.671943430390598</v>
      </c>
      <c r="AN2083">
        <v>1.0000000354381999</v>
      </c>
    </row>
    <row r="2084" spans="1:40" x14ac:dyDescent="0.25">
      <c r="A2084" t="str">
        <f>"20190305135831869"</f>
        <v>20190305135831869</v>
      </c>
      <c r="B2084" t="str">
        <f>"1551765511860384"</f>
        <v>1551765511860384</v>
      </c>
      <c r="C2084" t="s">
        <v>40</v>
      </c>
      <c r="D2084">
        <v>3.5495299999999999</v>
      </c>
      <c r="E2084">
        <v>0.56918729999999995</v>
      </c>
      <c r="F2084" t="s">
        <v>60</v>
      </c>
      <c r="G2084">
        <v>-510.95409999999998</v>
      </c>
      <c r="H2084">
        <v>1.4247050000000001</v>
      </c>
      <c r="I2084">
        <v>293.93630000000002</v>
      </c>
      <c r="J2084">
        <v>-411.30020000000002</v>
      </c>
      <c r="K2084">
        <v>1.110255</v>
      </c>
      <c r="L2084">
        <v>284.68529999999998</v>
      </c>
      <c r="M2084">
        <v>-0.99986529999999996</v>
      </c>
      <c r="N2084">
        <v>-1.453019E-2</v>
      </c>
      <c r="O2084">
        <v>7.6348479999999996E-3</v>
      </c>
      <c r="P2084">
        <v>-0.99515180000000003</v>
      </c>
      <c r="Q2084">
        <v>3.6533990000000002E-2</v>
      </c>
      <c r="R2084">
        <v>-9.1313430000000001E-2</v>
      </c>
      <c r="S2084">
        <v>-3.0394899999999998</v>
      </c>
      <c r="T2084">
        <v>9.5572469999999996E-3</v>
      </c>
      <c r="U2084">
        <v>0.28112789999999999</v>
      </c>
      <c r="V2084">
        <v>-9.9010130000000002E-2</v>
      </c>
      <c r="W2084">
        <v>5.0783540000000002E-2</v>
      </c>
      <c r="X2084">
        <v>0.9937897</v>
      </c>
      <c r="Y2084">
        <v>8.4495500000000001E-2</v>
      </c>
      <c r="Z2084">
        <v>6.1731129999999896E-4</v>
      </c>
      <c r="AA2084">
        <v>0.99642370000000002</v>
      </c>
      <c r="AB2084">
        <v>44</v>
      </c>
      <c r="AC2084">
        <v>-99.653899999999894</v>
      </c>
      <c r="AD2084">
        <v>0.31444999999999901</v>
      </c>
      <c r="AE2084">
        <v>9.2510000000000296</v>
      </c>
      <c r="AF2084">
        <v>8.4897238120199496</v>
      </c>
      <c r="AG2084">
        <v>0.31444999999999901</v>
      </c>
      <c r="AH2084">
        <v>99.720647917714899</v>
      </c>
      <c r="AI2084">
        <v>89.819980517705602</v>
      </c>
      <c r="AJ2084">
        <v>85.133854042120305</v>
      </c>
      <c r="AK2084">
        <v>100.08187603325401</v>
      </c>
      <c r="AL2084">
        <v>87.089065287545395</v>
      </c>
      <c r="AM2084">
        <v>95.689537872077096</v>
      </c>
      <c r="AN2084">
        <v>0.99999997080181802</v>
      </c>
    </row>
    <row r="2085" spans="1:40" x14ac:dyDescent="0.25">
      <c r="A2085" t="str">
        <f>"20190305135831891"</f>
        <v>20190305135831891</v>
      </c>
      <c r="B2085" t="str">
        <f>"1551765511880880"</f>
        <v>1551765511880880</v>
      </c>
      <c r="C2085" t="s">
        <v>40</v>
      </c>
      <c r="D2085">
        <v>3.608187</v>
      </c>
      <c r="E2085">
        <v>0.56973809999999903</v>
      </c>
      <c r="F2085" t="s">
        <v>60</v>
      </c>
      <c r="G2085">
        <v>-510.95409999999998</v>
      </c>
      <c r="H2085">
        <v>1.416882</v>
      </c>
      <c r="I2085">
        <v>293.9076</v>
      </c>
      <c r="J2085">
        <v>-411.72609999999997</v>
      </c>
      <c r="K2085">
        <v>1.1103240000000001</v>
      </c>
      <c r="L2085">
        <v>284.68790000000001</v>
      </c>
      <c r="M2085">
        <v>-0.99987159999999997</v>
      </c>
      <c r="N2085">
        <v>-1.452821E-2</v>
      </c>
      <c r="O2085">
        <v>6.7659819999999898E-3</v>
      </c>
      <c r="P2085">
        <v>-0.99509199999999998</v>
      </c>
      <c r="Q2085">
        <v>3.7168510000000002E-2</v>
      </c>
      <c r="R2085">
        <v>-9.1709959999999993E-2</v>
      </c>
      <c r="S2085">
        <v>-3.0400999999999998</v>
      </c>
      <c r="T2085">
        <v>9.3567370000000004E-3</v>
      </c>
      <c r="U2085">
        <v>0.28134160000000002</v>
      </c>
      <c r="V2085">
        <v>-9.8552089999999995E-2</v>
      </c>
      <c r="W2085">
        <v>5.1400710000000002E-2</v>
      </c>
      <c r="X2085">
        <v>0.99380349999999995</v>
      </c>
      <c r="Y2085">
        <v>8.5412260000000004E-2</v>
      </c>
      <c r="Z2085">
        <v>6.0951250000000005E-4</v>
      </c>
      <c r="AA2085">
        <v>0.9963455</v>
      </c>
      <c r="AB2085">
        <v>44</v>
      </c>
      <c r="AC2085">
        <v>-99.227999999999994</v>
      </c>
      <c r="AD2085">
        <v>0.306557999999999</v>
      </c>
      <c r="AE2085">
        <v>9.21969999999998</v>
      </c>
      <c r="AF2085">
        <v>8.5479623277387802</v>
      </c>
      <c r="AG2085">
        <v>0.306557999999999</v>
      </c>
      <c r="AH2085">
        <v>99.287175602827404</v>
      </c>
      <c r="AI2085">
        <v>89.823746728317701</v>
      </c>
      <c r="AJ2085">
        <v>85.079349713026005</v>
      </c>
      <c r="AK2085">
        <v>99.654929014828397</v>
      </c>
      <c r="AL2085">
        <v>87.053657809162502</v>
      </c>
      <c r="AM2085">
        <v>95.663310339929893</v>
      </c>
      <c r="AN2085">
        <v>0.99999997202206004</v>
      </c>
    </row>
    <row r="2086" spans="1:40" x14ac:dyDescent="0.25">
      <c r="A2086" t="str">
        <f>"20190305135831914"</f>
        <v>20190305135831914</v>
      </c>
      <c r="B2086" t="str">
        <f>"1551765511900400"</f>
        <v>1551765511900400</v>
      </c>
      <c r="C2086" t="s">
        <v>40</v>
      </c>
      <c r="D2086">
        <v>3.6233770000000001</v>
      </c>
      <c r="E2086">
        <v>0.57002229999999998</v>
      </c>
      <c r="F2086" t="s">
        <v>60</v>
      </c>
      <c r="G2086">
        <v>-510.95400000000001</v>
      </c>
      <c r="H2086">
        <v>1.2570059999999901</v>
      </c>
      <c r="I2086">
        <v>293.99090000000001</v>
      </c>
      <c r="J2086">
        <v>-412.17430000000002</v>
      </c>
      <c r="K2086">
        <v>1.110395</v>
      </c>
      <c r="L2086">
        <v>284.6902</v>
      </c>
      <c r="M2086">
        <v>-0.99987780000000004</v>
      </c>
      <c r="N2086">
        <v>-1.452612E-2</v>
      </c>
      <c r="O2086">
        <v>5.7913599999999997E-3</v>
      </c>
      <c r="P2086">
        <v>-0.99501260000000002</v>
      </c>
      <c r="Q2086">
        <v>3.7489109999999999E-2</v>
      </c>
      <c r="R2086">
        <v>-9.2438000000000006E-2</v>
      </c>
      <c r="S2086">
        <v>-3.0408940000000002</v>
      </c>
      <c r="T2086">
        <v>4.4977659999999899E-3</v>
      </c>
      <c r="U2086">
        <v>0.28509519999999999</v>
      </c>
      <c r="V2086">
        <v>-9.8319290000000004E-2</v>
      </c>
      <c r="W2086">
        <v>5.1704529999999999E-2</v>
      </c>
      <c r="X2086">
        <v>0.99381079999999999</v>
      </c>
      <c r="Y2086">
        <v>8.7577749999999996E-2</v>
      </c>
      <c r="Z2086">
        <v>6.6537710000000002E-4</v>
      </c>
      <c r="AA2086">
        <v>0.99615750000000003</v>
      </c>
      <c r="AB2086">
        <v>44</v>
      </c>
      <c r="AC2086">
        <v>-98.779700000000005</v>
      </c>
      <c r="AD2086">
        <v>0.14661099999999899</v>
      </c>
      <c r="AE2086">
        <v>9.3007000000000009</v>
      </c>
      <c r="AF2086">
        <v>8.7283958128899997</v>
      </c>
      <c r="AG2086">
        <v>0.14661099999999899</v>
      </c>
      <c r="AH2086">
        <v>98.831696685242093</v>
      </c>
      <c r="AI2086">
        <v>89.915334687691001</v>
      </c>
      <c r="AJ2086">
        <v>84.952974564613797</v>
      </c>
      <c r="AK2086">
        <v>99.216483801510904</v>
      </c>
      <c r="AL2086">
        <v>87.036227031793402</v>
      </c>
      <c r="AM2086">
        <v>95.649977879425293</v>
      </c>
      <c r="AN2086">
        <v>0.99999997370263205</v>
      </c>
    </row>
    <row r="2087" spans="1:40" x14ac:dyDescent="0.25">
      <c r="A2087" t="str">
        <f>"20190305135831938"</f>
        <v>20190305135831938</v>
      </c>
      <c r="B2087" t="str">
        <f>"1551765511930660"</f>
        <v>1551765511930660</v>
      </c>
      <c r="C2087" t="s">
        <v>40</v>
      </c>
      <c r="D2087">
        <v>3.5682559999999999</v>
      </c>
      <c r="E2087">
        <v>0.5710075</v>
      </c>
      <c r="F2087" t="s">
        <v>60</v>
      </c>
      <c r="G2087">
        <v>-510.95400000000001</v>
      </c>
      <c r="H2087">
        <v>1.307949</v>
      </c>
      <c r="I2087">
        <v>293.94690000000003</v>
      </c>
      <c r="J2087">
        <v>-412.63600000000002</v>
      </c>
      <c r="K2087">
        <v>1.110463</v>
      </c>
      <c r="L2087">
        <v>284.69189999999998</v>
      </c>
      <c r="M2087">
        <v>-0.99988330000000003</v>
      </c>
      <c r="N2087">
        <v>-1.452385E-2</v>
      </c>
      <c r="O2087">
        <v>4.7378250000000002E-3</v>
      </c>
      <c r="P2087">
        <v>-0.99489819999999995</v>
      </c>
      <c r="Q2087">
        <v>3.7976999999999997E-2</v>
      </c>
      <c r="R2087">
        <v>-9.3464889999999995E-2</v>
      </c>
      <c r="S2087">
        <v>-3.04129</v>
      </c>
      <c r="T2087">
        <v>6.0850380000000001E-3</v>
      </c>
      <c r="U2087">
        <v>0.28500370000000003</v>
      </c>
      <c r="V2087">
        <v>-9.8305980000000001E-2</v>
      </c>
      <c r="W2087">
        <v>5.2175489999999998E-2</v>
      </c>
      <c r="X2087">
        <v>0.99378750000000005</v>
      </c>
      <c r="Y2087">
        <v>8.8585670000000005E-2</v>
      </c>
      <c r="Z2087">
        <v>6.3443729999999995E-4</v>
      </c>
      <c r="AA2087">
        <v>0.99606839999999996</v>
      </c>
      <c r="AB2087">
        <v>44</v>
      </c>
      <c r="AC2087">
        <v>-98.317999999999998</v>
      </c>
      <c r="AD2087">
        <v>0.19748599999999999</v>
      </c>
      <c r="AE2087">
        <v>9.2550000000000505</v>
      </c>
      <c r="AF2087">
        <v>8.7889983396150893</v>
      </c>
      <c r="AG2087">
        <v>0.19748599999999999</v>
      </c>
      <c r="AH2087">
        <v>98.360356120815993</v>
      </c>
      <c r="AI2087">
        <v>89.885419323067097</v>
      </c>
      <c r="AJ2087">
        <v>84.893891351012996</v>
      </c>
      <c r="AK2087">
        <v>98.752443760889804</v>
      </c>
      <c r="AL2087">
        <v>87.009206531262393</v>
      </c>
      <c r="AM2087">
        <v>95.649349552811699</v>
      </c>
      <c r="AN2087">
        <v>0.99999997130837404</v>
      </c>
    </row>
    <row r="2088" spans="1:40" x14ac:dyDescent="0.25">
      <c r="A2088" t="str">
        <f>"20190305135831951"</f>
        <v>20190305135831951</v>
      </c>
      <c r="B2088" t="str">
        <f>"1551765511940416"</f>
        <v>1551765511940416</v>
      </c>
      <c r="C2088" t="s">
        <v>40</v>
      </c>
      <c r="D2088">
        <v>3.4615399999999998</v>
      </c>
      <c r="E2088">
        <v>0.57129370000000002</v>
      </c>
      <c r="F2088" t="s">
        <v>60</v>
      </c>
      <c r="G2088">
        <v>-510.95409999999998</v>
      </c>
      <c r="H2088">
        <v>1.4156470000000001</v>
      </c>
      <c r="I2088">
        <v>294.05849999999998</v>
      </c>
      <c r="J2088">
        <v>-412.9153</v>
      </c>
      <c r="K2088">
        <v>1.1104959999999999</v>
      </c>
      <c r="L2088">
        <v>284.6927</v>
      </c>
      <c r="M2088">
        <v>-0.99988630000000001</v>
      </c>
      <c r="N2088">
        <v>-1.452237E-2</v>
      </c>
      <c r="O2088">
        <v>4.078918E-3</v>
      </c>
      <c r="P2088">
        <v>-0.99481169999999997</v>
      </c>
      <c r="Q2088">
        <v>3.8485390000000001E-2</v>
      </c>
      <c r="R2088">
        <v>-9.4174149999999998E-2</v>
      </c>
      <c r="S2088">
        <v>-3.0422060000000002</v>
      </c>
      <c r="T2088">
        <v>9.4457859999999994E-3</v>
      </c>
      <c r="U2088">
        <v>0.28982540000000001</v>
      </c>
      <c r="V2088">
        <v>-9.8364989999999999E-2</v>
      </c>
      <c r="W2088">
        <v>5.2675E-2</v>
      </c>
      <c r="X2088">
        <v>0.99375530000000001</v>
      </c>
      <c r="Y2088">
        <v>9.0779260000000001E-2</v>
      </c>
      <c r="Z2088">
        <v>5.9181299999999995E-4</v>
      </c>
      <c r="AA2088">
        <v>0.9958709</v>
      </c>
      <c r="AB2088">
        <v>44</v>
      </c>
      <c r="AC2088">
        <v>-98.038799999999895</v>
      </c>
      <c r="AD2088">
        <v>0.30515099999999901</v>
      </c>
      <c r="AE2088">
        <v>9.3657999999999806</v>
      </c>
      <c r="AF2088">
        <v>8.9657016258632893</v>
      </c>
      <c r="AG2088">
        <v>0.30515099999999901</v>
      </c>
      <c r="AH2088">
        <v>98.075249058323706</v>
      </c>
      <c r="AI2088">
        <v>89.822470935524606</v>
      </c>
      <c r="AJ2088">
        <v>84.776735056565499</v>
      </c>
      <c r="AK2088">
        <v>98.484675968543598</v>
      </c>
      <c r="AL2088">
        <v>86.980547275215699</v>
      </c>
      <c r="AM2088">
        <v>95.652900699678995</v>
      </c>
      <c r="AN2088">
        <v>0.99999996158039395</v>
      </c>
    </row>
    <row r="2089" spans="1:40" x14ac:dyDescent="0.25">
      <c r="A2089" t="str">
        <f>"20190305135831970"</f>
        <v>20190305135831970</v>
      </c>
      <c r="B2089" t="str">
        <f>"1551765511960912"</f>
        <v>1551765511960912</v>
      </c>
      <c r="C2089" t="s">
        <v>40</v>
      </c>
      <c r="D2089">
        <v>3.6072299999999999</v>
      </c>
      <c r="E2089">
        <v>0.57180109999999995</v>
      </c>
      <c r="F2089" t="s">
        <v>60</v>
      </c>
      <c r="G2089">
        <v>-510.95409999999998</v>
      </c>
      <c r="H2089">
        <v>1.4300630000000001</v>
      </c>
      <c r="I2089">
        <v>294.03410000000002</v>
      </c>
      <c r="J2089">
        <v>-413.27710000000002</v>
      </c>
      <c r="K2089">
        <v>1.110533</v>
      </c>
      <c r="L2089">
        <v>284.69349999999997</v>
      </c>
      <c r="M2089">
        <v>-0.99988949999999999</v>
      </c>
      <c r="N2089">
        <v>-1.4520369999999999E-2</v>
      </c>
      <c r="O2089">
        <v>3.2142020000000002E-3</v>
      </c>
      <c r="P2089">
        <v>-0.99474059999999997</v>
      </c>
      <c r="Q2089">
        <v>3.830546E-2</v>
      </c>
      <c r="R2089">
        <v>-9.4994899999999993E-2</v>
      </c>
      <c r="S2089">
        <v>-3.0427249999999999</v>
      </c>
      <c r="T2089">
        <v>9.9207159999999996E-3</v>
      </c>
      <c r="U2089">
        <v>0.28991699999999998</v>
      </c>
      <c r="V2089">
        <v>-9.8329009999999994E-2</v>
      </c>
      <c r="W2089">
        <v>5.2484999999999997E-2</v>
      </c>
      <c r="X2089">
        <v>0.99376889999999996</v>
      </c>
      <c r="Y2089">
        <v>9.1654079999999999E-2</v>
      </c>
      <c r="Z2089">
        <v>5.749037E-4</v>
      </c>
      <c r="AA2089">
        <v>0.99579070000000003</v>
      </c>
      <c r="AB2089">
        <v>44</v>
      </c>
      <c r="AC2089">
        <v>-97.676999999999893</v>
      </c>
      <c r="AD2089">
        <v>0.31952999999999898</v>
      </c>
      <c r="AE2089">
        <v>9.34060000000005</v>
      </c>
      <c r="AF2089">
        <v>9.0264693381000907</v>
      </c>
      <c r="AG2089">
        <v>0.31952999999999898</v>
      </c>
      <c r="AH2089">
        <v>97.705484969138695</v>
      </c>
      <c r="AI2089">
        <v>89.813418608210199</v>
      </c>
      <c r="AJ2089">
        <v>84.721742263958603</v>
      </c>
      <c r="AK2089">
        <v>98.122072140712206</v>
      </c>
      <c r="AL2089">
        <v>86.991448512497996</v>
      </c>
      <c r="AM2089">
        <v>95.6507695306085</v>
      </c>
      <c r="AN2089">
        <v>0.999999948019893</v>
      </c>
    </row>
    <row r="2090" spans="1:40" x14ac:dyDescent="0.25">
      <c r="A2090" t="str">
        <f>"20190305135831992"</f>
        <v>20190305135831992</v>
      </c>
      <c r="B2090" t="str">
        <f>"1551765511981408"</f>
        <v>1551765511981408</v>
      </c>
      <c r="C2090" t="s">
        <v>40</v>
      </c>
      <c r="D2090">
        <v>3.6120869999999998</v>
      </c>
      <c r="E2090">
        <v>0.5722391</v>
      </c>
      <c r="F2090" t="s">
        <v>60</v>
      </c>
      <c r="G2090">
        <v>-510.95409999999998</v>
      </c>
      <c r="H2090">
        <v>1.3538809999999999</v>
      </c>
      <c r="I2090">
        <v>294.05309999999997</v>
      </c>
      <c r="J2090">
        <v>-413.70089999999999</v>
      </c>
      <c r="K2090">
        <v>1.110565</v>
      </c>
      <c r="L2090">
        <v>284.69409999999999</v>
      </c>
      <c r="M2090">
        <v>-0.99989240000000001</v>
      </c>
      <c r="N2090">
        <v>-1.4517789999999999E-2</v>
      </c>
      <c r="O2090">
        <v>2.1932409999999999E-3</v>
      </c>
      <c r="P2090">
        <v>-0.99467609999999995</v>
      </c>
      <c r="Q2090">
        <v>3.8408049999999999E-2</v>
      </c>
      <c r="R2090">
        <v>-9.5629309999999995E-2</v>
      </c>
      <c r="S2090">
        <v>-3.0434269999999999</v>
      </c>
      <c r="T2090">
        <v>7.5849289999999998E-3</v>
      </c>
      <c r="U2090">
        <v>0.291626</v>
      </c>
      <c r="V2090">
        <v>-9.7951319999999995E-2</v>
      </c>
      <c r="W2090">
        <v>5.2579769999999998E-2</v>
      </c>
      <c r="X2090">
        <v>0.99380119999999905</v>
      </c>
      <c r="Y2090">
        <v>9.3202670000000001E-2</v>
      </c>
      <c r="Z2090">
        <v>5.9947289999999996E-4</v>
      </c>
      <c r="AA2090">
        <v>0.99564699999999995</v>
      </c>
      <c r="AB2090">
        <v>44</v>
      </c>
      <c r="AC2090">
        <v>-97.253200000000007</v>
      </c>
      <c r="AD2090">
        <v>0.24331599999999901</v>
      </c>
      <c r="AE2090">
        <v>9.3589999999999804</v>
      </c>
      <c r="AF2090">
        <v>9.1455986186654101</v>
      </c>
      <c r="AG2090">
        <v>0.24331599999999901</v>
      </c>
      <c r="AH2090">
        <v>97.272891459522597</v>
      </c>
      <c r="AI2090">
        <v>89.857311332757902</v>
      </c>
      <c r="AJ2090">
        <v>84.628839466616796</v>
      </c>
      <c r="AK2090">
        <v>97.7021831366405</v>
      </c>
      <c r="AL2090">
        <v>86.986011117065004</v>
      </c>
      <c r="AM2090">
        <v>95.629022338714407</v>
      </c>
      <c r="AN2090">
        <v>0.99999995921221596</v>
      </c>
    </row>
    <row r="2091" spans="1:40" x14ac:dyDescent="0.25">
      <c r="A2091" t="str">
        <f>"20190305135832014"</f>
        <v>20190305135832014</v>
      </c>
      <c r="B2091" t="str">
        <f>"1551765512010690"</f>
        <v>1551765512010690</v>
      </c>
      <c r="C2091" t="s">
        <v>40</v>
      </c>
      <c r="D2091">
        <v>3.6004710000000002</v>
      </c>
      <c r="E2091">
        <v>0.57275169999999997</v>
      </c>
      <c r="F2091" t="s">
        <v>60</v>
      </c>
      <c r="G2091">
        <v>-510.95400000000001</v>
      </c>
      <c r="H2091">
        <v>1.305337</v>
      </c>
      <c r="I2091">
        <v>294.06099999999998</v>
      </c>
      <c r="J2091">
        <v>-414.14139999999998</v>
      </c>
      <c r="K2091">
        <v>1.1105849999999999</v>
      </c>
      <c r="L2091">
        <v>284.69420000000002</v>
      </c>
      <c r="M2091">
        <v>-0.99989410000000001</v>
      </c>
      <c r="N2091">
        <v>-1.451501E-2</v>
      </c>
      <c r="O2091">
        <v>1.1418929999999999E-3</v>
      </c>
      <c r="P2091">
        <v>-0.99459140000000001</v>
      </c>
      <c r="Q2091">
        <v>3.8714899999999997E-2</v>
      </c>
      <c r="R2091">
        <v>-9.6381809999999998E-2</v>
      </c>
      <c r="S2091">
        <v>-3.044006</v>
      </c>
      <c r="T2091">
        <v>6.0989859999999998E-3</v>
      </c>
      <c r="U2091">
        <v>0.29318240000000001</v>
      </c>
      <c r="V2091">
        <v>-9.7661650000000003E-2</v>
      </c>
      <c r="W2091">
        <v>5.2880719999999999E-2</v>
      </c>
      <c r="X2091">
        <v>0.99381379999999997</v>
      </c>
      <c r="Y2091">
        <v>9.47355E-2</v>
      </c>
      <c r="Z2091">
        <v>6.1329519999999999E-4</v>
      </c>
      <c r="AA2091">
        <v>0.99550229999999995</v>
      </c>
      <c r="AB2091">
        <v>44</v>
      </c>
      <c r="AC2091">
        <v>-96.812600000000003</v>
      </c>
      <c r="AD2091">
        <v>0.19475200000000001</v>
      </c>
      <c r="AE2091">
        <v>9.3667999999999498</v>
      </c>
      <c r="AF2091">
        <v>9.2561955157476596</v>
      </c>
      <c r="AG2091">
        <v>0.19475200000000001</v>
      </c>
      <c r="AH2091">
        <v>96.822845699490898</v>
      </c>
      <c r="AI2091">
        <v>89.885276974449198</v>
      </c>
      <c r="AJ2091">
        <v>84.539159631666493</v>
      </c>
      <c r="AK2091">
        <v>97.264477241769399</v>
      </c>
      <c r="AL2091">
        <v>86.968744109856303</v>
      </c>
      <c r="AM2091">
        <v>95.612411450046807</v>
      </c>
      <c r="AN2091">
        <v>1.00000001874944</v>
      </c>
    </row>
    <row r="2092" spans="1:40" x14ac:dyDescent="0.25">
      <c r="A2092" t="str">
        <f>"20190305135832029"</f>
        <v>20190305135832029</v>
      </c>
      <c r="B2092" t="str">
        <f>"1551765512021425"</f>
        <v>1551765512021425</v>
      </c>
      <c r="C2092" t="s">
        <v>40</v>
      </c>
      <c r="D2092">
        <v>3.6183519999999998</v>
      </c>
      <c r="E2092">
        <v>0.57286409999999999</v>
      </c>
      <c r="F2092" t="s">
        <v>60</v>
      </c>
      <c r="G2092">
        <v>-510.95400000000001</v>
      </c>
      <c r="H2092">
        <v>1.2618659999999999</v>
      </c>
      <c r="I2092">
        <v>294.07850000000002</v>
      </c>
      <c r="J2092">
        <v>-414.40660000000003</v>
      </c>
      <c r="K2092">
        <v>1.1105879999999999</v>
      </c>
      <c r="L2092">
        <v>284.69409999999999</v>
      </c>
      <c r="M2092">
        <v>-0.99989459999999997</v>
      </c>
      <c r="N2092">
        <v>-1.451325E-2</v>
      </c>
      <c r="O2092">
        <v>5.2518119999999996E-4</v>
      </c>
      <c r="P2092">
        <v>-0.99456239999999996</v>
      </c>
      <c r="Q2092">
        <v>3.8535239999999998E-2</v>
      </c>
      <c r="R2092">
        <v>-9.675077E-2</v>
      </c>
      <c r="S2092">
        <v>-3.0447690000000001</v>
      </c>
      <c r="T2092">
        <v>4.7605039999999996E-3</v>
      </c>
      <c r="U2092">
        <v>0.2951355</v>
      </c>
      <c r="V2092">
        <v>-9.7416649999999994E-2</v>
      </c>
      <c r="W2092">
        <v>5.2700249999999997E-2</v>
      </c>
      <c r="X2092">
        <v>0.99384740000000005</v>
      </c>
      <c r="Y2092">
        <v>9.5958000000000002E-2</v>
      </c>
      <c r="Z2092">
        <v>6.3157649999999997E-4</v>
      </c>
      <c r="AA2092">
        <v>0.99538519999999997</v>
      </c>
      <c r="AB2092">
        <v>44</v>
      </c>
      <c r="AC2092">
        <v>-96.547399999999897</v>
      </c>
      <c r="AD2092">
        <v>0.151278</v>
      </c>
      <c r="AE2092">
        <v>9.3844000000000207</v>
      </c>
      <c r="AF2092">
        <v>9.3336657876212001</v>
      </c>
      <c r="AG2092">
        <v>0.151278</v>
      </c>
      <c r="AH2092">
        <v>96.552080884802194</v>
      </c>
      <c r="AI2092">
        <v>89.910645466958698</v>
      </c>
      <c r="AJ2092">
        <v>84.478388402255703</v>
      </c>
      <c r="AK2092">
        <v>97.002291340223906</v>
      </c>
      <c r="AL2092">
        <v>86.979098622170596</v>
      </c>
      <c r="AM2092">
        <v>95.598233298116398</v>
      </c>
      <c r="AN2092">
        <v>0.99999998726702199</v>
      </c>
    </row>
    <row r="2093" spans="1:40" x14ac:dyDescent="0.25">
      <c r="A2093" t="str">
        <f>"20190305135832048"</f>
        <v>20190305135832048</v>
      </c>
      <c r="B2093" t="str">
        <f>"1551765512040948"</f>
        <v>1551765512040948</v>
      </c>
      <c r="C2093" t="s">
        <v>40</v>
      </c>
      <c r="D2093">
        <v>3.6317270000000001</v>
      </c>
      <c r="E2093">
        <v>0.57314540000000003</v>
      </c>
      <c r="F2093" t="s">
        <v>60</v>
      </c>
      <c r="G2093">
        <v>-510.95400000000001</v>
      </c>
      <c r="H2093">
        <v>1.242591</v>
      </c>
      <c r="I2093">
        <v>294.05099999999999</v>
      </c>
      <c r="J2093">
        <v>-414.80369999999999</v>
      </c>
      <c r="K2093">
        <v>1.1105799999999999</v>
      </c>
      <c r="L2093">
        <v>284.69349999999997</v>
      </c>
      <c r="M2093">
        <v>-0.99989470000000003</v>
      </c>
      <c r="N2093">
        <v>-1.4510500000000001E-2</v>
      </c>
      <c r="O2093">
        <v>-3.6592690000000002E-4</v>
      </c>
      <c r="P2093">
        <v>-0.99452609999999997</v>
      </c>
      <c r="Q2093">
        <v>3.8362640000000003E-2</v>
      </c>
      <c r="R2093">
        <v>-9.7194100000000005E-2</v>
      </c>
      <c r="S2093">
        <v>-3.0449830000000002</v>
      </c>
      <c r="T2093">
        <v>4.1658880000000004E-3</v>
      </c>
      <c r="U2093">
        <v>0.29510500000000001</v>
      </c>
      <c r="V2093">
        <v>-9.6972030000000001E-2</v>
      </c>
      <c r="W2093">
        <v>5.2529289999999999E-2</v>
      </c>
      <c r="X2093">
        <v>0.99389989999999995</v>
      </c>
      <c r="Y2093">
        <v>9.6828259999999999E-2</v>
      </c>
      <c r="Z2093">
        <v>6.3231099999999998E-4</v>
      </c>
      <c r="AA2093">
        <v>0.99530090000000004</v>
      </c>
      <c r="AB2093">
        <v>44</v>
      </c>
      <c r="AC2093">
        <v>-96.150300000000001</v>
      </c>
      <c r="AD2093">
        <v>0.13201099999999999</v>
      </c>
      <c r="AE2093">
        <v>9.3575000000000106</v>
      </c>
      <c r="AF2093">
        <v>9.3926695181240092</v>
      </c>
      <c r="AG2093">
        <v>0.13201099999999999</v>
      </c>
      <c r="AH2093">
        <v>96.146689500745097</v>
      </c>
      <c r="AI2093">
        <v>89.921704712888499</v>
      </c>
      <c r="AJ2093">
        <v>84.420420747525498</v>
      </c>
      <c r="AK2093">
        <v>96.6044800696815</v>
      </c>
      <c r="AL2093">
        <v>86.988907401164596</v>
      </c>
      <c r="AM2093">
        <v>95.572551054118193</v>
      </c>
      <c r="AN2093">
        <v>0.99999995606511605</v>
      </c>
    </row>
    <row r="2094" spans="1:40" x14ac:dyDescent="0.25">
      <c r="A2094" t="str">
        <f>"20190305135832061"</f>
        <v>20190305135832061</v>
      </c>
      <c r="B2094" t="str">
        <f>"1551765512050705"</f>
        <v>1551765512050705</v>
      </c>
      <c r="C2094" t="s">
        <v>40</v>
      </c>
      <c r="D2094">
        <v>3.6478739999999998</v>
      </c>
      <c r="E2094">
        <v>0.57324830000000004</v>
      </c>
      <c r="F2094" t="s">
        <v>60</v>
      </c>
      <c r="G2094">
        <v>-510.95400000000001</v>
      </c>
      <c r="H2094">
        <v>1.1440920000000001</v>
      </c>
      <c r="I2094">
        <v>294.04039999999998</v>
      </c>
      <c r="J2094">
        <v>-415.05180000000001</v>
      </c>
      <c r="K2094">
        <v>1.1105659999999999</v>
      </c>
      <c r="L2094">
        <v>284.69310000000002</v>
      </c>
      <c r="M2094">
        <v>-0.99989439999999996</v>
      </c>
      <c r="N2094">
        <v>-1.4508719999999999E-2</v>
      </c>
      <c r="O2094">
        <v>-8.9941809999999995E-4</v>
      </c>
      <c r="P2094">
        <v>-0.99450970000000005</v>
      </c>
      <c r="Q2094">
        <v>3.7692080000000003E-2</v>
      </c>
      <c r="R2094">
        <v>-9.7622609999999999E-2</v>
      </c>
      <c r="S2094">
        <v>-3.0454409999999998</v>
      </c>
      <c r="T2094">
        <v>1.064181E-3</v>
      </c>
      <c r="U2094">
        <v>0.29605100000000001</v>
      </c>
      <c r="V2094">
        <v>-9.6866400000000005E-2</v>
      </c>
      <c r="W2094">
        <v>5.1861200000000003E-2</v>
      </c>
      <c r="X2094">
        <v>0.99394530000000003</v>
      </c>
      <c r="Y2094">
        <v>9.7650509999999996E-2</v>
      </c>
      <c r="Z2094">
        <v>6.7974050000000003E-4</v>
      </c>
      <c r="AA2094">
        <v>0.99522049999999995</v>
      </c>
      <c r="AB2094">
        <v>44</v>
      </c>
      <c r="AC2094">
        <v>-95.902199999999993</v>
      </c>
      <c r="AD2094">
        <v>3.3526000000000097E-2</v>
      </c>
      <c r="AE2094">
        <v>9.3472999999999598</v>
      </c>
      <c r="AF2094">
        <v>9.4335603256397107</v>
      </c>
      <c r="AG2094">
        <v>3.3526000000000097E-2</v>
      </c>
      <c r="AH2094">
        <v>95.893741577474998</v>
      </c>
      <c r="AI2094">
        <v>89.980064702739696</v>
      </c>
      <c r="AJ2094">
        <v>84.381597432907</v>
      </c>
      <c r="AK2094">
        <v>96.356644078847694</v>
      </c>
      <c r="AL2094">
        <v>87.027238435694201</v>
      </c>
      <c r="AM2094">
        <v>95.5662664506781</v>
      </c>
      <c r="AN2094">
        <v>0.99999997145324404</v>
      </c>
    </row>
    <row r="2095" spans="1:40" x14ac:dyDescent="0.25">
      <c r="A2095" t="str">
        <f>"20190305135832075"</f>
        <v>20190305135832075</v>
      </c>
      <c r="B2095" t="str">
        <f>"1551765512071201"</f>
        <v>1551765512071201</v>
      </c>
      <c r="C2095" t="s">
        <v>40</v>
      </c>
      <c r="D2095">
        <v>3.5897250000000001</v>
      </c>
      <c r="E2095">
        <v>0.57320260000000001</v>
      </c>
      <c r="F2095" t="s">
        <v>60</v>
      </c>
      <c r="G2095">
        <v>-510.95389999999998</v>
      </c>
      <c r="H2095">
        <v>1.033177</v>
      </c>
      <c r="I2095">
        <v>294.00560000000002</v>
      </c>
      <c r="J2095">
        <v>-415.32769999999999</v>
      </c>
      <c r="K2095">
        <v>1.1105400000000001</v>
      </c>
      <c r="L2095">
        <v>284.69240000000002</v>
      </c>
      <c r="M2095">
        <v>-0.9998937</v>
      </c>
      <c r="N2095">
        <v>-1.4506649999999999E-2</v>
      </c>
      <c r="O2095">
        <v>-1.460828E-3</v>
      </c>
      <c r="P2095">
        <v>-0.99449379999999998</v>
      </c>
      <c r="Q2095">
        <v>3.7269610000000002E-2</v>
      </c>
      <c r="R2095">
        <v>-9.7942710000000002E-2</v>
      </c>
      <c r="S2095">
        <v>-3.0456539999999999</v>
      </c>
      <c r="T2095">
        <v>-2.4549960000000001E-3</v>
      </c>
      <c r="U2095">
        <v>0.2957458</v>
      </c>
      <c r="V2095">
        <v>-9.6624399999999999E-2</v>
      </c>
      <c r="W2095">
        <v>5.1443570000000001E-2</v>
      </c>
      <c r="X2095">
        <v>0.99399059999999995</v>
      </c>
      <c r="Y2095">
        <v>9.8102889999999998E-2</v>
      </c>
      <c r="Z2095">
        <v>7.3275929999999895E-4</v>
      </c>
      <c r="AA2095">
        <v>0.99517599999999995</v>
      </c>
      <c r="AB2095">
        <v>44</v>
      </c>
      <c r="AC2095">
        <v>-95.626199999999898</v>
      </c>
      <c r="AD2095">
        <v>-7.7362999999999807E-2</v>
      </c>
      <c r="AE2095">
        <v>9.3131999999999895</v>
      </c>
      <c r="AF2095">
        <v>9.4528920641850593</v>
      </c>
      <c r="AG2095">
        <v>-7.7362999999999807E-2</v>
      </c>
      <c r="AH2095">
        <v>95.612429538459907</v>
      </c>
      <c r="AI2095">
        <v>90.046134865405804</v>
      </c>
      <c r="AJ2095">
        <v>84.353700490799099</v>
      </c>
      <c r="AK2095">
        <v>96.078612790036999</v>
      </c>
      <c r="AL2095">
        <v>87.051198983378399</v>
      </c>
      <c r="AM2095">
        <v>95.552195866488802</v>
      </c>
      <c r="AN2095">
        <v>1.00000001422903</v>
      </c>
    </row>
    <row r="2096" spans="1:40" x14ac:dyDescent="0.25">
      <c r="A2096" t="str">
        <f>"20190305135832092"</f>
        <v>20190305135832092</v>
      </c>
      <c r="B2096" t="str">
        <f>"1551765512080960"</f>
        <v>1551765512080960</v>
      </c>
      <c r="C2096" t="s">
        <v>40</v>
      </c>
      <c r="D2096">
        <v>3.697578</v>
      </c>
      <c r="E2096">
        <v>0.57302989999999998</v>
      </c>
      <c r="F2096" t="s">
        <v>60</v>
      </c>
      <c r="G2096">
        <v>-510.95389999999998</v>
      </c>
      <c r="H2096">
        <v>1.0191300000000001</v>
      </c>
      <c r="I2096">
        <v>293.93380000000002</v>
      </c>
      <c r="J2096">
        <v>-415.6551</v>
      </c>
      <c r="K2096">
        <v>1.1104969999999901</v>
      </c>
      <c r="L2096">
        <v>284.69150000000002</v>
      </c>
      <c r="M2096">
        <v>-0.99989260000000002</v>
      </c>
      <c r="N2096">
        <v>-1.450413E-2</v>
      </c>
      <c r="O2096">
        <v>-2.076984E-3</v>
      </c>
      <c r="P2096">
        <v>-0.99445099999999997</v>
      </c>
      <c r="Q2096">
        <v>3.6534410000000003E-2</v>
      </c>
      <c r="R2096">
        <v>-9.8653019999999994E-2</v>
      </c>
      <c r="S2096">
        <v>-3.045715</v>
      </c>
      <c r="T2096">
        <v>-2.908707E-3</v>
      </c>
      <c r="U2096">
        <v>0.29434199999999999</v>
      </c>
      <c r="V2096">
        <v>-9.6714759999999997E-2</v>
      </c>
      <c r="W2096">
        <v>5.0714490000000001E-2</v>
      </c>
      <c r="X2096">
        <v>0.99401930000000005</v>
      </c>
      <c r="Y2096">
        <v>9.8259620000000006E-2</v>
      </c>
      <c r="Z2096">
        <v>7.3301569999999997E-4</v>
      </c>
      <c r="AA2096">
        <v>0.9951605</v>
      </c>
      <c r="AB2096">
        <v>44</v>
      </c>
      <c r="AC2096">
        <v>-95.2987999999999</v>
      </c>
      <c r="AD2096">
        <v>-9.1366999999999907E-2</v>
      </c>
      <c r="AE2096">
        <v>9.2423000000000002</v>
      </c>
      <c r="AF2096">
        <v>9.4402263804541597</v>
      </c>
      <c r="AG2096">
        <v>-9.1366999999999907E-2</v>
      </c>
      <c r="AH2096">
        <v>95.279309510413597</v>
      </c>
      <c r="AI2096">
        <v>90.054675401410194</v>
      </c>
      <c r="AJ2096">
        <v>84.341630166712307</v>
      </c>
      <c r="AK2096">
        <v>95.745877419469593</v>
      </c>
      <c r="AL2096">
        <v>87.093026856965807</v>
      </c>
      <c r="AM2096">
        <v>95.557196159412698</v>
      </c>
      <c r="AN2096">
        <v>1.00000003653515</v>
      </c>
    </row>
    <row r="2097" spans="1:40" x14ac:dyDescent="0.25">
      <c r="A2097" t="str">
        <f>"20190305135832116"</f>
        <v>20190305135832116</v>
      </c>
      <c r="B2097" t="str">
        <f>"1551765512111392"</f>
        <v>1551765512111392</v>
      </c>
      <c r="C2097" t="s">
        <v>40</v>
      </c>
      <c r="D2097">
        <v>3.7034919999999998</v>
      </c>
      <c r="E2097">
        <v>0.57251779999999997</v>
      </c>
      <c r="F2097" t="s">
        <v>60</v>
      </c>
      <c r="G2097">
        <v>-510.95389999999998</v>
      </c>
      <c r="H2097">
        <v>0.96770140000000004</v>
      </c>
      <c r="I2097">
        <v>293.78840000000002</v>
      </c>
      <c r="J2097">
        <v>-416.1069</v>
      </c>
      <c r="K2097">
        <v>1.1104160000000001</v>
      </c>
      <c r="L2097">
        <v>284.68990000000002</v>
      </c>
      <c r="M2097">
        <v>-0.99989090000000003</v>
      </c>
      <c r="N2097">
        <v>-1.4500620000000001E-2</v>
      </c>
      <c r="O2097">
        <v>-2.8297270000000002E-3</v>
      </c>
      <c r="P2097">
        <v>-0.99438599999999999</v>
      </c>
      <c r="Q2097">
        <v>3.6014549999999999E-2</v>
      </c>
      <c r="R2097">
        <v>-9.9496550000000003E-2</v>
      </c>
      <c r="S2097">
        <v>-3.045776</v>
      </c>
      <c r="T2097">
        <v>-4.5610670000000002E-3</v>
      </c>
      <c r="U2097">
        <v>0.29074100000000003</v>
      </c>
      <c r="V2097">
        <v>-9.6798759999999998E-2</v>
      </c>
      <c r="W2097">
        <v>5.0209209999999997E-2</v>
      </c>
      <c r="X2097">
        <v>0.9940367</v>
      </c>
      <c r="Y2097">
        <v>9.7840559999999993E-2</v>
      </c>
      <c r="Z2097">
        <v>7.4740399999999904E-4</v>
      </c>
      <c r="AA2097">
        <v>0.99520180000000003</v>
      </c>
      <c r="AB2097">
        <v>44</v>
      </c>
      <c r="AC2097">
        <v>-94.846999999999895</v>
      </c>
      <c r="AD2097">
        <v>-0.142714599999999</v>
      </c>
      <c r="AE2097">
        <v>9.0984999999999996</v>
      </c>
      <c r="AF2097">
        <v>9.3668618775024495</v>
      </c>
      <c r="AG2097">
        <v>-0.142714599999999</v>
      </c>
      <c r="AH2097">
        <v>94.820658482425401</v>
      </c>
      <c r="AI2097">
        <v>90.085818118788396</v>
      </c>
      <c r="AJ2097">
        <v>84.358338369996304</v>
      </c>
      <c r="AK2097">
        <v>95.282295018172306</v>
      </c>
      <c r="AL2097">
        <v>87.122013985560798</v>
      </c>
      <c r="AM2097">
        <v>95.561895768645996</v>
      </c>
      <c r="AN2097">
        <v>0.99999996282662496</v>
      </c>
    </row>
    <row r="2098" spans="1:40" x14ac:dyDescent="0.25">
      <c r="A2098" t="str">
        <f>"20190305135832138"</f>
        <v>20190305135832138</v>
      </c>
      <c r="B2098" t="str">
        <f>"1551765512130911"</f>
        <v>1551765512130911</v>
      </c>
      <c r="C2098" t="s">
        <v>40</v>
      </c>
      <c r="D2098">
        <v>3.6751459999999998</v>
      </c>
      <c r="E2098">
        <v>0.57228760000000001</v>
      </c>
      <c r="F2098" t="s">
        <v>60</v>
      </c>
      <c r="G2098">
        <v>-512.56489999999997</v>
      </c>
      <c r="H2098">
        <v>0.95967009999999997</v>
      </c>
      <c r="I2098">
        <v>293.69319999999999</v>
      </c>
      <c r="J2098">
        <v>-416.55239999999998</v>
      </c>
      <c r="K2098">
        <v>1.110314</v>
      </c>
      <c r="L2098">
        <v>284.68810000000002</v>
      </c>
      <c r="M2098">
        <v>-0.99988909999999998</v>
      </c>
      <c r="N2098">
        <v>-1.449716E-2</v>
      </c>
      <c r="O2098">
        <v>-3.434669E-3</v>
      </c>
      <c r="P2098">
        <v>-0.99427849999999995</v>
      </c>
      <c r="Q2098">
        <v>3.5278469999999999E-2</v>
      </c>
      <c r="R2098">
        <v>-0.100827</v>
      </c>
      <c r="S2098">
        <v>-3.045563</v>
      </c>
      <c r="T2098">
        <v>-4.7569270000000002E-3</v>
      </c>
      <c r="U2098">
        <v>0.2842712</v>
      </c>
      <c r="V2098">
        <v>-9.7514169999999997E-2</v>
      </c>
      <c r="W2098">
        <v>4.9490569999999998E-2</v>
      </c>
      <c r="X2098">
        <v>0.99400290000000002</v>
      </c>
      <c r="Y2098">
        <v>9.6353610000000006E-2</v>
      </c>
      <c r="Z2098">
        <v>7.307352E-4</v>
      </c>
      <c r="AA2098">
        <v>0.99534690000000003</v>
      </c>
      <c r="AB2098">
        <v>44</v>
      </c>
      <c r="AC2098">
        <v>-96.012500000000003</v>
      </c>
      <c r="AD2098">
        <v>-0.1506439</v>
      </c>
      <c r="AE2098">
        <v>9.0050999999999704</v>
      </c>
      <c r="AF2098">
        <v>9.3348298797676996</v>
      </c>
      <c r="AG2098">
        <v>-0.1506439</v>
      </c>
      <c r="AH2098">
        <v>95.980766543994207</v>
      </c>
      <c r="AI2098">
        <v>90.089504583782102</v>
      </c>
      <c r="AJ2098">
        <v>84.445038177140205</v>
      </c>
      <c r="AK2098">
        <v>96.4337559614968</v>
      </c>
      <c r="AL2098">
        <v>87.163240523259304</v>
      </c>
      <c r="AM2098">
        <v>95.602930747774593</v>
      </c>
      <c r="AN2098">
        <v>1.00000004753906</v>
      </c>
    </row>
    <row r="2099" spans="1:40" x14ac:dyDescent="0.25">
      <c r="A2099" t="str">
        <f>"20190305135832160"</f>
        <v>20190305135832160</v>
      </c>
      <c r="B2099" t="str">
        <f>"1551765512150431"</f>
        <v>1551765512150431</v>
      </c>
      <c r="C2099" t="s">
        <v>40</v>
      </c>
      <c r="D2099">
        <v>3.735738</v>
      </c>
      <c r="E2099">
        <v>0.57208840000000005</v>
      </c>
      <c r="F2099" t="s">
        <v>60</v>
      </c>
      <c r="G2099">
        <v>-524.52049999999997</v>
      </c>
      <c r="H2099">
        <v>0.89072369999999901</v>
      </c>
      <c r="I2099">
        <v>294.55</v>
      </c>
      <c r="J2099">
        <v>-416.96510000000001</v>
      </c>
      <c r="K2099">
        <v>1.110195</v>
      </c>
      <c r="L2099">
        <v>284.68630000000002</v>
      </c>
      <c r="M2099">
        <v>-0.99988759999999999</v>
      </c>
      <c r="N2099">
        <v>-1.4494190000000001E-2</v>
      </c>
      <c r="O2099">
        <v>-3.8433640000000002E-3</v>
      </c>
      <c r="P2099">
        <v>-0.9941316</v>
      </c>
      <c r="Q2099">
        <v>3.4982699999999999E-2</v>
      </c>
      <c r="R2099">
        <v>-0.10236629999999999</v>
      </c>
      <c r="S2099">
        <v>-3.045715</v>
      </c>
      <c r="T2099">
        <v>-6.1920880000000001E-3</v>
      </c>
      <c r="U2099">
        <v>0.27819820000000001</v>
      </c>
      <c r="V2099">
        <v>-9.8633100000000001E-2</v>
      </c>
      <c r="W2099">
        <v>4.9215759999999997E-2</v>
      </c>
      <c r="X2099">
        <v>0.99390610000000001</v>
      </c>
      <c r="Y2099">
        <v>9.4787449999999995E-2</v>
      </c>
      <c r="Z2099">
        <v>7.3676220000000003E-4</v>
      </c>
      <c r="AA2099">
        <v>0.99549730000000003</v>
      </c>
      <c r="AB2099">
        <v>44</v>
      </c>
      <c r="AC2099">
        <v>-107.555399999999</v>
      </c>
      <c r="AD2099">
        <v>-0.21947130000000001</v>
      </c>
      <c r="AE2099">
        <v>9.8636999999999908</v>
      </c>
      <c r="AF2099">
        <v>10.277002666081801</v>
      </c>
      <c r="AG2099">
        <v>-0.21947130000000001</v>
      </c>
      <c r="AH2099">
        <v>107.51624774119</v>
      </c>
      <c r="AI2099">
        <v>90.116426191722496</v>
      </c>
      <c r="AJ2099">
        <v>84.539938290931602</v>
      </c>
      <c r="AK2099">
        <v>108.006520542952</v>
      </c>
      <c r="AL2099">
        <v>87.179005073753501</v>
      </c>
      <c r="AM2099">
        <v>95.667354005815497</v>
      </c>
      <c r="AN2099">
        <v>1.0000000075325901</v>
      </c>
    </row>
    <row r="2100" spans="1:40" x14ac:dyDescent="0.25">
      <c r="A2100" t="str">
        <f>"20190305135832181"</f>
        <v>20190305135832181</v>
      </c>
      <c r="B2100" t="str">
        <f>"1551765512170927"</f>
        <v>1551765512170927</v>
      </c>
      <c r="C2100" t="s">
        <v>40</v>
      </c>
      <c r="D2100">
        <v>3.6825049999999999</v>
      </c>
      <c r="E2100">
        <v>0.57184740000000001</v>
      </c>
      <c r="F2100" t="s">
        <v>60</v>
      </c>
      <c r="G2100">
        <v>-527.37239999999997</v>
      </c>
      <c r="H2100">
        <v>0.87995709999999905</v>
      </c>
      <c r="I2100">
        <v>294.55</v>
      </c>
      <c r="J2100">
        <v>-417.39179999999999</v>
      </c>
      <c r="K2100">
        <v>1.110066</v>
      </c>
      <c r="L2100">
        <v>284.68439999999998</v>
      </c>
      <c r="M2100">
        <v>-0.99988650000000001</v>
      </c>
      <c r="N2100">
        <v>-1.449115E-2</v>
      </c>
      <c r="O2100">
        <v>-4.1361729999999999E-3</v>
      </c>
      <c r="P2100">
        <v>-0.9939209</v>
      </c>
      <c r="Q2100">
        <v>3.5551239999999998E-2</v>
      </c>
      <c r="R2100">
        <v>-0.104200399999999</v>
      </c>
      <c r="S2100">
        <v>-3.0459900000000002</v>
      </c>
      <c r="T2100">
        <v>-6.3495640000000002E-3</v>
      </c>
      <c r="U2100">
        <v>0.27212520000000001</v>
      </c>
      <c r="V2100">
        <v>-0.10016269999999999</v>
      </c>
      <c r="W2100">
        <v>4.9806309999999999E-2</v>
      </c>
      <c r="X2100">
        <v>0.99372369999999999</v>
      </c>
      <c r="Y2100">
        <v>9.3101950000000003E-2</v>
      </c>
      <c r="Z2100">
        <v>7.2159049999999999E-4</v>
      </c>
      <c r="AA2100">
        <v>0.99565630000000005</v>
      </c>
      <c r="AB2100">
        <v>43</v>
      </c>
      <c r="AC2100">
        <v>-109.980599999999</v>
      </c>
      <c r="AD2100">
        <v>-0.23010890000000001</v>
      </c>
      <c r="AE2100">
        <v>9.8656000000000201</v>
      </c>
      <c r="AF2100">
        <v>10.3204173067165</v>
      </c>
      <c r="AG2100">
        <v>-0.23010890000000001</v>
      </c>
      <c r="AH2100">
        <v>109.938371494275</v>
      </c>
      <c r="AI2100">
        <v>90.119399059852697</v>
      </c>
      <c r="AJ2100">
        <v>84.637099910411806</v>
      </c>
      <c r="AK2100">
        <v>110.421961087022</v>
      </c>
      <c r="AL2100">
        <v>87.145127519625305</v>
      </c>
      <c r="AM2100">
        <v>95.755706977157203</v>
      </c>
      <c r="AN2100">
        <v>1.00000001346439</v>
      </c>
    </row>
    <row r="2101" spans="1:40" x14ac:dyDescent="0.25">
      <c r="A2101" t="str">
        <f>"20190305135832204"</f>
        <v>20190305135832204</v>
      </c>
      <c r="B2101" t="str">
        <f>"1551765512201183"</f>
        <v>1551765512201183</v>
      </c>
      <c r="C2101" t="s">
        <v>40</v>
      </c>
      <c r="D2101">
        <v>3.7015530000000001</v>
      </c>
      <c r="E2101">
        <v>0.57163969999999997</v>
      </c>
      <c r="F2101" t="s">
        <v>60</v>
      </c>
      <c r="G2101">
        <v>-531.0652</v>
      </c>
      <c r="H2101">
        <v>0.99747300000000005</v>
      </c>
      <c r="I2101">
        <v>294.55</v>
      </c>
      <c r="J2101">
        <v>-417.8245</v>
      </c>
      <c r="K2101">
        <v>1.109944</v>
      </c>
      <c r="L2101">
        <v>284.68239999999997</v>
      </c>
      <c r="M2101">
        <v>-0.99988569999999999</v>
      </c>
      <c r="N2101">
        <v>-1.4488239999999999E-2</v>
      </c>
      <c r="O2101">
        <v>-4.3217150000000003E-3</v>
      </c>
      <c r="P2101">
        <v>-0.9936931</v>
      </c>
      <c r="Q2101">
        <v>3.6034289999999997E-2</v>
      </c>
      <c r="R2101">
        <v>-0.106188</v>
      </c>
      <c r="S2101">
        <v>-3.046173</v>
      </c>
      <c r="T2101">
        <v>-3.0149220000000002E-3</v>
      </c>
      <c r="U2101">
        <v>0.26437379999999999</v>
      </c>
      <c r="V2101">
        <v>-0.101953</v>
      </c>
      <c r="W2101">
        <v>5.031066E-2</v>
      </c>
      <c r="X2101">
        <v>0.99351619999999996</v>
      </c>
      <c r="Y2101">
        <v>9.0767879999999995E-2</v>
      </c>
      <c r="Z2101">
        <v>6.4541040000000004E-4</v>
      </c>
      <c r="AA2101">
        <v>0.99587179999999997</v>
      </c>
      <c r="AB2101">
        <v>43</v>
      </c>
      <c r="AC2101">
        <v>-113.2407</v>
      </c>
      <c r="AD2101">
        <v>-0.112471</v>
      </c>
      <c r="AE2101">
        <v>9.8676000000000297</v>
      </c>
      <c r="AF2101">
        <v>10.356943095083199</v>
      </c>
      <c r="AG2101">
        <v>-0.112471</v>
      </c>
      <c r="AH2101">
        <v>113.19688200900499</v>
      </c>
      <c r="AI2101">
        <v>90.056691551022297</v>
      </c>
      <c r="AJ2101">
        <v>84.772280724815502</v>
      </c>
      <c r="AK2101">
        <v>113.66975418536499</v>
      </c>
      <c r="AL2101">
        <v>87.116194103939705</v>
      </c>
      <c r="AM2101">
        <v>95.859089753490693</v>
      </c>
      <c r="AN2101">
        <v>1.00000000819053</v>
      </c>
    </row>
    <row r="2102" spans="1:40" x14ac:dyDescent="0.25">
      <c r="A2102" t="str">
        <f>"20190305135832217"</f>
        <v>20190305135832217</v>
      </c>
      <c r="B2102" t="str">
        <f>"1551765512210473"</f>
        <v>1551765512210473</v>
      </c>
      <c r="C2102" t="s">
        <v>40</v>
      </c>
      <c r="D2102">
        <v>3.6550560000000001</v>
      </c>
      <c r="E2102">
        <v>0.57161139999999999</v>
      </c>
      <c r="F2102" t="s">
        <v>60</v>
      </c>
      <c r="G2102">
        <v>-534.98030000000006</v>
      </c>
      <c r="H2102">
        <v>1.1204750000000001</v>
      </c>
      <c r="I2102">
        <v>294.55</v>
      </c>
      <c r="J2102">
        <v>-418.08949999999999</v>
      </c>
      <c r="K2102">
        <v>1.1098699999999999</v>
      </c>
      <c r="L2102">
        <v>284.68119999999999</v>
      </c>
      <c r="M2102">
        <v>-0.99988560000000004</v>
      </c>
      <c r="N2102">
        <v>-1.4486529999999999E-2</v>
      </c>
      <c r="O2102">
        <v>-4.3859019999999997E-3</v>
      </c>
      <c r="P2102">
        <v>-0.99355020000000005</v>
      </c>
      <c r="Q2102">
        <v>3.6488630000000001E-2</v>
      </c>
      <c r="R2102">
        <v>-0.10736320000000001</v>
      </c>
      <c r="S2102">
        <v>-3.0464479999999998</v>
      </c>
      <c r="T2102">
        <v>2.7608869999999998E-4</v>
      </c>
      <c r="U2102">
        <v>0.25659179999999998</v>
      </c>
      <c r="V2102">
        <v>-0.1030567</v>
      </c>
      <c r="W2102">
        <v>5.0777349999999999E-2</v>
      </c>
      <c r="X2102">
        <v>0.9933786</v>
      </c>
      <c r="Y2102">
        <v>8.8299039999999995E-2</v>
      </c>
      <c r="Z2102">
        <v>5.7292140000000003E-4</v>
      </c>
      <c r="AA2102">
        <v>0.99609389999999998</v>
      </c>
      <c r="AB2102">
        <v>43</v>
      </c>
      <c r="AC2102">
        <v>-116.8908</v>
      </c>
      <c r="AD2102">
        <v>1.0604999999999899E-2</v>
      </c>
      <c r="AE2102">
        <v>9.8688000000000198</v>
      </c>
      <c r="AF2102">
        <v>10.3814302933216</v>
      </c>
      <c r="AG2102">
        <v>1.0604999999999899E-2</v>
      </c>
      <c r="AH2102">
        <v>116.84638641486799</v>
      </c>
      <c r="AI2102">
        <v>89.994820228039998</v>
      </c>
      <c r="AJ2102">
        <v>84.922783412931196</v>
      </c>
      <c r="AK2102">
        <v>117.306658914206</v>
      </c>
      <c r="AL2102">
        <v>87.089420587234699</v>
      </c>
      <c r="AM2102">
        <v>95.922883862785497</v>
      </c>
      <c r="AN2102">
        <v>1.0000000328129299</v>
      </c>
    </row>
    <row r="2103" spans="1:40" x14ac:dyDescent="0.25">
      <c r="A2103" t="str">
        <f>"20190305135832229"</f>
        <v>20190305135832229</v>
      </c>
      <c r="B2103" t="str">
        <f>"1551765512221209"</f>
        <v>1551765512221209</v>
      </c>
      <c r="C2103" t="s">
        <v>40</v>
      </c>
      <c r="D2103">
        <v>3.8564780000000001</v>
      </c>
      <c r="E2103">
        <v>0.57145119999999905</v>
      </c>
      <c r="F2103" t="s">
        <v>60</v>
      </c>
      <c r="G2103">
        <v>-537.13819999999998</v>
      </c>
      <c r="H2103">
        <v>1.2315320000000001</v>
      </c>
      <c r="I2103">
        <v>294.55</v>
      </c>
      <c r="J2103">
        <v>-418.33819999999997</v>
      </c>
      <c r="K2103">
        <v>1.1097980000000001</v>
      </c>
      <c r="L2103">
        <v>284.68</v>
      </c>
      <c r="M2103">
        <v>-0.99988560000000004</v>
      </c>
      <c r="N2103">
        <v>-1.448496E-2</v>
      </c>
      <c r="O2103">
        <v>-4.3796809999999999E-3</v>
      </c>
      <c r="P2103">
        <v>-0.99333059999999995</v>
      </c>
      <c r="Q2103">
        <v>3.6611970000000001E-2</v>
      </c>
      <c r="R2103">
        <v>-0.1093344</v>
      </c>
      <c r="S2103">
        <v>-3.0466920000000002</v>
      </c>
      <c r="T2103">
        <v>3.1157730000000001E-3</v>
      </c>
      <c r="U2103">
        <v>0.2525635</v>
      </c>
      <c r="V2103">
        <v>-0.1050268</v>
      </c>
      <c r="W2103">
        <v>5.0912119999999998E-2</v>
      </c>
      <c r="X2103">
        <v>0.99316530000000003</v>
      </c>
      <c r="Y2103">
        <v>8.6978669999999994E-2</v>
      </c>
      <c r="Z2103">
        <v>5.1884860000000002E-4</v>
      </c>
      <c r="AA2103">
        <v>0.99621000000000004</v>
      </c>
      <c r="AB2103">
        <v>43</v>
      </c>
      <c r="AC2103">
        <v>-118.8</v>
      </c>
      <c r="AD2103">
        <v>0.12173399999999999</v>
      </c>
      <c r="AE2103">
        <v>9.8699999999999992</v>
      </c>
      <c r="AF2103">
        <v>10.3902551242898</v>
      </c>
      <c r="AG2103">
        <v>0.12173399999999999</v>
      </c>
      <c r="AH2103">
        <v>118.755504546799</v>
      </c>
      <c r="AI2103">
        <v>89.941490728094195</v>
      </c>
      <c r="AJ2103">
        <v>84.999763114369003</v>
      </c>
      <c r="AK2103">
        <v>119.20923655858</v>
      </c>
      <c r="AL2103">
        <v>87.081688718225607</v>
      </c>
      <c r="AM2103">
        <v>96.036568307908894</v>
      </c>
      <c r="AN2103">
        <v>0.99999999290261199</v>
      </c>
    </row>
    <row r="2104" spans="1:40" x14ac:dyDescent="0.25">
      <c r="A2104" t="str">
        <f>"20190305135832260"</f>
        <v>20190305135832260</v>
      </c>
      <c r="B2104" t="str">
        <f>"1551765512250489"</f>
        <v>1551765512250489</v>
      </c>
      <c r="C2104" t="s">
        <v>40</v>
      </c>
      <c r="D2104">
        <v>3.8139270000000001</v>
      </c>
      <c r="E2104">
        <v>0.50564719999999996</v>
      </c>
      <c r="F2104" t="s">
        <v>60</v>
      </c>
      <c r="G2104">
        <v>-540.92529999999999</v>
      </c>
      <c r="H2104">
        <v>1.206375</v>
      </c>
      <c r="I2104">
        <v>294.55</v>
      </c>
      <c r="J2104">
        <v>-418.91579999999999</v>
      </c>
      <c r="K2104">
        <v>1.109618</v>
      </c>
      <c r="L2104">
        <v>284.67750000000001</v>
      </c>
      <c r="M2104">
        <v>-0.99988630000000001</v>
      </c>
      <c r="N2104">
        <v>-1.448148E-2</v>
      </c>
      <c r="O2104">
        <v>-4.1997149999999997E-3</v>
      </c>
      <c r="P2104">
        <v>-0.99298189999999997</v>
      </c>
      <c r="Q2104">
        <v>3.5600069999999998E-2</v>
      </c>
      <c r="R2104">
        <v>-0.1127821</v>
      </c>
      <c r="S2104">
        <v>-3.0470579999999998</v>
      </c>
      <c r="T2104">
        <v>2.4026630000000002E-3</v>
      </c>
      <c r="U2104">
        <v>0.24533079999999999</v>
      </c>
      <c r="V2104">
        <v>-0.10863109999999999</v>
      </c>
      <c r="W2104">
        <v>4.9937269999999999E-2</v>
      </c>
      <c r="X2104">
        <v>0.99282709999999996</v>
      </c>
      <c r="Y2104">
        <v>8.4440139999999997E-2</v>
      </c>
      <c r="Z2104">
        <v>5.1516319999999997E-4</v>
      </c>
      <c r="AA2104">
        <v>0.99642839999999999</v>
      </c>
      <c r="AB2104">
        <v>43</v>
      </c>
      <c r="AC2104">
        <v>-122.0095</v>
      </c>
      <c r="AD2104">
        <v>9.6756999999999899E-2</v>
      </c>
      <c r="AE2104">
        <v>9.8725000000000005</v>
      </c>
      <c r="AF2104">
        <v>10.3848653033186</v>
      </c>
      <c r="AG2104">
        <v>9.6756999999999899E-2</v>
      </c>
      <c r="AH2104">
        <v>121.966881551162</v>
      </c>
      <c r="AI2104">
        <v>89.954710820700001</v>
      </c>
      <c r="AJ2104">
        <v>85.133291138782397</v>
      </c>
      <c r="AK2104">
        <v>122.408230869498</v>
      </c>
      <c r="AL2104">
        <v>87.1376148165362</v>
      </c>
      <c r="AM2104">
        <v>96.244231703564296</v>
      </c>
      <c r="AN2104">
        <v>1.00000004865833</v>
      </c>
    </row>
    <row r="2105" spans="1:40" x14ac:dyDescent="0.25">
      <c r="A2105" t="str">
        <f>"20190305135832281"</f>
        <v>20190305135832281</v>
      </c>
      <c r="B2105" t="str">
        <f>"1551765512270985"</f>
        <v>1551765512270985</v>
      </c>
      <c r="C2105" t="s">
        <v>40</v>
      </c>
      <c r="D2105">
        <v>3.7973080000000001</v>
      </c>
      <c r="E2105">
        <v>0.49519999999999997</v>
      </c>
      <c r="F2105" t="s">
        <v>58</v>
      </c>
      <c r="G2105">
        <v>-476.4468</v>
      </c>
      <c r="H2105">
        <v>8.0000550000000004E-2</v>
      </c>
      <c r="I2105">
        <v>279.20519999999999</v>
      </c>
      <c r="J2105">
        <v>-419.34039999999999</v>
      </c>
      <c r="K2105">
        <v>1.1094729999999999</v>
      </c>
      <c r="L2105">
        <v>284.67590000000001</v>
      </c>
      <c r="M2105">
        <v>-0.99988759999999999</v>
      </c>
      <c r="N2105">
        <v>-1.447936E-2</v>
      </c>
      <c r="O2105">
        <v>-3.8813789999999999E-3</v>
      </c>
      <c r="P2105">
        <v>-0.99282910000000002</v>
      </c>
      <c r="Q2105">
        <v>3.4594010000000001E-2</v>
      </c>
      <c r="R2105">
        <v>-0.1144276</v>
      </c>
      <c r="S2105">
        <v>-2.9908139999999999</v>
      </c>
      <c r="T2105">
        <v>-5.352581E-2</v>
      </c>
      <c r="U2105">
        <v>-0.28448489999999999</v>
      </c>
      <c r="V2105">
        <v>-0.1105748</v>
      </c>
      <c r="W2105">
        <v>4.8967629999999998E-2</v>
      </c>
      <c r="X2105">
        <v>0.99266080000000001</v>
      </c>
      <c r="Y2105">
        <v>-9.0800919999999993E-2</v>
      </c>
      <c r="Z2105">
        <v>-1.456384E-3</v>
      </c>
      <c r="AA2105">
        <v>0.99586799999999998</v>
      </c>
      <c r="AB2105">
        <v>43</v>
      </c>
      <c r="AC2105">
        <v>-57.106400000000001</v>
      </c>
      <c r="AD2105">
        <v>-1.0294724500000001</v>
      </c>
      <c r="AE2105">
        <v>-5.4707000000000203</v>
      </c>
      <c r="AF2105">
        <v>-5.2472941839804799</v>
      </c>
      <c r="AG2105">
        <v>-1.0294724500000001</v>
      </c>
      <c r="AH2105">
        <v>57.1088152527497</v>
      </c>
      <c r="AI2105">
        <v>91.028399900855504</v>
      </c>
      <c r="AJ2105">
        <v>95.249732619380893</v>
      </c>
      <c r="AK2105">
        <v>57.3586147788738</v>
      </c>
      <c r="AL2105">
        <v>87.193239127539698</v>
      </c>
      <c r="AM2105">
        <v>96.356107447452302</v>
      </c>
      <c r="AN2105">
        <v>1.0000000395197399</v>
      </c>
    </row>
    <row r="2106" spans="1:40" x14ac:dyDescent="0.25">
      <c r="A2106" t="str">
        <f>"20190305135832305"</f>
        <v>20190305135832305</v>
      </c>
      <c r="B2106" t="str">
        <f>"1551765512301241"</f>
        <v>1551765512301241</v>
      </c>
      <c r="C2106" t="s">
        <v>40</v>
      </c>
      <c r="D2106">
        <v>3.6909040000000002</v>
      </c>
      <c r="E2106">
        <v>0.49190519999999999</v>
      </c>
      <c r="F2106" t="s">
        <v>59</v>
      </c>
      <c r="G2106">
        <v>-464.32330000000002</v>
      </c>
      <c r="H2106">
        <v>8.0000440000000006E-2</v>
      </c>
      <c r="I2106">
        <v>279.06810000000002</v>
      </c>
      <c r="J2106">
        <v>-419.77910000000003</v>
      </c>
      <c r="K2106">
        <v>1.1093219999999999</v>
      </c>
      <c r="L2106">
        <v>284.67450000000002</v>
      </c>
      <c r="M2106">
        <v>-0.99988949999999999</v>
      </c>
      <c r="N2106">
        <v>-1.4477439999999999E-2</v>
      </c>
      <c r="O2106">
        <v>-3.4282919999999999E-3</v>
      </c>
      <c r="P2106">
        <v>-0.99268160000000005</v>
      </c>
      <c r="Q2106">
        <v>3.4754140000000003E-2</v>
      </c>
      <c r="R2106">
        <v>-0.11565449999999999</v>
      </c>
      <c r="S2106">
        <v>-2.9811399999999999</v>
      </c>
      <c r="T2106">
        <v>-6.8225980000000006E-2</v>
      </c>
      <c r="U2106">
        <v>-0.3716431</v>
      </c>
      <c r="V2106">
        <v>-0.1122326</v>
      </c>
      <c r="W2106">
        <v>4.9167660000000002E-2</v>
      </c>
      <c r="X2106">
        <v>0.99246480000000004</v>
      </c>
      <c r="Y2106">
        <v>-0.12025329999999999</v>
      </c>
      <c r="Z2106">
        <v>-2.2159369999999999E-3</v>
      </c>
      <c r="AA2106">
        <v>0.99274079999999998</v>
      </c>
      <c r="AB2106">
        <v>43</v>
      </c>
      <c r="AC2106">
        <v>-44.544199999999897</v>
      </c>
      <c r="AD2106">
        <v>-1.0293215600000001</v>
      </c>
      <c r="AE2106">
        <v>-5.6063999999999998</v>
      </c>
      <c r="AF2106">
        <v>-5.4507753606787599</v>
      </c>
      <c r="AG2106">
        <v>-1.0293215600000001</v>
      </c>
      <c r="AH2106">
        <v>44.539748387505703</v>
      </c>
      <c r="AI2106">
        <v>91.314079717787394</v>
      </c>
      <c r="AJ2106">
        <v>96.977164726326507</v>
      </c>
      <c r="AK2106">
        <v>44.883846106687301</v>
      </c>
      <c r="AL2106">
        <v>87.181764312263397</v>
      </c>
      <c r="AM2106">
        <v>96.451867626585198</v>
      </c>
      <c r="AN2106">
        <v>0.99999999726583699</v>
      </c>
    </row>
    <row r="2107" spans="1:40" x14ac:dyDescent="0.25">
      <c r="A2107" t="str">
        <f>"20190305135832328"</f>
        <v>20190305135832328</v>
      </c>
      <c r="B2107" t="str">
        <f>"1551765512321269"</f>
        <v>1551765512321269</v>
      </c>
      <c r="C2107" t="s">
        <v>40</v>
      </c>
      <c r="D2107">
        <v>3.678814</v>
      </c>
      <c r="E2107">
        <v>0.49201519999999999</v>
      </c>
      <c r="F2107" t="s">
        <v>59</v>
      </c>
      <c r="G2107">
        <v>-463.08620000000002</v>
      </c>
      <c r="H2107">
        <v>8.0000810000000006E-2</v>
      </c>
      <c r="I2107">
        <v>278.84100000000001</v>
      </c>
      <c r="J2107">
        <v>-420.22289999999998</v>
      </c>
      <c r="K2107">
        <v>1.1091610000000001</v>
      </c>
      <c r="L2107">
        <v>284.67340000000002</v>
      </c>
      <c r="M2107">
        <v>-0.99989119999999998</v>
      </c>
      <c r="N2107">
        <v>-1.447554E-2</v>
      </c>
      <c r="O2107">
        <v>-2.8362029999999998E-3</v>
      </c>
      <c r="P2107">
        <v>-0.9926336</v>
      </c>
      <c r="Q2107">
        <v>3.6473869999999999E-2</v>
      </c>
      <c r="R2107">
        <v>-0.11553529999999999</v>
      </c>
      <c r="S2107">
        <v>-2.9779049999999998</v>
      </c>
      <c r="T2107">
        <v>-7.0778610000000006E-2</v>
      </c>
      <c r="U2107">
        <v>-0.40112300000000001</v>
      </c>
      <c r="V2107">
        <v>-0.11268019999999999</v>
      </c>
      <c r="W2107">
        <v>5.0930219999999998E-2</v>
      </c>
      <c r="X2107">
        <v>0.99232520000000002</v>
      </c>
      <c r="Y2107">
        <v>-0.13062389999999999</v>
      </c>
      <c r="Z2107">
        <v>-2.4688520000000001E-3</v>
      </c>
      <c r="AA2107">
        <v>0.99142889999999995</v>
      </c>
      <c r="AB2107">
        <v>43</v>
      </c>
      <c r="AC2107">
        <v>-42.863300000000002</v>
      </c>
      <c r="AD2107">
        <v>-1.02916019</v>
      </c>
      <c r="AE2107">
        <v>-5.8323999999999998</v>
      </c>
      <c r="AF2107">
        <v>-5.7075642155114998</v>
      </c>
      <c r="AG2107">
        <v>-1.02916019</v>
      </c>
      <c r="AH2107">
        <v>42.855414397052002</v>
      </c>
      <c r="AI2107">
        <v>91.363640938650093</v>
      </c>
      <c r="AJ2107">
        <v>97.586116556410303</v>
      </c>
      <c r="AK2107">
        <v>43.246063440663903</v>
      </c>
      <c r="AL2107">
        <v>87.080650363531504</v>
      </c>
      <c r="AM2107">
        <v>96.4782838555723</v>
      </c>
      <c r="AN2107">
        <v>1.00000000866816</v>
      </c>
    </row>
    <row r="2108" spans="1:40" x14ac:dyDescent="0.25">
      <c r="A2108" t="str">
        <f>"20190305135832349"</f>
        <v>20190305135832349</v>
      </c>
      <c r="B2108" t="str">
        <f>"1551765512340792"</f>
        <v>1551765512340792</v>
      </c>
      <c r="C2108" t="s">
        <v>40</v>
      </c>
      <c r="D2108">
        <v>3.6728429999999999</v>
      </c>
      <c r="E2108">
        <v>0.49232209999999899</v>
      </c>
      <c r="F2108" t="s">
        <v>59</v>
      </c>
      <c r="G2108">
        <v>-456.13040000000001</v>
      </c>
      <c r="H2108" s="1">
        <v>1.9329050000000001E-6</v>
      </c>
      <c r="I2108">
        <v>279.8716</v>
      </c>
      <c r="J2108">
        <v>-420.63869999999997</v>
      </c>
      <c r="K2108">
        <v>1.1090169999999999</v>
      </c>
      <c r="L2108">
        <v>284.6728</v>
      </c>
      <c r="M2108">
        <v>-0.99989300000000003</v>
      </c>
      <c r="N2108">
        <v>-1.447388E-2</v>
      </c>
      <c r="O2108">
        <v>-2.1501129999999999E-3</v>
      </c>
      <c r="P2108">
        <v>-0.99275539999999995</v>
      </c>
      <c r="Q2108">
        <v>3.7501560000000003E-2</v>
      </c>
      <c r="R2108">
        <v>-0.11415019999999999</v>
      </c>
      <c r="S2108">
        <v>-2.9792480000000001</v>
      </c>
      <c r="T2108">
        <v>-9.2026949999999996E-2</v>
      </c>
      <c r="U2108">
        <v>-0.39840700000000001</v>
      </c>
      <c r="V2108">
        <v>-0.11195529999999999</v>
      </c>
      <c r="W2108">
        <v>5.1998820000000001E-2</v>
      </c>
      <c r="X2108">
        <v>0.99235180000000001</v>
      </c>
      <c r="Y2108">
        <v>-0.13032589999999999</v>
      </c>
      <c r="Z2108">
        <v>-2.916044E-3</v>
      </c>
      <c r="AA2108">
        <v>0.99146690000000004</v>
      </c>
      <c r="AB2108">
        <v>43</v>
      </c>
      <c r="AC2108">
        <v>-35.491700000000002</v>
      </c>
      <c r="AD2108">
        <v>-1.1090150670950001</v>
      </c>
      <c r="AE2108">
        <v>-4.8011999999999899</v>
      </c>
      <c r="AF2108">
        <v>-4.7203436953673696</v>
      </c>
      <c r="AG2108">
        <v>-1.1090150670950001</v>
      </c>
      <c r="AH2108">
        <v>35.467934112959497</v>
      </c>
      <c r="AI2108">
        <v>91.775303688014702</v>
      </c>
      <c r="AJ2108">
        <v>97.580811699544896</v>
      </c>
      <c r="AK2108">
        <v>35.7978478300397</v>
      </c>
      <c r="AL2108">
        <v>87.019342764480399</v>
      </c>
      <c r="AM2108">
        <v>96.436787251927697</v>
      </c>
      <c r="AN2108">
        <v>0.99999998072136098</v>
      </c>
    </row>
    <row r="2109" spans="1:40" x14ac:dyDescent="0.25">
      <c r="A2109" t="str">
        <f>"20190305135832371"</f>
        <v>20190305135832371</v>
      </c>
      <c r="B2109" t="str">
        <f>"1551765512361284"</f>
        <v>1551765512361284</v>
      </c>
      <c r="C2109" t="s">
        <v>40</v>
      </c>
      <c r="D2109">
        <v>3.8748309999999999</v>
      </c>
      <c r="E2109">
        <v>0.49299110000000002</v>
      </c>
      <c r="F2109" t="s">
        <v>59</v>
      </c>
      <c r="G2109">
        <v>-455.88229999999999</v>
      </c>
      <c r="H2109" s="1">
        <v>1.7936080000000001E-6</v>
      </c>
      <c r="I2109">
        <v>280.03840000000002</v>
      </c>
      <c r="J2109">
        <v>-421.06569999999999</v>
      </c>
      <c r="K2109">
        <v>1.1088579999999999</v>
      </c>
      <c r="L2109">
        <v>284.67250000000001</v>
      </c>
      <c r="M2109">
        <v>-0.99989439999999996</v>
      </c>
      <c r="N2109">
        <v>-1.447233E-2</v>
      </c>
      <c r="O2109">
        <v>-1.3104519999999999E-3</v>
      </c>
      <c r="P2109">
        <v>-0.99296790000000001</v>
      </c>
      <c r="Q2109">
        <v>3.852175E-2</v>
      </c>
      <c r="R2109">
        <v>-0.111941</v>
      </c>
      <c r="S2109">
        <v>-2.9803470000000001</v>
      </c>
      <c r="T2109">
        <v>-9.3782900000000002E-2</v>
      </c>
      <c r="U2109">
        <v>-0.3919067</v>
      </c>
      <c r="V2109">
        <v>-0.1105588</v>
      </c>
      <c r="W2109">
        <v>5.305928E-2</v>
      </c>
      <c r="X2109">
        <v>0.99245229999999995</v>
      </c>
      <c r="Y2109">
        <v>-0.1289833</v>
      </c>
      <c r="Z2109">
        <v>-2.935736E-3</v>
      </c>
      <c r="AA2109">
        <v>0.99164240000000003</v>
      </c>
      <c r="AB2109">
        <v>43</v>
      </c>
      <c r="AC2109">
        <v>-34.816599999999902</v>
      </c>
      <c r="AD2109">
        <v>-1.108856206392</v>
      </c>
      <c r="AE2109">
        <v>-4.6340999999999797</v>
      </c>
      <c r="AF2109">
        <v>-4.5838971260557999</v>
      </c>
      <c r="AG2109">
        <v>-1.108856206392</v>
      </c>
      <c r="AH2109">
        <v>34.787971381748797</v>
      </c>
      <c r="AI2109">
        <v>91.810032594312602</v>
      </c>
      <c r="AJ2109">
        <v>97.506433259654401</v>
      </c>
      <c r="AK2109">
        <v>35.106190733346303</v>
      </c>
      <c r="AL2109">
        <v>86.958499092616606</v>
      </c>
      <c r="AM2109">
        <v>96.356519462336905</v>
      </c>
      <c r="AN2109">
        <v>1.00000005161342</v>
      </c>
    </row>
    <row r="2110" spans="1:40" x14ac:dyDescent="0.25">
      <c r="A2110" t="str">
        <f>"20190305135832393"</f>
        <v>20190305135832393</v>
      </c>
      <c r="B2110" t="str">
        <f>"1551765512390564"</f>
        <v>1551765512390564</v>
      </c>
      <c r="C2110" t="s">
        <v>40</v>
      </c>
      <c r="D2110">
        <v>3.712399</v>
      </c>
      <c r="E2110">
        <v>0.49144789999999999</v>
      </c>
      <c r="F2110" t="s">
        <v>59</v>
      </c>
      <c r="G2110">
        <v>-455.42259999999999</v>
      </c>
      <c r="H2110" s="1">
        <v>1.5375549999999999E-6</v>
      </c>
      <c r="I2110">
        <v>280.29880000000003</v>
      </c>
      <c r="J2110">
        <v>-421.49160000000001</v>
      </c>
      <c r="K2110">
        <v>1.1087100000000001</v>
      </c>
      <c r="L2110">
        <v>284.67270000000002</v>
      </c>
      <c r="M2110">
        <v>-0.99989530000000004</v>
      </c>
      <c r="N2110">
        <v>-1.447084E-2</v>
      </c>
      <c r="O2110">
        <v>-3.4319109999999999E-4</v>
      </c>
      <c r="P2110">
        <v>-0.99327189999999999</v>
      </c>
      <c r="Q2110">
        <v>3.7815010000000003E-2</v>
      </c>
      <c r="R2110">
        <v>-0.1094589</v>
      </c>
      <c r="S2110">
        <v>-2.9821469999999999</v>
      </c>
      <c r="T2110">
        <v>-9.624779E-2</v>
      </c>
      <c r="U2110">
        <v>-0.3796387</v>
      </c>
      <c r="V2110">
        <v>-0.1090193</v>
      </c>
      <c r="W2110">
        <v>5.2391199999999902E-2</v>
      </c>
      <c r="X2110">
        <v>0.99265800000000004</v>
      </c>
      <c r="Y2110">
        <v>-0.1258503</v>
      </c>
      <c r="Z2110">
        <v>-2.9307510000000001E-3</v>
      </c>
      <c r="AA2110">
        <v>0.99204490000000001</v>
      </c>
      <c r="AB2110">
        <v>43</v>
      </c>
      <c r="AC2110">
        <v>-33.930999999999898</v>
      </c>
      <c r="AD2110">
        <v>-1.1087084624449901</v>
      </c>
      <c r="AE2110">
        <v>-4.3738999999999901</v>
      </c>
      <c r="AF2110">
        <v>-4.3576771458273598</v>
      </c>
      <c r="AG2110">
        <v>-1.1087084624449901</v>
      </c>
      <c r="AH2110">
        <v>33.896899721237901</v>
      </c>
      <c r="AI2110">
        <v>91.858096658050698</v>
      </c>
      <c r="AJ2110">
        <v>97.325582445335698</v>
      </c>
      <c r="AK2110">
        <v>34.193835632663699</v>
      </c>
      <c r="AL2110">
        <v>86.996830343198098</v>
      </c>
      <c r="AM2110">
        <v>96.267427636856894</v>
      </c>
      <c r="AN2110">
        <v>0.99999997528696405</v>
      </c>
    </row>
    <row r="2111" spans="1:40" x14ac:dyDescent="0.25">
      <c r="A2111" t="str">
        <f>"20190305135832416"</f>
        <v>20190305135832416</v>
      </c>
      <c r="B2111" t="str">
        <f>"1551765512411060"</f>
        <v>1551765512411060</v>
      </c>
      <c r="C2111" t="s">
        <v>40</v>
      </c>
      <c r="D2111">
        <v>3.656158</v>
      </c>
      <c r="E2111">
        <v>0.49101099999999998</v>
      </c>
      <c r="F2111" t="s">
        <v>59</v>
      </c>
      <c r="G2111">
        <v>-449.60219999999998</v>
      </c>
      <c r="H2111" s="1">
        <v>3.7285130000000001E-6</v>
      </c>
      <c r="I2111">
        <v>281.05869999999999</v>
      </c>
      <c r="J2111">
        <v>-421.93540000000002</v>
      </c>
      <c r="K2111">
        <v>1.108552</v>
      </c>
      <c r="L2111">
        <v>284.67349999999999</v>
      </c>
      <c r="M2111">
        <v>-0.99989499999999998</v>
      </c>
      <c r="N2111">
        <v>-1.4469310000000001E-2</v>
      </c>
      <c r="O2111">
        <v>7.864762E-4</v>
      </c>
      <c r="P2111">
        <v>-0.99353429999999998</v>
      </c>
      <c r="Q2111">
        <v>3.7095669999999997E-2</v>
      </c>
      <c r="R2111">
        <v>-0.1073009</v>
      </c>
      <c r="S2111">
        <v>-2.9825439999999999</v>
      </c>
      <c r="T2111">
        <v>-0.1176343</v>
      </c>
      <c r="U2111">
        <v>-0.3834534</v>
      </c>
      <c r="V2111">
        <v>-0.1079666</v>
      </c>
      <c r="W2111">
        <v>5.1708339999999998E-2</v>
      </c>
      <c r="X2111">
        <v>0.99280889999999999</v>
      </c>
      <c r="Y2111">
        <v>-0.12816169999999999</v>
      </c>
      <c r="Z2111">
        <v>-3.467174E-3</v>
      </c>
      <c r="AA2111">
        <v>0.99174720000000005</v>
      </c>
      <c r="AB2111">
        <v>43</v>
      </c>
      <c r="AC2111">
        <v>-27.666799999999899</v>
      </c>
      <c r="AD2111">
        <v>-1.1085482714870001</v>
      </c>
      <c r="AE2111">
        <v>-3.6147999999999998</v>
      </c>
      <c r="AF2111">
        <v>-3.6308292333854699</v>
      </c>
      <c r="AG2111">
        <v>-1.1085482714870001</v>
      </c>
      <c r="AH2111">
        <v>27.620349905340699</v>
      </c>
      <c r="AI2111">
        <v>92.278760366447003</v>
      </c>
      <c r="AJ2111">
        <v>97.488868847364401</v>
      </c>
      <c r="AK2111">
        <v>27.880020249018401</v>
      </c>
      <c r="AL2111">
        <v>87.036008596220299</v>
      </c>
      <c r="AM2111">
        <v>96.206447405963999</v>
      </c>
      <c r="AN2111">
        <v>1.00000002553016</v>
      </c>
    </row>
    <row r="2112" spans="1:40" x14ac:dyDescent="0.25">
      <c r="A2112" t="str">
        <f>"20190305135832439"</f>
        <v>20190305135832439</v>
      </c>
      <c r="B2112" t="str">
        <f>"1551765512430584"</f>
        <v>1551765512430584</v>
      </c>
      <c r="C2112" t="s">
        <v>40</v>
      </c>
      <c r="D2112">
        <v>3.6539259999999998</v>
      </c>
      <c r="E2112">
        <v>0.4906877</v>
      </c>
      <c r="F2112" t="s">
        <v>59</v>
      </c>
      <c r="G2112">
        <v>-450.41379999999998</v>
      </c>
      <c r="H2112" s="1">
        <v>-1.160426E-6</v>
      </c>
      <c r="I2112">
        <v>281.04349999999999</v>
      </c>
      <c r="J2112">
        <v>-422.3639</v>
      </c>
      <c r="K2112">
        <v>1.1084179999999999</v>
      </c>
      <c r="L2112">
        <v>284.67469999999997</v>
      </c>
      <c r="M2112">
        <v>-0.99989340000000004</v>
      </c>
      <c r="N2112">
        <v>-1.4467789999999999E-2</v>
      </c>
      <c r="O2112">
        <v>1.9844469999999999E-3</v>
      </c>
      <c r="P2112">
        <v>-0.99378</v>
      </c>
      <c r="Q2112">
        <v>3.5934239999999999E-2</v>
      </c>
      <c r="R2112">
        <v>-0.10540430000000001</v>
      </c>
      <c r="S2112">
        <v>-2.9827270000000001</v>
      </c>
      <c r="T2112">
        <v>-0.1161059</v>
      </c>
      <c r="U2112">
        <v>-0.38018800000000003</v>
      </c>
      <c r="V2112">
        <v>-0.107248</v>
      </c>
      <c r="W2112">
        <v>5.0579239999999998E-2</v>
      </c>
      <c r="X2112">
        <v>0.99294490000000002</v>
      </c>
      <c r="Y2112">
        <v>-0.12827649999999999</v>
      </c>
      <c r="Z2112">
        <v>-3.4661850000000001E-3</v>
      </c>
      <c r="AA2112">
        <v>0.99173239999999996</v>
      </c>
      <c r="AB2112">
        <v>43</v>
      </c>
      <c r="AC2112">
        <v>-28.049899999999901</v>
      </c>
      <c r="AD2112">
        <v>-1.1084191604260001</v>
      </c>
      <c r="AE2112">
        <v>-3.63119999999997</v>
      </c>
      <c r="AF2112">
        <v>-3.6812087053768199</v>
      </c>
      <c r="AG2112">
        <v>-1.1084191604260001</v>
      </c>
      <c r="AH2112">
        <v>27.999636940595799</v>
      </c>
      <c r="AI2112">
        <v>92.247656904357697</v>
      </c>
      <c r="AJ2112">
        <v>97.489915547461294</v>
      </c>
      <c r="AK2112">
        <v>28.2623346412309</v>
      </c>
      <c r="AL2112">
        <v>87.100785915627597</v>
      </c>
      <c r="AM2112">
        <v>96.164620011898194</v>
      </c>
      <c r="AN2112">
        <v>0.99999998372949295</v>
      </c>
    </row>
    <row r="2113" spans="1:40" x14ac:dyDescent="0.25">
      <c r="A2113" t="str">
        <f>"20190305135832460"</f>
        <v>20190305135832460</v>
      </c>
      <c r="B2113" t="str">
        <f>"1551765512451076"</f>
        <v>1551765512451076</v>
      </c>
      <c r="C2113" t="s">
        <v>40</v>
      </c>
      <c r="D2113">
        <v>3.6443059999999998</v>
      </c>
      <c r="E2113">
        <v>0.49039149999999998</v>
      </c>
      <c r="F2113" t="s">
        <v>59</v>
      </c>
      <c r="G2113">
        <v>-450.86709999999999</v>
      </c>
      <c r="H2113" s="1">
        <v>-9.2033179999999995E-7</v>
      </c>
      <c r="I2113">
        <v>281.06959999999998</v>
      </c>
      <c r="J2113">
        <v>-422.78160000000003</v>
      </c>
      <c r="K2113">
        <v>1.1082959999999999</v>
      </c>
      <c r="L2113">
        <v>284.67660000000001</v>
      </c>
      <c r="M2113">
        <v>-0.99989030000000001</v>
      </c>
      <c r="N2113">
        <v>-1.446627E-2</v>
      </c>
      <c r="O2113">
        <v>3.242202E-3</v>
      </c>
      <c r="P2113">
        <v>-0.99397219999999997</v>
      </c>
      <c r="Q2113">
        <v>3.5633829999999998E-2</v>
      </c>
      <c r="R2113">
        <v>-0.1036807</v>
      </c>
      <c r="S2113">
        <v>-2.982971</v>
      </c>
      <c r="T2113">
        <v>-0.1160002</v>
      </c>
      <c r="U2113">
        <v>-0.37728879999999998</v>
      </c>
      <c r="V2113">
        <v>-0.1067613</v>
      </c>
      <c r="W2113">
        <v>5.0306839999999999E-2</v>
      </c>
      <c r="X2113">
        <v>0.99301119999999998</v>
      </c>
      <c r="Y2113">
        <v>-0.1285647</v>
      </c>
      <c r="Z2113">
        <v>-3.5019059999999999E-3</v>
      </c>
      <c r="AA2113">
        <v>0.99169490000000005</v>
      </c>
      <c r="AB2113">
        <v>43</v>
      </c>
      <c r="AC2113">
        <v>-28.0854999999999</v>
      </c>
      <c r="AD2113">
        <v>-1.1082969203318001</v>
      </c>
      <c r="AE2113">
        <v>-3.6070000000000202</v>
      </c>
      <c r="AF2113">
        <v>-3.6923928719960899</v>
      </c>
      <c r="AG2113">
        <v>-1.1082969203318001</v>
      </c>
      <c r="AH2113">
        <v>28.030715004387499</v>
      </c>
      <c r="AI2113">
        <v>92.244846632613203</v>
      </c>
      <c r="AJ2113">
        <v>97.504177577119506</v>
      </c>
      <c r="AK2113">
        <v>28.294576703707399</v>
      </c>
      <c r="AL2113">
        <v>87.1164132228526</v>
      </c>
      <c r="AM2113">
        <v>96.136451813289597</v>
      </c>
      <c r="AN2113">
        <v>0.99999999832695696</v>
      </c>
    </row>
    <row r="2114" spans="1:40" x14ac:dyDescent="0.25">
      <c r="A2114" t="str">
        <f>"20190305135832483"</f>
        <v>20190305135832483</v>
      </c>
      <c r="B2114" t="str">
        <f>"1551765512470597"</f>
        <v>1551765512470597</v>
      </c>
      <c r="C2114" t="s">
        <v>40</v>
      </c>
      <c r="D2114">
        <v>3.7650809999999999</v>
      </c>
      <c r="E2114">
        <v>0.4905389</v>
      </c>
      <c r="F2114" t="s">
        <v>59</v>
      </c>
      <c r="G2114">
        <v>-451.7199</v>
      </c>
      <c r="H2114" s="1">
        <v>-4.6537510000000002E-7</v>
      </c>
      <c r="I2114">
        <v>281.0437</v>
      </c>
      <c r="J2114">
        <v>-423.21390000000002</v>
      </c>
      <c r="K2114">
        <v>1.1081859999999999</v>
      </c>
      <c r="L2114">
        <v>284.67910000000001</v>
      </c>
      <c r="M2114">
        <v>-0.99988480000000002</v>
      </c>
      <c r="N2114">
        <v>-1.4464609999999999E-2</v>
      </c>
      <c r="O2114">
        <v>4.6133399999999996E-3</v>
      </c>
      <c r="P2114">
        <v>-0.99410569999999998</v>
      </c>
      <c r="Q2114">
        <v>3.4978370000000002E-2</v>
      </c>
      <c r="R2114">
        <v>-0.1026198</v>
      </c>
      <c r="S2114">
        <v>-2.983215</v>
      </c>
      <c r="T2114">
        <v>-0.1142529</v>
      </c>
      <c r="U2114">
        <v>-0.3745117</v>
      </c>
      <c r="V2114">
        <v>-0.10705249999999999</v>
      </c>
      <c r="W2114">
        <v>4.9677720000000002E-2</v>
      </c>
      <c r="X2114">
        <v>0.99301150000000005</v>
      </c>
      <c r="Y2114">
        <v>-0.1290084</v>
      </c>
      <c r="Z2114">
        <v>-3.5065500000000002E-3</v>
      </c>
      <c r="AA2114">
        <v>0.99163730000000005</v>
      </c>
      <c r="AB2114">
        <v>43</v>
      </c>
      <c r="AC2114">
        <v>-28.505999999999901</v>
      </c>
      <c r="AD2114">
        <v>-1.1081864653750999</v>
      </c>
      <c r="AE2114">
        <v>-3.6354000000000002</v>
      </c>
      <c r="AF2114">
        <v>-3.7612894322549599</v>
      </c>
      <c r="AG2114">
        <v>-1.1081864653750999</v>
      </c>
      <c r="AH2114">
        <v>28.446619914149299</v>
      </c>
      <c r="AI2114">
        <v>92.211696198417997</v>
      </c>
      <c r="AJ2114">
        <v>97.532112285570506</v>
      </c>
      <c r="AK2114">
        <v>28.715597851608599</v>
      </c>
      <c r="AL2114">
        <v>87.152504209861107</v>
      </c>
      <c r="AM2114">
        <v>96.153059412824405</v>
      </c>
      <c r="AN2114">
        <v>0.999999976376449</v>
      </c>
    </row>
    <row r="2115" spans="1:40" x14ac:dyDescent="0.25">
      <c r="A2115" t="str">
        <f>"20190305135832505"</f>
        <v>20190305135832505</v>
      </c>
      <c r="B2115" t="str">
        <f>"1551765512500856"</f>
        <v>1551765512500856</v>
      </c>
      <c r="C2115" t="s">
        <v>40</v>
      </c>
      <c r="D2115">
        <v>3.6096529999999998</v>
      </c>
      <c r="E2115">
        <v>0.49008049999999997</v>
      </c>
      <c r="F2115" t="s">
        <v>59</v>
      </c>
      <c r="G2115">
        <v>-451.12549999999999</v>
      </c>
      <c r="H2115" s="1">
        <v>-7.8938149999999897E-7</v>
      </c>
      <c r="I2115">
        <v>281.2201</v>
      </c>
      <c r="J2115">
        <v>-423.6549</v>
      </c>
      <c r="K2115">
        <v>1.108093</v>
      </c>
      <c r="L2115">
        <v>284.6823</v>
      </c>
      <c r="M2115">
        <v>-0.99987700000000002</v>
      </c>
      <c r="N2115">
        <v>-1.446277E-2</v>
      </c>
      <c r="O2115">
        <v>6.0726520000000004E-3</v>
      </c>
      <c r="P2115">
        <v>-0.99416970000000005</v>
      </c>
      <c r="Q2115">
        <v>3.4347719999999998E-2</v>
      </c>
      <c r="R2115">
        <v>-0.10221239999999999</v>
      </c>
      <c r="S2115">
        <v>-2.9838260000000001</v>
      </c>
      <c r="T2115">
        <v>-0.1184679</v>
      </c>
      <c r="U2115">
        <v>-0.36978149999999999</v>
      </c>
      <c r="V2115">
        <v>-0.1080856</v>
      </c>
      <c r="W2115">
        <v>4.9072409999999997E-2</v>
      </c>
      <c r="X2115">
        <v>0.99292970000000003</v>
      </c>
      <c r="Y2115">
        <v>-0.12887390000000001</v>
      </c>
      <c r="Z2115">
        <v>-3.6363010000000002E-3</v>
      </c>
      <c r="AA2115">
        <v>0.99165429999999999</v>
      </c>
      <c r="AB2115">
        <v>43</v>
      </c>
      <c r="AC2115">
        <v>-27.470599999999902</v>
      </c>
      <c r="AD2115">
        <v>-1.1080937893814999</v>
      </c>
      <c r="AE2115">
        <v>-3.46219999999999</v>
      </c>
      <c r="AF2115">
        <v>-3.6231698711846101</v>
      </c>
      <c r="AG2115">
        <v>-1.1080937893814999</v>
      </c>
      <c r="AH2115">
        <v>27.405172448775801</v>
      </c>
      <c r="AI2115">
        <v>92.295469235557903</v>
      </c>
      <c r="AJ2115">
        <v>97.531256379173698</v>
      </c>
      <c r="AK2115">
        <v>27.665840104877901</v>
      </c>
      <c r="AL2115">
        <v>87.187228321084007</v>
      </c>
      <c r="AM2115">
        <v>96.212484641019998</v>
      </c>
      <c r="AN2115">
        <v>0.99999999374632897</v>
      </c>
    </row>
    <row r="2116" spans="1:40" x14ac:dyDescent="0.25">
      <c r="A2116" t="str">
        <f>"20190305135832528"</f>
        <v>20190305135832528</v>
      </c>
      <c r="B2116" t="str">
        <f>"1551765512520879"</f>
        <v>1551765512520879</v>
      </c>
      <c r="C2116" t="s">
        <v>40</v>
      </c>
      <c r="D2116">
        <v>3.5860759999999998</v>
      </c>
      <c r="E2116">
        <v>0.48986439999999998</v>
      </c>
      <c r="F2116" t="s">
        <v>59</v>
      </c>
      <c r="G2116">
        <v>-451.84210000000002</v>
      </c>
      <c r="H2116" s="1">
        <v>-4.0571460000000001E-7</v>
      </c>
      <c r="I2116">
        <v>281.16609999999997</v>
      </c>
      <c r="J2116">
        <v>-424.08819999999997</v>
      </c>
      <c r="K2116">
        <v>1.108012</v>
      </c>
      <c r="L2116">
        <v>284.68619999999999</v>
      </c>
      <c r="M2116">
        <v>-0.9998669</v>
      </c>
      <c r="N2116">
        <v>-1.446093E-2</v>
      </c>
      <c r="O2116">
        <v>7.5598089999999998E-3</v>
      </c>
      <c r="P2116">
        <v>-0.99417230000000001</v>
      </c>
      <c r="Q2116">
        <v>3.4010100000000001E-2</v>
      </c>
      <c r="R2116">
        <v>-0.1022995</v>
      </c>
      <c r="S2116">
        <v>-2.9833980000000002</v>
      </c>
      <c r="T2116">
        <v>-0.1172831</v>
      </c>
      <c r="U2116">
        <v>-0.37216189999999999</v>
      </c>
      <c r="V2116">
        <v>-0.1096415</v>
      </c>
      <c r="W2116">
        <v>4.875902E-2</v>
      </c>
      <c r="X2116">
        <v>0.9927745</v>
      </c>
      <c r="Y2116">
        <v>-0.1311445</v>
      </c>
      <c r="Z2116">
        <v>-3.7063780000000002E-3</v>
      </c>
      <c r="AA2116">
        <v>0.99135629999999997</v>
      </c>
      <c r="AB2116">
        <v>43</v>
      </c>
      <c r="AC2116">
        <v>-27.753900000000002</v>
      </c>
      <c r="AD2116">
        <v>-1.1080124057145999</v>
      </c>
      <c r="AE2116">
        <v>-3.52010000000001</v>
      </c>
      <c r="AF2116">
        <v>-3.72399407040038</v>
      </c>
      <c r="AG2116">
        <v>-1.1080124057145999</v>
      </c>
      <c r="AH2116">
        <v>27.6830691866001</v>
      </c>
      <c r="AI2116">
        <v>92.271595268114098</v>
      </c>
      <c r="AJ2116">
        <v>97.661573763058499</v>
      </c>
      <c r="AK2116">
        <v>27.954393982300601</v>
      </c>
      <c r="AL2116">
        <v>87.205205655627793</v>
      </c>
      <c r="AM2116">
        <v>96.302176635653694</v>
      </c>
      <c r="AN2116">
        <v>0.999999954201929</v>
      </c>
    </row>
    <row r="2117" spans="1:40" x14ac:dyDescent="0.25">
      <c r="A2117" t="str">
        <f>"20190305135832550"</f>
        <v>20190305135832550</v>
      </c>
      <c r="B2117" t="str">
        <f>"1551765512541375"</f>
        <v>1551765512541375</v>
      </c>
      <c r="C2117" t="s">
        <v>40</v>
      </c>
      <c r="D2117">
        <v>3.7481810000000002</v>
      </c>
      <c r="E2117">
        <v>0.48997879999999999</v>
      </c>
      <c r="F2117" t="s">
        <v>59</v>
      </c>
      <c r="G2117">
        <v>-452.41520000000003</v>
      </c>
      <c r="H2117" s="1">
        <v>-9.9282399999999904E-8</v>
      </c>
      <c r="I2117">
        <v>281.1327</v>
      </c>
      <c r="J2117">
        <v>-424.49900000000002</v>
      </c>
      <c r="K2117">
        <v>1.107947</v>
      </c>
      <c r="L2117">
        <v>284.69040000000001</v>
      </c>
      <c r="M2117">
        <v>-0.99985489999999999</v>
      </c>
      <c r="N2117">
        <v>-1.445923E-2</v>
      </c>
      <c r="O2117">
        <v>9.0146199999999992E-3</v>
      </c>
      <c r="P2117">
        <v>-0.99410589999999999</v>
      </c>
      <c r="Q2117">
        <v>3.464018E-2</v>
      </c>
      <c r="R2117">
        <v>-0.10273069999999999</v>
      </c>
      <c r="S2117">
        <v>-2.983063</v>
      </c>
      <c r="T2117">
        <v>-0.1166828</v>
      </c>
      <c r="U2117">
        <v>-0.3742065</v>
      </c>
      <c r="V2117">
        <v>-0.1115062</v>
      </c>
      <c r="W2117">
        <v>4.9411030000000002E-2</v>
      </c>
      <c r="X2117">
        <v>0.99253460000000004</v>
      </c>
      <c r="Y2117">
        <v>-0.133268</v>
      </c>
      <c r="Z2117">
        <v>-3.7843759999999999E-3</v>
      </c>
      <c r="AA2117">
        <v>0.99107279999999998</v>
      </c>
      <c r="AB2117">
        <v>43</v>
      </c>
      <c r="AC2117">
        <v>-27.9162</v>
      </c>
      <c r="AD2117">
        <v>-1.1079470992823901</v>
      </c>
      <c r="AE2117">
        <v>-3.5577000000000099</v>
      </c>
      <c r="AF2117">
        <v>-3.8033405030032301</v>
      </c>
      <c r="AG2117">
        <v>-1.1079470992823901</v>
      </c>
      <c r="AH2117">
        <v>27.839839357934999</v>
      </c>
      <c r="AI2117">
        <v>92.258055414781296</v>
      </c>
      <c r="AJ2117">
        <v>97.779306415140297</v>
      </c>
      <c r="AK2117">
        <v>28.120270290881201</v>
      </c>
      <c r="AL2117">
        <v>87.167803297876603</v>
      </c>
      <c r="AM2117">
        <v>96.410011046882602</v>
      </c>
      <c r="AN2117">
        <v>1.0000000073606301</v>
      </c>
    </row>
    <row r="2118" spans="1:40" x14ac:dyDescent="0.25">
      <c r="A2118" t="str">
        <f>"20190305135832572"</f>
        <v>20190305135832572</v>
      </c>
      <c r="B2118" t="str">
        <f>"1551765512560895"</f>
        <v>1551765512560895</v>
      </c>
      <c r="C2118" t="s">
        <v>40</v>
      </c>
      <c r="D2118">
        <v>3.5930840000000002</v>
      </c>
      <c r="E2118">
        <v>0.4897145</v>
      </c>
      <c r="F2118" t="s">
        <v>59</v>
      </c>
      <c r="G2118">
        <v>-453.15460000000002</v>
      </c>
      <c r="H2118" s="1">
        <v>2.9601229999999999E-7</v>
      </c>
      <c r="I2118">
        <v>281.09109999999998</v>
      </c>
      <c r="J2118">
        <v>-424.92970000000003</v>
      </c>
      <c r="K2118">
        <v>1.107882</v>
      </c>
      <c r="L2118">
        <v>284.69560000000001</v>
      </c>
      <c r="M2118">
        <v>-0.99983949999999999</v>
      </c>
      <c r="N2118">
        <v>-1.445748E-2</v>
      </c>
      <c r="O2118">
        <v>1.0582879999999999E-2</v>
      </c>
      <c r="P2118">
        <v>-0.9940696</v>
      </c>
      <c r="Q2118">
        <v>3.533294E-2</v>
      </c>
      <c r="R2118">
        <v>-0.10284600000000001</v>
      </c>
      <c r="S2118">
        <v>-2.9830930000000002</v>
      </c>
      <c r="T2118">
        <v>-0.11533889999999999</v>
      </c>
      <c r="U2118">
        <v>-0.37469479999999999</v>
      </c>
      <c r="V2118">
        <v>-0.113167</v>
      </c>
      <c r="W2118">
        <v>5.0125389999999999E-2</v>
      </c>
      <c r="X2118">
        <v>0.99231080000000005</v>
      </c>
      <c r="Y2118">
        <v>-0.1349813</v>
      </c>
      <c r="Z2118">
        <v>-3.833548E-3</v>
      </c>
      <c r="AA2118">
        <v>0.99084070000000002</v>
      </c>
      <c r="AB2118">
        <v>43</v>
      </c>
      <c r="AC2118">
        <v>-28.224899999999899</v>
      </c>
      <c r="AD2118">
        <v>-1.10788170398769</v>
      </c>
      <c r="AE2118">
        <v>-3.60450000000003</v>
      </c>
      <c r="AF2118">
        <v>-3.8971220538501101</v>
      </c>
      <c r="AG2118">
        <v>-1.10788170398769</v>
      </c>
      <c r="AH2118">
        <v>28.1425053458406</v>
      </c>
      <c r="AI2118">
        <v>92.233102440933905</v>
      </c>
      <c r="AJ2118">
        <v>97.8840731363792</v>
      </c>
      <c r="AK2118">
        <v>28.432649706161801</v>
      </c>
      <c r="AL2118">
        <v>87.126822749313703</v>
      </c>
      <c r="AM2118">
        <v>96.5061254324375</v>
      </c>
      <c r="AN2118">
        <v>1.00000002420414</v>
      </c>
    </row>
    <row r="2119" spans="1:40" x14ac:dyDescent="0.25">
      <c r="A2119" t="str">
        <f>"20190305135832595"</f>
        <v>20190305135832595</v>
      </c>
      <c r="B2119" t="str">
        <f>"1551765512591151"</f>
        <v>1551765512591151</v>
      </c>
      <c r="C2119" t="s">
        <v>40</v>
      </c>
      <c r="D2119">
        <v>3.6029599999999999</v>
      </c>
      <c r="E2119">
        <v>0.48946659999999997</v>
      </c>
      <c r="F2119" t="s">
        <v>59</v>
      </c>
      <c r="G2119">
        <v>-454.78660000000002</v>
      </c>
      <c r="H2119" s="1">
        <v>1.172063E-6</v>
      </c>
      <c r="I2119">
        <v>280.9178</v>
      </c>
      <c r="J2119">
        <v>-425.3569</v>
      </c>
      <c r="K2119">
        <v>1.1078220000000001</v>
      </c>
      <c r="L2119">
        <v>284.7013</v>
      </c>
      <c r="M2119">
        <v>-0.99982139999999997</v>
      </c>
      <c r="N2119">
        <v>-1.4455559999999999E-2</v>
      </c>
      <c r="O2119">
        <v>1.2174859999999999E-2</v>
      </c>
      <c r="P2119">
        <v>-0.99407190000000001</v>
      </c>
      <c r="Q2119">
        <v>3.5766720000000002E-2</v>
      </c>
      <c r="R2119">
        <v>-0.1026735</v>
      </c>
      <c r="S2119">
        <v>-2.9827880000000002</v>
      </c>
      <c r="T2119">
        <v>-0.1106806</v>
      </c>
      <c r="U2119">
        <v>-0.37741089999999999</v>
      </c>
      <c r="V2119">
        <v>-0.1145658</v>
      </c>
      <c r="W2119">
        <v>5.0578289999999998E-2</v>
      </c>
      <c r="X2119">
        <v>0.99212719999999999</v>
      </c>
      <c r="Y2119">
        <v>-0.13746630000000001</v>
      </c>
      <c r="Z2119">
        <v>-3.8121510000000002E-3</v>
      </c>
      <c r="AA2119">
        <v>0.99049909999999997</v>
      </c>
      <c r="AB2119">
        <v>43</v>
      </c>
      <c r="AC2119">
        <v>-29.4297</v>
      </c>
      <c r="AD2119">
        <v>-1.1078208279370001</v>
      </c>
      <c r="AE2119">
        <v>-3.7835000000000001</v>
      </c>
      <c r="AF2119">
        <v>-4.1357943347591899</v>
      </c>
      <c r="AG2119">
        <v>-1.1078208279370001</v>
      </c>
      <c r="AH2119">
        <v>29.340550579734401</v>
      </c>
      <c r="AI2119">
        <v>92.141161450576007</v>
      </c>
      <c r="AJ2119">
        <v>98.023454748720994</v>
      </c>
      <c r="AK2119">
        <v>29.651306380802001</v>
      </c>
      <c r="AL2119">
        <v>87.100840270524898</v>
      </c>
      <c r="AM2119">
        <v>96.587050179712307</v>
      </c>
      <c r="AN2119">
        <v>0.99999993346439897</v>
      </c>
    </row>
    <row r="2120" spans="1:40" x14ac:dyDescent="0.25">
      <c r="A2120" t="str">
        <f>"20190305135832618"</f>
        <v>20190305135832618</v>
      </c>
      <c r="B2120" t="str">
        <f>"1551765512611178"</f>
        <v>1551765512611178</v>
      </c>
      <c r="C2120" t="s">
        <v>40</v>
      </c>
      <c r="D2120">
        <v>3.6191559999999998</v>
      </c>
      <c r="E2120">
        <v>0.52802309999999997</v>
      </c>
      <c r="F2120" t="s">
        <v>59</v>
      </c>
      <c r="G2120">
        <v>-456.56869999999998</v>
      </c>
      <c r="H2120" s="1">
        <v>2.1284860000000001E-6</v>
      </c>
      <c r="I2120">
        <v>280.73360000000002</v>
      </c>
      <c r="J2120">
        <v>-425.80180000000001</v>
      </c>
      <c r="K2120">
        <v>1.1077619999999999</v>
      </c>
      <c r="L2120">
        <v>284.7081</v>
      </c>
      <c r="M2120">
        <v>-0.99979949999999995</v>
      </c>
      <c r="N2120">
        <v>-1.44537E-2</v>
      </c>
      <c r="O2120">
        <v>1.3862640000000001E-2</v>
      </c>
      <c r="P2120">
        <v>-0.99413130000000005</v>
      </c>
      <c r="Q2120">
        <v>3.5766729999999997E-2</v>
      </c>
      <c r="R2120">
        <v>-0.10209799999999999</v>
      </c>
      <c r="S2120">
        <v>-2.9825439999999999</v>
      </c>
      <c r="T2120">
        <v>-0.1058611</v>
      </c>
      <c r="U2120">
        <v>-0.3791504</v>
      </c>
      <c r="V2120">
        <v>-0.1156594</v>
      </c>
      <c r="W2120">
        <v>5.0595910000000001E-2</v>
      </c>
      <c r="X2120">
        <v>0.99199939999999998</v>
      </c>
      <c r="Y2120">
        <v>-0.13972419999999999</v>
      </c>
      <c r="Z2120">
        <v>-3.7737619999999999E-3</v>
      </c>
      <c r="AA2120">
        <v>0.99018329999999999</v>
      </c>
      <c r="AB2120">
        <v>43</v>
      </c>
      <c r="AC2120">
        <v>-30.7668999999999</v>
      </c>
      <c r="AD2120">
        <v>-1.107759871514</v>
      </c>
      <c r="AE2120">
        <v>-3.9744999999999702</v>
      </c>
      <c r="AF2120">
        <v>-4.3950689485494099</v>
      </c>
      <c r="AG2120">
        <v>-1.107759871514</v>
      </c>
      <c r="AH2120">
        <v>30.669733892302698</v>
      </c>
      <c r="AI2120">
        <v>92.0476662823787</v>
      </c>
      <c r="AJ2120">
        <v>98.155143062998405</v>
      </c>
      <c r="AK2120">
        <v>31.0028440634098</v>
      </c>
      <c r="AL2120">
        <v>87.099829403673397</v>
      </c>
      <c r="AM2120">
        <v>96.650216108433497</v>
      </c>
      <c r="AN2120">
        <v>0.99999992625872103</v>
      </c>
    </row>
    <row r="2121" spans="1:40" x14ac:dyDescent="0.25">
      <c r="A2121" t="str">
        <f>"20190305135832639"</f>
        <v>20190305135832639</v>
      </c>
      <c r="B2121" t="str">
        <f>"1551765512630702"</f>
        <v>1551765512630702</v>
      </c>
      <c r="C2121" t="s">
        <v>40</v>
      </c>
      <c r="D2121">
        <v>3.5646209999999998</v>
      </c>
      <c r="E2121">
        <v>0.54649959999999997</v>
      </c>
      <c r="F2121" t="s">
        <v>54</v>
      </c>
      <c r="G2121">
        <v>-594.93600000000004</v>
      </c>
      <c r="H2121">
        <v>-0.1</v>
      </c>
      <c r="I2121">
        <v>280.4495</v>
      </c>
      <c r="J2121">
        <v>-426.21289999999999</v>
      </c>
      <c r="K2121">
        <v>1.1077170000000001</v>
      </c>
      <c r="L2121">
        <v>284.71510000000001</v>
      </c>
      <c r="M2121">
        <v>-0.99977640000000001</v>
      </c>
      <c r="N2121">
        <v>-1.4451719999999999E-2</v>
      </c>
      <c r="O2121">
        <v>1.544384E-2</v>
      </c>
      <c r="P2121">
        <v>-0.99423099999999998</v>
      </c>
      <c r="Q2121">
        <v>3.5633310000000001E-2</v>
      </c>
      <c r="R2121">
        <v>-0.10116989999999999</v>
      </c>
      <c r="S2121">
        <v>-3.0107119999999998</v>
      </c>
      <c r="T2121">
        <v>-2.1499040000000001E-2</v>
      </c>
      <c r="U2121">
        <v>-7.5805659999999997E-2</v>
      </c>
      <c r="V2121">
        <v>-0.1162977</v>
      </c>
      <c r="W2121">
        <v>5.0474940000000003E-2</v>
      </c>
      <c r="X2121">
        <v>0.99193100000000001</v>
      </c>
      <c r="Y2121">
        <v>-4.0604700000000001E-2</v>
      </c>
      <c r="Z2121">
        <v>-3.255283E-4</v>
      </c>
      <c r="AA2121">
        <v>0.99917529999999999</v>
      </c>
      <c r="AB2121">
        <v>43</v>
      </c>
      <c r="AC2121">
        <v>-168.72309999999999</v>
      </c>
      <c r="AD2121">
        <v>-1.2077169999999999</v>
      </c>
      <c r="AE2121">
        <v>-4.2656000000000001</v>
      </c>
      <c r="AF2121">
        <v>-6.8707437856315599</v>
      </c>
      <c r="AG2121">
        <v>-1.2077169999999999</v>
      </c>
      <c r="AH2121">
        <v>168.62845477599001</v>
      </c>
      <c r="AI2121">
        <v>90.410005178115398</v>
      </c>
      <c r="AJ2121">
        <v>92.333218267498395</v>
      </c>
      <c r="AK2121">
        <v>168.77269169109599</v>
      </c>
      <c r="AL2121">
        <v>87.106769531442893</v>
      </c>
      <c r="AM2121">
        <v>96.687042734795696</v>
      </c>
      <c r="AN2121">
        <v>0.99999999167714604</v>
      </c>
    </row>
    <row r="2122" spans="1:40" x14ac:dyDescent="0.25">
      <c r="A2122" t="str">
        <f>"20190305135832660"</f>
        <v>20190305135832660</v>
      </c>
      <c r="B2122" t="str">
        <f>"1551765512651194"</f>
        <v>1551765512651194</v>
      </c>
      <c r="C2122" t="s">
        <v>40</v>
      </c>
      <c r="D2122">
        <v>3.5376430000000001</v>
      </c>
      <c r="E2122">
        <v>0.55357780000000001</v>
      </c>
      <c r="F2122" t="s">
        <v>43</v>
      </c>
      <c r="G2122">
        <v>-523.81610000000001</v>
      </c>
      <c r="H2122">
        <v>-0.05</v>
      </c>
      <c r="I2122">
        <v>287.11869999999999</v>
      </c>
      <c r="J2122">
        <v>-426.6309</v>
      </c>
      <c r="K2122">
        <v>1.107688</v>
      </c>
      <c r="L2122">
        <v>284.72289999999998</v>
      </c>
      <c r="M2122">
        <v>-0.99975000000000003</v>
      </c>
      <c r="N2122">
        <v>-1.444961E-2</v>
      </c>
      <c r="O2122">
        <v>1.7067479999999999E-2</v>
      </c>
      <c r="P2122">
        <v>-0.99436789999999997</v>
      </c>
      <c r="Q2122">
        <v>3.5507549999999999E-2</v>
      </c>
      <c r="R2122">
        <v>-9.9861169999999999E-2</v>
      </c>
      <c r="S2122">
        <v>-3.0263059999999999</v>
      </c>
      <c r="T2122">
        <v>-3.5896419999999998E-2</v>
      </c>
      <c r="U2122">
        <v>7.4523930000000002E-2</v>
      </c>
      <c r="V2122">
        <v>-0.1166002</v>
      </c>
      <c r="W2122">
        <v>5.0357789999999999E-2</v>
      </c>
      <c r="X2122">
        <v>0.99190149999999999</v>
      </c>
      <c r="Y2122">
        <v>7.5491179999999996E-3</v>
      </c>
      <c r="Z2122">
        <v>1.4354799999999999E-4</v>
      </c>
      <c r="AA2122">
        <v>0.99997150000000001</v>
      </c>
      <c r="AB2122">
        <v>43</v>
      </c>
      <c r="AC2122">
        <v>-97.185199999999995</v>
      </c>
      <c r="AD2122">
        <v>-1.1576879999999901</v>
      </c>
      <c r="AE2122">
        <v>2.3957999999999999</v>
      </c>
      <c r="AF2122">
        <v>0.73646699404598204</v>
      </c>
      <c r="AG2122">
        <v>-1.1576879999999901</v>
      </c>
      <c r="AH2122">
        <v>97.198151526266201</v>
      </c>
      <c r="AI2122">
        <v>90.682375079467505</v>
      </c>
      <c r="AJ2122">
        <v>89.5658801904179</v>
      </c>
      <c r="AK2122">
        <v>97.207835513716006</v>
      </c>
      <c r="AL2122">
        <v>87.113490446500293</v>
      </c>
      <c r="AM2122">
        <v>96.704475736727105</v>
      </c>
      <c r="AN2122">
        <v>1.00000004967798</v>
      </c>
    </row>
    <row r="2123" spans="1:40" x14ac:dyDescent="0.25">
      <c r="A2123" t="str">
        <f>"20190305135832685"</f>
        <v>20190305135832685</v>
      </c>
      <c r="B2123" t="str">
        <f>"1551765512670714"</f>
        <v>1551765512670714</v>
      </c>
      <c r="C2123" t="s">
        <v>40</v>
      </c>
      <c r="D2123">
        <v>3.5264090000000001</v>
      </c>
      <c r="E2123">
        <v>0.55599109999999996</v>
      </c>
      <c r="F2123" t="s">
        <v>58</v>
      </c>
      <c r="G2123">
        <v>-504.65519999999998</v>
      </c>
      <c r="H2123">
        <v>7.9981819999999995E-2</v>
      </c>
      <c r="I2123">
        <v>288.19490000000002</v>
      </c>
      <c r="J2123">
        <v>-427.05810000000002</v>
      </c>
      <c r="K2123">
        <v>1.1076549999999901</v>
      </c>
      <c r="L2123">
        <v>284.73160000000001</v>
      </c>
      <c r="M2123">
        <v>-0.99972000000000005</v>
      </c>
      <c r="N2123">
        <v>-1.4447440000000001E-2</v>
      </c>
      <c r="O2123">
        <v>1.87371E-2</v>
      </c>
      <c r="P2123">
        <v>-0.99449829999999995</v>
      </c>
      <c r="Q2123">
        <v>3.600478E-2</v>
      </c>
      <c r="R2123">
        <v>-9.8371550000000002E-2</v>
      </c>
      <c r="S2123">
        <v>-3.031952</v>
      </c>
      <c r="T2123">
        <v>-3.9935709999999999E-2</v>
      </c>
      <c r="U2123">
        <v>0.13491819999999999</v>
      </c>
      <c r="V2123">
        <v>-0.1167647</v>
      </c>
      <c r="W2123">
        <v>5.0861169999999997E-2</v>
      </c>
      <c r="X2123">
        <v>0.99185639999999997</v>
      </c>
      <c r="Y2123">
        <v>2.5721810000000001E-2</v>
      </c>
      <c r="Z2123">
        <v>3.7922930000000002E-4</v>
      </c>
      <c r="AA2123">
        <v>0.99966909999999998</v>
      </c>
      <c r="AB2123">
        <v>43</v>
      </c>
      <c r="AC2123">
        <v>-77.597099999999898</v>
      </c>
      <c r="AD2123">
        <v>-1.0276731800000001</v>
      </c>
      <c r="AE2123">
        <v>3.4632999999999998</v>
      </c>
      <c r="AF2123">
        <v>2.0082438675936798</v>
      </c>
      <c r="AG2123">
        <v>-1.0276731800000001</v>
      </c>
      <c r="AH2123">
        <v>77.634783840859896</v>
      </c>
      <c r="AI2123">
        <v>90.758142258752798</v>
      </c>
      <c r="AJ2123">
        <v>88.518212614946904</v>
      </c>
      <c r="AK2123">
        <v>77.667553184155693</v>
      </c>
      <c r="AL2123">
        <v>87.084611705017096</v>
      </c>
      <c r="AM2123">
        <v>96.714150643217096</v>
      </c>
      <c r="AN2123">
        <v>0.99999998600040896</v>
      </c>
    </row>
    <row r="2124" spans="1:40" x14ac:dyDescent="0.25">
      <c r="A2124" t="str">
        <f>"20190305135832708"</f>
        <v>20190305135832708</v>
      </c>
      <c r="B2124" t="str">
        <f>"1551765512700970"</f>
        <v>1551765512700970</v>
      </c>
      <c r="C2124" t="s">
        <v>40</v>
      </c>
      <c r="D2124">
        <v>3.5722990000000001</v>
      </c>
      <c r="E2124">
        <v>0.55774480000000004</v>
      </c>
      <c r="F2124" t="s">
        <v>43</v>
      </c>
      <c r="G2124">
        <v>-528.29639999999995</v>
      </c>
      <c r="H2124">
        <v>-0.05</v>
      </c>
      <c r="I2124">
        <v>290.0256</v>
      </c>
      <c r="J2124">
        <v>-427.5025</v>
      </c>
      <c r="K2124">
        <v>1.1076299999999999</v>
      </c>
      <c r="L2124">
        <v>284.7414</v>
      </c>
      <c r="M2124">
        <v>-0.99968590000000002</v>
      </c>
      <c r="N2124">
        <v>-1.4444899999999899E-2</v>
      </c>
      <c r="O2124">
        <v>2.0480689999999999E-2</v>
      </c>
      <c r="P2124">
        <v>-0.99460970000000004</v>
      </c>
      <c r="Q2124">
        <v>3.6072010000000002E-2</v>
      </c>
      <c r="R2124">
        <v>-9.7213599999999997E-2</v>
      </c>
      <c r="S2124">
        <v>-3.0335079999999999</v>
      </c>
      <c r="T2124">
        <v>-3.4687999999999997E-2</v>
      </c>
      <c r="U2124">
        <v>0.15863039999999901</v>
      </c>
      <c r="V2124">
        <v>-0.11733689999999999</v>
      </c>
      <c r="W2124">
        <v>5.0934029999999998E-2</v>
      </c>
      <c r="X2124">
        <v>0.99178520000000003</v>
      </c>
      <c r="Y2124">
        <v>3.1750929999999997E-2</v>
      </c>
      <c r="Z2124">
        <v>4.7263840000000002E-4</v>
      </c>
      <c r="AA2124">
        <v>0.99949569999999999</v>
      </c>
      <c r="AB2124">
        <v>43</v>
      </c>
      <c r="AC2124">
        <v>-100.793899999999</v>
      </c>
      <c r="AD2124">
        <v>-1.1576299999999999</v>
      </c>
      <c r="AE2124">
        <v>5.2841999999999896</v>
      </c>
      <c r="AF2124">
        <v>3.2181240609713901</v>
      </c>
      <c r="AG2124">
        <v>-1.1576299999999999</v>
      </c>
      <c r="AH2124">
        <v>100.86772049922899</v>
      </c>
      <c r="AI2124">
        <v>90.657204051509893</v>
      </c>
      <c r="AJ2124">
        <v>88.172632407309393</v>
      </c>
      <c r="AK2124">
        <v>100.92568289785901</v>
      </c>
      <c r="AL2124">
        <v>87.080431913124698</v>
      </c>
      <c r="AM2124">
        <v>96.747230335779903</v>
      </c>
      <c r="AN2124">
        <v>1.00000005322634</v>
      </c>
    </row>
    <row r="2125" spans="1:40" x14ac:dyDescent="0.25">
      <c r="A2125" t="str">
        <f>"20190305135832729"</f>
        <v>20190305135832729</v>
      </c>
      <c r="B2125" t="str">
        <f>"1551765512720997"</f>
        <v>1551765512720997</v>
      </c>
      <c r="C2125" t="s">
        <v>40</v>
      </c>
      <c r="D2125">
        <v>3.529074</v>
      </c>
      <c r="E2125">
        <v>0.55852919999999995</v>
      </c>
      <c r="F2125" t="s">
        <v>43</v>
      </c>
      <c r="G2125">
        <v>-539.47199999999998</v>
      </c>
      <c r="H2125">
        <v>-0.05</v>
      </c>
      <c r="I2125">
        <v>291.24180000000001</v>
      </c>
      <c r="J2125">
        <v>-427.92899999999997</v>
      </c>
      <c r="K2125">
        <v>1.107607</v>
      </c>
      <c r="L2125">
        <v>284.75150000000002</v>
      </c>
      <c r="M2125">
        <v>-0.99965020000000004</v>
      </c>
      <c r="N2125">
        <v>-1.444255E-2</v>
      </c>
      <c r="O2125">
        <v>2.2157090000000001E-2</v>
      </c>
      <c r="P2125">
        <v>-0.99475230000000003</v>
      </c>
      <c r="Q2125">
        <v>3.555908E-2</v>
      </c>
      <c r="R2125">
        <v>-9.593401E-2</v>
      </c>
      <c r="S2125">
        <v>-3.0346679999999999</v>
      </c>
      <c r="T2125">
        <v>-3.1374810000000003E-2</v>
      </c>
      <c r="U2125">
        <v>0.176178</v>
      </c>
      <c r="V2125">
        <v>-0.11772539999999999</v>
      </c>
      <c r="W2125">
        <v>5.0424940000000001E-2</v>
      </c>
      <c r="X2125">
        <v>0.99176509999999996</v>
      </c>
      <c r="Y2125">
        <v>3.581674E-2</v>
      </c>
      <c r="Z2125">
        <v>5.3487949999999999E-4</v>
      </c>
      <c r="AA2125">
        <v>0.99935819999999997</v>
      </c>
      <c r="AB2125">
        <v>43</v>
      </c>
      <c r="AC2125">
        <v>-111.542999999999</v>
      </c>
      <c r="AD2125">
        <v>-1.1576070000000001</v>
      </c>
      <c r="AE2125">
        <v>6.4902999999999897</v>
      </c>
      <c r="AF2125">
        <v>4.0165491330913499</v>
      </c>
      <c r="AG2125">
        <v>-1.1576070000000001</v>
      </c>
      <c r="AH2125">
        <v>111.647447349633</v>
      </c>
      <c r="AI2125">
        <v>90.593661085433297</v>
      </c>
      <c r="AJ2125">
        <v>87.939656340312396</v>
      </c>
      <c r="AK2125">
        <v>111.725669479283</v>
      </c>
      <c r="AL2125">
        <v>87.109637936407694</v>
      </c>
      <c r="AM2125">
        <v>96.769499216904293</v>
      </c>
      <c r="AN2125">
        <v>0.99999997897858595</v>
      </c>
    </row>
    <row r="2126" spans="1:40" x14ac:dyDescent="0.25">
      <c r="A2126" t="str">
        <f>"20190305135832751"</f>
        <v>20190305135832751</v>
      </c>
      <c r="B2126" t="str">
        <f>"1551765512740517"</f>
        <v>1551765512740517</v>
      </c>
      <c r="C2126" t="s">
        <v>40</v>
      </c>
      <c r="D2126">
        <v>3.5388929999999998</v>
      </c>
      <c r="E2126">
        <v>0.55901859999999903</v>
      </c>
      <c r="F2126" t="s">
        <v>43</v>
      </c>
      <c r="G2126">
        <v>-520.86170000000004</v>
      </c>
      <c r="H2126">
        <v>-0.05</v>
      </c>
      <c r="I2126">
        <v>290.471</v>
      </c>
      <c r="J2126">
        <v>-428.33710000000002</v>
      </c>
      <c r="K2126">
        <v>1.1075999999999999</v>
      </c>
      <c r="L2126">
        <v>284.76179999999999</v>
      </c>
      <c r="M2126">
        <v>-0.99961350000000004</v>
      </c>
      <c r="N2126">
        <v>-1.44403E-2</v>
      </c>
      <c r="O2126">
        <v>2.3762109999999999E-2</v>
      </c>
      <c r="P2126">
        <v>-0.99491439999999998</v>
      </c>
      <c r="Q2126">
        <v>3.4821190000000002E-2</v>
      </c>
      <c r="R2126">
        <v>-9.4515479999999999E-2</v>
      </c>
      <c r="S2126">
        <v>-3.0351560000000002</v>
      </c>
      <c r="T2126">
        <v>-3.7807109999999998E-2</v>
      </c>
      <c r="U2126">
        <v>0.18679809999999999</v>
      </c>
      <c r="V2126">
        <v>-0.1179057</v>
      </c>
      <c r="W2126">
        <v>4.9689629999999999E-2</v>
      </c>
      <c r="X2126">
        <v>0.99178080000000002</v>
      </c>
      <c r="Y2126">
        <v>3.7685280000000002E-2</v>
      </c>
      <c r="Z2126">
        <v>5.5415839999999896E-4</v>
      </c>
      <c r="AA2126">
        <v>0.99928950000000005</v>
      </c>
      <c r="AB2126">
        <v>43</v>
      </c>
      <c r="AC2126">
        <v>-92.524600000000007</v>
      </c>
      <c r="AD2126">
        <v>-1.1576</v>
      </c>
      <c r="AE2126">
        <v>5.7092000000000098</v>
      </c>
      <c r="AF2126">
        <v>3.5082319096159198</v>
      </c>
      <c r="AG2126">
        <v>-1.1576</v>
      </c>
      <c r="AH2126">
        <v>92.619703248859395</v>
      </c>
      <c r="AI2126">
        <v>90.715556385006906</v>
      </c>
      <c r="AJ2126">
        <v>87.830798118834196</v>
      </c>
      <c r="AK2126">
        <v>92.693350132565797</v>
      </c>
      <c r="AL2126">
        <v>87.151820996003295</v>
      </c>
      <c r="AM2126">
        <v>96.779664149154797</v>
      </c>
      <c r="AN2126">
        <v>0.99999998433533299</v>
      </c>
    </row>
    <row r="2127" spans="1:40" x14ac:dyDescent="0.25">
      <c r="A2127" t="str">
        <f>"20190305135832773"</f>
        <v>20190305135832773</v>
      </c>
      <c r="B2127" t="str">
        <f>"1551765512761013"</f>
        <v>1551765512761013</v>
      </c>
      <c r="C2127" t="s">
        <v>40</v>
      </c>
      <c r="D2127">
        <v>3.5470000000000002</v>
      </c>
      <c r="E2127">
        <v>0.55947060000000004</v>
      </c>
      <c r="F2127" t="s">
        <v>58</v>
      </c>
      <c r="G2127">
        <v>-499.95780000000002</v>
      </c>
      <c r="H2127">
        <v>3.7697899999999999E-2</v>
      </c>
      <c r="I2127">
        <v>289.36439999999999</v>
      </c>
      <c r="J2127">
        <v>-428.75990000000002</v>
      </c>
      <c r="K2127">
        <v>1.1075950000000001</v>
      </c>
      <c r="L2127">
        <v>284.77330000000001</v>
      </c>
      <c r="M2127">
        <v>-0.99957260000000003</v>
      </c>
      <c r="N2127">
        <v>-1.443812E-2</v>
      </c>
      <c r="O2127">
        <v>2.5425679999999999E-2</v>
      </c>
      <c r="P2127">
        <v>-0.99509559999999997</v>
      </c>
      <c r="Q2127">
        <v>3.4856209999999999E-2</v>
      </c>
      <c r="R2127">
        <v>-9.2575320000000003E-2</v>
      </c>
      <c r="S2127">
        <v>-3.0354610000000002</v>
      </c>
      <c r="T2127">
        <v>-4.5345070000000001E-2</v>
      </c>
      <c r="U2127">
        <v>0.1950684</v>
      </c>
      <c r="V2127">
        <v>-0.1176208</v>
      </c>
      <c r="W2127">
        <v>4.9724879999999999E-2</v>
      </c>
      <c r="X2127">
        <v>0.9918129</v>
      </c>
      <c r="Y2127">
        <v>3.872569E-2</v>
      </c>
      <c r="Z2127">
        <v>5.5637699999999896E-4</v>
      </c>
      <c r="AA2127">
        <v>0.99924970000000002</v>
      </c>
      <c r="AB2127">
        <v>43</v>
      </c>
      <c r="AC2127">
        <v>-71.197900000000004</v>
      </c>
      <c r="AD2127">
        <v>-1.0698970999999999</v>
      </c>
      <c r="AE2127">
        <v>4.5910999999999804</v>
      </c>
      <c r="AF2127">
        <v>2.7785471671729902</v>
      </c>
      <c r="AG2127">
        <v>-1.0698970999999999</v>
      </c>
      <c r="AH2127">
        <v>71.275593660523498</v>
      </c>
      <c r="AI2127">
        <v>90.859332997196503</v>
      </c>
      <c r="AJ2127">
        <v>87.767560437434994</v>
      </c>
      <c r="AK2127">
        <v>71.337754771403098</v>
      </c>
      <c r="AL2127">
        <v>87.149798928701003</v>
      </c>
      <c r="AM2127">
        <v>96.763217259442399</v>
      </c>
      <c r="AN2127">
        <v>1.0000000224450301</v>
      </c>
    </row>
    <row r="2128" spans="1:40" x14ac:dyDescent="0.25">
      <c r="A2128" t="str">
        <f>"20190305135832796"</f>
        <v>20190305135832796</v>
      </c>
      <c r="B2128" t="str">
        <f>"1551765512791270"</f>
        <v>1551765512791270</v>
      </c>
      <c r="C2128" t="s">
        <v>40</v>
      </c>
      <c r="D2128">
        <v>3.5315769999999902</v>
      </c>
      <c r="E2128">
        <v>0.55998429999999999</v>
      </c>
      <c r="F2128" t="s">
        <v>58</v>
      </c>
      <c r="G2128">
        <v>-487.99250000000001</v>
      </c>
      <c r="H2128" s="1">
        <v>3.9873719999999901E-6</v>
      </c>
      <c r="I2128">
        <v>288.77870000000001</v>
      </c>
      <c r="J2128">
        <v>-429.19959999999998</v>
      </c>
      <c r="K2128">
        <v>1.1075900000000001</v>
      </c>
      <c r="L2128">
        <v>284.78590000000003</v>
      </c>
      <c r="M2128">
        <v>-0.99952700000000005</v>
      </c>
      <c r="N2128">
        <v>-1.443582E-2</v>
      </c>
      <c r="O2128">
        <v>2.7155619999999998E-2</v>
      </c>
      <c r="P2128">
        <v>-0.99523019999999995</v>
      </c>
      <c r="Q2128">
        <v>3.5026359999999999E-2</v>
      </c>
      <c r="R2128">
        <v>-9.1049909999999998E-2</v>
      </c>
      <c r="S2128">
        <v>-3.0358580000000002</v>
      </c>
      <c r="T2128">
        <v>-5.6767579999999998E-2</v>
      </c>
      <c r="U2128">
        <v>0.20529169999999999</v>
      </c>
      <c r="V2128">
        <v>-0.11781510000000001</v>
      </c>
      <c r="W2128">
        <v>4.9895370000000001E-2</v>
      </c>
      <c r="X2128">
        <v>0.99178120000000003</v>
      </c>
      <c r="Y2128">
        <v>4.0334559999999998E-2</v>
      </c>
      <c r="Z2128">
        <v>5.5287719999999997E-4</v>
      </c>
      <c r="AA2128">
        <v>0.99918609999999997</v>
      </c>
      <c r="AB2128">
        <v>42</v>
      </c>
      <c r="AC2128">
        <v>-58.792900000000003</v>
      </c>
      <c r="AD2128">
        <v>-1.1075860126279999</v>
      </c>
      <c r="AE2128">
        <v>3.9927999999999799</v>
      </c>
      <c r="AF2128">
        <v>2.3937575809043499</v>
      </c>
      <c r="AG2128">
        <v>-1.1075860126279999</v>
      </c>
      <c r="AH2128">
        <v>58.858858915624602</v>
      </c>
      <c r="AI2128">
        <v>91.077155049101094</v>
      </c>
      <c r="AJ2128">
        <v>87.671095443257201</v>
      </c>
      <c r="AK2128">
        <v>58.917926770898099</v>
      </c>
      <c r="AL2128">
        <v>87.140018215614305</v>
      </c>
      <c r="AM2128">
        <v>96.774500312098198</v>
      </c>
      <c r="AN2128">
        <v>0.99999994720444196</v>
      </c>
    </row>
    <row r="2129" spans="1:40" x14ac:dyDescent="0.25">
      <c r="A2129" t="str">
        <f>"20190305135832811"</f>
        <v>20190305135832811</v>
      </c>
      <c r="B2129" t="str">
        <f>"1551765512801030"</f>
        <v>1551765512801030</v>
      </c>
      <c r="C2129" t="s">
        <v>40</v>
      </c>
      <c r="D2129">
        <v>3.5251939999999999</v>
      </c>
      <c r="E2129">
        <v>0.56004200000000004</v>
      </c>
      <c r="F2129" t="s">
        <v>58</v>
      </c>
      <c r="G2129">
        <v>-480.4624</v>
      </c>
      <c r="H2129" s="1">
        <v>2.6193850000000001E-6</v>
      </c>
      <c r="I2129">
        <v>288.40949999999998</v>
      </c>
      <c r="J2129">
        <v>-429.47379999999998</v>
      </c>
      <c r="K2129">
        <v>1.1075889999999999</v>
      </c>
      <c r="L2129">
        <v>284.79419999999999</v>
      </c>
      <c r="M2129">
        <v>-0.99949710000000003</v>
      </c>
      <c r="N2129">
        <v>-1.4434249999999999E-2</v>
      </c>
      <c r="O2129">
        <v>2.823548E-2</v>
      </c>
      <c r="P2129">
        <v>-0.99528550000000005</v>
      </c>
      <c r="Q2129">
        <v>3.5336190000000003E-2</v>
      </c>
      <c r="R2129">
        <v>-9.032519E-2</v>
      </c>
      <c r="S2129">
        <v>-3.0363159999999998</v>
      </c>
      <c r="T2129">
        <v>-6.5602779999999999E-2</v>
      </c>
      <c r="U2129">
        <v>0.21463009999999999</v>
      </c>
      <c r="V2129">
        <v>-0.1181627</v>
      </c>
      <c r="W2129">
        <v>5.0205409999999999E-2</v>
      </c>
      <c r="X2129">
        <v>0.9917243</v>
      </c>
      <c r="Y2129">
        <v>4.2299789999999997E-2</v>
      </c>
      <c r="Z2129">
        <v>5.6026570000000003E-4</v>
      </c>
      <c r="AA2129">
        <v>0.99910480000000002</v>
      </c>
      <c r="AB2129">
        <v>42</v>
      </c>
      <c r="AC2129">
        <v>-50.988599999999998</v>
      </c>
      <c r="AD2129">
        <v>-1.1075863806149999</v>
      </c>
      <c r="AE2129">
        <v>3.6152999999999902</v>
      </c>
      <c r="AF2129">
        <v>2.17300049806</v>
      </c>
      <c r="AG2129">
        <v>-1.1075863806149999</v>
      </c>
      <c r="AH2129">
        <v>51.046390905524802</v>
      </c>
      <c r="AI2129">
        <v>91.241864000525197</v>
      </c>
      <c r="AJ2129">
        <v>87.562440141743394</v>
      </c>
      <c r="AK2129">
        <v>51.104625066961702</v>
      </c>
      <c r="AL2129">
        <v>87.122232227010798</v>
      </c>
      <c r="AM2129">
        <v>96.794687302123407</v>
      </c>
      <c r="AN2129">
        <v>1.0000000470375201</v>
      </c>
    </row>
    <row r="2130" spans="1:40" x14ac:dyDescent="0.25">
      <c r="A2130" t="str">
        <f>"20190305135832828"</f>
        <v>20190305135832828</v>
      </c>
      <c r="B2130" t="str">
        <f>"1551765512821056"</f>
        <v>1551765512821056</v>
      </c>
      <c r="C2130" t="s">
        <v>40</v>
      </c>
      <c r="D2130">
        <v>3.5386950000000001</v>
      </c>
      <c r="E2130">
        <v>0.56025990000000003</v>
      </c>
      <c r="F2130" t="s">
        <v>58</v>
      </c>
      <c r="G2130">
        <v>-479.92509999999999</v>
      </c>
      <c r="H2130" s="1">
        <v>2.5441529999999999E-6</v>
      </c>
      <c r="I2130">
        <v>288.40710000000001</v>
      </c>
      <c r="J2130">
        <v>-429.81920000000002</v>
      </c>
      <c r="K2130">
        <v>1.1075969999999999</v>
      </c>
      <c r="L2130">
        <v>284.80509999999998</v>
      </c>
      <c r="M2130">
        <v>-0.99945790000000001</v>
      </c>
      <c r="N2130">
        <v>-1.443228E-2</v>
      </c>
      <c r="O2130">
        <v>2.9595590000000001E-2</v>
      </c>
      <c r="P2130">
        <v>-0.99534639999999996</v>
      </c>
      <c r="Q2130">
        <v>3.5199689999999999E-2</v>
      </c>
      <c r="R2130">
        <v>-8.970591E-2</v>
      </c>
      <c r="S2130">
        <v>-3.0363159999999998</v>
      </c>
      <c r="T2130">
        <v>-6.6658019999999998E-2</v>
      </c>
      <c r="U2130">
        <v>0.21743770000000001</v>
      </c>
      <c r="V2130">
        <v>-0.1188956</v>
      </c>
      <c r="W2130">
        <v>5.0070629999999998E-2</v>
      </c>
      <c r="X2130">
        <v>0.99164350000000001</v>
      </c>
      <c r="Y2130">
        <v>4.1859250000000001E-2</v>
      </c>
      <c r="Z2130">
        <v>5.3953460000000003E-4</v>
      </c>
      <c r="AA2130">
        <v>0.99912339999999999</v>
      </c>
      <c r="AB2130">
        <v>42</v>
      </c>
      <c r="AC2130">
        <v>-50.105899999999899</v>
      </c>
      <c r="AD2130">
        <v>-1.1075944558469999</v>
      </c>
      <c r="AE2130">
        <v>3.6020000000000301</v>
      </c>
      <c r="AF2130">
        <v>2.1163251146064499</v>
      </c>
      <c r="AG2130">
        <v>-1.1075944558469999</v>
      </c>
      <c r="AH2130">
        <v>50.166174298784</v>
      </c>
      <c r="AI2130">
        <v>91.263676432469197</v>
      </c>
      <c r="AJ2130">
        <v>87.584335604279204</v>
      </c>
      <c r="AK2130">
        <v>50.223009081946799</v>
      </c>
      <c r="AL2130">
        <v>87.129964231478695</v>
      </c>
      <c r="AM2130">
        <v>96.836985229326004</v>
      </c>
      <c r="AN2130">
        <v>1.0000000313901001</v>
      </c>
    </row>
    <row r="2131" spans="1:40" x14ac:dyDescent="0.25">
      <c r="A2131" t="str">
        <f>"20190305135832851"</f>
        <v>20190305135832851</v>
      </c>
      <c r="B2131" t="str">
        <f>"1551765512840576"</f>
        <v>1551765512840576</v>
      </c>
      <c r="C2131" t="s">
        <v>40</v>
      </c>
      <c r="D2131">
        <v>3.5539499999999999</v>
      </c>
      <c r="E2131">
        <v>0.56036969999999997</v>
      </c>
      <c r="F2131" t="s">
        <v>58</v>
      </c>
      <c r="G2131">
        <v>-477.01049999999998</v>
      </c>
      <c r="H2131" s="1">
        <v>3.8227529999999998E-6</v>
      </c>
      <c r="I2131">
        <v>288.2484</v>
      </c>
      <c r="J2131">
        <v>-430.2457</v>
      </c>
      <c r="K2131">
        <v>1.1075980000000001</v>
      </c>
      <c r="L2131">
        <v>284.81909999999999</v>
      </c>
      <c r="M2131">
        <v>-0.99940680000000004</v>
      </c>
      <c r="N2131">
        <v>-1.4429920000000001E-2</v>
      </c>
      <c r="O2131">
        <v>3.1276650000000003E-2</v>
      </c>
      <c r="P2131">
        <v>-0.99542759999999997</v>
      </c>
      <c r="Q2131">
        <v>3.5542039999999997E-2</v>
      </c>
      <c r="R2131">
        <v>-8.8662889999999994E-2</v>
      </c>
      <c r="S2131">
        <v>-3.0364990000000001</v>
      </c>
      <c r="T2131">
        <v>-7.1267369999999997E-2</v>
      </c>
      <c r="U2131">
        <v>0.22155759999999999</v>
      </c>
      <c r="V2131">
        <v>-0.1195224</v>
      </c>
      <c r="W2131">
        <v>5.0413039999999999E-2</v>
      </c>
      <c r="X2131">
        <v>0.99155070000000001</v>
      </c>
      <c r="Y2131">
        <v>4.1521669999999997E-2</v>
      </c>
      <c r="Z2131">
        <v>5.0481210000000002E-4</v>
      </c>
      <c r="AA2131">
        <v>0.99913750000000001</v>
      </c>
      <c r="AB2131">
        <v>42</v>
      </c>
      <c r="AC2131">
        <v>-46.764799999999902</v>
      </c>
      <c r="AD2131">
        <v>-1.1075941772469999</v>
      </c>
      <c r="AE2131">
        <v>3.4293000000000098</v>
      </c>
      <c r="AF2131">
        <v>1.9637279731428201</v>
      </c>
      <c r="AG2131">
        <v>-1.1075941772469999</v>
      </c>
      <c r="AH2131">
        <v>46.823059619620402</v>
      </c>
      <c r="AI2131">
        <v>91.353882762970997</v>
      </c>
      <c r="AJ2131">
        <v>87.598460490157393</v>
      </c>
      <c r="AK2131">
        <v>46.877306925169002</v>
      </c>
      <c r="AL2131">
        <v>87.110320496375707</v>
      </c>
      <c r="AM2131">
        <v>96.8733220182189</v>
      </c>
      <c r="AN2131">
        <v>0.99999993468714299</v>
      </c>
    </row>
    <row r="2132" spans="1:40" x14ac:dyDescent="0.25">
      <c r="A2132" t="str">
        <f>"20190305135832873"</f>
        <v>20190305135832873</v>
      </c>
      <c r="B2132" t="str">
        <f>"1551765512870832"</f>
        <v>1551765512870832</v>
      </c>
      <c r="C2132" t="s">
        <v>40</v>
      </c>
      <c r="D2132">
        <v>3.54847</v>
      </c>
      <c r="E2132">
        <v>0.56065109999999996</v>
      </c>
      <c r="F2132" t="s">
        <v>58</v>
      </c>
      <c r="G2132">
        <v>-476.00639999999999</v>
      </c>
      <c r="H2132" s="1">
        <v>4.2658709999999999E-6</v>
      </c>
      <c r="I2132">
        <v>288.22379999999998</v>
      </c>
      <c r="J2132">
        <v>-430.66829999999999</v>
      </c>
      <c r="K2132">
        <v>1.107602</v>
      </c>
      <c r="L2132">
        <v>284.83370000000002</v>
      </c>
      <c r="M2132">
        <v>-0.99935309999999999</v>
      </c>
      <c r="N2132">
        <v>-1.442745E-2</v>
      </c>
      <c r="O2132">
        <v>3.2943090000000001E-2</v>
      </c>
      <c r="P2132">
        <v>-0.99554100000000001</v>
      </c>
      <c r="Q2132">
        <v>3.6068679999999999E-2</v>
      </c>
      <c r="R2132">
        <v>-8.7161420000000003E-2</v>
      </c>
      <c r="S2132">
        <v>-3.03653</v>
      </c>
      <c r="T2132">
        <v>-7.3496099999999995E-2</v>
      </c>
      <c r="U2132">
        <v>0.2259216</v>
      </c>
      <c r="V2132">
        <v>-0.1196776</v>
      </c>
      <c r="W2132">
        <v>5.0938320000000002E-2</v>
      </c>
      <c r="X2132">
        <v>0.99150519999999998</v>
      </c>
      <c r="Y2132">
        <v>4.1282529999999998E-2</v>
      </c>
      <c r="Z2132">
        <v>4.7618539999999998E-4</v>
      </c>
      <c r="AA2132">
        <v>0.99914740000000002</v>
      </c>
      <c r="AB2132">
        <v>42</v>
      </c>
      <c r="AC2132">
        <v>-45.338099999999997</v>
      </c>
      <c r="AD2132">
        <v>-1.107597734129</v>
      </c>
      <c r="AE2132">
        <v>3.3900999999999599</v>
      </c>
      <c r="AF2132">
        <v>1.89340328113039</v>
      </c>
      <c r="AG2132">
        <v>-1.107597734129</v>
      </c>
      <c r="AH2132">
        <v>45.398235105254201</v>
      </c>
      <c r="AI2132">
        <v>91.396375881721994</v>
      </c>
      <c r="AJ2132">
        <v>87.611775393368802</v>
      </c>
      <c r="AK2132">
        <v>45.451199097466997</v>
      </c>
      <c r="AL2132">
        <v>87.080185642156096</v>
      </c>
      <c r="AM2132">
        <v>96.882474283824493</v>
      </c>
      <c r="AN2132">
        <v>1.0000000010066099</v>
      </c>
    </row>
    <row r="2133" spans="1:40" x14ac:dyDescent="0.25">
      <c r="A2133" t="str">
        <f>"20190305135832890"</f>
        <v>20190305135832890</v>
      </c>
      <c r="B2133" t="str">
        <f>"1551765512880592"</f>
        <v>1551765512880592</v>
      </c>
      <c r="C2133" t="s">
        <v>40</v>
      </c>
      <c r="D2133">
        <v>3.5647269999999902</v>
      </c>
      <c r="E2133">
        <v>0.56070600000000004</v>
      </c>
      <c r="F2133" t="s">
        <v>58</v>
      </c>
      <c r="G2133">
        <v>-473.97820000000002</v>
      </c>
      <c r="H2133" s="1">
        <v>5.1594989999999899E-6</v>
      </c>
      <c r="I2133">
        <v>288.15730000000002</v>
      </c>
      <c r="J2133">
        <v>-430.97699999999998</v>
      </c>
      <c r="K2133">
        <v>1.107605</v>
      </c>
      <c r="L2133">
        <v>284.84480000000002</v>
      </c>
      <c r="M2133">
        <v>-0.99931230000000004</v>
      </c>
      <c r="N2133">
        <v>-1.442566E-2</v>
      </c>
      <c r="O2133">
        <v>3.4161070000000002E-2</v>
      </c>
      <c r="P2133">
        <v>-0.9956391</v>
      </c>
      <c r="Q2133">
        <v>3.6441670000000002E-2</v>
      </c>
      <c r="R2133">
        <v>-8.5879259999999999E-2</v>
      </c>
      <c r="S2133">
        <v>-3.0366819999999999</v>
      </c>
      <c r="T2133">
        <v>-7.7659370000000005E-2</v>
      </c>
      <c r="U2133">
        <v>0.23303219999999999</v>
      </c>
      <c r="V2133">
        <v>-0.1196062</v>
      </c>
      <c r="W2133">
        <v>5.1308810000000003E-2</v>
      </c>
      <c r="X2133">
        <v>0.99149469999999995</v>
      </c>
      <c r="Y2133">
        <v>4.2385510000000001E-2</v>
      </c>
      <c r="Z2133">
        <v>4.678638E-4</v>
      </c>
      <c r="AA2133">
        <v>0.99910120000000002</v>
      </c>
      <c r="AB2133">
        <v>42</v>
      </c>
      <c r="AC2133">
        <v>-43.001199999999997</v>
      </c>
      <c r="AD2133">
        <v>-1.1075998405009999</v>
      </c>
      <c r="AE2133">
        <v>3.3125</v>
      </c>
      <c r="AF2133">
        <v>1.84023277303118</v>
      </c>
      <c r="AG2133">
        <v>-1.1075998405009999</v>
      </c>
      <c r="AH2133">
        <v>43.060867053249098</v>
      </c>
      <c r="AI2133">
        <v>91.472078431691202</v>
      </c>
      <c r="AJ2133">
        <v>87.552918447022606</v>
      </c>
      <c r="AK2133">
        <v>43.114400209711903</v>
      </c>
      <c r="AL2133">
        <v>87.058930297356895</v>
      </c>
      <c r="AM2133">
        <v>96.878479674859506</v>
      </c>
      <c r="AN2133">
        <v>0.999999988595072</v>
      </c>
    </row>
    <row r="2134" spans="1:40" x14ac:dyDescent="0.25">
      <c r="A2134" t="str">
        <f>"20190305135832908"</f>
        <v>20190305135832908</v>
      </c>
      <c r="B2134" t="str">
        <f>"1551765512901088"</f>
        <v>1551765512901088</v>
      </c>
      <c r="C2134" t="s">
        <v>40</v>
      </c>
      <c r="D2134">
        <v>3.5750959999999998</v>
      </c>
      <c r="E2134">
        <v>0.56064879999999995</v>
      </c>
      <c r="F2134" t="s">
        <v>58</v>
      </c>
      <c r="G2134">
        <v>-473.7894</v>
      </c>
      <c r="H2134" s="1">
        <v>5.246183E-6</v>
      </c>
      <c r="I2134">
        <v>288.19110000000001</v>
      </c>
      <c r="J2134">
        <v>-431.31729999999999</v>
      </c>
      <c r="K2134">
        <v>1.107607</v>
      </c>
      <c r="L2134">
        <v>284.85759999999999</v>
      </c>
      <c r="M2134">
        <v>-0.99926539999999997</v>
      </c>
      <c r="N2134">
        <v>-1.4423709999999999E-2</v>
      </c>
      <c r="O2134">
        <v>3.5502529999999997E-2</v>
      </c>
      <c r="P2134">
        <v>-0.99573310000000004</v>
      </c>
      <c r="Q2134">
        <v>3.6926529999999999E-2</v>
      </c>
      <c r="R2134">
        <v>-8.4569489999999997E-2</v>
      </c>
      <c r="S2134">
        <v>-3.0364990000000001</v>
      </c>
      <c r="T2134">
        <v>-7.8557249999999995E-2</v>
      </c>
      <c r="U2134">
        <v>0.2373352</v>
      </c>
      <c r="V2134">
        <v>-0.11963070000000001</v>
      </c>
      <c r="W2134">
        <v>5.1791199999999898E-2</v>
      </c>
      <c r="X2134">
        <v>0.99146670000000003</v>
      </c>
      <c r="Y2134">
        <v>4.2456029999999999E-2</v>
      </c>
      <c r="Z2134">
        <v>4.5008370000000002E-4</v>
      </c>
      <c r="AA2134">
        <v>0.99909820000000005</v>
      </c>
      <c r="AB2134">
        <v>42</v>
      </c>
      <c r="AC2134">
        <v>-42.472099999999998</v>
      </c>
      <c r="AD2134">
        <v>-1.107601753817</v>
      </c>
      <c r="AE2134">
        <v>3.3335000000000101</v>
      </c>
      <c r="AF2134">
        <v>1.8221424425425301</v>
      </c>
      <c r="AG2134">
        <v>-1.107601753817</v>
      </c>
      <c r="AH2134">
        <v>42.5349294069321</v>
      </c>
      <c r="AI2134">
        <v>91.490268302610403</v>
      </c>
      <c r="AJ2134">
        <v>87.547021255361201</v>
      </c>
      <c r="AK2134">
        <v>42.588345875117902</v>
      </c>
      <c r="AL2134">
        <v>87.031254696629205</v>
      </c>
      <c r="AM2134">
        <v>96.880067584010703</v>
      </c>
      <c r="AN2134">
        <v>1.0000000249944001</v>
      </c>
    </row>
    <row r="2135" spans="1:40" x14ac:dyDescent="0.25">
      <c r="A2135" t="str">
        <f>"20190305135832930"</f>
        <v>20190305135832930</v>
      </c>
      <c r="B2135" t="str">
        <f>"1551765512920608"</f>
        <v>1551765512920608</v>
      </c>
      <c r="C2135" t="s">
        <v>40</v>
      </c>
      <c r="D2135">
        <v>3.5952060000000001</v>
      </c>
      <c r="E2135">
        <v>0.53778519999999996</v>
      </c>
      <c r="F2135" t="s">
        <v>58</v>
      </c>
      <c r="G2135">
        <v>-472.65980000000002</v>
      </c>
      <c r="H2135" s="1">
        <v>5.7425620000000001E-6</v>
      </c>
      <c r="I2135">
        <v>288.13900000000001</v>
      </c>
      <c r="J2135">
        <v>-431.73630000000003</v>
      </c>
      <c r="K2135">
        <v>1.1076170000000001</v>
      </c>
      <c r="L2135">
        <v>284.87389999999999</v>
      </c>
      <c r="M2135">
        <v>-0.99920580000000003</v>
      </c>
      <c r="N2135">
        <v>-1.442128E-2</v>
      </c>
      <c r="O2135">
        <v>3.7147260000000001E-2</v>
      </c>
      <c r="P2135">
        <v>-0.9958669</v>
      </c>
      <c r="Q2135">
        <v>3.6567809999999999E-2</v>
      </c>
      <c r="R2135">
        <v>-8.3140749999999999E-2</v>
      </c>
      <c r="S2135">
        <v>-3.036346</v>
      </c>
      <c r="T2135">
        <v>-8.1346390000000005E-2</v>
      </c>
      <c r="U2135">
        <v>0.2409973</v>
      </c>
      <c r="V2135">
        <v>-0.1198428</v>
      </c>
      <c r="W2135">
        <v>5.1430249999999997E-2</v>
      </c>
      <c r="X2135">
        <v>0.9914598</v>
      </c>
      <c r="Y2135">
        <v>4.201245E-2</v>
      </c>
      <c r="Z2135">
        <v>4.075153E-4</v>
      </c>
      <c r="AA2135">
        <v>0.99911700000000003</v>
      </c>
      <c r="AB2135">
        <v>42</v>
      </c>
      <c r="AC2135">
        <v>-40.923499999999898</v>
      </c>
      <c r="AD2135">
        <v>-1.1076112574379999</v>
      </c>
      <c r="AE2135">
        <v>3.2651000000000101</v>
      </c>
      <c r="AF2135">
        <v>1.74122461899389</v>
      </c>
      <c r="AG2135">
        <v>-1.1076112574379999</v>
      </c>
      <c r="AH2135">
        <v>40.986716605168702</v>
      </c>
      <c r="AI2135">
        <v>91.546570852017098</v>
      </c>
      <c r="AJ2135">
        <v>87.567385794834607</v>
      </c>
      <c r="AK2135">
        <v>41.038635502947798</v>
      </c>
      <c r="AL2135">
        <v>87.051962988691798</v>
      </c>
      <c r="AM2135">
        <v>96.892195920003402</v>
      </c>
      <c r="AN2135">
        <v>0.99999995117147</v>
      </c>
    </row>
    <row r="2136" spans="1:40" x14ac:dyDescent="0.25">
      <c r="A2136" t="str">
        <f>"20190305135832951"</f>
        <v>20190305135832951</v>
      </c>
      <c r="B2136" t="str">
        <f>"1551765512941104"</f>
        <v>1551765512941104</v>
      </c>
      <c r="C2136" t="s">
        <v>40</v>
      </c>
      <c r="D2136">
        <v>3.6520619999999999</v>
      </c>
      <c r="E2136">
        <v>0.53279940000000003</v>
      </c>
      <c r="F2136" t="s">
        <v>59</v>
      </c>
      <c r="G2136">
        <v>-456.22710000000001</v>
      </c>
      <c r="H2136" s="1">
        <v>1.742214E-6</v>
      </c>
      <c r="I2136">
        <v>285.41140000000001</v>
      </c>
      <c r="J2136">
        <v>-432.14440000000002</v>
      </c>
      <c r="K2136">
        <v>1.1076269999999999</v>
      </c>
      <c r="L2136">
        <v>284.8904</v>
      </c>
      <c r="M2136">
        <v>-0.99914539999999996</v>
      </c>
      <c r="N2136">
        <v>-1.4418830000000001E-2</v>
      </c>
      <c r="O2136">
        <v>3.8736510000000002E-2</v>
      </c>
      <c r="P2136">
        <v>-0.99596910000000005</v>
      </c>
      <c r="Q2136">
        <v>3.5750369999999997E-2</v>
      </c>
      <c r="R2136">
        <v>-8.2266919999999993E-2</v>
      </c>
      <c r="S2136">
        <v>-3.0230100000000002</v>
      </c>
      <c r="T2136">
        <v>-0.1367178</v>
      </c>
      <c r="U2136">
        <v>6.6345210000000002E-2</v>
      </c>
      <c r="V2136">
        <v>-0.1205565</v>
      </c>
      <c r="W2136">
        <v>5.0609719999999997E-2</v>
      </c>
      <c r="X2136">
        <v>0.99141559999999995</v>
      </c>
      <c r="Y2136">
        <v>-1.6765289999999999E-2</v>
      </c>
      <c r="Z2136">
        <v>-1.6916419999999999E-3</v>
      </c>
      <c r="AA2136">
        <v>0.99985800000000002</v>
      </c>
      <c r="AB2136">
        <v>42</v>
      </c>
      <c r="AC2136">
        <v>-24.0826999999999</v>
      </c>
      <c r="AD2136">
        <v>-1.107625257786</v>
      </c>
      <c r="AE2136">
        <v>0.52100000000001501</v>
      </c>
      <c r="AF2136">
        <v>-0.41149783371557402</v>
      </c>
      <c r="AG2136">
        <v>-1.107625257786</v>
      </c>
      <c r="AH2136">
        <v>24.0339893131016</v>
      </c>
      <c r="AI2136">
        <v>92.638267815514894</v>
      </c>
      <c r="AJ2136">
        <v>90.980893575707</v>
      </c>
      <c r="AK2136">
        <v>24.0630174018372</v>
      </c>
      <c r="AL2136">
        <v>87.099037500966404</v>
      </c>
      <c r="AM2136">
        <v>96.9331488029068</v>
      </c>
      <c r="AN2136">
        <v>1.0000000526870401</v>
      </c>
    </row>
    <row r="2137" spans="1:40" x14ac:dyDescent="0.25">
      <c r="A2137" t="str">
        <f>"20190305135832968"</f>
        <v>20190305135832968</v>
      </c>
      <c r="B2137" t="str">
        <f>"1551765512960625"</f>
        <v>1551765512960625</v>
      </c>
      <c r="C2137" t="s">
        <v>40</v>
      </c>
      <c r="D2137">
        <v>3.658229</v>
      </c>
      <c r="E2137">
        <v>0.53182039999999997</v>
      </c>
      <c r="F2137" t="s">
        <v>59</v>
      </c>
      <c r="G2137">
        <v>-456.30099999999999</v>
      </c>
      <c r="H2137" s="1">
        <v>1.794019E-6</v>
      </c>
      <c r="I2137">
        <v>285.12549999999999</v>
      </c>
      <c r="J2137">
        <v>-432.44970000000001</v>
      </c>
      <c r="K2137">
        <v>1.10764</v>
      </c>
      <c r="L2137">
        <v>284.90320000000003</v>
      </c>
      <c r="M2137">
        <v>-0.99909939999999997</v>
      </c>
      <c r="N2137">
        <v>-1.4416899999999899E-2</v>
      </c>
      <c r="O2137">
        <v>3.9910279999999999E-2</v>
      </c>
      <c r="P2137">
        <v>-0.99605440000000001</v>
      </c>
      <c r="Q2137">
        <v>3.5372220000000003E-2</v>
      </c>
      <c r="R2137">
        <v>-8.1393590000000002E-2</v>
      </c>
      <c r="S2137">
        <v>-3.0195310000000002</v>
      </c>
      <c r="T2137">
        <v>-0.13845150000000001</v>
      </c>
      <c r="U2137">
        <v>2.938843E-2</v>
      </c>
      <c r="V2137">
        <v>-0.1208557</v>
      </c>
      <c r="W2137">
        <v>5.0227309999999997E-2</v>
      </c>
      <c r="X2137">
        <v>0.99139860000000002</v>
      </c>
      <c r="Y2137">
        <v>-3.0126679999999999E-2</v>
      </c>
      <c r="Z2137">
        <v>-2.1608109999999999E-3</v>
      </c>
      <c r="AA2137">
        <v>0.99954370000000003</v>
      </c>
      <c r="AB2137">
        <v>42</v>
      </c>
      <c r="AC2137">
        <v>-23.851299999999899</v>
      </c>
      <c r="AD2137">
        <v>-1.1076382059809999</v>
      </c>
      <c r="AE2137">
        <v>0.222299999999961</v>
      </c>
      <c r="AF2137">
        <v>-0.72831745514591395</v>
      </c>
      <c r="AG2137">
        <v>-1.1076382059809999</v>
      </c>
      <c r="AH2137">
        <v>23.7898649012308</v>
      </c>
      <c r="AI2137">
        <v>92.664476713845303</v>
      </c>
      <c r="AJ2137">
        <v>91.753540289857</v>
      </c>
      <c r="AK2137">
        <v>23.826770253847499</v>
      </c>
      <c r="AL2137">
        <v>87.12097582538</v>
      </c>
      <c r="AM2137">
        <v>96.950305576470498</v>
      </c>
      <c r="AN2137">
        <v>1.0000000334871399</v>
      </c>
    </row>
    <row r="2138" spans="1:40" x14ac:dyDescent="0.25">
      <c r="A2138" t="str">
        <f>"20190305135832988"</f>
        <v>20190305135832988</v>
      </c>
      <c r="B2138" t="str">
        <f>"1551765512981120"</f>
        <v>1551765512981120</v>
      </c>
      <c r="C2138" t="s">
        <v>40</v>
      </c>
      <c r="D2138">
        <v>3.6977859999999998</v>
      </c>
      <c r="E2138">
        <v>0.53167489999999995</v>
      </c>
      <c r="F2138" t="s">
        <v>59</v>
      </c>
      <c r="G2138">
        <v>-460.4676</v>
      </c>
      <c r="H2138" s="1">
        <v>-1.3098290000000001E-6</v>
      </c>
      <c r="I2138">
        <v>285.11649999999997</v>
      </c>
      <c r="J2138">
        <v>-432.8202</v>
      </c>
      <c r="K2138">
        <v>1.107666</v>
      </c>
      <c r="L2138">
        <v>284.91910000000001</v>
      </c>
      <c r="M2138">
        <v>-0.99904250000000006</v>
      </c>
      <c r="N2138">
        <v>-1.4414410000000001E-2</v>
      </c>
      <c r="O2138">
        <v>4.131025E-2</v>
      </c>
      <c r="P2138">
        <v>-0.99609610000000004</v>
      </c>
      <c r="Q2138">
        <v>3.5345939999999999E-2</v>
      </c>
      <c r="R2138">
        <v>-8.0892240000000004E-2</v>
      </c>
      <c r="S2138">
        <v>-3.0180359999999999</v>
      </c>
      <c r="T2138">
        <v>-0.11931310000000001</v>
      </c>
      <c r="U2138">
        <v>2.2979739999999999E-2</v>
      </c>
      <c r="V2138">
        <v>-0.12174889999999999</v>
      </c>
      <c r="W2138">
        <v>5.0194450000000002E-2</v>
      </c>
      <c r="X2138">
        <v>0.99129089999999997</v>
      </c>
      <c r="Y2138">
        <v>-3.3657039999999999E-2</v>
      </c>
      <c r="Z2138">
        <v>-1.9443080000000001E-3</v>
      </c>
      <c r="AA2138">
        <v>0.99943159999999998</v>
      </c>
      <c r="AB2138">
        <v>42</v>
      </c>
      <c r="AC2138">
        <v>-27.647400000000001</v>
      </c>
      <c r="AD2138">
        <v>-1.107667309829</v>
      </c>
      <c r="AE2138">
        <v>0.197399999999959</v>
      </c>
      <c r="AF2138">
        <v>-0.94349373550994098</v>
      </c>
      <c r="AG2138">
        <v>-1.107667309829</v>
      </c>
      <c r="AH2138">
        <v>27.5876703359164</v>
      </c>
      <c r="AI2138">
        <v>92.297894955882001</v>
      </c>
      <c r="AJ2138">
        <v>91.958742697466604</v>
      </c>
      <c r="AK2138">
        <v>27.6260142232174</v>
      </c>
      <c r="AL2138">
        <v>87.122860739308507</v>
      </c>
      <c r="AM2138">
        <v>97.001917875982997</v>
      </c>
      <c r="AN2138">
        <v>0.99999996294241</v>
      </c>
    </row>
    <row r="2139" spans="1:40" x14ac:dyDescent="0.25">
      <c r="A2139" t="str">
        <f>"20190305135833009"</f>
        <v>20190305135833009</v>
      </c>
      <c r="B2139" t="str">
        <f>"1551765513000640"</f>
        <v>1551765513000640</v>
      </c>
      <c r="C2139" t="s">
        <v>40</v>
      </c>
      <c r="D2139">
        <v>3.6503760000000001</v>
      </c>
      <c r="E2139">
        <v>0.53152869999999997</v>
      </c>
      <c r="F2139" t="s">
        <v>59</v>
      </c>
      <c r="G2139">
        <v>-463.61579999999998</v>
      </c>
      <c r="H2139" s="1">
        <v>3.63907E-7</v>
      </c>
      <c r="I2139">
        <v>285.15300000000002</v>
      </c>
      <c r="J2139">
        <v>-433.21690000000001</v>
      </c>
      <c r="K2139">
        <v>1.107702</v>
      </c>
      <c r="L2139">
        <v>284.93680000000001</v>
      </c>
      <c r="M2139">
        <v>-0.99898109999999996</v>
      </c>
      <c r="N2139">
        <v>-1.4411510000000001E-2</v>
      </c>
      <c r="O2139">
        <v>4.2766569999999997E-2</v>
      </c>
      <c r="P2139">
        <v>-0.99618830000000003</v>
      </c>
      <c r="Q2139">
        <v>3.5635710000000001E-2</v>
      </c>
      <c r="R2139">
        <v>-7.9618010000000003E-2</v>
      </c>
      <c r="S2139">
        <v>-3.0174560000000001</v>
      </c>
      <c r="T2139">
        <v>-0.1085327</v>
      </c>
      <c r="U2139">
        <v>2.29187E-2</v>
      </c>
      <c r="V2139">
        <v>-0.1219292</v>
      </c>
      <c r="W2139">
        <v>5.0471620000000002E-2</v>
      </c>
      <c r="X2139">
        <v>0.99125469999999904</v>
      </c>
      <c r="Y2139">
        <v>-3.5139829999999997E-2</v>
      </c>
      <c r="Z2139">
        <v>-1.8059910000000001E-3</v>
      </c>
      <c r="AA2139">
        <v>0.99938079999999996</v>
      </c>
      <c r="AB2139">
        <v>42</v>
      </c>
      <c r="AC2139">
        <v>-30.398899999999902</v>
      </c>
      <c r="AD2139">
        <v>-1.1077016360930001</v>
      </c>
      <c r="AE2139">
        <v>0.21620000000001399</v>
      </c>
      <c r="AF2139">
        <v>-1.08275201840844</v>
      </c>
      <c r="AG2139">
        <v>-1.1077016360930001</v>
      </c>
      <c r="AH2139">
        <v>30.340045890114698</v>
      </c>
      <c r="AI2139">
        <v>92.089585812158504</v>
      </c>
      <c r="AJ2139">
        <v>92.043859949161103</v>
      </c>
      <c r="AK2139">
        <v>30.379561212470399</v>
      </c>
      <c r="AL2139">
        <v>87.106960012347599</v>
      </c>
      <c r="AM2139">
        <v>97.012437507829503</v>
      </c>
      <c r="AN2139">
        <v>0.99999999725507605</v>
      </c>
    </row>
    <row r="2140" spans="1:40" x14ac:dyDescent="0.25">
      <c r="A2140" t="str">
        <f>"20190305135833030"</f>
        <v>20190305135833030</v>
      </c>
      <c r="B2140" t="str">
        <f>"1551765513021136"</f>
        <v>1551765513021136</v>
      </c>
      <c r="C2140" t="s">
        <v>40</v>
      </c>
      <c r="D2140">
        <v>3.653222</v>
      </c>
      <c r="E2140">
        <v>0.53142239999999996</v>
      </c>
      <c r="F2140" t="s">
        <v>59</v>
      </c>
      <c r="G2140">
        <v>-463.71969999999999</v>
      </c>
      <c r="H2140" s="1">
        <v>4.1743099999999997E-7</v>
      </c>
      <c r="I2140">
        <v>285.19279999999998</v>
      </c>
      <c r="J2140">
        <v>-433.61750000000001</v>
      </c>
      <c r="K2140">
        <v>1.1077490000000001</v>
      </c>
      <c r="L2140">
        <v>284.95510000000002</v>
      </c>
      <c r="M2140">
        <v>-0.99891980000000002</v>
      </c>
      <c r="N2140">
        <v>-1.440846E-2</v>
      </c>
      <c r="O2140">
        <v>4.4178969999999998E-2</v>
      </c>
      <c r="P2140">
        <v>-0.99630600000000002</v>
      </c>
      <c r="Q2140">
        <v>3.5722900000000002E-2</v>
      </c>
      <c r="R2140">
        <v>-7.8092729999999999E-2</v>
      </c>
      <c r="S2140">
        <v>-3.0174259999999999</v>
      </c>
      <c r="T2140">
        <v>-0.1095772</v>
      </c>
      <c r="U2140">
        <v>2.5329589999999999E-2</v>
      </c>
      <c r="V2140">
        <v>-0.1218181</v>
      </c>
      <c r="W2140">
        <v>5.0541139999999998E-2</v>
      </c>
      <c r="X2140">
        <v>0.99126479999999995</v>
      </c>
      <c r="Y2140">
        <v>-3.5752560000000003E-2</v>
      </c>
      <c r="Z2140">
        <v>-1.87335E-3</v>
      </c>
      <c r="AA2140">
        <v>0.99935890000000005</v>
      </c>
      <c r="AB2140">
        <v>42</v>
      </c>
      <c r="AC2140">
        <v>-30.1021999999999</v>
      </c>
      <c r="AD2140">
        <v>-1.1077485825690001</v>
      </c>
      <c r="AE2140">
        <v>0.237699999999961</v>
      </c>
      <c r="AF2140">
        <v>-1.09107683157178</v>
      </c>
      <c r="AG2140">
        <v>-1.1077485825690001</v>
      </c>
      <c r="AH2140">
        <v>30.042624046805201</v>
      </c>
      <c r="AI2140">
        <v>92.110295655905404</v>
      </c>
      <c r="AJ2140">
        <v>92.079932647208196</v>
      </c>
      <c r="AK2140">
        <v>30.082832565971199</v>
      </c>
      <c r="AL2140">
        <v>87.102971669664797</v>
      </c>
      <c r="AM2140">
        <v>97.006040738930196</v>
      </c>
      <c r="AN2140">
        <v>0.99999998001957402</v>
      </c>
    </row>
    <row r="2141" spans="1:40" x14ac:dyDescent="0.25">
      <c r="A2141" t="str">
        <f>"20190305135833053"</f>
        <v>20190305135833053</v>
      </c>
      <c r="B2141" t="str">
        <f>"1551765513050416"</f>
        <v>1551765513050416</v>
      </c>
      <c r="C2141" t="s">
        <v>40</v>
      </c>
      <c r="D2141">
        <v>3.7203300000000001</v>
      </c>
      <c r="E2141">
        <v>0.53130440000000001</v>
      </c>
      <c r="F2141" t="s">
        <v>59</v>
      </c>
      <c r="G2141">
        <v>-462.5487</v>
      </c>
      <c r="H2141" s="1">
        <v>-2.0759989999999999E-7</v>
      </c>
      <c r="I2141">
        <v>285.23599999999999</v>
      </c>
      <c r="J2141">
        <v>-434.04570000000001</v>
      </c>
      <c r="K2141">
        <v>1.1078110000000001</v>
      </c>
      <c r="L2141">
        <v>284.9753</v>
      </c>
      <c r="M2141">
        <v>-0.99885579999999996</v>
      </c>
      <c r="N2141">
        <v>-1.440491E-2</v>
      </c>
      <c r="O2141">
        <v>4.5603030000000003E-2</v>
      </c>
      <c r="P2141">
        <v>-0.99641120000000005</v>
      </c>
      <c r="Q2141">
        <v>3.6058430000000002E-2</v>
      </c>
      <c r="R2141">
        <v>-7.6582839999999999E-2</v>
      </c>
      <c r="S2141">
        <v>-3.0175480000000001</v>
      </c>
      <c r="T2141">
        <v>-0.1155393</v>
      </c>
      <c r="U2141">
        <v>2.9296880000000001E-2</v>
      </c>
      <c r="V2141">
        <v>-0.12173539999999999</v>
      </c>
      <c r="W2141">
        <v>5.0852599999999998E-2</v>
      </c>
      <c r="X2141">
        <v>0.991259</v>
      </c>
      <c r="Y2141">
        <v>-3.58582E-2</v>
      </c>
      <c r="Z2141">
        <v>-2.0325249999999999E-3</v>
      </c>
      <c r="AA2141">
        <v>0.99935479999999999</v>
      </c>
      <c r="AB2141">
        <v>42</v>
      </c>
      <c r="AC2141">
        <v>-28.502999999999901</v>
      </c>
      <c r="AD2141">
        <v>-1.10781120759989</v>
      </c>
      <c r="AE2141">
        <v>0.260699999999985</v>
      </c>
      <c r="AF2141">
        <v>-1.03796147348559</v>
      </c>
      <c r="AG2141">
        <v>-1.10781120759989</v>
      </c>
      <c r="AH2141">
        <v>28.442269039675299</v>
      </c>
      <c r="AI2141">
        <v>92.229030262445605</v>
      </c>
      <c r="AJ2141">
        <v>92.090003155187404</v>
      </c>
      <c r="AK2141">
        <v>28.482754042005801</v>
      </c>
      <c r="AL2141">
        <v>87.085103260506699</v>
      </c>
      <c r="AM2141">
        <v>97.001372251274802</v>
      </c>
      <c r="AN2141">
        <v>0.99999994981045803</v>
      </c>
    </row>
    <row r="2142" spans="1:40" x14ac:dyDescent="0.25">
      <c r="A2142" t="str">
        <f>"20190305135833074"</f>
        <v>20190305135833074</v>
      </c>
      <c r="B2142" t="str">
        <f>"1551765513070916"</f>
        <v>1551765513070916</v>
      </c>
      <c r="C2142" t="s">
        <v>40</v>
      </c>
      <c r="D2142">
        <v>3.716183</v>
      </c>
      <c r="E2142">
        <v>0.53106359999999997</v>
      </c>
      <c r="F2142" t="s">
        <v>59</v>
      </c>
      <c r="G2142">
        <v>-461.85599999999999</v>
      </c>
      <c r="H2142" s="1">
        <v>-5.7807519999999995E-7</v>
      </c>
      <c r="I2142">
        <v>285.27910000000003</v>
      </c>
      <c r="J2142">
        <v>-434.45740000000001</v>
      </c>
      <c r="K2142">
        <v>1.1078939999999999</v>
      </c>
      <c r="L2142">
        <v>284.99520000000001</v>
      </c>
      <c r="M2142">
        <v>-0.99879770000000001</v>
      </c>
      <c r="N2142">
        <v>-1.4401189999999999E-2</v>
      </c>
      <c r="O2142">
        <v>4.6862229999999998E-2</v>
      </c>
      <c r="P2142">
        <v>-0.9965273</v>
      </c>
      <c r="Q2142">
        <v>3.5696220000000001E-2</v>
      </c>
      <c r="R2142">
        <v>-7.5231160000000005E-2</v>
      </c>
      <c r="S2142">
        <v>-3.017639</v>
      </c>
      <c r="T2142">
        <v>-0.12020649999999999</v>
      </c>
      <c r="U2142">
        <v>3.2958979999999999E-2</v>
      </c>
      <c r="V2142">
        <v>-0.1216527</v>
      </c>
      <c r="W2142">
        <v>5.0461150000000003E-2</v>
      </c>
      <c r="X2142">
        <v>0.99128919999999998</v>
      </c>
      <c r="Y2142">
        <v>-3.5900950000000001E-2</v>
      </c>
      <c r="Z2142">
        <v>-2.163781E-3</v>
      </c>
      <c r="AA2142">
        <v>0.99935300000000005</v>
      </c>
      <c r="AB2142">
        <v>42</v>
      </c>
      <c r="AC2142">
        <v>-27.398599999999899</v>
      </c>
      <c r="AD2142">
        <v>-1.1078945780752001</v>
      </c>
      <c r="AE2142">
        <v>0.28390000000001597</v>
      </c>
      <c r="AF2142">
        <v>-0.99887136490066197</v>
      </c>
      <c r="AG2142">
        <v>-1.1078945780752001</v>
      </c>
      <c r="AH2142">
        <v>27.3371045190861</v>
      </c>
      <c r="AI2142">
        <v>92.3192178922354</v>
      </c>
      <c r="AJ2142">
        <v>92.092601433253407</v>
      </c>
      <c r="AK2142">
        <v>27.377773062964501</v>
      </c>
      <c r="AL2142">
        <v>87.107560650934204</v>
      </c>
      <c r="AM2142">
        <v>96.996452039269798</v>
      </c>
      <c r="AN2142">
        <v>0.99999999255662597</v>
      </c>
    </row>
    <row r="2143" spans="1:40" x14ac:dyDescent="0.25">
      <c r="A2143" t="str">
        <f>"20190305135833098"</f>
        <v>20190305135833098</v>
      </c>
      <c r="B2143" t="str">
        <f>"1551765513090432"</f>
        <v>1551765513090432</v>
      </c>
      <c r="C2143" t="s">
        <v>40</v>
      </c>
      <c r="D2143">
        <v>3.6884570000000001</v>
      </c>
      <c r="E2143">
        <v>0.53086369999999905</v>
      </c>
      <c r="F2143" t="s">
        <v>59</v>
      </c>
      <c r="G2143">
        <v>-461.3777</v>
      </c>
      <c r="H2143" s="1">
        <v>-8.3391059999999999E-7</v>
      </c>
      <c r="I2143">
        <v>285.30939999999998</v>
      </c>
      <c r="J2143">
        <v>-434.89010000000002</v>
      </c>
      <c r="K2143">
        <v>1.1080110000000001</v>
      </c>
      <c r="L2143">
        <v>285.01650000000001</v>
      </c>
      <c r="M2143">
        <v>-0.9987414</v>
      </c>
      <c r="N2143">
        <v>-1.439704E-2</v>
      </c>
      <c r="O2143">
        <v>4.804804E-2</v>
      </c>
      <c r="P2143">
        <v>-0.99661829999999996</v>
      </c>
      <c r="Q2143">
        <v>3.5313690000000002E-2</v>
      </c>
      <c r="R2143">
        <v>-7.4198630000000002E-2</v>
      </c>
      <c r="S2143">
        <v>-3.0175779999999999</v>
      </c>
      <c r="T2143">
        <v>-0.1241869</v>
      </c>
      <c r="U2143">
        <v>3.5217289999999998E-2</v>
      </c>
      <c r="V2143">
        <v>-0.12181930000000001</v>
      </c>
      <c r="W2143">
        <v>5.0041099999999998E-2</v>
      </c>
      <c r="X2143">
        <v>0.99129</v>
      </c>
      <c r="Y2143">
        <v>-3.633463E-2</v>
      </c>
      <c r="Z2143">
        <v>-2.2930110000000002E-3</v>
      </c>
      <c r="AA2143">
        <v>0.99933709999999998</v>
      </c>
      <c r="AB2143">
        <v>42</v>
      </c>
      <c r="AC2143">
        <v>-26.487599999999901</v>
      </c>
      <c r="AD2143">
        <v>-1.1080118339106</v>
      </c>
      <c r="AE2143">
        <v>0.29289999999997401</v>
      </c>
      <c r="AF2143">
        <v>-0.97853527849538402</v>
      </c>
      <c r="AG2143">
        <v>-1.1080118339106</v>
      </c>
      <c r="AH2143">
        <v>26.424841749845701</v>
      </c>
      <c r="AI2143">
        <v>92.399402393302793</v>
      </c>
      <c r="AJ2143">
        <v>92.120744399123694</v>
      </c>
      <c r="AK2143">
        <v>26.466157314951001</v>
      </c>
      <c r="AL2143">
        <v>87.1316580911177</v>
      </c>
      <c r="AM2143">
        <v>97.005932732587297</v>
      </c>
      <c r="AN2143">
        <v>0.99999995882084902</v>
      </c>
    </row>
    <row r="2144" spans="1:40" x14ac:dyDescent="0.25">
      <c r="A2144" t="str">
        <f>"20190305135833120"</f>
        <v>20190305135833120</v>
      </c>
      <c r="B2144" t="str">
        <f>"1551765513110928"</f>
        <v>1551765513110928</v>
      </c>
      <c r="C2144" t="s">
        <v>40</v>
      </c>
      <c r="D2144">
        <v>3.721355</v>
      </c>
      <c r="E2144">
        <v>0.53072319999999995</v>
      </c>
      <c r="F2144" t="s">
        <v>59</v>
      </c>
      <c r="G2144">
        <v>-461.10399999999998</v>
      </c>
      <c r="H2144" s="1">
        <v>-9.8090039999999997E-7</v>
      </c>
      <c r="I2144">
        <v>285.33890000000002</v>
      </c>
      <c r="J2144">
        <v>-435.30869999999999</v>
      </c>
      <c r="K2144">
        <v>1.1081449999999999</v>
      </c>
      <c r="L2144">
        <v>285.03750000000002</v>
      </c>
      <c r="M2144">
        <v>-0.99869410000000003</v>
      </c>
      <c r="N2144">
        <v>-1.439289E-2</v>
      </c>
      <c r="O2144">
        <v>4.9022860000000001E-2</v>
      </c>
      <c r="P2144">
        <v>-0.99666900000000003</v>
      </c>
      <c r="Q2144">
        <v>3.4330680000000002E-2</v>
      </c>
      <c r="R2144">
        <v>-7.3979069999999994E-2</v>
      </c>
      <c r="S2144">
        <v>-3.0174560000000001</v>
      </c>
      <c r="T2144">
        <v>-0.1275423</v>
      </c>
      <c r="U2144">
        <v>3.7109379999999997E-2</v>
      </c>
      <c r="V2144">
        <v>-0.1225899</v>
      </c>
      <c r="W2144">
        <v>4.901668E-2</v>
      </c>
      <c r="X2144">
        <v>0.99124619999999997</v>
      </c>
      <c r="Y2144">
        <v>-3.6678820000000001E-2</v>
      </c>
      <c r="Z2144">
        <v>-2.4036109999999999E-3</v>
      </c>
      <c r="AA2144">
        <v>0.9993242</v>
      </c>
      <c r="AB2144">
        <v>42</v>
      </c>
      <c r="AC2144">
        <v>-25.795300000000001</v>
      </c>
      <c r="AD2144">
        <v>-1.1081459809004</v>
      </c>
      <c r="AE2144">
        <v>0.301400000000001</v>
      </c>
      <c r="AF2144">
        <v>-0.96187775367779904</v>
      </c>
      <c r="AG2144">
        <v>-1.1081459809004</v>
      </c>
      <c r="AH2144">
        <v>25.7315747929606</v>
      </c>
      <c r="AI2144">
        <v>92.464235011447599</v>
      </c>
      <c r="AJ2144">
        <v>92.140789574454701</v>
      </c>
      <c r="AK2144">
        <v>25.773380407966101</v>
      </c>
      <c r="AL2144">
        <v>87.190425205914806</v>
      </c>
      <c r="AM2144">
        <v>97.050114409047794</v>
      </c>
      <c r="AN2144">
        <v>0.99999997375733496</v>
      </c>
    </row>
    <row r="2145" spans="1:40" x14ac:dyDescent="0.25">
      <c r="A2145" t="str">
        <f>"20190305135833143"</f>
        <v>20190305135833143</v>
      </c>
      <c r="B2145" t="str">
        <f>"1551765513130449"</f>
        <v>1551765513130449</v>
      </c>
      <c r="C2145" t="s">
        <v>40</v>
      </c>
      <c r="D2145">
        <v>3.7249270000000001</v>
      </c>
      <c r="E2145">
        <v>0.53026830000000003</v>
      </c>
      <c r="F2145" t="s">
        <v>59</v>
      </c>
      <c r="G2145">
        <v>-460.52100000000002</v>
      </c>
      <c r="H2145" s="1">
        <v>-1.291345E-6</v>
      </c>
      <c r="I2145">
        <v>285.34379999999999</v>
      </c>
      <c r="J2145">
        <v>-435.72910000000002</v>
      </c>
      <c r="K2145">
        <v>1.1083000000000001</v>
      </c>
      <c r="L2145">
        <v>285.05889999999999</v>
      </c>
      <c r="M2145">
        <v>-0.99865380000000004</v>
      </c>
      <c r="N2145">
        <v>-1.438884E-2</v>
      </c>
      <c r="O2145">
        <v>4.9836190000000002E-2</v>
      </c>
      <c r="P2145">
        <v>-0.99666889999999997</v>
      </c>
      <c r="Q2145">
        <v>3.361107E-2</v>
      </c>
      <c r="R2145">
        <v>-7.4305099999999999E-2</v>
      </c>
      <c r="S2145">
        <v>-3.0172729999999999</v>
      </c>
      <c r="T2145">
        <v>-0.13261689999999901</v>
      </c>
      <c r="U2145">
        <v>3.6651610000000001E-2</v>
      </c>
      <c r="V2145">
        <v>-0.1237434</v>
      </c>
      <c r="W2145">
        <v>4.8250349999999997E-2</v>
      </c>
      <c r="X2145">
        <v>0.99114049999999998</v>
      </c>
      <c r="Y2145">
        <v>-3.7636450000000002E-2</v>
      </c>
      <c r="Z2145">
        <v>-2.568954E-3</v>
      </c>
      <c r="AA2145">
        <v>0.99928819999999996</v>
      </c>
      <c r="AB2145">
        <v>42</v>
      </c>
      <c r="AC2145">
        <v>-24.791899999999899</v>
      </c>
      <c r="AD2145">
        <v>-1.1083012913449899</v>
      </c>
      <c r="AE2145">
        <v>0.28489999999999299</v>
      </c>
      <c r="AF2145">
        <v>-0.94921906074626505</v>
      </c>
      <c r="AG2145">
        <v>-1.1083012913449899</v>
      </c>
      <c r="AH2145">
        <v>24.725879904953899</v>
      </c>
      <c r="AI2145">
        <v>92.564594774027199</v>
      </c>
      <c r="AJ2145">
        <v>92.198488071504499</v>
      </c>
      <c r="AK2145">
        <v>24.768901583475301</v>
      </c>
      <c r="AL2145">
        <v>87.234384795413504</v>
      </c>
      <c r="AM2145">
        <v>97.116526074593693</v>
      </c>
      <c r="AN2145">
        <v>1.00000000802946</v>
      </c>
    </row>
    <row r="2146" spans="1:40" x14ac:dyDescent="0.25">
      <c r="A2146" t="str">
        <f>"20190305135833164"</f>
        <v>20190305135833164</v>
      </c>
      <c r="B2146" t="str">
        <f>"1551765513160704"</f>
        <v>1551765513160704</v>
      </c>
      <c r="C2146" t="s">
        <v>40</v>
      </c>
      <c r="D2146">
        <v>3.7583440000000001</v>
      </c>
      <c r="E2146">
        <v>0.53016680000000005</v>
      </c>
      <c r="F2146" t="s">
        <v>59</v>
      </c>
      <c r="G2146">
        <v>-460.21800000000002</v>
      </c>
      <c r="H2146" s="1">
        <v>-1.4516439999999999E-6</v>
      </c>
      <c r="I2146">
        <v>285.32299999999998</v>
      </c>
      <c r="J2146">
        <v>-436.12959999999998</v>
      </c>
      <c r="K2146">
        <v>1.1084579999999999</v>
      </c>
      <c r="L2146">
        <v>285.0795</v>
      </c>
      <c r="M2146">
        <v>-0.9986218</v>
      </c>
      <c r="N2146">
        <v>-1.4385200000000001E-2</v>
      </c>
      <c r="O2146">
        <v>5.0475289999999999E-2</v>
      </c>
      <c r="P2146">
        <v>-0.99663849999999998</v>
      </c>
      <c r="Q2146">
        <v>3.3489869999999998E-2</v>
      </c>
      <c r="R2146">
        <v>-7.4765780000000004E-2</v>
      </c>
      <c r="S2146">
        <v>-3.0169980000000001</v>
      </c>
      <c r="T2146">
        <v>-0.13654079999999999</v>
      </c>
      <c r="U2146">
        <v>3.2531740000000003E-2</v>
      </c>
      <c r="V2146">
        <v>-0.1248536</v>
      </c>
      <c r="W2146">
        <v>4.8084599999999998E-2</v>
      </c>
      <c r="X2146">
        <v>0.99100929999999998</v>
      </c>
      <c r="Y2146">
        <v>-3.9631680000000002E-2</v>
      </c>
      <c r="Z2146">
        <v>-2.7377019999999998E-3</v>
      </c>
      <c r="AA2146">
        <v>0.99921059999999995</v>
      </c>
      <c r="AB2146">
        <v>42</v>
      </c>
      <c r="AC2146">
        <v>-24.0884</v>
      </c>
      <c r="AD2146">
        <v>-1.1084594516439901</v>
      </c>
      <c r="AE2146">
        <v>0.24349999999998301</v>
      </c>
      <c r="AF2146">
        <v>-0.970749780127526</v>
      </c>
      <c r="AG2146">
        <v>-1.1084594516439901</v>
      </c>
      <c r="AH2146">
        <v>24.0191250756749</v>
      </c>
      <c r="AI2146">
        <v>92.640117950489298</v>
      </c>
      <c r="AJ2146">
        <v>92.314389518192499</v>
      </c>
      <c r="AK2146">
        <v>24.0642765711432</v>
      </c>
      <c r="AL2146">
        <v>87.243892561008394</v>
      </c>
      <c r="AM2146">
        <v>97.180651293991701</v>
      </c>
      <c r="AN2146">
        <v>0.99999999143830498</v>
      </c>
    </row>
    <row r="2147" spans="1:40" x14ac:dyDescent="0.25">
      <c r="A2147" t="str">
        <f>"20190305135833187"</f>
        <v>20190305135833187</v>
      </c>
      <c r="B2147" t="str">
        <f>"1551765513180856"</f>
        <v>1551765513180856</v>
      </c>
      <c r="C2147" t="s">
        <v>40</v>
      </c>
      <c r="D2147">
        <v>3.7703660000000001</v>
      </c>
      <c r="E2147">
        <v>0.52991259999999996</v>
      </c>
      <c r="F2147" t="s">
        <v>59</v>
      </c>
      <c r="G2147">
        <v>-462.1936</v>
      </c>
      <c r="H2147" s="1">
        <v>-4.0094289999999997E-7</v>
      </c>
      <c r="I2147">
        <v>285.33679999999998</v>
      </c>
      <c r="J2147">
        <v>-436.55650000000003</v>
      </c>
      <c r="K2147">
        <v>1.1086229999999999</v>
      </c>
      <c r="L2147">
        <v>285.10160000000002</v>
      </c>
      <c r="M2147">
        <v>-0.99859500000000001</v>
      </c>
      <c r="N2147">
        <v>-1.4381369999999999E-2</v>
      </c>
      <c r="O2147">
        <v>5.100383E-2</v>
      </c>
      <c r="P2147">
        <v>-0.99660130000000002</v>
      </c>
      <c r="Q2147">
        <v>3.4475980000000003E-2</v>
      </c>
      <c r="R2147">
        <v>-7.4813000000000004E-2</v>
      </c>
      <c r="S2147">
        <v>-3.0166930000000001</v>
      </c>
      <c r="T2147">
        <v>-0.12829460000000001</v>
      </c>
      <c r="U2147">
        <v>2.9785160000000001E-2</v>
      </c>
      <c r="V2147">
        <v>-0.12543899999999999</v>
      </c>
      <c r="W2147">
        <v>4.9021450000000001E-2</v>
      </c>
      <c r="X2147">
        <v>0.99088949999999998</v>
      </c>
      <c r="Y2147">
        <v>-4.1076670000000003E-2</v>
      </c>
      <c r="Z2147">
        <v>-2.60225E-3</v>
      </c>
      <c r="AA2147">
        <v>0.99915259999999995</v>
      </c>
      <c r="AB2147">
        <v>42</v>
      </c>
      <c r="AC2147">
        <v>-25.637099999999901</v>
      </c>
      <c r="AD2147">
        <v>-1.1086234009428999</v>
      </c>
      <c r="AE2147">
        <v>0.23519999999996299</v>
      </c>
      <c r="AF2147">
        <v>-1.07082936405409</v>
      </c>
      <c r="AG2147">
        <v>-1.1086234009428999</v>
      </c>
      <c r="AH2147">
        <v>25.567915935260601</v>
      </c>
      <c r="AI2147">
        <v>92.480614688275907</v>
      </c>
      <c r="AJ2147">
        <v>92.398246602694201</v>
      </c>
      <c r="AK2147">
        <v>25.614332836218701</v>
      </c>
      <c r="AL2147">
        <v>87.190151715259702</v>
      </c>
      <c r="AM2147">
        <v>97.214828263823904</v>
      </c>
      <c r="AN2147">
        <v>1.0000000232456701</v>
      </c>
    </row>
    <row r="2148" spans="1:40" x14ac:dyDescent="0.25">
      <c r="A2148" t="str">
        <f>"20190305135833209"</f>
        <v>20190305135833209</v>
      </c>
      <c r="B2148" t="str">
        <f>"1551765513201347"</f>
        <v>1551765513201347</v>
      </c>
      <c r="C2148" t="s">
        <v>40</v>
      </c>
      <c r="D2148">
        <v>3.8011400000000002</v>
      </c>
      <c r="E2148">
        <v>0.52965709999999999</v>
      </c>
      <c r="F2148" t="s">
        <v>59</v>
      </c>
      <c r="G2148">
        <v>-463.89</v>
      </c>
      <c r="H2148" s="1">
        <v>5.0134800000000002E-7</v>
      </c>
      <c r="I2148">
        <v>285.34710000000001</v>
      </c>
      <c r="J2148">
        <v>-436.97399999999999</v>
      </c>
      <c r="K2148">
        <v>1.1087819999999999</v>
      </c>
      <c r="L2148">
        <v>285.12329999999997</v>
      </c>
      <c r="M2148">
        <v>-0.99857629999999997</v>
      </c>
      <c r="N2148">
        <v>-1.4377849999999999E-2</v>
      </c>
      <c r="O2148">
        <v>5.1369100000000001E-2</v>
      </c>
      <c r="P2148">
        <v>-0.99650830000000001</v>
      </c>
      <c r="Q2148">
        <v>3.5942399999999999E-2</v>
      </c>
      <c r="R2148">
        <v>-7.5364619999999993E-2</v>
      </c>
      <c r="S2148">
        <v>-3.0165410000000001</v>
      </c>
      <c r="T2148">
        <v>-0.12234780000000001</v>
      </c>
      <c r="U2148">
        <v>2.709961E-2</v>
      </c>
      <c r="V2148">
        <v>-0.1263618</v>
      </c>
      <c r="W2148">
        <v>5.0438749999999997E-2</v>
      </c>
      <c r="X2148">
        <v>0.9907011</v>
      </c>
      <c r="Y2148">
        <v>-4.2336190000000003E-2</v>
      </c>
      <c r="Z2148">
        <v>-2.5058110000000001E-3</v>
      </c>
      <c r="AA2148">
        <v>0.99910030000000005</v>
      </c>
      <c r="AB2148">
        <v>42</v>
      </c>
      <c r="AC2148">
        <v>-26.916</v>
      </c>
      <c r="AD2148">
        <v>-1.1087814986519999</v>
      </c>
      <c r="AE2148">
        <v>0.223800000000039</v>
      </c>
      <c r="AF2148">
        <v>-1.1573252780686101</v>
      </c>
      <c r="AG2148">
        <v>-1.1087814986519999</v>
      </c>
      <c r="AH2148">
        <v>26.846399981281799</v>
      </c>
      <c r="AI2148">
        <v>92.362833282704798</v>
      </c>
      <c r="AJ2148">
        <v>92.4684435544942</v>
      </c>
      <c r="AK2148">
        <v>26.894199935413202</v>
      </c>
      <c r="AL2148">
        <v>87.1088457944563</v>
      </c>
      <c r="AM2148">
        <v>97.268706446186997</v>
      </c>
      <c r="AN2148">
        <v>1.000000020771</v>
      </c>
    </row>
    <row r="2149" spans="1:40" x14ac:dyDescent="0.25">
      <c r="A2149" t="str">
        <f>"20190305135833231"</f>
        <v>20190305135833231</v>
      </c>
      <c r="B2149" t="str">
        <f>"1551765513220869"</f>
        <v>1551765513220869</v>
      </c>
      <c r="C2149" t="s">
        <v>40</v>
      </c>
      <c r="D2149">
        <v>3.8121130000000001</v>
      </c>
      <c r="E2149">
        <v>0.52940209999999999</v>
      </c>
      <c r="F2149" t="s">
        <v>59</v>
      </c>
      <c r="G2149">
        <v>-465.93880000000001</v>
      </c>
      <c r="H2149" s="1">
        <v>1.591801E-6</v>
      </c>
      <c r="I2149">
        <v>285.34300000000002</v>
      </c>
      <c r="J2149">
        <v>-437.37619999999998</v>
      </c>
      <c r="K2149">
        <v>1.1089260000000001</v>
      </c>
      <c r="L2149">
        <v>285.14420000000001</v>
      </c>
      <c r="M2149">
        <v>-0.99856500000000004</v>
      </c>
      <c r="N2149">
        <v>-1.437451E-2</v>
      </c>
      <c r="O2149">
        <v>5.1587649999999999E-2</v>
      </c>
      <c r="P2149">
        <v>-0.99650439999999996</v>
      </c>
      <c r="Q2149">
        <v>3.6049190000000002E-2</v>
      </c>
      <c r="R2149">
        <v>-7.5361730000000002E-2</v>
      </c>
      <c r="S2149">
        <v>-3.0164179999999998</v>
      </c>
      <c r="T2149">
        <v>-0.115469</v>
      </c>
      <c r="U2149">
        <v>2.2888180000000001E-2</v>
      </c>
      <c r="V2149">
        <v>-0.12659339999999999</v>
      </c>
      <c r="W2149">
        <v>5.0498759999999997E-2</v>
      </c>
      <c r="X2149">
        <v>0.99066849999999995</v>
      </c>
      <c r="Y2149">
        <v>-4.3954970000000003E-2</v>
      </c>
      <c r="Z2149">
        <v>-2.3886659999999998E-3</v>
      </c>
      <c r="AA2149">
        <v>0.99903059999999999</v>
      </c>
      <c r="AB2149">
        <v>42</v>
      </c>
      <c r="AC2149">
        <v>-28.5626</v>
      </c>
      <c r="AD2149">
        <v>-1.108924408199</v>
      </c>
      <c r="AE2149">
        <v>0.198800000000005</v>
      </c>
      <c r="AF2149">
        <v>-1.27317544623359</v>
      </c>
      <c r="AG2149">
        <v>-1.108924408199</v>
      </c>
      <c r="AH2149">
        <v>28.491872299413298</v>
      </c>
      <c r="AI2149">
        <v>92.226648712194105</v>
      </c>
      <c r="AJ2149">
        <v>92.558592256295995</v>
      </c>
      <c r="AK2149">
        <v>28.5418548133451</v>
      </c>
      <c r="AL2149">
        <v>87.105403158581396</v>
      </c>
      <c r="AM2149">
        <v>97.282122951379193</v>
      </c>
      <c r="AN2149">
        <v>1.0000000452886699</v>
      </c>
    </row>
    <row r="2150" spans="1:40" x14ac:dyDescent="0.25">
      <c r="A2150" t="str">
        <f>"20190305135833254"</f>
        <v>20190305135833254</v>
      </c>
      <c r="B2150" t="str">
        <f>"1551765513251124"</f>
        <v>1551765513251124</v>
      </c>
      <c r="C2150" t="s">
        <v>40</v>
      </c>
      <c r="D2150">
        <v>3.8494519999999999</v>
      </c>
      <c r="E2150">
        <v>0.52912090000000001</v>
      </c>
      <c r="F2150" t="s">
        <v>59</v>
      </c>
      <c r="G2150">
        <v>-466.88839999999999</v>
      </c>
      <c r="H2150" s="1">
        <v>2.0969790000000001E-6</v>
      </c>
      <c r="I2150">
        <v>285.34550000000002</v>
      </c>
      <c r="J2150">
        <v>-437.7946</v>
      </c>
      <c r="K2150">
        <v>1.109083</v>
      </c>
      <c r="L2150">
        <v>285.166</v>
      </c>
      <c r="M2150">
        <v>-0.99856049999999996</v>
      </c>
      <c r="N2150">
        <v>-1.437134E-2</v>
      </c>
      <c r="O2150">
        <v>5.1675690000000003E-2</v>
      </c>
      <c r="P2150">
        <v>-0.99650499999999997</v>
      </c>
      <c r="Q2150">
        <v>3.5758489999999997E-2</v>
      </c>
      <c r="R2150">
        <v>-7.5494199999999997E-2</v>
      </c>
      <c r="S2150">
        <v>-3.0162049999999998</v>
      </c>
      <c r="T2150">
        <v>-0.113334199999999</v>
      </c>
      <c r="U2150">
        <v>2.056885E-2</v>
      </c>
      <c r="V2150">
        <v>-0.12683169999999999</v>
      </c>
      <c r="W2150">
        <v>5.0158250000000001E-2</v>
      </c>
      <c r="X2150">
        <v>0.99065530000000002</v>
      </c>
      <c r="Y2150">
        <v>-4.4812060000000001E-2</v>
      </c>
      <c r="Z2150">
        <v>-2.3612630000000002E-3</v>
      </c>
      <c r="AA2150">
        <v>0.99899260000000001</v>
      </c>
      <c r="AB2150">
        <v>42</v>
      </c>
      <c r="AC2150">
        <v>-29.093799999999899</v>
      </c>
      <c r="AD2150">
        <v>-1.109080903021</v>
      </c>
      <c r="AE2150">
        <v>0.17950000000001801</v>
      </c>
      <c r="AF2150">
        <v>-1.3224156964911</v>
      </c>
      <c r="AG2150">
        <v>-1.109080903021</v>
      </c>
      <c r="AH2150">
        <v>29.022023818392899</v>
      </c>
      <c r="AI2150">
        <v>92.186235474331994</v>
      </c>
      <c r="AJ2150">
        <v>92.608931251920396</v>
      </c>
      <c r="AK2150">
        <v>29.0732989225361</v>
      </c>
      <c r="AL2150">
        <v>87.124937646228005</v>
      </c>
      <c r="AM2150">
        <v>97.295779461261205</v>
      </c>
      <c r="AN2150">
        <v>1.00000002679302</v>
      </c>
    </row>
    <row r="2151" spans="1:40" x14ac:dyDescent="0.25">
      <c r="A2151" t="str">
        <f>"20190305135833269"</f>
        <v>20190305135833269</v>
      </c>
      <c r="B2151" t="str">
        <f>"1551765513260885"</f>
        <v>1551765513260885</v>
      </c>
      <c r="C2151" t="s">
        <v>40</v>
      </c>
      <c r="D2151">
        <v>4.0070410000000001</v>
      </c>
      <c r="E2151">
        <v>0.52921119999999899</v>
      </c>
      <c r="F2151" t="s">
        <v>59</v>
      </c>
      <c r="G2151">
        <v>-467.90940000000001</v>
      </c>
      <c r="H2151" s="1">
        <v>2.6406460000000002E-6</v>
      </c>
      <c r="I2151">
        <v>285.33819999999997</v>
      </c>
      <c r="J2151">
        <v>-438.09429999999998</v>
      </c>
      <c r="K2151">
        <v>1.109192</v>
      </c>
      <c r="L2151">
        <v>285.1816</v>
      </c>
      <c r="M2151">
        <v>-0.99856250000000002</v>
      </c>
      <c r="N2151">
        <v>-1.436903E-2</v>
      </c>
      <c r="O2151">
        <v>5.1638919999999998E-2</v>
      </c>
      <c r="P2151">
        <v>-0.99656230000000001</v>
      </c>
      <c r="Q2151">
        <v>3.5514160000000003E-2</v>
      </c>
      <c r="R2151">
        <v>-7.4850459999999994E-2</v>
      </c>
      <c r="S2151">
        <v>-3.0157780000000001</v>
      </c>
      <c r="T2151">
        <v>-0.1110662</v>
      </c>
      <c r="U2151">
        <v>1.724243E-2</v>
      </c>
      <c r="V2151">
        <v>-0.12616930000000001</v>
      </c>
      <c r="W2151">
        <v>4.9876799999999999E-2</v>
      </c>
      <c r="X2151">
        <v>0.99075409999999997</v>
      </c>
      <c r="Y2151">
        <v>-4.587749E-2</v>
      </c>
      <c r="Z2151">
        <v>-2.3325440000000002E-3</v>
      </c>
      <c r="AA2151">
        <v>0.99894430000000001</v>
      </c>
      <c r="AB2151">
        <v>42</v>
      </c>
      <c r="AC2151">
        <v>-29.815100000000001</v>
      </c>
      <c r="AD2151">
        <v>-1.1091893593540001</v>
      </c>
      <c r="AE2151">
        <v>0.15659999999996899</v>
      </c>
      <c r="AF2151">
        <v>-1.3814754968944001</v>
      </c>
      <c r="AG2151">
        <v>-1.1091893593540001</v>
      </c>
      <c r="AH2151">
        <v>29.742238208370001</v>
      </c>
      <c r="AI2151">
        <v>92.133466938169605</v>
      </c>
      <c r="AJ2151">
        <v>92.659378424446402</v>
      </c>
      <c r="AK2151">
        <v>29.7949577819276</v>
      </c>
      <c r="AL2151">
        <v>87.141083781782498</v>
      </c>
      <c r="AM2151">
        <v>97.257367323071705</v>
      </c>
      <c r="AN2151">
        <v>1.0000000370537601</v>
      </c>
    </row>
    <row r="2152" spans="1:40" x14ac:dyDescent="0.25">
      <c r="A2152" t="str">
        <f>"20190305135833287"</f>
        <v>20190305135833287</v>
      </c>
      <c r="B2152" t="str">
        <f>"1551765513281380"</f>
        <v>1551765513281380</v>
      </c>
      <c r="C2152" t="s">
        <v>40</v>
      </c>
      <c r="D2152">
        <v>3.8943880000000002</v>
      </c>
      <c r="E2152">
        <v>0.57510329999999998</v>
      </c>
      <c r="F2152" t="s">
        <v>59</v>
      </c>
      <c r="G2152">
        <v>-468.04599999999999</v>
      </c>
      <c r="H2152" s="1">
        <v>2.7116E-6</v>
      </c>
      <c r="I2152">
        <v>285.37740000000002</v>
      </c>
      <c r="J2152">
        <v>-438.42680000000001</v>
      </c>
      <c r="K2152">
        <v>1.1093200000000001</v>
      </c>
      <c r="L2152">
        <v>285.19880000000001</v>
      </c>
      <c r="M2152">
        <v>-0.99856929999999999</v>
      </c>
      <c r="N2152">
        <v>-1.4366510000000001E-2</v>
      </c>
      <c r="O2152">
        <v>5.1508169999999999E-2</v>
      </c>
      <c r="P2152">
        <v>-0.99671100000000001</v>
      </c>
      <c r="Q2152">
        <v>3.4284139999999998E-2</v>
      </c>
      <c r="R2152">
        <v>-7.343094E-2</v>
      </c>
      <c r="S2152">
        <v>-3.0158079999999998</v>
      </c>
      <c r="T2152">
        <v>-0.111683199999999</v>
      </c>
      <c r="U2152">
        <v>1.971436E-2</v>
      </c>
      <c r="V2152">
        <v>-0.1246463</v>
      </c>
      <c r="W2152">
        <v>4.8606129999999997E-2</v>
      </c>
      <c r="X2152">
        <v>0.99100999999999995</v>
      </c>
      <c r="Y2152">
        <v>-4.4928250000000003E-2</v>
      </c>
      <c r="Z2152">
        <v>-2.3204649999999999E-3</v>
      </c>
      <c r="AA2152">
        <v>0.99898750000000003</v>
      </c>
      <c r="AB2152">
        <v>42</v>
      </c>
      <c r="AC2152">
        <v>-29.6191999999999</v>
      </c>
      <c r="AD2152">
        <v>-1.1093172884</v>
      </c>
      <c r="AE2152">
        <v>0.178600000000017</v>
      </c>
      <c r="AF2152">
        <v>-1.3455379620565899</v>
      </c>
      <c r="AG2152">
        <v>-1.1093172884</v>
      </c>
      <c r="AH2152">
        <v>29.547629906133</v>
      </c>
      <c r="AI2152">
        <v>92.147842492380803</v>
      </c>
      <c r="AJ2152">
        <v>92.607330031874298</v>
      </c>
      <c r="AK2152">
        <v>29.599045429261398</v>
      </c>
      <c r="AL2152">
        <v>87.213976240524502</v>
      </c>
      <c r="AM2152">
        <v>97.168848069750894</v>
      </c>
      <c r="AN2152">
        <v>1.00000003803863</v>
      </c>
    </row>
    <row r="2153" spans="1:40" x14ac:dyDescent="0.25">
      <c r="A2153" t="str">
        <f>"20190305135833309"</f>
        <v>20190305135833309</v>
      </c>
      <c r="B2153" t="str">
        <f>"1551765513300904"</f>
        <v>1551765513300904</v>
      </c>
      <c r="C2153" t="s">
        <v>40</v>
      </c>
      <c r="D2153">
        <v>3.734461</v>
      </c>
      <c r="E2153">
        <v>0.59910430000000003</v>
      </c>
      <c r="F2153" t="s">
        <v>41</v>
      </c>
      <c r="G2153">
        <v>-439.31909999999999</v>
      </c>
      <c r="H2153">
        <v>0.98465009999999997</v>
      </c>
      <c r="I2153">
        <v>285.31779999999998</v>
      </c>
      <c r="J2153">
        <v>-438.83139999999997</v>
      </c>
      <c r="K2153">
        <v>1.1094809999999999</v>
      </c>
      <c r="L2153">
        <v>285.21949999999998</v>
      </c>
      <c r="M2153">
        <v>-0.99858440000000004</v>
      </c>
      <c r="N2153">
        <v>-1.4363509999999999E-2</v>
      </c>
      <c r="O2153">
        <v>5.1215179999999999E-2</v>
      </c>
      <c r="P2153">
        <v>-0.99684629999999996</v>
      </c>
      <c r="Q2153">
        <v>3.3794930000000001E-2</v>
      </c>
      <c r="R2153">
        <v>-7.1802969999999994E-2</v>
      </c>
      <c r="S2153">
        <v>-3.054535</v>
      </c>
      <c r="T2153">
        <v>-0.42690830000000002</v>
      </c>
      <c r="U2153">
        <v>0.40615839999999998</v>
      </c>
      <c r="V2153">
        <v>-0.122757199999999</v>
      </c>
      <c r="W2153">
        <v>4.806556E-2</v>
      </c>
      <c r="X2153">
        <v>0.99127209999999999</v>
      </c>
      <c r="Y2153">
        <v>8.0407439999999997E-2</v>
      </c>
      <c r="Z2153">
        <v>-2.033808E-4</v>
      </c>
      <c r="AA2153">
        <v>0.99676200000000004</v>
      </c>
      <c r="AB2153">
        <v>42</v>
      </c>
      <c r="AC2153">
        <v>-0.48770000000001701</v>
      </c>
      <c r="AD2153">
        <v>-0.124830899999999</v>
      </c>
      <c r="AE2153">
        <v>9.8299999999994697E-2</v>
      </c>
      <c r="AF2153">
        <v>6.8855794453673805E-2</v>
      </c>
      <c r="AG2153">
        <v>-0.124830899999999</v>
      </c>
      <c r="AH2153">
        <v>0.46294892052898601</v>
      </c>
      <c r="AI2153">
        <v>104.93368460774801</v>
      </c>
      <c r="AJ2153">
        <v>81.540242354679293</v>
      </c>
      <c r="AK2153">
        <v>0.484402288437627</v>
      </c>
      <c r="AL2153">
        <v>87.244984765252099</v>
      </c>
      <c r="AM2153">
        <v>97.059456177924403</v>
      </c>
      <c r="AN2153">
        <v>1.00000000222418</v>
      </c>
    </row>
    <row r="2154" spans="1:40" x14ac:dyDescent="0.25">
      <c r="A2154" t="str">
        <f>"20190305135833332"</f>
        <v>20190305135833332</v>
      </c>
      <c r="B2154" t="str">
        <f>"1551765513321396"</f>
        <v>1551765513321396</v>
      </c>
      <c r="C2154" t="s">
        <v>40</v>
      </c>
      <c r="D2154">
        <v>3.8984920000000001</v>
      </c>
      <c r="E2154">
        <v>0.60192570000000001</v>
      </c>
      <c r="F2154" t="s">
        <v>41</v>
      </c>
      <c r="G2154">
        <v>-439.6773</v>
      </c>
      <c r="H2154">
        <v>0.96182849999999998</v>
      </c>
      <c r="I2154">
        <v>285.38740000000001</v>
      </c>
      <c r="J2154">
        <v>-439.2491</v>
      </c>
      <c r="K2154">
        <v>1.1096509999999999</v>
      </c>
      <c r="L2154">
        <v>285.2407</v>
      </c>
      <c r="M2154">
        <v>-0.99860700000000002</v>
      </c>
      <c r="N2154">
        <v>-1.436085E-2</v>
      </c>
      <c r="O2154">
        <v>5.0772200000000003E-2</v>
      </c>
      <c r="P2154">
        <v>-0.99697880000000005</v>
      </c>
      <c r="Q2154">
        <v>3.2783960000000001E-2</v>
      </c>
      <c r="R2154">
        <v>-7.0420930000000007E-2</v>
      </c>
      <c r="S2154">
        <v>-3.071472</v>
      </c>
      <c r="T2154">
        <v>-0.53617530000000002</v>
      </c>
      <c r="U2154">
        <v>0.608429</v>
      </c>
      <c r="V2154">
        <v>-0.1209636</v>
      </c>
      <c r="W2154">
        <v>4.7003410000000002E-2</v>
      </c>
      <c r="X2154">
        <v>0.99154350000000002</v>
      </c>
      <c r="Y2154">
        <v>0.14262520000000001</v>
      </c>
      <c r="Z2154">
        <v>5.2993569999999898E-3</v>
      </c>
      <c r="AA2154">
        <v>0.98976260000000005</v>
      </c>
      <c r="AB2154">
        <v>42</v>
      </c>
      <c r="AC2154">
        <v>-0.42820000000000302</v>
      </c>
      <c r="AD2154">
        <v>-0.147822499999999</v>
      </c>
      <c r="AE2154">
        <v>0.14670000000000899</v>
      </c>
      <c r="AF2154">
        <v>0.11274301596877701</v>
      </c>
      <c r="AG2154">
        <v>-0.147822499999999</v>
      </c>
      <c r="AH2154">
        <v>0.393163043815423</v>
      </c>
      <c r="AI2154">
        <v>109.870690023431</v>
      </c>
      <c r="AJ2154">
        <v>73.999282636750607</v>
      </c>
      <c r="AK2154">
        <v>0.43490189488917402</v>
      </c>
      <c r="AL2154">
        <v>87.305910378985601</v>
      </c>
      <c r="AM2154">
        <v>96.955443408416201</v>
      </c>
      <c r="AN2154">
        <v>1.00000001273441</v>
      </c>
    </row>
    <row r="2155" spans="1:40" x14ac:dyDescent="0.25">
      <c r="A2155" t="str">
        <f>"20190305135833354"</f>
        <v>20190305135833354</v>
      </c>
      <c r="B2155" t="str">
        <f>"1551765513350677"</f>
        <v>1551765513350677</v>
      </c>
      <c r="C2155" t="s">
        <v>40</v>
      </c>
      <c r="D2155">
        <v>3.9077259999999998</v>
      </c>
      <c r="E2155">
        <v>0.60103469999999903</v>
      </c>
      <c r="F2155" t="s">
        <v>41</v>
      </c>
      <c r="G2155">
        <v>-440.0437</v>
      </c>
      <c r="H2155">
        <v>0.95230309999999996</v>
      </c>
      <c r="I2155">
        <v>285.40660000000003</v>
      </c>
      <c r="J2155">
        <v>-439.66419999999999</v>
      </c>
      <c r="K2155">
        <v>1.10981</v>
      </c>
      <c r="L2155">
        <v>285.26139999999998</v>
      </c>
      <c r="M2155">
        <v>-0.99863570000000002</v>
      </c>
      <c r="N2155">
        <v>-1.435875E-2</v>
      </c>
      <c r="O2155">
        <v>5.0206399999999998E-2</v>
      </c>
      <c r="P2155">
        <v>-0.99705750000000004</v>
      </c>
      <c r="Q2155">
        <v>3.1690509999999998E-2</v>
      </c>
      <c r="R2155">
        <v>-6.9800840000000003E-2</v>
      </c>
      <c r="S2155">
        <v>-3.074341</v>
      </c>
      <c r="T2155">
        <v>-0.60911459999999995</v>
      </c>
      <c r="U2155">
        <v>0.64025880000000002</v>
      </c>
      <c r="V2155">
        <v>-0.11980540000000001</v>
      </c>
      <c r="W2155">
        <v>4.5861190000000003E-2</v>
      </c>
      <c r="X2155">
        <v>0.9917376</v>
      </c>
      <c r="Y2155">
        <v>0.15222620000000001</v>
      </c>
      <c r="Z2155">
        <v>6.8702499999999996E-3</v>
      </c>
      <c r="AA2155">
        <v>0.98832180000000003</v>
      </c>
      <c r="AB2155">
        <v>42</v>
      </c>
      <c r="AC2155">
        <v>-0.379500000000007</v>
      </c>
      <c r="AD2155">
        <v>-0.15750690000000001</v>
      </c>
      <c r="AE2155">
        <v>0.14520000000004499</v>
      </c>
      <c r="AF2155">
        <v>0.109507025336516</v>
      </c>
      <c r="AG2155">
        <v>-0.15750690000000001</v>
      </c>
      <c r="AH2155">
        <v>0.33584755964583801</v>
      </c>
      <c r="AI2155">
        <v>114.031124282384</v>
      </c>
      <c r="AJ2155">
        <v>71.940836220769299</v>
      </c>
      <c r="AK2155">
        <v>0.386773571312373</v>
      </c>
      <c r="AL2155">
        <v>87.3714254610789</v>
      </c>
      <c r="AM2155">
        <v>96.888154252518305</v>
      </c>
      <c r="AN2155">
        <v>1.0000000249355601</v>
      </c>
    </row>
    <row r="2156" spans="1:40" x14ac:dyDescent="0.25">
      <c r="A2156" t="str">
        <f>"20190305135833378"</f>
        <v>20190305135833378</v>
      </c>
      <c r="B2156" t="str">
        <f>"1551765513371172"</f>
        <v>1551765513371172</v>
      </c>
      <c r="C2156" t="s">
        <v>40</v>
      </c>
      <c r="D2156">
        <v>3.9153220000000002</v>
      </c>
      <c r="E2156">
        <v>0.60133119999999995</v>
      </c>
      <c r="F2156" t="s">
        <v>41</v>
      </c>
      <c r="G2156">
        <v>-440.41419999999999</v>
      </c>
      <c r="H2156">
        <v>0.95162250000000004</v>
      </c>
      <c r="I2156">
        <v>285.41730000000001</v>
      </c>
      <c r="J2156">
        <v>-440.09660000000002</v>
      </c>
      <c r="K2156">
        <v>1.109972</v>
      </c>
      <c r="L2156">
        <v>285.28250000000003</v>
      </c>
      <c r="M2156">
        <v>-0.99867090000000003</v>
      </c>
      <c r="N2156">
        <v>-1.4356850000000001E-2</v>
      </c>
      <c r="O2156">
        <v>4.9499799999999997E-2</v>
      </c>
      <c r="P2156">
        <v>-0.99705719999999998</v>
      </c>
      <c r="Q2156">
        <v>3.1092829999999998E-2</v>
      </c>
      <c r="R2156">
        <v>-7.0074460000000005E-2</v>
      </c>
      <c r="S2156">
        <v>-3.0741879999999999</v>
      </c>
      <c r="T2156">
        <v>-0.64836629999999995</v>
      </c>
      <c r="U2156">
        <v>0.63833619999999902</v>
      </c>
      <c r="V2156">
        <v>-0.11939370000000001</v>
      </c>
      <c r="W2156">
        <v>4.5216230000000003E-2</v>
      </c>
      <c r="X2156">
        <v>0.99181680000000005</v>
      </c>
      <c r="Y2156">
        <v>0.15206020000000001</v>
      </c>
      <c r="Z2156">
        <v>7.3067169999999999E-3</v>
      </c>
      <c r="AA2156">
        <v>0.98834429999999995</v>
      </c>
      <c r="AB2156">
        <v>42</v>
      </c>
      <c r="AC2156">
        <v>-0.31759999999997002</v>
      </c>
      <c r="AD2156">
        <v>-0.158349499999999</v>
      </c>
      <c r="AE2156">
        <v>0.13479999999998399</v>
      </c>
      <c r="AF2156">
        <v>9.8222525467238794E-2</v>
      </c>
      <c r="AG2156">
        <v>-0.158349499999999</v>
      </c>
      <c r="AH2156">
        <v>0.26753144822410801</v>
      </c>
      <c r="AI2156">
        <v>119.057725476819</v>
      </c>
      <c r="AJ2156">
        <v>69.839599947703803</v>
      </c>
      <c r="AK2156">
        <v>0.32602960670512798</v>
      </c>
      <c r="AL2156">
        <v>87.408417164781</v>
      </c>
      <c r="AM2156">
        <v>96.864167075654194</v>
      </c>
      <c r="AN2156">
        <v>0.99999996390866996</v>
      </c>
    </row>
    <row r="2157" spans="1:40" x14ac:dyDescent="0.25">
      <c r="A2157" t="str">
        <f>"20190305135833399"</f>
        <v>20190305135833399</v>
      </c>
      <c r="B2157" t="str">
        <f>"1551765513390696"</f>
        <v>1551765513390696</v>
      </c>
      <c r="C2157" t="s">
        <v>40</v>
      </c>
      <c r="D2157">
        <v>3.9001860000000002</v>
      </c>
      <c r="E2157">
        <v>0.60033300000000001</v>
      </c>
      <c r="F2157" t="s">
        <v>41</v>
      </c>
      <c r="G2157">
        <v>-440.78930000000003</v>
      </c>
      <c r="H2157">
        <v>0.96094210000000002</v>
      </c>
      <c r="I2157">
        <v>285.42739999999998</v>
      </c>
      <c r="J2157">
        <v>-440.49619999999999</v>
      </c>
      <c r="K2157">
        <v>1.1101099999999999</v>
      </c>
      <c r="L2157">
        <v>285.30169999999998</v>
      </c>
      <c r="M2157">
        <v>-0.99870809999999999</v>
      </c>
      <c r="N2157">
        <v>-1.43547E-2</v>
      </c>
      <c r="O2157">
        <v>4.8746640000000001E-2</v>
      </c>
      <c r="P2157">
        <v>-0.99698439999999999</v>
      </c>
      <c r="Q2157">
        <v>3.1487059999999997E-2</v>
      </c>
      <c r="R2157">
        <v>-7.0927229999999994E-2</v>
      </c>
      <c r="S2157">
        <v>-3.074554</v>
      </c>
      <c r="T2157">
        <v>-0.66162719999999997</v>
      </c>
      <c r="U2157">
        <v>0.64108279999999995</v>
      </c>
      <c r="V2157">
        <v>-0.11950760000000001</v>
      </c>
      <c r="W2157">
        <v>4.557158E-2</v>
      </c>
      <c r="X2157">
        <v>0.99178679999999997</v>
      </c>
      <c r="Y2157">
        <v>0.15348539999999999</v>
      </c>
      <c r="Z2157">
        <v>7.7234769999999899E-3</v>
      </c>
      <c r="AA2157">
        <v>0.98812069999999996</v>
      </c>
      <c r="AB2157">
        <v>42</v>
      </c>
      <c r="AC2157">
        <v>-0.293100000000038</v>
      </c>
      <c r="AD2157">
        <v>-0.14916789999999899</v>
      </c>
      <c r="AE2157">
        <v>0.12569999999999401</v>
      </c>
      <c r="AF2157">
        <v>9.1289644831831898E-2</v>
      </c>
      <c r="AG2157">
        <v>-0.14916789999999899</v>
      </c>
      <c r="AH2157">
        <v>0.24522973811459001</v>
      </c>
      <c r="AI2157">
        <v>119.68574210996</v>
      </c>
      <c r="AJ2157">
        <v>69.581627359173893</v>
      </c>
      <c r="AK2157">
        <v>0.301201736548251</v>
      </c>
      <c r="AL2157">
        <v>87.388036052390007</v>
      </c>
      <c r="AM2157">
        <v>96.8708586736998</v>
      </c>
      <c r="AN2157">
        <v>0.99999994600784603</v>
      </c>
    </row>
    <row r="2158" spans="1:40" x14ac:dyDescent="0.25">
      <c r="A2158" t="str">
        <f>"20190305135833420"</f>
        <v>20190305135833420</v>
      </c>
      <c r="B2158" t="str">
        <f>"1551765513411188"</f>
        <v>1551765513411188</v>
      </c>
      <c r="C2158" t="s">
        <v>40</v>
      </c>
      <c r="D2158">
        <v>3.802441</v>
      </c>
      <c r="E2158">
        <v>0.60084119999999996</v>
      </c>
      <c r="F2158" t="s">
        <v>41</v>
      </c>
      <c r="G2158">
        <v>-441.49849999999998</v>
      </c>
      <c r="H2158">
        <v>0.8940091</v>
      </c>
      <c r="I2158">
        <v>285.50740000000002</v>
      </c>
      <c r="J2158">
        <v>-440.89920000000001</v>
      </c>
      <c r="K2158">
        <v>1.1102259999999999</v>
      </c>
      <c r="L2158">
        <v>285.32069999999999</v>
      </c>
      <c r="M2158">
        <v>-0.99874839999999998</v>
      </c>
      <c r="N2158">
        <v>-1.4352180000000001E-2</v>
      </c>
      <c r="O2158">
        <v>4.7913959999999998E-2</v>
      </c>
      <c r="P2158">
        <v>-0.99682930000000003</v>
      </c>
      <c r="Q2158">
        <v>3.278085E-2</v>
      </c>
      <c r="R2158">
        <v>-7.2506520000000005E-2</v>
      </c>
      <c r="S2158">
        <v>-3.0748899999999999</v>
      </c>
      <c r="T2158">
        <v>-0.66297259999999902</v>
      </c>
      <c r="U2158">
        <v>0.63082890000000003</v>
      </c>
      <c r="V2158">
        <v>-0.12026340000000001</v>
      </c>
      <c r="W2158">
        <v>4.6830990000000003E-2</v>
      </c>
      <c r="X2158">
        <v>0.99163679999999998</v>
      </c>
      <c r="Y2158">
        <v>0.15115429999999999</v>
      </c>
      <c r="Z2158">
        <v>7.6362189999999996E-3</v>
      </c>
      <c r="AA2158">
        <v>0.98848069999999999</v>
      </c>
      <c r="AB2158">
        <v>41</v>
      </c>
      <c r="AC2158">
        <v>-0.59929999999997097</v>
      </c>
      <c r="AD2158">
        <v>-0.21621689999999999</v>
      </c>
      <c r="AE2158">
        <v>0.18670000000003001</v>
      </c>
      <c r="AF2158">
        <v>0.14103417535205101</v>
      </c>
      <c r="AG2158">
        <v>-0.21621689999999999</v>
      </c>
      <c r="AH2158">
        <v>0.54311766017820795</v>
      </c>
      <c r="AI2158">
        <v>111.072858225378</v>
      </c>
      <c r="AJ2158">
        <v>75.443217646988401</v>
      </c>
      <c r="AK2158">
        <v>0.60134613930771497</v>
      </c>
      <c r="AL2158">
        <v>87.315800133694395</v>
      </c>
      <c r="AM2158">
        <v>96.914928344599105</v>
      </c>
      <c r="AN2158">
        <v>0.99999998505908905</v>
      </c>
    </row>
    <row r="2159" spans="1:40" x14ac:dyDescent="0.25">
      <c r="A2159" t="str">
        <f>"20190305135833443"</f>
        <v>20190305135833443</v>
      </c>
      <c r="B2159" t="str">
        <f>"1551765513430709"</f>
        <v>1551765513430709</v>
      </c>
      <c r="C2159" t="s">
        <v>40</v>
      </c>
      <c r="D2159">
        <v>3.9848059999999998</v>
      </c>
      <c r="E2159">
        <v>0.60060199999999997</v>
      </c>
      <c r="F2159" t="s">
        <v>41</v>
      </c>
      <c r="G2159">
        <v>-441.8725</v>
      </c>
      <c r="H2159">
        <v>0.90401960000000003</v>
      </c>
      <c r="I2159">
        <v>285.5197</v>
      </c>
      <c r="J2159">
        <v>-441.30720000000002</v>
      </c>
      <c r="K2159">
        <v>1.11032</v>
      </c>
      <c r="L2159">
        <v>285.33949999999999</v>
      </c>
      <c r="M2159">
        <v>-0.99879079999999998</v>
      </c>
      <c r="N2159">
        <v>-1.4349590000000001E-2</v>
      </c>
      <c r="O2159">
        <v>4.7020840000000001E-2</v>
      </c>
      <c r="P2159">
        <v>-0.99665800000000004</v>
      </c>
      <c r="Q2159">
        <v>3.438397E-2</v>
      </c>
      <c r="R2159">
        <v>-7.4097720000000006E-2</v>
      </c>
      <c r="S2159">
        <v>-3.076721</v>
      </c>
      <c r="T2159">
        <v>-0.65190909999999902</v>
      </c>
      <c r="U2159">
        <v>0.62887569999999904</v>
      </c>
      <c r="V2159">
        <v>-0.1209692</v>
      </c>
      <c r="W2159">
        <v>4.8404200000000001E-2</v>
      </c>
      <c r="X2159">
        <v>0.99147540000000001</v>
      </c>
      <c r="Y2159">
        <v>0.15138119999999999</v>
      </c>
      <c r="Z2159">
        <v>7.7344349999999996E-3</v>
      </c>
      <c r="AA2159">
        <v>0.98844520000000002</v>
      </c>
      <c r="AB2159">
        <v>41</v>
      </c>
      <c r="AC2159">
        <v>-0.56529999999997904</v>
      </c>
      <c r="AD2159">
        <v>-0.206300399999999</v>
      </c>
      <c r="AE2159">
        <v>0.18020000000001299</v>
      </c>
      <c r="AF2159">
        <v>0.13686995533878701</v>
      </c>
      <c r="AG2159">
        <v>-0.206300399999999</v>
      </c>
      <c r="AH2159">
        <v>0.51133065662900201</v>
      </c>
      <c r="AI2159">
        <v>111.292713627296</v>
      </c>
      <c r="AJ2159">
        <v>75.014708696692693</v>
      </c>
      <c r="AK2159">
        <v>0.56811291142100195</v>
      </c>
      <c r="AL2159">
        <v>87.225559481685806</v>
      </c>
      <c r="AM2159">
        <v>96.956235334922297</v>
      </c>
      <c r="AN2159">
        <v>0.99999999136571904</v>
      </c>
    </row>
    <row r="2160" spans="1:40" x14ac:dyDescent="0.25">
      <c r="A2160" t="str">
        <f>"20190305135833466"</f>
        <v>20190305135833466</v>
      </c>
      <c r="B2160" t="str">
        <f>"1551765513460965"</f>
        <v>1551765513460965</v>
      </c>
      <c r="C2160" t="s">
        <v>40</v>
      </c>
      <c r="D2160">
        <v>4.0606949999999999</v>
      </c>
      <c r="E2160">
        <v>0.65177489999999905</v>
      </c>
      <c r="F2160" t="s">
        <v>41</v>
      </c>
      <c r="G2160">
        <v>-442.24610000000001</v>
      </c>
      <c r="H2160">
        <v>0.91408420000000001</v>
      </c>
      <c r="I2160">
        <v>285.52940000000001</v>
      </c>
      <c r="J2160">
        <v>-441.73160000000001</v>
      </c>
      <c r="K2160">
        <v>1.1103909999999999</v>
      </c>
      <c r="L2160">
        <v>285.3587</v>
      </c>
      <c r="M2160">
        <v>-0.99883569999999999</v>
      </c>
      <c r="N2160">
        <v>-1.434669E-2</v>
      </c>
      <c r="O2160">
        <v>4.6060440000000001E-2</v>
      </c>
      <c r="P2160">
        <v>-0.99649960000000004</v>
      </c>
      <c r="Q2160">
        <v>3.5215129999999997E-2</v>
      </c>
      <c r="R2160">
        <v>-7.5820739999999998E-2</v>
      </c>
      <c r="S2160">
        <v>-3.0783999999999998</v>
      </c>
      <c r="T2160">
        <v>-0.64352540000000003</v>
      </c>
      <c r="U2160">
        <v>0.62063599999999997</v>
      </c>
      <c r="V2160">
        <v>-0.12173879999999999</v>
      </c>
      <c r="W2160">
        <v>4.9209570000000001E-2</v>
      </c>
      <c r="X2160">
        <v>0.99134149999999999</v>
      </c>
      <c r="Y2160">
        <v>0.1497647</v>
      </c>
      <c r="Z2160">
        <v>7.6621689999999999E-3</v>
      </c>
      <c r="AA2160">
        <v>0.98869200000000002</v>
      </c>
      <c r="AB2160">
        <v>41</v>
      </c>
      <c r="AC2160">
        <v>-0.51449999999999796</v>
      </c>
      <c r="AD2160">
        <v>-0.1963068</v>
      </c>
      <c r="AE2160">
        <v>0.17070000000001001</v>
      </c>
      <c r="AF2160">
        <v>0.12979631133160699</v>
      </c>
      <c r="AG2160">
        <v>-0.1963068</v>
      </c>
      <c r="AH2160">
        <v>0.46131824963208801</v>
      </c>
      <c r="AI2160">
        <v>112.275449728911</v>
      </c>
      <c r="AJ2160">
        <v>74.285543824877394</v>
      </c>
      <c r="AK2160">
        <v>0.51787833475165301</v>
      </c>
      <c r="AL2160">
        <v>87.179359983879095</v>
      </c>
      <c r="AM2160">
        <v>97.000988963133295</v>
      </c>
      <c r="AN2160">
        <v>0.99999994341363496</v>
      </c>
    </row>
    <row r="2161" spans="1:40" x14ac:dyDescent="0.25">
      <c r="A2161" t="str">
        <f>"20190305135833488"</f>
        <v>20190305135833488</v>
      </c>
      <c r="B2161" t="str">
        <f>"1551765513480484"</f>
        <v>1551765513480484</v>
      </c>
      <c r="C2161" t="s">
        <v>40</v>
      </c>
      <c r="D2161">
        <v>4.013992</v>
      </c>
      <c r="E2161">
        <v>0.65641590000000005</v>
      </c>
      <c r="F2161" t="s">
        <v>59</v>
      </c>
      <c r="G2161">
        <v>-446.32920000000001</v>
      </c>
      <c r="H2161" s="1">
        <v>1.732533E-6</v>
      </c>
      <c r="I2161">
        <v>286.87520000000001</v>
      </c>
      <c r="J2161">
        <v>-442.14249999999998</v>
      </c>
      <c r="K2161">
        <v>1.1104560000000001</v>
      </c>
      <c r="L2161">
        <v>285.37689999999998</v>
      </c>
      <c r="M2161">
        <v>-0.99887870000000001</v>
      </c>
      <c r="N2161">
        <v>-1.434383E-2</v>
      </c>
      <c r="O2161">
        <v>4.5116759999999999E-2</v>
      </c>
      <c r="P2161">
        <v>-0.99637339999999996</v>
      </c>
      <c r="Q2161">
        <v>3.5841860000000003E-2</v>
      </c>
      <c r="R2161">
        <v>-7.7173649999999996E-2</v>
      </c>
      <c r="S2161">
        <v>-3.1153559999999998</v>
      </c>
      <c r="T2161">
        <v>-0.75241849999999999</v>
      </c>
      <c r="U2161">
        <v>1.0275879999999999</v>
      </c>
      <c r="V2161">
        <v>-0.1221549</v>
      </c>
      <c r="W2161">
        <v>4.981584E-2</v>
      </c>
      <c r="X2161">
        <v>0.99126009999999998</v>
      </c>
      <c r="Y2161">
        <v>0.26383079999999998</v>
      </c>
      <c r="Z2161">
        <v>2.2766379999999999E-2</v>
      </c>
      <c r="AA2161">
        <v>0.9643003</v>
      </c>
      <c r="AB2161">
        <v>41</v>
      </c>
      <c r="AC2161">
        <v>-4.1867000000000196</v>
      </c>
      <c r="AD2161">
        <v>-1.1104542674669999</v>
      </c>
      <c r="AE2161">
        <v>1.4983000000000199</v>
      </c>
      <c r="AF2161">
        <v>1.23109078286134</v>
      </c>
      <c r="AG2161">
        <v>-1.1104542674669999</v>
      </c>
      <c r="AH2161">
        <v>4.0005580031344996</v>
      </c>
      <c r="AI2161">
        <v>104.858148442135</v>
      </c>
      <c r="AJ2161">
        <v>72.895310404879197</v>
      </c>
      <c r="AK2161">
        <v>4.3304916039897003</v>
      </c>
      <c r="AL2161">
        <v>87.144580807104902</v>
      </c>
      <c r="AM2161">
        <v>97.0252505679412</v>
      </c>
      <c r="AN2161">
        <v>1.0000000116804599</v>
      </c>
    </row>
    <row r="2162" spans="1:40" x14ac:dyDescent="0.25">
      <c r="A2162" t="str">
        <f>"20190305135833510"</f>
        <v>20190305135833510</v>
      </c>
      <c r="B2162" t="str">
        <f>"1551765513500981"</f>
        <v>1551765513500981</v>
      </c>
      <c r="C2162" t="s">
        <v>40</v>
      </c>
      <c r="D2162">
        <v>3.9845250000000001</v>
      </c>
      <c r="E2162">
        <v>0.65662679999999995</v>
      </c>
      <c r="F2162" t="s">
        <v>41</v>
      </c>
      <c r="G2162">
        <v>-442.98570000000001</v>
      </c>
      <c r="H2162">
        <v>0.90018709999999902</v>
      </c>
      <c r="I2162">
        <v>285.66399999999999</v>
      </c>
      <c r="J2162">
        <v>-442.54489999999998</v>
      </c>
      <c r="K2162">
        <v>1.1105039999999999</v>
      </c>
      <c r="L2162">
        <v>285.39429999999999</v>
      </c>
      <c r="M2162">
        <v>-0.99892060000000005</v>
      </c>
      <c r="N2162">
        <v>-1.4341069999999999E-2</v>
      </c>
      <c r="O2162">
        <v>4.4184439999999998E-2</v>
      </c>
      <c r="P2162">
        <v>-0.99627619999999895</v>
      </c>
      <c r="Q2162">
        <v>3.6381999999999998E-2</v>
      </c>
      <c r="R2162">
        <v>-7.8169550000000004E-2</v>
      </c>
      <c r="S2162">
        <v>-3.1210939999999998</v>
      </c>
      <c r="T2162">
        <v>-0.77843519999999999</v>
      </c>
      <c r="U2162">
        <v>1.0609740000000001</v>
      </c>
      <c r="V2162">
        <v>-0.1222264</v>
      </c>
      <c r="W2162">
        <v>5.0339700000000001E-2</v>
      </c>
      <c r="X2162">
        <v>0.99122480000000002</v>
      </c>
      <c r="Y2162">
        <v>0.27281460000000002</v>
      </c>
      <c r="Z2162">
        <v>2.473032E-2</v>
      </c>
      <c r="AA2162">
        <v>0.96174870000000001</v>
      </c>
      <c r="AB2162">
        <v>41</v>
      </c>
      <c r="AC2162">
        <v>-0.44080000000002401</v>
      </c>
      <c r="AD2162">
        <v>-0.2103169</v>
      </c>
      <c r="AE2162">
        <v>0.2697</v>
      </c>
      <c r="AF2162">
        <v>0.21443829975034601</v>
      </c>
      <c r="AG2162">
        <v>-0.2103169</v>
      </c>
      <c r="AH2162">
        <v>0.38801588813257398</v>
      </c>
      <c r="AI2162">
        <v>115.37986138545899</v>
      </c>
      <c r="AJ2162">
        <v>61.072616428232401</v>
      </c>
      <c r="AK2162">
        <v>0.49068657233384699</v>
      </c>
      <c r="AL2162">
        <v>87.114528074443697</v>
      </c>
      <c r="AM2162">
        <v>97.029569305923502</v>
      </c>
      <c r="AN2162">
        <v>0.99999999119404503</v>
      </c>
    </row>
    <row r="2163" spans="1:40" x14ac:dyDescent="0.25">
      <c r="A2163" t="str">
        <f>"20190305135833534"</f>
        <v>20190305135833534</v>
      </c>
      <c r="B2163" t="str">
        <f>"1551765513520501"</f>
        <v>1551765513520501</v>
      </c>
      <c r="C2163" t="s">
        <v>40</v>
      </c>
      <c r="D2163">
        <v>3.9880589999999998</v>
      </c>
      <c r="E2163">
        <v>0.65630489999999997</v>
      </c>
      <c r="F2163" t="s">
        <v>41</v>
      </c>
      <c r="G2163">
        <v>-443.35129999999998</v>
      </c>
      <c r="H2163">
        <v>0.90753050000000002</v>
      </c>
      <c r="I2163">
        <v>285.66750000000002</v>
      </c>
      <c r="J2163">
        <v>-442.97269999999997</v>
      </c>
      <c r="K2163">
        <v>1.110544</v>
      </c>
      <c r="L2163">
        <v>285.41239999999999</v>
      </c>
      <c r="M2163">
        <v>-0.99896450000000003</v>
      </c>
      <c r="N2163">
        <v>-1.433826E-2</v>
      </c>
      <c r="O2163">
        <v>4.3176989999999998E-2</v>
      </c>
      <c r="P2163">
        <v>-0.99626789999999998</v>
      </c>
      <c r="Q2163">
        <v>3.6747920000000003E-2</v>
      </c>
      <c r="R2163">
        <v>-7.8102740000000004E-2</v>
      </c>
      <c r="S2163">
        <v>-3.122986</v>
      </c>
      <c r="T2163">
        <v>-0.78610100000000005</v>
      </c>
      <c r="U2163">
        <v>1.0586549999999999</v>
      </c>
      <c r="V2163">
        <v>-0.12116540000000001</v>
      </c>
      <c r="W2163">
        <v>5.0693059999999998E-2</v>
      </c>
      <c r="X2163">
        <v>0.99133709999999997</v>
      </c>
      <c r="Y2163">
        <v>0.27281640000000001</v>
      </c>
      <c r="Z2163">
        <v>2.5159810000000001E-2</v>
      </c>
      <c r="AA2163">
        <v>0.96173710000000001</v>
      </c>
      <c r="AB2163">
        <v>41</v>
      </c>
      <c r="AC2163">
        <v>-0.37860000000000499</v>
      </c>
      <c r="AD2163">
        <v>-0.20301350000000001</v>
      </c>
      <c r="AE2163">
        <v>0.25510000000002703</v>
      </c>
      <c r="AF2163">
        <v>0.19913418818479101</v>
      </c>
      <c r="AG2163">
        <v>-0.20301350000000001</v>
      </c>
      <c r="AH2163">
        <v>0.32499392869112298</v>
      </c>
      <c r="AI2163">
        <v>118.041275596471</v>
      </c>
      <c r="AJ2163">
        <v>58.5028643124325</v>
      </c>
      <c r="AK2163">
        <v>0.43184483298096399</v>
      </c>
      <c r="AL2163">
        <v>87.094256306121693</v>
      </c>
      <c r="AM2163">
        <v>96.9683693042019</v>
      </c>
      <c r="AN2163">
        <v>1.00000004316286</v>
      </c>
    </row>
    <row r="2164" spans="1:40" x14ac:dyDescent="0.25">
      <c r="A2164" t="str">
        <f>"20190305135833556"</f>
        <v>20190305135833556</v>
      </c>
      <c r="B2164" t="str">
        <f>"1551765513550757"</f>
        <v>1551765513550757</v>
      </c>
      <c r="C2164" t="s">
        <v>40</v>
      </c>
      <c r="D2164">
        <v>3.9402119999999998</v>
      </c>
      <c r="E2164">
        <v>0.65570220000000001</v>
      </c>
      <c r="F2164" t="s">
        <v>41</v>
      </c>
      <c r="G2164">
        <v>-443.72480000000002</v>
      </c>
      <c r="H2164">
        <v>0.92076950000000002</v>
      </c>
      <c r="I2164">
        <v>285.6671</v>
      </c>
      <c r="J2164">
        <v>-443.38499999999999</v>
      </c>
      <c r="K2164">
        <v>1.110584</v>
      </c>
      <c r="L2164">
        <v>285.42930000000001</v>
      </c>
      <c r="M2164">
        <v>-0.99900750000000005</v>
      </c>
      <c r="N2164">
        <v>-1.433596E-2</v>
      </c>
      <c r="O2164">
        <v>4.2174719999999999E-2</v>
      </c>
      <c r="P2164">
        <v>-0.99632699999999996</v>
      </c>
      <c r="Q2164">
        <v>3.594957E-2</v>
      </c>
      <c r="R2164">
        <v>-7.7720529999999996E-2</v>
      </c>
      <c r="S2164">
        <v>-3.1230159999999998</v>
      </c>
      <c r="T2164">
        <v>-0.78844019999999904</v>
      </c>
      <c r="U2164">
        <v>1.054962</v>
      </c>
      <c r="V2164">
        <v>-0.119795</v>
      </c>
      <c r="W2164">
        <v>4.9884419999999999E-2</v>
      </c>
      <c r="X2164">
        <v>0.9915446</v>
      </c>
      <c r="Y2164">
        <v>0.2726922</v>
      </c>
      <c r="Z2164">
        <v>2.5440009999999999E-2</v>
      </c>
      <c r="AA2164">
        <v>0.96176490000000003</v>
      </c>
      <c r="AB2164">
        <v>41</v>
      </c>
      <c r="AC2164">
        <v>-0.33980000000002503</v>
      </c>
      <c r="AD2164">
        <v>-0.1898145</v>
      </c>
      <c r="AE2164">
        <v>0.23779999999999199</v>
      </c>
      <c r="AF2164">
        <v>0.18459165772980299</v>
      </c>
      <c r="AG2164">
        <v>-0.1898145</v>
      </c>
      <c r="AH2164">
        <v>0.288995285964948</v>
      </c>
      <c r="AI2164">
        <v>118.965769749681</v>
      </c>
      <c r="AJ2164">
        <v>57.432168980489898</v>
      </c>
      <c r="AK2164">
        <v>0.39194629711689899</v>
      </c>
      <c r="AL2164">
        <v>87.140646525135793</v>
      </c>
      <c r="AM2164">
        <v>96.888889806850699</v>
      </c>
      <c r="AN2164">
        <v>0.99999999558644803</v>
      </c>
    </row>
    <row r="2165" spans="1:40" x14ac:dyDescent="0.25">
      <c r="A2165" t="str">
        <f>"20190305135833578"</f>
        <v>20190305135833578</v>
      </c>
      <c r="B2165" t="str">
        <f>"1551765513571252"</f>
        <v>1551765513571252</v>
      </c>
      <c r="C2165" t="s">
        <v>40</v>
      </c>
      <c r="D2165">
        <v>3.9334129999999998</v>
      </c>
      <c r="E2165">
        <v>0.65527019999999903</v>
      </c>
      <c r="F2165" t="s">
        <v>41</v>
      </c>
      <c r="G2165">
        <v>-444.09640000000002</v>
      </c>
      <c r="H2165">
        <v>0.92961839999999996</v>
      </c>
      <c r="I2165">
        <v>285.66919999999999</v>
      </c>
      <c r="J2165">
        <v>-443.78879999999998</v>
      </c>
      <c r="K2165">
        <v>1.1106290000000001</v>
      </c>
      <c r="L2165">
        <v>285.44549999999998</v>
      </c>
      <c r="M2165">
        <v>-0.99905060000000001</v>
      </c>
      <c r="N2165">
        <v>-1.433385E-2</v>
      </c>
      <c r="O2165">
        <v>4.1143140000000002E-2</v>
      </c>
      <c r="P2165">
        <v>-0.99636610000000003</v>
      </c>
      <c r="Q2165">
        <v>3.5115769999999998E-2</v>
      </c>
      <c r="R2165">
        <v>-7.7601290000000003E-2</v>
      </c>
      <c r="S2165">
        <v>-3.1217350000000001</v>
      </c>
      <c r="T2165">
        <v>-0.79422320000000002</v>
      </c>
      <c r="U2165">
        <v>1.0515749999999999</v>
      </c>
      <c r="V2165">
        <v>-0.1186576</v>
      </c>
      <c r="W2165">
        <v>4.9036690000000001E-2</v>
      </c>
      <c r="X2165">
        <v>0.99172369999999999</v>
      </c>
      <c r="Y2165">
        <v>0.27273170000000002</v>
      </c>
      <c r="Z2165">
        <v>2.5856279999999999E-2</v>
      </c>
      <c r="AA2165">
        <v>0.9617426</v>
      </c>
      <c r="AB2165">
        <v>41</v>
      </c>
      <c r="AC2165">
        <v>-0.30760000000003601</v>
      </c>
      <c r="AD2165">
        <v>-0.18101059999999999</v>
      </c>
      <c r="AE2165">
        <v>0.223700000000008</v>
      </c>
      <c r="AF2165">
        <v>0.171915405958701</v>
      </c>
      <c r="AG2165">
        <v>-0.18101059999999999</v>
      </c>
      <c r="AH2165">
        <v>0.25808813444239997</v>
      </c>
      <c r="AI2165">
        <v>120.272521172654</v>
      </c>
      <c r="AJ2165">
        <v>56.331970048479498</v>
      </c>
      <c r="AK2165">
        <v>0.359067165385897</v>
      </c>
      <c r="AL2165">
        <v>87.189277579792304</v>
      </c>
      <c r="AM2165">
        <v>96.822881812110595</v>
      </c>
      <c r="AN2165">
        <v>1.0000000600728001</v>
      </c>
    </row>
    <row r="2166" spans="1:40" x14ac:dyDescent="0.25">
      <c r="A2166" t="str">
        <f>"20190305135833599"</f>
        <v>20190305135833599</v>
      </c>
      <c r="B2166" t="str">
        <f>"1551765513590773"</f>
        <v>1551765513590773</v>
      </c>
      <c r="C2166" t="s">
        <v>40</v>
      </c>
      <c r="D2166">
        <v>3.940715</v>
      </c>
      <c r="E2166">
        <v>0.65455589999999997</v>
      </c>
      <c r="F2166" t="s">
        <v>41</v>
      </c>
      <c r="G2166">
        <v>-444.4674</v>
      </c>
      <c r="H2166">
        <v>0.93736949999999997</v>
      </c>
      <c r="I2166">
        <v>285.67410000000001</v>
      </c>
      <c r="J2166">
        <v>-444.18680000000001</v>
      </c>
      <c r="K2166">
        <v>1.1106780000000001</v>
      </c>
      <c r="L2166">
        <v>285.46100000000001</v>
      </c>
      <c r="M2166">
        <v>-0.99909440000000005</v>
      </c>
      <c r="N2166">
        <v>-1.4332030000000001E-2</v>
      </c>
      <c r="O2166">
        <v>4.0061960000000001E-2</v>
      </c>
      <c r="P2166">
        <v>-0.99645039999999996</v>
      </c>
      <c r="Q2166">
        <v>3.3865329999999999E-2</v>
      </c>
      <c r="R2166">
        <v>-7.7069860000000004E-2</v>
      </c>
      <c r="S2166">
        <v>-3.1207280000000002</v>
      </c>
      <c r="T2166">
        <v>-0.79708669999999904</v>
      </c>
      <c r="U2166">
        <v>1.049042</v>
      </c>
      <c r="V2166">
        <v>-0.1170601</v>
      </c>
      <c r="W2166">
        <v>4.7774070000000002E-2</v>
      </c>
      <c r="X2166">
        <v>0.9919751</v>
      </c>
      <c r="Y2166">
        <v>0.27306900000000001</v>
      </c>
      <c r="Z2166">
        <v>2.6239800000000001E-2</v>
      </c>
      <c r="AA2166">
        <v>0.96163650000000001</v>
      </c>
      <c r="AB2166">
        <v>41</v>
      </c>
      <c r="AC2166">
        <v>-0.28059999999999202</v>
      </c>
      <c r="AD2166">
        <v>-0.1733085</v>
      </c>
      <c r="AE2166">
        <v>0.21309999999999699</v>
      </c>
      <c r="AF2166">
        <v>0.162396759819459</v>
      </c>
      <c r="AG2166">
        <v>-0.1733085</v>
      </c>
      <c r="AH2166">
        <v>0.23263100412438301</v>
      </c>
      <c r="AI2166">
        <v>121.419529390021</v>
      </c>
      <c r="AJ2166">
        <v>55.081594305552599</v>
      </c>
      <c r="AK2166">
        <v>0.33245409886483301</v>
      </c>
      <c r="AL2166">
        <v>87.261705152618106</v>
      </c>
      <c r="AM2166">
        <v>96.730182899556596</v>
      </c>
      <c r="AN2166">
        <v>1.0000000138981899</v>
      </c>
    </row>
    <row r="2167" spans="1:40" x14ac:dyDescent="0.25">
      <c r="A2167" t="str">
        <f>"20190305135833622"</f>
        <v>20190305135833622</v>
      </c>
      <c r="B2167" t="str">
        <f>"1551765513611269"</f>
        <v>1551765513611269</v>
      </c>
      <c r="C2167" t="s">
        <v>40</v>
      </c>
      <c r="D2167">
        <v>3.924836</v>
      </c>
      <c r="E2167">
        <v>0.65392950000000005</v>
      </c>
      <c r="F2167" t="s">
        <v>59</v>
      </c>
      <c r="G2167">
        <v>-448.5367</v>
      </c>
      <c r="H2167" s="1">
        <v>2.905286E-6</v>
      </c>
      <c r="I2167">
        <v>286.92039999999997</v>
      </c>
      <c r="J2167">
        <v>-444.59890000000001</v>
      </c>
      <c r="K2167">
        <v>1.110743</v>
      </c>
      <c r="L2167">
        <v>285.47649999999999</v>
      </c>
      <c r="M2167">
        <v>-0.99914159999999996</v>
      </c>
      <c r="N2167">
        <v>-1.433042E-2</v>
      </c>
      <c r="O2167">
        <v>3.8869630000000002E-2</v>
      </c>
      <c r="P2167">
        <v>-0.99650030000000001</v>
      </c>
      <c r="Q2167">
        <v>3.2368309999999997E-2</v>
      </c>
      <c r="R2167">
        <v>-7.7066770000000007E-2</v>
      </c>
      <c r="S2167">
        <v>-3.1186829999999999</v>
      </c>
      <c r="T2167">
        <v>-0.79631589999999997</v>
      </c>
      <c r="U2167">
        <v>1.0463260000000001</v>
      </c>
      <c r="V2167">
        <v>-0.1158787</v>
      </c>
      <c r="W2167">
        <v>4.6260830000000003E-2</v>
      </c>
      <c r="X2167">
        <v>0.99218550000000005</v>
      </c>
      <c r="Y2167">
        <v>0.2736073</v>
      </c>
      <c r="Z2167">
        <v>2.657882E-2</v>
      </c>
      <c r="AA2167">
        <v>0.96147419999999995</v>
      </c>
      <c r="AB2167">
        <v>41</v>
      </c>
      <c r="AC2167">
        <v>-3.9377999999999802</v>
      </c>
      <c r="AD2167">
        <v>-1.110740094714</v>
      </c>
      <c r="AE2167">
        <v>1.44389999999998</v>
      </c>
      <c r="AF2167">
        <v>1.2052056160241</v>
      </c>
      <c r="AG2167">
        <v>-1.110740094714</v>
      </c>
      <c r="AH2167">
        <v>3.7293941041733598</v>
      </c>
      <c r="AI2167">
        <v>105.82287713744</v>
      </c>
      <c r="AJ2167">
        <v>72.091039186501803</v>
      </c>
      <c r="AK2167">
        <v>4.0736524789363502</v>
      </c>
      <c r="AL2167">
        <v>87.348503386430906</v>
      </c>
      <c r="AM2167">
        <v>96.661473755646398</v>
      </c>
      <c r="AN2167">
        <v>1.0000000019581099</v>
      </c>
    </row>
    <row r="2168" spans="1:40" x14ac:dyDescent="0.25">
      <c r="A2168" t="str">
        <f>"20190305135833645"</f>
        <v>20190305135833645</v>
      </c>
      <c r="B2168" t="str">
        <f>"1551765513640548"</f>
        <v>1551765513640548</v>
      </c>
      <c r="C2168" t="s">
        <v>40</v>
      </c>
      <c r="D2168">
        <v>3.9159039999999998</v>
      </c>
      <c r="E2168">
        <v>0.65308900000000003</v>
      </c>
      <c r="F2168" t="s">
        <v>59</v>
      </c>
      <c r="G2168">
        <v>-448.93959999999998</v>
      </c>
      <c r="H2168" s="1">
        <v>3.1194269999999998E-6</v>
      </c>
      <c r="I2168">
        <v>286.9273</v>
      </c>
      <c r="J2168">
        <v>-445.01400000000001</v>
      </c>
      <c r="K2168">
        <v>1.1108070000000001</v>
      </c>
      <c r="L2168">
        <v>285.49149999999997</v>
      </c>
      <c r="M2168">
        <v>-0.99919020000000003</v>
      </c>
      <c r="N2168">
        <v>-1.432887E-2</v>
      </c>
      <c r="O2168">
        <v>3.7602690000000001E-2</v>
      </c>
      <c r="P2168">
        <v>-0.99646900000000005</v>
      </c>
      <c r="Q2168">
        <v>3.1837980000000002E-2</v>
      </c>
      <c r="R2168">
        <v>-7.7695239999999999E-2</v>
      </c>
      <c r="S2168">
        <v>-3.117035</v>
      </c>
      <c r="T2168">
        <v>-0.79761669999999996</v>
      </c>
      <c r="U2168">
        <v>1.041809</v>
      </c>
      <c r="V2168">
        <v>-0.1152528</v>
      </c>
      <c r="W2168">
        <v>4.5712580000000003E-2</v>
      </c>
      <c r="X2168">
        <v>0.99228380000000005</v>
      </c>
      <c r="Y2168">
        <v>0.27365640000000002</v>
      </c>
      <c r="Z2168">
        <v>2.6932029999999999E-2</v>
      </c>
      <c r="AA2168">
        <v>0.96145040000000004</v>
      </c>
      <c r="AB2168">
        <v>41</v>
      </c>
      <c r="AC2168">
        <v>-3.92559999999997</v>
      </c>
      <c r="AD2168">
        <v>-1.1108038805729901</v>
      </c>
      <c r="AE2168">
        <v>1.4358000000000199</v>
      </c>
      <c r="AF2168">
        <v>1.20225153141497</v>
      </c>
      <c r="AG2168">
        <v>-1.1108038805729901</v>
      </c>
      <c r="AH2168">
        <v>3.7144960584440998</v>
      </c>
      <c r="AI2168">
        <v>105.881797977164</v>
      </c>
      <c r="AJ2168">
        <v>72.065059650777201</v>
      </c>
      <c r="AK2168">
        <v>4.0591593925445304</v>
      </c>
      <c r="AL2168">
        <v>87.379949044419504</v>
      </c>
      <c r="AM2168">
        <v>96.625163123038405</v>
      </c>
      <c r="AN2168">
        <v>0.99999999381026805</v>
      </c>
    </row>
    <row r="2169" spans="1:40" x14ac:dyDescent="0.25">
      <c r="A2169" t="str">
        <f>"20190305135833666"</f>
        <v>20190305135833666</v>
      </c>
      <c r="B2169" t="str">
        <f>"1551765513661046"</f>
        <v>1551765513661046</v>
      </c>
      <c r="C2169" t="s">
        <v>40</v>
      </c>
      <c r="D2169">
        <v>3.8929670000000001</v>
      </c>
      <c r="E2169">
        <v>0.65247259999999996</v>
      </c>
      <c r="F2169" t="s">
        <v>59</v>
      </c>
      <c r="G2169">
        <v>-449.37490000000003</v>
      </c>
      <c r="H2169" s="1">
        <v>3.3506050000000001E-6</v>
      </c>
      <c r="I2169">
        <v>286.93720000000002</v>
      </c>
      <c r="J2169">
        <v>-445.42610000000002</v>
      </c>
      <c r="K2169">
        <v>1.11087</v>
      </c>
      <c r="L2169">
        <v>285.50580000000002</v>
      </c>
      <c r="M2169">
        <v>-0.99923870000000004</v>
      </c>
      <c r="N2169">
        <v>-1.432722E-2</v>
      </c>
      <c r="O2169">
        <v>3.6286150000000003E-2</v>
      </c>
      <c r="P2169">
        <v>-0.99635629999999997</v>
      </c>
      <c r="Q2169">
        <v>3.185056E-2</v>
      </c>
      <c r="R2169">
        <v>-7.9118179999999996E-2</v>
      </c>
      <c r="S2169">
        <v>-3.1165470000000002</v>
      </c>
      <c r="T2169">
        <v>-0.79384900000000003</v>
      </c>
      <c r="U2169">
        <v>1.033234</v>
      </c>
      <c r="V2169">
        <v>-0.11536970000000001</v>
      </c>
      <c r="W2169">
        <v>4.570639E-2</v>
      </c>
      <c r="X2169">
        <v>0.99227050000000006</v>
      </c>
      <c r="Y2169">
        <v>0.2726383</v>
      </c>
      <c r="Z2169">
        <v>2.7002930000000001E-2</v>
      </c>
      <c r="AA2169">
        <v>0.96173759999999997</v>
      </c>
      <c r="AB2169">
        <v>41</v>
      </c>
      <c r="AC2169">
        <v>-3.9487999999999999</v>
      </c>
      <c r="AD2169">
        <v>-1.1108666493949999</v>
      </c>
      <c r="AE2169">
        <v>1.43139999999999</v>
      </c>
      <c r="AF2169">
        <v>1.2030072425151399</v>
      </c>
      <c r="AG2169">
        <v>-1.1108666493949999</v>
      </c>
      <c r="AH2169">
        <v>3.7367636146444698</v>
      </c>
      <c r="AI2169">
        <v>105.800314109385</v>
      </c>
      <c r="AJ2169">
        <v>72.154645707253195</v>
      </c>
      <c r="AK2169">
        <v>4.0797859563968304</v>
      </c>
      <c r="AL2169">
        <v>87.380304075486706</v>
      </c>
      <c r="AM2169">
        <v>96.631911243378894</v>
      </c>
      <c r="AN2169">
        <v>0.99999999346758595</v>
      </c>
    </row>
    <row r="2170" spans="1:40" x14ac:dyDescent="0.25">
      <c r="A2170" t="str">
        <f>"20190305135833689"</f>
        <v>20190305135833689</v>
      </c>
      <c r="B2170" t="str">
        <f>"1551765513680565"</f>
        <v>1551765513680565</v>
      </c>
      <c r="C2170" t="s">
        <v>40</v>
      </c>
      <c r="D2170">
        <v>3.9172769999999999</v>
      </c>
      <c r="E2170">
        <v>0.65213639999999995</v>
      </c>
      <c r="F2170" t="s">
        <v>59</v>
      </c>
      <c r="G2170">
        <v>-449.80439999999999</v>
      </c>
      <c r="H2170" s="1">
        <v>3.578834E-6</v>
      </c>
      <c r="I2170">
        <v>286.94459999999998</v>
      </c>
      <c r="J2170">
        <v>-445.83499999999998</v>
      </c>
      <c r="K2170">
        <v>1.1109209999999901</v>
      </c>
      <c r="L2170">
        <v>285.51949999999999</v>
      </c>
      <c r="M2170">
        <v>-0.99928700000000004</v>
      </c>
      <c r="N2170">
        <v>-1.43254E-2</v>
      </c>
      <c r="O2170">
        <v>3.4933110000000003E-2</v>
      </c>
      <c r="P2170">
        <v>-0.99620679999999995</v>
      </c>
      <c r="Q2170">
        <v>3.2480050000000003E-2</v>
      </c>
      <c r="R2170">
        <v>-8.0727380000000001E-2</v>
      </c>
      <c r="S2170">
        <v>-3.1176149999999998</v>
      </c>
      <c r="T2170">
        <v>-0.79101860000000002</v>
      </c>
      <c r="U2170">
        <v>1.0245359999999999</v>
      </c>
      <c r="V2170">
        <v>-0.11563519999999899</v>
      </c>
      <c r="W2170">
        <v>4.6318940000000003E-2</v>
      </c>
      <c r="X2170">
        <v>0.99221119999999996</v>
      </c>
      <c r="Y2170">
        <v>0.27146769999999998</v>
      </c>
      <c r="Z2170">
        <v>2.7077790000000001E-2</v>
      </c>
      <c r="AA2170">
        <v>0.96206659999999999</v>
      </c>
      <c r="AB2170">
        <v>41</v>
      </c>
      <c r="AC2170">
        <v>-3.9693999999999998</v>
      </c>
      <c r="AD2170">
        <v>-1.11091742116599</v>
      </c>
      <c r="AE2170">
        <v>1.42509999999998</v>
      </c>
      <c r="AF2170">
        <v>1.2021427549953001</v>
      </c>
      <c r="AG2170">
        <v>-1.11091742116599</v>
      </c>
      <c r="AH2170">
        <v>3.7561482519807701</v>
      </c>
      <c r="AI2170">
        <v>105.731726538742</v>
      </c>
      <c r="AJ2170">
        <v>72.252902589906796</v>
      </c>
      <c r="AK2170">
        <v>4.0973081908609199</v>
      </c>
      <c r="AL2170">
        <v>87.345170362711997</v>
      </c>
      <c r="AM2170">
        <v>96.647430534721593</v>
      </c>
      <c r="AN2170">
        <v>1.0000000045435999</v>
      </c>
    </row>
    <row r="2171" spans="1:40" x14ac:dyDescent="0.25">
      <c r="A2171" t="str">
        <f>"20190305135833710"</f>
        <v>20190305135833710</v>
      </c>
      <c r="B2171" t="str">
        <f>"1551765513701061"</f>
        <v>1551765513701061</v>
      </c>
      <c r="C2171" t="s">
        <v>40</v>
      </c>
      <c r="D2171">
        <v>3.8717809999999999</v>
      </c>
      <c r="E2171">
        <v>0.65198780000000001</v>
      </c>
      <c r="F2171" t="s">
        <v>41</v>
      </c>
      <c r="G2171">
        <v>-446.65499999999997</v>
      </c>
      <c r="H2171">
        <v>0.90397780000000005</v>
      </c>
      <c r="I2171">
        <v>285.78739999999999</v>
      </c>
      <c r="J2171">
        <v>-446.23169999999999</v>
      </c>
      <c r="K2171">
        <v>1.110975</v>
      </c>
      <c r="L2171">
        <v>285.53219999999999</v>
      </c>
      <c r="M2171">
        <v>-0.99933329999999998</v>
      </c>
      <c r="N2171">
        <v>-1.432346E-2</v>
      </c>
      <c r="O2171">
        <v>3.3588170000000001E-2</v>
      </c>
      <c r="P2171">
        <v>-0.99592749999999997</v>
      </c>
      <c r="Q2171">
        <v>3.4122550000000001E-2</v>
      </c>
      <c r="R2171">
        <v>-8.345371E-2</v>
      </c>
      <c r="S2171">
        <v>-3.1195369999999998</v>
      </c>
      <c r="T2171">
        <v>-0.78746139999999998</v>
      </c>
      <c r="U2171">
        <v>1.017395</v>
      </c>
      <c r="V2171">
        <v>-0.11702419999999999</v>
      </c>
      <c r="W2171">
        <v>4.7940299999999998E-2</v>
      </c>
      <c r="X2171">
        <v>0.9919713</v>
      </c>
      <c r="Y2171">
        <v>0.2706498</v>
      </c>
      <c r="Z2171">
        <v>2.7164790000000001E-2</v>
      </c>
      <c r="AA2171">
        <v>0.96229450000000005</v>
      </c>
      <c r="AB2171">
        <v>41</v>
      </c>
      <c r="AC2171">
        <v>-0.42329999999998302</v>
      </c>
      <c r="AD2171">
        <v>-0.20699719999999999</v>
      </c>
      <c r="AE2171">
        <v>0.25520000000000198</v>
      </c>
      <c r="AF2171">
        <v>0.20490054768230101</v>
      </c>
      <c r="AG2171">
        <v>-0.20699719999999999</v>
      </c>
      <c r="AH2171">
        <v>0.367228076048567</v>
      </c>
      <c r="AI2171">
        <v>116.20807119919201</v>
      </c>
      <c r="AJ2171">
        <v>60.839996043834901</v>
      </c>
      <c r="AK2171">
        <v>0.46870943567062801</v>
      </c>
      <c r="AL2171">
        <v>87.2521699057353</v>
      </c>
      <c r="AM2171">
        <v>96.728163349038297</v>
      </c>
      <c r="AN2171">
        <v>0.99999999788670901</v>
      </c>
    </row>
    <row r="2172" spans="1:40" x14ac:dyDescent="0.25">
      <c r="A2172" t="str">
        <f>"20190305135833735"</f>
        <v>20190305135833735</v>
      </c>
      <c r="B2172" t="str">
        <f>"1551765513731317"</f>
        <v>1551765513731317</v>
      </c>
      <c r="C2172" t="s">
        <v>40</v>
      </c>
      <c r="D2172">
        <v>3.8819349999999999</v>
      </c>
      <c r="E2172">
        <v>0.65126260000000002</v>
      </c>
      <c r="F2172" t="s">
        <v>41</v>
      </c>
      <c r="G2172">
        <v>-447.024</v>
      </c>
      <c r="H2172">
        <v>0.91284609999999999</v>
      </c>
      <c r="I2172">
        <v>285.78820000000002</v>
      </c>
      <c r="J2172">
        <v>-446.65350000000001</v>
      </c>
      <c r="K2172">
        <v>1.1110169999999999</v>
      </c>
      <c r="L2172">
        <v>285.54509999999999</v>
      </c>
      <c r="M2172">
        <v>-0.99938110000000002</v>
      </c>
      <c r="N2172">
        <v>-1.432129E-2</v>
      </c>
      <c r="O2172">
        <v>3.2136079999999997E-2</v>
      </c>
      <c r="P2172">
        <v>-0.99572400000000005</v>
      </c>
      <c r="Q2172">
        <v>3.551377E-2</v>
      </c>
      <c r="R2172">
        <v>-8.5279999999999995E-2</v>
      </c>
      <c r="S2172">
        <v>-3.1235050000000002</v>
      </c>
      <c r="T2172">
        <v>-0.78125449999999996</v>
      </c>
      <c r="U2172">
        <v>1.0075379999999901</v>
      </c>
      <c r="V2172">
        <v>-0.1174094</v>
      </c>
      <c r="W2172">
        <v>4.9317680000000003E-2</v>
      </c>
      <c r="X2172">
        <v>0.99185820000000002</v>
      </c>
      <c r="Y2172">
        <v>0.26906419999999998</v>
      </c>
      <c r="Z2172">
        <v>2.708207E-2</v>
      </c>
      <c r="AA2172">
        <v>0.96274139999999997</v>
      </c>
      <c r="AB2172">
        <v>41</v>
      </c>
      <c r="AC2172">
        <v>-0.370499999999992</v>
      </c>
      <c r="AD2172">
        <v>-0.19817090000000001</v>
      </c>
      <c r="AE2172">
        <v>0.24310000000002599</v>
      </c>
      <c r="AF2172">
        <v>0.192557173004899</v>
      </c>
      <c r="AG2172">
        <v>-0.19817090000000001</v>
      </c>
      <c r="AH2172">
        <v>0.31510389520248799</v>
      </c>
      <c r="AI2172">
        <v>118.21975571028599</v>
      </c>
      <c r="AJ2172">
        <v>58.571270897316502</v>
      </c>
      <c r="AK2172">
        <v>0.41909478075279</v>
      </c>
      <c r="AL2172">
        <v>87.173158210698702</v>
      </c>
      <c r="AM2172">
        <v>96.750868527329899</v>
      </c>
      <c r="AN2172">
        <v>0.99999994483808896</v>
      </c>
    </row>
    <row r="2173" spans="1:40" x14ac:dyDescent="0.25">
      <c r="A2173" t="str">
        <f>"20190305135833756"</f>
        <v>20190305135833756</v>
      </c>
      <c r="B2173" t="str">
        <f>"1551765513750838"</f>
        <v>1551765513750838</v>
      </c>
      <c r="C2173" t="s">
        <v>40</v>
      </c>
      <c r="D2173">
        <v>3.9069750000000001</v>
      </c>
      <c r="E2173">
        <v>0.6509644</v>
      </c>
      <c r="F2173" t="s">
        <v>41</v>
      </c>
      <c r="G2173">
        <v>-447.39510000000001</v>
      </c>
      <c r="H2173">
        <v>0.92664369999999996</v>
      </c>
      <c r="I2173">
        <v>285.78129999999999</v>
      </c>
      <c r="J2173">
        <v>-447.06290000000001</v>
      </c>
      <c r="K2173">
        <v>1.111048</v>
      </c>
      <c r="L2173">
        <v>285.55700000000002</v>
      </c>
      <c r="M2173">
        <v>-0.99942549999999997</v>
      </c>
      <c r="N2173">
        <v>-1.431905E-2</v>
      </c>
      <c r="O2173">
        <v>3.0720500000000001E-2</v>
      </c>
      <c r="P2173">
        <v>-0.99554089999999995</v>
      </c>
      <c r="Q2173">
        <v>3.5804410000000002E-2</v>
      </c>
      <c r="R2173">
        <v>-8.727451E-2</v>
      </c>
      <c r="S2173">
        <v>-3.1257929999999998</v>
      </c>
      <c r="T2173">
        <v>-0.77721289999999998</v>
      </c>
      <c r="U2173">
        <v>0.99478149999999999</v>
      </c>
      <c r="V2173">
        <v>-0.11799469999999999</v>
      </c>
      <c r="W2173">
        <v>4.9596290000000001E-2</v>
      </c>
      <c r="X2173">
        <v>0.99177490000000001</v>
      </c>
      <c r="Y2173">
        <v>0.26675739999999998</v>
      </c>
      <c r="Z2173">
        <v>2.697923E-2</v>
      </c>
      <c r="AA2173">
        <v>0.96338599999999996</v>
      </c>
      <c r="AB2173">
        <v>41</v>
      </c>
      <c r="AC2173">
        <v>-0.3322</v>
      </c>
      <c r="AD2173">
        <v>-0.18440429999999999</v>
      </c>
      <c r="AE2173">
        <v>0.22429999999997099</v>
      </c>
      <c r="AF2173">
        <v>0.17660878942219699</v>
      </c>
      <c r="AG2173">
        <v>-0.18440429999999999</v>
      </c>
      <c r="AH2173">
        <v>0.27973012107450901</v>
      </c>
      <c r="AI2173">
        <v>119.136239223735</v>
      </c>
      <c r="AJ2173">
        <v>57.733561433146697</v>
      </c>
      <c r="AK2173">
        <v>0.37874074377603401</v>
      </c>
      <c r="AL2173">
        <v>87.157175621501096</v>
      </c>
      <c r="AM2173">
        <v>96.784774011588198</v>
      </c>
      <c r="AN2173">
        <v>0.99999999673993201</v>
      </c>
    </row>
    <row r="2174" spans="1:40" x14ac:dyDescent="0.25">
      <c r="A2174" t="str">
        <f>"20190305135833779"</f>
        <v>20190305135833779</v>
      </c>
      <c r="B2174" t="str">
        <f>"1551765513770357"</f>
        <v>1551765513770357</v>
      </c>
      <c r="C2174" t="s">
        <v>40</v>
      </c>
      <c r="D2174">
        <v>3.9119419999999998</v>
      </c>
      <c r="E2174">
        <v>0.65077830000000003</v>
      </c>
      <c r="F2174" t="s">
        <v>41</v>
      </c>
      <c r="G2174">
        <v>-447.76440000000002</v>
      </c>
      <c r="H2174">
        <v>0.93688210000000005</v>
      </c>
      <c r="I2174">
        <v>285.77820000000003</v>
      </c>
      <c r="J2174">
        <v>-447.46559999999999</v>
      </c>
      <c r="K2174">
        <v>1.1110610000000001</v>
      </c>
      <c r="L2174">
        <v>285.56810000000002</v>
      </c>
      <c r="M2174">
        <v>-0.99946670000000004</v>
      </c>
      <c r="N2174">
        <v>-1.4316809999999999E-2</v>
      </c>
      <c r="O2174">
        <v>2.9348309999999999E-2</v>
      </c>
      <c r="P2174">
        <v>-0.99531270000000005</v>
      </c>
      <c r="Q2174">
        <v>3.610671E-2</v>
      </c>
      <c r="R2174">
        <v>-8.9714719999999998E-2</v>
      </c>
      <c r="S2174">
        <v>-3.127777</v>
      </c>
      <c r="T2174">
        <v>-0.77650359999999996</v>
      </c>
      <c r="U2174">
        <v>0.98553469999999999</v>
      </c>
      <c r="V2174">
        <v>-0.1190673</v>
      </c>
      <c r="W2174">
        <v>4.9888710000000003E-2</v>
      </c>
      <c r="X2174">
        <v>0.99163199999999996</v>
      </c>
      <c r="Y2174">
        <v>0.26533309999999999</v>
      </c>
      <c r="Z2174">
        <v>2.70794E-2</v>
      </c>
      <c r="AA2174">
        <v>0.96377650000000004</v>
      </c>
      <c r="AB2174">
        <v>41</v>
      </c>
      <c r="AC2174">
        <v>-0.29880000000002799</v>
      </c>
      <c r="AD2174">
        <v>-0.1741789</v>
      </c>
      <c r="AE2174">
        <v>0.210100000000011</v>
      </c>
      <c r="AF2174">
        <v>0.16395797092828501</v>
      </c>
      <c r="AG2174">
        <v>-0.1741789</v>
      </c>
      <c r="AH2174">
        <v>0.24836408476337701</v>
      </c>
      <c r="AI2174">
        <v>120.339358025154</v>
      </c>
      <c r="AJ2174">
        <v>56.569135085505799</v>
      </c>
      <c r="AK2174">
        <v>0.34482636795419302</v>
      </c>
      <c r="AL2174">
        <v>87.140400330469902</v>
      </c>
      <c r="AM2174">
        <v>96.846843672778604</v>
      </c>
      <c r="AN2174">
        <v>0.99999996436937599</v>
      </c>
    </row>
    <row r="2175" spans="1:40" x14ac:dyDescent="0.25">
      <c r="A2175" t="str">
        <f>"20190305135833800"</f>
        <v>20190305135833800</v>
      </c>
      <c r="B2175" t="str">
        <f>"1551765513790853"</f>
        <v>1551765513790853</v>
      </c>
      <c r="C2175" t="s">
        <v>40</v>
      </c>
      <c r="D2175">
        <v>3.9274049999999998</v>
      </c>
      <c r="E2175">
        <v>0.65066499999999905</v>
      </c>
      <c r="F2175" t="s">
        <v>59</v>
      </c>
      <c r="G2175">
        <v>-451.9504</v>
      </c>
      <c r="H2175" s="1">
        <v>-6.0161490000000004E-7</v>
      </c>
      <c r="I2175">
        <v>286.96710000000002</v>
      </c>
      <c r="J2175">
        <v>-447.86450000000002</v>
      </c>
      <c r="K2175">
        <v>1.1110469999999999</v>
      </c>
      <c r="L2175">
        <v>285.57870000000003</v>
      </c>
      <c r="M2175">
        <v>-0.99950439999999996</v>
      </c>
      <c r="N2175">
        <v>-1.4313940000000001E-2</v>
      </c>
      <c r="O2175">
        <v>2.8038810000000001E-2</v>
      </c>
      <c r="P2175">
        <v>-0.99508079999999999</v>
      </c>
      <c r="Q2175">
        <v>3.59026E-2</v>
      </c>
      <c r="R2175">
        <v>-9.2331709999999997E-2</v>
      </c>
      <c r="S2175">
        <v>-3.13028</v>
      </c>
      <c r="T2175">
        <v>-0.77548169999999905</v>
      </c>
      <c r="U2175">
        <v>0.97640990000000005</v>
      </c>
      <c r="V2175">
        <v>-0.12037399999999999</v>
      </c>
      <c r="W2175">
        <v>4.9678680000000003E-2</v>
      </c>
      <c r="X2175">
        <v>0.99148480000000005</v>
      </c>
      <c r="Y2175">
        <v>0.26384619999999998</v>
      </c>
      <c r="Z2175">
        <v>2.714341E-2</v>
      </c>
      <c r="AA2175">
        <v>0.96418280000000001</v>
      </c>
      <c r="AB2175">
        <v>41</v>
      </c>
      <c r="AC2175">
        <v>-4.0858999999999801</v>
      </c>
      <c r="AD2175">
        <v>-1.11104760161489</v>
      </c>
      <c r="AE2175">
        <v>1.3883999999999801</v>
      </c>
      <c r="AF2175">
        <v>1.1941227494747599</v>
      </c>
      <c r="AG2175">
        <v>-1.11104760161489</v>
      </c>
      <c r="AH2175">
        <v>3.8668981601152002</v>
      </c>
      <c r="AI2175">
        <v>105.351260091713</v>
      </c>
      <c r="AJ2175">
        <v>72.838979228118404</v>
      </c>
      <c r="AK2175">
        <v>4.19681513704972</v>
      </c>
      <c r="AL2175">
        <v>87.152449176387407</v>
      </c>
      <c r="AM2175">
        <v>96.9222767560601</v>
      </c>
      <c r="AN2175">
        <v>0.99999998987679095</v>
      </c>
    </row>
    <row r="2176" spans="1:40" x14ac:dyDescent="0.25">
      <c r="A2176" t="str">
        <f>"20190305135833823"</f>
        <v>20190305135833823</v>
      </c>
      <c r="B2176" t="str">
        <f>"1551765513810373"</f>
        <v>1551765513810373</v>
      </c>
      <c r="C2176" t="s">
        <v>40</v>
      </c>
      <c r="D2176">
        <v>3.9278559999999998</v>
      </c>
      <c r="E2176">
        <v>0.65073760000000003</v>
      </c>
      <c r="F2176" t="s">
        <v>59</v>
      </c>
      <c r="G2176">
        <v>-452.35489999999999</v>
      </c>
      <c r="H2176" s="1">
        <v>-3.8635839999999999E-7</v>
      </c>
      <c r="I2176">
        <v>286.96629999999999</v>
      </c>
      <c r="J2176">
        <v>-448.27339999999998</v>
      </c>
      <c r="K2176">
        <v>1.11102099999999</v>
      </c>
      <c r="L2176">
        <v>285.589</v>
      </c>
      <c r="M2176">
        <v>-0.99953979999999998</v>
      </c>
      <c r="N2176">
        <v>-1.431091E-2</v>
      </c>
      <c r="O2176">
        <v>2.6751049999999998E-2</v>
      </c>
      <c r="P2176">
        <v>-0.99482020000000004</v>
      </c>
      <c r="Q2176">
        <v>3.5950360000000001E-2</v>
      </c>
      <c r="R2176">
        <v>-9.5081609999999997E-2</v>
      </c>
      <c r="S2176">
        <v>-3.1325989999999999</v>
      </c>
      <c r="T2176">
        <v>-0.7750882</v>
      </c>
      <c r="U2176">
        <v>0.96801760000000003</v>
      </c>
      <c r="V2176">
        <v>-0.1218345</v>
      </c>
      <c r="W2176">
        <v>4.972439E-2</v>
      </c>
      <c r="X2176">
        <v>0.99130410000000002</v>
      </c>
      <c r="Y2176">
        <v>0.26254300000000003</v>
      </c>
      <c r="Z2176">
        <v>2.7245640000000002E-2</v>
      </c>
      <c r="AA2176">
        <v>0.96453549999999999</v>
      </c>
      <c r="AB2176">
        <v>41</v>
      </c>
      <c r="AC2176">
        <v>-4.0815000000000001</v>
      </c>
      <c r="AD2176">
        <v>-1.11102138635839</v>
      </c>
      <c r="AE2176">
        <v>1.37729999999999</v>
      </c>
      <c r="AF2176">
        <v>1.18854611842491</v>
      </c>
      <c r="AG2176">
        <v>-1.11102138635839</v>
      </c>
      <c r="AH2176">
        <v>3.86010257087788</v>
      </c>
      <c r="AI2176">
        <v>105.38037882202499</v>
      </c>
      <c r="AJ2176">
        <v>72.886122519540393</v>
      </c>
      <c r="AK2176">
        <v>4.1889619542634602</v>
      </c>
      <c r="AL2176">
        <v>87.149826944468302</v>
      </c>
      <c r="AM2176">
        <v>97.006699536804206</v>
      </c>
      <c r="AN2176">
        <v>0.99999998951396596</v>
      </c>
    </row>
    <row r="2177" spans="1:40" x14ac:dyDescent="0.25">
      <c r="A2177" t="str">
        <f>"20190305135833839"</f>
        <v>20190305135833839</v>
      </c>
      <c r="B2177" t="str">
        <f>"1551765513830869"</f>
        <v>1551765513830869</v>
      </c>
      <c r="C2177" t="s">
        <v>40</v>
      </c>
      <c r="D2177">
        <v>3.9289930000000002</v>
      </c>
      <c r="E2177">
        <v>0.6508062</v>
      </c>
      <c r="F2177" t="s">
        <v>59</v>
      </c>
      <c r="G2177">
        <v>-452.77019999999999</v>
      </c>
      <c r="H2177" s="1">
        <v>-1.653876E-7</v>
      </c>
      <c r="I2177">
        <v>286.96730000000002</v>
      </c>
      <c r="J2177">
        <v>-448.57870000000003</v>
      </c>
      <c r="K2177">
        <v>1.1109899999999999</v>
      </c>
      <c r="L2177">
        <v>285.59649999999999</v>
      </c>
      <c r="M2177">
        <v>-0.9995638</v>
      </c>
      <c r="N2177">
        <v>-1.4308660000000001E-2</v>
      </c>
      <c r="O2177">
        <v>2.5836729999999999E-2</v>
      </c>
      <c r="P2177">
        <v>-0.99465099999999995</v>
      </c>
      <c r="Q2177">
        <v>3.5725170000000001E-2</v>
      </c>
      <c r="R2177">
        <v>-9.691959E-2</v>
      </c>
      <c r="S2177">
        <v>-3.1354679999999999</v>
      </c>
      <c r="T2177">
        <v>-0.77468419999999905</v>
      </c>
      <c r="U2177">
        <v>0.96099849999999998</v>
      </c>
      <c r="V2177">
        <v>-0.12275469999999999</v>
      </c>
      <c r="W2177">
        <v>4.950247E-2</v>
      </c>
      <c r="X2177">
        <v>0.99120169999999996</v>
      </c>
      <c r="Y2177">
        <v>0.2612312</v>
      </c>
      <c r="Z2177">
        <v>2.7257190000000001E-2</v>
      </c>
      <c r="AA2177">
        <v>0.96489139999999995</v>
      </c>
      <c r="AB2177">
        <v>41</v>
      </c>
      <c r="AC2177">
        <v>-4.1914999999999596</v>
      </c>
      <c r="AD2177">
        <v>-1.1109901653876</v>
      </c>
      <c r="AE2177">
        <v>1.37080000000003</v>
      </c>
      <c r="AF2177">
        <v>1.18671861290867</v>
      </c>
      <c r="AG2177">
        <v>-1.1109901653876</v>
      </c>
      <c r="AH2177">
        <v>3.9733433196254202</v>
      </c>
      <c r="AI2177">
        <v>104.998255247768</v>
      </c>
      <c r="AJ2177">
        <v>73.370690529654297</v>
      </c>
      <c r="AK2177">
        <v>4.29302426611169</v>
      </c>
      <c r="AL2177">
        <v>87.162557761586001</v>
      </c>
      <c r="AM2177">
        <v>97.0598101875852</v>
      </c>
      <c r="AN2177">
        <v>1.00000001049554</v>
      </c>
    </row>
    <row r="2178" spans="1:40" x14ac:dyDescent="0.25">
      <c r="A2178" t="str">
        <f>"20190305135833857"</f>
        <v>20190305135833857</v>
      </c>
      <c r="B2178" t="str">
        <f>"1551765513850389"</f>
        <v>1551765513850389</v>
      </c>
      <c r="C2178" t="s">
        <v>40</v>
      </c>
      <c r="D2178">
        <v>3.9209969999999998</v>
      </c>
      <c r="E2178">
        <v>0.60858109999999999</v>
      </c>
      <c r="F2178" t="s">
        <v>59</v>
      </c>
      <c r="G2178">
        <v>-453.07139999999998</v>
      </c>
      <c r="H2178" s="1">
        <v>-5.068422E-9</v>
      </c>
      <c r="I2178">
        <v>286.96570000000003</v>
      </c>
      <c r="J2178">
        <v>-448.89710000000002</v>
      </c>
      <c r="K2178">
        <v>1.110948</v>
      </c>
      <c r="L2178">
        <v>285.60390000000001</v>
      </c>
      <c r="M2178">
        <v>-0.99958630000000004</v>
      </c>
      <c r="N2178">
        <v>-1.4306009999999999E-2</v>
      </c>
      <c r="O2178">
        <v>2.4952709999999999E-2</v>
      </c>
      <c r="P2178">
        <v>-0.99437640000000005</v>
      </c>
      <c r="Q2178">
        <v>3.6186059999999999E-2</v>
      </c>
      <c r="R2178">
        <v>-9.9532079999999995E-2</v>
      </c>
      <c r="S2178">
        <v>-3.1371150000000001</v>
      </c>
      <c r="T2178">
        <v>-0.77578199999999997</v>
      </c>
      <c r="U2178">
        <v>0.95608519999999997</v>
      </c>
      <c r="V2178">
        <v>-0.1244777</v>
      </c>
      <c r="W2178">
        <v>4.9967280000000003E-2</v>
      </c>
      <c r="X2178">
        <v>0.9909635</v>
      </c>
      <c r="Y2178">
        <v>0.26054129999999998</v>
      </c>
      <c r="Z2178">
        <v>2.7394709999999999E-2</v>
      </c>
      <c r="AA2178">
        <v>0.96507399999999999</v>
      </c>
      <c r="AB2178">
        <v>41</v>
      </c>
      <c r="AC2178">
        <v>-4.1742999999999597</v>
      </c>
      <c r="AD2178">
        <v>-1.11094800506842</v>
      </c>
      <c r="AE2178">
        <v>1.3618000000000099</v>
      </c>
      <c r="AF2178">
        <v>1.18156467893147</v>
      </c>
      <c r="AG2178">
        <v>-1.11094800506842</v>
      </c>
      <c r="AH2178">
        <v>3.9538684880497201</v>
      </c>
      <c r="AI2178">
        <v>105.067570360117</v>
      </c>
      <c r="AJ2178">
        <v>73.361875324578193</v>
      </c>
      <c r="AK2178">
        <v>4.2735671962959199</v>
      </c>
      <c r="AL2178">
        <v>87.135893203681107</v>
      </c>
      <c r="AM2178">
        <v>97.159584428060597</v>
      </c>
      <c r="AN2178">
        <v>1.0000000426000599</v>
      </c>
    </row>
    <row r="2179" spans="1:40" x14ac:dyDescent="0.25">
      <c r="A2179" t="str">
        <f>"20190305135833879"</f>
        <v>20190305135833879</v>
      </c>
      <c r="B2179" t="str">
        <f>"1551765513870885"</f>
        <v>1551765513870885</v>
      </c>
      <c r="C2179" t="s">
        <v>40</v>
      </c>
      <c r="D2179">
        <v>3.8924729999999998</v>
      </c>
      <c r="E2179">
        <v>0.51995769999999997</v>
      </c>
      <c r="F2179" t="s">
        <v>41</v>
      </c>
      <c r="G2179">
        <v>-449.601</v>
      </c>
      <c r="H2179">
        <v>0.9703813</v>
      </c>
      <c r="I2179">
        <v>285.74149999999997</v>
      </c>
      <c r="J2179">
        <v>-449.29059999999998</v>
      </c>
      <c r="K2179">
        <v>1.110854</v>
      </c>
      <c r="L2179">
        <v>285.61290000000002</v>
      </c>
      <c r="M2179">
        <v>-0.99960990000000005</v>
      </c>
      <c r="N2179">
        <v>-1.4302459999999999E-2</v>
      </c>
      <c r="O2179">
        <v>2.3987370000000001E-2</v>
      </c>
      <c r="P2179">
        <v>-0.99407239999999997</v>
      </c>
      <c r="Q2179">
        <v>3.6306909999999998E-2</v>
      </c>
      <c r="R2179">
        <v>-0.10247879999999999</v>
      </c>
      <c r="S2179">
        <v>-3.0999759999999998</v>
      </c>
      <c r="T2179">
        <v>-0.61905559999999904</v>
      </c>
      <c r="U2179">
        <v>0.60421749999999996</v>
      </c>
      <c r="V2179">
        <v>-0.126448</v>
      </c>
      <c r="W2179">
        <v>5.0103019999999998E-2</v>
      </c>
      <c r="X2179">
        <v>0.99070709999999995</v>
      </c>
      <c r="Y2179">
        <v>0.16473479999999999</v>
      </c>
      <c r="Z2179">
        <v>1.298098E-2</v>
      </c>
      <c r="AA2179">
        <v>0.98625249999999998</v>
      </c>
      <c r="AB2179">
        <v>41</v>
      </c>
      <c r="AC2179">
        <v>-0.310400000000015</v>
      </c>
      <c r="AD2179">
        <v>-0.14047270000000001</v>
      </c>
      <c r="AE2179">
        <v>0.12859999999994801</v>
      </c>
      <c r="AF2179">
        <v>0.103095394428039</v>
      </c>
      <c r="AG2179">
        <v>-0.14047270000000001</v>
      </c>
      <c r="AH2179">
        <v>0.26676502959439202</v>
      </c>
      <c r="AI2179">
        <v>116.159097032613</v>
      </c>
      <c r="AJ2179">
        <v>68.870218834571304</v>
      </c>
      <c r="AK2179">
        <v>0.31862959814188602</v>
      </c>
      <c r="AL2179">
        <v>87.128105951814604</v>
      </c>
      <c r="AM2179">
        <v>97.273568262811906</v>
      </c>
      <c r="AN2179">
        <v>0.99999998365376497</v>
      </c>
    </row>
    <row r="2180" spans="1:40" x14ac:dyDescent="0.25">
      <c r="A2180" t="str">
        <f>"20190305135833902"</f>
        <v>20190305135833902</v>
      </c>
      <c r="B2180" t="str">
        <f>"1551765513891381"</f>
        <v>1551765513891381</v>
      </c>
      <c r="C2180" t="s">
        <v>40</v>
      </c>
      <c r="D2180">
        <v>3.9683890000000002</v>
      </c>
      <c r="E2180">
        <v>0.5103974</v>
      </c>
      <c r="F2180" t="s">
        <v>41</v>
      </c>
      <c r="G2180">
        <v>-450.34140000000002</v>
      </c>
      <c r="H2180">
        <v>0.98265809999999998</v>
      </c>
      <c r="I2180">
        <v>285.57060000000001</v>
      </c>
      <c r="J2180">
        <v>-449.69929999999999</v>
      </c>
      <c r="K2180">
        <v>1.110719</v>
      </c>
      <c r="L2180">
        <v>285.62189999999998</v>
      </c>
      <c r="M2180">
        <v>-0.99962870000000004</v>
      </c>
      <c r="N2180">
        <v>-1.4298709999999999E-2</v>
      </c>
      <c r="O2180">
        <v>2.3193310000000002E-2</v>
      </c>
      <c r="P2180">
        <v>-0.99377740000000003</v>
      </c>
      <c r="Q2180">
        <v>3.6906210000000002E-2</v>
      </c>
      <c r="R2180">
        <v>-0.1050933</v>
      </c>
      <c r="S2180">
        <v>-3.0186160000000002</v>
      </c>
      <c r="T2180">
        <v>-0.36847340000000001</v>
      </c>
      <c r="U2180">
        <v>-0.1230774</v>
      </c>
      <c r="V2180">
        <v>-0.12825159999999999</v>
      </c>
      <c r="W2180">
        <v>5.0734019999999998E-2</v>
      </c>
      <c r="X2180">
        <v>0.99044310000000002</v>
      </c>
      <c r="Y2180">
        <v>-6.3246250000000004E-2</v>
      </c>
      <c r="Z2180">
        <v>-6.7877719999999897E-3</v>
      </c>
      <c r="AA2180">
        <v>0.9979749</v>
      </c>
      <c r="AB2180">
        <v>41</v>
      </c>
      <c r="AC2180">
        <v>-0.64210000000002698</v>
      </c>
      <c r="AD2180">
        <v>-0.12806090000000001</v>
      </c>
      <c r="AE2180">
        <v>-5.1299999999969197E-2</v>
      </c>
      <c r="AF2180">
        <v>-6.3663873508736396E-2</v>
      </c>
      <c r="AG2180">
        <v>-0.12806090000000001</v>
      </c>
      <c r="AH2180">
        <v>0.61637547722953301</v>
      </c>
      <c r="AI2180">
        <v>101.676644743922</v>
      </c>
      <c r="AJ2180">
        <v>95.897025931415399</v>
      </c>
      <c r="AK2180">
        <v>0.63274909073730101</v>
      </c>
      <c r="AL2180">
        <v>87.0919062461235</v>
      </c>
      <c r="AM2180">
        <v>97.378125137315905</v>
      </c>
      <c r="AN2180">
        <v>0.99999997401276397</v>
      </c>
    </row>
    <row r="2181" spans="1:40" x14ac:dyDescent="0.25">
      <c r="A2181" t="str">
        <f>"20190305135833925"</f>
        <v>20190305135833925</v>
      </c>
      <c r="B2181" t="str">
        <f>"1551765513910901"</f>
        <v>1551765513910901</v>
      </c>
      <c r="C2181" t="s">
        <v>40</v>
      </c>
      <c r="D2181">
        <v>3.9048500000000002</v>
      </c>
      <c r="E2181">
        <v>0.50723750000000001</v>
      </c>
      <c r="F2181" t="s">
        <v>59</v>
      </c>
      <c r="G2181">
        <v>-462.66460000000001</v>
      </c>
      <c r="H2181" s="1">
        <v>-1.2262919999999999E-7</v>
      </c>
      <c r="I2181">
        <v>284.70319999999998</v>
      </c>
      <c r="J2181">
        <v>-450.10219999999998</v>
      </c>
      <c r="K2181">
        <v>1.1105700000000001</v>
      </c>
      <c r="L2181">
        <v>285.63069999999999</v>
      </c>
      <c r="M2181">
        <v>-0.99964260000000005</v>
      </c>
      <c r="N2181">
        <v>-1.4295499999999999E-2</v>
      </c>
      <c r="O2181">
        <v>2.2595420000000001E-2</v>
      </c>
      <c r="P2181">
        <v>-0.99352759999999996</v>
      </c>
      <c r="Q2181">
        <v>3.8549279999999998E-2</v>
      </c>
      <c r="R2181">
        <v>-0.10685119999999999</v>
      </c>
      <c r="S2181">
        <v>-3.0058289999999999</v>
      </c>
      <c r="T2181">
        <v>-0.25750509999999999</v>
      </c>
      <c r="U2181">
        <v>-0.21298220000000001</v>
      </c>
      <c r="V2181">
        <v>-0.12939400000000001</v>
      </c>
      <c r="W2181">
        <v>5.2418340000000001E-2</v>
      </c>
      <c r="X2181">
        <v>0.99020680000000005</v>
      </c>
      <c r="Y2181">
        <v>-9.2750159999999998E-2</v>
      </c>
      <c r="Z2181">
        <v>-6.2338569999999998E-3</v>
      </c>
      <c r="AA2181">
        <v>0.9956699</v>
      </c>
      <c r="AB2181">
        <v>41</v>
      </c>
      <c r="AC2181">
        <v>-12.5624</v>
      </c>
      <c r="AD2181">
        <v>-1.1105701226292</v>
      </c>
      <c r="AE2181">
        <v>-0.92750000000000898</v>
      </c>
      <c r="AF2181">
        <v>-1.2018032760308299</v>
      </c>
      <c r="AG2181">
        <v>-1.1105701226292</v>
      </c>
      <c r="AH2181">
        <v>12.4415253232099</v>
      </c>
      <c r="AI2181">
        <v>95.077375747165803</v>
      </c>
      <c r="AJ2181">
        <v>95.517432708033397</v>
      </c>
      <c r="AK2181">
        <v>12.5486752081496</v>
      </c>
      <c r="AL2181">
        <v>86.995273264934596</v>
      </c>
      <c r="AM2181">
        <v>97.444868297434994</v>
      </c>
      <c r="AN2181">
        <v>0.99999999818529794</v>
      </c>
    </row>
    <row r="2182" spans="1:40" x14ac:dyDescent="0.25">
      <c r="A2182" t="str">
        <f>"20190305135833947"</f>
        <v>20190305135833947</v>
      </c>
      <c r="B2182" t="str">
        <f>"1551765513941157"</f>
        <v>1551765513941157</v>
      </c>
      <c r="C2182" t="s">
        <v>40</v>
      </c>
      <c r="D2182">
        <v>3.9476520000000002</v>
      </c>
      <c r="E2182">
        <v>0.50744149999999999</v>
      </c>
      <c r="F2182" t="s">
        <v>59</v>
      </c>
      <c r="G2182">
        <v>-467.92230000000001</v>
      </c>
      <c r="H2182" s="1">
        <v>2.6989009999999999E-6</v>
      </c>
      <c r="I2182">
        <v>284.16250000000002</v>
      </c>
      <c r="J2182">
        <v>-450.51920000000001</v>
      </c>
      <c r="K2182">
        <v>1.110411</v>
      </c>
      <c r="L2182">
        <v>285.6397</v>
      </c>
      <c r="M2182">
        <v>-0.99965230000000005</v>
      </c>
      <c r="N2182">
        <v>-1.429251E-2</v>
      </c>
      <c r="O2182">
        <v>2.216804E-2</v>
      </c>
      <c r="P2182">
        <v>-0.99332799999999999</v>
      </c>
      <c r="Q2182">
        <v>4.0651079999999999E-2</v>
      </c>
      <c r="R2182">
        <v>-0.1079222</v>
      </c>
      <c r="S2182">
        <v>-3.0002140000000002</v>
      </c>
      <c r="T2182">
        <v>-0.1869768</v>
      </c>
      <c r="U2182">
        <v>-0.24719240000000001</v>
      </c>
      <c r="V2182">
        <v>-0.13001779999999999</v>
      </c>
      <c r="W2182">
        <v>5.4568659999999998E-2</v>
      </c>
      <c r="X2182">
        <v>0.99000889999999997</v>
      </c>
      <c r="Y2182">
        <v>-0.1039166</v>
      </c>
      <c r="Z2182">
        <v>-5.0363689999999997E-3</v>
      </c>
      <c r="AA2182">
        <v>0.99457320000000005</v>
      </c>
      <c r="AB2182">
        <v>41</v>
      </c>
      <c r="AC2182">
        <v>-17.403099999999899</v>
      </c>
      <c r="AD2182">
        <v>-1.110408301099</v>
      </c>
      <c r="AE2182">
        <v>-1.4771999999999801</v>
      </c>
      <c r="AF2182">
        <v>-1.8551702986671199</v>
      </c>
      <c r="AG2182">
        <v>-1.110408301099</v>
      </c>
      <c r="AH2182">
        <v>17.296161730886801</v>
      </c>
      <c r="AI2182">
        <v>93.652437940353806</v>
      </c>
      <c r="AJ2182">
        <v>96.122086673688699</v>
      </c>
      <c r="AK2182">
        <v>17.430773765188899</v>
      </c>
      <c r="AL2182">
        <v>86.871892311520696</v>
      </c>
      <c r="AM2182">
        <v>97.481832382616005</v>
      </c>
      <c r="AN2182">
        <v>0.999999994525122</v>
      </c>
    </row>
    <row r="2183" spans="1:40" x14ac:dyDescent="0.25">
      <c r="A2183" t="str">
        <f>"20190305135833969"</f>
        <v>20190305135833969</v>
      </c>
      <c r="B2183" t="str">
        <f>"1551765513960677"</f>
        <v>1551765513960677</v>
      </c>
      <c r="C2183" t="s">
        <v>40</v>
      </c>
      <c r="D2183">
        <v>3.9758900000000001</v>
      </c>
      <c r="E2183">
        <v>0.50799189999999905</v>
      </c>
      <c r="F2183" t="s">
        <v>58</v>
      </c>
      <c r="G2183">
        <v>-473.25459999999998</v>
      </c>
      <c r="H2183" s="1">
        <v>5.0941519999999998E-6</v>
      </c>
      <c r="I2183">
        <v>283.73899999999998</v>
      </c>
      <c r="J2183">
        <v>-450.92320000000001</v>
      </c>
      <c r="K2183">
        <v>1.110255</v>
      </c>
      <c r="L2183">
        <v>285.64839999999998</v>
      </c>
      <c r="M2183">
        <v>-0.99965749999999998</v>
      </c>
      <c r="N2183">
        <v>-1.42898E-2</v>
      </c>
      <c r="O2183">
        <v>2.1927789999999999E-2</v>
      </c>
      <c r="P2183">
        <v>-0.99322080000000001</v>
      </c>
      <c r="Q2183">
        <v>4.2206559999999997E-2</v>
      </c>
      <c r="R2183">
        <v>-0.1083105</v>
      </c>
      <c r="S2183">
        <v>-2.9988709999999998</v>
      </c>
      <c r="T2183">
        <v>-0.14646600000000001</v>
      </c>
      <c r="U2183">
        <v>-0.25070189999999998</v>
      </c>
      <c r="V2183">
        <v>-0.13014690000000001</v>
      </c>
      <c r="W2183">
        <v>5.6171230000000003E-2</v>
      </c>
      <c r="X2183">
        <v>0.98990230000000001</v>
      </c>
      <c r="Y2183">
        <v>-0.10496800000000001</v>
      </c>
      <c r="Z2183">
        <v>-4.0652780000000003E-3</v>
      </c>
      <c r="AA2183">
        <v>0.99446730000000005</v>
      </c>
      <c r="AB2183">
        <v>41</v>
      </c>
      <c r="AC2183">
        <v>-22.331399999999899</v>
      </c>
      <c r="AD2183">
        <v>-1.110249905848</v>
      </c>
      <c r="AE2183">
        <v>-1.90939999999994</v>
      </c>
      <c r="AF2183">
        <v>-2.3927974819323001</v>
      </c>
      <c r="AG2183">
        <v>-1.110249905848</v>
      </c>
      <c r="AH2183">
        <v>22.229608395928199</v>
      </c>
      <c r="AI2183">
        <v>92.842846965152702</v>
      </c>
      <c r="AJ2183">
        <v>96.143669195039706</v>
      </c>
      <c r="AK2183">
        <v>22.385567316449599</v>
      </c>
      <c r="AL2183">
        <v>86.779930721565094</v>
      </c>
      <c r="AM2183">
        <v>97.4899744459386</v>
      </c>
      <c r="AN2183">
        <v>0.99999999310230603</v>
      </c>
    </row>
    <row r="2184" spans="1:40" x14ac:dyDescent="0.25">
      <c r="A2184" t="str">
        <f>"20190305135833990"</f>
        <v>20190305135833990</v>
      </c>
      <c r="B2184" t="str">
        <f>"1551765513981174"</f>
        <v>1551765513981174</v>
      </c>
      <c r="C2184" t="s">
        <v>40</v>
      </c>
      <c r="D2184">
        <v>4.0594070000000002</v>
      </c>
      <c r="E2184">
        <v>0.50804959999999999</v>
      </c>
      <c r="F2184" t="s">
        <v>58</v>
      </c>
      <c r="G2184">
        <v>-475.74930000000001</v>
      </c>
      <c r="H2184" s="1">
        <v>3.9752950000000004E-6</v>
      </c>
      <c r="I2184">
        <v>283.59559999999999</v>
      </c>
      <c r="J2184">
        <v>-451.31979999999999</v>
      </c>
      <c r="K2184">
        <v>1.110109</v>
      </c>
      <c r="L2184">
        <v>285.65699999999998</v>
      </c>
      <c r="M2184">
        <v>-0.99965919999999997</v>
      </c>
      <c r="N2184">
        <v>-1.428719E-2</v>
      </c>
      <c r="O2184">
        <v>2.1857020000000001E-2</v>
      </c>
      <c r="P2184">
        <v>-0.99322069999999996</v>
      </c>
      <c r="Q2184">
        <v>4.2573930000000003E-2</v>
      </c>
      <c r="R2184">
        <v>-0.10816870000000001</v>
      </c>
      <c r="S2184">
        <v>-2.9991460000000001</v>
      </c>
      <c r="T2184">
        <v>-0.13412499999999999</v>
      </c>
      <c r="U2184">
        <v>-0.24798580000000001</v>
      </c>
      <c r="V2184">
        <v>-0.12991449999999999</v>
      </c>
      <c r="W2184">
        <v>5.6584950000000002E-2</v>
      </c>
      <c r="X2184">
        <v>0.98990929999999999</v>
      </c>
      <c r="Y2184">
        <v>-0.1040229</v>
      </c>
      <c r="Z2184">
        <v>-3.729661E-3</v>
      </c>
      <c r="AA2184">
        <v>0.99456789999999995</v>
      </c>
      <c r="AB2184">
        <v>41</v>
      </c>
      <c r="AC2184">
        <v>-24.429500000000001</v>
      </c>
      <c r="AD2184">
        <v>-1.1101050247049999</v>
      </c>
      <c r="AE2184">
        <v>-2.0613999999999901</v>
      </c>
      <c r="AF2184">
        <v>-2.5896084444641501</v>
      </c>
      <c r="AG2184">
        <v>-1.1101050247049999</v>
      </c>
      <c r="AH2184">
        <v>24.328720913279</v>
      </c>
      <c r="AI2184">
        <v>92.597904704588302</v>
      </c>
      <c r="AJ2184">
        <v>96.075825207066302</v>
      </c>
      <c r="AK2184">
        <v>24.491326349092201</v>
      </c>
      <c r="AL2184">
        <v>86.756188662672201</v>
      </c>
      <c r="AM2184">
        <v>97.476698968654702</v>
      </c>
      <c r="AN2184">
        <v>1.0000000280516199</v>
      </c>
    </row>
    <row r="2185" spans="1:40" x14ac:dyDescent="0.25">
      <c r="A2185" t="str">
        <f>"20190305135834013"</f>
        <v>20190305135834013</v>
      </c>
      <c r="B2185" t="str">
        <f>"1551765514000693"</f>
        <v>1551765514000693</v>
      </c>
      <c r="C2185" t="s">
        <v>40</v>
      </c>
      <c r="D2185">
        <v>4.041817</v>
      </c>
      <c r="E2185">
        <v>0.50787789999999999</v>
      </c>
      <c r="F2185" t="s">
        <v>58</v>
      </c>
      <c r="G2185">
        <v>-476.49590000000001</v>
      </c>
      <c r="H2185" s="1">
        <v>3.643028E-6</v>
      </c>
      <c r="I2185">
        <v>283.58229999999998</v>
      </c>
      <c r="J2185">
        <v>-451.72070000000002</v>
      </c>
      <c r="K2185">
        <v>1.1099589999999999</v>
      </c>
      <c r="L2185">
        <v>285.66570000000002</v>
      </c>
      <c r="M2185">
        <v>-0.99965729999999997</v>
      </c>
      <c r="N2185">
        <v>-1.428431E-2</v>
      </c>
      <c r="O2185">
        <v>2.193697E-2</v>
      </c>
      <c r="P2185">
        <v>-0.99327869999999996</v>
      </c>
      <c r="Q2185">
        <v>4.2400680000000003E-2</v>
      </c>
      <c r="R2185">
        <v>-0.1077023</v>
      </c>
      <c r="S2185">
        <v>-2.9992369999999999</v>
      </c>
      <c r="T2185">
        <v>-0.13224710000000001</v>
      </c>
      <c r="U2185">
        <v>-0.24716189999999999</v>
      </c>
      <c r="V2185">
        <v>-0.1295076</v>
      </c>
      <c r="W2185">
        <v>5.6456869999999999E-2</v>
      </c>
      <c r="X2185">
        <v>0.98996989999999996</v>
      </c>
      <c r="Y2185">
        <v>-0.1038326</v>
      </c>
      <c r="Z2185">
        <v>-3.680202E-3</v>
      </c>
      <c r="AA2185">
        <v>0.99458800000000003</v>
      </c>
      <c r="AB2185">
        <v>41</v>
      </c>
      <c r="AC2185">
        <v>-24.775199999999899</v>
      </c>
      <c r="AD2185">
        <v>-1.109955356972</v>
      </c>
      <c r="AE2185">
        <v>-2.0834000000000401</v>
      </c>
      <c r="AF2185">
        <v>-2.6212226114278501</v>
      </c>
      <c r="AG2185">
        <v>-1.109955356972</v>
      </c>
      <c r="AH2185">
        <v>24.674351614447598</v>
      </c>
      <c r="AI2185">
        <v>92.561274389660795</v>
      </c>
      <c r="AJ2185">
        <v>96.063941416094394</v>
      </c>
      <c r="AK2185">
        <v>24.838003874436499</v>
      </c>
      <c r="AL2185">
        <v>86.763538764175095</v>
      </c>
      <c r="AM2185">
        <v>97.453094079162099</v>
      </c>
      <c r="AN2185">
        <v>0.99999999976698295</v>
      </c>
    </row>
    <row r="2186" spans="1:40" x14ac:dyDescent="0.25">
      <c r="A2186" t="str">
        <f>"20190305135834036"</f>
        <v>20190305135834036</v>
      </c>
      <c r="B2186" t="str">
        <f>"1551765514030953"</f>
        <v>1551765514030953</v>
      </c>
      <c r="C2186" t="s">
        <v>40</v>
      </c>
      <c r="D2186">
        <v>4.0625799999999996</v>
      </c>
      <c r="E2186">
        <v>0.50777629999999996</v>
      </c>
      <c r="F2186" t="s">
        <v>58</v>
      </c>
      <c r="G2186">
        <v>-476.6234</v>
      </c>
      <c r="H2186" s="1">
        <v>3.5895480000000002E-6</v>
      </c>
      <c r="I2186">
        <v>283.61689999999999</v>
      </c>
      <c r="J2186">
        <v>-452.13240000000002</v>
      </c>
      <c r="K2186">
        <v>1.109807</v>
      </c>
      <c r="L2186">
        <v>285.67489999999998</v>
      </c>
      <c r="M2186">
        <v>-0.99965269999999995</v>
      </c>
      <c r="N2186">
        <v>-1.428127E-2</v>
      </c>
      <c r="O2186">
        <v>2.2149169999999999E-2</v>
      </c>
      <c r="P2186">
        <v>-0.99336619999999998</v>
      </c>
      <c r="Q2186">
        <v>4.1877589999999999E-2</v>
      </c>
      <c r="R2186">
        <v>-0.1070989</v>
      </c>
      <c r="S2186">
        <v>-2.9992369999999999</v>
      </c>
      <c r="T2186">
        <v>-0.13368139999999901</v>
      </c>
      <c r="U2186">
        <v>-0.24676509999999999</v>
      </c>
      <c r="V2186">
        <v>-0.12909660000000001</v>
      </c>
      <c r="W2186">
        <v>5.597746E-2</v>
      </c>
      <c r="X2186">
        <v>0.99005080000000001</v>
      </c>
      <c r="Y2186">
        <v>-0.10391</v>
      </c>
      <c r="Z2186">
        <v>-3.7240350000000001E-3</v>
      </c>
      <c r="AA2186">
        <v>0.99457969999999896</v>
      </c>
      <c r="AB2186">
        <v>41</v>
      </c>
      <c r="AC2186">
        <v>-24.4909999999999</v>
      </c>
      <c r="AD2186">
        <v>-1.109803410452</v>
      </c>
      <c r="AE2186">
        <v>-2.0579999999999901</v>
      </c>
      <c r="AF2186">
        <v>-2.5947149581389999</v>
      </c>
      <c r="AG2186">
        <v>-1.109803410452</v>
      </c>
      <c r="AH2186">
        <v>24.389671703927402</v>
      </c>
      <c r="AI2186">
        <v>92.590733585753199</v>
      </c>
      <c r="AJ2186">
        <v>96.072616761556404</v>
      </c>
      <c r="AK2186">
        <v>24.552398969330898</v>
      </c>
      <c r="AL2186">
        <v>86.791050434343006</v>
      </c>
      <c r="AM2186">
        <v>97.429105596293894</v>
      </c>
      <c r="AN2186">
        <v>0.99999999737012502</v>
      </c>
    </row>
    <row r="2187" spans="1:40" x14ac:dyDescent="0.25">
      <c r="A2187" t="str">
        <f>"20190305135834058"</f>
        <v>20190305135834058</v>
      </c>
      <c r="B2187" t="str">
        <f>"1551765514050469"</f>
        <v>1551765514050469</v>
      </c>
      <c r="C2187" t="s">
        <v>40</v>
      </c>
      <c r="D2187">
        <v>4.0717299999999996</v>
      </c>
      <c r="E2187">
        <v>0.50764359999999997</v>
      </c>
      <c r="F2187" t="s">
        <v>58</v>
      </c>
      <c r="G2187">
        <v>-476.56349999999998</v>
      </c>
      <c r="H2187" s="1">
        <v>3.62124E-6</v>
      </c>
      <c r="I2187">
        <v>283.6755</v>
      </c>
      <c r="J2187">
        <v>-452.5317</v>
      </c>
      <c r="K2187">
        <v>1.109674</v>
      </c>
      <c r="L2187">
        <v>285.68380000000002</v>
      </c>
      <c r="M2187">
        <v>-0.99964609999999998</v>
      </c>
      <c r="N2187">
        <v>-1.427871E-2</v>
      </c>
      <c r="O2187">
        <v>2.2447990000000001E-2</v>
      </c>
      <c r="P2187">
        <v>-0.99348809999999999</v>
      </c>
      <c r="Q2187">
        <v>4.0925110000000001E-2</v>
      </c>
      <c r="R2187">
        <v>-0.1063331</v>
      </c>
      <c r="S2187">
        <v>-2.9993590000000001</v>
      </c>
      <c r="T2187">
        <v>-0.13624839999999999</v>
      </c>
      <c r="U2187">
        <v>-0.2454529</v>
      </c>
      <c r="V2187">
        <v>-0.12861220000000001</v>
      </c>
      <c r="W2187">
        <v>5.5064769999999999E-2</v>
      </c>
      <c r="X2187">
        <v>0.99016510000000002</v>
      </c>
      <c r="Y2187">
        <v>-0.1037666</v>
      </c>
      <c r="Z2187">
        <v>-3.7921220000000002E-3</v>
      </c>
      <c r="AA2187">
        <v>0.99459450000000005</v>
      </c>
      <c r="AB2187">
        <v>40</v>
      </c>
      <c r="AC2187">
        <v>-24.031799999999901</v>
      </c>
      <c r="AD2187">
        <v>-1.10967037876</v>
      </c>
      <c r="AE2187">
        <v>-2.0083000000000202</v>
      </c>
      <c r="AF2187">
        <v>-2.5419322415908701</v>
      </c>
      <c r="AG2187">
        <v>-1.10967037876</v>
      </c>
      <c r="AH2187">
        <v>23.9299879566491</v>
      </c>
      <c r="AI2187">
        <v>92.640159444273394</v>
      </c>
      <c r="AJ2187">
        <v>96.063433283085701</v>
      </c>
      <c r="AK2187">
        <v>24.090187036959801</v>
      </c>
      <c r="AL2187">
        <v>86.843424756312601</v>
      </c>
      <c r="AM2187">
        <v>97.4006946253199</v>
      </c>
      <c r="AN2187">
        <v>1.00000007607099</v>
      </c>
    </row>
    <row r="2188" spans="1:40" x14ac:dyDescent="0.25">
      <c r="A2188" t="str">
        <f>"20190305135834079"</f>
        <v>20190305135834079</v>
      </c>
      <c r="B2188" t="str">
        <f>"1551765514070965"</f>
        <v>1551765514070965</v>
      </c>
      <c r="C2188" t="s">
        <v>40</v>
      </c>
      <c r="D2188">
        <v>4.1042160000000001</v>
      </c>
      <c r="E2188">
        <v>0.50762019999999997</v>
      </c>
      <c r="F2188" t="s">
        <v>58</v>
      </c>
      <c r="G2188">
        <v>-476.3227</v>
      </c>
      <c r="H2188" s="1">
        <v>3.7346000000000002E-6</v>
      </c>
      <c r="I2188">
        <v>283.7509</v>
      </c>
      <c r="J2188">
        <v>-452.92739999999998</v>
      </c>
      <c r="K2188">
        <v>1.1095520000000001</v>
      </c>
      <c r="L2188">
        <v>285.69290000000001</v>
      </c>
      <c r="M2188">
        <v>-0.99963800000000003</v>
      </c>
      <c r="N2188">
        <v>-1.4275990000000001E-2</v>
      </c>
      <c r="O2188">
        <v>2.2802739999999998E-2</v>
      </c>
      <c r="P2188">
        <v>-0.99355870000000002</v>
      </c>
      <c r="Q2188">
        <v>3.975948E-2</v>
      </c>
      <c r="R2188">
        <v>-0.1061136</v>
      </c>
      <c r="S2188">
        <v>-2.9993590000000001</v>
      </c>
      <c r="T2188">
        <v>-0.13989760000000001</v>
      </c>
      <c r="U2188">
        <v>-0.24368290000000001</v>
      </c>
      <c r="V2188">
        <v>-0.12873109999999999</v>
      </c>
      <c r="W2188">
        <v>5.3932540000000001E-2</v>
      </c>
      <c r="X2188">
        <v>0.99021190000000003</v>
      </c>
      <c r="Y2188">
        <v>-0.1035291</v>
      </c>
      <c r="Z2188">
        <v>-3.886511E-3</v>
      </c>
      <c r="AA2188">
        <v>0.99461880000000003</v>
      </c>
      <c r="AB2188">
        <v>40</v>
      </c>
      <c r="AC2188">
        <v>-23.395299999999999</v>
      </c>
      <c r="AD2188">
        <v>-1.1095482654</v>
      </c>
      <c r="AE2188">
        <v>-1.9419999999999999</v>
      </c>
      <c r="AF2188">
        <v>-2.4695097844610401</v>
      </c>
      <c r="AG2188">
        <v>-1.1095482654</v>
      </c>
      <c r="AH2188">
        <v>23.292895452140801</v>
      </c>
      <c r="AI2188">
        <v>92.712024914469794</v>
      </c>
      <c r="AJ2188">
        <v>96.051883932001004</v>
      </c>
      <c r="AK2188">
        <v>23.449702652126799</v>
      </c>
      <c r="AL2188">
        <v>86.908393107157806</v>
      </c>
      <c r="AM2188">
        <v>97.407114295954003</v>
      </c>
      <c r="AN2188">
        <v>1.0000000109398299</v>
      </c>
    </row>
    <row r="2189" spans="1:40" x14ac:dyDescent="0.25">
      <c r="A2189" t="str">
        <f>"20190305135834102"</f>
        <v>20190305135834102</v>
      </c>
      <c r="B2189" t="str">
        <f>"1551765514090485"</f>
        <v>1551765514090485</v>
      </c>
      <c r="C2189" t="s">
        <v>40</v>
      </c>
      <c r="D2189">
        <v>4.2152690000000002</v>
      </c>
      <c r="E2189">
        <v>0.50708109999999995</v>
      </c>
      <c r="F2189" t="s">
        <v>58</v>
      </c>
      <c r="G2189">
        <v>-476.08359999999999</v>
      </c>
      <c r="H2189" s="1">
        <v>3.8464400000000004E-6</v>
      </c>
      <c r="I2189">
        <v>283.81720000000001</v>
      </c>
      <c r="J2189">
        <v>-453.33109999999999</v>
      </c>
      <c r="K2189">
        <v>1.109456</v>
      </c>
      <c r="L2189">
        <v>285.70240000000001</v>
      </c>
      <c r="M2189">
        <v>-0.99962899999999999</v>
      </c>
      <c r="N2189">
        <v>-1.427317E-2</v>
      </c>
      <c r="O2189">
        <v>2.3200599999999998E-2</v>
      </c>
      <c r="P2189">
        <v>-0.99357490000000004</v>
      </c>
      <c r="Q2189">
        <v>3.9271180000000003E-2</v>
      </c>
      <c r="R2189">
        <v>-0.1061468</v>
      </c>
      <c r="S2189">
        <v>-2.9992369999999999</v>
      </c>
      <c r="T2189">
        <v>-0.14371129999999999</v>
      </c>
      <c r="U2189">
        <v>-0.24295040000000001</v>
      </c>
      <c r="V2189">
        <v>-0.12914639999999999</v>
      </c>
      <c r="W2189">
        <v>5.347114E-2</v>
      </c>
      <c r="X2189">
        <v>0.99018280000000003</v>
      </c>
      <c r="Y2189">
        <v>-0.1036784</v>
      </c>
      <c r="Z2189">
        <v>-3.9991339999999997E-3</v>
      </c>
      <c r="AA2189">
        <v>0.99460289999999996</v>
      </c>
      <c r="AB2189">
        <v>40</v>
      </c>
      <c r="AC2189">
        <v>-22.752500000000001</v>
      </c>
      <c r="AD2189">
        <v>-1.1094521535599999</v>
      </c>
      <c r="AE2189">
        <v>-1.88519999999999</v>
      </c>
      <c r="AF2189">
        <v>-2.4069338834912601</v>
      </c>
      <c r="AG2189">
        <v>-1.1094521535599999</v>
      </c>
      <c r="AH2189">
        <v>22.6491463243681</v>
      </c>
      <c r="AI2189">
        <v>92.788673441270404</v>
      </c>
      <c r="AJ2189">
        <v>96.066078339049994</v>
      </c>
      <c r="AK2189">
        <v>22.803684878176401</v>
      </c>
      <c r="AL2189">
        <v>86.934867445483903</v>
      </c>
      <c r="AM2189">
        <v>97.430959730303798</v>
      </c>
      <c r="AN2189">
        <v>0.99999996643084899</v>
      </c>
    </row>
    <row r="2190" spans="1:40" x14ac:dyDescent="0.25">
      <c r="A2190" t="str">
        <f>"20190305135834119"</f>
        <v>20190305135834119</v>
      </c>
      <c r="B2190" t="str">
        <f>"1551765514110982"</f>
        <v>1551765514110982</v>
      </c>
      <c r="C2190" t="s">
        <v>40</v>
      </c>
      <c r="D2190">
        <v>4.1445569999999998</v>
      </c>
      <c r="E2190">
        <v>0.45554820000000001</v>
      </c>
      <c r="F2190" t="s">
        <v>58</v>
      </c>
      <c r="G2190">
        <v>-476.06279999999998</v>
      </c>
      <c r="H2190" s="1">
        <v>3.8566329999999999E-6</v>
      </c>
      <c r="I2190">
        <v>283.82859999999999</v>
      </c>
      <c r="J2190">
        <v>-453.64269999999999</v>
      </c>
      <c r="K2190">
        <v>1.109397</v>
      </c>
      <c r="L2190">
        <v>285.70979999999997</v>
      </c>
      <c r="M2190">
        <v>-0.99962150000000005</v>
      </c>
      <c r="N2190">
        <v>-1.4270929999999999E-2</v>
      </c>
      <c r="O2190">
        <v>2.3524819999999998E-2</v>
      </c>
      <c r="P2190">
        <v>-0.99354869999999995</v>
      </c>
      <c r="Q2190">
        <v>3.9255239999999997E-2</v>
      </c>
      <c r="R2190">
        <v>-0.1063965</v>
      </c>
      <c r="S2190">
        <v>-2.9988100000000002</v>
      </c>
      <c r="T2190">
        <v>-0.14636109999999999</v>
      </c>
      <c r="U2190">
        <v>-0.24719240000000001</v>
      </c>
      <c r="V2190">
        <v>-0.1297092</v>
      </c>
      <c r="W2190">
        <v>5.347068E-2</v>
      </c>
      <c r="X2190">
        <v>0.99010929999999997</v>
      </c>
      <c r="Y2190">
        <v>-0.1054012</v>
      </c>
      <c r="Z2190">
        <v>-4.130992E-3</v>
      </c>
      <c r="AA2190">
        <v>0.99442120000000001</v>
      </c>
      <c r="AB2190">
        <v>40</v>
      </c>
      <c r="AC2190">
        <v>-22.420099999999898</v>
      </c>
      <c r="AD2190">
        <v>-1.1093931433669999</v>
      </c>
      <c r="AE2190">
        <v>-1.88119999999997</v>
      </c>
      <c r="AF2190">
        <v>-2.40232084979358</v>
      </c>
      <c r="AG2190">
        <v>-1.1093931433669999</v>
      </c>
      <c r="AH2190">
        <v>22.315377968644299</v>
      </c>
      <c r="AI2190">
        <v>92.829752519738093</v>
      </c>
      <c r="AJ2190">
        <v>96.144408101264901</v>
      </c>
      <c r="AK2190">
        <v>22.471715388357801</v>
      </c>
      <c r="AL2190">
        <v>86.934893967038406</v>
      </c>
      <c r="AM2190">
        <v>97.463526210052095</v>
      </c>
      <c r="AN2190">
        <v>1.0000000080653899</v>
      </c>
    </row>
    <row r="2191" spans="1:40" x14ac:dyDescent="0.25">
      <c r="A2191" t="str">
        <f>"20190305135834136"</f>
        <v>20190305135834136</v>
      </c>
      <c r="B2191" t="str">
        <f>"1551765514131477"</f>
        <v>1551765514131477</v>
      </c>
      <c r="C2191" t="s">
        <v>40</v>
      </c>
      <c r="D2191">
        <v>4.0885089999999904</v>
      </c>
      <c r="E2191">
        <v>0.44646799999999998</v>
      </c>
      <c r="F2191" t="s">
        <v>58</v>
      </c>
      <c r="G2191">
        <v>-470.51</v>
      </c>
      <c r="H2191" s="1">
        <v>6.1573159999999999E-6</v>
      </c>
      <c r="I2191">
        <v>281.97829999999999</v>
      </c>
      <c r="J2191">
        <v>-453.94670000000002</v>
      </c>
      <c r="K2191">
        <v>1.109353</v>
      </c>
      <c r="L2191">
        <v>285.71730000000002</v>
      </c>
      <c r="M2191">
        <v>-0.9996138</v>
      </c>
      <c r="N2191">
        <v>-1.426871E-2</v>
      </c>
      <c r="O2191">
        <v>2.3852870000000002E-2</v>
      </c>
      <c r="P2191">
        <v>-0.99336570000000002</v>
      </c>
      <c r="Q2191">
        <v>3.9814339999999997E-2</v>
      </c>
      <c r="R2191">
        <v>-0.10788689999999999</v>
      </c>
      <c r="S2191">
        <v>-2.9571230000000002</v>
      </c>
      <c r="T2191">
        <v>-0.19449440000000001</v>
      </c>
      <c r="U2191">
        <v>-0.65420529999999999</v>
      </c>
      <c r="V2191">
        <v>-0.1315142</v>
      </c>
      <c r="W2191">
        <v>5.403968E-2</v>
      </c>
      <c r="X2191">
        <v>0.98984030000000001</v>
      </c>
      <c r="Y2191">
        <v>-0.23860480000000001</v>
      </c>
      <c r="Z2191">
        <v>-1.068331E-2</v>
      </c>
      <c r="AA2191">
        <v>0.97105799999999998</v>
      </c>
      <c r="AB2191">
        <v>40</v>
      </c>
      <c r="AC2191">
        <v>-16.563299999999899</v>
      </c>
      <c r="AD2191">
        <v>-1.1093468426840001</v>
      </c>
      <c r="AE2191">
        <v>-3.7390000000000301</v>
      </c>
      <c r="AF2191">
        <v>-4.1154921959199902</v>
      </c>
      <c r="AG2191">
        <v>-1.1093468426840001</v>
      </c>
      <c r="AH2191">
        <v>16.399393897518401</v>
      </c>
      <c r="AI2191">
        <v>93.753859797867193</v>
      </c>
      <c r="AJ2191">
        <v>104.087672504569</v>
      </c>
      <c r="AK2191">
        <v>16.9442629417162</v>
      </c>
      <c r="AL2191">
        <v>86.902245579886795</v>
      </c>
      <c r="AM2191">
        <v>97.568223956004005</v>
      </c>
      <c r="AN2191">
        <v>1.0000000456601099</v>
      </c>
    </row>
    <row r="2192" spans="1:40" x14ac:dyDescent="0.25">
      <c r="A2192" t="str">
        <f>"20190305135834159"</f>
        <v>20190305135834159</v>
      </c>
      <c r="B2192" t="str">
        <f>"1551765514150997"</f>
        <v>1551765514150997</v>
      </c>
      <c r="C2192" t="s">
        <v>40</v>
      </c>
      <c r="D2192">
        <v>4.0714480000000002</v>
      </c>
      <c r="E2192">
        <v>0.44468570000000002</v>
      </c>
      <c r="F2192" t="s">
        <v>58</v>
      </c>
      <c r="G2192">
        <v>-470.75650000000002</v>
      </c>
      <c r="H2192" s="1">
        <v>6.0109109999999996E-6</v>
      </c>
      <c r="I2192">
        <v>281.55399999999997</v>
      </c>
      <c r="J2192">
        <v>-454.35820000000001</v>
      </c>
      <c r="K2192">
        <v>1.1093120000000001</v>
      </c>
      <c r="L2192">
        <v>285.72739999999999</v>
      </c>
      <c r="M2192">
        <v>-0.99960289999999996</v>
      </c>
      <c r="N2192">
        <v>-1.426559E-2</v>
      </c>
      <c r="O2192">
        <v>2.4308679999999999E-2</v>
      </c>
      <c r="P2192">
        <v>-0.99317370000000005</v>
      </c>
      <c r="Q2192">
        <v>4.0294879999999998E-2</v>
      </c>
      <c r="R2192">
        <v>-0.1094661</v>
      </c>
      <c r="S2192">
        <v>-2.9485169999999998</v>
      </c>
      <c r="T2192">
        <v>-0.1945848</v>
      </c>
      <c r="U2192">
        <v>-0.73025509999999905</v>
      </c>
      <c r="V2192">
        <v>-0.13353229999999999</v>
      </c>
      <c r="W2192">
        <v>5.4530090000000003E-2</v>
      </c>
      <c r="X2192">
        <v>0.98954310000000001</v>
      </c>
      <c r="Y2192">
        <v>-0.26323869999999999</v>
      </c>
      <c r="Z2192">
        <v>-1.1694629999999999E-2</v>
      </c>
      <c r="AA2192">
        <v>0.96465990000000001</v>
      </c>
      <c r="AB2192">
        <v>40</v>
      </c>
      <c r="AC2192">
        <v>-16.398299999999999</v>
      </c>
      <c r="AD2192">
        <v>-1.109305989089</v>
      </c>
      <c r="AE2192">
        <v>-4.1733999999999503</v>
      </c>
      <c r="AF2192">
        <v>-4.5512674790594199</v>
      </c>
      <c r="AG2192">
        <v>-1.109305989089</v>
      </c>
      <c r="AH2192">
        <v>16.222272682553299</v>
      </c>
      <c r="AI2192">
        <v>93.766891979048793</v>
      </c>
      <c r="AJ2192">
        <v>105.671820468956</v>
      </c>
      <c r="AK2192">
        <v>16.8851036843275</v>
      </c>
      <c r="AL2192">
        <v>86.874105448028402</v>
      </c>
      <c r="AM2192">
        <v>97.685262260462096</v>
      </c>
      <c r="AN2192">
        <v>0.99999997630815296</v>
      </c>
    </row>
    <row r="2193" spans="1:40" x14ac:dyDescent="0.25">
      <c r="A2193" t="str">
        <f>"20190305135834180"</f>
        <v>20190305135834180</v>
      </c>
      <c r="B2193" t="str">
        <f>"1551765514171493"</f>
        <v>1551765514171493</v>
      </c>
      <c r="C2193" t="s">
        <v>40</v>
      </c>
      <c r="D2193">
        <v>4.0494709999999996</v>
      </c>
      <c r="E2193">
        <v>0.44438159999999999</v>
      </c>
      <c r="F2193" t="s">
        <v>58</v>
      </c>
      <c r="G2193">
        <v>-471.387</v>
      </c>
      <c r="H2193" s="1">
        <v>5.7176909999999999E-6</v>
      </c>
      <c r="I2193">
        <v>281.39830000000001</v>
      </c>
      <c r="J2193">
        <v>-454.73669999999998</v>
      </c>
      <c r="K2193">
        <v>1.1092900000000001</v>
      </c>
      <c r="L2193">
        <v>285.73689999999999</v>
      </c>
      <c r="M2193">
        <v>-0.99959240000000005</v>
      </c>
      <c r="N2193">
        <v>-1.426289E-2</v>
      </c>
      <c r="O2193">
        <v>2.4732480000000001E-2</v>
      </c>
      <c r="P2193">
        <v>-0.99293629999999999</v>
      </c>
      <c r="Q2193">
        <v>4.1624090000000002E-2</v>
      </c>
      <c r="R2193">
        <v>-0.111108399999999</v>
      </c>
      <c r="S2193">
        <v>-2.945862</v>
      </c>
      <c r="T2193">
        <v>-0.1919023</v>
      </c>
      <c r="U2193">
        <v>-0.74890140000000005</v>
      </c>
      <c r="V2193">
        <v>-0.13558310000000001</v>
      </c>
      <c r="W2193">
        <v>5.5864150000000001E-2</v>
      </c>
      <c r="X2193">
        <v>0.98918980000000001</v>
      </c>
      <c r="Y2193">
        <v>-0.26959</v>
      </c>
      <c r="Z2193">
        <v>-1.182857E-2</v>
      </c>
      <c r="AA2193">
        <v>0.96290249999999999</v>
      </c>
      <c r="AB2193">
        <v>40</v>
      </c>
      <c r="AC2193">
        <v>-16.650299999999898</v>
      </c>
      <c r="AD2193">
        <v>-1.1092842823089999</v>
      </c>
      <c r="AE2193">
        <v>-4.33859999999998</v>
      </c>
      <c r="AF2193">
        <v>-4.7294603768258296</v>
      </c>
      <c r="AG2193">
        <v>-1.1092842823089999</v>
      </c>
      <c r="AH2193">
        <v>16.469437758192601</v>
      </c>
      <c r="AI2193">
        <v>93.7040286256928</v>
      </c>
      <c r="AJ2193">
        <v>106.02225893484</v>
      </c>
      <c r="AK2193">
        <v>17.170925634511502</v>
      </c>
      <c r="AL2193">
        <v>86.797552867628198</v>
      </c>
      <c r="AM2193">
        <v>97.804602513713903</v>
      </c>
      <c r="AN2193">
        <v>1.00000002034243</v>
      </c>
    </row>
    <row r="2194" spans="1:40" x14ac:dyDescent="0.25">
      <c r="A2194" t="str">
        <f>"20190305135834202"</f>
        <v>20190305135834202</v>
      </c>
      <c r="B2194" t="str">
        <f>"1551765514191013"</f>
        <v>1551765514191013</v>
      </c>
      <c r="C2194" t="s">
        <v>40</v>
      </c>
      <c r="D2194">
        <v>4.0179559999999999</v>
      </c>
      <c r="E2194">
        <v>0.4442603</v>
      </c>
      <c r="F2194" t="s">
        <v>58</v>
      </c>
      <c r="G2194">
        <v>-472.65440000000001</v>
      </c>
      <c r="H2194" s="1">
        <v>5.1323839999999998E-6</v>
      </c>
      <c r="I2194">
        <v>281.13209999999998</v>
      </c>
      <c r="J2194">
        <v>-455.13959999999997</v>
      </c>
      <c r="K2194">
        <v>1.1092740000000001</v>
      </c>
      <c r="L2194">
        <v>285.7473</v>
      </c>
      <c r="M2194">
        <v>-0.9995811</v>
      </c>
      <c r="N2194">
        <v>-1.4260109999999999E-2</v>
      </c>
      <c r="O2194">
        <v>2.5183710000000002E-2</v>
      </c>
      <c r="P2194">
        <v>-0.99278029999999995</v>
      </c>
      <c r="Q2194">
        <v>4.2500780000000002E-2</v>
      </c>
      <c r="R2194">
        <v>-0.1121646</v>
      </c>
      <c r="S2194">
        <v>-2.9443049999999999</v>
      </c>
      <c r="T2194">
        <v>-0.18228140000000001</v>
      </c>
      <c r="U2194">
        <v>-0.75668329999999995</v>
      </c>
      <c r="V2194">
        <v>-0.137077</v>
      </c>
      <c r="W2194">
        <v>5.6745370000000003E-2</v>
      </c>
      <c r="X2194">
        <v>0.98893370000000003</v>
      </c>
      <c r="Y2194">
        <v>-0.27258880000000002</v>
      </c>
      <c r="Z2194">
        <v>-1.1453400000000001E-2</v>
      </c>
      <c r="AA2194">
        <v>0.96206250000000004</v>
      </c>
      <c r="AB2194">
        <v>40</v>
      </c>
      <c r="AC2194">
        <v>-17.514800000000001</v>
      </c>
      <c r="AD2194">
        <v>-1.1092688676160001</v>
      </c>
      <c r="AE2194">
        <v>-4.6152000000000104</v>
      </c>
      <c r="AF2194">
        <v>-5.0359801331754204</v>
      </c>
      <c r="AG2194">
        <v>-1.1092688676160001</v>
      </c>
      <c r="AH2194">
        <v>17.3280124590867</v>
      </c>
      <c r="AI2194">
        <v>93.517685647516004</v>
      </c>
      <c r="AJ2194">
        <v>106.205266207626</v>
      </c>
      <c r="AK2194">
        <v>18.079037283679199</v>
      </c>
      <c r="AL2194">
        <v>86.746982396905494</v>
      </c>
      <c r="AM2194">
        <v>97.891536509114303</v>
      </c>
      <c r="AN2194">
        <v>1.0000000019705599</v>
      </c>
    </row>
    <row r="2195" spans="1:40" x14ac:dyDescent="0.25">
      <c r="A2195" t="str">
        <f>"20190305135834220"</f>
        <v>20190305135834220</v>
      </c>
      <c r="B2195" t="str">
        <f>"1551765514211509"</f>
        <v>1551765514211509</v>
      </c>
      <c r="C2195" t="s">
        <v>40</v>
      </c>
      <c r="D2195">
        <v>4.0230980000000001</v>
      </c>
      <c r="E2195">
        <v>0.44416539999999999</v>
      </c>
      <c r="F2195" t="s">
        <v>58</v>
      </c>
      <c r="G2195">
        <v>-473.25549999999998</v>
      </c>
      <c r="H2195" s="1">
        <v>4.8598139999999996E-6</v>
      </c>
      <c r="I2195">
        <v>281.0634</v>
      </c>
      <c r="J2195">
        <v>-455.45839999999998</v>
      </c>
      <c r="K2195">
        <v>1.1092599999999999</v>
      </c>
      <c r="L2195">
        <v>285.75560000000002</v>
      </c>
      <c r="M2195">
        <v>-0.99957229999999997</v>
      </c>
      <c r="N2195">
        <v>-1.425804E-2</v>
      </c>
      <c r="O2195">
        <v>2.5538470000000001E-2</v>
      </c>
      <c r="P2195">
        <v>-0.99271949999999998</v>
      </c>
      <c r="Q2195">
        <v>4.2805940000000001E-2</v>
      </c>
      <c r="R2195">
        <v>-0.1125887</v>
      </c>
      <c r="S2195">
        <v>-2.9435419999999999</v>
      </c>
      <c r="T2195">
        <v>-0.1802386</v>
      </c>
      <c r="U2195">
        <v>-0.76104740000000004</v>
      </c>
      <c r="V2195">
        <v>-0.1378479</v>
      </c>
      <c r="W2195">
        <v>5.705387E-2</v>
      </c>
      <c r="X2195">
        <v>0.98880880000000004</v>
      </c>
      <c r="Y2195">
        <v>-0.27433610000000003</v>
      </c>
      <c r="Z2195">
        <v>-1.1425940000000001E-2</v>
      </c>
      <c r="AA2195">
        <v>0.96156600000000003</v>
      </c>
      <c r="AB2195">
        <v>40</v>
      </c>
      <c r="AC2195">
        <v>-17.7971</v>
      </c>
      <c r="AD2195">
        <v>-1.109255140186</v>
      </c>
      <c r="AE2195">
        <v>-4.6922000000000104</v>
      </c>
      <c r="AF2195">
        <v>-5.12660487197439</v>
      </c>
      <c r="AG2195">
        <v>-1.109255140186</v>
      </c>
      <c r="AH2195">
        <v>17.6074950273924</v>
      </c>
      <c r="AI2195">
        <v>93.461449389513803</v>
      </c>
      <c r="AJ2195">
        <v>106.23346700339199</v>
      </c>
      <c r="AK2195">
        <v>18.372163879604098</v>
      </c>
      <c r="AL2195">
        <v>86.729278009618099</v>
      </c>
      <c r="AM2195">
        <v>97.936343059988801</v>
      </c>
      <c r="AN2195">
        <v>1.00000001528691</v>
      </c>
    </row>
    <row r="2196" spans="1:40" x14ac:dyDescent="0.25">
      <c r="A2196" t="str">
        <f>"20190305135834236"</f>
        <v>20190305135834236</v>
      </c>
      <c r="B2196" t="str">
        <f>"1551765514230560"</f>
        <v>1551765514230560</v>
      </c>
      <c r="C2196" t="s">
        <v>40</v>
      </c>
      <c r="D2196">
        <v>3.9916559999999999</v>
      </c>
      <c r="E2196">
        <v>0.44412109999999999</v>
      </c>
      <c r="F2196" t="s">
        <v>58</v>
      </c>
      <c r="G2196">
        <v>-473.59679999999997</v>
      </c>
      <c r="H2196" s="1">
        <v>4.7075549999999999E-6</v>
      </c>
      <c r="I2196">
        <v>281.05270000000002</v>
      </c>
      <c r="J2196">
        <v>-455.75080000000003</v>
      </c>
      <c r="K2196">
        <v>1.109254</v>
      </c>
      <c r="L2196">
        <v>285.76330000000002</v>
      </c>
      <c r="M2196">
        <v>-0.99956389999999995</v>
      </c>
      <c r="N2196">
        <v>-1.4256069999999999E-2</v>
      </c>
      <c r="O2196">
        <v>2.5862699999999999E-2</v>
      </c>
      <c r="P2196">
        <v>-0.9925929</v>
      </c>
      <c r="Q2196">
        <v>4.3551800000000002E-2</v>
      </c>
      <c r="R2196">
        <v>-0.1134148</v>
      </c>
      <c r="S2196">
        <v>-2.9431759999999998</v>
      </c>
      <c r="T2196">
        <v>-0.17999019999999999</v>
      </c>
      <c r="U2196">
        <v>-0.76309199999999999</v>
      </c>
      <c r="V2196">
        <v>-0.13898849999999999</v>
      </c>
      <c r="W2196">
        <v>5.7800320000000002E-2</v>
      </c>
      <c r="X2196">
        <v>0.98860570000000003</v>
      </c>
      <c r="Y2196">
        <v>-0.27530179999999999</v>
      </c>
      <c r="Z2196">
        <v>-1.146379E-2</v>
      </c>
      <c r="AA2196">
        <v>0.96128950000000002</v>
      </c>
      <c r="AB2196">
        <v>40</v>
      </c>
      <c r="AC2196">
        <v>-17.845999999999901</v>
      </c>
      <c r="AD2196">
        <v>-1.1092492924449999</v>
      </c>
      <c r="AE2196">
        <v>-4.7106000000000003</v>
      </c>
      <c r="AF2196">
        <v>-5.1520085482790297</v>
      </c>
      <c r="AG2196">
        <v>-1.1092492924449999</v>
      </c>
      <c r="AH2196">
        <v>17.6544237137451</v>
      </c>
      <c r="AI2196">
        <v>93.451637126298706</v>
      </c>
      <c r="AJ2196">
        <v>106.26858393767</v>
      </c>
      <c r="AK2196">
        <v>18.424231401574801</v>
      </c>
      <c r="AL2196">
        <v>86.686438677682602</v>
      </c>
      <c r="AM2196">
        <v>98.002786516442399</v>
      </c>
      <c r="AN2196">
        <v>0.99999995509841999</v>
      </c>
    </row>
    <row r="2197" spans="1:40" x14ac:dyDescent="0.25">
      <c r="A2197" t="str">
        <f>"20190305135834259"</f>
        <v>20190305135834259</v>
      </c>
      <c r="B2197" t="str">
        <f>"1551765514251060"</f>
        <v>1551765514251060</v>
      </c>
      <c r="C2197" t="s">
        <v>40</v>
      </c>
      <c r="D2197">
        <v>3.991479</v>
      </c>
      <c r="E2197">
        <v>0.44406909999999999</v>
      </c>
      <c r="F2197" t="s">
        <v>58</v>
      </c>
      <c r="G2197">
        <v>-474.0428</v>
      </c>
      <c r="H2197" s="1">
        <v>4.5053809999999998E-6</v>
      </c>
      <c r="I2197">
        <v>281.00279999999998</v>
      </c>
      <c r="J2197">
        <v>-456.15089999999998</v>
      </c>
      <c r="K2197">
        <v>1.10924</v>
      </c>
      <c r="L2197">
        <v>285.774</v>
      </c>
      <c r="M2197">
        <v>-0.99955240000000001</v>
      </c>
      <c r="N2197">
        <v>-1.4253439999999999E-2</v>
      </c>
      <c r="O2197">
        <v>2.6303839999999998E-2</v>
      </c>
      <c r="P2197">
        <v>-0.99246800000000002</v>
      </c>
      <c r="Q2197">
        <v>4.3617740000000002E-2</v>
      </c>
      <c r="R2197">
        <v>-0.11447690000000001</v>
      </c>
      <c r="S2197">
        <v>-2.9427189999999999</v>
      </c>
      <c r="T2197">
        <v>-0.17844960000000001</v>
      </c>
      <c r="U2197">
        <v>-0.76583859999999904</v>
      </c>
      <c r="V2197">
        <v>-0.14048169999999999</v>
      </c>
      <c r="W2197">
        <v>5.7867429999999997E-2</v>
      </c>
      <c r="X2197">
        <v>0.98839069999999996</v>
      </c>
      <c r="Y2197">
        <v>-0.2766092</v>
      </c>
      <c r="Z2197">
        <v>-1.1448679999999999E-2</v>
      </c>
      <c r="AA2197">
        <v>0.9609143</v>
      </c>
      <c r="AB2197">
        <v>40</v>
      </c>
      <c r="AC2197">
        <v>-17.8919</v>
      </c>
      <c r="AD2197">
        <v>-1.109235494619</v>
      </c>
      <c r="AE2197">
        <v>-4.7712000000000199</v>
      </c>
      <c r="AF2197">
        <v>-5.2214855462725698</v>
      </c>
      <c r="AG2197">
        <v>-1.109235494619</v>
      </c>
      <c r="AH2197">
        <v>17.6966917639858</v>
      </c>
      <c r="AI2197">
        <v>93.440374689578306</v>
      </c>
      <c r="AJ2197">
        <v>106.438922894908</v>
      </c>
      <c r="AK2197">
        <v>18.484242318309398</v>
      </c>
      <c r="AL2197">
        <v>86.682587132891697</v>
      </c>
      <c r="AM2197">
        <v>98.089367521090907</v>
      </c>
      <c r="AN2197">
        <v>0.99999996166809102</v>
      </c>
    </row>
    <row r="2198" spans="1:40" x14ac:dyDescent="0.25">
      <c r="A2198" t="str">
        <f>"20190305135834281"</f>
        <v>20190305135834281</v>
      </c>
      <c r="B2198" t="str">
        <f>"1551765514270577"</f>
        <v>1551765514270577</v>
      </c>
      <c r="C2198" t="s">
        <v>40</v>
      </c>
      <c r="D2198">
        <v>4.0110989999999997</v>
      </c>
      <c r="E2198">
        <v>0.44402269999999999</v>
      </c>
      <c r="F2198" t="s">
        <v>58</v>
      </c>
      <c r="G2198">
        <v>-474.50900000000001</v>
      </c>
      <c r="H2198" s="1">
        <v>4.2956729999999997E-6</v>
      </c>
      <c r="I2198">
        <v>280.96870000000001</v>
      </c>
      <c r="J2198">
        <v>-456.54390000000001</v>
      </c>
      <c r="K2198">
        <v>1.1092420000000001</v>
      </c>
      <c r="L2198">
        <v>285.78480000000002</v>
      </c>
      <c r="M2198">
        <v>-0.99954100000000001</v>
      </c>
      <c r="N2198">
        <v>-1.4250870000000001E-2</v>
      </c>
      <c r="O2198">
        <v>2.673679E-2</v>
      </c>
      <c r="P2198">
        <v>-0.99243669999999995</v>
      </c>
      <c r="Q2198">
        <v>4.3294800000000001E-2</v>
      </c>
      <c r="R2198">
        <v>-0.1148705</v>
      </c>
      <c r="S2198">
        <v>-2.9418329999999999</v>
      </c>
      <c r="T2198">
        <v>-0.17775239999999901</v>
      </c>
      <c r="U2198">
        <v>-0.77005000000000001</v>
      </c>
      <c r="V2198">
        <v>-0.14130100000000001</v>
      </c>
      <c r="W2198">
        <v>5.7545150000000003E-2</v>
      </c>
      <c r="X2198">
        <v>0.98829279999999997</v>
      </c>
      <c r="Y2198">
        <v>-0.2783833</v>
      </c>
      <c r="Z2198">
        <v>-1.1496869999999999E-2</v>
      </c>
      <c r="AA2198">
        <v>0.96040119999999896</v>
      </c>
      <c r="AB2198">
        <v>40</v>
      </c>
      <c r="AC2198">
        <v>-17.9651</v>
      </c>
      <c r="AD2198">
        <v>-1.1092377043269901</v>
      </c>
      <c r="AE2198">
        <v>-4.8160999999999996</v>
      </c>
      <c r="AF2198">
        <v>-5.2759905961221598</v>
      </c>
      <c r="AG2198">
        <v>-1.1092377043269901</v>
      </c>
      <c r="AH2198">
        <v>17.7667051117126</v>
      </c>
      <c r="AI2198">
        <v>93.425084265105198</v>
      </c>
      <c r="AJ2198">
        <v>106.53928334043999</v>
      </c>
      <c r="AK2198">
        <v>18.566698564408899</v>
      </c>
      <c r="AL2198">
        <v>86.701083490485104</v>
      </c>
      <c r="AM2198">
        <v>98.136710642384699</v>
      </c>
      <c r="AN2198">
        <v>1.0000000377106799</v>
      </c>
    </row>
    <row r="2199" spans="1:40" x14ac:dyDescent="0.25">
      <c r="A2199" t="str">
        <f>"20190305135834303"</f>
        <v>20190305135834303</v>
      </c>
      <c r="B2199" t="str">
        <f>"1551765514291072"</f>
        <v>1551765514291072</v>
      </c>
      <c r="C2199" t="s">
        <v>40</v>
      </c>
      <c r="D2199">
        <v>4.0197310000000002</v>
      </c>
      <c r="E2199">
        <v>0.44381710000000002</v>
      </c>
      <c r="F2199" t="s">
        <v>58</v>
      </c>
      <c r="G2199">
        <v>-474.66669999999999</v>
      </c>
      <c r="H2199" s="1">
        <v>4.2311110000000001E-6</v>
      </c>
      <c r="I2199">
        <v>281.03050000000002</v>
      </c>
      <c r="J2199">
        <v>-456.94170000000003</v>
      </c>
      <c r="K2199">
        <v>1.109235</v>
      </c>
      <c r="L2199">
        <v>285.79579999999999</v>
      </c>
      <c r="M2199">
        <v>-0.99952929999999995</v>
      </c>
      <c r="N2199">
        <v>-1.4248139999999999E-2</v>
      </c>
      <c r="O2199">
        <v>2.7173260000000001E-2</v>
      </c>
      <c r="P2199">
        <v>-0.99231369999999997</v>
      </c>
      <c r="Q2199">
        <v>4.3311130000000003E-2</v>
      </c>
      <c r="R2199">
        <v>-0.11592139999999999</v>
      </c>
      <c r="S2199">
        <v>-2.941376</v>
      </c>
      <c r="T2199">
        <v>-0.18003189999999999</v>
      </c>
      <c r="U2199">
        <v>-0.77163700000000002</v>
      </c>
      <c r="V2199">
        <v>-0.1427795</v>
      </c>
      <c r="W2199">
        <v>5.7559909999999999E-2</v>
      </c>
      <c r="X2199">
        <v>0.98807940000000005</v>
      </c>
      <c r="Y2199">
        <v>-0.27930670000000002</v>
      </c>
      <c r="Z2199">
        <v>-1.167838E-2</v>
      </c>
      <c r="AA2199">
        <v>0.96013090000000001</v>
      </c>
      <c r="AB2199">
        <v>40</v>
      </c>
      <c r="AC2199">
        <v>-17.724999999999898</v>
      </c>
      <c r="AD2199">
        <v>-1.109230768889</v>
      </c>
      <c r="AE2199">
        <v>-4.7652999999999599</v>
      </c>
      <c r="AF2199">
        <v>-5.2261475378584796</v>
      </c>
      <c r="AG2199">
        <v>-1.109230768889</v>
      </c>
      <c r="AH2199">
        <v>17.524945679351401</v>
      </c>
      <c r="AI2199">
        <v>93.471011612157895</v>
      </c>
      <c r="AJ2199">
        <v>106.60520724682</v>
      </c>
      <c r="AK2199">
        <v>18.321209895919399</v>
      </c>
      <c r="AL2199">
        <v>86.700236324999594</v>
      </c>
      <c r="AM2199">
        <v>98.222442386329107</v>
      </c>
      <c r="AN2199">
        <v>1.0000000147818999</v>
      </c>
    </row>
    <row r="2200" spans="1:40" x14ac:dyDescent="0.25">
      <c r="A2200" t="str">
        <f>"20190305135834326"</f>
        <v>20190305135834326</v>
      </c>
      <c r="B2200" t="str">
        <f>"1551765514320861"</f>
        <v>1551765514320861</v>
      </c>
      <c r="C2200" t="s">
        <v>40</v>
      </c>
      <c r="D2200">
        <v>4.0216960000000004</v>
      </c>
      <c r="E2200">
        <v>0.4435963</v>
      </c>
      <c r="F2200" t="s">
        <v>58</v>
      </c>
      <c r="G2200">
        <v>-474.8365</v>
      </c>
      <c r="H2200" s="1">
        <v>4.1596529999999999E-6</v>
      </c>
      <c r="I2200">
        <v>281.07440000000003</v>
      </c>
      <c r="J2200">
        <v>-457.36099999999999</v>
      </c>
      <c r="K2200">
        <v>1.1092390000000001</v>
      </c>
      <c r="L2200">
        <v>285.80759999999998</v>
      </c>
      <c r="M2200">
        <v>-0.99951710000000005</v>
      </c>
      <c r="N2200">
        <v>-1.42454E-2</v>
      </c>
      <c r="O2200">
        <v>2.7618279999999999E-2</v>
      </c>
      <c r="P2200">
        <v>-0.99216230000000005</v>
      </c>
      <c r="Q2200">
        <v>4.3273909999999999E-2</v>
      </c>
      <c r="R2200">
        <v>-0.1172232</v>
      </c>
      <c r="S2200">
        <v>-2.940582</v>
      </c>
      <c r="T2200">
        <v>-0.1822752</v>
      </c>
      <c r="U2200">
        <v>-0.77584839999999999</v>
      </c>
      <c r="V2200">
        <v>-0.14451729999999999</v>
      </c>
      <c r="W2200">
        <v>5.7517550000000001E-2</v>
      </c>
      <c r="X2200">
        <v>0.98782910000000002</v>
      </c>
      <c r="Y2200">
        <v>-0.28106419999999999</v>
      </c>
      <c r="Z2200">
        <v>-1.189136E-2</v>
      </c>
      <c r="AA2200">
        <v>0.95961529999999995</v>
      </c>
      <c r="AB2200">
        <v>40</v>
      </c>
      <c r="AC2200">
        <v>-17.4755</v>
      </c>
      <c r="AD2200">
        <v>-1.10923484034699</v>
      </c>
      <c r="AE2200">
        <v>-4.7331999999999503</v>
      </c>
      <c r="AF2200">
        <v>-5.1945881372023397</v>
      </c>
      <c r="AG2200">
        <v>-1.10923484034699</v>
      </c>
      <c r="AH2200">
        <v>17.273260226298</v>
      </c>
      <c r="AI2200">
        <v>93.519043577203803</v>
      </c>
      <c r="AJ2200">
        <v>106.737610715663</v>
      </c>
      <c r="AK2200">
        <v>18.071515340214599</v>
      </c>
      <c r="AL2200">
        <v>86.702667104392205</v>
      </c>
      <c r="AM2200">
        <v>98.323205348735797</v>
      </c>
      <c r="AN2200">
        <v>0.99999992468204801</v>
      </c>
    </row>
    <row r="2201" spans="1:40" x14ac:dyDescent="0.25">
      <c r="A2201" t="str">
        <f>"20190305135834349"</f>
        <v>20190305135834349</v>
      </c>
      <c r="B2201" t="str">
        <f>"1551765514341354"</f>
        <v>1551765514341354</v>
      </c>
      <c r="C2201" t="s">
        <v>40</v>
      </c>
      <c r="D2201">
        <v>4.011997</v>
      </c>
      <c r="E2201">
        <v>0.44334800000000002</v>
      </c>
      <c r="F2201" t="s">
        <v>58</v>
      </c>
      <c r="G2201">
        <v>-475.04680000000002</v>
      </c>
      <c r="H2201" s="1">
        <v>4.0691900000000001E-6</v>
      </c>
      <c r="I2201">
        <v>281.10570000000001</v>
      </c>
      <c r="J2201">
        <v>-457.75790000000001</v>
      </c>
      <c r="K2201">
        <v>1.1092610000000001</v>
      </c>
      <c r="L2201">
        <v>285.81900000000002</v>
      </c>
      <c r="M2201">
        <v>-0.99950640000000002</v>
      </c>
      <c r="N2201">
        <v>-1.4242919999999999E-2</v>
      </c>
      <c r="O2201">
        <v>2.8005990000000001E-2</v>
      </c>
      <c r="P2201">
        <v>-0.99203660000000005</v>
      </c>
      <c r="Q2201">
        <v>4.3692000000000002E-2</v>
      </c>
      <c r="R2201">
        <v>-0.11812930000000001</v>
      </c>
      <c r="S2201">
        <v>-2.9394230000000001</v>
      </c>
      <c r="T2201">
        <v>-0.1843581</v>
      </c>
      <c r="U2201">
        <v>-0.78146359999999904</v>
      </c>
      <c r="V2201">
        <v>-0.1458043</v>
      </c>
      <c r="W2201">
        <v>5.7925989999999997E-2</v>
      </c>
      <c r="X2201">
        <v>0.98761620000000006</v>
      </c>
      <c r="Y2201">
        <v>-0.28322259999999999</v>
      </c>
      <c r="Z2201">
        <v>-1.2110610000000001E-2</v>
      </c>
      <c r="AA2201">
        <v>0.95897779999999999</v>
      </c>
      <c r="AB2201">
        <v>40</v>
      </c>
      <c r="AC2201">
        <v>-17.288900000000002</v>
      </c>
      <c r="AD2201">
        <v>-1.10925693081</v>
      </c>
      <c r="AE2201">
        <v>-4.7133000000000003</v>
      </c>
      <c r="AF2201">
        <v>-5.1758601658676398</v>
      </c>
      <c r="AG2201">
        <v>-1.10925693081</v>
      </c>
      <c r="AH2201">
        <v>17.084639361909801</v>
      </c>
      <c r="AI2201">
        <v>93.555683921474397</v>
      </c>
      <c r="AJ2201">
        <v>106.854395553689</v>
      </c>
      <c r="AK2201">
        <v>17.885884980108901</v>
      </c>
      <c r="AL2201">
        <v>86.679226502614696</v>
      </c>
      <c r="AM2201">
        <v>98.398059827736304</v>
      </c>
      <c r="AN2201">
        <v>1.0000000363592001</v>
      </c>
    </row>
    <row r="2202" spans="1:40" x14ac:dyDescent="0.25">
      <c r="A2202" t="str">
        <f>"20190305135834370"</f>
        <v>20190305135834370</v>
      </c>
      <c r="B2202" t="str">
        <f>"1551765514360873"</f>
        <v>1551765514360873</v>
      </c>
      <c r="C2202" t="s">
        <v>40</v>
      </c>
      <c r="D2202">
        <v>4.0259499999999999</v>
      </c>
      <c r="E2202">
        <v>0.44312430000000003</v>
      </c>
      <c r="F2202" t="s">
        <v>58</v>
      </c>
      <c r="G2202">
        <v>-475.39010000000002</v>
      </c>
      <c r="H2202" s="1">
        <v>3.9166470000000001E-6</v>
      </c>
      <c r="I2202">
        <v>281.10239999999999</v>
      </c>
      <c r="J2202">
        <v>-458.15019999999998</v>
      </c>
      <c r="K2202">
        <v>1.1092979999999999</v>
      </c>
      <c r="L2202">
        <v>285.83030000000002</v>
      </c>
      <c r="M2202">
        <v>-0.99949710000000003</v>
      </c>
      <c r="N2202">
        <v>-1.4240330000000001E-2</v>
      </c>
      <c r="O2202">
        <v>2.833432E-2</v>
      </c>
      <c r="P2202">
        <v>-0.99187979999999998</v>
      </c>
      <c r="Q2202">
        <v>4.3764709999999998E-2</v>
      </c>
      <c r="R2202">
        <v>-0.11941010000000001</v>
      </c>
      <c r="S2202">
        <v>-2.9386290000000002</v>
      </c>
      <c r="T2202">
        <v>-0.18487219999999999</v>
      </c>
      <c r="U2202">
        <v>-0.78607179999999999</v>
      </c>
      <c r="V2202">
        <v>-0.1474105</v>
      </c>
      <c r="W2202">
        <v>5.7981680000000001E-2</v>
      </c>
      <c r="X2202">
        <v>0.98737439999999999</v>
      </c>
      <c r="Y2202">
        <v>-0.28499740000000001</v>
      </c>
      <c r="Z2202">
        <v>-1.2223970000000001E-2</v>
      </c>
      <c r="AA2202">
        <v>0.95845040000000004</v>
      </c>
      <c r="AB2202">
        <v>40</v>
      </c>
      <c r="AC2202">
        <v>-17.239899999999999</v>
      </c>
      <c r="AD2202">
        <v>-1.1092940833529901</v>
      </c>
      <c r="AE2202">
        <v>-4.7279000000000302</v>
      </c>
      <c r="AF2202">
        <v>-5.1945295524218098</v>
      </c>
      <c r="AG2202">
        <v>-1.1092940833529901</v>
      </c>
      <c r="AH2202">
        <v>17.0334121290181</v>
      </c>
      <c r="AI2202">
        <v>93.564482907353806</v>
      </c>
      <c r="AJ2202">
        <v>106.95967121845599</v>
      </c>
      <c r="AK2202">
        <v>17.842387715530801</v>
      </c>
      <c r="AL2202">
        <v>86.676030102200201</v>
      </c>
      <c r="AM2202">
        <v>98.4912817769344</v>
      </c>
      <c r="AN2202">
        <v>0.99999996825061499</v>
      </c>
    </row>
    <row r="2203" spans="1:40" x14ac:dyDescent="0.25">
      <c r="A2203" t="str">
        <f>"20190305135834393"</f>
        <v>20190305135834393</v>
      </c>
      <c r="B2203" t="str">
        <f>"1551765514381370"</f>
        <v>1551765514381370</v>
      </c>
      <c r="C2203" t="s">
        <v>40</v>
      </c>
      <c r="D2203">
        <v>4.0241059999999997</v>
      </c>
      <c r="E2203">
        <v>0.44286449999999999</v>
      </c>
      <c r="F2203" t="s">
        <v>58</v>
      </c>
      <c r="G2203">
        <v>-475.65350000000001</v>
      </c>
      <c r="H2203" s="1">
        <v>3.8008160000000001E-6</v>
      </c>
      <c r="I2203">
        <v>281.11399999999998</v>
      </c>
      <c r="J2203">
        <v>-458.54</v>
      </c>
      <c r="K2203">
        <v>1.1093550000000001</v>
      </c>
      <c r="L2203">
        <v>285.84160000000003</v>
      </c>
      <c r="M2203">
        <v>-0.99948999999999999</v>
      </c>
      <c r="N2203">
        <v>-1.423774E-2</v>
      </c>
      <c r="O2203">
        <v>2.8586830000000001E-2</v>
      </c>
      <c r="P2203">
        <v>-0.99173460000000002</v>
      </c>
      <c r="Q2203">
        <v>4.4104160000000003E-2</v>
      </c>
      <c r="R2203">
        <v>-0.1204896</v>
      </c>
      <c r="S2203">
        <v>-2.9374690000000001</v>
      </c>
      <c r="T2203">
        <v>-0.18616559999999999</v>
      </c>
      <c r="U2203">
        <v>-0.79150390000000004</v>
      </c>
      <c r="V2203">
        <v>-0.14874189999999901</v>
      </c>
      <c r="W2203">
        <v>5.8297769999999999E-2</v>
      </c>
      <c r="X2203">
        <v>0.98715620000000004</v>
      </c>
      <c r="Y2203">
        <v>-0.28697270000000002</v>
      </c>
      <c r="Z2203">
        <v>-1.2387520000000001E-2</v>
      </c>
      <c r="AA2203">
        <v>0.95785869999999995</v>
      </c>
      <c r="AB2203">
        <v>40</v>
      </c>
      <c r="AC2203">
        <v>-17.113499999999899</v>
      </c>
      <c r="AD2203">
        <v>-1.1093511991839999</v>
      </c>
      <c r="AE2203">
        <v>-4.72759999999999</v>
      </c>
      <c r="AF2203">
        <v>-5.1946572776366304</v>
      </c>
      <c r="AG2203">
        <v>-1.1093511991839999</v>
      </c>
      <c r="AH2203">
        <v>16.905343499119301</v>
      </c>
      <c r="AI2203">
        <v>93.589276965076493</v>
      </c>
      <c r="AJ2203">
        <v>107.081094458482</v>
      </c>
      <c r="AK2203">
        <v>17.7202077622823</v>
      </c>
      <c r="AL2203">
        <v>86.657889142250596</v>
      </c>
      <c r="AM2203">
        <v>98.568706905434894</v>
      </c>
      <c r="AN2203">
        <v>1.0000000730005001</v>
      </c>
    </row>
    <row r="2204" spans="1:40" x14ac:dyDescent="0.25">
      <c r="A2204" t="str">
        <f>"20190305135834415"</f>
        <v>20190305135834415</v>
      </c>
      <c r="B2204" t="str">
        <f>"1551765514410653"</f>
        <v>1551765514410653</v>
      </c>
      <c r="C2204" t="s">
        <v>40</v>
      </c>
      <c r="D2204">
        <v>4.0050179999999997</v>
      </c>
      <c r="E2204">
        <v>0.44251439999999997</v>
      </c>
      <c r="F2204" t="s">
        <v>58</v>
      </c>
      <c r="G2204">
        <v>-475.94490000000002</v>
      </c>
      <c r="H2204" s="1">
        <v>3.6722670000000001E-6</v>
      </c>
      <c r="I2204">
        <v>281.1216</v>
      </c>
      <c r="J2204">
        <v>-458.93790000000001</v>
      </c>
      <c r="K2204">
        <v>1.109421</v>
      </c>
      <c r="L2204">
        <v>285.85309999999998</v>
      </c>
      <c r="M2204">
        <v>-0.99948510000000002</v>
      </c>
      <c r="N2204">
        <v>-1.423491E-2</v>
      </c>
      <c r="O2204">
        <v>2.875753E-2</v>
      </c>
      <c r="P2204">
        <v>-0.99162600000000001</v>
      </c>
      <c r="Q2204">
        <v>4.494476E-2</v>
      </c>
      <c r="R2204">
        <v>-0.1210725</v>
      </c>
      <c r="S2204">
        <v>-2.9365540000000001</v>
      </c>
      <c r="T2204">
        <v>-0.1871698</v>
      </c>
      <c r="U2204">
        <v>-0.79635619999999996</v>
      </c>
      <c r="V2204">
        <v>-0.14949970000000001</v>
      </c>
      <c r="W2204">
        <v>5.9107939999999998E-2</v>
      </c>
      <c r="X2204">
        <v>0.98699349999999997</v>
      </c>
      <c r="Y2204">
        <v>-0.288674599999999</v>
      </c>
      <c r="Z2204">
        <v>-1.252024E-2</v>
      </c>
      <c r="AA2204">
        <v>0.95734540000000001</v>
      </c>
      <c r="AB2204">
        <v>40</v>
      </c>
      <c r="AC2204">
        <v>-17.007000000000001</v>
      </c>
      <c r="AD2204">
        <v>-1.1094173277329999</v>
      </c>
      <c r="AE2204">
        <v>-4.7314999999999801</v>
      </c>
      <c r="AF2204">
        <v>-5.1981408037123602</v>
      </c>
      <c r="AG2204">
        <v>-1.1094173277329999</v>
      </c>
      <c r="AH2204">
        <v>16.797540508212698</v>
      </c>
      <c r="AI2204">
        <v>93.610255666364694</v>
      </c>
      <c r="AJ2204">
        <v>107.19512359542701</v>
      </c>
      <c r="AK2204">
        <v>17.6184233615651</v>
      </c>
      <c r="AL2204">
        <v>86.611389518799598</v>
      </c>
      <c r="AM2204">
        <v>98.613107573591293</v>
      </c>
      <c r="AN2204">
        <v>1.0000000389566901</v>
      </c>
    </row>
    <row r="2205" spans="1:40" x14ac:dyDescent="0.25">
      <c r="A2205" t="str">
        <f>"20190305135834437"</f>
        <v>20190305135834437</v>
      </c>
      <c r="B2205" t="str">
        <f>"1551765514431146"</f>
        <v>1551765514431146</v>
      </c>
      <c r="C2205" t="s">
        <v>40</v>
      </c>
      <c r="D2205">
        <v>3.9881329999999999</v>
      </c>
      <c r="E2205">
        <v>0.44226490000000002</v>
      </c>
      <c r="F2205" t="s">
        <v>58</v>
      </c>
      <c r="G2205">
        <v>-476.37540000000001</v>
      </c>
      <c r="H2205" s="1">
        <v>3.4792550000000001E-6</v>
      </c>
      <c r="I2205">
        <v>281.09750000000003</v>
      </c>
      <c r="J2205">
        <v>-459.3417</v>
      </c>
      <c r="K2205">
        <v>1.10951</v>
      </c>
      <c r="L2205">
        <v>285.8648</v>
      </c>
      <c r="M2205">
        <v>-0.99948360000000003</v>
      </c>
      <c r="N2205">
        <v>-1.423232E-2</v>
      </c>
      <c r="O2205">
        <v>2.8810820000000001E-2</v>
      </c>
      <c r="P2205">
        <v>-0.99150329999999998</v>
      </c>
      <c r="Q2205">
        <v>4.6472960000000001E-2</v>
      </c>
      <c r="R2205">
        <v>-0.1214978</v>
      </c>
      <c r="S2205">
        <v>-2.9360050000000002</v>
      </c>
      <c r="T2205">
        <v>-0.18679560000000001</v>
      </c>
      <c r="U2205">
        <v>-0.80072019999999899</v>
      </c>
      <c r="V2205">
        <v>-0.14998649999999999</v>
      </c>
      <c r="W2205">
        <v>6.0598720000000002E-2</v>
      </c>
      <c r="X2205">
        <v>0.98682919999999996</v>
      </c>
      <c r="Y2205">
        <v>-0.29009469999999998</v>
      </c>
      <c r="Z2205">
        <v>-1.25559E-2</v>
      </c>
      <c r="AA2205">
        <v>0.95691559999999998</v>
      </c>
      <c r="AB2205">
        <v>40</v>
      </c>
      <c r="AC2205">
        <v>-17.0337</v>
      </c>
      <c r="AD2205">
        <v>-1.1095065207449999</v>
      </c>
      <c r="AE2205">
        <v>-4.7672999999999703</v>
      </c>
      <c r="AF2205">
        <v>-5.2355259574412303</v>
      </c>
      <c r="AG2205">
        <v>-1.1095065207449999</v>
      </c>
      <c r="AH2205">
        <v>16.8230733761986</v>
      </c>
      <c r="AI2205">
        <v>93.603296431785594</v>
      </c>
      <c r="AJ2205">
        <v>107.286717826795</v>
      </c>
      <c r="AK2205">
        <v>17.6538249280879</v>
      </c>
      <c r="AL2205">
        <v>86.525820610656297</v>
      </c>
      <c r="AM2205">
        <v>98.642147782217407</v>
      </c>
      <c r="AN2205">
        <v>1.0000000125102599</v>
      </c>
    </row>
    <row r="2206" spans="1:40" x14ac:dyDescent="0.25">
      <c r="A2206" t="str">
        <f>"20190305135834460"</f>
        <v>20190305135834460</v>
      </c>
      <c r="B2206" t="str">
        <f>"1551765514450666"</f>
        <v>1551765514450666</v>
      </c>
      <c r="C2206" t="s">
        <v>40</v>
      </c>
      <c r="D2206">
        <v>3.9972539999999999</v>
      </c>
      <c r="E2206">
        <v>0.44200970000000001</v>
      </c>
      <c r="F2206" t="s">
        <v>58</v>
      </c>
      <c r="G2206">
        <v>-477.08319999999998</v>
      </c>
      <c r="H2206" s="1">
        <v>3.157262E-6</v>
      </c>
      <c r="I2206">
        <v>281.00479999999999</v>
      </c>
      <c r="J2206">
        <v>-459.73390000000001</v>
      </c>
      <c r="K2206">
        <v>1.1096280000000001</v>
      </c>
      <c r="L2206">
        <v>285.87610000000001</v>
      </c>
      <c r="M2206">
        <v>-0.99948720000000002</v>
      </c>
      <c r="N2206">
        <v>-1.42303E-2</v>
      </c>
      <c r="O2206">
        <v>2.8689760000000002E-2</v>
      </c>
      <c r="P2206">
        <v>-0.99148340000000001</v>
      </c>
      <c r="Q2206">
        <v>4.6475639999999999E-2</v>
      </c>
      <c r="R2206">
        <v>-0.1216594</v>
      </c>
      <c r="S2206">
        <v>-2.9356990000000001</v>
      </c>
      <c r="T2206">
        <v>-0.183591</v>
      </c>
      <c r="U2206">
        <v>-0.804199199999999</v>
      </c>
      <c r="V2206">
        <v>-0.1500447</v>
      </c>
      <c r="W2206">
        <v>6.0556359999999997E-2</v>
      </c>
      <c r="X2206">
        <v>0.98682300000000001</v>
      </c>
      <c r="Y2206">
        <v>-0.29107939999999999</v>
      </c>
      <c r="Z2206">
        <v>-1.240113E-2</v>
      </c>
      <c r="AA2206">
        <v>0.95661850000000004</v>
      </c>
      <c r="AB2206">
        <v>40</v>
      </c>
      <c r="AC2206">
        <v>-17.3492999999999</v>
      </c>
      <c r="AD2206">
        <v>-1.109624842738</v>
      </c>
      <c r="AE2206">
        <v>-4.8713000000000104</v>
      </c>
      <c r="AF2206">
        <v>-5.3468185019506302</v>
      </c>
      <c r="AG2206">
        <v>-1.109624842738</v>
      </c>
      <c r="AH2206">
        <v>17.137406652847101</v>
      </c>
      <c r="AI2206">
        <v>93.536963041733998</v>
      </c>
      <c r="AJ2206">
        <v>107.32776220818199</v>
      </c>
      <c r="AK2206">
        <v>17.986396030596801</v>
      </c>
      <c r="AL2206">
        <v>86.528252287045305</v>
      </c>
      <c r="AM2206">
        <v>98.645504073463798</v>
      </c>
      <c r="AN2206">
        <v>1.0000000590317599</v>
      </c>
    </row>
    <row r="2207" spans="1:40" x14ac:dyDescent="0.25">
      <c r="A2207" t="str">
        <f>"20190305135834482"</f>
        <v>20190305135834482</v>
      </c>
      <c r="B2207" t="str">
        <f>"1551765514471162"</f>
        <v>1551765514471162</v>
      </c>
      <c r="C2207" t="s">
        <v>40</v>
      </c>
      <c r="D2207">
        <v>4.0125489999999999</v>
      </c>
      <c r="E2207">
        <v>0.44186619999999999</v>
      </c>
      <c r="F2207" t="s">
        <v>58</v>
      </c>
      <c r="G2207">
        <v>-477.32769999999999</v>
      </c>
      <c r="H2207" s="1">
        <v>3.0521340000000001E-6</v>
      </c>
      <c r="I2207">
        <v>281.0421</v>
      </c>
      <c r="J2207">
        <v>-460.13249999999999</v>
      </c>
      <c r="K2207">
        <v>1.1097699999999999</v>
      </c>
      <c r="L2207">
        <v>285.88729999999998</v>
      </c>
      <c r="M2207">
        <v>-0.99949650000000001</v>
      </c>
      <c r="N2207">
        <v>-1.4236209999999999E-2</v>
      </c>
      <c r="O2207">
        <v>2.8359209999999999E-2</v>
      </c>
      <c r="P2207">
        <v>-0.99134860000000002</v>
      </c>
      <c r="Q2207">
        <v>4.5622740000000002E-2</v>
      </c>
      <c r="R2207">
        <v>-0.12307170000000001</v>
      </c>
      <c r="S2207">
        <v>-2.9355159999999998</v>
      </c>
      <c r="T2207">
        <v>-0.18514069999999999</v>
      </c>
      <c r="U2207">
        <v>-0.80654910000000002</v>
      </c>
      <c r="V2207">
        <v>-0.1511489</v>
      </c>
      <c r="W2207">
        <v>5.9650109999999999E-2</v>
      </c>
      <c r="X2207">
        <v>0.98670970000000002</v>
      </c>
      <c r="Y2207">
        <v>-0.29147909999999999</v>
      </c>
      <c r="Z2207">
        <v>-1.249114E-2</v>
      </c>
      <c r="AA2207">
        <v>0.9564956</v>
      </c>
      <c r="AB2207">
        <v>40</v>
      </c>
      <c r="AC2207">
        <v>-17.1952</v>
      </c>
      <c r="AD2207">
        <v>-1.1097669478659999</v>
      </c>
      <c r="AE2207">
        <v>-4.84519999999997</v>
      </c>
      <c r="AF2207">
        <v>-5.3104498347910898</v>
      </c>
      <c r="AG2207">
        <v>-1.1097669478659999</v>
      </c>
      <c r="AH2207">
        <v>16.985317426016699</v>
      </c>
      <c r="AI2207">
        <v>93.568347018008097</v>
      </c>
      <c r="AJ2207">
        <v>107.361824366129</v>
      </c>
      <c r="AK2207">
        <v>17.830688943194399</v>
      </c>
      <c r="AL2207">
        <v>86.580270694254494</v>
      </c>
      <c r="AM2207">
        <v>98.709140346093605</v>
      </c>
      <c r="AN2207">
        <v>1.0000000788341501</v>
      </c>
    </row>
    <row r="2208" spans="1:40" x14ac:dyDescent="0.25">
      <c r="A2208" t="str">
        <f>"20190305135834504"</f>
        <v>20190305135834504</v>
      </c>
      <c r="B2208" t="str">
        <f>"1551765514501418"</f>
        <v>1551765514501418</v>
      </c>
      <c r="C2208" t="s">
        <v>40</v>
      </c>
      <c r="D2208">
        <v>4.0127839999999999</v>
      </c>
      <c r="E2208">
        <v>0.43548540000000002</v>
      </c>
      <c r="F2208" t="s">
        <v>58</v>
      </c>
      <c r="G2208">
        <v>-477.33530000000002</v>
      </c>
      <c r="H2208" s="1">
        <v>3.05635E-6</v>
      </c>
      <c r="I2208">
        <v>281.12900000000002</v>
      </c>
      <c r="J2208">
        <v>-460.52429999999998</v>
      </c>
      <c r="K2208">
        <v>1.1099330000000001</v>
      </c>
      <c r="L2208">
        <v>285.89789999999999</v>
      </c>
      <c r="M2208">
        <v>-0.9995098</v>
      </c>
      <c r="N2208">
        <v>-1.428696E-2</v>
      </c>
      <c r="O2208">
        <v>2.7858580000000001E-2</v>
      </c>
      <c r="P2208">
        <v>-0.99115209999999998</v>
      </c>
      <c r="Q2208">
        <v>4.4262599999999999E-2</v>
      </c>
      <c r="R2208">
        <v>-0.125134</v>
      </c>
      <c r="S2208">
        <v>-2.9341430000000002</v>
      </c>
      <c r="T2208">
        <v>-0.18928439999999999</v>
      </c>
      <c r="U2208">
        <v>-0.81158450000000004</v>
      </c>
      <c r="V2208">
        <v>-0.15273399999999901</v>
      </c>
      <c r="W2208">
        <v>5.8275399999999998E-2</v>
      </c>
      <c r="X2208">
        <v>0.98654759999999997</v>
      </c>
      <c r="Y2208">
        <v>-0.29260789999999998</v>
      </c>
      <c r="Z2208">
        <v>-1.276031E-2</v>
      </c>
      <c r="AA2208">
        <v>0.95614739999999998</v>
      </c>
      <c r="AB2208">
        <v>40</v>
      </c>
      <c r="AC2208">
        <v>-16.811</v>
      </c>
      <c r="AD2208">
        <v>-1.1099299436499901</v>
      </c>
      <c r="AE2208">
        <v>-4.7688999999999702</v>
      </c>
      <c r="AF2208">
        <v>-5.2143895921209298</v>
      </c>
      <c r="AG2208">
        <v>-1.1099299436499901</v>
      </c>
      <c r="AH2208">
        <v>16.604614162332801</v>
      </c>
      <c r="AI2208">
        <v>93.649039975634295</v>
      </c>
      <c r="AJ2208">
        <v>107.433987017937</v>
      </c>
      <c r="AK2208">
        <v>17.439467158665501</v>
      </c>
      <c r="AL2208">
        <v>86.659172560013999</v>
      </c>
      <c r="AM2208">
        <v>98.800474297935097</v>
      </c>
      <c r="AN2208">
        <v>0.99999993203345705</v>
      </c>
    </row>
    <row r="2209" spans="1:40" x14ac:dyDescent="0.25">
      <c r="A2209" t="str">
        <f>"20190305135834526"</f>
        <v>20190305135834526</v>
      </c>
      <c r="B2209" t="str">
        <f>"1551765514520941"</f>
        <v>1551765514520941</v>
      </c>
      <c r="C2209" t="s">
        <v>40</v>
      </c>
      <c r="D2209">
        <v>4.0148339999999996</v>
      </c>
      <c r="E2209">
        <v>0.43566769999999999</v>
      </c>
      <c r="F2209" t="s">
        <v>58</v>
      </c>
      <c r="G2209">
        <v>-475.05889999999999</v>
      </c>
      <c r="H2209" s="1">
        <v>4.1070209999999998E-6</v>
      </c>
      <c r="I2209">
        <v>281.6003</v>
      </c>
      <c r="J2209">
        <v>-460.92959999999999</v>
      </c>
      <c r="K2209">
        <v>1.1101399999999999</v>
      </c>
      <c r="L2209">
        <v>285.90859999999998</v>
      </c>
      <c r="M2209">
        <v>-0.99952799999999997</v>
      </c>
      <c r="N2209">
        <v>-1.4413499999999999E-2</v>
      </c>
      <c r="O2209">
        <v>2.713629E-2</v>
      </c>
      <c r="P2209">
        <v>-0.99094550000000003</v>
      </c>
      <c r="Q2209">
        <v>4.3268199999999903E-2</v>
      </c>
      <c r="R2209">
        <v>-0.12710339999999901</v>
      </c>
      <c r="S2209">
        <v>-2.9274900000000001</v>
      </c>
      <c r="T2209">
        <v>-0.223556</v>
      </c>
      <c r="U2209">
        <v>-0.86560059999999905</v>
      </c>
      <c r="V2209">
        <v>-0.15400910000000001</v>
      </c>
      <c r="W2209">
        <v>5.7331890000000003E-2</v>
      </c>
      <c r="X2209">
        <v>0.98640470000000002</v>
      </c>
      <c r="Y2209">
        <v>-0.30842330000000001</v>
      </c>
      <c r="Z2209">
        <v>-1.543251E-2</v>
      </c>
      <c r="AA2209">
        <v>0.95112399999999997</v>
      </c>
      <c r="AB2209">
        <v>40</v>
      </c>
      <c r="AC2209">
        <v>-14.129300000000001</v>
      </c>
      <c r="AD2209">
        <v>-1.1101358929789999</v>
      </c>
      <c r="AE2209">
        <v>-4.3082999999999698</v>
      </c>
      <c r="AF2209">
        <v>-4.6638280114147204</v>
      </c>
      <c r="AG2209">
        <v>-1.1101358929789999</v>
      </c>
      <c r="AH2209">
        <v>13.928503085099701</v>
      </c>
      <c r="AI2209">
        <v>94.322091836898906</v>
      </c>
      <c r="AJ2209">
        <v>108.512636483858</v>
      </c>
      <c r="AK2209">
        <v>14.730474928275999</v>
      </c>
      <c r="AL2209">
        <v>86.713322438320006</v>
      </c>
      <c r="AM2209">
        <v>98.874045726551103</v>
      </c>
      <c r="AN2209">
        <v>0.99999999033793596</v>
      </c>
    </row>
    <row r="2210" spans="1:40" x14ac:dyDescent="0.25">
      <c r="A2210" t="str">
        <f>"20190305135834550"</f>
        <v>20190305135834550</v>
      </c>
      <c r="B2210" t="str">
        <f>"1551765514541434"</f>
        <v>1551765514541434</v>
      </c>
      <c r="C2210" t="s">
        <v>40</v>
      </c>
      <c r="D2210">
        <v>4.0068599999999996</v>
      </c>
      <c r="E2210">
        <v>0.43539339999999999</v>
      </c>
      <c r="F2210" t="s">
        <v>58</v>
      </c>
      <c r="G2210">
        <v>-475.33049999999997</v>
      </c>
      <c r="H2210" s="1">
        <v>3.9888989999999998E-6</v>
      </c>
      <c r="I2210">
        <v>281.6268</v>
      </c>
      <c r="J2210">
        <v>-461.32780000000002</v>
      </c>
      <c r="K2210">
        <v>1.11039</v>
      </c>
      <c r="L2210">
        <v>285.91860000000003</v>
      </c>
      <c r="M2210">
        <v>-0.99954860000000001</v>
      </c>
      <c r="N2210">
        <v>-1.4696000000000001E-2</v>
      </c>
      <c r="O2210">
        <v>2.620888E-2</v>
      </c>
      <c r="P2210">
        <v>-0.99068420000000001</v>
      </c>
      <c r="Q2210">
        <v>4.2617429999999998E-2</v>
      </c>
      <c r="R2210">
        <v>-0.12934109999999999</v>
      </c>
      <c r="S2210">
        <v>-2.9256899999999999</v>
      </c>
      <c r="T2210">
        <v>-0.22553529999999999</v>
      </c>
      <c r="U2210">
        <v>-0.8699036</v>
      </c>
      <c r="V2210">
        <v>-0.15535070000000001</v>
      </c>
      <c r="W2210">
        <v>5.688153E-2</v>
      </c>
      <c r="X2210">
        <v>0.9862204</v>
      </c>
      <c r="Y2210">
        <v>-0.30896509999999999</v>
      </c>
      <c r="Z2210">
        <v>-1.5562869999999999E-2</v>
      </c>
      <c r="AA2210">
        <v>0.95094599999999996</v>
      </c>
      <c r="AB2210">
        <v>40</v>
      </c>
      <c r="AC2210">
        <v>-14.0026999999999</v>
      </c>
      <c r="AD2210">
        <v>-1.110386011101</v>
      </c>
      <c r="AE2210">
        <v>-4.2918000000000198</v>
      </c>
      <c r="AF2210">
        <v>-4.6307417232932604</v>
      </c>
      <c r="AG2210">
        <v>-1.110386011101</v>
      </c>
      <c r="AH2210">
        <v>13.806033877474</v>
      </c>
      <c r="AI2210">
        <v>94.360512261738904</v>
      </c>
      <c r="AJ2210">
        <v>108.542191288936</v>
      </c>
      <c r="AK2210">
        <v>14.6042219042118</v>
      </c>
      <c r="AL2210">
        <v>86.739168418183397</v>
      </c>
      <c r="AM2210">
        <v>98.9517484065438</v>
      </c>
      <c r="AN2210">
        <v>1.0000000129108899</v>
      </c>
    </row>
    <row r="2211" spans="1:40" x14ac:dyDescent="0.25">
      <c r="A2211" t="str">
        <f>"20190305135834571"</f>
        <v>20190305135834571</v>
      </c>
      <c r="B2211" t="str">
        <f>"1551765514560953"</f>
        <v>1551765514560953</v>
      </c>
      <c r="C2211" t="s">
        <v>40</v>
      </c>
      <c r="D2211">
        <v>4.0165179999999996</v>
      </c>
      <c r="E2211">
        <v>0.43496839999999998</v>
      </c>
      <c r="F2211" t="s">
        <v>58</v>
      </c>
      <c r="G2211">
        <v>-475.6447</v>
      </c>
      <c r="H2211" s="1">
        <v>3.8486190000000002E-6</v>
      </c>
      <c r="I2211">
        <v>281.61610000000002</v>
      </c>
      <c r="J2211">
        <v>-461.71620000000001</v>
      </c>
      <c r="K2211">
        <v>1.110681</v>
      </c>
      <c r="L2211">
        <v>285.92779999999999</v>
      </c>
      <c r="M2211">
        <v>-0.99957149999999995</v>
      </c>
      <c r="N2211">
        <v>-1.510479E-2</v>
      </c>
      <c r="O2211">
        <v>2.5074880000000001E-2</v>
      </c>
      <c r="P2211">
        <v>-0.99044620000000005</v>
      </c>
      <c r="Q2211">
        <v>4.1876650000000001E-2</v>
      </c>
      <c r="R2211">
        <v>-0.1313868</v>
      </c>
      <c r="S2211">
        <v>-2.923279</v>
      </c>
      <c r="T2211">
        <v>-0.2267216</v>
      </c>
      <c r="U2211">
        <v>-0.87850949999999906</v>
      </c>
      <c r="V2211">
        <v>-0.15629770000000001</v>
      </c>
      <c r="W2211">
        <v>5.646259E-2</v>
      </c>
      <c r="X2211">
        <v>0.98609480000000005</v>
      </c>
      <c r="Y2211">
        <v>-0.31065130000000002</v>
      </c>
      <c r="Z2211">
        <v>-1.570243E-2</v>
      </c>
      <c r="AA2211">
        <v>0.95039419999999997</v>
      </c>
      <c r="AB2211">
        <v>40</v>
      </c>
      <c r="AC2211">
        <v>-13.9284999999999</v>
      </c>
      <c r="AD2211">
        <v>-1.1106771513809901</v>
      </c>
      <c r="AE2211">
        <v>-4.3116999999999699</v>
      </c>
      <c r="AF2211">
        <v>-4.6327571082742702</v>
      </c>
      <c r="AG2211">
        <v>-1.1106771513809901</v>
      </c>
      <c r="AH2211">
        <v>13.7362852598531</v>
      </c>
      <c r="AI2211">
        <v>94.381272135913605</v>
      </c>
      <c r="AJ2211">
        <v>108.637408523818</v>
      </c>
      <c r="AK2211">
        <v>14.538967463300899</v>
      </c>
      <c r="AL2211">
        <v>86.763210427941999</v>
      </c>
      <c r="AM2211">
        <v>99.006553830227901</v>
      </c>
      <c r="AN2211">
        <v>0.99999997484091796</v>
      </c>
    </row>
    <row r="2212" spans="1:40" x14ac:dyDescent="0.25">
      <c r="A2212" t="str">
        <f>"20190305135834594"</f>
        <v>20190305135834594</v>
      </c>
      <c r="B2212" t="str">
        <f>"1551765514581450"</f>
        <v>1551765514581450</v>
      </c>
      <c r="C2212" t="s">
        <v>40</v>
      </c>
      <c r="D2212">
        <v>4.0331970000000004</v>
      </c>
      <c r="E2212">
        <v>0.43463859999999899</v>
      </c>
      <c r="F2212" t="s">
        <v>58</v>
      </c>
      <c r="G2212">
        <v>-475.7885</v>
      </c>
      <c r="H2212" s="1">
        <v>3.7878189999999999E-6</v>
      </c>
      <c r="I2212">
        <v>281.6497</v>
      </c>
      <c r="J2212">
        <v>-462.10169999999999</v>
      </c>
      <c r="K2212">
        <v>1.1109910000000001</v>
      </c>
      <c r="L2212">
        <v>285.93630000000002</v>
      </c>
      <c r="M2212">
        <v>-0.99959759999999998</v>
      </c>
      <c r="N2212">
        <v>-1.55706E-2</v>
      </c>
      <c r="O2212">
        <v>2.3714510000000001E-2</v>
      </c>
      <c r="P2212">
        <v>-0.9902282</v>
      </c>
      <c r="Q2212">
        <v>4.1280709999999998E-2</v>
      </c>
      <c r="R2212">
        <v>-0.13320779999999999</v>
      </c>
      <c r="S2212">
        <v>-2.920868</v>
      </c>
      <c r="T2212">
        <v>-0.23053480000000001</v>
      </c>
      <c r="U2212">
        <v>-0.88797000000000004</v>
      </c>
      <c r="V2212">
        <v>-0.15679989999999999</v>
      </c>
      <c r="W2212">
        <v>5.6240730000000003E-2</v>
      </c>
      <c r="X2212">
        <v>0.98602780000000001</v>
      </c>
      <c r="Y2212">
        <v>-0.31235170000000001</v>
      </c>
      <c r="Z2212">
        <v>-1.5995209999999999E-2</v>
      </c>
      <c r="AA2212">
        <v>0.9498318</v>
      </c>
      <c r="AB2212">
        <v>39</v>
      </c>
      <c r="AC2212">
        <v>-13.6868</v>
      </c>
      <c r="AD2212">
        <v>-1.1109872121810001</v>
      </c>
      <c r="AE2212">
        <v>-4.2866000000000204</v>
      </c>
      <c r="AF2212">
        <v>-4.5825125929429804</v>
      </c>
      <c r="AG2212">
        <v>-1.1109872121810001</v>
      </c>
      <c r="AH2212">
        <v>13.500276630182</v>
      </c>
      <c r="AI2212">
        <v>94.455867448542193</v>
      </c>
      <c r="AJ2212">
        <v>108.749186353429</v>
      </c>
      <c r="AK2212">
        <v>14.300041375518701</v>
      </c>
      <c r="AL2212">
        <v>86.775942464153104</v>
      </c>
      <c r="AM2212">
        <v>99.035619962985706</v>
      </c>
      <c r="AN2212">
        <v>1.0000000253618899</v>
      </c>
    </row>
    <row r="2213" spans="1:40" x14ac:dyDescent="0.25">
      <c r="A2213" t="str">
        <f>"20190305135834616"</f>
        <v>20190305135834616</v>
      </c>
      <c r="B2213" t="str">
        <f>"1551765514610730"</f>
        <v>1551765514610730</v>
      </c>
      <c r="C2213" t="s">
        <v>40</v>
      </c>
      <c r="D2213">
        <v>3.9879380000000002</v>
      </c>
      <c r="E2213">
        <v>0.43420239999999999</v>
      </c>
      <c r="F2213" t="s">
        <v>58</v>
      </c>
      <c r="G2213">
        <v>-476.05309999999997</v>
      </c>
      <c r="H2213" s="1">
        <v>3.6707540000000001E-6</v>
      </c>
      <c r="I2213">
        <v>281.65280000000001</v>
      </c>
      <c r="J2213">
        <v>-462.5016</v>
      </c>
      <c r="K2213">
        <v>1.1113200000000001</v>
      </c>
      <c r="L2213">
        <v>285.9443</v>
      </c>
      <c r="M2213">
        <v>-0.99962680000000004</v>
      </c>
      <c r="N2213">
        <v>-1.6090449999999999E-2</v>
      </c>
      <c r="O2213">
        <v>2.2076849999999999E-2</v>
      </c>
      <c r="P2213">
        <v>-0.98986320000000005</v>
      </c>
      <c r="Q2213">
        <v>4.075438E-2</v>
      </c>
      <c r="R2213">
        <v>-0.13605210000000001</v>
      </c>
      <c r="S2213">
        <v>-2.9187620000000001</v>
      </c>
      <c r="T2213">
        <v>-0.23242930000000001</v>
      </c>
      <c r="U2213">
        <v>-0.89614869999999902</v>
      </c>
      <c r="V2213">
        <v>-0.15805050000000001</v>
      </c>
      <c r="W2213">
        <v>5.6132189999999998E-2</v>
      </c>
      <c r="X2213">
        <v>0.98583430000000005</v>
      </c>
      <c r="Y2213">
        <v>-0.31339699999999998</v>
      </c>
      <c r="Z2213">
        <v>-1.6132750000000001E-2</v>
      </c>
      <c r="AA2213">
        <v>0.94948520000000003</v>
      </c>
      <c r="AB2213">
        <v>39</v>
      </c>
      <c r="AC2213">
        <v>-13.5514999999999</v>
      </c>
      <c r="AD2213">
        <v>-1.111316329246</v>
      </c>
      <c r="AE2213">
        <v>-4.2914999999999797</v>
      </c>
      <c r="AF2213">
        <v>-4.5617845935792296</v>
      </c>
      <c r="AG2213">
        <v>-1.111316329246</v>
      </c>
      <c r="AH2213">
        <v>13.3717112104388</v>
      </c>
      <c r="AI2213">
        <v>94.497520331765998</v>
      </c>
      <c r="AJ2213">
        <v>108.83717218703001</v>
      </c>
      <c r="AK2213">
        <v>14.172069833205001</v>
      </c>
      <c r="AL2213">
        <v>86.782171186878998</v>
      </c>
      <c r="AM2213">
        <v>99.108240571334903</v>
      </c>
      <c r="AN2213">
        <v>1.0000000251804599</v>
      </c>
    </row>
    <row r="2214" spans="1:40" x14ac:dyDescent="0.25">
      <c r="A2214" t="str">
        <f>"20190305135834639"</f>
        <v>20190305135834639</v>
      </c>
      <c r="B2214" t="str">
        <f>"1551765514631226"</f>
        <v>1551765514631226</v>
      </c>
      <c r="C2214" t="s">
        <v>40</v>
      </c>
      <c r="D2214">
        <v>3.9846270000000001</v>
      </c>
      <c r="E2214">
        <v>0.43407410000000002</v>
      </c>
      <c r="F2214" t="s">
        <v>58</v>
      </c>
      <c r="G2214">
        <v>-476.35250000000002</v>
      </c>
      <c r="H2214" s="1">
        <v>3.5359060000000001E-6</v>
      </c>
      <c r="I2214">
        <v>281.62909999999999</v>
      </c>
      <c r="J2214">
        <v>-462.89179999999999</v>
      </c>
      <c r="K2214">
        <v>1.1116349999999999</v>
      </c>
      <c r="L2214">
        <v>285.95119999999997</v>
      </c>
      <c r="M2214">
        <v>-0.99965630000000005</v>
      </c>
      <c r="N2214">
        <v>-1.6621279999999999E-2</v>
      </c>
      <c r="O2214">
        <v>2.02811E-2</v>
      </c>
      <c r="P2214">
        <v>-0.98931610000000003</v>
      </c>
      <c r="Q2214">
        <v>4.1729420000000003E-2</v>
      </c>
      <c r="R2214">
        <v>-0.1396878</v>
      </c>
      <c r="S2214">
        <v>-2.915527</v>
      </c>
      <c r="T2214">
        <v>-0.23392650000000001</v>
      </c>
      <c r="U2214">
        <v>-0.90832520000000005</v>
      </c>
      <c r="V2214">
        <v>-0.1599361</v>
      </c>
      <c r="W2214">
        <v>5.7535629999999997E-2</v>
      </c>
      <c r="X2214">
        <v>0.98544920000000003</v>
      </c>
      <c r="Y2214">
        <v>-0.31558069999999999</v>
      </c>
      <c r="Z2214">
        <v>-1.629657E-2</v>
      </c>
      <c r="AA2214">
        <v>0.94875880000000001</v>
      </c>
      <c r="AB2214">
        <v>39</v>
      </c>
      <c r="AC2214">
        <v>-13.460699999999999</v>
      </c>
      <c r="AD2214">
        <v>-1.1116314640939999</v>
      </c>
      <c r="AE2214">
        <v>-4.3220999999999696</v>
      </c>
      <c r="AF2214">
        <v>-4.5660163512779199</v>
      </c>
      <c r="AG2214">
        <v>-1.1116314640939999</v>
      </c>
      <c r="AH2214">
        <v>13.288106376567001</v>
      </c>
      <c r="AI2214">
        <v>94.523574090621693</v>
      </c>
      <c r="AJ2214">
        <v>108.96358131043</v>
      </c>
      <c r="AK2214">
        <v>14.0946089306182</v>
      </c>
      <c r="AL2214">
        <v>86.701629777479795</v>
      </c>
      <c r="AM2214">
        <v>99.218590956633193</v>
      </c>
      <c r="AN2214">
        <v>1.0000000152916699</v>
      </c>
    </row>
    <row r="2215" spans="1:40" x14ac:dyDescent="0.25">
      <c r="A2215" t="str">
        <f>"20190305135834660"</f>
        <v>20190305135834660</v>
      </c>
      <c r="B2215" t="str">
        <f>"1551765514650746"</f>
        <v>1551765514650746</v>
      </c>
      <c r="C2215" t="s">
        <v>40</v>
      </c>
      <c r="D2215">
        <v>3.9786320000000002</v>
      </c>
      <c r="E2215">
        <v>0.43403589999999997</v>
      </c>
      <c r="F2215" t="s">
        <v>58</v>
      </c>
      <c r="G2215">
        <v>-476.81229999999999</v>
      </c>
      <c r="H2215" s="1">
        <v>3.3253620000000002E-6</v>
      </c>
      <c r="I2215">
        <v>281.55340000000001</v>
      </c>
      <c r="J2215">
        <v>-463.26310000000001</v>
      </c>
      <c r="K2215">
        <v>1.1119030000000001</v>
      </c>
      <c r="L2215">
        <v>285.95699999999999</v>
      </c>
      <c r="M2215">
        <v>-0.99968380000000001</v>
      </c>
      <c r="N2215">
        <v>-1.7118669999999999E-2</v>
      </c>
      <c r="O2215">
        <v>1.8422850000000001E-2</v>
      </c>
      <c r="P2215">
        <v>-0.98853100000000005</v>
      </c>
      <c r="Q2215">
        <v>4.3937730000000001E-2</v>
      </c>
      <c r="R2215">
        <v>-0.14448659999999999</v>
      </c>
      <c r="S2215">
        <v>-2.9122919999999999</v>
      </c>
      <c r="T2215">
        <v>-0.23256370000000001</v>
      </c>
      <c r="U2215">
        <v>-0.92007450000000002</v>
      </c>
      <c r="V2215">
        <v>-0.16292229999999999</v>
      </c>
      <c r="W2215">
        <v>6.0143219999999997E-2</v>
      </c>
      <c r="X2215">
        <v>0.98480409999999996</v>
      </c>
      <c r="Y2215">
        <v>-0.31760280000000002</v>
      </c>
      <c r="Z2215">
        <v>-1.6277219999999998E-2</v>
      </c>
      <c r="AA2215">
        <v>0.94808409999999999</v>
      </c>
      <c r="AB2215">
        <v>39</v>
      </c>
      <c r="AC2215">
        <v>-13.5491999999999</v>
      </c>
      <c r="AD2215">
        <v>-1.1118996746379901</v>
      </c>
      <c r="AE2215">
        <v>-4.4035999999999804</v>
      </c>
      <c r="AF2215">
        <v>-4.6243366833113004</v>
      </c>
      <c r="AG2215">
        <v>-1.1118996746379901</v>
      </c>
      <c r="AH2215">
        <v>13.3842366815809</v>
      </c>
      <c r="AI2215">
        <v>94.489694025839</v>
      </c>
      <c r="AJ2215">
        <v>109.060348240558</v>
      </c>
      <c r="AK2215">
        <v>14.2041755197426</v>
      </c>
      <c r="AL2215">
        <v>86.551966481607593</v>
      </c>
      <c r="AM2215">
        <v>99.393716366317506</v>
      </c>
      <c r="AN2215">
        <v>0.99999999906303405</v>
      </c>
    </row>
    <row r="2216" spans="1:40" x14ac:dyDescent="0.25">
      <c r="A2216" t="str">
        <f>"20190305135834683"</f>
        <v>20190305135834683</v>
      </c>
      <c r="B2216" t="str">
        <f>"1551765514671242"</f>
        <v>1551765514671242</v>
      </c>
      <c r="C2216" t="s">
        <v>40</v>
      </c>
      <c r="D2216">
        <v>3.9780280000000001</v>
      </c>
      <c r="E2216">
        <v>0.43396309999999999</v>
      </c>
      <c r="F2216" t="s">
        <v>58</v>
      </c>
      <c r="G2216">
        <v>-477.47129999999999</v>
      </c>
      <c r="H2216" s="1">
        <v>3.01933E-6</v>
      </c>
      <c r="I2216">
        <v>281.3954</v>
      </c>
      <c r="J2216">
        <v>-463.65030000000002</v>
      </c>
      <c r="K2216">
        <v>1.1121190000000001</v>
      </c>
      <c r="L2216">
        <v>285.96210000000002</v>
      </c>
      <c r="M2216">
        <v>-0.99971069999999995</v>
      </c>
      <c r="N2216">
        <v>-1.7616409999999999E-2</v>
      </c>
      <c r="O2216">
        <v>1.637483E-2</v>
      </c>
      <c r="P2216">
        <v>-0.98768679999999998</v>
      </c>
      <c r="Q2216">
        <v>4.59158E-2</v>
      </c>
      <c r="R2216">
        <v>-0.14955470000000001</v>
      </c>
      <c r="S2216">
        <v>-2.908417</v>
      </c>
      <c r="T2216">
        <v>-0.2276059</v>
      </c>
      <c r="U2216">
        <v>-0.93374630000000003</v>
      </c>
      <c r="V2216">
        <v>-0.16598879999999999</v>
      </c>
      <c r="W2216">
        <v>6.2528630000000002E-2</v>
      </c>
      <c r="X2216">
        <v>0.9841432</v>
      </c>
      <c r="Y2216">
        <v>-0.320102</v>
      </c>
      <c r="Z2216">
        <v>-1.606262E-2</v>
      </c>
      <c r="AA2216">
        <v>0.9472469</v>
      </c>
      <c r="AB2216">
        <v>39</v>
      </c>
      <c r="AC2216">
        <v>-13.8209999999999</v>
      </c>
      <c r="AD2216">
        <v>-1.1121159806700001</v>
      </c>
      <c r="AE2216">
        <v>-4.5667000000000204</v>
      </c>
      <c r="AF2216">
        <v>-4.7646260590988998</v>
      </c>
      <c r="AG2216">
        <v>-1.1121159806700001</v>
      </c>
      <c r="AH2216">
        <v>13.6645898707343</v>
      </c>
      <c r="AI2216">
        <v>94.394486068992407</v>
      </c>
      <c r="AJ2216">
        <v>109.222854315302</v>
      </c>
      <c r="AK2216">
        <v>14.514113123883201</v>
      </c>
      <c r="AL2216">
        <v>86.415034617787697</v>
      </c>
      <c r="AM2216">
        <v>99.573590596390602</v>
      </c>
      <c r="AN2216">
        <v>0.99999997470067803</v>
      </c>
    </row>
    <row r="2217" spans="1:40" x14ac:dyDescent="0.25">
      <c r="A2217" t="str">
        <f>"20190305135834706"</f>
        <v>20190305135834706</v>
      </c>
      <c r="B2217" t="str">
        <f>"1551765514701498"</f>
        <v>1551765514701498</v>
      </c>
      <c r="C2217" t="s">
        <v>40</v>
      </c>
      <c r="D2217">
        <v>3.9725760000000001</v>
      </c>
      <c r="E2217">
        <v>0.43391299999999999</v>
      </c>
      <c r="F2217" t="s">
        <v>58</v>
      </c>
      <c r="G2217">
        <v>-478.08839999999998</v>
      </c>
      <c r="H2217" s="1">
        <v>2.7324159999999999E-6</v>
      </c>
      <c r="I2217">
        <v>281.24400000000003</v>
      </c>
      <c r="J2217">
        <v>-464.03899999999999</v>
      </c>
      <c r="K2217">
        <v>1.112287</v>
      </c>
      <c r="L2217">
        <v>285.96620000000001</v>
      </c>
      <c r="M2217">
        <v>-0.99973500000000004</v>
      </c>
      <c r="N2217">
        <v>-1.8087240000000001E-2</v>
      </c>
      <c r="O2217">
        <v>1.424186E-2</v>
      </c>
      <c r="P2217">
        <v>-0.98670789999999997</v>
      </c>
      <c r="Q2217">
        <v>4.6795780000000002E-2</v>
      </c>
      <c r="R2217">
        <v>-0.15562119999999999</v>
      </c>
      <c r="S2217">
        <v>-2.9041139999999999</v>
      </c>
      <c r="T2217">
        <v>-0.223694</v>
      </c>
      <c r="U2217">
        <v>-0.94900510000000005</v>
      </c>
      <c r="V2217">
        <v>-0.1699618</v>
      </c>
      <c r="W2217">
        <v>6.3795920000000006E-2</v>
      </c>
      <c r="X2217">
        <v>0.98338349999999997</v>
      </c>
      <c r="Y2217">
        <v>-0.32301479999999999</v>
      </c>
      <c r="Z2217">
        <v>-1.5926360000000001E-2</v>
      </c>
      <c r="AA2217">
        <v>0.94625990000000004</v>
      </c>
      <c r="AB2217">
        <v>39</v>
      </c>
      <c r="AC2217">
        <v>-14.049399999999901</v>
      </c>
      <c r="AD2217">
        <v>-1.1122842675839999</v>
      </c>
      <c r="AE2217">
        <v>-4.7221999999999804</v>
      </c>
      <c r="AF2217">
        <v>-4.8942806211061596</v>
      </c>
      <c r="AG2217">
        <v>-1.1122842675839999</v>
      </c>
      <c r="AH2217">
        <v>13.902417912075601</v>
      </c>
      <c r="AI2217">
        <v>94.315736114648004</v>
      </c>
      <c r="AJ2217">
        <v>109.39437687178</v>
      </c>
      <c r="AK2217">
        <v>14.780675995774001</v>
      </c>
      <c r="AL2217">
        <v>86.342279136843601</v>
      </c>
      <c r="AM2217">
        <v>99.8057692408983</v>
      </c>
      <c r="AN2217">
        <v>1.0000000204700601</v>
      </c>
    </row>
    <row r="2218" spans="1:40" x14ac:dyDescent="0.25">
      <c r="A2218" t="str">
        <f>"20190305135834727"</f>
        <v>20190305135834727</v>
      </c>
      <c r="B2218" t="str">
        <f>"1551765514721021"</f>
        <v>1551765514721021</v>
      </c>
      <c r="C2218" t="s">
        <v>40</v>
      </c>
      <c r="D2218">
        <v>3.9603820000000001</v>
      </c>
      <c r="E2218">
        <v>0.43390689999999998</v>
      </c>
      <c r="F2218" t="s">
        <v>58</v>
      </c>
      <c r="G2218">
        <v>-478.45049999999998</v>
      </c>
      <c r="H2218" s="1">
        <v>2.5646369999999999E-6</v>
      </c>
      <c r="I2218">
        <v>281.1617</v>
      </c>
      <c r="J2218">
        <v>-464.4212</v>
      </c>
      <c r="K2218">
        <v>1.112417</v>
      </c>
      <c r="L2218">
        <v>285.96949999999998</v>
      </c>
      <c r="M2218">
        <v>-0.99975539999999996</v>
      </c>
      <c r="N2218">
        <v>-1.8521889999999999E-2</v>
      </c>
      <c r="O2218">
        <v>1.2097149999999999E-2</v>
      </c>
      <c r="P2218">
        <v>-0.98574850000000003</v>
      </c>
      <c r="Q2218">
        <v>4.6067770000000001E-2</v>
      </c>
      <c r="R2218">
        <v>-0.1617972</v>
      </c>
      <c r="S2218">
        <v>-2.8986209999999999</v>
      </c>
      <c r="T2218">
        <v>-0.22371540000000001</v>
      </c>
      <c r="U2218">
        <v>-0.96633910000000001</v>
      </c>
      <c r="V2218">
        <v>-0.1740237</v>
      </c>
      <c r="W2218">
        <v>6.3431870000000001E-2</v>
      </c>
      <c r="X2218">
        <v>0.98269640000000003</v>
      </c>
      <c r="Y2218">
        <v>-0.32659880000000002</v>
      </c>
      <c r="Z2218">
        <v>-1.6054699999999901E-2</v>
      </c>
      <c r="AA2218">
        <v>0.9450267</v>
      </c>
      <c r="AB2218">
        <v>38</v>
      </c>
      <c r="AC2218">
        <v>-14.0292999999999</v>
      </c>
      <c r="AD2218">
        <v>-1.1124144353630001</v>
      </c>
      <c r="AE2218">
        <v>-4.8077999999999799</v>
      </c>
      <c r="AF2218">
        <v>-4.9493443501361103</v>
      </c>
      <c r="AG2218">
        <v>-1.1124144353630001</v>
      </c>
      <c r="AH2218">
        <v>13.8919397564118</v>
      </c>
      <c r="AI2218">
        <v>94.3137592745841</v>
      </c>
      <c r="AJ2218">
        <v>109.609688598947</v>
      </c>
      <c r="AK2218">
        <v>14.7891671695198</v>
      </c>
      <c r="AL2218">
        <v>86.363180041546997</v>
      </c>
      <c r="AM2218">
        <v>100.042280619938</v>
      </c>
      <c r="AN2218">
        <v>1.0000000324331699</v>
      </c>
    </row>
    <row r="2219" spans="1:40" x14ac:dyDescent="0.25">
      <c r="A2219" t="str">
        <f>"20190305135834750"</f>
        <v>20190305135834750</v>
      </c>
      <c r="B2219" t="str">
        <f>"1551765514741514"</f>
        <v>1551765514741514</v>
      </c>
      <c r="C2219" t="s">
        <v>40</v>
      </c>
      <c r="D2219">
        <v>3.9452340000000001</v>
      </c>
      <c r="E2219">
        <v>0.43389080000000002</v>
      </c>
      <c r="F2219" t="s">
        <v>58</v>
      </c>
      <c r="G2219">
        <v>-478.49869999999999</v>
      </c>
      <c r="H2219" s="1">
        <v>2.544992E-6</v>
      </c>
      <c r="I2219">
        <v>281.18130000000002</v>
      </c>
      <c r="J2219">
        <v>-464.79880000000003</v>
      </c>
      <c r="K2219">
        <v>1.112517</v>
      </c>
      <c r="L2219">
        <v>285.97190000000001</v>
      </c>
      <c r="M2219">
        <v>-0.99977150000000004</v>
      </c>
      <c r="N2219">
        <v>-1.891675E-2</v>
      </c>
      <c r="O2219">
        <v>9.9551799999999992E-3</v>
      </c>
      <c r="P2219">
        <v>-0.98453800000000002</v>
      </c>
      <c r="Q2219">
        <v>4.6154679999999997E-2</v>
      </c>
      <c r="R2219">
        <v>-0.16898160000000001</v>
      </c>
      <c r="S2219">
        <v>-2.8925779999999999</v>
      </c>
      <c r="T2219">
        <v>-0.2285731</v>
      </c>
      <c r="U2219">
        <v>-0.98385619999999996</v>
      </c>
      <c r="V2219">
        <v>-0.17909849999999999</v>
      </c>
      <c r="W2219">
        <v>6.3842070000000001E-2</v>
      </c>
      <c r="X2219">
        <v>0.98175760000000001</v>
      </c>
      <c r="Y2219">
        <v>-0.33024290000000001</v>
      </c>
      <c r="Z2219">
        <v>-1.6469069999999999E-2</v>
      </c>
      <c r="AA2219">
        <v>0.94375229999999999</v>
      </c>
      <c r="AB2219">
        <v>38</v>
      </c>
      <c r="AC2219">
        <v>-13.6998999999999</v>
      </c>
      <c r="AD2219">
        <v>-1.1125144550079999</v>
      </c>
      <c r="AE2219">
        <v>-4.79059999999998</v>
      </c>
      <c r="AF2219">
        <v>-4.8979916559716603</v>
      </c>
      <c r="AG2219">
        <v>-1.1125144550079999</v>
      </c>
      <c r="AH2219">
        <v>13.571774287098499</v>
      </c>
      <c r="AI2219">
        <v>94.409068269625294</v>
      </c>
      <c r="AJ2219">
        <v>109.844282818648</v>
      </c>
      <c r="AK2219">
        <v>14.471387907679</v>
      </c>
      <c r="AL2219">
        <v>86.339629584590398</v>
      </c>
      <c r="AM2219">
        <v>100.33857578025901</v>
      </c>
      <c r="AN2219">
        <v>1.0000000338809401</v>
      </c>
    </row>
    <row r="2220" spans="1:40" x14ac:dyDescent="0.25">
      <c r="A2220" t="str">
        <f>"20190305135834772"</f>
        <v>20190305135834772</v>
      </c>
      <c r="B2220" t="str">
        <f>"1551765514761034"</f>
        <v>1551765514761034</v>
      </c>
      <c r="C2220" t="s">
        <v>40</v>
      </c>
      <c r="D2220">
        <v>3.9621719999999998</v>
      </c>
      <c r="E2220">
        <v>0.43387969999999998</v>
      </c>
      <c r="F2220" t="s">
        <v>58</v>
      </c>
      <c r="G2220">
        <v>-478.76310000000001</v>
      </c>
      <c r="H2220" s="1">
        <v>2.4216170000000001E-6</v>
      </c>
      <c r="I2220">
        <v>281.11110000000002</v>
      </c>
      <c r="J2220">
        <v>-465.17309999999998</v>
      </c>
      <c r="K2220">
        <v>1.1125849999999999</v>
      </c>
      <c r="L2220">
        <v>285.9735</v>
      </c>
      <c r="M2220">
        <v>-0.9997838</v>
      </c>
      <c r="N2220">
        <v>-1.9277140000000002E-2</v>
      </c>
      <c r="O2220">
        <v>7.8230569999999996E-3</v>
      </c>
      <c r="P2220">
        <v>-0.98370990000000003</v>
      </c>
      <c r="Q2220">
        <v>4.5814729999999998E-2</v>
      </c>
      <c r="R2220">
        <v>-0.17382779999999901</v>
      </c>
      <c r="S2220">
        <v>-2.885437</v>
      </c>
      <c r="T2220">
        <v>-0.22987830000000001</v>
      </c>
      <c r="U2220">
        <v>-1.0043949999999999</v>
      </c>
      <c r="V2220">
        <v>-0.1818475</v>
      </c>
      <c r="W2220">
        <v>6.3817330000000005E-2</v>
      </c>
      <c r="X2220">
        <v>0.98125370000000001</v>
      </c>
      <c r="Y2220">
        <v>-0.33491130000000002</v>
      </c>
      <c r="Z2220">
        <v>-1.6725670000000002E-2</v>
      </c>
      <c r="AA2220">
        <v>0.94210119999999997</v>
      </c>
      <c r="AB2220">
        <v>38</v>
      </c>
      <c r="AC2220">
        <v>-13.59</v>
      </c>
      <c r="AD2220">
        <v>-1.1125825783829999</v>
      </c>
      <c r="AE2220">
        <v>-4.8623999999999796</v>
      </c>
      <c r="AF2220">
        <v>-4.9392387693411504</v>
      </c>
      <c r="AG2220">
        <v>-1.1125825783829999</v>
      </c>
      <c r="AH2220">
        <v>13.4714945441102</v>
      </c>
      <c r="AI2220">
        <v>94.433866088998599</v>
      </c>
      <c r="AJ2220">
        <v>110.135144093919</v>
      </c>
      <c r="AK2220">
        <v>14.3914934897763</v>
      </c>
      <c r="AL2220">
        <v>86.341049833616793</v>
      </c>
      <c r="AM2220">
        <v>100.499033348701</v>
      </c>
      <c r="AN2220">
        <v>0.999999994314134</v>
      </c>
    </row>
    <row r="2221" spans="1:40" x14ac:dyDescent="0.25">
      <c r="A2221" t="str">
        <f>"20190305135834795"</f>
        <v>20190305135834795</v>
      </c>
      <c r="B2221" t="str">
        <f>"1551765514791290"</f>
        <v>1551765514791290</v>
      </c>
      <c r="C2221" t="s">
        <v>40</v>
      </c>
      <c r="D2221">
        <v>3.945395</v>
      </c>
      <c r="E2221">
        <v>0.43406830000000002</v>
      </c>
      <c r="F2221" t="s">
        <v>58</v>
      </c>
      <c r="G2221">
        <v>-479.05040000000002</v>
      </c>
      <c r="H2221" s="1">
        <v>2.2900550000000001E-6</v>
      </c>
      <c r="I2221">
        <v>281.06360000000001</v>
      </c>
      <c r="J2221">
        <v>-465.55020000000002</v>
      </c>
      <c r="K2221">
        <v>1.1126499999999999</v>
      </c>
      <c r="L2221">
        <v>285.9742</v>
      </c>
      <c r="M2221">
        <v>-0.99979130000000005</v>
      </c>
      <c r="N2221">
        <v>-1.963492E-2</v>
      </c>
      <c r="O2221">
        <v>5.6579219999999897E-3</v>
      </c>
      <c r="P2221">
        <v>-0.9825393</v>
      </c>
      <c r="Q2221">
        <v>4.5571809999999997E-2</v>
      </c>
      <c r="R2221">
        <v>-0.18038799999999999</v>
      </c>
      <c r="S2221">
        <v>-2.8803709999999998</v>
      </c>
      <c r="T2221">
        <v>-0.23092779999999999</v>
      </c>
      <c r="U2221">
        <v>-1.019104</v>
      </c>
      <c r="V2221">
        <v>-0.18627779999999999</v>
      </c>
      <c r="W2221">
        <v>6.3872990000000004E-2</v>
      </c>
      <c r="X2221">
        <v>0.98041869999999998</v>
      </c>
      <c r="Y2221">
        <v>-0.33764490000000003</v>
      </c>
      <c r="Z2221">
        <v>-1.686766E-2</v>
      </c>
      <c r="AA2221">
        <v>0.94112240000000003</v>
      </c>
      <c r="AB2221">
        <v>38</v>
      </c>
      <c r="AC2221">
        <v>-13.5002</v>
      </c>
      <c r="AD2221">
        <v>-1.1126477099449901</v>
      </c>
      <c r="AE2221">
        <v>-4.9105999999999801</v>
      </c>
      <c r="AF2221">
        <v>-4.9571816388193897</v>
      </c>
      <c r="AG2221">
        <v>-1.1126477099449901</v>
      </c>
      <c r="AH2221">
        <v>13.391858550407999</v>
      </c>
      <c r="AI2221">
        <v>94.455316807672702</v>
      </c>
      <c r="AJ2221">
        <v>110.312729679128</v>
      </c>
      <c r="AK2221">
        <v>14.323180867420101</v>
      </c>
      <c r="AL2221">
        <v>86.337854260792696</v>
      </c>
      <c r="AM2221">
        <v>100.757868212266</v>
      </c>
      <c r="AN2221">
        <v>1.0000000024670299</v>
      </c>
    </row>
    <row r="2222" spans="1:40" x14ac:dyDescent="0.25">
      <c r="A2222" t="str">
        <f>"20190305135834818"</f>
        <v>20190305135834818</v>
      </c>
      <c r="B2222" t="str">
        <f>"1551765514810813"</f>
        <v>1551765514810813</v>
      </c>
      <c r="C2222" t="s">
        <v>40</v>
      </c>
      <c r="D2222">
        <v>3.939384</v>
      </c>
      <c r="E2222">
        <v>0.43418420000000002</v>
      </c>
      <c r="F2222" t="s">
        <v>58</v>
      </c>
      <c r="G2222">
        <v>-479.2792</v>
      </c>
      <c r="H2222" s="1">
        <v>2.184882E-6</v>
      </c>
      <c r="I2222">
        <v>281.0213</v>
      </c>
      <c r="J2222">
        <v>-465.93689999999998</v>
      </c>
      <c r="K2222">
        <v>1.1127389999999999</v>
      </c>
      <c r="L2222">
        <v>285.97399999999999</v>
      </c>
      <c r="M2222">
        <v>-0.99979390000000001</v>
      </c>
      <c r="N2222">
        <v>-2.002348E-2</v>
      </c>
      <c r="O2222">
        <v>3.3694509999999999E-3</v>
      </c>
      <c r="P2222">
        <v>-0.9812514</v>
      </c>
      <c r="Q2222">
        <v>4.4934870000000002E-2</v>
      </c>
      <c r="R2222">
        <v>-0.18742159999999999</v>
      </c>
      <c r="S2222">
        <v>-2.8737490000000001</v>
      </c>
      <c r="T2222">
        <v>-0.23289899999999999</v>
      </c>
      <c r="U2222">
        <v>-1.036743</v>
      </c>
      <c r="V2222">
        <v>-0.1910657</v>
      </c>
      <c r="W2222">
        <v>6.3552739999999996E-2</v>
      </c>
      <c r="X2222">
        <v>0.97951770000000005</v>
      </c>
      <c r="Y2222">
        <v>-0.34125620000000001</v>
      </c>
      <c r="Z2222">
        <v>-1.7112229999999999E-2</v>
      </c>
      <c r="AA2222">
        <v>0.93981460000000006</v>
      </c>
      <c r="AB2222">
        <v>38</v>
      </c>
      <c r="AC2222">
        <v>-13.3423</v>
      </c>
      <c r="AD2222">
        <v>-1.1127368151179999</v>
      </c>
      <c r="AE2222">
        <v>-4.9526999999999903</v>
      </c>
      <c r="AF2222">
        <v>-4.9672717323778404</v>
      </c>
      <c r="AG2222">
        <v>-1.1127368151179999</v>
      </c>
      <c r="AH2222">
        <v>13.2445677685305</v>
      </c>
      <c r="AI2222">
        <v>94.497864953807294</v>
      </c>
      <c r="AJ2222">
        <v>110.55816459179</v>
      </c>
      <c r="AK2222">
        <v>14.189099585886201</v>
      </c>
      <c r="AL2222">
        <v>86.356240539451605</v>
      </c>
      <c r="AM2222">
        <v>101.037575859394</v>
      </c>
      <c r="AN2222">
        <v>0.99999998854564298</v>
      </c>
    </row>
    <row r="2223" spans="1:40" x14ac:dyDescent="0.25">
      <c r="A2223" t="str">
        <f>"20190305135834840"</f>
        <v>20190305135834840</v>
      </c>
      <c r="B2223" t="str">
        <f>"1551765514831306"</f>
        <v>1551765514831306</v>
      </c>
      <c r="C2223" t="s">
        <v>40</v>
      </c>
      <c r="D2223">
        <v>3.9317869999999999</v>
      </c>
      <c r="E2223">
        <v>0.43431429999999999</v>
      </c>
      <c r="F2223" t="s">
        <v>58</v>
      </c>
      <c r="G2223">
        <v>-479.5652</v>
      </c>
      <c r="H2223" s="1">
        <v>2.0518489999999999E-6</v>
      </c>
      <c r="I2223">
        <v>280.95030000000003</v>
      </c>
      <c r="J2223">
        <v>-466.29430000000002</v>
      </c>
      <c r="K2223">
        <v>1.11287</v>
      </c>
      <c r="L2223">
        <v>285.97289999999998</v>
      </c>
      <c r="M2223">
        <v>-0.99979169999999995</v>
      </c>
      <c r="N2223">
        <v>-2.038382E-2</v>
      </c>
      <c r="O2223">
        <v>1.0920820000000001E-3</v>
      </c>
      <c r="P2223">
        <v>-0.98000589999999999</v>
      </c>
      <c r="Q2223">
        <v>4.446493E-2</v>
      </c>
      <c r="R2223">
        <v>-0.193936</v>
      </c>
      <c r="S2223">
        <v>-2.8663020000000001</v>
      </c>
      <c r="T2223">
        <v>-0.23402990000000001</v>
      </c>
      <c r="U2223">
        <v>-1.0565800000000001</v>
      </c>
      <c r="V2223">
        <v>-0.19535830000000001</v>
      </c>
      <c r="W2223">
        <v>6.3352409999999998E-2</v>
      </c>
      <c r="X2223">
        <v>0.97868359999999999</v>
      </c>
      <c r="Y2223">
        <v>-0.3455995</v>
      </c>
      <c r="Z2223">
        <v>-1.7345159999999998E-2</v>
      </c>
      <c r="AA2223">
        <v>0.93822179999999999</v>
      </c>
      <c r="AB2223">
        <v>38</v>
      </c>
      <c r="AC2223">
        <v>-13.2708999999999</v>
      </c>
      <c r="AD2223">
        <v>-1.112867948151</v>
      </c>
      <c r="AE2223">
        <v>-5.02259999999995</v>
      </c>
      <c r="AF2223">
        <v>-5.0062988716982701</v>
      </c>
      <c r="AG2223">
        <v>-1.112867948151</v>
      </c>
      <c r="AH2223">
        <v>13.1843083566913</v>
      </c>
      <c r="AI2223">
        <v>94.511924727332598</v>
      </c>
      <c r="AJ2223">
        <v>110.792593805829</v>
      </c>
      <c r="AK2223">
        <v>14.146642368672101</v>
      </c>
      <c r="AL2223">
        <v>86.367741788963102</v>
      </c>
      <c r="AM2223">
        <v>101.28862885738801</v>
      </c>
      <c r="AN2223">
        <v>0.999999991070329</v>
      </c>
    </row>
    <row r="2224" spans="1:40" x14ac:dyDescent="0.25">
      <c r="A2224" t="str">
        <f>"20190305135834861"</f>
        <v>20190305135834861</v>
      </c>
      <c r="B2224" t="str">
        <f>"1551765514850826"</f>
        <v>1551765514850826</v>
      </c>
      <c r="C2224" t="s">
        <v>40</v>
      </c>
      <c r="D2224">
        <v>3.9708679999999998</v>
      </c>
      <c r="E2224">
        <v>0.43442550000000002</v>
      </c>
      <c r="F2224" t="s">
        <v>58</v>
      </c>
      <c r="G2224">
        <v>-479.87729999999999</v>
      </c>
      <c r="H2224" s="1">
        <v>1.905977E-6</v>
      </c>
      <c r="I2224">
        <v>280.8648</v>
      </c>
      <c r="J2224">
        <v>-466.65800000000002</v>
      </c>
      <c r="K2224">
        <v>1.113076</v>
      </c>
      <c r="L2224">
        <v>285.97059999999999</v>
      </c>
      <c r="M2224">
        <v>-0.99978389999999995</v>
      </c>
      <c r="N2224">
        <v>-2.0741869999999999E-2</v>
      </c>
      <c r="O2224">
        <v>-1.4664459999999999E-3</v>
      </c>
      <c r="P2224">
        <v>-0.97887670000000004</v>
      </c>
      <c r="Q2224">
        <v>4.5008430000000002E-2</v>
      </c>
      <c r="R2224">
        <v>-0.1994359</v>
      </c>
      <c r="S2224">
        <v>-2.85907</v>
      </c>
      <c r="T2224">
        <v>-0.2342466</v>
      </c>
      <c r="U2224">
        <v>-1.0751949999999999</v>
      </c>
      <c r="V2224">
        <v>-0.19838310000000001</v>
      </c>
      <c r="W2224">
        <v>6.4135670000000006E-2</v>
      </c>
      <c r="X2224">
        <v>0.97802389999999995</v>
      </c>
      <c r="Y2224">
        <v>-0.34931060000000003</v>
      </c>
      <c r="Z2224">
        <v>-1.7478790000000001E-2</v>
      </c>
      <c r="AA2224">
        <v>0.93684389999999995</v>
      </c>
      <c r="AB2224">
        <v>37</v>
      </c>
      <c r="AC2224">
        <v>-13.219299999999899</v>
      </c>
      <c r="AD2224">
        <v>-1.1130740940229999</v>
      </c>
      <c r="AE2224">
        <v>-5.1057999999999799</v>
      </c>
      <c r="AF2224">
        <v>-5.0552172745875099</v>
      </c>
      <c r="AG2224">
        <v>-1.1130740940229999</v>
      </c>
      <c r="AH2224">
        <v>13.1456738066043</v>
      </c>
      <c r="AI2224">
        <v>94.518700863688906</v>
      </c>
      <c r="AJ2224">
        <v>111.034431279674</v>
      </c>
      <c r="AK2224">
        <v>14.1280888821424</v>
      </c>
      <c r="AL2224">
        <v>86.3227728507878</v>
      </c>
      <c r="AM2224">
        <v>101.466349427284</v>
      </c>
      <c r="AN2224">
        <v>0.99999999375158399</v>
      </c>
    </row>
    <row r="2225" spans="1:40" x14ac:dyDescent="0.25">
      <c r="A2225" t="str">
        <f>"20190305135834884"</f>
        <v>20190305135834884</v>
      </c>
      <c r="B2225" t="str">
        <f>"1551765514871322"</f>
        <v>1551765514871322</v>
      </c>
      <c r="C2225" t="s">
        <v>40</v>
      </c>
      <c r="D2225">
        <v>3.9560490000000001</v>
      </c>
      <c r="E2225">
        <v>0.43453059999999899</v>
      </c>
      <c r="F2225" t="s">
        <v>58</v>
      </c>
      <c r="G2225">
        <v>-480.39659999999998</v>
      </c>
      <c r="H2225" s="1">
        <v>1.9351470000000001E-6</v>
      </c>
      <c r="I2225">
        <v>280.71620000000001</v>
      </c>
      <c r="J2225">
        <v>-467.02809999999999</v>
      </c>
      <c r="K2225">
        <v>1.113334</v>
      </c>
      <c r="L2225">
        <v>285.96699999999998</v>
      </c>
      <c r="M2225">
        <v>-0.99976790000000004</v>
      </c>
      <c r="N2225">
        <v>-2.1108729999999999E-2</v>
      </c>
      <c r="O2225">
        <v>-4.3252450000000001E-3</v>
      </c>
      <c r="P2225">
        <v>-0.97762300000000002</v>
      </c>
      <c r="Q2225">
        <v>4.6413620000000003E-2</v>
      </c>
      <c r="R2225">
        <v>-0.20518169999999999</v>
      </c>
      <c r="S2225">
        <v>-2.8530579999999999</v>
      </c>
      <c r="T2225">
        <v>-0.2311492</v>
      </c>
      <c r="U2225">
        <v>-1.091156</v>
      </c>
      <c r="V2225">
        <v>-0.2013781</v>
      </c>
      <c r="W2225">
        <v>6.5763020000000005E-2</v>
      </c>
      <c r="X2225">
        <v>0.97730349999999999</v>
      </c>
      <c r="Y2225">
        <v>-0.35188079999999999</v>
      </c>
      <c r="Z2225">
        <v>-1.7345860000000001E-2</v>
      </c>
      <c r="AA2225">
        <v>0.9358841</v>
      </c>
      <c r="AB2225">
        <v>37</v>
      </c>
      <c r="AC2225">
        <v>-13.3684999999999</v>
      </c>
      <c r="AD2225">
        <v>-1.1133320648530001</v>
      </c>
      <c r="AE2225">
        <v>-5.2507999999999697</v>
      </c>
      <c r="AF2225">
        <v>-5.1618999488120503</v>
      </c>
      <c r="AG2225">
        <v>-1.1133320648530001</v>
      </c>
      <c r="AH2225">
        <v>13.3111093016376</v>
      </c>
      <c r="AI2225">
        <v>94.458968328024</v>
      </c>
      <c r="AJ2225">
        <v>111.19573802526099</v>
      </c>
      <c r="AK2225">
        <v>14.320277588382099</v>
      </c>
      <c r="AL2225">
        <v>86.229335373991503</v>
      </c>
      <c r="AM2225">
        <v>101.643113665923</v>
      </c>
      <c r="AN2225">
        <v>1.00000002253569</v>
      </c>
    </row>
    <row r="2226" spans="1:40" x14ac:dyDescent="0.25">
      <c r="A2226" t="str">
        <f>"20190305135834907"</f>
        <v>20190305135834907</v>
      </c>
      <c r="B2226" t="str">
        <f>"1551765514901579"</f>
        <v>1551765514901579</v>
      </c>
      <c r="C2226" t="s">
        <v>40</v>
      </c>
      <c r="D2226">
        <v>3.908776</v>
      </c>
      <c r="E2226">
        <v>0.44162099999999999</v>
      </c>
      <c r="F2226" t="s">
        <v>58</v>
      </c>
      <c r="G2226">
        <v>-481.04770000000002</v>
      </c>
      <c r="H2226" s="1">
        <v>2.032838E-6</v>
      </c>
      <c r="I2226">
        <v>280.51260000000002</v>
      </c>
      <c r="J2226">
        <v>-467.39850000000001</v>
      </c>
      <c r="K2226">
        <v>1.113632</v>
      </c>
      <c r="L2226">
        <v>285.96199999999999</v>
      </c>
      <c r="M2226">
        <v>-0.99974110000000005</v>
      </c>
      <c r="N2226">
        <v>-2.1469769999999999E-2</v>
      </c>
      <c r="O2226">
        <v>-7.5437239999999999E-3</v>
      </c>
      <c r="P2226">
        <v>-0.97623660000000001</v>
      </c>
      <c r="Q2226">
        <v>4.8325479999999997E-2</v>
      </c>
      <c r="R2226">
        <v>-0.21125060000000001</v>
      </c>
      <c r="S2226">
        <v>-2.8469540000000002</v>
      </c>
      <c r="T2226">
        <v>-0.22608400000000001</v>
      </c>
      <c r="U2226">
        <v>-1.1076349999999999</v>
      </c>
      <c r="V2226">
        <v>-0.20436289999999999</v>
      </c>
      <c r="W2226">
        <v>6.7865449999999994E-2</v>
      </c>
      <c r="X2226">
        <v>0.97653990000000002</v>
      </c>
      <c r="Y2226">
        <v>-0.3542902</v>
      </c>
      <c r="Z2226">
        <v>-1.7076609999999999E-2</v>
      </c>
      <c r="AA2226">
        <v>0.93497960000000002</v>
      </c>
      <c r="AB2226">
        <v>37</v>
      </c>
      <c r="AC2226">
        <v>-13.6492</v>
      </c>
      <c r="AD2226">
        <v>-1.113629967162</v>
      </c>
      <c r="AE2226">
        <v>-5.4493999999999598</v>
      </c>
      <c r="AF2226">
        <v>-5.3157343832531998</v>
      </c>
      <c r="AG2226">
        <v>-1.113629967162</v>
      </c>
      <c r="AH2226">
        <v>13.6117759676654</v>
      </c>
      <c r="AI2226">
        <v>94.358006149752399</v>
      </c>
      <c r="AJ2226">
        <v>111.331871901345</v>
      </c>
      <c r="AK2226">
        <v>14.6552942219177</v>
      </c>
      <c r="AL2226">
        <v>86.108605297201507</v>
      </c>
      <c r="AM2226">
        <v>101.81984857250799</v>
      </c>
      <c r="AN2226">
        <v>1.00000004524606</v>
      </c>
    </row>
    <row r="2227" spans="1:40" x14ac:dyDescent="0.25">
      <c r="A2227" t="str">
        <f>"20190305135834928"</f>
        <v>20190305135834928</v>
      </c>
      <c r="B2227" t="str">
        <f>"1551765514921098"</f>
        <v>1551765514921098</v>
      </c>
      <c r="C2227" t="s">
        <v>40</v>
      </c>
      <c r="D2227">
        <v>3.9098679999999999</v>
      </c>
      <c r="E2227">
        <v>0.4422683</v>
      </c>
      <c r="F2227" t="s">
        <v>58</v>
      </c>
      <c r="G2227">
        <v>-482.42559999999997</v>
      </c>
      <c r="H2227" s="1">
        <v>2.260469E-6</v>
      </c>
      <c r="I2227">
        <v>280.32060000000001</v>
      </c>
      <c r="J2227">
        <v>-467.75670000000002</v>
      </c>
      <c r="K2227">
        <v>1.1139650000000001</v>
      </c>
      <c r="L2227">
        <v>285.9556</v>
      </c>
      <c r="M2227">
        <v>-0.99970049999999999</v>
      </c>
      <c r="N2227">
        <v>-2.1820030000000001E-2</v>
      </c>
      <c r="O2227">
        <v>-1.108547E-2</v>
      </c>
      <c r="P2227">
        <v>-0.97479420000000006</v>
      </c>
      <c r="Q2227">
        <v>4.6875960000000001E-2</v>
      </c>
      <c r="R2227">
        <v>-0.21812580000000001</v>
      </c>
      <c r="S2227">
        <v>-2.851807</v>
      </c>
      <c r="T2227">
        <v>-0.21134169999999999</v>
      </c>
      <c r="U2227">
        <v>-1.0706180000000001</v>
      </c>
      <c r="V2227">
        <v>-0.20782900000000001</v>
      </c>
      <c r="W2227">
        <v>6.6568059999999998E-2</v>
      </c>
      <c r="X2227">
        <v>0.97589740000000003</v>
      </c>
      <c r="Y2227">
        <v>-0.3399915</v>
      </c>
      <c r="Z2227">
        <v>-1.54466E-2</v>
      </c>
      <c r="AA2227">
        <v>0.94030170000000002</v>
      </c>
      <c r="AB2227">
        <v>37</v>
      </c>
      <c r="AC2227">
        <v>-14.668899999999899</v>
      </c>
      <c r="AD2227">
        <v>-1.1139627395309999</v>
      </c>
      <c r="AE2227">
        <v>-5.63499999999999</v>
      </c>
      <c r="AF2227">
        <v>-5.4446418998750499</v>
      </c>
      <c r="AG2227">
        <v>-1.1139627395309999</v>
      </c>
      <c r="AH2227">
        <v>14.6568238161758</v>
      </c>
      <c r="AI2227">
        <v>94.075212941459995</v>
      </c>
      <c r="AJ2227">
        <v>110.37876690470701</v>
      </c>
      <c r="AK2227">
        <v>15.6750605351736</v>
      </c>
      <c r="AL2227">
        <v>86.183108470979604</v>
      </c>
      <c r="AM2227">
        <v>102.02222041850401</v>
      </c>
      <c r="AN2227">
        <v>0.99999996758996101</v>
      </c>
    </row>
    <row r="2228" spans="1:40" x14ac:dyDescent="0.25">
      <c r="A2228" t="str">
        <f>"20190305135834951"</f>
        <v>20190305135834951</v>
      </c>
      <c r="B2228" t="str">
        <f>"1551765514940618"</f>
        <v>1551765514940618</v>
      </c>
      <c r="C2228" t="s">
        <v>40</v>
      </c>
      <c r="D2228">
        <v>3.9045930000000002</v>
      </c>
      <c r="E2228">
        <v>0.44291530000000001</v>
      </c>
      <c r="F2228" t="s">
        <v>58</v>
      </c>
      <c r="G2228">
        <v>-482.10090000000002</v>
      </c>
      <c r="H2228" s="1">
        <v>2.2173240000000002E-6</v>
      </c>
      <c r="I2228">
        <v>280.48599999999999</v>
      </c>
      <c r="J2228">
        <v>-468.11930000000001</v>
      </c>
      <c r="K2228">
        <v>1.1143339999999999</v>
      </c>
      <c r="L2228">
        <v>285.94729999999998</v>
      </c>
      <c r="M2228">
        <v>-0.9996391</v>
      </c>
      <c r="N2228">
        <v>-2.2176560000000001E-2</v>
      </c>
      <c r="O2228">
        <v>-1.5164230000000001E-2</v>
      </c>
      <c r="P2228">
        <v>-0.97320399999999996</v>
      </c>
      <c r="Q2228">
        <v>4.258518E-2</v>
      </c>
      <c r="R2228">
        <v>-0.225966</v>
      </c>
      <c r="S2228">
        <v>-2.8453979999999999</v>
      </c>
      <c r="T2228">
        <v>-0.22097269999999999</v>
      </c>
      <c r="U2228">
        <v>-1.084991</v>
      </c>
      <c r="V2228">
        <v>-0.21172679999999999</v>
      </c>
      <c r="W2228">
        <v>6.2399660000000003E-2</v>
      </c>
      <c r="X2228">
        <v>0.97533479999999995</v>
      </c>
      <c r="Y2228">
        <v>-0.34091539999999998</v>
      </c>
      <c r="Z2228">
        <v>-1.5876270000000001E-2</v>
      </c>
      <c r="AA2228">
        <v>0.93995989999999996</v>
      </c>
      <c r="AB2228">
        <v>36</v>
      </c>
      <c r="AC2228">
        <v>-13.9816</v>
      </c>
      <c r="AD2228">
        <v>-1.114331782676</v>
      </c>
      <c r="AE2228">
        <v>-5.4612999999999898</v>
      </c>
      <c r="AF2228">
        <v>-5.21983181093265</v>
      </c>
      <c r="AG2228">
        <v>-1.114331782676</v>
      </c>
      <c r="AH2228">
        <v>13.985749962887301</v>
      </c>
      <c r="AI2228">
        <v>94.269020332970697</v>
      </c>
      <c r="AJ2228">
        <v>110.466832589126</v>
      </c>
      <c r="AK2228">
        <v>14.96962195517</v>
      </c>
      <c r="AL2228">
        <v>86.422438473694797</v>
      </c>
      <c r="AM2228">
        <v>102.247804019101</v>
      </c>
      <c r="AN2228">
        <v>0.99999996374869704</v>
      </c>
    </row>
    <row r="2229" spans="1:40" x14ac:dyDescent="0.25">
      <c r="A2229" t="str">
        <f>"20190305135834973"</f>
        <v>20190305135834973</v>
      </c>
      <c r="B2229" t="str">
        <f>"1551765514961117"</f>
        <v>1551765514961117</v>
      </c>
      <c r="C2229" t="s">
        <v>40</v>
      </c>
      <c r="D2229">
        <v>3.9004850000000002</v>
      </c>
      <c r="E2229">
        <v>0.4435327</v>
      </c>
      <c r="F2229" t="s">
        <v>58</v>
      </c>
      <c r="G2229">
        <v>-481.4932</v>
      </c>
      <c r="H2229" s="1">
        <v>2.1326710000000002E-6</v>
      </c>
      <c r="I2229">
        <v>280.75060000000002</v>
      </c>
      <c r="J2229">
        <v>-468.47320000000002</v>
      </c>
      <c r="K2229">
        <v>1.1147389999999999</v>
      </c>
      <c r="L2229">
        <v>285.93729999999999</v>
      </c>
      <c r="M2229">
        <v>-0.99955309999999997</v>
      </c>
      <c r="N2229">
        <v>-2.251767E-2</v>
      </c>
      <c r="O2229">
        <v>-1.9666880000000001E-2</v>
      </c>
      <c r="P2229">
        <v>-0.97132600000000002</v>
      </c>
      <c r="Q2229">
        <v>3.7330179999999998E-2</v>
      </c>
      <c r="R2229">
        <v>-0.2348035</v>
      </c>
      <c r="S2229">
        <v>-2.8369450000000001</v>
      </c>
      <c r="T2229">
        <v>-0.23637810000000001</v>
      </c>
      <c r="U2229">
        <v>-1.1023559999999999</v>
      </c>
      <c r="V2229">
        <v>-0.2162106</v>
      </c>
      <c r="W2229">
        <v>5.7215729999999999E-2</v>
      </c>
      <c r="X2229">
        <v>0.97466889999999995</v>
      </c>
      <c r="Y2229">
        <v>-0.34247129999999998</v>
      </c>
      <c r="Z2229">
        <v>-1.659445E-2</v>
      </c>
      <c r="AA2229">
        <v>0.93938169999999999</v>
      </c>
      <c r="AB2229">
        <v>36</v>
      </c>
      <c r="AC2229">
        <v>-13.0199999999999</v>
      </c>
      <c r="AD2229">
        <v>-1.1147368673289999</v>
      </c>
      <c r="AE2229">
        <v>-5.1866999999999699</v>
      </c>
      <c r="AF2229">
        <v>-4.8985784518506597</v>
      </c>
      <c r="AG2229">
        <v>-1.1147368673289999</v>
      </c>
      <c r="AH2229">
        <v>13.0370355617519</v>
      </c>
      <c r="AI2229">
        <v>94.576290695825193</v>
      </c>
      <c r="AJ2229">
        <v>110.593372272812</v>
      </c>
      <c r="AK2229">
        <v>13.971506911235499</v>
      </c>
      <c r="AL2229">
        <v>86.719989100788695</v>
      </c>
      <c r="AM2229">
        <v>102.507379468612</v>
      </c>
      <c r="AN2229">
        <v>1.0000000639694899</v>
      </c>
    </row>
    <row r="2230" spans="1:40" x14ac:dyDescent="0.25">
      <c r="A2230" t="str">
        <f>"20190305135834996"</f>
        <v>20190305135834996</v>
      </c>
      <c r="B2230" t="str">
        <f>"1551765514991370"</f>
        <v>1551765514991370</v>
      </c>
      <c r="C2230" t="s">
        <v>40</v>
      </c>
      <c r="D2230">
        <v>3.8872589999999998</v>
      </c>
      <c r="E2230">
        <v>0.44406459999999998</v>
      </c>
      <c r="F2230" t="s">
        <v>58</v>
      </c>
      <c r="G2230">
        <v>-480.65010000000001</v>
      </c>
      <c r="H2230" s="1">
        <v>2.0143860000000002E-6</v>
      </c>
      <c r="I2230">
        <v>281.10820000000001</v>
      </c>
      <c r="J2230">
        <v>-468.8297</v>
      </c>
      <c r="K2230">
        <v>1.115208</v>
      </c>
      <c r="L2230">
        <v>285.92500000000001</v>
      </c>
      <c r="M2230">
        <v>-0.99943230000000005</v>
      </c>
      <c r="N2230">
        <v>-2.2843760000000001E-2</v>
      </c>
      <c r="O2230">
        <v>-2.4763299999999999E-2</v>
      </c>
      <c r="P2230">
        <v>-0.96913009999999999</v>
      </c>
      <c r="Q2230">
        <v>3.4571539999999998E-2</v>
      </c>
      <c r="R2230">
        <v>-0.24411459999999999</v>
      </c>
      <c r="S2230">
        <v>-2.827423</v>
      </c>
      <c r="T2230">
        <v>-0.25883659999999997</v>
      </c>
      <c r="U2230">
        <v>-1.1213070000000001</v>
      </c>
      <c r="V2230">
        <v>-0.22062950000000001</v>
      </c>
      <c r="W2230">
        <v>5.4477240000000003E-2</v>
      </c>
      <c r="X2230">
        <v>0.97383509999999995</v>
      </c>
      <c r="Y2230">
        <v>-0.34397169999999999</v>
      </c>
      <c r="Z2230">
        <v>-1.7590999999999999E-2</v>
      </c>
      <c r="AA2230">
        <v>0.93881519999999996</v>
      </c>
      <c r="AB2230">
        <v>36</v>
      </c>
      <c r="AC2230">
        <v>-11.820399999999999</v>
      </c>
      <c r="AD2230">
        <v>-1.115205985614</v>
      </c>
      <c r="AE2230">
        <v>-4.8167999999999997</v>
      </c>
      <c r="AF2230">
        <v>-4.4882721436151298</v>
      </c>
      <c r="AG2230">
        <v>-1.115205985614</v>
      </c>
      <c r="AH2230">
        <v>11.845659830928</v>
      </c>
      <c r="AI2230">
        <v>95.031185528080499</v>
      </c>
      <c r="AJ2230">
        <v>110.75149349519801</v>
      </c>
      <c r="AK2230">
        <v>12.7164432155993</v>
      </c>
      <c r="AL2230">
        <v>86.877138030470206</v>
      </c>
      <c r="AM2230">
        <v>102.76528513703001</v>
      </c>
      <c r="AN2230">
        <v>0.99999997397013796</v>
      </c>
    </row>
    <row r="2231" spans="1:40" x14ac:dyDescent="0.25">
      <c r="A2231" t="str">
        <f>"20190305135835019"</f>
        <v>20190305135835019</v>
      </c>
      <c r="B2231" t="str">
        <f>"1551765515010890"</f>
        <v>1551765515010890</v>
      </c>
      <c r="C2231" t="s">
        <v>40</v>
      </c>
      <c r="D2231">
        <v>3.9141189999999999</v>
      </c>
      <c r="E2231">
        <v>0.44856469999999998</v>
      </c>
      <c r="F2231" t="s">
        <v>58</v>
      </c>
      <c r="G2231">
        <v>-480.40480000000002</v>
      </c>
      <c r="H2231" s="1">
        <v>1.9816919999999998E-6</v>
      </c>
      <c r="I2231">
        <v>281.2321</v>
      </c>
      <c r="J2231">
        <v>-469.1891</v>
      </c>
      <c r="K2231">
        <v>1.115737</v>
      </c>
      <c r="L2231">
        <v>285.9101</v>
      </c>
      <c r="M2231">
        <v>-0.99926579999999998</v>
      </c>
      <c r="N2231">
        <v>-2.316006E-2</v>
      </c>
      <c r="O2231">
        <v>-3.0524639999999999E-2</v>
      </c>
      <c r="P2231">
        <v>-0.96662289999999995</v>
      </c>
      <c r="Q2231">
        <v>3.5788559999999997E-2</v>
      </c>
      <c r="R2231">
        <v>-0.25369269999999999</v>
      </c>
      <c r="S2231">
        <v>-2.8175050000000001</v>
      </c>
      <c r="T2231">
        <v>-0.27145469999999999</v>
      </c>
      <c r="U2231">
        <v>-1.1423030000000001</v>
      </c>
      <c r="V2231">
        <v>-0.2247352</v>
      </c>
      <c r="W2231">
        <v>5.5677989999999997E-2</v>
      </c>
      <c r="X2231">
        <v>0.97282789999999997</v>
      </c>
      <c r="Y2231">
        <v>-0.3455783</v>
      </c>
      <c r="Z2231">
        <v>-1.8007720000000001E-2</v>
      </c>
      <c r="AA2231">
        <v>0.93821719999999997</v>
      </c>
      <c r="AB2231">
        <v>36</v>
      </c>
      <c r="AC2231">
        <v>-11.2157</v>
      </c>
      <c r="AD2231">
        <v>-1.1157350183079999</v>
      </c>
      <c r="AE2231">
        <v>-4.6779999999999902</v>
      </c>
      <c r="AF2231">
        <v>-4.29714816661689</v>
      </c>
      <c r="AG2231">
        <v>-1.1157350183079999</v>
      </c>
      <c r="AH2231">
        <v>11.2583982123199</v>
      </c>
      <c r="AI2231">
        <v>95.289791382179601</v>
      </c>
      <c r="AJ2231">
        <v>110.891045142168</v>
      </c>
      <c r="AK2231">
        <v>12.102143500393099</v>
      </c>
      <c r="AL2231">
        <v>86.808235726209901</v>
      </c>
      <c r="AM2231">
        <v>103.007838165134</v>
      </c>
      <c r="AN2231">
        <v>1.00000003585394</v>
      </c>
    </row>
    <row r="2232" spans="1:40" x14ac:dyDescent="0.25">
      <c r="A2232" t="str">
        <f>"20190305135835041"</f>
        <v>20190305135835041</v>
      </c>
      <c r="B2232" t="str">
        <f>"1551765515031386"</f>
        <v>1551765515031386</v>
      </c>
      <c r="C2232" t="s">
        <v>40</v>
      </c>
      <c r="D2232">
        <v>3.9440680000000001</v>
      </c>
      <c r="E2232">
        <v>0.44908969999999998</v>
      </c>
      <c r="F2232" t="s">
        <v>58</v>
      </c>
      <c r="G2232">
        <v>-481.30220000000003</v>
      </c>
      <c r="H2232" s="1">
        <v>2.1224849999999998E-6</v>
      </c>
      <c r="I2232">
        <v>281.02159999999998</v>
      </c>
      <c r="J2232">
        <v>-469.52710000000002</v>
      </c>
      <c r="K2232">
        <v>1.11626</v>
      </c>
      <c r="L2232">
        <v>285.89339999999999</v>
      </c>
      <c r="M2232">
        <v>-0.99905600000000006</v>
      </c>
      <c r="N2232">
        <v>-2.3445790000000001E-2</v>
      </c>
      <c r="O2232">
        <v>-3.6571579999999999E-2</v>
      </c>
      <c r="P2232">
        <v>-0.96407089999999995</v>
      </c>
      <c r="Q2232">
        <v>4.0384580000000003E-2</v>
      </c>
      <c r="R2232">
        <v>-0.2625574</v>
      </c>
      <c r="S2232">
        <v>-2.8150629999999999</v>
      </c>
      <c r="T2232">
        <v>-0.2592951</v>
      </c>
      <c r="U2232">
        <v>-1.1360779999999999</v>
      </c>
      <c r="V2232">
        <v>-0.22791420000000001</v>
      </c>
      <c r="W2232">
        <v>6.0237939999999997E-2</v>
      </c>
      <c r="X2232">
        <v>0.97181609999999996</v>
      </c>
      <c r="Y2232">
        <v>-0.338559</v>
      </c>
      <c r="Z2232">
        <v>-1.6701179999999999E-2</v>
      </c>
      <c r="AA2232">
        <v>0.94079699999999999</v>
      </c>
      <c r="AB2232">
        <v>35</v>
      </c>
      <c r="AC2232">
        <v>-11.7751</v>
      </c>
      <c r="AD2232">
        <v>-1.1162578775150001</v>
      </c>
      <c r="AE2232">
        <v>-4.8718000000000004</v>
      </c>
      <c r="AF2232">
        <v>-4.4039940023075204</v>
      </c>
      <c r="AG2232">
        <v>-1.1162578775150001</v>
      </c>
      <c r="AH2232">
        <v>11.8544751581505</v>
      </c>
      <c r="AI2232">
        <v>95.044365677973104</v>
      </c>
      <c r="AJ2232">
        <v>110.380271410144</v>
      </c>
      <c r="AK2232">
        <v>12.6952658931069</v>
      </c>
      <c r="AL2232">
        <v>86.546529612785704</v>
      </c>
      <c r="AM2232">
        <v>103.198703033047</v>
      </c>
      <c r="AN2232">
        <v>1.00000001209814</v>
      </c>
    </row>
    <row r="2233" spans="1:40" x14ac:dyDescent="0.25">
      <c r="A2233" t="str">
        <f>"20190305135835062"</f>
        <v>20190305135835062</v>
      </c>
      <c r="B2233" t="str">
        <f>"1551765515050906"</f>
        <v>1551765515050906</v>
      </c>
      <c r="C2233" t="s">
        <v>40</v>
      </c>
      <c r="D2233">
        <v>3.9429120000000002</v>
      </c>
      <c r="E2233">
        <v>0.4498394</v>
      </c>
      <c r="F2233" t="s">
        <v>58</v>
      </c>
      <c r="G2233">
        <v>-482.27010000000001</v>
      </c>
      <c r="H2233" s="1">
        <v>2.260078E-6</v>
      </c>
      <c r="I2233">
        <v>280.63170000000002</v>
      </c>
      <c r="J2233">
        <v>-469.86509999999998</v>
      </c>
      <c r="K2233">
        <v>1.116762</v>
      </c>
      <c r="L2233">
        <v>285.8741</v>
      </c>
      <c r="M2233">
        <v>-0.99878750000000005</v>
      </c>
      <c r="N2233">
        <v>-2.371612E-2</v>
      </c>
      <c r="O2233">
        <v>-4.3143059999999997E-2</v>
      </c>
      <c r="P2233">
        <v>-0.96124489999999996</v>
      </c>
      <c r="Q2233">
        <v>4.737094E-2</v>
      </c>
      <c r="R2233">
        <v>-0.2715959</v>
      </c>
      <c r="S2233">
        <v>-2.8065190000000002</v>
      </c>
      <c r="T2233">
        <v>-0.2458448</v>
      </c>
      <c r="U2233">
        <v>-1.158844</v>
      </c>
      <c r="V2233">
        <v>-0.2308259</v>
      </c>
      <c r="W2233">
        <v>6.7178929999999998E-2</v>
      </c>
      <c r="X2233">
        <v>0.97067309999999996</v>
      </c>
      <c r="Y2233">
        <v>-0.34003470000000002</v>
      </c>
      <c r="Z2233">
        <v>-1.5851609999999999E-2</v>
      </c>
      <c r="AA2233">
        <v>0.94027930000000004</v>
      </c>
      <c r="AB2233">
        <v>35</v>
      </c>
      <c r="AC2233">
        <v>-12.404999999999999</v>
      </c>
      <c r="AD2233">
        <v>-1.1167597399219999</v>
      </c>
      <c r="AE2233">
        <v>-5.2423999999999698</v>
      </c>
      <c r="AF2233">
        <v>-4.6700626483835599</v>
      </c>
      <c r="AG2233">
        <v>-1.1167597399219999</v>
      </c>
      <c r="AH2233">
        <v>12.533494600565099</v>
      </c>
      <c r="AI2233">
        <v>94.772802994815905</v>
      </c>
      <c r="AJ2233">
        <v>110.43572500619</v>
      </c>
      <c r="AK2233">
        <v>13.4218152408283</v>
      </c>
      <c r="AL2233">
        <v>86.148029549006495</v>
      </c>
      <c r="AM2233">
        <v>103.376479181069</v>
      </c>
      <c r="AN2233">
        <v>0.99999993590517999</v>
      </c>
    </row>
    <row r="2234" spans="1:40" x14ac:dyDescent="0.25">
      <c r="A2234" t="str">
        <f>"20190305135835086"</f>
        <v>20190305135835086</v>
      </c>
      <c r="B2234" t="str">
        <f>"1551765515081166"</f>
        <v>1551765515081166</v>
      </c>
      <c r="C2234" t="s">
        <v>40</v>
      </c>
      <c r="D2234">
        <v>3.9579270000000002</v>
      </c>
      <c r="E2234">
        <v>0.45091300000000001</v>
      </c>
      <c r="F2234" t="s">
        <v>58</v>
      </c>
      <c r="G2234">
        <v>-483.63290000000001</v>
      </c>
      <c r="H2234" s="1">
        <v>2.4524250000000001E-6</v>
      </c>
      <c r="I2234">
        <v>280.06659999999999</v>
      </c>
      <c r="J2234">
        <v>-470.21980000000002</v>
      </c>
      <c r="K2234">
        <v>1.117256</v>
      </c>
      <c r="L2234">
        <v>285.85070000000002</v>
      </c>
      <c r="M2234">
        <v>-0.99842920000000002</v>
      </c>
      <c r="N2234">
        <v>-2.3973709999999999E-2</v>
      </c>
      <c r="O2234">
        <v>-5.0639799999999999E-2</v>
      </c>
      <c r="P2234">
        <v>-0.95763710000000002</v>
      </c>
      <c r="Q2234">
        <v>5.4399290000000003E-2</v>
      </c>
      <c r="R2234">
        <v>-0.28279310000000002</v>
      </c>
      <c r="S2234">
        <v>-2.798584</v>
      </c>
      <c r="T2234">
        <v>-0.22700239999999999</v>
      </c>
      <c r="U2234">
        <v>-1.1804809999999999</v>
      </c>
      <c r="V2234">
        <v>-0.2350698</v>
      </c>
      <c r="W2234">
        <v>7.410862E-2</v>
      </c>
      <c r="X2234">
        <v>0.96914920000000004</v>
      </c>
      <c r="Y2234">
        <v>-0.3402848</v>
      </c>
      <c r="Z2234">
        <v>-1.4715570000000001E-2</v>
      </c>
      <c r="AA2234">
        <v>0.94020720000000002</v>
      </c>
      <c r="AB2234">
        <v>35</v>
      </c>
      <c r="AC2234">
        <v>-13.413099999999901</v>
      </c>
      <c r="AD2234">
        <v>-1.1172535475749901</v>
      </c>
      <c r="AE2234">
        <v>-5.78410000000002</v>
      </c>
      <c r="AF2234">
        <v>-5.0675958307483997</v>
      </c>
      <c r="AG2234">
        <v>-1.1172535475749901</v>
      </c>
      <c r="AH2234">
        <v>13.609252888863599</v>
      </c>
      <c r="AI2234">
        <v>94.399358557525503</v>
      </c>
      <c r="AJ2234">
        <v>110.423519229188</v>
      </c>
      <c r="AK2234">
        <v>14.565045389096101</v>
      </c>
      <c r="AL2234">
        <v>85.749992691879797</v>
      </c>
      <c r="AM2234">
        <v>103.63394869728199</v>
      </c>
      <c r="AN2234">
        <v>1.0000000351454901</v>
      </c>
    </row>
    <row r="2235" spans="1:40" x14ac:dyDescent="0.25">
      <c r="A2235" t="str">
        <f>"20190305135835108"</f>
        <v>20190305135835108</v>
      </c>
      <c r="B2235" t="str">
        <f>"1551765515100686"</f>
        <v>1551765515100686</v>
      </c>
      <c r="C2235" t="s">
        <v>40</v>
      </c>
      <c r="D2235">
        <v>4.307436</v>
      </c>
      <c r="E2235">
        <v>0.4512757</v>
      </c>
      <c r="F2235" t="s">
        <v>58</v>
      </c>
      <c r="G2235">
        <v>-485.1139</v>
      </c>
      <c r="H2235" s="1">
        <v>2.604439E-6</v>
      </c>
      <c r="I2235">
        <v>279.41460000000001</v>
      </c>
      <c r="J2235">
        <v>-470.56009999999998</v>
      </c>
      <c r="K2235">
        <v>1.117707</v>
      </c>
      <c r="L2235">
        <v>285.82530000000003</v>
      </c>
      <c r="M2235">
        <v>-0.99799789999999999</v>
      </c>
      <c r="N2235">
        <v>-2.4198560000000001E-2</v>
      </c>
      <c r="O2235">
        <v>-5.8437919999999997E-2</v>
      </c>
      <c r="P2235">
        <v>-0.95431069999999996</v>
      </c>
      <c r="Q2235">
        <v>5.5732249999999997E-2</v>
      </c>
      <c r="R2235">
        <v>-0.2935738</v>
      </c>
      <c r="S2235">
        <v>-2.7886959999999998</v>
      </c>
      <c r="T2235">
        <v>-0.20918929999999999</v>
      </c>
      <c r="U2235">
        <v>-1.2050780000000001</v>
      </c>
      <c r="V2235">
        <v>-0.23853769999999999</v>
      </c>
      <c r="W2235">
        <v>7.5333510000000006E-2</v>
      </c>
      <c r="X2235">
        <v>0.96820689999999998</v>
      </c>
      <c r="Y2235">
        <v>-0.34129749999999998</v>
      </c>
      <c r="Z2235">
        <v>-1.3732980000000001E-2</v>
      </c>
      <c r="AA2235">
        <v>0.939855</v>
      </c>
      <c r="AB2235">
        <v>35</v>
      </c>
      <c r="AC2235">
        <v>-14.553800000000001</v>
      </c>
      <c r="AD2235">
        <v>-1.117704395561</v>
      </c>
      <c r="AE2235">
        <v>-6.4107000000000101</v>
      </c>
      <c r="AF2235">
        <v>-5.5217203850858096</v>
      </c>
      <c r="AG2235">
        <v>-1.117704395561</v>
      </c>
      <c r="AH2235">
        <v>14.830395743698499</v>
      </c>
      <c r="AI2235">
        <v>94.040041126984207</v>
      </c>
      <c r="AJ2235">
        <v>110.42153404626499</v>
      </c>
      <c r="AK2235">
        <v>15.8644034568477</v>
      </c>
      <c r="AL2235">
        <v>85.679614709587</v>
      </c>
      <c r="AM2235">
        <v>103.840359130271</v>
      </c>
      <c r="AN2235">
        <v>0.99999998662890999</v>
      </c>
    </row>
    <row r="2236" spans="1:40" x14ac:dyDescent="0.25">
      <c r="A2236" t="str">
        <f>"20190305135835129"</f>
        <v>20190305135835129</v>
      </c>
      <c r="B2236" t="str">
        <f>"1551765515121178"</f>
        <v>1551765515121178</v>
      </c>
      <c r="C2236" t="s">
        <v>40</v>
      </c>
      <c r="D2236">
        <v>3.9398</v>
      </c>
      <c r="E2236">
        <v>0.45347730000000003</v>
      </c>
      <c r="F2236" t="s">
        <v>58</v>
      </c>
      <c r="G2236">
        <v>-485.60090000000002</v>
      </c>
      <c r="H2236" s="1">
        <v>2.5952250000000002E-6</v>
      </c>
      <c r="I2236">
        <v>279.14409999999998</v>
      </c>
      <c r="J2236">
        <v>-470.88420000000002</v>
      </c>
      <c r="K2236">
        <v>1.1181239999999999</v>
      </c>
      <c r="L2236">
        <v>285.79790000000003</v>
      </c>
      <c r="M2236">
        <v>-0.99749089999999996</v>
      </c>
      <c r="N2236">
        <v>-2.4399089999999998E-2</v>
      </c>
      <c r="O2236">
        <v>-6.6457730000000007E-2</v>
      </c>
      <c r="P2236">
        <v>-0.95152530000000002</v>
      </c>
      <c r="Q2236">
        <v>4.814537E-2</v>
      </c>
      <c r="R2236">
        <v>-0.30377910000000002</v>
      </c>
      <c r="S2236">
        <v>-2.7763369999999998</v>
      </c>
      <c r="T2236">
        <v>-0.20631369999999999</v>
      </c>
      <c r="U2236">
        <v>-1.2332459999999901</v>
      </c>
      <c r="V2236">
        <v>-0.24105370000000001</v>
      </c>
      <c r="W2236">
        <v>6.7644250000000003E-2</v>
      </c>
      <c r="X2236">
        <v>0.96815150000000005</v>
      </c>
      <c r="Y2236">
        <v>-0.34328029999999998</v>
      </c>
      <c r="Z2236">
        <v>-1.3412840000000001E-2</v>
      </c>
      <c r="AA2236">
        <v>0.93913720000000001</v>
      </c>
      <c r="AB2236">
        <v>35</v>
      </c>
      <c r="AC2236">
        <v>-14.716699999999999</v>
      </c>
      <c r="AD2236">
        <v>-1.1181214047750001</v>
      </c>
      <c r="AE2236">
        <v>-6.6538000000000403</v>
      </c>
      <c r="AF2236">
        <v>-5.6337507211240796</v>
      </c>
      <c r="AG2236">
        <v>-1.1181214047750001</v>
      </c>
      <c r="AH2236">
        <v>15.054322848553801</v>
      </c>
      <c r="AI2236">
        <v>93.979147485646095</v>
      </c>
      <c r="AJ2236">
        <v>110.517261649779</v>
      </c>
      <c r="AK2236">
        <v>16.112789302044298</v>
      </c>
      <c r="AL2236">
        <v>86.121308056875804</v>
      </c>
      <c r="AM2236">
        <v>103.98141243113599</v>
      </c>
      <c r="AN2236">
        <v>0.99999997889700099</v>
      </c>
    </row>
    <row r="2237" spans="1:40" x14ac:dyDescent="0.25">
      <c r="A2237" t="str">
        <f>"20190305135835152"</f>
        <v>20190305135835152</v>
      </c>
      <c r="B2237" t="str">
        <f>"1551765515140699"</f>
        <v>1551765515140699</v>
      </c>
      <c r="C2237" t="s">
        <v>40</v>
      </c>
      <c r="D2237">
        <v>4.1419290000000002</v>
      </c>
      <c r="E2237">
        <v>0.45493169999999999</v>
      </c>
      <c r="F2237" t="s">
        <v>58</v>
      </c>
      <c r="G2237">
        <v>-483.9538</v>
      </c>
      <c r="H2237" s="1">
        <v>2.4958939999999999E-6</v>
      </c>
      <c r="I2237">
        <v>279.9128</v>
      </c>
      <c r="J2237">
        <v>-471.22089999999997</v>
      </c>
      <c r="K2237">
        <v>1.118557</v>
      </c>
      <c r="L2237">
        <v>285.76609999999999</v>
      </c>
      <c r="M2237">
        <v>-0.99684830000000002</v>
      </c>
      <c r="N2237">
        <v>-2.4597810000000001E-2</v>
      </c>
      <c r="O2237">
        <v>-7.5421349999999998E-2</v>
      </c>
      <c r="P2237">
        <v>-0.94870960000000004</v>
      </c>
      <c r="Q2237">
        <v>3.8103159999999997E-2</v>
      </c>
      <c r="R2237">
        <v>-0.31384469999999998</v>
      </c>
      <c r="S2237">
        <v>-2.7670590000000002</v>
      </c>
      <c r="T2237">
        <v>-0.2367263</v>
      </c>
      <c r="U2237">
        <v>-1.2459720000000001</v>
      </c>
      <c r="V2237">
        <v>-0.24247250000000001</v>
      </c>
      <c r="W2237">
        <v>5.7499450000000001E-2</v>
      </c>
      <c r="X2237">
        <v>0.96845289999999995</v>
      </c>
      <c r="Y2237">
        <v>-0.33936660000000002</v>
      </c>
      <c r="Z2237">
        <v>-1.386186E-2</v>
      </c>
      <c r="AA2237">
        <v>0.9405521</v>
      </c>
      <c r="AB2237">
        <v>34</v>
      </c>
      <c r="AC2237">
        <v>-12.732900000000001</v>
      </c>
      <c r="AD2237">
        <v>-1.1185545041060001</v>
      </c>
      <c r="AE2237">
        <v>-5.8532999999999902</v>
      </c>
      <c r="AF2237">
        <v>-4.8451273289261598</v>
      </c>
      <c r="AG2237">
        <v>-1.1185545041060001</v>
      </c>
      <c r="AH2237">
        <v>13.0550368688895</v>
      </c>
      <c r="AI2237">
        <v>94.5924988540973</v>
      </c>
      <c r="AJ2237">
        <v>110.36144514428899</v>
      </c>
      <c r="AK2237">
        <v>13.969982486038599</v>
      </c>
      <c r="AL2237">
        <v>86.703706322988197</v>
      </c>
      <c r="AM2237">
        <v>104.056246888339</v>
      </c>
      <c r="AN2237">
        <v>1.0000000597624701</v>
      </c>
    </row>
    <row r="2238" spans="1:40" x14ac:dyDescent="0.25">
      <c r="A2238" t="str">
        <f>"20190305135835175"</f>
        <v>20190305135835175</v>
      </c>
      <c r="B2238" t="str">
        <f>"1551765515170955"</f>
        <v>1551765515170955</v>
      </c>
      <c r="C2238" t="s">
        <v>40</v>
      </c>
      <c r="D2238">
        <v>3.9257089999999999</v>
      </c>
      <c r="E2238">
        <v>0.45613799999999999</v>
      </c>
      <c r="F2238" t="s">
        <v>58</v>
      </c>
      <c r="G2238">
        <v>-482.2543</v>
      </c>
      <c r="H2238" s="1">
        <v>2.2636039999999999E-6</v>
      </c>
      <c r="I2238">
        <v>280.70409999999998</v>
      </c>
      <c r="J2238">
        <v>-471.5634</v>
      </c>
      <c r="K2238">
        <v>1.1190359999999999</v>
      </c>
      <c r="L2238">
        <v>285.73</v>
      </c>
      <c r="M2238">
        <v>-0.99605600000000005</v>
      </c>
      <c r="N2238">
        <v>-2.4791230000000001E-2</v>
      </c>
      <c r="O2238">
        <v>-8.5192749999999998E-2</v>
      </c>
      <c r="P2238">
        <v>-0.94488689999999997</v>
      </c>
      <c r="Q2238">
        <v>3.3923219999999997E-2</v>
      </c>
      <c r="R2238">
        <v>-0.3256347</v>
      </c>
      <c r="S2238">
        <v>-2.7552189999999999</v>
      </c>
      <c r="T2238">
        <v>-0.27932289999999999</v>
      </c>
      <c r="U2238">
        <v>-1.2640690000000001</v>
      </c>
      <c r="V2238">
        <v>-0.2450137</v>
      </c>
      <c r="W2238">
        <v>5.316307E-2</v>
      </c>
      <c r="X2238">
        <v>0.9680609</v>
      </c>
      <c r="Y2238">
        <v>-0.33640759999999997</v>
      </c>
      <c r="Z2238">
        <v>-1.444311E-2</v>
      </c>
      <c r="AA2238">
        <v>0.94160569999999999</v>
      </c>
      <c r="AB2238">
        <v>34</v>
      </c>
      <c r="AC2238">
        <v>-10.690899999999999</v>
      </c>
      <c r="AD2238">
        <v>-1.1190337363959999</v>
      </c>
      <c r="AE2238">
        <v>-5.0259000000000302</v>
      </c>
      <c r="AF2238">
        <v>-4.0601181127473804</v>
      </c>
      <c r="AG2238">
        <v>-1.1190337363959999</v>
      </c>
      <c r="AH2238">
        <v>10.981770891167301</v>
      </c>
      <c r="AI2238">
        <v>95.459532663932706</v>
      </c>
      <c r="AJ2238">
        <v>110.290075812718</v>
      </c>
      <c r="AK2238">
        <v>11.7616362594131</v>
      </c>
      <c r="AL2238">
        <v>86.952543696718905</v>
      </c>
      <c r="AM2238">
        <v>104.20315018664</v>
      </c>
      <c r="AN2238">
        <v>0.99999996565416105</v>
      </c>
    </row>
    <row r="2239" spans="1:40" x14ac:dyDescent="0.25">
      <c r="A2239" t="str">
        <f>"20190305135835198"</f>
        <v>20190305135835198</v>
      </c>
      <c r="B2239" t="str">
        <f>"1551765515180714"</f>
        <v>1551765515180714</v>
      </c>
      <c r="C2239" t="s">
        <v>40</v>
      </c>
      <c r="D2239">
        <v>3.9394279999999999</v>
      </c>
      <c r="E2239">
        <v>0.45637480000000002</v>
      </c>
      <c r="F2239" t="s">
        <v>58</v>
      </c>
      <c r="G2239">
        <v>-481.94889999999998</v>
      </c>
      <c r="H2239" s="1">
        <v>2.2221709999999999E-6</v>
      </c>
      <c r="I2239">
        <v>280.84969999999998</v>
      </c>
      <c r="J2239">
        <v>-471.88780000000003</v>
      </c>
      <c r="K2239">
        <v>1.119515</v>
      </c>
      <c r="L2239">
        <v>285.69200000000001</v>
      </c>
      <c r="M2239">
        <v>-0.99515659999999895</v>
      </c>
      <c r="N2239">
        <v>-2.4965279999999999E-2</v>
      </c>
      <c r="O2239">
        <v>-9.5079399999999994E-2</v>
      </c>
      <c r="P2239">
        <v>-0.93981619999999999</v>
      </c>
      <c r="Q2239">
        <v>3.6944310000000001E-2</v>
      </c>
      <c r="R2239">
        <v>-0.33967770000000003</v>
      </c>
      <c r="S2239">
        <v>-2.7416079999999998</v>
      </c>
      <c r="T2239">
        <v>-0.29540509999999998</v>
      </c>
      <c r="U2239">
        <v>-1.2883</v>
      </c>
      <c r="V2239">
        <v>-0.24995999999999999</v>
      </c>
      <c r="W2239">
        <v>5.5950800000000002E-2</v>
      </c>
      <c r="X2239">
        <v>0.96663829999999995</v>
      </c>
      <c r="Y2239">
        <v>-0.33553680000000002</v>
      </c>
      <c r="Z2239">
        <v>-1.416325E-2</v>
      </c>
      <c r="AA2239">
        <v>0.9419206</v>
      </c>
      <c r="AB2239">
        <v>34</v>
      </c>
      <c r="AC2239">
        <v>-10.0610999999999</v>
      </c>
      <c r="AD2239">
        <v>-1.1195127778289999</v>
      </c>
      <c r="AE2239">
        <v>-4.8423000000000203</v>
      </c>
      <c r="AF2239">
        <v>-3.8249959709447401</v>
      </c>
      <c r="AG2239">
        <v>-1.1195127778289999</v>
      </c>
      <c r="AH2239">
        <v>10.3717736072485</v>
      </c>
      <c r="AI2239">
        <v>95.782695792104306</v>
      </c>
      <c r="AJ2239">
        <v>110.243419287375</v>
      </c>
      <c r="AK2239">
        <v>11.1111471413838</v>
      </c>
      <c r="AL2239">
        <v>86.792580501124405</v>
      </c>
      <c r="AM2239">
        <v>104.498352039406</v>
      </c>
      <c r="AN2239">
        <v>1.0000000483237601</v>
      </c>
    </row>
    <row r="2240" spans="1:40" x14ac:dyDescent="0.25">
      <c r="A2240" t="str">
        <f>"20190305135835219"</f>
        <v>20190305135835219</v>
      </c>
      <c r="B2240" t="str">
        <f>"1551765515210970"</f>
        <v>1551765515210970</v>
      </c>
      <c r="C2240" t="s">
        <v>40</v>
      </c>
      <c r="D2240">
        <v>4.2641220000000004</v>
      </c>
      <c r="E2240">
        <v>0.4574145</v>
      </c>
      <c r="F2240" t="s">
        <v>58</v>
      </c>
      <c r="G2240">
        <v>-482.4649</v>
      </c>
      <c r="H2240" s="1">
        <v>2.2872089999999999E-6</v>
      </c>
      <c r="I2240">
        <v>280.54680000000002</v>
      </c>
      <c r="J2240">
        <v>-472.20740000000001</v>
      </c>
      <c r="K2240">
        <v>1.11998</v>
      </c>
      <c r="L2240">
        <v>285.65050000000002</v>
      </c>
      <c r="M2240">
        <v>-0.99410779999999999</v>
      </c>
      <c r="N2240">
        <v>-2.5126840000000001E-2</v>
      </c>
      <c r="O2240">
        <v>-0.1054441</v>
      </c>
      <c r="P2240">
        <v>-0.93412740000000005</v>
      </c>
      <c r="Q2240">
        <v>4.218235E-2</v>
      </c>
      <c r="R2240">
        <v>-0.3544387</v>
      </c>
      <c r="S2240">
        <v>-2.7244259999999998</v>
      </c>
      <c r="T2240">
        <v>-0.28836060000000002</v>
      </c>
      <c r="U2240">
        <v>-1.3252870000000001</v>
      </c>
      <c r="V2240">
        <v>-0.25531209999999999</v>
      </c>
      <c r="W2240">
        <v>6.093237E-2</v>
      </c>
      <c r="X2240">
        <v>0.96493680000000004</v>
      </c>
      <c r="Y2240">
        <v>-0.33847349999999998</v>
      </c>
      <c r="Z2240">
        <v>-1.347314E-2</v>
      </c>
      <c r="AA2240">
        <v>0.94087949999999998</v>
      </c>
      <c r="AB2240">
        <v>34</v>
      </c>
      <c r="AC2240">
        <v>-10.257499999999901</v>
      </c>
      <c r="AD2240">
        <v>-1.119977712791</v>
      </c>
      <c r="AE2240">
        <v>-5.1036999999999999</v>
      </c>
      <c r="AF2240">
        <v>-3.95549720196757</v>
      </c>
      <c r="AG2240">
        <v>-1.119977712791</v>
      </c>
      <c r="AH2240">
        <v>10.636959544709001</v>
      </c>
      <c r="AI2240">
        <v>95.636187963346003</v>
      </c>
      <c r="AJ2240">
        <v>110.398331509179</v>
      </c>
      <c r="AK2240">
        <v>11.4037369553887</v>
      </c>
      <c r="AL2240">
        <v>86.506668526003594</v>
      </c>
      <c r="AM2240">
        <v>104.82024569311599</v>
      </c>
      <c r="AN2240">
        <v>1.0000000250572301</v>
      </c>
    </row>
    <row r="2241" spans="1:40" x14ac:dyDescent="0.25">
      <c r="A2241" t="str">
        <f>"20190305135835233"</f>
        <v>20190305135835233</v>
      </c>
      <c r="B2241" t="str">
        <f>"1551765515220731"</f>
        <v>1551765515220731</v>
      </c>
      <c r="C2241" t="s">
        <v>40</v>
      </c>
      <c r="D2241">
        <v>3.9493490000000002</v>
      </c>
      <c r="E2241">
        <v>0.45761309999999999</v>
      </c>
      <c r="F2241" t="s">
        <v>58</v>
      </c>
      <c r="G2241">
        <v>-483.36410000000001</v>
      </c>
      <c r="H2241" s="1">
        <v>2.4034120000000001E-6</v>
      </c>
      <c r="I2241">
        <v>280.0514</v>
      </c>
      <c r="J2241">
        <v>-472.42070000000001</v>
      </c>
      <c r="K2241">
        <v>1.1202620000000001</v>
      </c>
      <c r="L2241">
        <v>285.62040000000002</v>
      </c>
      <c r="M2241">
        <v>-0.99330629999999998</v>
      </c>
      <c r="N2241">
        <v>-2.5224610000000001E-2</v>
      </c>
      <c r="O2241">
        <v>-0.1127223</v>
      </c>
      <c r="P2241">
        <v>-0.93067770000000005</v>
      </c>
      <c r="Q2241">
        <v>4.294978E-2</v>
      </c>
      <c r="R2241">
        <v>-0.36331010000000002</v>
      </c>
      <c r="S2241">
        <v>-2.7081599999999999</v>
      </c>
      <c r="T2241">
        <v>-0.27186110000000002</v>
      </c>
      <c r="U2241">
        <v>-1.3591</v>
      </c>
      <c r="V2241">
        <v>-0.25749070000000002</v>
      </c>
      <c r="W2241">
        <v>6.1561079999999997E-2</v>
      </c>
      <c r="X2241">
        <v>0.9643178</v>
      </c>
      <c r="Y2241">
        <v>-0.34336860000000002</v>
      </c>
      <c r="Z2241">
        <v>-1.2952750000000001E-2</v>
      </c>
      <c r="AA2241">
        <v>0.93911140000000004</v>
      </c>
      <c r="AB2241">
        <v>33</v>
      </c>
      <c r="AC2241">
        <v>-10.943399999999899</v>
      </c>
      <c r="AD2241">
        <v>-1.120259596588</v>
      </c>
      <c r="AE2241">
        <v>-5.5690000000000097</v>
      </c>
      <c r="AF2241">
        <v>-4.2640330241808799</v>
      </c>
      <c r="AG2241">
        <v>-1.120259596588</v>
      </c>
      <c r="AH2241">
        <v>11.406612902959001</v>
      </c>
      <c r="AI2241">
        <v>95.256063748667799</v>
      </c>
      <c r="AJ2241">
        <v>110.49680581946799</v>
      </c>
      <c r="AK2241">
        <v>12.2289728560089</v>
      </c>
      <c r="AL2241">
        <v>86.470578336831196</v>
      </c>
      <c r="AM2241">
        <v>104.950236183306</v>
      </c>
      <c r="AN2241">
        <v>1.0000000232770401</v>
      </c>
    </row>
    <row r="2242" spans="1:40" x14ac:dyDescent="0.25">
      <c r="A2242" t="str">
        <f>"20190305135835249"</f>
        <v>20190305135835249</v>
      </c>
      <c r="B2242" t="str">
        <f>"1551765515241227"</f>
        <v>1551765515241227</v>
      </c>
      <c r="C2242" t="s">
        <v>40</v>
      </c>
      <c r="D2242">
        <v>4.2123999999999997</v>
      </c>
      <c r="E2242">
        <v>0.45889609999999897</v>
      </c>
      <c r="F2242" t="s">
        <v>58</v>
      </c>
      <c r="G2242">
        <v>-483.6515</v>
      </c>
      <c r="H2242" s="1">
        <v>2.4372979999999999E-6</v>
      </c>
      <c r="I2242">
        <v>279.85599999999999</v>
      </c>
      <c r="J2242">
        <v>-472.63060000000002</v>
      </c>
      <c r="K2242">
        <v>1.12052</v>
      </c>
      <c r="L2242">
        <v>285.58909999999997</v>
      </c>
      <c r="M2242">
        <v>-0.9924366</v>
      </c>
      <c r="N2242">
        <v>-2.531106E-2</v>
      </c>
      <c r="O2242">
        <v>-0.1201218</v>
      </c>
      <c r="P2242">
        <v>-0.92691710000000005</v>
      </c>
      <c r="Q2242">
        <v>4.2751289999999997E-2</v>
      </c>
      <c r="R2242">
        <v>-0.37282369999999998</v>
      </c>
      <c r="S2242">
        <v>-2.6957399999999998</v>
      </c>
      <c r="T2242">
        <v>-0.26889679999999999</v>
      </c>
      <c r="U2242">
        <v>-1.3836360000000001</v>
      </c>
      <c r="V2242">
        <v>-0.26021699999999998</v>
      </c>
      <c r="W2242">
        <v>6.1206990000000003E-2</v>
      </c>
      <c r="X2242">
        <v>0.96360820000000003</v>
      </c>
      <c r="Y2242">
        <v>-0.34492509999999998</v>
      </c>
      <c r="Z2242">
        <v>-1.2526809999999999E-2</v>
      </c>
      <c r="AA2242">
        <v>0.93854660000000001</v>
      </c>
      <c r="AB2242">
        <v>33</v>
      </c>
      <c r="AC2242">
        <v>-11.0208999999999</v>
      </c>
      <c r="AD2242">
        <v>-1.1205175627020001</v>
      </c>
      <c r="AE2242">
        <v>-5.7330999999999701</v>
      </c>
      <c r="AF2242">
        <v>-4.3320425844596002</v>
      </c>
      <c r="AG2242">
        <v>-1.1205175627020001</v>
      </c>
      <c r="AH2242">
        <v>11.5360857944033</v>
      </c>
      <c r="AI2242">
        <v>95.195701884705201</v>
      </c>
      <c r="AJ2242">
        <v>110.582212046729</v>
      </c>
      <c r="AK2242">
        <v>12.373497000352399</v>
      </c>
      <c r="AL2242">
        <v>86.4909043527568</v>
      </c>
      <c r="AM2242">
        <v>105.11194627619101</v>
      </c>
      <c r="AN2242">
        <v>0.99999997291054898</v>
      </c>
    </row>
    <row r="2243" spans="1:40" x14ac:dyDescent="0.25">
      <c r="A2243" t="str">
        <f>"20190305135835263"</f>
        <v>20190305135835263</v>
      </c>
      <c r="B2243" t="str">
        <f>"1551765515250987"</f>
        <v>1551765515250987</v>
      </c>
      <c r="C2243" t="s">
        <v>40</v>
      </c>
      <c r="D2243">
        <v>3.9360010000000001</v>
      </c>
      <c r="E2243">
        <v>0.45905800000000002</v>
      </c>
      <c r="F2243" t="s">
        <v>58</v>
      </c>
      <c r="G2243">
        <v>-483.77339999999998</v>
      </c>
      <c r="H2243" s="1">
        <v>2.4514119999999998E-6</v>
      </c>
      <c r="I2243">
        <v>279.77</v>
      </c>
      <c r="J2243">
        <v>-472.84289999999999</v>
      </c>
      <c r="K2243">
        <v>1.1207720000000001</v>
      </c>
      <c r="L2243">
        <v>285.5557</v>
      </c>
      <c r="M2243">
        <v>-0.99147300000000005</v>
      </c>
      <c r="N2243">
        <v>-2.5388870000000001E-2</v>
      </c>
      <c r="O2243">
        <v>-0.12781519999999999</v>
      </c>
      <c r="P2243">
        <v>-0.9217668</v>
      </c>
      <c r="Q2243">
        <v>4.2556120000000003E-2</v>
      </c>
      <c r="R2243">
        <v>-0.38540210000000003</v>
      </c>
      <c r="S2243">
        <v>-2.685028</v>
      </c>
      <c r="T2243">
        <v>-0.27000570000000002</v>
      </c>
      <c r="U2243">
        <v>-1.402191</v>
      </c>
      <c r="V2243">
        <v>-0.2658893</v>
      </c>
      <c r="W2243">
        <v>6.0761030000000001E-2</v>
      </c>
      <c r="X2243">
        <v>0.96208680000000002</v>
      </c>
      <c r="Y2243">
        <v>-0.34428439999999999</v>
      </c>
      <c r="Z2243">
        <v>-1.202311E-2</v>
      </c>
      <c r="AA2243">
        <v>0.93878839999999997</v>
      </c>
      <c r="AB2243">
        <v>33</v>
      </c>
      <c r="AC2243">
        <v>-10.930499999999901</v>
      </c>
      <c r="AD2243">
        <v>-1.12076954858799</v>
      </c>
      <c r="AE2243">
        <v>-5.7857000000000101</v>
      </c>
      <c r="AF2243">
        <v>-4.305322385338</v>
      </c>
      <c r="AG2243">
        <v>-1.12076954858799</v>
      </c>
      <c r="AH2243">
        <v>11.4861968457529</v>
      </c>
      <c r="AI2243">
        <v>95.220498462153799</v>
      </c>
      <c r="AJ2243">
        <v>110.547291972895</v>
      </c>
      <c r="AK2243">
        <v>12.317655751080199</v>
      </c>
      <c r="AL2243">
        <v>86.516503778972904</v>
      </c>
      <c r="AM2243">
        <v>105.449056584819</v>
      </c>
      <c r="AN2243">
        <v>1.0000000166776899</v>
      </c>
    </row>
    <row r="2244" spans="1:40" x14ac:dyDescent="0.25">
      <c r="A2244" t="str">
        <f>"20190305135835287"</f>
        <v>20190305135835287</v>
      </c>
      <c r="B2244" t="str">
        <f>"1551765515281242"</f>
        <v>1551765515281242</v>
      </c>
      <c r="C2244" t="s">
        <v>40</v>
      </c>
      <c r="D2244">
        <v>4.1199940000000002</v>
      </c>
      <c r="E2244">
        <v>0.46017039999999998</v>
      </c>
      <c r="F2244" t="s">
        <v>58</v>
      </c>
      <c r="G2244">
        <v>-483.87479999999999</v>
      </c>
      <c r="H2244" s="1">
        <v>2.454302E-6</v>
      </c>
      <c r="I2244">
        <v>279.61169999999998</v>
      </c>
      <c r="J2244">
        <v>-473.1617</v>
      </c>
      <c r="K2244">
        <v>1.1211439999999999</v>
      </c>
      <c r="L2244">
        <v>285.5018</v>
      </c>
      <c r="M2244">
        <v>-0.98984340000000004</v>
      </c>
      <c r="N2244">
        <v>-2.547843E-2</v>
      </c>
      <c r="O2244">
        <v>-0.1398605</v>
      </c>
      <c r="P2244">
        <v>-0.91283360000000002</v>
      </c>
      <c r="Q2244">
        <v>4.5313850000000003E-2</v>
      </c>
      <c r="R2244">
        <v>-0.4058099</v>
      </c>
      <c r="S2244">
        <v>-2.6664119999999998</v>
      </c>
      <c r="T2244">
        <v>-0.27089059999999998</v>
      </c>
      <c r="U2244">
        <v>-1.4366760000000001</v>
      </c>
      <c r="V2244">
        <v>-0.27572720000000001</v>
      </c>
      <c r="W2244">
        <v>6.3072110000000001E-2</v>
      </c>
      <c r="X2244">
        <v>0.95916440000000003</v>
      </c>
      <c r="Y2244">
        <v>-0.34502820000000001</v>
      </c>
      <c r="Z2244">
        <v>-1.130917E-2</v>
      </c>
      <c r="AA2244">
        <v>0.93852420000000003</v>
      </c>
      <c r="AB2244">
        <v>33</v>
      </c>
      <c r="AC2244">
        <v>-10.713099999999899</v>
      </c>
      <c r="AD2244">
        <v>-1.1211415456980001</v>
      </c>
      <c r="AE2244">
        <v>-5.8901000000000101</v>
      </c>
      <c r="AF2244">
        <v>-4.29720509632096</v>
      </c>
      <c r="AG2244">
        <v>-1.1211415456980001</v>
      </c>
      <c r="AH2244">
        <v>11.3364571894615</v>
      </c>
      <c r="AI2244">
        <v>95.283463300206805</v>
      </c>
      <c r="AJ2244">
        <v>110.759747820743</v>
      </c>
      <c r="AK2244">
        <v>12.175310739928999</v>
      </c>
      <c r="AL2244">
        <v>86.383833877395006</v>
      </c>
      <c r="AM2244">
        <v>106.038146529827</v>
      </c>
      <c r="AN2244">
        <v>0.99999996305352501</v>
      </c>
    </row>
    <row r="2245" spans="1:40" x14ac:dyDescent="0.25">
      <c r="A2245" t="str">
        <f>"20190305135835308"</f>
        <v>20190305135835308</v>
      </c>
      <c r="B2245" t="str">
        <f>"1551765515300762"</f>
        <v>1551765515300762</v>
      </c>
      <c r="C2245" t="s">
        <v>40</v>
      </c>
      <c r="D2245">
        <v>3.919673</v>
      </c>
      <c r="E2245">
        <v>0.4609123</v>
      </c>
      <c r="F2245" t="s">
        <v>58</v>
      </c>
      <c r="G2245">
        <v>-484.2604</v>
      </c>
      <c r="H2245" s="1">
        <v>2.3960399999999998E-6</v>
      </c>
      <c r="I2245">
        <v>279.25330000000002</v>
      </c>
      <c r="J2245">
        <v>-473.47469999999998</v>
      </c>
      <c r="K2245">
        <v>1.121453</v>
      </c>
      <c r="L2245">
        <v>285.44450000000001</v>
      </c>
      <c r="M2245">
        <v>-0.98801899999999998</v>
      </c>
      <c r="N2245">
        <v>-2.55237E-2</v>
      </c>
      <c r="O2245">
        <v>-0.1522078</v>
      </c>
      <c r="P2245">
        <v>-0.90475439999999996</v>
      </c>
      <c r="Q2245">
        <v>4.9146719999999998E-2</v>
      </c>
      <c r="R2245">
        <v>-0.42308889999999999</v>
      </c>
      <c r="S2245">
        <v>-2.6391909999999998</v>
      </c>
      <c r="T2245">
        <v>-0.2666</v>
      </c>
      <c r="U2245">
        <v>-1.48584</v>
      </c>
      <c r="V2245">
        <v>-0.28216249999999998</v>
      </c>
      <c r="W2245">
        <v>6.6525710000000002E-2</v>
      </c>
      <c r="X2245">
        <v>0.9570573</v>
      </c>
      <c r="Y2245">
        <v>-0.35074850000000002</v>
      </c>
      <c r="Z2245">
        <v>-1.0818319999999999E-2</v>
      </c>
      <c r="AA2245">
        <v>0.9364072</v>
      </c>
      <c r="AB2245">
        <v>32</v>
      </c>
      <c r="AC2245">
        <v>-10.7857</v>
      </c>
      <c r="AD2245">
        <v>-1.1214506039600001</v>
      </c>
      <c r="AE2245">
        <v>-6.1911999999999798</v>
      </c>
      <c r="AF2245">
        <v>-4.4407035299532902</v>
      </c>
      <c r="AG2245">
        <v>-1.1214506039600001</v>
      </c>
      <c r="AH2245">
        <v>11.5090174225342</v>
      </c>
      <c r="AI2245">
        <v>95.194403386729704</v>
      </c>
      <c r="AJ2245">
        <v>111.09888770672499</v>
      </c>
      <c r="AK2245">
        <v>12.386887475482199</v>
      </c>
      <c r="AL2245">
        <v>86.185540503836705</v>
      </c>
      <c r="AM2245">
        <v>106.426729079548</v>
      </c>
      <c r="AN2245">
        <v>1.00000001099027</v>
      </c>
    </row>
    <row r="2246" spans="1:40" x14ac:dyDescent="0.25">
      <c r="A2246" t="str">
        <f>"20190305135835331"</f>
        <v>20190305135835331</v>
      </c>
      <c r="B2246" t="str">
        <f>"1551765515321258"</f>
        <v>1551765515321258</v>
      </c>
      <c r="C2246" t="s">
        <v>40</v>
      </c>
      <c r="D2246">
        <v>3.9306049999999999</v>
      </c>
      <c r="E2246">
        <v>0.46173690000000001</v>
      </c>
      <c r="F2246" t="s">
        <v>58</v>
      </c>
      <c r="G2246">
        <v>-484.86189999999999</v>
      </c>
      <c r="H2246" s="1">
        <v>2.3335050000000001E-6</v>
      </c>
      <c r="I2246">
        <v>278.77460000000002</v>
      </c>
      <c r="J2246">
        <v>-473.77800000000002</v>
      </c>
      <c r="K2246">
        <v>1.121713</v>
      </c>
      <c r="L2246">
        <v>285.38470000000001</v>
      </c>
      <c r="M2246">
        <v>-0.98602140000000005</v>
      </c>
      <c r="N2246">
        <v>-2.552687E-2</v>
      </c>
      <c r="O2246">
        <v>-0.1646514</v>
      </c>
      <c r="P2246">
        <v>-0.89753400000000005</v>
      </c>
      <c r="Q2246">
        <v>5.0439390000000001E-2</v>
      </c>
      <c r="R2246">
        <v>-0.43805060000000001</v>
      </c>
      <c r="S2246">
        <v>-2.613861</v>
      </c>
      <c r="T2246">
        <v>-0.2574227</v>
      </c>
      <c r="U2246">
        <v>-1.5310360000000001</v>
      </c>
      <c r="V2246">
        <v>-0.28607939999999998</v>
      </c>
      <c r="W2246">
        <v>6.7494380000000007E-2</v>
      </c>
      <c r="X2246">
        <v>0.95582590000000001</v>
      </c>
      <c r="Y2246">
        <v>-0.35503459999999998</v>
      </c>
      <c r="Z2246">
        <v>-1.0217169999999999E-2</v>
      </c>
      <c r="AA2246">
        <v>0.93479730000000005</v>
      </c>
      <c r="AB2246">
        <v>32</v>
      </c>
      <c r="AC2246">
        <v>-11.0838999999999</v>
      </c>
      <c r="AD2246">
        <v>-1.1217106664950001</v>
      </c>
      <c r="AE2246">
        <v>-6.6100999999999797</v>
      </c>
      <c r="AF2246">
        <v>-4.6590517944583603</v>
      </c>
      <c r="AG2246">
        <v>-1.1217106664950001</v>
      </c>
      <c r="AH2246">
        <v>11.931104759223301</v>
      </c>
      <c r="AI2246">
        <v>95.004931632479398</v>
      </c>
      <c r="AJ2246">
        <v>111.330459310851</v>
      </c>
      <c r="AK2246">
        <v>12.8575370587969</v>
      </c>
      <c r="AL2246">
        <v>86.129914854015098</v>
      </c>
      <c r="AM2246">
        <v>106.662480651992</v>
      </c>
      <c r="AN2246">
        <v>1.00000003277337</v>
      </c>
    </row>
    <row r="2247" spans="1:40" x14ac:dyDescent="0.25">
      <c r="A2247" t="str">
        <f>"20190305135835353"</f>
        <v>20190305135835353</v>
      </c>
      <c r="B2247" t="str">
        <f>"1551765515340778"</f>
        <v>1551765515340778</v>
      </c>
      <c r="C2247" t="s">
        <v>40</v>
      </c>
      <c r="D2247">
        <v>3.935765</v>
      </c>
      <c r="E2247">
        <v>0.46249249999999997</v>
      </c>
      <c r="F2247" t="s">
        <v>58</v>
      </c>
      <c r="G2247">
        <v>-485.22899999999998</v>
      </c>
      <c r="H2247" s="1">
        <v>2.2829639999999998E-6</v>
      </c>
      <c r="I2247">
        <v>278.44740000000002</v>
      </c>
      <c r="J2247">
        <v>-474.08440000000002</v>
      </c>
      <c r="K2247">
        <v>1.121958</v>
      </c>
      <c r="L2247">
        <v>285.31990000000002</v>
      </c>
      <c r="M2247">
        <v>-0.98375239999999997</v>
      </c>
      <c r="N2247">
        <v>-2.5499339999999999E-2</v>
      </c>
      <c r="O2247">
        <v>-0.17771099999999901</v>
      </c>
      <c r="P2247">
        <v>-0.89028719999999995</v>
      </c>
      <c r="Q2247">
        <v>4.8874069999999999E-2</v>
      </c>
      <c r="R2247">
        <v>-0.45277030000000001</v>
      </c>
      <c r="S2247">
        <v>-2.5907290000000001</v>
      </c>
      <c r="T2247">
        <v>-0.25377949999999999</v>
      </c>
      <c r="U2247">
        <v>-1.5695190000000001</v>
      </c>
      <c r="V2247">
        <v>-0.2891339</v>
      </c>
      <c r="W2247">
        <v>6.5609340000000002E-2</v>
      </c>
      <c r="X2247">
        <v>0.95503769999999999</v>
      </c>
      <c r="Y2247">
        <v>-0.35654239999999998</v>
      </c>
      <c r="Z2247">
        <v>-9.4723269999999991E-3</v>
      </c>
      <c r="AA2247">
        <v>0.93423109999999998</v>
      </c>
      <c r="AB2247">
        <v>32</v>
      </c>
      <c r="AC2247">
        <v>-11.144600000000001</v>
      </c>
      <c r="AD2247">
        <v>-1.1219557170359999</v>
      </c>
      <c r="AE2247">
        <v>-6.8724999999999996</v>
      </c>
      <c r="AF2247">
        <v>-4.7470187998033602</v>
      </c>
      <c r="AG2247">
        <v>-1.1219557170359999</v>
      </c>
      <c r="AH2247">
        <v>12.099961500508501</v>
      </c>
      <c r="AI2247">
        <v>94.933472964018506</v>
      </c>
      <c r="AJ2247">
        <v>111.420913909137</v>
      </c>
      <c r="AK2247">
        <v>13.0461504065554</v>
      </c>
      <c r="AL2247">
        <v>86.238159573196896</v>
      </c>
      <c r="AM2247">
        <v>106.843481336062</v>
      </c>
      <c r="AN2247">
        <v>1.00000000302286</v>
      </c>
    </row>
    <row r="2248" spans="1:40" x14ac:dyDescent="0.25">
      <c r="A2248" t="str">
        <f>"20190305135835376"</f>
        <v>20190305135835376</v>
      </c>
      <c r="B2248" t="str">
        <f>"1551765515371034"</f>
        <v>1551765515371034</v>
      </c>
      <c r="C2248" t="s">
        <v>40</v>
      </c>
      <c r="D2248">
        <v>3.935921</v>
      </c>
      <c r="E2248">
        <v>0.4634239</v>
      </c>
      <c r="F2248" t="s">
        <v>58</v>
      </c>
      <c r="G2248">
        <v>-485.28390000000002</v>
      </c>
      <c r="H2248" s="1">
        <v>2.24053E-6</v>
      </c>
      <c r="I2248">
        <v>278.2998</v>
      </c>
      <c r="J2248">
        <v>-474.40170000000001</v>
      </c>
      <c r="K2248">
        <v>1.1221969999999999</v>
      </c>
      <c r="L2248">
        <v>285.24779999999998</v>
      </c>
      <c r="M2248">
        <v>-0.98111490000000001</v>
      </c>
      <c r="N2248">
        <v>-2.5459140000000002E-2</v>
      </c>
      <c r="O2248">
        <v>-0.1917432</v>
      </c>
      <c r="P2248">
        <v>-0.88214269999999995</v>
      </c>
      <c r="Q2248">
        <v>4.8191850000000001E-2</v>
      </c>
      <c r="R2248">
        <v>-0.46851019999999999</v>
      </c>
      <c r="S2248">
        <v>-2.565887</v>
      </c>
      <c r="T2248">
        <v>-0.257048</v>
      </c>
      <c r="U2248">
        <v>-1.6083369999999999</v>
      </c>
      <c r="V2248">
        <v>-0.29247489999999998</v>
      </c>
      <c r="W2248">
        <v>6.4579650000000002E-2</v>
      </c>
      <c r="X2248">
        <v>0.95409010000000005</v>
      </c>
      <c r="Y2248">
        <v>-0.3574117</v>
      </c>
      <c r="Z2248">
        <v>-8.6279770000000002E-3</v>
      </c>
      <c r="AA2248">
        <v>0.93390709999999999</v>
      </c>
      <c r="AB2248">
        <v>32</v>
      </c>
      <c r="AC2248">
        <v>-10.882199999999999</v>
      </c>
      <c r="AD2248">
        <v>-1.1221947594699999</v>
      </c>
      <c r="AE2248">
        <v>-6.9479999999999702</v>
      </c>
      <c r="AF2248">
        <v>-4.6962539397909797</v>
      </c>
      <c r="AG2248">
        <v>-1.1221947594699999</v>
      </c>
      <c r="AH2248">
        <v>11.9227427064449</v>
      </c>
      <c r="AI2248">
        <v>95.004826468516697</v>
      </c>
      <c r="AJ2248">
        <v>111.499004441694</v>
      </c>
      <c r="AK2248">
        <v>12.863355541586699</v>
      </c>
      <c r="AL2248">
        <v>86.2972818798372</v>
      </c>
      <c r="AM2248">
        <v>107.042842908984</v>
      </c>
      <c r="AN2248">
        <v>1.0000000086210701</v>
      </c>
    </row>
    <row r="2249" spans="1:40" x14ac:dyDescent="0.25">
      <c r="A2249" t="str">
        <f>"20190305135835399"</f>
        <v>20190305135835399</v>
      </c>
      <c r="B2249" t="str">
        <f>"1551765515390555"</f>
        <v>1551765515390555</v>
      </c>
      <c r="C2249" t="s">
        <v>40</v>
      </c>
      <c r="D2249">
        <v>3.9553189999999998</v>
      </c>
      <c r="E2249">
        <v>0.46404810000000002</v>
      </c>
      <c r="F2249" t="s">
        <v>58</v>
      </c>
      <c r="G2249">
        <v>-485.45639999999997</v>
      </c>
      <c r="H2249" s="1">
        <v>2.1909430000000002E-6</v>
      </c>
      <c r="I2249">
        <v>278.07299999999998</v>
      </c>
      <c r="J2249">
        <v>-474.69260000000003</v>
      </c>
      <c r="K2249">
        <v>1.122425</v>
      </c>
      <c r="L2249">
        <v>285.1771</v>
      </c>
      <c r="M2249">
        <v>-0.97840689999999997</v>
      </c>
      <c r="N2249">
        <v>-2.5406499999999999E-2</v>
      </c>
      <c r="O2249">
        <v>-0.2051212</v>
      </c>
      <c r="P2249">
        <v>-0.87414559999999997</v>
      </c>
      <c r="Q2249">
        <v>4.7054850000000002E-2</v>
      </c>
      <c r="R2249">
        <v>-0.48337980000000003</v>
      </c>
      <c r="S2249">
        <v>-2.53952</v>
      </c>
      <c r="T2249">
        <v>-0.25779390000000002</v>
      </c>
      <c r="U2249">
        <v>-1.6482239999999999</v>
      </c>
      <c r="V2249">
        <v>-0.29559999999999997</v>
      </c>
      <c r="W2249">
        <v>6.310114E-2</v>
      </c>
      <c r="X2249">
        <v>0.95322549999999995</v>
      </c>
      <c r="Y2249">
        <v>-0.35941719999999999</v>
      </c>
      <c r="Z2249">
        <v>-7.8724789999999999E-3</v>
      </c>
      <c r="AA2249">
        <v>0.93314379999999997</v>
      </c>
      <c r="AB2249">
        <v>32</v>
      </c>
      <c r="AC2249">
        <v>-10.7637999999999</v>
      </c>
      <c r="AD2249">
        <v>-1.1224228090569901</v>
      </c>
      <c r="AE2249">
        <v>-7.1041000000000096</v>
      </c>
      <c r="AF2249">
        <v>-4.7086822628925598</v>
      </c>
      <c r="AG2249">
        <v>-1.1224228090569901</v>
      </c>
      <c r="AH2249">
        <v>11.9022944733043</v>
      </c>
      <c r="AI2249">
        <v>95.011463339127303</v>
      </c>
      <c r="AJ2249">
        <v>111.584311605625</v>
      </c>
      <c r="AK2249">
        <v>12.848974096962801</v>
      </c>
      <c r="AL2249">
        <v>86.382167336419599</v>
      </c>
      <c r="AM2249">
        <v>107.22892497699701</v>
      </c>
      <c r="AN2249">
        <v>0.99999998385977396</v>
      </c>
    </row>
    <row r="2250" spans="1:40" x14ac:dyDescent="0.25">
      <c r="A2250" t="str">
        <f>"20190305135835420"</f>
        <v>20190305135835420</v>
      </c>
      <c r="B2250" t="str">
        <f>"1551765515411056"</f>
        <v>1551765515411056</v>
      </c>
      <c r="C2250" t="s">
        <v>40</v>
      </c>
      <c r="D2250">
        <v>3.9712130000000001</v>
      </c>
      <c r="E2250">
        <v>0.46467130000000001</v>
      </c>
      <c r="F2250" t="s">
        <v>58</v>
      </c>
      <c r="G2250">
        <v>-485.50529999999998</v>
      </c>
      <c r="H2250" s="1">
        <v>2.1458249999999999E-6</v>
      </c>
      <c r="I2250">
        <v>277.92079999999999</v>
      </c>
      <c r="J2250">
        <v>-474.98390000000001</v>
      </c>
      <c r="K2250">
        <v>1.1226510000000001</v>
      </c>
      <c r="L2250">
        <v>285.10109999999997</v>
      </c>
      <c r="M2250">
        <v>-0.97538919999999996</v>
      </c>
      <c r="N2250">
        <v>-2.5346830000000001E-2</v>
      </c>
      <c r="O2250">
        <v>-0.2190289</v>
      </c>
      <c r="P2250">
        <v>-0.86611159999999998</v>
      </c>
      <c r="Q2250">
        <v>4.5101330000000002E-2</v>
      </c>
      <c r="R2250">
        <v>-0.49781219999999998</v>
      </c>
      <c r="S2250">
        <v>-2.513306</v>
      </c>
      <c r="T2250">
        <v>-0.26089630000000003</v>
      </c>
      <c r="U2250">
        <v>-1.6866460000000001</v>
      </c>
      <c r="V2250">
        <v>-0.29780319999999999</v>
      </c>
      <c r="W2250">
        <v>6.082195E-2</v>
      </c>
      <c r="X2250">
        <v>0.95268770000000003</v>
      </c>
      <c r="Y2250">
        <v>-0.36047109999999999</v>
      </c>
      <c r="Z2250">
        <v>-6.9815049999999998E-3</v>
      </c>
      <c r="AA2250">
        <v>0.93274429999999997</v>
      </c>
      <c r="AB2250">
        <v>31</v>
      </c>
      <c r="AC2250">
        <v>-10.5213999999999</v>
      </c>
      <c r="AD2250">
        <v>-1.1226488541749999</v>
      </c>
      <c r="AE2250">
        <v>-7.1802999999999804</v>
      </c>
      <c r="AF2250">
        <v>-4.6643752316371403</v>
      </c>
      <c r="AG2250">
        <v>-1.1226488541749999</v>
      </c>
      <c r="AH2250">
        <v>11.7477043280564</v>
      </c>
      <c r="AI2250">
        <v>95.075603496488597</v>
      </c>
      <c r="AJ2250">
        <v>111.655338432064</v>
      </c>
      <c r="AK2250">
        <v>12.689574213925599</v>
      </c>
      <c r="AL2250">
        <v>86.5130066359105</v>
      </c>
      <c r="AM2250">
        <v>107.35886217239801</v>
      </c>
      <c r="AN2250">
        <v>0.99999995463166502</v>
      </c>
    </row>
    <row r="2251" spans="1:40" x14ac:dyDescent="0.25">
      <c r="A2251" t="str">
        <f>"20190305135835443"</f>
        <v>20190305135835443</v>
      </c>
      <c r="B2251" t="str">
        <f>"1551765515430571"</f>
        <v>1551765515430571</v>
      </c>
      <c r="C2251" t="s">
        <v>40</v>
      </c>
      <c r="D2251">
        <v>3.9131680000000002</v>
      </c>
      <c r="E2251">
        <v>0.46531790000000001</v>
      </c>
      <c r="F2251" t="s">
        <v>58</v>
      </c>
      <c r="G2251">
        <v>-485.44510000000002</v>
      </c>
      <c r="H2251" s="1">
        <v>2.1096399999999999E-6</v>
      </c>
      <c r="I2251">
        <v>277.84870000000001</v>
      </c>
      <c r="J2251">
        <v>-475.27199999999999</v>
      </c>
      <c r="K2251">
        <v>1.1228739999999999</v>
      </c>
      <c r="L2251">
        <v>285.0213</v>
      </c>
      <c r="M2251">
        <v>-0.97209659999999998</v>
      </c>
      <c r="N2251">
        <v>-2.5295000000000002E-2</v>
      </c>
      <c r="O2251">
        <v>-0.23321320000000001</v>
      </c>
      <c r="P2251">
        <v>-0.85821800000000004</v>
      </c>
      <c r="Q2251">
        <v>4.383662E-2</v>
      </c>
      <c r="R2251">
        <v>-0.51141020000000004</v>
      </c>
      <c r="S2251">
        <v>-2.486755</v>
      </c>
      <c r="T2251">
        <v>-0.26686700000000002</v>
      </c>
      <c r="U2251">
        <v>-1.7239990000000001</v>
      </c>
      <c r="V2251">
        <v>-0.29893639999999999</v>
      </c>
      <c r="W2251">
        <v>5.9289309999999998E-2</v>
      </c>
      <c r="X2251">
        <v>0.95242939999999998</v>
      </c>
      <c r="Y2251">
        <v>-0.36099360000000003</v>
      </c>
      <c r="Z2251">
        <v>-5.9588260000000004E-3</v>
      </c>
      <c r="AA2251">
        <v>0.93254919999999997</v>
      </c>
      <c r="AB2251">
        <v>31</v>
      </c>
      <c r="AC2251">
        <v>-10.1731</v>
      </c>
      <c r="AD2251">
        <v>-1.1228718903599999</v>
      </c>
      <c r="AE2251">
        <v>-7.1725999999999797</v>
      </c>
      <c r="AF2251">
        <v>-4.5642882699124598</v>
      </c>
      <c r="AG2251">
        <v>-1.1228718903599999</v>
      </c>
      <c r="AH2251">
        <v>11.472322992595601</v>
      </c>
      <c r="AI2251">
        <v>95.196374900513504</v>
      </c>
      <c r="AJ2251">
        <v>111.695241984059</v>
      </c>
      <c r="AK2251">
        <v>12.397893512184201</v>
      </c>
      <c r="AL2251">
        <v>86.6009793185913</v>
      </c>
      <c r="AM2251">
        <v>107.425365128645</v>
      </c>
      <c r="AN2251">
        <v>0.99999997775479699</v>
      </c>
    </row>
    <row r="2252" spans="1:40" x14ac:dyDescent="0.25">
      <c r="A2252" t="str">
        <f>"20190305135835465"</f>
        <v>20190305135835465</v>
      </c>
      <c r="B2252" t="str">
        <f>"1551765515460830"</f>
        <v>1551765515460830</v>
      </c>
      <c r="C2252" t="s">
        <v>40</v>
      </c>
      <c r="D2252">
        <v>3.9502549999999998</v>
      </c>
      <c r="E2252">
        <v>0.46490290000000001</v>
      </c>
      <c r="F2252" t="s">
        <v>58</v>
      </c>
      <c r="G2252">
        <v>-485.48840000000001</v>
      </c>
      <c r="H2252" s="1">
        <v>2.0720580000000001E-6</v>
      </c>
      <c r="I2252">
        <v>277.72059999999999</v>
      </c>
      <c r="J2252">
        <v>-475.56119999999999</v>
      </c>
      <c r="K2252">
        <v>1.123092</v>
      </c>
      <c r="L2252">
        <v>284.93610000000001</v>
      </c>
      <c r="M2252">
        <v>-0.96845619999999999</v>
      </c>
      <c r="N2252">
        <v>-2.5246890000000001E-2</v>
      </c>
      <c r="O2252">
        <v>-0.2479017</v>
      </c>
      <c r="P2252">
        <v>-0.84966489999999995</v>
      </c>
      <c r="Q2252">
        <v>4.3877600000000003E-2</v>
      </c>
      <c r="R2252">
        <v>-0.52549449999999998</v>
      </c>
      <c r="S2252">
        <v>-2.4613040000000002</v>
      </c>
      <c r="T2252">
        <v>-0.2705169</v>
      </c>
      <c r="U2252">
        <v>-1.75885</v>
      </c>
      <c r="V2252">
        <v>-0.30026209999999998</v>
      </c>
      <c r="W2252">
        <v>5.9063200000000003E-2</v>
      </c>
      <c r="X2252">
        <v>0.95202640000000005</v>
      </c>
      <c r="Y2252">
        <v>-0.36019040000000002</v>
      </c>
      <c r="Z2252">
        <v>-4.8075909999999999E-3</v>
      </c>
      <c r="AA2252">
        <v>0.93286650000000004</v>
      </c>
      <c r="AB2252">
        <v>31</v>
      </c>
      <c r="AC2252">
        <v>-9.9272000000000205</v>
      </c>
      <c r="AD2252">
        <v>-1.1230899279419999</v>
      </c>
      <c r="AE2252">
        <v>-7.2155000000000102</v>
      </c>
      <c r="AF2252">
        <v>-4.4907606226601802</v>
      </c>
      <c r="AG2252">
        <v>-1.1230899279419999</v>
      </c>
      <c r="AH2252">
        <v>11.311696894281001</v>
      </c>
      <c r="AI2252">
        <v>95.272298764469895</v>
      </c>
      <c r="AJ2252">
        <v>111.653151820757</v>
      </c>
      <c r="AK2252">
        <v>12.2222235531988</v>
      </c>
      <c r="AL2252">
        <v>86.613957382049605</v>
      </c>
      <c r="AM2252">
        <v>107.50488983168999</v>
      </c>
      <c r="AN2252">
        <v>1.0000000282938</v>
      </c>
    </row>
    <row r="2253" spans="1:40" x14ac:dyDescent="0.25">
      <c r="A2253" t="str">
        <f>"20190305135835488"</f>
        <v>20190305135835488</v>
      </c>
      <c r="B2253" t="str">
        <f>"1551765515481322"</f>
        <v>1551765515481322</v>
      </c>
      <c r="C2253" t="s">
        <v>40</v>
      </c>
      <c r="D2253">
        <v>3.928267</v>
      </c>
      <c r="E2253">
        <v>0.4287318</v>
      </c>
      <c r="F2253" t="s">
        <v>58</v>
      </c>
      <c r="G2253">
        <v>-485.67910000000001</v>
      </c>
      <c r="H2253" s="1">
        <v>2.0049940000000001E-6</v>
      </c>
      <c r="I2253">
        <v>277.43520000000001</v>
      </c>
      <c r="J2253">
        <v>-475.85079999999999</v>
      </c>
      <c r="K2253">
        <v>1.1233089999999999</v>
      </c>
      <c r="L2253">
        <v>284.84559999999999</v>
      </c>
      <c r="M2253">
        <v>-0.96444739999999995</v>
      </c>
      <c r="N2253">
        <v>-2.5205350000000001E-2</v>
      </c>
      <c r="O2253">
        <v>-0.26307059999999999</v>
      </c>
      <c r="P2253">
        <v>-0.83975769999999905</v>
      </c>
      <c r="Q2253">
        <v>4.3797969999999999E-2</v>
      </c>
      <c r="R2253">
        <v>-0.54119189999999995</v>
      </c>
      <c r="S2253">
        <v>-2.4304199999999998</v>
      </c>
      <c r="T2253">
        <v>-0.26977590000000001</v>
      </c>
      <c r="U2253">
        <v>-1.8017879999999999</v>
      </c>
      <c r="V2253">
        <v>-0.30304109999999901</v>
      </c>
      <c r="W2253">
        <v>5.8670970000000003E-2</v>
      </c>
      <c r="X2253">
        <v>0.95116970000000001</v>
      </c>
      <c r="Y2253">
        <v>-0.36188959999999998</v>
      </c>
      <c r="Z2253">
        <v>-3.8569440000000002E-3</v>
      </c>
      <c r="AA2253">
        <v>0.93221290000000001</v>
      </c>
      <c r="AB2253">
        <v>31</v>
      </c>
      <c r="AC2253">
        <v>-9.8283000000000094</v>
      </c>
      <c r="AD2253">
        <v>-1.123306995006</v>
      </c>
      <c r="AE2253">
        <v>-7.4103999999999797</v>
      </c>
      <c r="AF2253">
        <v>-4.5251663340517698</v>
      </c>
      <c r="AG2253">
        <v>-1.123306995006</v>
      </c>
      <c r="AH2253">
        <v>11.337544772798701</v>
      </c>
      <c r="AI2253">
        <v>95.257530181266304</v>
      </c>
      <c r="AJ2253">
        <v>111.758477462112</v>
      </c>
      <c r="AK2253">
        <v>12.2588282650129</v>
      </c>
      <c r="AL2253">
        <v>86.636469431638503</v>
      </c>
      <c r="AM2253">
        <v>107.671793275422</v>
      </c>
      <c r="AN2253">
        <v>0.99999999460402</v>
      </c>
    </row>
    <row r="2254" spans="1:40" x14ac:dyDescent="0.25">
      <c r="A2254" t="str">
        <f>"20190305135835509"</f>
        <v>20190305135835509</v>
      </c>
      <c r="B2254" t="str">
        <f>"1551765515500846"</f>
        <v>1551765515500846</v>
      </c>
      <c r="C2254" t="s">
        <v>40</v>
      </c>
      <c r="D2254">
        <v>3.9112749999999998</v>
      </c>
      <c r="E2254">
        <v>0.43055019999999999</v>
      </c>
      <c r="F2254" t="s">
        <v>41</v>
      </c>
      <c r="G2254">
        <v>-476.56369999999998</v>
      </c>
      <c r="H2254">
        <v>1.056292</v>
      </c>
      <c r="I2254">
        <v>284.1789</v>
      </c>
      <c r="J2254">
        <v>-476.12540000000001</v>
      </c>
      <c r="K2254">
        <v>1.1234999999999999</v>
      </c>
      <c r="L2254">
        <v>284.75479999999999</v>
      </c>
      <c r="M2254">
        <v>-0.96028210000000003</v>
      </c>
      <c r="N2254">
        <v>-2.5177669999999999E-2</v>
      </c>
      <c r="O2254">
        <v>-0.27789320000000001</v>
      </c>
      <c r="P2254">
        <v>-0.82960990000000001</v>
      </c>
      <c r="Q2254">
        <v>4.1656749999999999E-2</v>
      </c>
      <c r="R2254">
        <v>-0.5567877</v>
      </c>
      <c r="S2254">
        <v>-2.2355040000000002</v>
      </c>
      <c r="T2254">
        <v>-0.21014559999999999</v>
      </c>
      <c r="U2254">
        <v>-2.0915219999999999</v>
      </c>
      <c r="V2254">
        <v>-0.30609789999999998</v>
      </c>
      <c r="W2254">
        <v>5.622978E-2</v>
      </c>
      <c r="X2254">
        <v>0.95033800000000002</v>
      </c>
      <c r="Y2254">
        <v>-0.4521211</v>
      </c>
      <c r="Z2254">
        <v>-9.4683809999999997E-3</v>
      </c>
      <c r="AA2254">
        <v>0.89190630000000004</v>
      </c>
      <c r="AB2254">
        <v>31</v>
      </c>
      <c r="AC2254">
        <v>-0.43829999999996899</v>
      </c>
      <c r="AD2254">
        <v>-6.7207999999999907E-2</v>
      </c>
      <c r="AE2254">
        <v>-0.57589999999998998</v>
      </c>
      <c r="AF2254">
        <v>-0.42767434491866302</v>
      </c>
      <c r="AG2254">
        <v>-6.7207999999999907E-2</v>
      </c>
      <c r="AH2254">
        <v>0.57614586255167599</v>
      </c>
      <c r="AI2254">
        <v>95.351040519460696</v>
      </c>
      <c r="AJ2254">
        <v>126.58658040778801</v>
      </c>
      <c r="AK2254">
        <v>0.72067074000615705</v>
      </c>
      <c r="AL2254">
        <v>86.776570808690707</v>
      </c>
      <c r="AM2254">
        <v>107.85342363118301</v>
      </c>
      <c r="AN2254">
        <v>1.00000001339362</v>
      </c>
    </row>
    <row r="2255" spans="1:40" x14ac:dyDescent="0.25">
      <c r="A2255" t="str">
        <f>"20190305135835532"</f>
        <v>20190305135835532</v>
      </c>
      <c r="B2255" t="str">
        <f>"1551765515521339"</f>
        <v>1551765515521339</v>
      </c>
      <c r="C2255" t="s">
        <v>40</v>
      </c>
      <c r="D2255">
        <v>3.9683570000000001</v>
      </c>
      <c r="E2255">
        <v>0.4322878</v>
      </c>
      <c r="F2255" t="s">
        <v>41</v>
      </c>
      <c r="G2255">
        <v>-476.81029999999998</v>
      </c>
      <c r="H2255">
        <v>1.0605370000000001</v>
      </c>
      <c r="I2255">
        <v>284.09539999999998</v>
      </c>
      <c r="J2255">
        <v>-476.40449999999998</v>
      </c>
      <c r="K2255">
        <v>1.1236889999999999</v>
      </c>
      <c r="L2255">
        <v>284.65719999999999</v>
      </c>
      <c r="M2255">
        <v>-0.95565869999999997</v>
      </c>
      <c r="N2255">
        <v>-2.5163209999999998E-2</v>
      </c>
      <c r="O2255">
        <v>-0.29339949999999998</v>
      </c>
      <c r="P2255">
        <v>-0.81926849999999996</v>
      </c>
      <c r="Q2255">
        <v>3.7489929999999998E-2</v>
      </c>
      <c r="R2255">
        <v>-0.57218349999999996</v>
      </c>
      <c r="S2255">
        <v>-2.2030029999999998</v>
      </c>
      <c r="T2255">
        <v>-0.20252729999999999</v>
      </c>
      <c r="U2255">
        <v>-2.1206670000000001</v>
      </c>
      <c r="V2255">
        <v>-0.30830439999999998</v>
      </c>
      <c r="W2255">
        <v>5.1806919999999999E-2</v>
      </c>
      <c r="X2255">
        <v>0.94987600000000005</v>
      </c>
      <c r="Y2255">
        <v>-0.45044709999999899</v>
      </c>
      <c r="Z2255">
        <v>-8.7533750000000007E-3</v>
      </c>
      <c r="AA2255">
        <v>0.892760199999999</v>
      </c>
      <c r="AB2255">
        <v>30</v>
      </c>
      <c r="AC2255">
        <v>-0.40579999999999899</v>
      </c>
      <c r="AD2255">
        <v>-6.3151999999999806E-2</v>
      </c>
      <c r="AE2255">
        <v>-0.56180000000000496</v>
      </c>
      <c r="AF2255">
        <v>-0.41451788021611802</v>
      </c>
      <c r="AG2255">
        <v>-6.3151999999999806E-2</v>
      </c>
      <c r="AH2255">
        <v>0.54826062884692195</v>
      </c>
      <c r="AI2255">
        <v>95.249649722552604</v>
      </c>
      <c r="AJ2255">
        <v>127.091464605665</v>
      </c>
      <c r="AK2255">
        <v>0.69021950513332098</v>
      </c>
      <c r="AL2255">
        <v>87.030352685363795</v>
      </c>
      <c r="AM2255">
        <v>107.982047014258</v>
      </c>
      <c r="AN2255">
        <v>0.99999998769762299</v>
      </c>
    </row>
    <row r="2256" spans="1:40" x14ac:dyDescent="0.25">
      <c r="A2256" t="str">
        <f>"20190305135835554"</f>
        <v>20190305135835554</v>
      </c>
      <c r="B2256" t="str">
        <f>"1551765515550622"</f>
        <v>1551765515550622</v>
      </c>
      <c r="C2256" t="s">
        <v>40</v>
      </c>
      <c r="D2256">
        <v>4.0193589999999997</v>
      </c>
      <c r="E2256">
        <v>0.4351101</v>
      </c>
      <c r="F2256" t="s">
        <v>41</v>
      </c>
      <c r="G2256">
        <v>-477.0634</v>
      </c>
      <c r="H2256">
        <v>1.058875</v>
      </c>
      <c r="I2256">
        <v>284.00510000000003</v>
      </c>
      <c r="J2256">
        <v>-476.67910000000001</v>
      </c>
      <c r="K2256">
        <v>1.123874</v>
      </c>
      <c r="L2256">
        <v>284.55579999999998</v>
      </c>
      <c r="M2256">
        <v>-0.95069769999999998</v>
      </c>
      <c r="N2256">
        <v>-2.5162049999999998E-2</v>
      </c>
      <c r="O2256">
        <v>-0.30909700000000001</v>
      </c>
      <c r="P2256">
        <v>-0.80882449999999995</v>
      </c>
      <c r="Q2256">
        <v>3.4010119999999998E-2</v>
      </c>
      <c r="R2256">
        <v>-0.58706619999999998</v>
      </c>
      <c r="S2256">
        <v>-2.1706240000000001</v>
      </c>
      <c r="T2256">
        <v>-0.2134982</v>
      </c>
      <c r="U2256">
        <v>-2.1490480000000001</v>
      </c>
      <c r="V2256">
        <v>-0.3098978</v>
      </c>
      <c r="W2256">
        <v>4.8111279999999999E-2</v>
      </c>
      <c r="X2256">
        <v>0.94955179999999995</v>
      </c>
      <c r="Y2256">
        <v>-0.4482315</v>
      </c>
      <c r="Z2256">
        <v>-7.5799789999999997E-3</v>
      </c>
      <c r="AA2256">
        <v>0.89388539999999905</v>
      </c>
      <c r="AB2256">
        <v>30</v>
      </c>
      <c r="AC2256">
        <v>-0.38429999999999598</v>
      </c>
      <c r="AD2256">
        <v>-6.4999000000000001E-2</v>
      </c>
      <c r="AE2256">
        <v>-0.55069999999994901</v>
      </c>
      <c r="AF2256">
        <v>-0.40113331190468499</v>
      </c>
      <c r="AG2256">
        <v>-6.4999000000000001E-2</v>
      </c>
      <c r="AH2256">
        <v>0.53076980346687996</v>
      </c>
      <c r="AI2256">
        <v>95.580016326841204</v>
      </c>
      <c r="AJ2256">
        <v>127.080441917456</v>
      </c>
      <c r="AK2256">
        <v>0.66846794103598695</v>
      </c>
      <c r="AL2256">
        <v>87.242362110332394</v>
      </c>
      <c r="AM2256">
        <v>108.074724554322</v>
      </c>
      <c r="AN2256">
        <v>0.99999998129565904</v>
      </c>
    </row>
    <row r="2257" spans="1:40" x14ac:dyDescent="0.25">
      <c r="A2257" t="str">
        <f>"20190305135835577"</f>
        <v>20190305135835577</v>
      </c>
      <c r="B2257" t="str">
        <f>"1551765515571115"</f>
        <v>1551765515571115</v>
      </c>
      <c r="C2257" t="s">
        <v>40</v>
      </c>
      <c r="D2257">
        <v>4.0091070000000002</v>
      </c>
      <c r="E2257">
        <v>0.43675900000000001</v>
      </c>
      <c r="F2257" t="s">
        <v>41</v>
      </c>
      <c r="G2257">
        <v>-477.35489999999999</v>
      </c>
      <c r="H2257">
        <v>1.0506580000000001</v>
      </c>
      <c r="I2257">
        <v>283.87189999999998</v>
      </c>
      <c r="J2257">
        <v>-476.95960000000002</v>
      </c>
      <c r="K2257">
        <v>1.1240570000000001</v>
      </c>
      <c r="L2257">
        <v>284.44639999999998</v>
      </c>
      <c r="M2257">
        <v>-0.94518159999999896</v>
      </c>
      <c r="N2257">
        <v>-2.517281E-2</v>
      </c>
      <c r="O2257">
        <v>-0.32557399999999997</v>
      </c>
      <c r="P2257">
        <v>-0.79757369999999905</v>
      </c>
      <c r="Q2257">
        <v>3.1864990000000003E-2</v>
      </c>
      <c r="R2257">
        <v>-0.60237959999999902</v>
      </c>
      <c r="S2257">
        <v>-2.1441650000000001</v>
      </c>
      <c r="T2257">
        <v>-0.23229269999999999</v>
      </c>
      <c r="U2257">
        <v>-2.169556</v>
      </c>
      <c r="V2257">
        <v>-0.31142320000000001</v>
      </c>
      <c r="W2257">
        <v>4.5765930000000003E-2</v>
      </c>
      <c r="X2257">
        <v>0.94916860000000003</v>
      </c>
      <c r="Y2257">
        <v>-0.44232589999999999</v>
      </c>
      <c r="Z2257">
        <v>-5.7573249999999998E-3</v>
      </c>
      <c r="AA2257">
        <v>0.89683590000000002</v>
      </c>
      <c r="AB2257">
        <v>30</v>
      </c>
      <c r="AC2257">
        <v>-0.39529999999996301</v>
      </c>
      <c r="AD2257">
        <v>-7.3398999999999701E-2</v>
      </c>
      <c r="AE2257">
        <v>-0.57450000000000001</v>
      </c>
      <c r="AF2257">
        <v>-0.40989779679548299</v>
      </c>
      <c r="AG2257">
        <v>-7.3398999999999701E-2</v>
      </c>
      <c r="AH2257">
        <v>0.55470510007424401</v>
      </c>
      <c r="AI2257">
        <v>96.074469753790794</v>
      </c>
      <c r="AJ2257">
        <v>126.46244545856899</v>
      </c>
      <c r="AK2257">
        <v>0.69361470937918301</v>
      </c>
      <c r="AL2257">
        <v>87.376889077233599</v>
      </c>
      <c r="AM2257">
        <v>108.164716890135</v>
      </c>
      <c r="AN2257">
        <v>0.99999998053648198</v>
      </c>
    </row>
    <row r="2258" spans="1:40" x14ac:dyDescent="0.25">
      <c r="A2258" t="str">
        <f>"20190305135835599"</f>
        <v>20190305135835599</v>
      </c>
      <c r="B2258" t="str">
        <f>"1551765515590635"</f>
        <v>1551765515590635</v>
      </c>
      <c r="C2258" t="s">
        <v>40</v>
      </c>
      <c r="D2258">
        <v>4.0221640000000001</v>
      </c>
      <c r="E2258">
        <v>0.43796410000000002</v>
      </c>
      <c r="F2258" t="s">
        <v>58</v>
      </c>
      <c r="G2258">
        <v>-486.80009999999999</v>
      </c>
      <c r="H2258" s="1">
        <v>1.3360159999999901E-6</v>
      </c>
      <c r="I2258">
        <v>274.18799999999999</v>
      </c>
      <c r="J2258">
        <v>-477.21699999999998</v>
      </c>
      <c r="K2258">
        <v>1.1242239999999999</v>
      </c>
      <c r="L2258">
        <v>284.34039999999999</v>
      </c>
      <c r="M2258">
        <v>-0.93968309999999999</v>
      </c>
      <c r="N2258">
        <v>-2.5193219999999999E-2</v>
      </c>
      <c r="O2258">
        <v>-0.34111770000000002</v>
      </c>
      <c r="P2258">
        <v>-0.78665839999999998</v>
      </c>
      <c r="Q2258">
        <v>3.1604470000000003E-2</v>
      </c>
      <c r="R2258">
        <v>-0.61657910000000005</v>
      </c>
      <c r="S2258">
        <v>-2.1098629999999998</v>
      </c>
      <c r="T2258">
        <v>-0.2410032</v>
      </c>
      <c r="U2258">
        <v>-2.1994630000000002</v>
      </c>
      <c r="V2258">
        <v>-0.31279079999999998</v>
      </c>
      <c r="W2258">
        <v>4.5340079999999998E-2</v>
      </c>
      <c r="X2258">
        <v>0.94873929999999995</v>
      </c>
      <c r="Y2258">
        <v>-0.44087140000000002</v>
      </c>
      <c r="Z2258">
        <v>-4.4090279999999997E-3</v>
      </c>
      <c r="AA2258">
        <v>0.89755949999999995</v>
      </c>
      <c r="AB2258">
        <v>30</v>
      </c>
      <c r="AC2258">
        <v>-9.5831</v>
      </c>
      <c r="AD2258">
        <v>-1.1242226639839901</v>
      </c>
      <c r="AE2258">
        <v>-10.1524</v>
      </c>
      <c r="AF2258">
        <v>-6.23264809314077</v>
      </c>
      <c r="AG2258">
        <v>-1.1242226639839901</v>
      </c>
      <c r="AH2258">
        <v>12.3918421517336</v>
      </c>
      <c r="AI2258">
        <v>94.633616256875598</v>
      </c>
      <c r="AJ2258">
        <v>116.700740924207</v>
      </c>
      <c r="AK2258">
        <v>13.916448209389801</v>
      </c>
      <c r="AL2258">
        <v>87.4013139778328</v>
      </c>
      <c r="AM2258">
        <v>108.246922280178</v>
      </c>
      <c r="AN2258">
        <v>1.00000003339176</v>
      </c>
    </row>
    <row r="2259" spans="1:40" x14ac:dyDescent="0.25">
      <c r="A2259" t="str">
        <f>"20190305135835620"</f>
        <v>20190305135835620</v>
      </c>
      <c r="B2259" t="str">
        <f>"1551765515611131"</f>
        <v>1551765515611131</v>
      </c>
      <c r="C2259" t="s">
        <v>40</v>
      </c>
      <c r="D2259">
        <v>3.9843700000000002</v>
      </c>
      <c r="E2259">
        <v>0.43956240000000002</v>
      </c>
      <c r="F2259" t="s">
        <v>41</v>
      </c>
      <c r="G2259">
        <v>-477.94920000000002</v>
      </c>
      <c r="H2259">
        <v>1.0383169999999999</v>
      </c>
      <c r="I2259">
        <v>283.55459999999999</v>
      </c>
      <c r="J2259">
        <v>-477.47449999999998</v>
      </c>
      <c r="K2259">
        <v>1.124376</v>
      </c>
      <c r="L2259">
        <v>284.22859999999997</v>
      </c>
      <c r="M2259">
        <v>-0.93373470000000003</v>
      </c>
      <c r="N2259">
        <v>-2.5221500000000001E-2</v>
      </c>
      <c r="O2259">
        <v>-0.35707610000000001</v>
      </c>
      <c r="P2259">
        <v>-0.77468689999999996</v>
      </c>
      <c r="Q2259">
        <v>3.0312809999999999E-2</v>
      </c>
      <c r="R2259">
        <v>-0.63161769999999995</v>
      </c>
      <c r="S2259">
        <v>-2.0763850000000001</v>
      </c>
      <c r="T2259">
        <v>-0.24357599999999999</v>
      </c>
      <c r="U2259">
        <v>-2.2289430000000001</v>
      </c>
      <c r="V2259">
        <v>-0.314861</v>
      </c>
      <c r="W2259">
        <v>4.3872880000000003E-2</v>
      </c>
      <c r="X2259">
        <v>0.9481233</v>
      </c>
      <c r="Y2259">
        <v>-0.43873030000000002</v>
      </c>
      <c r="Z2259">
        <v>-3.1757690000000002E-3</v>
      </c>
      <c r="AA2259">
        <v>0.8986132</v>
      </c>
      <c r="AB2259">
        <v>29</v>
      </c>
      <c r="AC2259">
        <v>-0.47470000000004098</v>
      </c>
      <c r="AD2259">
        <v>-8.6059000000000094E-2</v>
      </c>
      <c r="AE2259">
        <v>-0.67399999999997795</v>
      </c>
      <c r="AF2259">
        <v>-0.45502088509313399</v>
      </c>
      <c r="AG2259">
        <v>-8.6059000000000094E-2</v>
      </c>
      <c r="AH2259">
        <v>0.67675581793546302</v>
      </c>
      <c r="AI2259">
        <v>96.024067372909997</v>
      </c>
      <c r="AJ2259">
        <v>123.915153122804</v>
      </c>
      <c r="AK2259">
        <v>0.82002963023383302</v>
      </c>
      <c r="AL2259">
        <v>87.485462113584205</v>
      </c>
      <c r="AM2259">
        <v>108.370742004958</v>
      </c>
      <c r="AN2259">
        <v>1.00000003546169</v>
      </c>
    </row>
    <row r="2260" spans="1:40" x14ac:dyDescent="0.25">
      <c r="A2260" t="str">
        <f>"20190305135835643"</f>
        <v>20190305135835643</v>
      </c>
      <c r="B2260" t="str">
        <f>"1551765515630651"</f>
        <v>1551765515630651</v>
      </c>
      <c r="C2260" t="s">
        <v>40</v>
      </c>
      <c r="D2260">
        <v>3.9860989999999998</v>
      </c>
      <c r="E2260">
        <v>0.45346819999999999</v>
      </c>
      <c r="F2260" t="s">
        <v>41</v>
      </c>
      <c r="G2260">
        <v>-478.17599999999999</v>
      </c>
      <c r="H2260">
        <v>1.0399929999999999</v>
      </c>
      <c r="I2260">
        <v>283.45229999999998</v>
      </c>
      <c r="J2260">
        <v>-477.73219999999998</v>
      </c>
      <c r="K2260">
        <v>1.124503</v>
      </c>
      <c r="L2260">
        <v>284.11099999999999</v>
      </c>
      <c r="M2260">
        <v>-0.92732389999999998</v>
      </c>
      <c r="N2260">
        <v>-2.5256199999999999E-2</v>
      </c>
      <c r="O2260">
        <v>-0.37340699999999999</v>
      </c>
      <c r="P2260">
        <v>-0.76207449999999999</v>
      </c>
      <c r="Q2260">
        <v>2.6921319999999999E-2</v>
      </c>
      <c r="R2260">
        <v>-0.64692959999999899</v>
      </c>
      <c r="S2260">
        <v>-2.0408019999999998</v>
      </c>
      <c r="T2260">
        <v>-0.24551329999999999</v>
      </c>
      <c r="U2260">
        <v>-2.2584529999999998</v>
      </c>
      <c r="V2260">
        <v>-0.31697059999999999</v>
      </c>
      <c r="W2260">
        <v>4.0325979999999997E-2</v>
      </c>
      <c r="X2260">
        <v>0.94757769999999997</v>
      </c>
      <c r="Y2260">
        <v>-0.43660870000000002</v>
      </c>
      <c r="Z2260">
        <v>-1.915459E-3</v>
      </c>
      <c r="AA2260">
        <v>0.89964949999999999</v>
      </c>
      <c r="AB2260">
        <v>29</v>
      </c>
      <c r="AC2260">
        <v>-0.44380000000001002</v>
      </c>
      <c r="AD2260">
        <v>-8.4510000000000002E-2</v>
      </c>
      <c r="AE2260">
        <v>-0.65870000000001006</v>
      </c>
      <c r="AF2260">
        <v>-0.44026781545003202</v>
      </c>
      <c r="AG2260">
        <v>-8.4510000000000002E-2</v>
      </c>
      <c r="AH2260">
        <v>0.65035640766188396</v>
      </c>
      <c r="AI2260">
        <v>96.1417331830432</v>
      </c>
      <c r="AJ2260">
        <v>124.09658224450899</v>
      </c>
      <c r="AK2260">
        <v>0.78989945335340905</v>
      </c>
      <c r="AL2260">
        <v>87.688864913920895</v>
      </c>
      <c r="AM2260">
        <v>108.495406956251</v>
      </c>
      <c r="AN2260">
        <v>1.0000000217323</v>
      </c>
    </row>
    <row r="2261" spans="1:40" x14ac:dyDescent="0.25">
      <c r="A2261" t="str">
        <f>"20190305135835666"</f>
        <v>20190305135835666</v>
      </c>
      <c r="B2261" t="str">
        <f>"1551765515660907"</f>
        <v>1551765515660907</v>
      </c>
      <c r="C2261" t="s">
        <v>40</v>
      </c>
      <c r="D2261">
        <v>3.9759000000000002</v>
      </c>
      <c r="E2261">
        <v>0.45505570000000001</v>
      </c>
      <c r="F2261" t="s">
        <v>41</v>
      </c>
      <c r="G2261">
        <v>-478.46359999999999</v>
      </c>
      <c r="H2261">
        <v>1.0475490000000001</v>
      </c>
      <c r="I2261">
        <v>283.32670000000002</v>
      </c>
      <c r="J2261">
        <v>-477.99169999999998</v>
      </c>
      <c r="K2261">
        <v>1.1246039999999999</v>
      </c>
      <c r="L2261">
        <v>283.98660000000001</v>
      </c>
      <c r="M2261">
        <v>-0.92037749999999996</v>
      </c>
      <c r="N2261">
        <v>-2.5293070000000001E-2</v>
      </c>
      <c r="O2261">
        <v>-0.39021240000000001</v>
      </c>
      <c r="P2261">
        <v>-0.74952450000000004</v>
      </c>
      <c r="Q2261">
        <v>2.3828040000000002E-2</v>
      </c>
      <c r="R2261">
        <v>-0.66154780000000002</v>
      </c>
      <c r="S2261">
        <v>-2.0644230000000001</v>
      </c>
      <c r="T2261">
        <v>-0.2172027</v>
      </c>
      <c r="U2261">
        <v>-2.2144780000000002</v>
      </c>
      <c r="V2261">
        <v>-0.31792910000000002</v>
      </c>
      <c r="W2261">
        <v>3.7141670000000002E-2</v>
      </c>
      <c r="X2261">
        <v>0.94738670000000003</v>
      </c>
      <c r="Y2261">
        <v>-0.4063292</v>
      </c>
      <c r="Z2261">
        <v>-8.6190270000000002E-4</v>
      </c>
      <c r="AA2261">
        <v>0.91372629999999999</v>
      </c>
      <c r="AB2261">
        <v>29</v>
      </c>
      <c r="AC2261">
        <v>-0.47190000000000498</v>
      </c>
      <c r="AD2261">
        <v>-7.7055000000000096E-2</v>
      </c>
      <c r="AE2261">
        <v>-0.65989999999999305</v>
      </c>
      <c r="AF2261">
        <v>-0.41956622195131499</v>
      </c>
      <c r="AG2261">
        <v>-7.7055000000000096E-2</v>
      </c>
      <c r="AH2261">
        <v>0.68586123973554103</v>
      </c>
      <c r="AI2261">
        <v>95.474374144834997</v>
      </c>
      <c r="AJ2261">
        <v>121.455639332761</v>
      </c>
      <c r="AK2261">
        <v>0.80769977578248298</v>
      </c>
      <c r="AL2261">
        <v>87.871449457013696</v>
      </c>
      <c r="AM2261">
        <v>108.550998352428</v>
      </c>
      <c r="AN2261">
        <v>0.99999998780704402</v>
      </c>
    </row>
    <row r="2262" spans="1:40" x14ac:dyDescent="0.25">
      <c r="A2262" t="str">
        <f>"20190305135835689"</f>
        <v>20190305135835689</v>
      </c>
      <c r="B2262" t="str">
        <f>"1551765515681402"</f>
        <v>1551765515681402</v>
      </c>
      <c r="C2262" t="s">
        <v>40</v>
      </c>
      <c r="D2262">
        <v>3.9878130000000001</v>
      </c>
      <c r="E2262">
        <v>0.45640750000000002</v>
      </c>
      <c r="F2262" t="s">
        <v>58</v>
      </c>
      <c r="G2262">
        <v>-488.27809999999999</v>
      </c>
      <c r="H2262" s="1">
        <v>9.0715510000000004E-7</v>
      </c>
      <c r="I2262">
        <v>272.60399999999998</v>
      </c>
      <c r="J2262">
        <v>-478.24130000000002</v>
      </c>
      <c r="K2262">
        <v>1.1246910000000001</v>
      </c>
      <c r="L2262">
        <v>283.86110000000002</v>
      </c>
      <c r="M2262">
        <v>-0.91320369999999995</v>
      </c>
      <c r="N2262">
        <v>-2.5328989999999999E-2</v>
      </c>
      <c r="O2262">
        <v>-0.40671570000000001</v>
      </c>
      <c r="P2262">
        <v>-0.73711990000000005</v>
      </c>
      <c r="Q2262">
        <v>2.2226159999999998E-2</v>
      </c>
      <c r="R2262">
        <v>-0.67539649999999996</v>
      </c>
      <c r="S2262">
        <v>-2.0284420000000001</v>
      </c>
      <c r="T2262">
        <v>-0.22176670000000001</v>
      </c>
      <c r="U2262">
        <v>-2.2445979999999999</v>
      </c>
      <c r="V2262">
        <v>-0.31846059999999998</v>
      </c>
      <c r="W2262">
        <v>3.5481459999999999E-2</v>
      </c>
      <c r="X2262">
        <v>0.9472718</v>
      </c>
      <c r="Y2262">
        <v>-0.4040395</v>
      </c>
      <c r="Z2262">
        <v>4.7825370000000001E-4</v>
      </c>
      <c r="AA2262">
        <v>0.91474140000000004</v>
      </c>
      <c r="AB2262">
        <v>29</v>
      </c>
      <c r="AC2262">
        <v>-10.0367999999999</v>
      </c>
      <c r="AD2262">
        <v>-1.1246900928449</v>
      </c>
      <c r="AE2262">
        <v>-11.2570999999999</v>
      </c>
      <c r="AF2262">
        <v>-6.1656020943719101</v>
      </c>
      <c r="AG2262">
        <v>-1.1246900928449</v>
      </c>
      <c r="AH2262">
        <v>13.6724576305913</v>
      </c>
      <c r="AI2262">
        <v>94.288443841505199</v>
      </c>
      <c r="AJ2262">
        <v>114.273019590933</v>
      </c>
      <c r="AK2262">
        <v>15.0404679000149</v>
      </c>
      <c r="AL2262">
        <v>87.966635243417201</v>
      </c>
      <c r="AM2262">
        <v>108.581982737625</v>
      </c>
      <c r="AN2262">
        <v>0.99999997541566499</v>
      </c>
    </row>
    <row r="2263" spans="1:40" x14ac:dyDescent="0.25">
      <c r="A2263" t="str">
        <f>"20190305135835710"</f>
        <v>20190305135835710</v>
      </c>
      <c r="B2263" t="str">
        <f>"1551765515700923"</f>
        <v>1551765515700923</v>
      </c>
      <c r="C2263" t="s">
        <v>40</v>
      </c>
      <c r="D2263">
        <v>3.989522</v>
      </c>
      <c r="E2263">
        <v>0.45729180000000003</v>
      </c>
      <c r="F2263" t="s">
        <v>58</v>
      </c>
      <c r="G2263">
        <v>-488.66140000000001</v>
      </c>
      <c r="H2263" s="1">
        <v>7.1540859999999897E-7</v>
      </c>
      <c r="I2263">
        <v>271.96539999999999</v>
      </c>
      <c r="J2263">
        <v>-478.47620000000001</v>
      </c>
      <c r="K2263">
        <v>1.1247819999999999</v>
      </c>
      <c r="L2263">
        <v>283.7373</v>
      </c>
      <c r="M2263">
        <v>-0.90598140000000005</v>
      </c>
      <c r="N2263">
        <v>-2.5364210000000002E-2</v>
      </c>
      <c r="O2263">
        <v>-0.42255680000000001</v>
      </c>
      <c r="P2263">
        <v>-0.7243927</v>
      </c>
      <c r="Q2263">
        <v>2.337991E-2</v>
      </c>
      <c r="R2263">
        <v>-0.68899129999999997</v>
      </c>
      <c r="S2263">
        <v>-1.9923709999999999</v>
      </c>
      <c r="T2263">
        <v>-0.21504599999999999</v>
      </c>
      <c r="U2263">
        <v>-2.2745060000000001</v>
      </c>
      <c r="V2263">
        <v>-0.31964670000000001</v>
      </c>
      <c r="W2263">
        <v>3.6561749999999997E-2</v>
      </c>
      <c r="X2263">
        <v>0.94683119999999998</v>
      </c>
      <c r="Y2263">
        <v>-0.40232570000000001</v>
      </c>
      <c r="Z2263">
        <v>9.4777160000000002E-4</v>
      </c>
      <c r="AA2263">
        <v>0.91549610000000003</v>
      </c>
      <c r="AB2263">
        <v>29</v>
      </c>
      <c r="AC2263">
        <v>-10.1852</v>
      </c>
      <c r="AD2263">
        <v>-1.12478128459139</v>
      </c>
      <c r="AE2263">
        <v>-11.7719</v>
      </c>
      <c r="AF2263">
        <v>-6.3302940077510099</v>
      </c>
      <c r="AG2263">
        <v>-1.12478128459139</v>
      </c>
      <c r="AH2263">
        <v>14.132682664643299</v>
      </c>
      <c r="AI2263">
        <v>94.154313788115005</v>
      </c>
      <c r="AJ2263">
        <v>114.12850388443999</v>
      </c>
      <c r="AK2263">
        <v>15.5264443599378</v>
      </c>
      <c r="AL2263">
        <v>87.904699137107798</v>
      </c>
      <c r="AM2263">
        <v>108.654491439141</v>
      </c>
      <c r="AN2263">
        <v>1.0000000478386899</v>
      </c>
    </row>
    <row r="2264" spans="1:40" x14ac:dyDescent="0.25">
      <c r="A2264" t="str">
        <f>"20190305135835733"</f>
        <v>20190305135835733</v>
      </c>
      <c r="B2264" t="str">
        <f>"1551765515721419"</f>
        <v>1551765515721419</v>
      </c>
      <c r="C2264" t="s">
        <v>40</v>
      </c>
      <c r="D2264">
        <v>4.377046</v>
      </c>
      <c r="E2264">
        <v>0.4580999</v>
      </c>
      <c r="F2264" t="s">
        <v>58</v>
      </c>
      <c r="G2264">
        <v>-489.05689999999998</v>
      </c>
      <c r="H2264" s="1">
        <v>4.9605129999999995E-7</v>
      </c>
      <c r="I2264">
        <v>271.24560000000002</v>
      </c>
      <c r="J2264">
        <v>-478.7226</v>
      </c>
      <c r="K2264">
        <v>1.124852</v>
      </c>
      <c r="L2264">
        <v>283.60140000000001</v>
      </c>
      <c r="M2264">
        <v>-0.897895</v>
      </c>
      <c r="N2264">
        <v>-2.5409379999999999E-2</v>
      </c>
      <c r="O2264">
        <v>-0.43947580000000003</v>
      </c>
      <c r="P2264">
        <v>-0.70964969999999905</v>
      </c>
      <c r="Q2264">
        <v>2.6804430000000001E-2</v>
      </c>
      <c r="R2264">
        <v>-0.70404489999999997</v>
      </c>
      <c r="S2264">
        <v>-1.9539489999999999</v>
      </c>
      <c r="T2264">
        <v>-0.20771529999999999</v>
      </c>
      <c r="U2264">
        <v>-2.306854</v>
      </c>
      <c r="V2264">
        <v>-0.3219381</v>
      </c>
      <c r="W2264">
        <v>3.988382E-2</v>
      </c>
      <c r="X2264">
        <v>0.94592030000000005</v>
      </c>
      <c r="Y2264">
        <v>-0.4004143</v>
      </c>
      <c r="Z2264">
        <v>1.345146E-3</v>
      </c>
      <c r="AA2264">
        <v>0.91633330000000002</v>
      </c>
      <c r="AB2264">
        <v>28</v>
      </c>
      <c r="AC2264">
        <v>-10.334299999999899</v>
      </c>
      <c r="AD2264">
        <v>-1.1248515039486999</v>
      </c>
      <c r="AE2264">
        <v>-12.355799999999901</v>
      </c>
      <c r="AF2264">
        <v>-6.5228433617007902</v>
      </c>
      <c r="AG2264">
        <v>-1.1248515039486999</v>
      </c>
      <c r="AH2264">
        <v>14.642536460186401</v>
      </c>
      <c r="AI2264">
        <v>94.014033800490907</v>
      </c>
      <c r="AJ2264">
        <v>114.01164451317101</v>
      </c>
      <c r="AK2264">
        <v>16.069121021857601</v>
      </c>
      <c r="AL2264">
        <v>87.714219247713402</v>
      </c>
      <c r="AM2264">
        <v>108.795687987067</v>
      </c>
      <c r="AN2264">
        <v>1.00000003664074</v>
      </c>
    </row>
    <row r="2265" spans="1:40" x14ac:dyDescent="0.25">
      <c r="A2265" t="str">
        <f>"20190305135835755"</f>
        <v>20190305135835755</v>
      </c>
      <c r="B2265" t="str">
        <f>"1551765515751120"</f>
        <v>1551765515751120</v>
      </c>
      <c r="C2265" t="s">
        <v>40</v>
      </c>
      <c r="D2265">
        <v>3.920642</v>
      </c>
      <c r="E2265">
        <v>0.38866509999999999</v>
      </c>
      <c r="F2265" t="s">
        <v>58</v>
      </c>
      <c r="G2265">
        <v>-488.99040000000002</v>
      </c>
      <c r="H2265" s="1">
        <v>4.0877449999999999E-7</v>
      </c>
      <c r="I2265">
        <v>271.0154</v>
      </c>
      <c r="J2265">
        <v>-478.95760000000001</v>
      </c>
      <c r="K2265">
        <v>1.124895</v>
      </c>
      <c r="L2265">
        <v>283.4658</v>
      </c>
      <c r="M2265">
        <v>-0.88966440000000002</v>
      </c>
      <c r="N2265">
        <v>-2.5463099999999898E-2</v>
      </c>
      <c r="O2265">
        <v>-0.4559049</v>
      </c>
      <c r="P2265">
        <v>-0.69313400000000003</v>
      </c>
      <c r="Q2265">
        <v>2.830187E-2</v>
      </c>
      <c r="R2265">
        <v>-0.72025349999999999</v>
      </c>
      <c r="S2265">
        <v>-1.9111940000000001</v>
      </c>
      <c r="T2265">
        <v>-0.2093729</v>
      </c>
      <c r="U2265">
        <v>-2.3426819999999999</v>
      </c>
      <c r="V2265">
        <v>-0.32648909999999998</v>
      </c>
      <c r="W2265">
        <v>4.1203579999999997E-2</v>
      </c>
      <c r="X2265">
        <v>0.94430239999999999</v>
      </c>
      <c r="Y2265">
        <v>-0.40048790000000001</v>
      </c>
      <c r="Z2265">
        <v>2.3254930000000001E-3</v>
      </c>
      <c r="AA2265">
        <v>0.91629910000000003</v>
      </c>
      <c r="AB2265">
        <v>28</v>
      </c>
      <c r="AC2265">
        <v>-10.0328</v>
      </c>
      <c r="AD2265">
        <v>-1.1248945912255</v>
      </c>
      <c r="AE2265">
        <v>-12.4504</v>
      </c>
      <c r="AF2265">
        <v>-6.47274714962135</v>
      </c>
      <c r="AG2265">
        <v>-1.1248945912255</v>
      </c>
      <c r="AH2265">
        <v>14.5348192221849</v>
      </c>
      <c r="AI2265">
        <v>94.044055363479103</v>
      </c>
      <c r="AJ2265">
        <v>114.004699994273</v>
      </c>
      <c r="AK2265">
        <v>15.9506367686652</v>
      </c>
      <c r="AL2265">
        <v>87.638540124790097</v>
      </c>
      <c r="AM2265">
        <v>109.072639372716</v>
      </c>
      <c r="AN2265">
        <v>0.99999994503469103</v>
      </c>
    </row>
    <row r="2266" spans="1:40" x14ac:dyDescent="0.25">
      <c r="A2266" t="str">
        <f>"20190305135835779"</f>
        <v>20190305135835779</v>
      </c>
      <c r="B2266" t="str">
        <f>"1551765515770637"</f>
        <v>1551765515770637</v>
      </c>
      <c r="C2266" t="s">
        <v>40</v>
      </c>
      <c r="D2266">
        <v>3.8992870000000002</v>
      </c>
      <c r="E2266">
        <v>0.38152059999999999</v>
      </c>
      <c r="F2266" t="s">
        <v>41</v>
      </c>
      <c r="G2266">
        <v>-479.37830000000002</v>
      </c>
      <c r="H2266">
        <v>1.074346</v>
      </c>
      <c r="I2266">
        <v>282.66520000000003</v>
      </c>
      <c r="J2266">
        <v>-479.19380000000001</v>
      </c>
      <c r="K2266">
        <v>1.1249150000000001</v>
      </c>
      <c r="L2266">
        <v>283.32310000000001</v>
      </c>
      <c r="M2266">
        <v>-0.88084830000000003</v>
      </c>
      <c r="N2266">
        <v>-2.55214E-2</v>
      </c>
      <c r="O2266">
        <v>-0.47271039999999998</v>
      </c>
      <c r="P2266">
        <v>-0.67604390000000003</v>
      </c>
      <c r="Q2266">
        <v>2.589729E-2</v>
      </c>
      <c r="R2266">
        <v>-0.73640640000000002</v>
      </c>
      <c r="S2266">
        <v>-1.4555659999999999</v>
      </c>
      <c r="T2266">
        <v>-0.17491719999999999</v>
      </c>
      <c r="U2266">
        <v>-2.771271</v>
      </c>
      <c r="V2266">
        <v>-0.33071850000000003</v>
      </c>
      <c r="W2266">
        <v>3.8649299999999998E-2</v>
      </c>
      <c r="X2266">
        <v>0.94293769999999999</v>
      </c>
      <c r="Y2266">
        <v>-0.55922280000000002</v>
      </c>
      <c r="Z2266">
        <v>-7.5921859999999999E-3</v>
      </c>
      <c r="AA2266">
        <v>0.82898269999999996</v>
      </c>
      <c r="AB2266">
        <v>28</v>
      </c>
      <c r="AC2266">
        <v>-0.18450000000001399</v>
      </c>
      <c r="AD2266">
        <v>-5.0568999999999802E-2</v>
      </c>
      <c r="AE2266">
        <v>-0.65789999999998305</v>
      </c>
      <c r="AF2266">
        <v>-0.48977272967108698</v>
      </c>
      <c r="AG2266">
        <v>-5.0568999999999802E-2</v>
      </c>
      <c r="AH2266">
        <v>0.47108661768758803</v>
      </c>
      <c r="AI2266">
        <v>94.255791543543296</v>
      </c>
      <c r="AJ2266">
        <v>136.11410729917</v>
      </c>
      <c r="AK2266">
        <v>0.68143756269727296</v>
      </c>
      <c r="AL2266">
        <v>87.785006548217694</v>
      </c>
      <c r="AM2266">
        <v>109.327405208404</v>
      </c>
      <c r="AN2266">
        <v>1.00000000035701</v>
      </c>
    </row>
    <row r="2267" spans="1:40" x14ac:dyDescent="0.25">
      <c r="A2267" t="str">
        <f>"20190305135835799"</f>
        <v>20190305135835799</v>
      </c>
      <c r="B2267" t="str">
        <f>"1551765515791133"</f>
        <v>1551765515791133</v>
      </c>
      <c r="C2267" t="s">
        <v>40</v>
      </c>
      <c r="D2267">
        <v>3.9083199999999998</v>
      </c>
      <c r="E2267">
        <v>0.38214399999999998</v>
      </c>
      <c r="F2267" t="s">
        <v>42</v>
      </c>
      <c r="G2267">
        <v>-487.37169999999998</v>
      </c>
      <c r="H2267" s="1">
        <v>-3.2348739999999999E-6</v>
      </c>
      <c r="I2267">
        <v>266.08659999999998</v>
      </c>
      <c r="J2267">
        <v>-479.411</v>
      </c>
      <c r="K2267">
        <v>1.1249089999999999</v>
      </c>
      <c r="L2267">
        <v>283.1857</v>
      </c>
      <c r="M2267">
        <v>-0.87222710000000003</v>
      </c>
      <c r="N2267">
        <v>-2.5572830000000001E-2</v>
      </c>
      <c r="O2267">
        <v>-0.48843209999999998</v>
      </c>
      <c r="P2267">
        <v>-0.66124519999999998</v>
      </c>
      <c r="Q2267">
        <v>2.2262980000000002E-2</v>
      </c>
      <c r="R2267">
        <v>-0.74983940000000004</v>
      </c>
      <c r="S2267">
        <v>-1.348541</v>
      </c>
      <c r="T2267">
        <v>-0.1855</v>
      </c>
      <c r="U2267">
        <v>-2.8423159999999998</v>
      </c>
      <c r="V2267">
        <v>-0.33256279999999999</v>
      </c>
      <c r="W2267">
        <v>3.4974419999999999E-2</v>
      </c>
      <c r="X2267">
        <v>0.94243239999999995</v>
      </c>
      <c r="Y2267">
        <v>-0.57778609999999997</v>
      </c>
      <c r="Z2267">
        <v>-7.1699069999999997E-3</v>
      </c>
      <c r="AA2267">
        <v>0.81615669999999996</v>
      </c>
      <c r="AB2267">
        <v>28</v>
      </c>
      <c r="AC2267">
        <v>-7.9606999999999699</v>
      </c>
      <c r="AD2267">
        <v>-1.1249122348739999</v>
      </c>
      <c r="AE2267">
        <v>-17.0991</v>
      </c>
      <c r="AF2267">
        <v>-10.990550166861</v>
      </c>
      <c r="AG2267">
        <v>-1.1249122348739999</v>
      </c>
      <c r="AH2267">
        <v>15.246060378479401</v>
      </c>
      <c r="AI2267">
        <v>93.425246906102899</v>
      </c>
      <c r="AJ2267">
        <v>125.787005804803</v>
      </c>
      <c r="AK2267">
        <v>18.828169788131198</v>
      </c>
      <c r="AL2267">
        <v>87.995704643701899</v>
      </c>
      <c r="AM2267">
        <v>109.43676945681401</v>
      </c>
      <c r="AN2267">
        <v>1.00000002728396</v>
      </c>
    </row>
    <row r="2268" spans="1:40" x14ac:dyDescent="0.25">
      <c r="A2268" t="str">
        <f>"20190305135835822"</f>
        <v>20190305135835822</v>
      </c>
      <c r="B2268" t="str">
        <f>"1551765515810657"</f>
        <v>1551765515810657</v>
      </c>
      <c r="C2268" t="s">
        <v>40</v>
      </c>
      <c r="D2268">
        <v>3.915041</v>
      </c>
      <c r="E2268">
        <v>0.38420379999999998</v>
      </c>
      <c r="F2268" t="s">
        <v>42</v>
      </c>
      <c r="G2268">
        <v>-487.1712</v>
      </c>
      <c r="H2268" s="1">
        <v>-3.234664E-6</v>
      </c>
      <c r="I2268">
        <v>266.00319999999999</v>
      </c>
      <c r="J2268">
        <v>-479.63150000000002</v>
      </c>
      <c r="K2268">
        <v>1.1248940000000001</v>
      </c>
      <c r="L2268">
        <v>283.0401</v>
      </c>
      <c r="M2268">
        <v>-0.86295529999999998</v>
      </c>
      <c r="N2268">
        <v>-2.560246E-2</v>
      </c>
      <c r="O2268">
        <v>-0.50463139999999995</v>
      </c>
      <c r="P2268">
        <v>-0.64438149999999905</v>
      </c>
      <c r="Q2268">
        <v>2.0340799999999999E-2</v>
      </c>
      <c r="R2268">
        <v>-0.7644339</v>
      </c>
      <c r="S2268">
        <v>-1.2940370000000001</v>
      </c>
      <c r="T2268">
        <v>-0.18758259999999999</v>
      </c>
      <c r="U2268">
        <v>-2.8652340000000001</v>
      </c>
      <c r="V2268">
        <v>-0.33593689999999998</v>
      </c>
      <c r="W2268">
        <v>3.2933299999999999E-2</v>
      </c>
      <c r="X2268">
        <v>0.94130860000000005</v>
      </c>
      <c r="Y2268">
        <v>-0.57788309999999998</v>
      </c>
      <c r="Z2268">
        <v>-6.2466190000000001E-3</v>
      </c>
      <c r="AA2268">
        <v>0.81609569999999998</v>
      </c>
      <c r="AB2268">
        <v>27</v>
      </c>
      <c r="AC2268">
        <v>-7.5396999999999803</v>
      </c>
      <c r="AD2268">
        <v>-1.124897234664</v>
      </c>
      <c r="AE2268">
        <v>-17.036899999999999</v>
      </c>
      <c r="AF2268">
        <v>-10.861290284481001</v>
      </c>
      <c r="AG2268">
        <v>-1.124897234664</v>
      </c>
      <c r="AH2268">
        <v>15.0538498669983</v>
      </c>
      <c r="AI2268">
        <v>93.467814750644706</v>
      </c>
      <c r="AJ2268">
        <v>125.810292296155</v>
      </c>
      <c r="AK2268">
        <v>18.597080852930699</v>
      </c>
      <c r="AL2268">
        <v>88.112719720366101</v>
      </c>
      <c r="AM2268">
        <v>109.640611095965</v>
      </c>
      <c r="AN2268">
        <v>1.0000000417322199</v>
      </c>
    </row>
    <row r="2269" spans="1:40" x14ac:dyDescent="0.25">
      <c r="A2269" t="str">
        <f>"20190305135835834"</f>
        <v>20190305135835834</v>
      </c>
      <c r="B2269" t="str">
        <f>"1551765515821389"</f>
        <v>1551765515821389</v>
      </c>
      <c r="C2269" t="s">
        <v>40</v>
      </c>
      <c r="D2269">
        <v>3.9306969999999999</v>
      </c>
      <c r="E2269">
        <v>0.38526090000000002</v>
      </c>
      <c r="F2269" t="s">
        <v>42</v>
      </c>
      <c r="G2269">
        <v>-486.79500000000002</v>
      </c>
      <c r="H2269" s="1">
        <v>-3.4805130000000001E-6</v>
      </c>
      <c r="I2269">
        <v>266.42070000000001</v>
      </c>
      <c r="J2269">
        <v>-479.75619999999998</v>
      </c>
      <c r="K2269">
        <v>1.124884</v>
      </c>
      <c r="L2269">
        <v>282.95510000000002</v>
      </c>
      <c r="M2269">
        <v>-0.85747879999999999</v>
      </c>
      <c r="N2269">
        <v>-2.5609679999999999E-2</v>
      </c>
      <c r="O2269">
        <v>-0.5138817</v>
      </c>
      <c r="P2269">
        <v>-0.63459889999999997</v>
      </c>
      <c r="Q2269">
        <v>2.0351230000000001E-2</v>
      </c>
      <c r="R2269">
        <v>-0.77257399999999998</v>
      </c>
      <c r="S2269">
        <v>-1.2424010000000001</v>
      </c>
      <c r="T2269">
        <v>-0.19509650000000001</v>
      </c>
      <c r="U2269">
        <v>-2.8823850000000002</v>
      </c>
      <c r="V2269">
        <v>-0.33779559999999997</v>
      </c>
      <c r="W2269">
        <v>3.2874210000000001E-2</v>
      </c>
      <c r="X2269">
        <v>0.94064519999999996</v>
      </c>
      <c r="Y2269">
        <v>-0.58311049999999998</v>
      </c>
      <c r="Z2269">
        <v>-5.4557420000000004E-3</v>
      </c>
      <c r="AA2269">
        <v>0.8123745</v>
      </c>
      <c r="AB2269">
        <v>27</v>
      </c>
      <c r="AC2269">
        <v>-7.0388000000000304</v>
      </c>
      <c r="AD2269">
        <v>-1.124887480513</v>
      </c>
      <c r="AE2269">
        <v>-16.534400000000002</v>
      </c>
      <c r="AF2269">
        <v>-10.523017700802701</v>
      </c>
      <c r="AG2269">
        <v>-1.124887480513</v>
      </c>
      <c r="AH2269">
        <v>14.4803743366679</v>
      </c>
      <c r="AI2269">
        <v>93.595874083143201</v>
      </c>
      <c r="AJ2269">
        <v>126.00624061036601</v>
      </c>
      <c r="AK2269">
        <v>17.9354541148323</v>
      </c>
      <c r="AL2269">
        <v>88.116107058288506</v>
      </c>
      <c r="AM2269">
        <v>109.753747908682</v>
      </c>
      <c r="AN2269">
        <v>0.99999998667276202</v>
      </c>
    </row>
    <row r="2270" spans="1:40" x14ac:dyDescent="0.25">
      <c r="A2270" t="str">
        <f>"20190305135835846"</f>
        <v>20190305135835846</v>
      </c>
      <c r="B2270" t="str">
        <f>"1551765515841416"</f>
        <v>1551765515841416</v>
      </c>
      <c r="C2270" t="s">
        <v>40</v>
      </c>
      <c r="D2270">
        <v>3.9217710000000001</v>
      </c>
      <c r="E2270">
        <v>0.38751340000000001</v>
      </c>
      <c r="F2270" t="s">
        <v>41</v>
      </c>
      <c r="G2270">
        <v>-480.11110000000002</v>
      </c>
      <c r="H2270">
        <v>1.0677140000000001</v>
      </c>
      <c r="I2270">
        <v>282.10809999999998</v>
      </c>
      <c r="J2270">
        <v>-479.85770000000002</v>
      </c>
      <c r="K2270">
        <v>1.1248689999999999</v>
      </c>
      <c r="L2270">
        <v>282.88400000000001</v>
      </c>
      <c r="M2270">
        <v>-0.85287869999999999</v>
      </c>
      <c r="N2270">
        <v>-2.5611470000000001E-2</v>
      </c>
      <c r="O2270">
        <v>-0.52148090000000002</v>
      </c>
      <c r="P2270">
        <v>-0.62654019999999899</v>
      </c>
      <c r="Q2270">
        <v>2.068271E-2</v>
      </c>
      <c r="R2270">
        <v>-0.7791148</v>
      </c>
      <c r="S2270">
        <v>-1.2123109999999999</v>
      </c>
      <c r="T2270">
        <v>-0.1952498</v>
      </c>
      <c r="U2270">
        <v>-2.8924560000000001</v>
      </c>
      <c r="V2270">
        <v>-0.33921030000000002</v>
      </c>
      <c r="W2270">
        <v>3.3155869999999997E-2</v>
      </c>
      <c r="X2270">
        <v>0.94012609999999996</v>
      </c>
      <c r="Y2270">
        <v>-0.58408519999999997</v>
      </c>
      <c r="Z2270">
        <v>-5.0750370000000001E-3</v>
      </c>
      <c r="AA2270">
        <v>0.81167650000000002</v>
      </c>
      <c r="AB2270">
        <v>27</v>
      </c>
      <c r="AC2270">
        <v>-0.25339999999999901</v>
      </c>
      <c r="AD2270">
        <v>-5.7154999999999997E-2</v>
      </c>
      <c r="AE2270">
        <v>-0.77590000000003501</v>
      </c>
      <c r="AF2270">
        <v>-0.52719405525593199</v>
      </c>
      <c r="AG2270">
        <v>-5.7154999999999997E-2</v>
      </c>
      <c r="AH2270">
        <v>0.61791030896639698</v>
      </c>
      <c r="AI2270">
        <v>94.025065763511094</v>
      </c>
      <c r="AJ2270">
        <v>130.47043399268199</v>
      </c>
      <c r="AK2270">
        <v>0.81425635757367099</v>
      </c>
      <c r="AL2270">
        <v>88.099960373872193</v>
      </c>
      <c r="AM2270">
        <v>109.840134157623</v>
      </c>
      <c r="AN2270">
        <v>1.0000000116213701</v>
      </c>
    </row>
    <row r="2271" spans="1:40" x14ac:dyDescent="0.25">
      <c r="A2271" t="str">
        <f>"20190305135835857"</f>
        <v>20190305135835857</v>
      </c>
      <c r="B2271" t="str">
        <f>"1551765515851176"</f>
        <v>1551765515851176</v>
      </c>
      <c r="C2271" t="s">
        <v>40</v>
      </c>
      <c r="D2271">
        <v>3.922412</v>
      </c>
      <c r="E2271">
        <v>0.38852199999999998</v>
      </c>
      <c r="F2271" t="s">
        <v>41</v>
      </c>
      <c r="G2271">
        <v>-480.25229999999999</v>
      </c>
      <c r="H2271">
        <v>1.0612010000000001</v>
      </c>
      <c r="I2271">
        <v>281.93029999999999</v>
      </c>
      <c r="J2271">
        <v>-479.96789999999999</v>
      </c>
      <c r="K2271">
        <v>1.124852</v>
      </c>
      <c r="L2271">
        <v>282.80610000000001</v>
      </c>
      <c r="M2271">
        <v>-0.84778199999999904</v>
      </c>
      <c r="N2271">
        <v>-2.5611780000000001E-2</v>
      </c>
      <c r="O2271">
        <v>-0.52972649999999999</v>
      </c>
      <c r="P2271">
        <v>-0.6182339</v>
      </c>
      <c r="Q2271">
        <v>2.104659E-2</v>
      </c>
      <c r="R2271">
        <v>-0.78571250000000004</v>
      </c>
      <c r="S2271">
        <v>-1.196472</v>
      </c>
      <c r="T2271">
        <v>-0.19309699999999999</v>
      </c>
      <c r="U2271">
        <v>-2.8935240000000002</v>
      </c>
      <c r="V2271">
        <v>-0.34007690000000002</v>
      </c>
      <c r="W2271">
        <v>3.3495659999999997E-2</v>
      </c>
      <c r="X2271">
        <v>0.93980090000000005</v>
      </c>
      <c r="Y2271">
        <v>-0.58013490000000001</v>
      </c>
      <c r="Z2271">
        <v>-4.5805730000000001E-3</v>
      </c>
      <c r="AA2271">
        <v>0.8145076</v>
      </c>
      <c r="AB2271">
        <v>27</v>
      </c>
      <c r="AC2271">
        <v>-0.28440000000000498</v>
      </c>
      <c r="AD2271">
        <v>-6.3650999999999902E-2</v>
      </c>
      <c r="AE2271">
        <v>-0.875800000000026</v>
      </c>
      <c r="AF2271">
        <v>-0.58921197986556895</v>
      </c>
      <c r="AG2271">
        <v>-6.3650999999999902E-2</v>
      </c>
      <c r="AH2271">
        <v>0.701920971963791</v>
      </c>
      <c r="AI2271">
        <v>93.973073041359498</v>
      </c>
      <c r="AJ2271">
        <v>130.01103221203999</v>
      </c>
      <c r="AK2271">
        <v>0.91864860414670901</v>
      </c>
      <c r="AL2271">
        <v>88.080480988054305</v>
      </c>
      <c r="AM2271">
        <v>109.89319309197001</v>
      </c>
      <c r="AN2271">
        <v>0.99999999439662701</v>
      </c>
    </row>
    <row r="2272" spans="1:40" x14ac:dyDescent="0.25">
      <c r="A2272" t="str">
        <f>"20190305135835869"</f>
        <v>20190305135835869</v>
      </c>
      <c r="B2272" t="str">
        <f>"1551765515860936"</f>
        <v>1551765515860936</v>
      </c>
      <c r="C2272" t="s">
        <v>40</v>
      </c>
      <c r="D2272">
        <v>3.9296169999999999</v>
      </c>
      <c r="E2272">
        <v>0.38969670000000001</v>
      </c>
      <c r="F2272" t="s">
        <v>41</v>
      </c>
      <c r="G2272">
        <v>-480.3014</v>
      </c>
      <c r="H2272">
        <v>1.0700480000000001</v>
      </c>
      <c r="I2272">
        <v>281.98079999999999</v>
      </c>
      <c r="J2272">
        <v>-480.0822</v>
      </c>
      <c r="K2272">
        <v>1.1248209999999901</v>
      </c>
      <c r="L2272">
        <v>282.72230000000002</v>
      </c>
      <c r="M2272">
        <v>-0.84231180000000005</v>
      </c>
      <c r="N2272">
        <v>-2.5608300000000001E-2</v>
      </c>
      <c r="O2272">
        <v>-0.53838209999999997</v>
      </c>
      <c r="P2272">
        <v>-0.60943849999999999</v>
      </c>
      <c r="Q2272">
        <v>2.1162150000000001E-2</v>
      </c>
      <c r="R2272">
        <v>-0.79255100000000001</v>
      </c>
      <c r="S2272">
        <v>-1.171692</v>
      </c>
      <c r="T2272">
        <v>-0.19259680000000001</v>
      </c>
      <c r="U2272">
        <v>-2.9014280000000001</v>
      </c>
      <c r="V2272">
        <v>-0.3409239</v>
      </c>
      <c r="W2272">
        <v>3.3595750000000001E-2</v>
      </c>
      <c r="X2272">
        <v>0.93949039999999995</v>
      </c>
      <c r="Y2272">
        <v>-0.57855529999999999</v>
      </c>
      <c r="Z2272">
        <v>-4.0668299999999996E-3</v>
      </c>
      <c r="AA2272">
        <v>0.8156331</v>
      </c>
      <c r="AB2272">
        <v>27</v>
      </c>
      <c r="AC2272">
        <v>-0.21920000000000001</v>
      </c>
      <c r="AD2272">
        <v>-5.4772999999999898E-2</v>
      </c>
      <c r="AE2272">
        <v>-0.74150000000003002</v>
      </c>
      <c r="AF2272">
        <v>-0.50419693099727503</v>
      </c>
      <c r="AG2272">
        <v>-5.4772999999999898E-2</v>
      </c>
      <c r="AH2272">
        <v>0.58112050741677201</v>
      </c>
      <c r="AI2272">
        <v>94.072181703474698</v>
      </c>
      <c r="AJ2272">
        <v>130.94585130980499</v>
      </c>
      <c r="AK2272">
        <v>0.77130776665115797</v>
      </c>
      <c r="AL2272">
        <v>88.074743026833502</v>
      </c>
      <c r="AM2272">
        <v>109.94490947182599</v>
      </c>
      <c r="AN2272">
        <v>0.99999999585071597</v>
      </c>
    </row>
    <row r="2273" spans="1:40" x14ac:dyDescent="0.25">
      <c r="A2273" t="str">
        <f>"20190305135835881"</f>
        <v>20190305135835881</v>
      </c>
      <c r="B2273" t="str">
        <f>"1551765515870696"</f>
        <v>1551765515870696</v>
      </c>
      <c r="C2273" t="s">
        <v>40</v>
      </c>
      <c r="D2273">
        <v>3.958161</v>
      </c>
      <c r="E2273">
        <v>0.39086530000000003</v>
      </c>
      <c r="F2273" t="s">
        <v>41</v>
      </c>
      <c r="G2273">
        <v>-480.44330000000002</v>
      </c>
      <c r="H2273">
        <v>1.0651379999999999</v>
      </c>
      <c r="I2273">
        <v>281.80610000000001</v>
      </c>
      <c r="J2273">
        <v>-480.19189999999998</v>
      </c>
      <c r="K2273">
        <v>1.1247910000000001</v>
      </c>
      <c r="L2273">
        <v>282.64100000000002</v>
      </c>
      <c r="M2273">
        <v>-0.83693980000000001</v>
      </c>
      <c r="N2273">
        <v>-2.560283E-2</v>
      </c>
      <c r="O2273">
        <v>-0.54669599999999996</v>
      </c>
      <c r="P2273">
        <v>-0.60141619999999996</v>
      </c>
      <c r="Q2273">
        <v>2.1102429999999998E-2</v>
      </c>
      <c r="R2273">
        <v>-0.79865730000000001</v>
      </c>
      <c r="S2273">
        <v>-1.146423</v>
      </c>
      <c r="T2273">
        <v>-0.18946769999999999</v>
      </c>
      <c r="U2273">
        <v>-2.908722</v>
      </c>
      <c r="V2273">
        <v>-0.34109109999999998</v>
      </c>
      <c r="W2273">
        <v>3.3550459999999997E-2</v>
      </c>
      <c r="X2273">
        <v>0.93943140000000003</v>
      </c>
      <c r="Y2273">
        <v>-0.57733400000000001</v>
      </c>
      <c r="Z2273">
        <v>-3.8204789999999999E-3</v>
      </c>
      <c r="AA2273">
        <v>0.81649919999999998</v>
      </c>
      <c r="AB2273">
        <v>27</v>
      </c>
      <c r="AC2273">
        <v>-0.25140000000004598</v>
      </c>
      <c r="AD2273">
        <v>-5.9653000000000102E-2</v>
      </c>
      <c r="AE2273">
        <v>-0.83489999999994702</v>
      </c>
      <c r="AF2273">
        <v>-0.55888971461339598</v>
      </c>
      <c r="AG2273">
        <v>-5.9653000000000102E-2</v>
      </c>
      <c r="AH2273">
        <v>0.66395402975966999</v>
      </c>
      <c r="AI2273">
        <v>93.932052711070199</v>
      </c>
      <c r="AJ2273">
        <v>130.089319682179</v>
      </c>
      <c r="AK2273">
        <v>0.86991444817507702</v>
      </c>
      <c r="AL2273">
        <v>88.077339546656106</v>
      </c>
      <c r="AM2273">
        <v>109.955073585512</v>
      </c>
      <c r="AN2273">
        <v>1.0000000635856801</v>
      </c>
    </row>
    <row r="2274" spans="1:40" x14ac:dyDescent="0.25">
      <c r="A2274" t="str">
        <f>"20190305135835894"</f>
        <v>20190305135835894</v>
      </c>
      <c r="B2274" t="str">
        <f>"1551765515891192"</f>
        <v>1551765515891192</v>
      </c>
      <c r="C2274" t="s">
        <v>40</v>
      </c>
      <c r="D2274">
        <v>4.1002099999999997</v>
      </c>
      <c r="E2274">
        <v>0.39201019999999998</v>
      </c>
      <c r="F2274" t="s">
        <v>42</v>
      </c>
      <c r="G2274">
        <v>-486.95769999999999</v>
      </c>
      <c r="H2274" s="1">
        <v>-2.8865389999999998E-6</v>
      </c>
      <c r="I2274">
        <v>265.1035</v>
      </c>
      <c r="J2274">
        <v>-480.31180000000001</v>
      </c>
      <c r="K2274">
        <v>1.1247469999999999</v>
      </c>
      <c r="L2274">
        <v>282.54950000000002</v>
      </c>
      <c r="M2274">
        <v>-0.83088280000000003</v>
      </c>
      <c r="N2274">
        <v>-2.5589480000000001E-2</v>
      </c>
      <c r="O2274">
        <v>-0.55585879999999999</v>
      </c>
      <c r="P2274">
        <v>-0.59271169999999995</v>
      </c>
      <c r="Q2274">
        <v>2.0886189999999999E-2</v>
      </c>
      <c r="R2274">
        <v>-0.80514379999999997</v>
      </c>
      <c r="S2274">
        <v>-1.12439</v>
      </c>
      <c r="T2274">
        <v>-0.18692510000000001</v>
      </c>
      <c r="U2274">
        <v>-2.9144899999999998</v>
      </c>
      <c r="V2274">
        <v>-0.34095969999999998</v>
      </c>
      <c r="W2274">
        <v>3.3364119999999997E-2</v>
      </c>
      <c r="X2274">
        <v>0.93948569999999998</v>
      </c>
      <c r="Y2274">
        <v>-0.5743026</v>
      </c>
      <c r="Z2274">
        <v>-3.4004220000000002E-3</v>
      </c>
      <c r="AA2274">
        <v>0.81863609999999998</v>
      </c>
      <c r="AB2274">
        <v>27</v>
      </c>
      <c r="AC2274">
        <v>-6.6458999999999797</v>
      </c>
      <c r="AD2274">
        <v>-1.124749886539</v>
      </c>
      <c r="AE2274">
        <v>-17.446000000000002</v>
      </c>
      <c r="AF2274">
        <v>-10.765860433949801</v>
      </c>
      <c r="AG2274">
        <v>-1.124749886539</v>
      </c>
      <c r="AH2274">
        <v>15.169401317539901</v>
      </c>
      <c r="AI2274">
        <v>93.460214419910798</v>
      </c>
      <c r="AJ2274">
        <v>125.363664722365</v>
      </c>
      <c r="AK2274">
        <v>18.635438001912899</v>
      </c>
      <c r="AL2274">
        <v>88.088021959854302</v>
      </c>
      <c r="AM2274">
        <v>109.946930617053</v>
      </c>
      <c r="AN2274">
        <v>1.00000003101597</v>
      </c>
    </row>
    <row r="2275" spans="1:40" x14ac:dyDescent="0.25">
      <c r="A2275" t="str">
        <f>"20190305135835911"</f>
        <v>20190305135835911</v>
      </c>
      <c r="B2275" t="str">
        <f>"1551765515900951"</f>
        <v>1551765515900951</v>
      </c>
      <c r="C2275" t="s">
        <v>40</v>
      </c>
      <c r="D2275">
        <v>3.9633080000000001</v>
      </c>
      <c r="E2275">
        <v>0.3942735</v>
      </c>
      <c r="F2275" t="s">
        <v>41</v>
      </c>
      <c r="G2275">
        <v>-480.63729999999998</v>
      </c>
      <c r="H2275">
        <v>1.0700750000000001</v>
      </c>
      <c r="I2275">
        <v>281.68529999999998</v>
      </c>
      <c r="J2275">
        <v>-480.4726</v>
      </c>
      <c r="K2275">
        <v>1.12469</v>
      </c>
      <c r="L2275">
        <v>282.42340000000002</v>
      </c>
      <c r="M2275">
        <v>-0.82247689999999996</v>
      </c>
      <c r="N2275">
        <v>-2.5562769999999999E-2</v>
      </c>
      <c r="O2275">
        <v>-0.56822399999999995</v>
      </c>
      <c r="P2275">
        <v>-0.580843</v>
      </c>
      <c r="Q2275">
        <v>2.1289800000000001E-2</v>
      </c>
      <c r="R2275">
        <v>-0.81373719999999905</v>
      </c>
      <c r="S2275">
        <v>-1.0993649999999999</v>
      </c>
      <c r="T2275">
        <v>-0.18470600000000001</v>
      </c>
      <c r="U2275">
        <v>-2.9215089999999999</v>
      </c>
      <c r="V2275">
        <v>-0.34068130000000002</v>
      </c>
      <c r="W2275">
        <v>3.3812580000000002E-2</v>
      </c>
      <c r="X2275">
        <v>0.93957069999999998</v>
      </c>
      <c r="Y2275">
        <v>-0.56887219999999905</v>
      </c>
      <c r="Z2275">
        <v>-2.6799319999999999E-3</v>
      </c>
      <c r="AA2275">
        <v>0.82242159999999997</v>
      </c>
      <c r="AB2275">
        <v>27</v>
      </c>
      <c r="AC2275">
        <v>-0.164699999999982</v>
      </c>
      <c r="AD2275">
        <v>-5.4614999999999803E-2</v>
      </c>
      <c r="AE2275">
        <v>-0.73810000000003095</v>
      </c>
      <c r="AF2275">
        <v>-0.51098648642598099</v>
      </c>
      <c r="AG2275">
        <v>-5.4614999999999803E-2</v>
      </c>
      <c r="AH2275">
        <v>0.55216959492065998</v>
      </c>
      <c r="AI2275">
        <v>94.152080630212893</v>
      </c>
      <c r="AJ2275">
        <v>132.78166237102201</v>
      </c>
      <c r="AK2275">
        <v>0.75430845752239595</v>
      </c>
      <c r="AL2275">
        <v>88.062312663330701</v>
      </c>
      <c r="AM2275">
        <v>109.93026542181499</v>
      </c>
      <c r="AN2275">
        <v>1.00000006951721</v>
      </c>
    </row>
    <row r="2276" spans="1:40" x14ac:dyDescent="0.25">
      <c r="A2276" t="str">
        <f>"20190305135835925"</f>
        <v>20190305135835925</v>
      </c>
      <c r="B2276" t="str">
        <f>"1551765515921448"</f>
        <v>1551765515921448</v>
      </c>
      <c r="C2276" t="s">
        <v>40</v>
      </c>
      <c r="D2276">
        <v>4.0314170000000003</v>
      </c>
      <c r="E2276">
        <v>0.39689029999999997</v>
      </c>
      <c r="F2276" t="s">
        <v>41</v>
      </c>
      <c r="G2276">
        <v>-480.79829999999998</v>
      </c>
      <c r="H2276">
        <v>1.065817</v>
      </c>
      <c r="I2276">
        <v>281.53379999999999</v>
      </c>
      <c r="J2276">
        <v>-480.59019999999998</v>
      </c>
      <c r="K2276">
        <v>1.124638</v>
      </c>
      <c r="L2276">
        <v>282.32859999999999</v>
      </c>
      <c r="M2276">
        <v>-0.8161195</v>
      </c>
      <c r="N2276">
        <v>-2.5536099999999999E-2</v>
      </c>
      <c r="O2276">
        <v>-0.57731860000000002</v>
      </c>
      <c r="P2276">
        <v>-0.57187069999999995</v>
      </c>
      <c r="Q2276">
        <v>2.2426069999999999E-2</v>
      </c>
      <c r="R2276">
        <v>-0.82003709999999996</v>
      </c>
      <c r="S2276">
        <v>-1.0716859999999999</v>
      </c>
      <c r="T2276">
        <v>-0.19370039999999999</v>
      </c>
      <c r="U2276">
        <v>-2.9267880000000002</v>
      </c>
      <c r="V2276">
        <v>-0.34057979999999999</v>
      </c>
      <c r="W2276">
        <v>3.4975850000000003E-2</v>
      </c>
      <c r="X2276">
        <v>0.93956479999999998</v>
      </c>
      <c r="Y2276">
        <v>-0.56703440000000005</v>
      </c>
      <c r="Z2276">
        <v>-1.1389709999999999E-3</v>
      </c>
      <c r="AA2276">
        <v>0.82369329999999996</v>
      </c>
      <c r="AB2276">
        <v>27</v>
      </c>
      <c r="AC2276">
        <v>-0.20810000000000101</v>
      </c>
      <c r="AD2276">
        <v>-5.8820999999999998E-2</v>
      </c>
      <c r="AE2276">
        <v>-0.79480000000000905</v>
      </c>
      <c r="AF2276">
        <v>-0.52598815318792602</v>
      </c>
      <c r="AG2276">
        <v>-5.8820999999999998E-2</v>
      </c>
      <c r="AH2276">
        <v>0.62568533200092402</v>
      </c>
      <c r="AI2276">
        <v>94.1159632290736</v>
      </c>
      <c r="AJ2276">
        <v>130.05239762812201</v>
      </c>
      <c r="AK2276">
        <v>0.81951545562981998</v>
      </c>
      <c r="AL2276">
        <v>87.9956225293231</v>
      </c>
      <c r="AM2276">
        <v>109.924910157008</v>
      </c>
      <c r="AN2276">
        <v>0.99999996182515005</v>
      </c>
    </row>
    <row r="2277" spans="1:40" x14ac:dyDescent="0.25">
      <c r="A2277" t="str">
        <f>"20190305135835938"</f>
        <v>20190305135835938</v>
      </c>
      <c r="B2277" t="str">
        <f>"1551765515930738"</f>
        <v>1551765515930738</v>
      </c>
      <c r="C2277" t="s">
        <v>40</v>
      </c>
      <c r="D2277">
        <v>4.0326060000000004</v>
      </c>
      <c r="E2277">
        <v>0.39823059999999899</v>
      </c>
      <c r="F2277" t="s">
        <v>41</v>
      </c>
      <c r="G2277">
        <v>-480.93819999999999</v>
      </c>
      <c r="H2277">
        <v>1.0609249999999999</v>
      </c>
      <c r="I2277">
        <v>281.36509999999998</v>
      </c>
      <c r="J2277">
        <v>-480.70780000000002</v>
      </c>
      <c r="K2277">
        <v>1.124584</v>
      </c>
      <c r="L2277">
        <v>282.2321</v>
      </c>
      <c r="M2277">
        <v>-0.80959639999999999</v>
      </c>
      <c r="N2277">
        <v>-2.5504880000000001E-2</v>
      </c>
      <c r="O2277">
        <v>-0.58643279999999998</v>
      </c>
      <c r="P2277">
        <v>-0.56232769999999899</v>
      </c>
      <c r="Q2277">
        <v>2.449229E-2</v>
      </c>
      <c r="R2277">
        <v>-0.82655190000000001</v>
      </c>
      <c r="S2277">
        <v>-1.0566709999999999</v>
      </c>
      <c r="T2277">
        <v>-0.19346150000000001</v>
      </c>
      <c r="U2277">
        <v>-2.9266969999999999</v>
      </c>
      <c r="V2277">
        <v>-0.34095170000000002</v>
      </c>
      <c r="W2277">
        <v>3.7047799999999999E-2</v>
      </c>
      <c r="X2277">
        <v>0.93935049999999998</v>
      </c>
      <c r="Y2277">
        <v>-0.56153799999999998</v>
      </c>
      <c r="Z2277">
        <v>-3.3358859999999999E-4</v>
      </c>
      <c r="AA2277">
        <v>0.82745089999999999</v>
      </c>
      <c r="AB2277">
        <v>26</v>
      </c>
      <c r="AC2277">
        <v>-0.23039999999997399</v>
      </c>
      <c r="AD2277">
        <v>-6.3659000000000104E-2</v>
      </c>
      <c r="AE2277">
        <v>-0.86700000000001798</v>
      </c>
      <c r="AF2277">
        <v>-0.56414953347424002</v>
      </c>
      <c r="AG2277">
        <v>-6.3659000000000104E-2</v>
      </c>
      <c r="AH2277">
        <v>0.69171116658119403</v>
      </c>
      <c r="AI2277">
        <v>94.079363552272198</v>
      </c>
      <c r="AJ2277">
        <v>129.20018265332899</v>
      </c>
      <c r="AK2277">
        <v>0.89486395746689895</v>
      </c>
      <c r="AL2277">
        <v>87.876831502762798</v>
      </c>
      <c r="AM2277">
        <v>109.949143945963</v>
      </c>
      <c r="AN2277">
        <v>0.99999998153398895</v>
      </c>
    </row>
    <row r="2278" spans="1:40" x14ac:dyDescent="0.25">
      <c r="A2278" t="str">
        <f>"20190305135835950"</f>
        <v>20190305135835950</v>
      </c>
      <c r="B2278" t="str">
        <f>"1551765515941474"</f>
        <v>1551765515941474</v>
      </c>
      <c r="C2278" t="s">
        <v>40</v>
      </c>
      <c r="D2278">
        <v>4.0496169999999996</v>
      </c>
      <c r="E2278">
        <v>0.39953719999999998</v>
      </c>
      <c r="F2278" t="s">
        <v>41</v>
      </c>
      <c r="G2278">
        <v>-481.0729</v>
      </c>
      <c r="H2278">
        <v>1.057644</v>
      </c>
      <c r="I2278">
        <v>281.19450000000001</v>
      </c>
      <c r="J2278">
        <v>-480.81630000000001</v>
      </c>
      <c r="K2278">
        <v>1.1245259999999999</v>
      </c>
      <c r="L2278">
        <v>282.13990000000001</v>
      </c>
      <c r="M2278">
        <v>-0.80338310000000002</v>
      </c>
      <c r="N2278">
        <v>-2.5468560000000001E-2</v>
      </c>
      <c r="O2278">
        <v>-0.59491780000000005</v>
      </c>
      <c r="P2278">
        <v>-0.55351280000000003</v>
      </c>
      <c r="Q2278">
        <v>2.639329E-2</v>
      </c>
      <c r="R2278">
        <v>-0.83242260000000001</v>
      </c>
      <c r="S2278">
        <v>-1.0319210000000001</v>
      </c>
      <c r="T2278">
        <v>-0.18921350000000001</v>
      </c>
      <c r="U2278">
        <v>-2.9331049999999999</v>
      </c>
      <c r="V2278">
        <v>-0.34106120000000001</v>
      </c>
      <c r="W2278">
        <v>3.8962820000000002E-2</v>
      </c>
      <c r="X2278">
        <v>0.93923330000000005</v>
      </c>
      <c r="Y2278">
        <v>-0.55964230000000004</v>
      </c>
      <c r="Z2278">
        <v>-1.965798E-4</v>
      </c>
      <c r="AA2278">
        <v>0.82873430000000003</v>
      </c>
      <c r="AB2278">
        <v>26</v>
      </c>
      <c r="AC2278">
        <v>-0.256599999999991</v>
      </c>
      <c r="AD2278">
        <v>-6.6881999999999803E-2</v>
      </c>
      <c r="AE2278">
        <v>-0.94540000000000601</v>
      </c>
      <c r="AF2278">
        <v>-0.604242696116992</v>
      </c>
      <c r="AG2278">
        <v>-6.6881999999999803E-2</v>
      </c>
      <c r="AH2278">
        <v>0.76526547554297697</v>
      </c>
      <c r="AI2278">
        <v>93.923929187665607</v>
      </c>
      <c r="AJ2278">
        <v>128.294117666289</v>
      </c>
      <c r="AK2278">
        <v>0.97735033933219195</v>
      </c>
      <c r="AL2278">
        <v>87.767029673100595</v>
      </c>
      <c r="AM2278">
        <v>109.957338682684</v>
      </c>
      <c r="AN2278">
        <v>1.0000000176583399</v>
      </c>
    </row>
    <row r="2279" spans="1:40" x14ac:dyDescent="0.25">
      <c r="A2279" t="str">
        <f>"20190305135835964"</f>
        <v>20190305135835964</v>
      </c>
      <c r="B2279" t="str">
        <f>"1551765515960994"</f>
        <v>1551765515960994</v>
      </c>
      <c r="C2279" t="s">
        <v>40</v>
      </c>
      <c r="D2279">
        <v>4.0003080000000004</v>
      </c>
      <c r="E2279">
        <v>0.40183849999999999</v>
      </c>
      <c r="F2279" t="s">
        <v>41</v>
      </c>
      <c r="G2279">
        <v>-481.12569999999999</v>
      </c>
      <c r="H2279">
        <v>1.067726</v>
      </c>
      <c r="I2279">
        <v>281.24029999999999</v>
      </c>
      <c r="J2279">
        <v>-480.92450000000002</v>
      </c>
      <c r="K2279">
        <v>1.124466</v>
      </c>
      <c r="L2279">
        <v>282.04660000000001</v>
      </c>
      <c r="M2279">
        <v>-0.7970431</v>
      </c>
      <c r="N2279">
        <v>-2.5431309999999999E-2</v>
      </c>
      <c r="O2279">
        <v>-0.6033868</v>
      </c>
      <c r="P2279">
        <v>-0.54451090000000002</v>
      </c>
      <c r="Q2279">
        <v>2.8008140000000001E-2</v>
      </c>
      <c r="R2279">
        <v>-0.83828630000000004</v>
      </c>
      <c r="S2279">
        <v>-1.01004</v>
      </c>
      <c r="T2279">
        <v>-0.18546660000000001</v>
      </c>
      <c r="U2279">
        <v>-2.9381710000000001</v>
      </c>
      <c r="V2279">
        <v>-0.34124690000000002</v>
      </c>
      <c r="W2279">
        <v>4.0590399999999999E-2</v>
      </c>
      <c r="X2279">
        <v>0.93909690000000001</v>
      </c>
      <c r="Y2279">
        <v>-0.55685850000000003</v>
      </c>
      <c r="Z2279" s="1">
        <v>1.058821E-5</v>
      </c>
      <c r="AA2279">
        <v>0.8306074</v>
      </c>
      <c r="AB2279">
        <v>26</v>
      </c>
      <c r="AC2279">
        <v>-0.20119999999997101</v>
      </c>
      <c r="AD2279">
        <v>-5.6739999999999999E-2</v>
      </c>
      <c r="AE2279">
        <v>-0.806300000000021</v>
      </c>
      <c r="AF2279">
        <v>-0.51900356974366801</v>
      </c>
      <c r="AG2279">
        <v>-5.6739999999999999E-2</v>
      </c>
      <c r="AH2279">
        <v>0.64408253811390104</v>
      </c>
      <c r="AI2279">
        <v>93.924085103321303</v>
      </c>
      <c r="AJ2279">
        <v>128.86196749985999</v>
      </c>
      <c r="AK2279">
        <v>0.82911184342639499</v>
      </c>
      <c r="AL2279">
        <v>87.673702316350301</v>
      </c>
      <c r="AM2279">
        <v>109.970017472631</v>
      </c>
      <c r="AN2279">
        <v>1.0000000074606901</v>
      </c>
    </row>
    <row r="2280" spans="1:40" x14ac:dyDescent="0.25">
      <c r="A2280" t="str">
        <f>"20190305135835979"</f>
        <v>20190305135835979</v>
      </c>
      <c r="B2280" t="str">
        <f>"1551765515970754"</f>
        <v>1551765515970754</v>
      </c>
      <c r="C2280" t="s">
        <v>40</v>
      </c>
      <c r="D2280">
        <v>3.99411</v>
      </c>
      <c r="E2280">
        <v>0.40290569999999998</v>
      </c>
      <c r="F2280" t="s">
        <v>41</v>
      </c>
      <c r="G2280">
        <v>-481.2559</v>
      </c>
      <c r="H2280">
        <v>1.063955</v>
      </c>
      <c r="I2280">
        <v>281.06720000000001</v>
      </c>
      <c r="J2280">
        <v>-481.05560000000003</v>
      </c>
      <c r="K2280">
        <v>1.124382</v>
      </c>
      <c r="L2280">
        <v>281.93099999999998</v>
      </c>
      <c r="M2280">
        <v>-0.78915440000000003</v>
      </c>
      <c r="N2280">
        <v>-2.5384029999999998E-2</v>
      </c>
      <c r="O2280">
        <v>-0.6136701</v>
      </c>
      <c r="P2280">
        <v>-0.53368479999999996</v>
      </c>
      <c r="Q2280">
        <v>2.9467239999999999E-2</v>
      </c>
      <c r="R2280">
        <v>-0.84516999999999998</v>
      </c>
      <c r="S2280">
        <v>-0.99395750000000005</v>
      </c>
      <c r="T2280">
        <v>-0.18154880000000001</v>
      </c>
      <c r="U2280">
        <v>-2.9390869999999998</v>
      </c>
      <c r="V2280">
        <v>-0.3411478</v>
      </c>
      <c r="W2280">
        <v>4.2082580000000001E-2</v>
      </c>
      <c r="X2280">
        <v>0.93906719999999999</v>
      </c>
      <c r="Y2280">
        <v>-0.55027019999999904</v>
      </c>
      <c r="Z2280">
        <v>4.5320110000000001E-4</v>
      </c>
      <c r="AA2280">
        <v>0.83498649999999996</v>
      </c>
      <c r="AB2280">
        <v>26</v>
      </c>
      <c r="AC2280">
        <v>-0.20029999999997</v>
      </c>
      <c r="AD2280">
        <v>-6.0427000000000002E-2</v>
      </c>
      <c r="AE2280">
        <v>-0.86379999999996904</v>
      </c>
      <c r="AF2280">
        <v>-0.556349874626482</v>
      </c>
      <c r="AG2280">
        <v>-6.0427000000000002E-2</v>
      </c>
      <c r="AH2280">
        <v>0.68519563668665495</v>
      </c>
      <c r="AI2280">
        <v>93.916541049777294</v>
      </c>
      <c r="AJ2280">
        <v>129.07513797922101</v>
      </c>
      <c r="AK2280">
        <v>0.88468619626415201</v>
      </c>
      <c r="AL2280">
        <v>87.588133502694504</v>
      </c>
      <c r="AM2280">
        <v>109.965257828484</v>
      </c>
      <c r="AN2280">
        <v>0.99999998555006797</v>
      </c>
    </row>
    <row r="2281" spans="1:40" x14ac:dyDescent="0.25">
      <c r="A2281" t="str">
        <f>"20190305135835995"</f>
        <v>20190305135835995</v>
      </c>
      <c r="B2281" t="str">
        <f>"1551765515981490"</f>
        <v>1551765515981490</v>
      </c>
      <c r="C2281" t="s">
        <v>40</v>
      </c>
      <c r="D2281">
        <v>3.9541870000000001</v>
      </c>
      <c r="E2281">
        <v>0.40390350000000003</v>
      </c>
      <c r="F2281" t="s">
        <v>41</v>
      </c>
      <c r="G2281">
        <v>-481.39210000000003</v>
      </c>
      <c r="H2281">
        <v>1.0628</v>
      </c>
      <c r="I2281">
        <v>280.90170000000001</v>
      </c>
      <c r="J2281">
        <v>-481.1816</v>
      </c>
      <c r="K2281">
        <v>1.124288</v>
      </c>
      <c r="L2281">
        <v>281.81599999999997</v>
      </c>
      <c r="M2281">
        <v>-0.78130949999999999</v>
      </c>
      <c r="N2281">
        <v>-2.5335739999999999E-2</v>
      </c>
      <c r="O2281">
        <v>-0.62362930000000005</v>
      </c>
      <c r="P2281">
        <v>-0.52295950000000002</v>
      </c>
      <c r="Q2281">
        <v>2.9825750000000002E-2</v>
      </c>
      <c r="R2281">
        <v>-0.85183549999999997</v>
      </c>
      <c r="S2281">
        <v>-0.96368410000000004</v>
      </c>
      <c r="T2281">
        <v>-0.1763875</v>
      </c>
      <c r="U2281">
        <v>-2.9471129999999999</v>
      </c>
      <c r="V2281">
        <v>-0.34109929999999999</v>
      </c>
      <c r="W2281">
        <v>4.2474659999999997E-2</v>
      </c>
      <c r="X2281">
        <v>0.93906719999999999</v>
      </c>
      <c r="Y2281">
        <v>-0.54813319999999999</v>
      </c>
      <c r="Z2281">
        <v>4.7860109999999997E-4</v>
      </c>
      <c r="AA2281">
        <v>0.836391</v>
      </c>
      <c r="AB2281">
        <v>26</v>
      </c>
      <c r="AC2281">
        <v>-0.210500000000024</v>
      </c>
      <c r="AD2281">
        <v>-6.1487999999999897E-2</v>
      </c>
      <c r="AE2281">
        <v>-0.91429999999996803</v>
      </c>
      <c r="AF2281">
        <v>-0.58077009455697104</v>
      </c>
      <c r="AG2281">
        <v>-6.1487999999999897E-2</v>
      </c>
      <c r="AH2281">
        <v>0.73174293832505199</v>
      </c>
      <c r="AI2281">
        <v>93.765686805035998</v>
      </c>
      <c r="AJ2281">
        <v>128.43834543604899</v>
      </c>
      <c r="AK2281">
        <v>0.93622775256039803</v>
      </c>
      <c r="AL2281">
        <v>87.565648946780797</v>
      </c>
      <c r="AM2281">
        <v>109.962643633083</v>
      </c>
      <c r="AN2281">
        <v>1.0000000176592201</v>
      </c>
    </row>
    <row r="2282" spans="1:40" x14ac:dyDescent="0.25">
      <c r="A2282" t="str">
        <f>"20190305135836013"</f>
        <v>20190305135836013</v>
      </c>
      <c r="B2282" t="str">
        <f>"1551765516010770"</f>
        <v>1551765516010770</v>
      </c>
      <c r="C2282" t="s">
        <v>40</v>
      </c>
      <c r="D2282">
        <v>3.9897490000000002</v>
      </c>
      <c r="E2282">
        <v>0.4397838</v>
      </c>
      <c r="F2282" t="s">
        <v>41</v>
      </c>
      <c r="G2282">
        <v>-481.45420000000001</v>
      </c>
      <c r="H2282">
        <v>1.073251</v>
      </c>
      <c r="I2282">
        <v>280.95209999999997</v>
      </c>
      <c r="J2282">
        <v>-481.33339999999998</v>
      </c>
      <c r="K2282">
        <v>1.1241699999999999</v>
      </c>
      <c r="L2282">
        <v>281.67380000000003</v>
      </c>
      <c r="M2282">
        <v>-0.77156000000000002</v>
      </c>
      <c r="N2282">
        <v>-2.5276E-2</v>
      </c>
      <c r="O2282">
        <v>-0.63565430000000001</v>
      </c>
      <c r="P2282">
        <v>-0.51012469999999999</v>
      </c>
      <c r="Q2282">
        <v>2.80235E-2</v>
      </c>
      <c r="R2282">
        <v>-0.85964390000000002</v>
      </c>
      <c r="S2282">
        <v>-0.93273930000000005</v>
      </c>
      <c r="T2282">
        <v>-0.1746646</v>
      </c>
      <c r="U2282">
        <v>-2.9553219999999998</v>
      </c>
      <c r="V2282">
        <v>-0.34061609999999998</v>
      </c>
      <c r="W2282">
        <v>4.0737139999999998E-2</v>
      </c>
      <c r="X2282">
        <v>0.93931960000000003</v>
      </c>
      <c r="Y2282">
        <v>-0.54383029999999999</v>
      </c>
      <c r="Z2282">
        <v>1.1120419999999999E-3</v>
      </c>
      <c r="AA2282">
        <v>0.83919449999999995</v>
      </c>
      <c r="AB2282">
        <v>26</v>
      </c>
      <c r="AC2282">
        <v>-0.12080000000003099</v>
      </c>
      <c r="AD2282">
        <v>-5.0919000000000103E-2</v>
      </c>
      <c r="AE2282">
        <v>-0.72170000000005496</v>
      </c>
      <c r="AF2282">
        <v>-0.477887164883051</v>
      </c>
      <c r="AG2282">
        <v>-5.0919000000000103E-2</v>
      </c>
      <c r="AH2282">
        <v>0.54947185629718798</v>
      </c>
      <c r="AI2282">
        <v>93.999790521345901</v>
      </c>
      <c r="AJ2282">
        <v>131.01416624154501</v>
      </c>
      <c r="AK2282">
        <v>0.72999192309479499</v>
      </c>
      <c r="AL2282">
        <v>87.6652879353326</v>
      </c>
      <c r="AM2282">
        <v>109.931658806068</v>
      </c>
      <c r="AN2282">
        <v>1.00000007654937</v>
      </c>
    </row>
    <row r="2283" spans="1:40" x14ac:dyDescent="0.25">
      <c r="A2283" t="str">
        <f>"20190305135836028"</f>
        <v>20190305135836028</v>
      </c>
      <c r="B2283" t="str">
        <f>"1551765516021507"</f>
        <v>1551765516021507</v>
      </c>
      <c r="C2283" t="s">
        <v>40</v>
      </c>
      <c r="D2283">
        <v>4.0339970000000003</v>
      </c>
      <c r="E2283">
        <v>0.4386197</v>
      </c>
      <c r="F2283" t="s">
        <v>41</v>
      </c>
      <c r="G2283">
        <v>-481.6669</v>
      </c>
      <c r="H2283">
        <v>1.0662720000000001</v>
      </c>
      <c r="I2283">
        <v>280.84570000000002</v>
      </c>
      <c r="J2283">
        <v>-481.45069999999998</v>
      </c>
      <c r="K2283">
        <v>1.1240680000000001</v>
      </c>
      <c r="L2283">
        <v>281.5607</v>
      </c>
      <c r="M2283">
        <v>-0.76377640000000002</v>
      </c>
      <c r="N2283">
        <v>-2.5228500000000001E-2</v>
      </c>
      <c r="O2283">
        <v>-0.6449878</v>
      </c>
      <c r="P2283">
        <v>-0.49967080000000003</v>
      </c>
      <c r="Q2283">
        <v>2.751572E-2</v>
      </c>
      <c r="R2283">
        <v>-0.8657783</v>
      </c>
      <c r="S2283">
        <v>-1.1363829999999999</v>
      </c>
      <c r="T2283">
        <v>-0.1972661</v>
      </c>
      <c r="U2283">
        <v>-2.821869</v>
      </c>
      <c r="V2283">
        <v>-0.34056340000000002</v>
      </c>
      <c r="W2283">
        <v>4.0270229999999997E-2</v>
      </c>
      <c r="X2283">
        <v>0.93935880000000005</v>
      </c>
      <c r="Y2283">
        <v>-0.46695900000000001</v>
      </c>
      <c r="Z2283">
        <v>8.46991699999999E-3</v>
      </c>
      <c r="AA2283">
        <v>0.88423839999999998</v>
      </c>
      <c r="AB2283">
        <v>26</v>
      </c>
      <c r="AC2283">
        <v>-0.21620000000001399</v>
      </c>
      <c r="AD2283">
        <v>-5.7796000000000097E-2</v>
      </c>
      <c r="AE2283">
        <v>-0.71499999999997499</v>
      </c>
      <c r="AF2283">
        <v>-0.40436242010083701</v>
      </c>
      <c r="AG2283">
        <v>-5.7796000000000097E-2</v>
      </c>
      <c r="AH2283">
        <v>0.62276579551303102</v>
      </c>
      <c r="AI2283">
        <v>94.450752505884296</v>
      </c>
      <c r="AJ2283">
        <v>122.995701900678</v>
      </c>
      <c r="AK2283">
        <v>0.74477283816394901</v>
      </c>
      <c r="AL2283">
        <v>87.692061787888704</v>
      </c>
      <c r="AM2283">
        <v>109.92805160271701</v>
      </c>
      <c r="AN2283">
        <v>1.00000003799062</v>
      </c>
    </row>
    <row r="2284" spans="1:40" x14ac:dyDescent="0.25">
      <c r="A2284" t="str">
        <f>"20190305135836041"</f>
        <v>20190305135836041</v>
      </c>
      <c r="B2284" t="str">
        <f>"1551765516030797"</f>
        <v>1551765516030797</v>
      </c>
      <c r="C2284" t="s">
        <v>40</v>
      </c>
      <c r="D2284">
        <v>4.0415850000000004</v>
      </c>
      <c r="E2284">
        <v>0.4381852</v>
      </c>
      <c r="F2284" t="s">
        <v>41</v>
      </c>
      <c r="G2284">
        <v>-481.79230000000001</v>
      </c>
      <c r="H2284">
        <v>1.057507</v>
      </c>
      <c r="I2284">
        <v>280.67430000000002</v>
      </c>
      <c r="J2284">
        <v>-481.55450000000002</v>
      </c>
      <c r="K2284">
        <v>1.1239760000000001</v>
      </c>
      <c r="L2284">
        <v>281.45839999999998</v>
      </c>
      <c r="M2284">
        <v>-0.75671790000000005</v>
      </c>
      <c r="N2284">
        <v>-2.518488E-2</v>
      </c>
      <c r="O2284">
        <v>-0.65325639999999996</v>
      </c>
      <c r="P2284">
        <v>-0.48998079999999999</v>
      </c>
      <c r="Q2284">
        <v>2.7565030000000001E-2</v>
      </c>
      <c r="R2284">
        <v>-0.87129760000000001</v>
      </c>
      <c r="S2284">
        <v>-1.0948789999999999</v>
      </c>
      <c r="T2284">
        <v>-0.21330170000000001</v>
      </c>
      <c r="U2284">
        <v>-2.8399960000000002</v>
      </c>
      <c r="V2284">
        <v>-0.34081719999999999</v>
      </c>
      <c r="W2284">
        <v>4.0344070000000003E-2</v>
      </c>
      <c r="X2284">
        <v>0.93926350000000003</v>
      </c>
      <c r="Y2284">
        <v>-0.47044409999999998</v>
      </c>
      <c r="Z2284">
        <v>1.1269670000000001E-2</v>
      </c>
      <c r="AA2284">
        <v>0.88235779999999997</v>
      </c>
      <c r="AB2284">
        <v>26</v>
      </c>
      <c r="AC2284">
        <v>-0.23779999999999199</v>
      </c>
      <c r="AD2284">
        <v>-6.6469000000000097E-2</v>
      </c>
      <c r="AE2284">
        <v>-0.78409999999996605</v>
      </c>
      <c r="AF2284">
        <v>-0.435272603719282</v>
      </c>
      <c r="AG2284">
        <v>-6.6469000000000097E-2</v>
      </c>
      <c r="AH2284">
        <v>0.68785872131461001</v>
      </c>
      <c r="AI2284">
        <v>94.668202613008802</v>
      </c>
      <c r="AJ2284">
        <v>122.32536717050699</v>
      </c>
      <c r="AK2284">
        <v>0.81671903859168904</v>
      </c>
      <c r="AL2284">
        <v>87.687827458151801</v>
      </c>
      <c r="AM2284">
        <v>109.943596276555</v>
      </c>
      <c r="AN2284">
        <v>0.99999996511612599</v>
      </c>
    </row>
    <row r="2285" spans="1:40" x14ac:dyDescent="0.25">
      <c r="A2285" t="str">
        <f>"20190305135836059"</f>
        <v>20190305135836059</v>
      </c>
      <c r="B2285" t="str">
        <f>"1551765516051293"</f>
        <v>1551765516051293</v>
      </c>
      <c r="C2285" t="s">
        <v>40</v>
      </c>
      <c r="D2285">
        <v>4.057633</v>
      </c>
      <c r="E2285">
        <v>0.43848290000000001</v>
      </c>
      <c r="F2285" t="s">
        <v>41</v>
      </c>
      <c r="G2285">
        <v>-481.91109999999998</v>
      </c>
      <c r="H2285">
        <v>1.049029</v>
      </c>
      <c r="I2285">
        <v>280.49860000000001</v>
      </c>
      <c r="J2285">
        <v>-481.69479999999999</v>
      </c>
      <c r="K2285">
        <v>1.1238520000000001</v>
      </c>
      <c r="L2285">
        <v>281.31639999999999</v>
      </c>
      <c r="M2285">
        <v>-0.74689550000000005</v>
      </c>
      <c r="N2285">
        <v>-2.5117609999999999E-2</v>
      </c>
      <c r="O2285">
        <v>-0.66446700000000003</v>
      </c>
      <c r="P2285">
        <v>-0.47597460000000003</v>
      </c>
      <c r="Q2285">
        <v>2.799538E-2</v>
      </c>
      <c r="R2285">
        <v>-0.87901309999999999</v>
      </c>
      <c r="S2285">
        <v>-1.0599670000000001</v>
      </c>
      <c r="T2285">
        <v>-0.22278239999999999</v>
      </c>
      <c r="U2285">
        <v>-2.854034</v>
      </c>
      <c r="V2285">
        <v>-0.34183390000000002</v>
      </c>
      <c r="W2285">
        <v>4.0777170000000001E-2</v>
      </c>
      <c r="X2285">
        <v>0.93887529999999997</v>
      </c>
      <c r="Y2285">
        <v>-0.4681864</v>
      </c>
      <c r="Z2285">
        <v>1.3636270000000001E-2</v>
      </c>
      <c r="AA2285">
        <v>0.88352450000000005</v>
      </c>
      <c r="AB2285">
        <v>25</v>
      </c>
      <c r="AC2285">
        <v>-0.216299999999989</v>
      </c>
      <c r="AD2285">
        <v>-7.4823000000000001E-2</v>
      </c>
      <c r="AE2285">
        <v>-0.81779999999997699</v>
      </c>
      <c r="AF2285">
        <v>-0.46360718808805501</v>
      </c>
      <c r="AG2285">
        <v>-7.4823000000000001E-2</v>
      </c>
      <c r="AH2285">
        <v>0.69970278479735903</v>
      </c>
      <c r="AI2285">
        <v>95.094082772070095</v>
      </c>
      <c r="AJ2285">
        <v>123.52755149528301</v>
      </c>
      <c r="AK2285">
        <v>0.842682676473827</v>
      </c>
      <c r="AL2285">
        <v>87.662992324530407</v>
      </c>
      <c r="AM2285">
        <v>110.005994038373</v>
      </c>
      <c r="AN2285">
        <v>1.0000000108662499</v>
      </c>
    </row>
    <row r="2286" spans="1:40" x14ac:dyDescent="0.25">
      <c r="A2286" t="str">
        <f>"20190305135836072"</f>
        <v>20190305135836072</v>
      </c>
      <c r="B2286" t="str">
        <f>"1551765516061053"</f>
        <v>1551765516061053</v>
      </c>
      <c r="C2286" t="s">
        <v>40</v>
      </c>
      <c r="D2286">
        <v>4.0731349999999997</v>
      </c>
      <c r="E2286">
        <v>0.43895729999999999</v>
      </c>
      <c r="F2286" t="s">
        <v>41</v>
      </c>
      <c r="G2286">
        <v>-482.04329999999999</v>
      </c>
      <c r="H2286">
        <v>1.043793</v>
      </c>
      <c r="I2286">
        <v>280.33460000000002</v>
      </c>
      <c r="J2286">
        <v>-481.79509999999999</v>
      </c>
      <c r="K2286">
        <v>1.1237539999999999</v>
      </c>
      <c r="L2286">
        <v>281.2115</v>
      </c>
      <c r="M2286">
        <v>-0.73964600000000003</v>
      </c>
      <c r="N2286">
        <v>-2.5063539999999999E-2</v>
      </c>
      <c r="O2286">
        <v>-0.67252939999999894</v>
      </c>
      <c r="P2286">
        <v>-0.46603060000000002</v>
      </c>
      <c r="Q2286">
        <v>2.8058300000000001E-2</v>
      </c>
      <c r="R2286">
        <v>-0.88432369999999905</v>
      </c>
      <c r="S2286">
        <v>-1.018402</v>
      </c>
      <c r="T2286">
        <v>-0.23393</v>
      </c>
      <c r="U2286">
        <v>-2.8689269999999998</v>
      </c>
      <c r="V2286">
        <v>-0.34222900000000001</v>
      </c>
      <c r="W2286">
        <v>4.0854830000000002E-2</v>
      </c>
      <c r="X2286">
        <v>0.93872800000000001</v>
      </c>
      <c r="Y2286">
        <v>-0.47138570000000002</v>
      </c>
      <c r="Z2286">
        <v>1.588531E-2</v>
      </c>
      <c r="AA2286">
        <v>0.88178409999999996</v>
      </c>
      <c r="AB2286">
        <v>25</v>
      </c>
      <c r="AC2286">
        <v>-0.24819999999999701</v>
      </c>
      <c r="AD2286">
        <v>-7.9961000000000101E-2</v>
      </c>
      <c r="AE2286">
        <v>-0.87689999999997703</v>
      </c>
      <c r="AF2286">
        <v>-0.47814426515061198</v>
      </c>
      <c r="AG2286">
        <v>-7.9961000000000101E-2</v>
      </c>
      <c r="AH2286">
        <v>0.76765457605314402</v>
      </c>
      <c r="AI2286">
        <v>95.052645184106893</v>
      </c>
      <c r="AJ2286">
        <v>121.917285148988</v>
      </c>
      <c r="AK2286">
        <v>0.90791478011581594</v>
      </c>
      <c r="AL2286">
        <v>87.658539072310305</v>
      </c>
      <c r="AM2286">
        <v>110.030173132163</v>
      </c>
      <c r="AN2286">
        <v>1.00000003177966</v>
      </c>
    </row>
    <row r="2287" spans="1:40" x14ac:dyDescent="0.25">
      <c r="A2287" t="str">
        <f>"20190305135836085"</f>
        <v>20190305135836085</v>
      </c>
      <c r="B2287" t="str">
        <f>"1551765516080573"</f>
        <v>1551765516080573</v>
      </c>
      <c r="C2287" t="s">
        <v>40</v>
      </c>
      <c r="D2287">
        <v>4.0414589999999997</v>
      </c>
      <c r="E2287">
        <v>0.44011359999999999</v>
      </c>
      <c r="F2287" t="s">
        <v>41</v>
      </c>
      <c r="G2287">
        <v>-482.08679999999998</v>
      </c>
      <c r="H2287">
        <v>1.052724</v>
      </c>
      <c r="I2287">
        <v>280.36410000000001</v>
      </c>
      <c r="J2287">
        <v>-481.88260000000002</v>
      </c>
      <c r="K2287">
        <v>1.1236660000000001</v>
      </c>
      <c r="L2287">
        <v>281.11849999999998</v>
      </c>
      <c r="M2287">
        <v>-0.73319469999999898</v>
      </c>
      <c r="N2287">
        <v>-2.5012690000000001E-2</v>
      </c>
      <c r="O2287">
        <v>-0.67955859999999901</v>
      </c>
      <c r="P2287">
        <v>-0.45756400000000003</v>
      </c>
      <c r="Q2287">
        <v>2.760226E-2</v>
      </c>
      <c r="R2287">
        <v>-0.88874830000000005</v>
      </c>
      <c r="S2287">
        <v>-0.99041749999999995</v>
      </c>
      <c r="T2287">
        <v>-0.2412193</v>
      </c>
      <c r="U2287">
        <v>-2.8781129999999999</v>
      </c>
      <c r="V2287">
        <v>-0.3422212</v>
      </c>
      <c r="W2287">
        <v>4.0425080000000002E-2</v>
      </c>
      <c r="X2287">
        <v>0.93874939999999996</v>
      </c>
      <c r="Y2287">
        <v>-0.47149160000000001</v>
      </c>
      <c r="Z2287">
        <v>1.764085E-2</v>
      </c>
      <c r="AA2287">
        <v>0.88169409999999904</v>
      </c>
      <c r="AB2287">
        <v>25</v>
      </c>
      <c r="AC2287">
        <v>-0.204199999999957</v>
      </c>
      <c r="AD2287">
        <v>-7.0942000000000005E-2</v>
      </c>
      <c r="AE2287">
        <v>-0.75439999999997498</v>
      </c>
      <c r="AF2287">
        <v>-0.41109868782103698</v>
      </c>
      <c r="AG2287">
        <v>-7.0942000000000005E-2</v>
      </c>
      <c r="AH2287">
        <v>0.65716997985477599</v>
      </c>
      <c r="AI2287">
        <v>95.229089012495606</v>
      </c>
      <c r="AJ2287">
        <v>122.028414827444</v>
      </c>
      <c r="AK2287">
        <v>0.778400463074442</v>
      </c>
      <c r="AL2287">
        <v>87.683182186649304</v>
      </c>
      <c r="AM2287">
        <v>110.029332602591</v>
      </c>
      <c r="AN2287">
        <v>0.99999998641140297</v>
      </c>
    </row>
    <row r="2288" spans="1:40" x14ac:dyDescent="0.25">
      <c r="A2288" t="str">
        <f>"20190305135836098"</f>
        <v>20190305135836098</v>
      </c>
      <c r="B2288" t="str">
        <f>"1551765516091308"</f>
        <v>1551765516091308</v>
      </c>
      <c r="C2288" t="s">
        <v>40</v>
      </c>
      <c r="D2288">
        <v>4.0349430000000002</v>
      </c>
      <c r="E2288">
        <v>0.44086969999999998</v>
      </c>
      <c r="F2288" t="s">
        <v>41</v>
      </c>
      <c r="G2288">
        <v>-482.19659999999999</v>
      </c>
      <c r="H2288">
        <v>1.0441400000000001</v>
      </c>
      <c r="I2288">
        <v>280.18650000000002</v>
      </c>
      <c r="J2288">
        <v>-481.97680000000003</v>
      </c>
      <c r="K2288">
        <v>1.123564</v>
      </c>
      <c r="L2288">
        <v>281.01659999999998</v>
      </c>
      <c r="M2288">
        <v>-0.72611020000000004</v>
      </c>
      <c r="N2288">
        <v>-2.4954919999999998E-2</v>
      </c>
      <c r="O2288">
        <v>-0.6871254</v>
      </c>
      <c r="P2288">
        <v>-0.4485788</v>
      </c>
      <c r="Q2288">
        <v>2.671807E-2</v>
      </c>
      <c r="R2288">
        <v>-0.89334389999999997</v>
      </c>
      <c r="S2288">
        <v>-0.97119140000000004</v>
      </c>
      <c r="T2288">
        <v>-0.24597179999999999</v>
      </c>
      <c r="U2288">
        <v>-2.8831479999999998</v>
      </c>
      <c r="V2288">
        <v>-0.34193420000000002</v>
      </c>
      <c r="W2288">
        <v>3.9579370000000003E-2</v>
      </c>
      <c r="X2288">
        <v>0.93889</v>
      </c>
      <c r="Y2288">
        <v>-0.46810020000000002</v>
      </c>
      <c r="Z2288">
        <v>1.924551E-2</v>
      </c>
      <c r="AA2288">
        <v>0.88346579999999997</v>
      </c>
      <c r="AB2288">
        <v>25</v>
      </c>
      <c r="AC2288">
        <v>-0.219799999999963</v>
      </c>
      <c r="AD2288">
        <v>-7.9423999999999897E-2</v>
      </c>
      <c r="AE2288">
        <v>-0.83009999999995898</v>
      </c>
      <c r="AF2288">
        <v>-0.44802184470610701</v>
      </c>
      <c r="AG2288">
        <v>-7.9423999999999897E-2</v>
      </c>
      <c r="AH2288">
        <v>0.72401533320450795</v>
      </c>
      <c r="AI2288">
        <v>95.329344758732802</v>
      </c>
      <c r="AJ2288">
        <v>121.74928824518101</v>
      </c>
      <c r="AK2288">
        <v>0.855119844130106</v>
      </c>
      <c r="AL2288">
        <v>87.731676598486303</v>
      </c>
      <c r="AM2288">
        <v>110.01110988715</v>
      </c>
      <c r="AN2288">
        <v>0.99999997787961803</v>
      </c>
    </row>
    <row r="2289" spans="1:40" x14ac:dyDescent="0.25">
      <c r="A2289" t="str">
        <f>"20190305135836109"</f>
        <v>20190305135836109</v>
      </c>
      <c r="B2289" t="str">
        <f>"1551765516101070"</f>
        <v>1551765516101070</v>
      </c>
      <c r="C2289" t="s">
        <v>40</v>
      </c>
      <c r="D2289">
        <v>4.0341709999999997</v>
      </c>
      <c r="E2289">
        <v>0.44162839999999998</v>
      </c>
      <c r="F2289" t="s">
        <v>41</v>
      </c>
      <c r="G2289">
        <v>-482.26220000000001</v>
      </c>
      <c r="H2289">
        <v>1.0490630000000001</v>
      </c>
      <c r="I2289">
        <v>280.14609999999999</v>
      </c>
      <c r="J2289">
        <v>-482.0641</v>
      </c>
      <c r="K2289">
        <v>1.1234599999999999</v>
      </c>
      <c r="L2289">
        <v>280.91930000000002</v>
      </c>
      <c r="M2289">
        <v>-0.71937369999999901</v>
      </c>
      <c r="N2289">
        <v>-2.4895230000000001E-2</v>
      </c>
      <c r="O2289">
        <v>-0.6941773</v>
      </c>
      <c r="P2289">
        <v>-0.44022600000000001</v>
      </c>
      <c r="Q2289">
        <v>2.611631E-2</v>
      </c>
      <c r="R2289">
        <v>-0.89750739999999996</v>
      </c>
      <c r="S2289">
        <v>-0.94699100000000003</v>
      </c>
      <c r="T2289">
        <v>-0.24728259999999999</v>
      </c>
      <c r="U2289">
        <v>-2.8899840000000001</v>
      </c>
      <c r="V2289">
        <v>-0.34151589999999998</v>
      </c>
      <c r="W2289">
        <v>3.9021420000000001E-2</v>
      </c>
      <c r="X2289">
        <v>0.93906559999999994</v>
      </c>
      <c r="Y2289">
        <v>-0.46678930000000002</v>
      </c>
      <c r="Z2289">
        <v>2.0164049999999999E-2</v>
      </c>
      <c r="AA2289">
        <v>0.8841386</v>
      </c>
      <c r="AB2289">
        <v>25</v>
      </c>
      <c r="AC2289">
        <v>-0.19810000000000999</v>
      </c>
      <c r="AD2289">
        <v>-7.4397000000000199E-2</v>
      </c>
      <c r="AE2289">
        <v>-0.77320000000003097</v>
      </c>
      <c r="AF2289">
        <v>-0.41522550085027099</v>
      </c>
      <c r="AG2289">
        <v>-7.4397000000000199E-2</v>
      </c>
      <c r="AH2289">
        <v>0.673604048148151</v>
      </c>
      <c r="AI2289">
        <v>95.371090617088001</v>
      </c>
      <c r="AJ2289">
        <v>121.650664447704</v>
      </c>
      <c r="AK2289">
        <v>0.79478899328496899</v>
      </c>
      <c r="AL2289">
        <v>87.763669525854496</v>
      </c>
      <c r="AM2289">
        <v>109.985127293368</v>
      </c>
      <c r="AN2289">
        <v>0.99999999113749305</v>
      </c>
    </row>
    <row r="2290" spans="1:40" x14ac:dyDescent="0.25">
      <c r="A2290" t="str">
        <f>"20190305135836125"</f>
        <v>20190305135836125</v>
      </c>
      <c r="B2290" t="str">
        <f>"1551765516110829"</f>
        <v>1551765516110829</v>
      </c>
      <c r="C2290" t="s">
        <v>40</v>
      </c>
      <c r="D2290">
        <v>4.0308260000000002</v>
      </c>
      <c r="E2290">
        <v>0.44207990000000003</v>
      </c>
      <c r="F2290" t="s">
        <v>41</v>
      </c>
      <c r="G2290">
        <v>-482.346</v>
      </c>
      <c r="H2290">
        <v>1.0485120000000001</v>
      </c>
      <c r="I2290">
        <v>280.03590000000003</v>
      </c>
      <c r="J2290">
        <v>-482.17430000000002</v>
      </c>
      <c r="K2290">
        <v>1.1233229999999901</v>
      </c>
      <c r="L2290">
        <v>280.79430000000002</v>
      </c>
      <c r="M2290">
        <v>-0.71070639999999996</v>
      </c>
      <c r="N2290">
        <v>-2.481854E-2</v>
      </c>
      <c r="O2290">
        <v>-0.70305069999999903</v>
      </c>
      <c r="P2290">
        <v>-0.42968289999999998</v>
      </c>
      <c r="Q2290">
        <v>2.551142E-2</v>
      </c>
      <c r="R2290">
        <v>-0.90261930000000001</v>
      </c>
      <c r="S2290">
        <v>-0.92449950000000003</v>
      </c>
      <c r="T2290">
        <v>-0.2457714</v>
      </c>
      <c r="U2290">
        <v>-2.8962400000000001</v>
      </c>
      <c r="V2290">
        <v>-0.34084229999999999</v>
      </c>
      <c r="W2290">
        <v>3.8483000000000003E-2</v>
      </c>
      <c r="X2290">
        <v>0.93933250000000001</v>
      </c>
      <c r="Y2290">
        <v>-0.46262559999999903</v>
      </c>
      <c r="Z2290">
        <v>2.0898130000000001E-2</v>
      </c>
      <c r="AA2290">
        <v>0.88630739999999997</v>
      </c>
      <c r="AB2290">
        <v>25</v>
      </c>
      <c r="AC2290">
        <v>-0.171699999999987</v>
      </c>
      <c r="AD2290">
        <v>-7.4810999999999697E-2</v>
      </c>
      <c r="AE2290">
        <v>-0.75839999999999397</v>
      </c>
      <c r="AF2290">
        <v>-0.41457749544140698</v>
      </c>
      <c r="AG2290">
        <v>-7.4810999999999697E-2</v>
      </c>
      <c r="AH2290">
        <v>0.64941288288758103</v>
      </c>
      <c r="AI2290">
        <v>95.545970804230294</v>
      </c>
      <c r="AJ2290">
        <v>122.55367892630601</v>
      </c>
      <c r="AK2290">
        <v>0.77408544612841601</v>
      </c>
      <c r="AL2290">
        <v>87.794541885640697</v>
      </c>
      <c r="AM2290">
        <v>109.94359966955901</v>
      </c>
      <c r="AN2290">
        <v>0.99999998015726899</v>
      </c>
    </row>
    <row r="2291" spans="1:40" x14ac:dyDescent="0.25">
      <c r="A2291" t="str">
        <f>"20190305135836137"</f>
        <v>20190305135836137</v>
      </c>
      <c r="B2291" t="str">
        <f>"1551765516130855"</f>
        <v>1551765516130855</v>
      </c>
      <c r="C2291" t="s">
        <v>40</v>
      </c>
      <c r="D2291">
        <v>4.0373469999999996</v>
      </c>
      <c r="E2291">
        <v>0.44353160000000003</v>
      </c>
      <c r="F2291" t="s">
        <v>41</v>
      </c>
      <c r="G2291">
        <v>-482.46109999999999</v>
      </c>
      <c r="H2291">
        <v>1.044197</v>
      </c>
      <c r="I2291">
        <v>279.86380000000003</v>
      </c>
      <c r="J2291">
        <v>-482.262</v>
      </c>
      <c r="K2291">
        <v>1.123208</v>
      </c>
      <c r="L2291">
        <v>280.69310000000002</v>
      </c>
      <c r="M2291">
        <v>-0.70367100000000005</v>
      </c>
      <c r="N2291">
        <v>-2.4756509999999999E-2</v>
      </c>
      <c r="O2291">
        <v>-0.71009469999999997</v>
      </c>
      <c r="P2291">
        <v>-0.42093029999999998</v>
      </c>
      <c r="Q2291">
        <v>2.6079959999999999E-2</v>
      </c>
      <c r="R2291">
        <v>-0.90671800000000002</v>
      </c>
      <c r="S2291">
        <v>-0.89462280000000005</v>
      </c>
      <c r="T2291">
        <v>-0.24693989999999999</v>
      </c>
      <c r="U2291">
        <v>-2.9047550000000002</v>
      </c>
      <c r="V2291">
        <v>-0.3405685</v>
      </c>
      <c r="W2291">
        <v>3.9099559999999998E-2</v>
      </c>
      <c r="X2291">
        <v>0.93940639999999997</v>
      </c>
      <c r="Y2291">
        <v>-0.4628603</v>
      </c>
      <c r="Z2291">
        <v>2.1734940000000001E-2</v>
      </c>
      <c r="AA2291">
        <v>0.88616469999999903</v>
      </c>
      <c r="AB2291">
        <v>25</v>
      </c>
      <c r="AC2291">
        <v>-0.19910000000004399</v>
      </c>
      <c r="AD2291">
        <v>-7.9010999999999901E-2</v>
      </c>
      <c r="AE2291">
        <v>-0.82929999999998905</v>
      </c>
      <c r="AF2291">
        <v>-0.43854618901658499</v>
      </c>
      <c r="AG2291">
        <v>-7.9010999999999901E-2</v>
      </c>
      <c r="AH2291">
        <v>0.723000677093809</v>
      </c>
      <c r="AI2291">
        <v>95.338042735239199</v>
      </c>
      <c r="AJ2291">
        <v>121.239492659416</v>
      </c>
      <c r="AK2291">
        <v>0.84929116155772899</v>
      </c>
      <c r="AL2291">
        <v>87.759189104944397</v>
      </c>
      <c r="AM2291">
        <v>109.927396247583</v>
      </c>
      <c r="AN2291">
        <v>1.0000000315727</v>
      </c>
    </row>
    <row r="2292" spans="1:40" x14ac:dyDescent="0.25">
      <c r="A2292" t="str">
        <f>"20190305135836149"</f>
        <v>20190305135836149</v>
      </c>
      <c r="B2292" t="str">
        <f>"1551765516140615"</f>
        <v>1551765516140615</v>
      </c>
      <c r="C2292" t="s">
        <v>40</v>
      </c>
      <c r="D2292">
        <v>4.1642599999999996</v>
      </c>
      <c r="E2292">
        <v>0.44353160000000003</v>
      </c>
      <c r="F2292" t="s">
        <v>42</v>
      </c>
      <c r="G2292">
        <v>-486.32319999999999</v>
      </c>
      <c r="H2292" s="1">
        <v>-3.9111840000000003E-6</v>
      </c>
      <c r="I2292">
        <v>267.2296</v>
      </c>
      <c r="J2292">
        <v>-482.33800000000002</v>
      </c>
      <c r="K2292">
        <v>1.1230929999999999</v>
      </c>
      <c r="L2292">
        <v>280.6026</v>
      </c>
      <c r="M2292">
        <v>-0.69743469999999996</v>
      </c>
      <c r="N2292">
        <v>-2.4698600000000001E-2</v>
      </c>
      <c r="O2292">
        <v>-0.71622259999999904</v>
      </c>
      <c r="P2292">
        <v>-0.41283959999999997</v>
      </c>
      <c r="Q2292">
        <v>2.617761E-2</v>
      </c>
      <c r="R2292">
        <v>-0.9104274</v>
      </c>
      <c r="S2292">
        <v>-0.87728879999999998</v>
      </c>
      <c r="T2292">
        <v>-0.2426333</v>
      </c>
      <c r="U2292">
        <v>-2.9083559999999999</v>
      </c>
      <c r="V2292">
        <v>-0.34070640000000002</v>
      </c>
      <c r="W2292">
        <v>3.923107E-2</v>
      </c>
      <c r="X2292">
        <v>0.93935080000000004</v>
      </c>
      <c r="Y2292">
        <v>-0.46027479999999998</v>
      </c>
      <c r="Z2292">
        <v>2.166044E-2</v>
      </c>
      <c r="AA2292">
        <v>0.88751219999999997</v>
      </c>
      <c r="AB2292">
        <v>25</v>
      </c>
      <c r="AC2292">
        <v>-3.9851999999999599</v>
      </c>
      <c r="AD2292">
        <v>-1.1230969111839999</v>
      </c>
      <c r="AE2292">
        <v>-13.3729999999999</v>
      </c>
      <c r="AF2292">
        <v>-6.4328087156063596</v>
      </c>
      <c r="AG2292">
        <v>-1.1230969111839999</v>
      </c>
      <c r="AH2292">
        <v>12.281674515100301</v>
      </c>
      <c r="AI2292">
        <v>94.631191044492198</v>
      </c>
      <c r="AJ2292">
        <v>117.644330341128</v>
      </c>
      <c r="AK2292">
        <v>13.9097772641533</v>
      </c>
      <c r="AL2292">
        <v>87.751648115522897</v>
      </c>
      <c r="AM2292">
        <v>109.935916580617</v>
      </c>
      <c r="AN2292">
        <v>0.99999992665746895</v>
      </c>
    </row>
    <row r="2293" spans="1:40" x14ac:dyDescent="0.25">
      <c r="A2293" t="str">
        <f>"20190305135836162"</f>
        <v>20190305135836162</v>
      </c>
      <c r="B2293" t="str">
        <f>"1551765516151352"</f>
        <v>1551765516151352</v>
      </c>
      <c r="C2293" t="s">
        <v>40</v>
      </c>
      <c r="D2293">
        <v>4.0190469999999996</v>
      </c>
      <c r="E2293">
        <v>0.45917799999999998</v>
      </c>
      <c r="F2293" t="s">
        <v>41</v>
      </c>
      <c r="G2293">
        <v>-482.59960000000001</v>
      </c>
      <c r="H2293">
        <v>1.0484169999999999</v>
      </c>
      <c r="I2293">
        <v>279.70650000000001</v>
      </c>
      <c r="J2293">
        <v>-482.42140000000001</v>
      </c>
      <c r="K2293">
        <v>1.122965</v>
      </c>
      <c r="L2293">
        <v>280.50229999999999</v>
      </c>
      <c r="M2293">
        <v>-0.69049249999999995</v>
      </c>
      <c r="N2293">
        <v>-2.463396E-2</v>
      </c>
      <c r="O2293">
        <v>-0.72292000000000001</v>
      </c>
      <c r="P2293">
        <v>-0.4044954</v>
      </c>
      <c r="Q2293">
        <v>2.6181860000000001E-2</v>
      </c>
      <c r="R2293">
        <v>-0.91416540000000002</v>
      </c>
      <c r="S2293">
        <v>-0.85165409999999997</v>
      </c>
      <c r="T2293">
        <v>-0.24304210000000001</v>
      </c>
      <c r="U2293">
        <v>-2.9159549999999999</v>
      </c>
      <c r="V2293">
        <v>-0.34021950000000001</v>
      </c>
      <c r="W2293">
        <v>3.9300160000000001E-2</v>
      </c>
      <c r="X2293">
        <v>0.93952449999999998</v>
      </c>
      <c r="Y2293">
        <v>-0.45953270000000002</v>
      </c>
      <c r="Z2293">
        <v>2.2369420000000001E-2</v>
      </c>
      <c r="AA2293">
        <v>0.88787909999999903</v>
      </c>
      <c r="AB2293">
        <v>25</v>
      </c>
      <c r="AC2293">
        <v>-0.17820000000000299</v>
      </c>
      <c r="AD2293">
        <v>-7.4548000000000003E-2</v>
      </c>
      <c r="AE2293">
        <v>-0.79579999999998496</v>
      </c>
      <c r="AF2293">
        <v>-0.417310090086848</v>
      </c>
      <c r="AG2293">
        <v>-7.4548000000000003E-2</v>
      </c>
      <c r="AH2293">
        <v>0.69276846239353096</v>
      </c>
      <c r="AI2293">
        <v>95.266463403753605</v>
      </c>
      <c r="AJ2293">
        <v>121.06393244951801</v>
      </c>
      <c r="AK2293">
        <v>0.81217809505021199</v>
      </c>
      <c r="AL2293">
        <v>87.747686769063293</v>
      </c>
      <c r="AM2293">
        <v>109.90627470738301</v>
      </c>
      <c r="AN2293">
        <v>1.0000000484282601</v>
      </c>
    </row>
    <row r="2294" spans="1:40" x14ac:dyDescent="0.25">
      <c r="A2294" t="str">
        <f>"20190305135836177"</f>
        <v>20190305135836177</v>
      </c>
      <c r="B2294" t="str">
        <f>"1551765516170871"</f>
        <v>1551765516170871</v>
      </c>
      <c r="C2294" t="s">
        <v>40</v>
      </c>
      <c r="D2294">
        <v>4.0081480000000003</v>
      </c>
      <c r="E2294">
        <v>0.45888950000000001</v>
      </c>
      <c r="F2294" t="s">
        <v>41</v>
      </c>
      <c r="G2294">
        <v>-482.74939999999998</v>
      </c>
      <c r="H2294">
        <v>1.042419</v>
      </c>
      <c r="I2294">
        <v>279.49889999999999</v>
      </c>
      <c r="J2294">
        <v>-482.53160000000003</v>
      </c>
      <c r="K2294">
        <v>1.122776</v>
      </c>
      <c r="L2294">
        <v>280.36680000000001</v>
      </c>
      <c r="M2294">
        <v>-0.68114750000000002</v>
      </c>
      <c r="N2294">
        <v>-2.4539189999999999E-2</v>
      </c>
      <c r="O2294">
        <v>-0.73173489999999997</v>
      </c>
      <c r="P2294">
        <v>-0.3935169</v>
      </c>
      <c r="Q2294">
        <v>2.5887170000000001E-2</v>
      </c>
      <c r="R2294">
        <v>-0.91895320000000003</v>
      </c>
      <c r="S2294">
        <v>-0.93835449999999998</v>
      </c>
      <c r="T2294">
        <v>-0.23054839999999999</v>
      </c>
      <c r="U2294">
        <v>-2.8730159999999998</v>
      </c>
      <c r="V2294">
        <v>-0.33937659999999997</v>
      </c>
      <c r="W2294">
        <v>3.9103859999999997E-2</v>
      </c>
      <c r="X2294">
        <v>0.93983749999999999</v>
      </c>
      <c r="Y2294">
        <v>-0.41983989999999999</v>
      </c>
      <c r="Z2294">
        <v>2.2676910000000002E-2</v>
      </c>
      <c r="AA2294">
        <v>0.90731479999999998</v>
      </c>
      <c r="AB2294">
        <v>24</v>
      </c>
      <c r="AC2294">
        <v>-0.217799999999954</v>
      </c>
      <c r="AD2294">
        <v>-8.0356999999999998E-2</v>
      </c>
      <c r="AE2294">
        <v>-0.86790000000001999</v>
      </c>
      <c r="AF2294">
        <v>-0.428470651326536</v>
      </c>
      <c r="AG2294">
        <v>-8.0356999999999998E-2</v>
      </c>
      <c r="AH2294">
        <v>0.77739322026395097</v>
      </c>
      <c r="AI2294">
        <v>95.172745109814301</v>
      </c>
      <c r="AJ2294">
        <v>118.861943288788</v>
      </c>
      <c r="AK2294">
        <v>0.89128253960769499</v>
      </c>
      <c r="AL2294">
        <v>87.758942602562499</v>
      </c>
      <c r="AM2294">
        <v>109.854720151493</v>
      </c>
      <c r="AN2294">
        <v>1.00000005745035</v>
      </c>
    </row>
    <row r="2295" spans="1:40" x14ac:dyDescent="0.25">
      <c r="A2295" t="str">
        <f>"20190305135836194"</f>
        <v>20190305135836194</v>
      </c>
      <c r="B2295" t="str">
        <f>"1551765516180631"</f>
        <v>1551765516180631</v>
      </c>
      <c r="C2295" t="s">
        <v>40</v>
      </c>
      <c r="D2295">
        <v>4.0117190000000003</v>
      </c>
      <c r="E2295">
        <v>0.45955259999999998</v>
      </c>
      <c r="F2295" t="s">
        <v>42</v>
      </c>
      <c r="G2295">
        <v>-487.18259999999998</v>
      </c>
      <c r="H2295" s="1">
        <v>-3.0097499999999999E-6</v>
      </c>
      <c r="I2295">
        <v>265.48360000000002</v>
      </c>
      <c r="J2295">
        <v>-482.63240000000002</v>
      </c>
      <c r="K2295">
        <v>1.122587</v>
      </c>
      <c r="L2295">
        <v>280.23869999999999</v>
      </c>
      <c r="M2295">
        <v>-0.67238920000000002</v>
      </c>
      <c r="N2295">
        <v>-2.4441129999999998E-2</v>
      </c>
      <c r="O2295">
        <v>-0.73979430000000002</v>
      </c>
      <c r="P2295">
        <v>-0.38492359999999998</v>
      </c>
      <c r="Q2295">
        <v>2.465082E-2</v>
      </c>
      <c r="R2295">
        <v>-0.92261919999999997</v>
      </c>
      <c r="S2295">
        <v>-0.90148930000000005</v>
      </c>
      <c r="T2295">
        <v>-0.21762139999999999</v>
      </c>
      <c r="U2295">
        <v>-2.8847049999999999</v>
      </c>
      <c r="V2295">
        <v>-0.33692240000000001</v>
      </c>
      <c r="W2295">
        <v>3.8023670000000002E-2</v>
      </c>
      <c r="X2295">
        <v>0.9407643</v>
      </c>
      <c r="Y2295">
        <v>-0.42066969999999998</v>
      </c>
      <c r="Z2295">
        <v>2.0824470000000001E-2</v>
      </c>
      <c r="AA2295">
        <v>0.90697490000000003</v>
      </c>
      <c r="AB2295">
        <v>24</v>
      </c>
      <c r="AC2295">
        <v>-4.5501999999999603</v>
      </c>
      <c r="AD2295">
        <v>-1.1225900097499999</v>
      </c>
      <c r="AE2295">
        <v>-14.755099999999899</v>
      </c>
      <c r="AF2295">
        <v>-6.5224400824228601</v>
      </c>
      <c r="AG2295">
        <v>-1.1225900097499999</v>
      </c>
      <c r="AH2295">
        <v>13.9059159423491</v>
      </c>
      <c r="AI2295">
        <v>94.180160225381002</v>
      </c>
      <c r="AJ2295">
        <v>115.12848721278</v>
      </c>
      <c r="AK2295">
        <v>15.4005497029965</v>
      </c>
      <c r="AL2295">
        <v>87.820878845442607</v>
      </c>
      <c r="AM2295">
        <v>109.704319252678</v>
      </c>
      <c r="AN2295">
        <v>0.99999998562825898</v>
      </c>
    </row>
    <row r="2296" spans="1:40" x14ac:dyDescent="0.25">
      <c r="A2296" t="str">
        <f>"20190305135836208"</f>
        <v>20190305135836208</v>
      </c>
      <c r="B2296" t="str">
        <f>"1551765516201128"</f>
        <v>1551765516201128</v>
      </c>
      <c r="C2296" t="s">
        <v>40</v>
      </c>
      <c r="D2296">
        <v>3.9777390000000001</v>
      </c>
      <c r="E2296">
        <v>0.46090360000000002</v>
      </c>
      <c r="F2296" t="s">
        <v>42</v>
      </c>
      <c r="G2296">
        <v>-487.15989999999999</v>
      </c>
      <c r="H2296" s="1">
        <v>-2.956079E-6</v>
      </c>
      <c r="I2296">
        <v>265.34910000000002</v>
      </c>
      <c r="J2296">
        <v>-482.72879999999998</v>
      </c>
      <c r="K2296">
        <v>1.1223860000000001</v>
      </c>
      <c r="L2296">
        <v>280.11360000000002</v>
      </c>
      <c r="M2296">
        <v>-0.66387600000000002</v>
      </c>
      <c r="N2296">
        <v>-2.4339079999999999E-2</v>
      </c>
      <c r="O2296">
        <v>-0.74744639999999996</v>
      </c>
      <c r="P2296">
        <v>-0.37522559999999999</v>
      </c>
      <c r="Q2296">
        <v>2.421485E-2</v>
      </c>
      <c r="R2296">
        <v>-0.92661720000000003</v>
      </c>
      <c r="S2296">
        <v>-0.87896730000000001</v>
      </c>
      <c r="T2296">
        <v>-0.2179412</v>
      </c>
      <c r="U2296">
        <v>-2.8906860000000001</v>
      </c>
      <c r="V2296">
        <v>-0.33599210000000002</v>
      </c>
      <c r="W2296">
        <v>3.7686780000000003E-2</v>
      </c>
      <c r="X2296">
        <v>0.94111049999999996</v>
      </c>
      <c r="Y2296">
        <v>-0.4172864</v>
      </c>
      <c r="Z2296">
        <v>2.1660829999999999E-2</v>
      </c>
      <c r="AA2296">
        <v>0.90851680000000001</v>
      </c>
      <c r="AB2296">
        <v>24</v>
      </c>
      <c r="AC2296">
        <v>-4.4311000000000096</v>
      </c>
      <c r="AD2296">
        <v>-1.1223889560789999</v>
      </c>
      <c r="AE2296">
        <v>-14.7644999999999</v>
      </c>
      <c r="AF2296">
        <v>-6.4574770555073897</v>
      </c>
      <c r="AG2296">
        <v>-1.1223889560789999</v>
      </c>
      <c r="AH2296">
        <v>13.907784816943501</v>
      </c>
      <c r="AI2296">
        <v>94.186415547942204</v>
      </c>
      <c r="AJ2296">
        <v>114.90575587541601</v>
      </c>
      <c r="AK2296">
        <v>15.374825052843301</v>
      </c>
      <c r="AL2296">
        <v>87.840195051706402</v>
      </c>
      <c r="AM2296">
        <v>109.64740969553399</v>
      </c>
      <c r="AN2296">
        <v>0.99999997892971404</v>
      </c>
    </row>
    <row r="2297" spans="1:40" x14ac:dyDescent="0.25">
      <c r="A2297" t="str">
        <f>"20190305135836228"</f>
        <v>20190305135836228</v>
      </c>
      <c r="B2297" t="str">
        <f>"1551765516221624"</f>
        <v>1551765516221624</v>
      </c>
      <c r="C2297" t="s">
        <v>40</v>
      </c>
      <c r="D2297">
        <v>3.9260109999999999</v>
      </c>
      <c r="E2297">
        <v>0.4623353</v>
      </c>
      <c r="F2297" t="s">
        <v>42</v>
      </c>
      <c r="G2297">
        <v>-487.13600000000002</v>
      </c>
      <c r="H2297" s="1">
        <v>-2.9167989999999999E-6</v>
      </c>
      <c r="I2297">
        <v>265.24770000000001</v>
      </c>
      <c r="J2297">
        <v>-482.85059999999999</v>
      </c>
      <c r="K2297">
        <v>1.1221099999999999</v>
      </c>
      <c r="L2297">
        <v>279.95170000000002</v>
      </c>
      <c r="M2297">
        <v>-0.65293749999999995</v>
      </c>
      <c r="N2297">
        <v>-2.4199149999999999E-2</v>
      </c>
      <c r="O2297">
        <v>-0.75702539999999996</v>
      </c>
      <c r="P2297">
        <v>-0.36356850000000002</v>
      </c>
      <c r="Q2297">
        <v>2.3559320000000002E-2</v>
      </c>
      <c r="R2297">
        <v>-0.93126960000000003</v>
      </c>
      <c r="S2297">
        <v>-0.85845949999999904</v>
      </c>
      <c r="T2297">
        <v>-0.21862690000000001</v>
      </c>
      <c r="U2297">
        <v>-2.8956909999999998</v>
      </c>
      <c r="V2297">
        <v>-0.33407700000000001</v>
      </c>
      <c r="W2297">
        <v>3.7189800000000002E-2</v>
      </c>
      <c r="X2297">
        <v>0.94181179999999998</v>
      </c>
      <c r="Y2297">
        <v>-0.4104274</v>
      </c>
      <c r="Z2297">
        <v>2.287691E-2</v>
      </c>
      <c r="AA2297">
        <v>0.91160629999999998</v>
      </c>
      <c r="AB2297">
        <v>24</v>
      </c>
      <c r="AC2297">
        <v>-4.2853999999999797</v>
      </c>
      <c r="AD2297">
        <v>-1.122112916799</v>
      </c>
      <c r="AE2297">
        <v>-14.704000000000001</v>
      </c>
      <c r="AF2297">
        <v>-6.3245480882980996</v>
      </c>
      <c r="AG2297">
        <v>-1.122112916799</v>
      </c>
      <c r="AH2297">
        <v>13.859084316424701</v>
      </c>
      <c r="AI2297">
        <v>94.2127165475232</v>
      </c>
      <c r="AJ2297">
        <v>114.529430983521</v>
      </c>
      <c r="AK2297">
        <v>15.2752500473482</v>
      </c>
      <c r="AL2297">
        <v>87.868689919674296</v>
      </c>
      <c r="AM2297">
        <v>109.530479664853</v>
      </c>
      <c r="AN2297">
        <v>0.999999994886139</v>
      </c>
    </row>
    <row r="2298" spans="1:40" x14ac:dyDescent="0.25">
      <c r="A2298" t="str">
        <f>"20190305135836239"</f>
        <v>20190305135836239</v>
      </c>
      <c r="B2298" t="str">
        <f>"1551765516230915"</f>
        <v>1551765516230915</v>
      </c>
      <c r="C2298" t="s">
        <v>40</v>
      </c>
      <c r="D2298">
        <v>3.9688180000000002</v>
      </c>
      <c r="E2298">
        <v>0.46288509999999999</v>
      </c>
      <c r="F2298" t="s">
        <v>42</v>
      </c>
      <c r="G2298">
        <v>-487.05990000000003</v>
      </c>
      <c r="H2298" s="1">
        <v>-2.9472610000000001E-6</v>
      </c>
      <c r="I2298">
        <v>265.28730000000002</v>
      </c>
      <c r="J2298">
        <v>-482.923</v>
      </c>
      <c r="K2298">
        <v>1.121939</v>
      </c>
      <c r="L2298">
        <v>279.8535</v>
      </c>
      <c r="M2298">
        <v>-0.6463409</v>
      </c>
      <c r="N2298">
        <v>-2.411168E-2</v>
      </c>
      <c r="O2298">
        <v>-0.76266789999999995</v>
      </c>
      <c r="P2298">
        <v>-0.35601919999999998</v>
      </c>
      <c r="Q2298">
        <v>2.3340920000000001E-2</v>
      </c>
      <c r="R2298">
        <v>-0.9341872</v>
      </c>
      <c r="S2298">
        <v>-0.83294679999999999</v>
      </c>
      <c r="T2298">
        <v>-0.22204579999999999</v>
      </c>
      <c r="U2298">
        <v>-2.9018250000000001</v>
      </c>
      <c r="V2298">
        <v>-0.33350159999999901</v>
      </c>
      <c r="W2298">
        <v>3.704876E-2</v>
      </c>
      <c r="X2298">
        <v>0.94202129999999995</v>
      </c>
      <c r="Y2298">
        <v>-0.41042679999999998</v>
      </c>
      <c r="Z2298">
        <v>2.4085479999999999E-2</v>
      </c>
      <c r="AA2298">
        <v>0.91157540000000004</v>
      </c>
      <c r="AB2298">
        <v>24</v>
      </c>
      <c r="AC2298">
        <v>-4.1369000000000202</v>
      </c>
      <c r="AD2298">
        <v>-1.1219419472609999</v>
      </c>
      <c r="AE2298">
        <v>-14.566199999999901</v>
      </c>
      <c r="AF2298">
        <v>-6.2272828155666202</v>
      </c>
      <c r="AG2298">
        <v>-1.1219419472609999</v>
      </c>
      <c r="AH2298">
        <v>13.7117521000695</v>
      </c>
      <c r="AI2298">
        <v>94.2606745576376</v>
      </c>
      <c r="AJ2298">
        <v>114.425487725311</v>
      </c>
      <c r="AK2298">
        <v>15.1013228113247</v>
      </c>
      <c r="AL2298">
        <v>87.876776561294307</v>
      </c>
      <c r="AM2298">
        <v>109.495371564641</v>
      </c>
      <c r="AN2298">
        <v>1.00000002873689</v>
      </c>
    </row>
    <row r="2299" spans="1:40" x14ac:dyDescent="0.25">
      <c r="A2299" t="str">
        <f>"20190305135836251"</f>
        <v>20190305135836251</v>
      </c>
      <c r="B2299" t="str">
        <f>"1551765516241651"</f>
        <v>1551765516241651</v>
      </c>
      <c r="C2299" t="s">
        <v>40</v>
      </c>
      <c r="D2299">
        <v>3.9518810000000002</v>
      </c>
      <c r="E2299">
        <v>0.46346609999999999</v>
      </c>
      <c r="F2299" t="s">
        <v>42</v>
      </c>
      <c r="G2299">
        <v>-486.99360000000001</v>
      </c>
      <c r="H2299" s="1">
        <v>-2.9713709999999999E-6</v>
      </c>
      <c r="I2299">
        <v>265.31599999999997</v>
      </c>
      <c r="J2299">
        <v>-482.99549999999999</v>
      </c>
      <c r="K2299">
        <v>1.1217539999999999</v>
      </c>
      <c r="L2299">
        <v>279.7527</v>
      </c>
      <c r="M2299">
        <v>-0.63965609999999995</v>
      </c>
      <c r="N2299">
        <v>-2.4013530000000002E-2</v>
      </c>
      <c r="O2299">
        <v>-0.76828619999999903</v>
      </c>
      <c r="P2299">
        <v>-0.34851120000000002</v>
      </c>
      <c r="Q2299">
        <v>2.3953390000000001E-2</v>
      </c>
      <c r="R2299">
        <v>-0.93699880000000002</v>
      </c>
      <c r="S2299">
        <v>-0.81390379999999996</v>
      </c>
      <c r="T2299">
        <v>-0.224332</v>
      </c>
      <c r="U2299">
        <v>-2.9067690000000002</v>
      </c>
      <c r="V2299">
        <v>-0.33282009999999901</v>
      </c>
      <c r="W2299">
        <v>3.7739679999999998E-2</v>
      </c>
      <c r="X2299">
        <v>0.94223489999999999</v>
      </c>
      <c r="Y2299">
        <v>-0.40841179999999999</v>
      </c>
      <c r="Z2299">
        <v>2.5145979999999998E-2</v>
      </c>
      <c r="AA2299">
        <v>0.91245140000000002</v>
      </c>
      <c r="AB2299">
        <v>24</v>
      </c>
      <c r="AC2299">
        <v>-3.99810000000002</v>
      </c>
      <c r="AD2299">
        <v>-1.1217569713710001</v>
      </c>
      <c r="AE2299">
        <v>-14.4367</v>
      </c>
      <c r="AF2299">
        <v>-6.1302397538037701</v>
      </c>
      <c r="AG2299">
        <v>-1.1217569713710001</v>
      </c>
      <c r="AH2299">
        <v>13.576730271391</v>
      </c>
      <c r="AI2299">
        <v>94.306422013210806</v>
      </c>
      <c r="AJ2299">
        <v>114.300389042042</v>
      </c>
      <c r="AK2299">
        <v>14.938734317339</v>
      </c>
      <c r="AL2299">
        <v>87.837162110892606</v>
      </c>
      <c r="AM2299">
        <v>109.454449643448</v>
      </c>
      <c r="AN2299">
        <v>1.00000005459425</v>
      </c>
    </row>
    <row r="2300" spans="1:40" x14ac:dyDescent="0.25">
      <c r="A2300" t="str">
        <f>"20190305135836263"</f>
        <v>20190305135836263</v>
      </c>
      <c r="B2300" t="str">
        <f>"1551765516251411"</f>
        <v>1551765516251411</v>
      </c>
      <c r="C2300" t="s">
        <v>40</v>
      </c>
      <c r="D2300">
        <v>3.9299559999999998</v>
      </c>
      <c r="E2300">
        <v>0.46402690000000002</v>
      </c>
      <c r="F2300" t="s">
        <v>42</v>
      </c>
      <c r="G2300">
        <v>-486.99009999999998</v>
      </c>
      <c r="H2300" s="1">
        <v>-2.886508E-6</v>
      </c>
      <c r="I2300">
        <v>265.11680000000001</v>
      </c>
      <c r="J2300">
        <v>-483.0616</v>
      </c>
      <c r="K2300">
        <v>1.1215869999999999</v>
      </c>
      <c r="L2300">
        <v>279.65960000000001</v>
      </c>
      <c r="M2300">
        <v>-0.63350629999999997</v>
      </c>
      <c r="N2300">
        <v>-2.39224E-2</v>
      </c>
      <c r="O2300">
        <v>-0.7733679</v>
      </c>
      <c r="P2300">
        <v>-0.34149020000000002</v>
      </c>
      <c r="Q2300">
        <v>2.454926E-2</v>
      </c>
      <c r="R2300">
        <v>-0.93956510000000004</v>
      </c>
      <c r="S2300">
        <v>-0.79473879999999997</v>
      </c>
      <c r="T2300">
        <v>-0.22317719999999999</v>
      </c>
      <c r="U2300">
        <v>-2.9118650000000001</v>
      </c>
      <c r="V2300">
        <v>-0.33233940000000001</v>
      </c>
      <c r="W2300">
        <v>3.840296E-2</v>
      </c>
      <c r="X2300">
        <v>0.94237769999999998</v>
      </c>
      <c r="Y2300">
        <v>-0.40713379999999999</v>
      </c>
      <c r="Z2300">
        <v>2.541788E-2</v>
      </c>
      <c r="AA2300">
        <v>0.91301480000000002</v>
      </c>
      <c r="AB2300">
        <v>24</v>
      </c>
      <c r="AC2300">
        <v>-3.9284999999999801</v>
      </c>
      <c r="AD2300">
        <v>-1.1215898865080001</v>
      </c>
      <c r="AE2300">
        <v>-14.5428</v>
      </c>
      <c r="AF2300">
        <v>-6.1424950454427902</v>
      </c>
      <c r="AG2300">
        <v>-1.1215898865080001</v>
      </c>
      <c r="AH2300">
        <v>13.6638478453775</v>
      </c>
      <c r="AI2300">
        <v>94.281597615518706</v>
      </c>
      <c r="AJ2300">
        <v>114.205994350693</v>
      </c>
      <c r="AK2300">
        <v>15.0229473539127</v>
      </c>
      <c r="AL2300">
        <v>87.799131269022894</v>
      </c>
      <c r="AM2300">
        <v>109.425733829075</v>
      </c>
      <c r="AN2300">
        <v>0.99999999679320495</v>
      </c>
    </row>
    <row r="2301" spans="1:40" x14ac:dyDescent="0.25">
      <c r="A2301" t="str">
        <f>"20190305135836275"</f>
        <v>20190305135836275</v>
      </c>
      <c r="B2301" t="str">
        <f>"1551765516270931"</f>
        <v>1551765516270931</v>
      </c>
      <c r="C2301" t="s">
        <v>40</v>
      </c>
      <c r="D2301">
        <v>3.96339</v>
      </c>
      <c r="E2301">
        <v>0.4651807</v>
      </c>
      <c r="F2301" t="s">
        <v>42</v>
      </c>
      <c r="G2301">
        <v>-487.00689999999997</v>
      </c>
      <c r="H2301" s="1">
        <v>-2.7748559999999999E-6</v>
      </c>
      <c r="I2301">
        <v>264.86349999999999</v>
      </c>
      <c r="J2301">
        <v>-483.13580000000002</v>
      </c>
      <c r="K2301">
        <v>1.1213900000000001</v>
      </c>
      <c r="L2301">
        <v>279.55349999999999</v>
      </c>
      <c r="M2301">
        <v>-0.62655150000000004</v>
      </c>
      <c r="N2301">
        <v>-2.3816609999999998E-2</v>
      </c>
      <c r="O2301">
        <v>-0.77901609999999999</v>
      </c>
      <c r="P2301">
        <v>-0.33340570000000003</v>
      </c>
      <c r="Q2301">
        <v>2.521383E-2</v>
      </c>
      <c r="R2301">
        <v>-0.94244629999999996</v>
      </c>
      <c r="S2301">
        <v>-0.77755739999999995</v>
      </c>
      <c r="T2301">
        <v>-0.2210491</v>
      </c>
      <c r="U2301">
        <v>-2.9161069999999998</v>
      </c>
      <c r="V2301">
        <v>-0.33197490000000002</v>
      </c>
      <c r="W2301">
        <v>3.9138149999999997E-2</v>
      </c>
      <c r="X2301">
        <v>0.94247599999999998</v>
      </c>
      <c r="Y2301">
        <v>-0.4043158</v>
      </c>
      <c r="Z2301">
        <v>2.5591220000000001E-2</v>
      </c>
      <c r="AA2301">
        <v>0.91426130000000005</v>
      </c>
      <c r="AB2301">
        <v>24</v>
      </c>
      <c r="AC2301">
        <v>-3.87109999999995</v>
      </c>
      <c r="AD2301">
        <v>-1.121392774856</v>
      </c>
      <c r="AE2301">
        <v>-14.6899999999999</v>
      </c>
      <c r="AF2301">
        <v>-6.15660074209603</v>
      </c>
      <c r="AG2301">
        <v>-1.121392774856</v>
      </c>
      <c r="AH2301">
        <v>13.7979399643786</v>
      </c>
      <c r="AI2301">
        <v>94.244674258699604</v>
      </c>
      <c r="AJ2301">
        <v>114.04628989190699</v>
      </c>
      <c r="AK2301">
        <v>15.150722811591301</v>
      </c>
      <c r="AL2301">
        <v>87.756976452953893</v>
      </c>
      <c r="AM2301">
        <v>109.404148677964</v>
      </c>
      <c r="AN2301">
        <v>1.0000000697957101</v>
      </c>
    </row>
    <row r="2302" spans="1:40" x14ac:dyDescent="0.25">
      <c r="A2302" t="str">
        <f>"20190305135836288"</f>
        <v>20190305135836288</v>
      </c>
      <c r="B2302" t="str">
        <f>"1551765516280691"</f>
        <v>1551765516280691</v>
      </c>
      <c r="C2302" t="s">
        <v>40</v>
      </c>
      <c r="D2302">
        <v>3.9257309999999999</v>
      </c>
      <c r="E2302">
        <v>0.46578340000000001</v>
      </c>
      <c r="F2302" t="s">
        <v>42</v>
      </c>
      <c r="G2302">
        <v>-486.97730000000001</v>
      </c>
      <c r="H2302" s="1">
        <v>-2.7663530000000001E-6</v>
      </c>
      <c r="I2302">
        <v>264.83139999999997</v>
      </c>
      <c r="J2302">
        <v>-483.20800000000003</v>
      </c>
      <c r="K2302">
        <v>1.121197</v>
      </c>
      <c r="L2302">
        <v>279.44779999999997</v>
      </c>
      <c r="M2302">
        <v>-0.6197241</v>
      </c>
      <c r="N2302">
        <v>-2.3705690000000001E-2</v>
      </c>
      <c r="O2302">
        <v>-0.78446169999999904</v>
      </c>
      <c r="P2302">
        <v>-0.3255847</v>
      </c>
      <c r="Q2302">
        <v>2.5550369999999999E-2</v>
      </c>
      <c r="R2302">
        <v>-0.94516770000000006</v>
      </c>
      <c r="S2302">
        <v>-0.76184079999999998</v>
      </c>
      <c r="T2302">
        <v>-0.22238920000000001</v>
      </c>
      <c r="U2302">
        <v>-2.9196170000000001</v>
      </c>
      <c r="V2302">
        <v>-0.33153270000000001</v>
      </c>
      <c r="W2302">
        <v>3.954411E-2</v>
      </c>
      <c r="X2302">
        <v>0.94261459999999997</v>
      </c>
      <c r="Y2302">
        <v>-0.40121410000000002</v>
      </c>
      <c r="Z2302">
        <v>2.6505939999999999E-2</v>
      </c>
      <c r="AA2302">
        <v>0.91560070000000005</v>
      </c>
      <c r="AB2302">
        <v>24</v>
      </c>
      <c r="AC2302">
        <v>-3.7692999999999799</v>
      </c>
      <c r="AD2302">
        <v>-1.121199766353</v>
      </c>
      <c r="AE2302">
        <v>-14.616400000000001</v>
      </c>
      <c r="AF2302">
        <v>-6.0694917262739203</v>
      </c>
      <c r="AG2302">
        <v>-1.121199766353</v>
      </c>
      <c r="AH2302">
        <v>13.7300589521957</v>
      </c>
      <c r="AI2302">
        <v>94.271379142274498</v>
      </c>
      <c r="AJ2302">
        <v>113.848241198899</v>
      </c>
      <c r="AK2302">
        <v>15.0535822169391</v>
      </c>
      <c r="AL2302">
        <v>87.733698426220499</v>
      </c>
      <c r="AM2302">
        <v>109.37759254362901</v>
      </c>
      <c r="AN2302">
        <v>0.99999997596906998</v>
      </c>
    </row>
    <row r="2303" spans="1:40" x14ac:dyDescent="0.25">
      <c r="A2303" t="str">
        <f>"20190305135836304"</f>
        <v>20190305135836304</v>
      </c>
      <c r="B2303" t="str">
        <f>"1551765516301187"</f>
        <v>1551765516301187</v>
      </c>
      <c r="C2303" t="s">
        <v>40</v>
      </c>
      <c r="D2303">
        <v>3.960013</v>
      </c>
      <c r="E2303">
        <v>0.4663059</v>
      </c>
      <c r="F2303" t="s">
        <v>42</v>
      </c>
      <c r="G2303">
        <v>-486.95870000000002</v>
      </c>
      <c r="H2303" s="1">
        <v>-2.7000150000000002E-6</v>
      </c>
      <c r="I2303">
        <v>264.66910000000001</v>
      </c>
      <c r="J2303">
        <v>-483.2996</v>
      </c>
      <c r="K2303">
        <v>1.1209340000000001</v>
      </c>
      <c r="L2303">
        <v>279.31150000000002</v>
      </c>
      <c r="M2303">
        <v>-0.61099029999999999</v>
      </c>
      <c r="N2303">
        <v>-2.355401E-2</v>
      </c>
      <c r="O2303">
        <v>-0.79128779999999999</v>
      </c>
      <c r="P2303">
        <v>-0.31639810000000002</v>
      </c>
      <c r="Q2303">
        <v>2.4998579999999999E-2</v>
      </c>
      <c r="R2303">
        <v>-0.94829739999999996</v>
      </c>
      <c r="S2303">
        <v>-0.7421875</v>
      </c>
      <c r="T2303">
        <v>-0.2218617</v>
      </c>
      <c r="U2303">
        <v>-2.9244080000000001</v>
      </c>
      <c r="V2303">
        <v>-0.33019379999999998</v>
      </c>
      <c r="W2303">
        <v>3.910052E-2</v>
      </c>
      <c r="X2303">
        <v>0.94310300000000002</v>
      </c>
      <c r="Y2303">
        <v>-0.39721269999999997</v>
      </c>
      <c r="Z2303">
        <v>2.718692E-2</v>
      </c>
      <c r="AA2303">
        <v>0.91732380000000002</v>
      </c>
      <c r="AB2303">
        <v>24</v>
      </c>
      <c r="AC2303">
        <v>-3.65910000000002</v>
      </c>
      <c r="AD2303">
        <v>-1.1209367000149999</v>
      </c>
      <c r="AE2303">
        <v>-14.6424</v>
      </c>
      <c r="AF2303">
        <v>-6.0194377889456803</v>
      </c>
      <c r="AG2303">
        <v>-1.1209367000149999</v>
      </c>
      <c r="AH2303">
        <v>13.750014619266199</v>
      </c>
      <c r="AI2303">
        <v>94.270916141809494</v>
      </c>
      <c r="AJ2303">
        <v>113.642689294291</v>
      </c>
      <c r="AK2303">
        <v>15.051678723998201</v>
      </c>
      <c r="AL2303">
        <v>87.759134060794494</v>
      </c>
      <c r="AM2303">
        <v>109.29587770150199</v>
      </c>
      <c r="AN2303">
        <v>1.00000003241585</v>
      </c>
    </row>
    <row r="2304" spans="1:40" x14ac:dyDescent="0.25">
      <c r="A2304" t="str">
        <f>"20190305135836317"</f>
        <v>20190305135836317</v>
      </c>
      <c r="B2304" t="str">
        <f>"1551765516310948"</f>
        <v>1551765516310948</v>
      </c>
      <c r="C2304" t="s">
        <v>40</v>
      </c>
      <c r="D2304">
        <v>4.1223070000000002</v>
      </c>
      <c r="E2304">
        <v>0.48201460000000002</v>
      </c>
      <c r="F2304" t="s">
        <v>42</v>
      </c>
      <c r="G2304">
        <v>-486.88319999999999</v>
      </c>
      <c r="H2304" s="1">
        <v>-2.7175989999999998E-6</v>
      </c>
      <c r="I2304">
        <v>264.67880000000002</v>
      </c>
      <c r="J2304">
        <v>-483.36709999999999</v>
      </c>
      <c r="K2304">
        <v>1.1207339999999999</v>
      </c>
      <c r="L2304">
        <v>279.20960000000002</v>
      </c>
      <c r="M2304">
        <v>-0.60452220000000001</v>
      </c>
      <c r="N2304">
        <v>-2.3430840000000001E-2</v>
      </c>
      <c r="O2304">
        <v>-0.79624379999999995</v>
      </c>
      <c r="P2304">
        <v>-0.30956539999999999</v>
      </c>
      <c r="Q2304">
        <v>2.4746110000000002E-2</v>
      </c>
      <c r="R2304">
        <v>-0.95055630000000002</v>
      </c>
      <c r="S2304">
        <v>-0.71755979999999997</v>
      </c>
      <c r="T2304">
        <v>-0.22445190000000001</v>
      </c>
      <c r="U2304">
        <v>-2.9299930000000001</v>
      </c>
      <c r="V2304">
        <v>-0.3292696</v>
      </c>
      <c r="W2304">
        <v>3.8917069999999998E-2</v>
      </c>
      <c r="X2304">
        <v>0.94343359999999998</v>
      </c>
      <c r="Y2304">
        <v>-0.39741579999999999</v>
      </c>
      <c r="Z2304">
        <v>2.8252340000000001E-2</v>
      </c>
      <c r="AA2304">
        <v>0.91720360000000001</v>
      </c>
      <c r="AB2304">
        <v>23</v>
      </c>
      <c r="AC2304">
        <v>-3.51609999999999</v>
      </c>
      <c r="AD2304">
        <v>-1.120736717599</v>
      </c>
      <c r="AE2304">
        <v>-14.530799999999999</v>
      </c>
      <c r="AF2304">
        <v>-5.9527083039050499</v>
      </c>
      <c r="AG2304">
        <v>-1.120736717599</v>
      </c>
      <c r="AH2304">
        <v>13.622822342412</v>
      </c>
      <c r="AI2304">
        <v>94.311155232705005</v>
      </c>
      <c r="AJ2304">
        <v>113.60368551107</v>
      </c>
      <c r="AK2304">
        <v>14.908791886483501</v>
      </c>
      <c r="AL2304">
        <v>87.769652866605696</v>
      </c>
      <c r="AM2304">
        <v>109.23959762004201</v>
      </c>
      <c r="AN2304">
        <v>0.99999998271525203</v>
      </c>
    </row>
    <row r="2305" spans="1:40" x14ac:dyDescent="0.25">
      <c r="A2305" t="str">
        <f>"20190305135836329"</f>
        <v>20190305135836329</v>
      </c>
      <c r="B2305" t="str">
        <f>"1551765516321684"</f>
        <v>1551765516321684</v>
      </c>
      <c r="C2305" t="s">
        <v>40</v>
      </c>
      <c r="D2305">
        <v>4.0088109999999997</v>
      </c>
      <c r="E2305">
        <v>0.48352630000000002</v>
      </c>
      <c r="F2305" t="s">
        <v>42</v>
      </c>
      <c r="G2305">
        <v>-487.00599999999997</v>
      </c>
      <c r="H2305" s="1">
        <v>-3.4023960000000001E-6</v>
      </c>
      <c r="I2305">
        <v>266.32589999999999</v>
      </c>
      <c r="J2305">
        <v>-483.44150000000002</v>
      </c>
      <c r="K2305">
        <v>1.120511</v>
      </c>
      <c r="L2305">
        <v>279.09440000000001</v>
      </c>
      <c r="M2305">
        <v>-0.59735039999999995</v>
      </c>
      <c r="N2305">
        <v>-2.327647E-2</v>
      </c>
      <c r="O2305">
        <v>-0.80164269999999904</v>
      </c>
      <c r="P2305">
        <v>-0.30181730000000001</v>
      </c>
      <c r="Q2305">
        <v>2.4860710000000001E-2</v>
      </c>
      <c r="R2305">
        <v>-0.95304180000000005</v>
      </c>
      <c r="S2305">
        <v>-0.81799319999999998</v>
      </c>
      <c r="T2305">
        <v>-0.25193700000000002</v>
      </c>
      <c r="U2305">
        <v>-2.89621</v>
      </c>
      <c r="V2305">
        <v>-0.32845479999999999</v>
      </c>
      <c r="W2305">
        <v>3.9084319999999999E-2</v>
      </c>
      <c r="X2305">
        <v>0.94371070000000001</v>
      </c>
      <c r="Y2305">
        <v>-0.3567323</v>
      </c>
      <c r="Z2305">
        <v>3.6540059999999999E-2</v>
      </c>
      <c r="AA2305">
        <v>0.93349179999999998</v>
      </c>
      <c r="AB2305">
        <v>23</v>
      </c>
      <c r="AC2305">
        <v>-3.56449999999995</v>
      </c>
      <c r="AD2305">
        <v>-1.1205144023960001</v>
      </c>
      <c r="AE2305">
        <v>-12.7685</v>
      </c>
      <c r="AF2305">
        <v>-4.7372603672890303</v>
      </c>
      <c r="AG2305">
        <v>-1.1205144023960001</v>
      </c>
      <c r="AH2305">
        <v>12.2806420012912</v>
      </c>
      <c r="AI2305">
        <v>94.865756548497004</v>
      </c>
      <c r="AJ2305">
        <v>111.094131780529</v>
      </c>
      <c r="AK2305">
        <v>13.2102746480662</v>
      </c>
      <c r="AL2305">
        <v>87.760062917820903</v>
      </c>
      <c r="AM2305">
        <v>109.190251031554</v>
      </c>
      <c r="AN2305">
        <v>1.0000000125036901</v>
      </c>
    </row>
    <row r="2306" spans="1:40" x14ac:dyDescent="0.25">
      <c r="A2306" t="str">
        <f>"20190305135836341"</f>
        <v>20190305135836341</v>
      </c>
      <c r="B2306" t="str">
        <f>"1551765516330974"</f>
        <v>1551765516330974</v>
      </c>
      <c r="C2306" t="s">
        <v>40</v>
      </c>
      <c r="D2306">
        <v>3.8870300000000002</v>
      </c>
      <c r="E2306">
        <v>0.48268729999999999</v>
      </c>
      <c r="F2306" t="s">
        <v>42</v>
      </c>
      <c r="G2306">
        <v>-486.88619999999997</v>
      </c>
      <c r="H2306" s="1">
        <v>-3.5930070000000001E-6</v>
      </c>
      <c r="I2306">
        <v>266.72070000000002</v>
      </c>
      <c r="J2306">
        <v>-483.505</v>
      </c>
      <c r="K2306">
        <v>1.120322</v>
      </c>
      <c r="L2306">
        <v>278.995</v>
      </c>
      <c r="M2306">
        <v>-0.59120109999999904</v>
      </c>
      <c r="N2306">
        <v>-2.3142079999999999E-2</v>
      </c>
      <c r="O2306">
        <v>-0.80619229999999997</v>
      </c>
      <c r="P2306">
        <v>-0.29522029999999999</v>
      </c>
      <c r="Q2306">
        <v>2.5028160000000001E-2</v>
      </c>
      <c r="R2306">
        <v>-0.9551016</v>
      </c>
      <c r="S2306">
        <v>-0.80706789999999995</v>
      </c>
      <c r="T2306">
        <v>-0.26252819999999999</v>
      </c>
      <c r="U2306">
        <v>-2.8990779999999998</v>
      </c>
      <c r="V2306">
        <v>-0.32773970000000002</v>
      </c>
      <c r="W2306">
        <v>3.9296820000000003E-2</v>
      </c>
      <c r="X2306">
        <v>0.94395050000000003</v>
      </c>
      <c r="Y2306">
        <v>-0.3531126</v>
      </c>
      <c r="Z2306">
        <v>3.9627429999999998E-2</v>
      </c>
      <c r="AA2306">
        <v>0.93474120000000005</v>
      </c>
      <c r="AB2306">
        <v>23</v>
      </c>
      <c r="AC2306">
        <v>-3.38119999999997</v>
      </c>
      <c r="AD2306">
        <v>-1.120325593007</v>
      </c>
      <c r="AE2306">
        <v>-12.274299999999901</v>
      </c>
      <c r="AF2306">
        <v>-4.4970727570694002</v>
      </c>
      <c r="AG2306">
        <v>-1.120325593007</v>
      </c>
      <c r="AH2306">
        <v>11.806180174527499</v>
      </c>
      <c r="AI2306">
        <v>95.067606848778894</v>
      </c>
      <c r="AJ2306">
        <v>110.852255562153</v>
      </c>
      <c r="AK2306">
        <v>12.6832441879091</v>
      </c>
      <c r="AL2306">
        <v>87.747878285589906</v>
      </c>
      <c r="AM2306">
        <v>109.14700588065401</v>
      </c>
      <c r="AN2306">
        <v>1.00000004873422</v>
      </c>
    </row>
    <row r="2307" spans="1:40" x14ac:dyDescent="0.25">
      <c r="A2307" t="str">
        <f>"20190305135836354"</f>
        <v>20190305135836354</v>
      </c>
      <c r="B2307" t="str">
        <f>"1551765516351469"</f>
        <v>1551765516351469</v>
      </c>
      <c r="C2307" t="s">
        <v>40</v>
      </c>
      <c r="D2307">
        <v>3.8976280000000001</v>
      </c>
      <c r="E2307">
        <v>0.48314770000000001</v>
      </c>
      <c r="F2307" t="s">
        <v>42</v>
      </c>
      <c r="G2307">
        <v>-486.92759999999998</v>
      </c>
      <c r="H2307" s="1">
        <v>-3.3756419999999998E-6</v>
      </c>
      <c r="I2307">
        <v>266.23110000000003</v>
      </c>
      <c r="J2307">
        <v>-483.5754</v>
      </c>
      <c r="K2307">
        <v>1.1201099999999999</v>
      </c>
      <c r="L2307">
        <v>278.88279999999997</v>
      </c>
      <c r="M2307">
        <v>-0.58437799999999995</v>
      </c>
      <c r="N2307">
        <v>-2.2988740000000001E-2</v>
      </c>
      <c r="O2307">
        <v>-0.81115619999999999</v>
      </c>
      <c r="P2307">
        <v>-0.28790179999999999</v>
      </c>
      <c r="Q2307">
        <v>2.561159E-2</v>
      </c>
      <c r="R2307">
        <v>-0.95731770000000005</v>
      </c>
      <c r="S2307">
        <v>-0.77944950000000002</v>
      </c>
      <c r="T2307">
        <v>-0.25513609999999998</v>
      </c>
      <c r="U2307">
        <v>-2.9067690000000002</v>
      </c>
      <c r="V2307">
        <v>-0.3269765</v>
      </c>
      <c r="W2307">
        <v>3.9930519999999997E-2</v>
      </c>
      <c r="X2307">
        <v>0.94418849999999999</v>
      </c>
      <c r="Y2307">
        <v>-0.35412389999999999</v>
      </c>
      <c r="Z2307">
        <v>3.8465880000000001E-2</v>
      </c>
      <c r="AA2307">
        <v>0.93440710000000005</v>
      </c>
      <c r="AB2307">
        <v>23</v>
      </c>
      <c r="AC2307">
        <v>-3.3521999999999799</v>
      </c>
      <c r="AD2307">
        <v>-1.1201133756420001</v>
      </c>
      <c r="AE2307">
        <v>-12.6516999999999</v>
      </c>
      <c r="AF2307">
        <v>-4.6414568339446403</v>
      </c>
      <c r="AG2307">
        <v>-1.1201133756420001</v>
      </c>
      <c r="AH2307">
        <v>12.1357994973052</v>
      </c>
      <c r="AI2307">
        <v>94.927189634740898</v>
      </c>
      <c r="AJ2307">
        <v>110.929848904915</v>
      </c>
      <c r="AK2307">
        <v>13.041296137825301</v>
      </c>
      <c r="AL2307">
        <v>87.711541319548999</v>
      </c>
      <c r="AM2307">
        <v>109.10118758662099</v>
      </c>
      <c r="AN2307">
        <v>1.0000000007559799</v>
      </c>
    </row>
    <row r="2308" spans="1:40" x14ac:dyDescent="0.25">
      <c r="A2308" t="str">
        <f>"20190305135836373"</f>
        <v>20190305135836373</v>
      </c>
      <c r="B2308" t="str">
        <f>"1551765516361231"</f>
        <v>1551765516361231</v>
      </c>
      <c r="C2308" t="s">
        <v>40</v>
      </c>
      <c r="D2308">
        <v>3.8829509999999998</v>
      </c>
      <c r="E2308">
        <v>0.48325620000000002</v>
      </c>
      <c r="F2308" t="s">
        <v>42</v>
      </c>
      <c r="G2308">
        <v>-487.07709999999997</v>
      </c>
      <c r="H2308" s="1">
        <v>-3.0235299999999999E-6</v>
      </c>
      <c r="I2308">
        <v>265.47219999999999</v>
      </c>
      <c r="J2308">
        <v>-483.67340000000002</v>
      </c>
      <c r="K2308">
        <v>1.1197979999999901</v>
      </c>
      <c r="L2308">
        <v>278.72329999999999</v>
      </c>
      <c r="M2308">
        <v>-0.57484460000000004</v>
      </c>
      <c r="N2308">
        <v>-2.2775469999999999E-2</v>
      </c>
      <c r="O2308">
        <v>-0.8179457</v>
      </c>
      <c r="P2308">
        <v>-0.27796920000000003</v>
      </c>
      <c r="Q2308">
        <v>2.6069829999999999E-2</v>
      </c>
      <c r="R2308">
        <v>-0.96023639999999999</v>
      </c>
      <c r="S2308">
        <v>-0.76028439999999997</v>
      </c>
      <c r="T2308">
        <v>-0.2431924</v>
      </c>
      <c r="U2308">
        <v>-2.9116520000000001</v>
      </c>
      <c r="V2308">
        <v>-0.32567200000000002</v>
      </c>
      <c r="W2308">
        <v>4.0473200000000001E-2</v>
      </c>
      <c r="X2308">
        <v>0.94461609999999996</v>
      </c>
      <c r="Y2308">
        <v>-0.34932920000000001</v>
      </c>
      <c r="Z2308">
        <v>3.6618770000000002E-2</v>
      </c>
      <c r="AA2308">
        <v>0.93628420000000001</v>
      </c>
      <c r="AB2308">
        <v>23</v>
      </c>
      <c r="AC2308">
        <v>-3.40369999999995</v>
      </c>
      <c r="AD2308">
        <v>-1.11980102352999</v>
      </c>
      <c r="AE2308">
        <v>-13.251099999999999</v>
      </c>
      <c r="AF2308">
        <v>-4.8023625747529</v>
      </c>
      <c r="AG2308">
        <v>-1.11980102352999</v>
      </c>
      <c r="AH2308">
        <v>12.713426310570499</v>
      </c>
      <c r="AI2308">
        <v>94.710394063156599</v>
      </c>
      <c r="AJ2308">
        <v>110.693528610271</v>
      </c>
      <c r="AK2308">
        <v>13.6362696213441</v>
      </c>
      <c r="AL2308">
        <v>87.680422780101495</v>
      </c>
      <c r="AM2308">
        <v>109.022478663879</v>
      </c>
      <c r="AN2308">
        <v>0.99999995394072305</v>
      </c>
    </row>
    <row r="2309" spans="1:40" x14ac:dyDescent="0.25">
      <c r="A2309" t="str">
        <f>"20190305135836395"</f>
        <v>20190305135836395</v>
      </c>
      <c r="B2309" t="str">
        <f>"1551765516380749"</f>
        <v>1551765516380749</v>
      </c>
      <c r="C2309" t="s">
        <v>40</v>
      </c>
      <c r="D2309">
        <v>3.895051</v>
      </c>
      <c r="E2309">
        <v>0.48524509999999998</v>
      </c>
      <c r="F2309" t="s">
        <v>42</v>
      </c>
      <c r="G2309">
        <v>-487.0872</v>
      </c>
      <c r="H2309" s="1">
        <v>-2.8569839999999999E-6</v>
      </c>
      <c r="I2309">
        <v>265.0881</v>
      </c>
      <c r="J2309">
        <v>-483.78309999999999</v>
      </c>
      <c r="K2309">
        <v>1.119432</v>
      </c>
      <c r="L2309">
        <v>278.54050000000001</v>
      </c>
      <c r="M2309">
        <v>-0.56415309999999996</v>
      </c>
      <c r="N2309">
        <v>-2.2528300000000001E-2</v>
      </c>
      <c r="O2309">
        <v>-0.82536290000000001</v>
      </c>
      <c r="P2309">
        <v>-0.26900879999999999</v>
      </c>
      <c r="Q2309">
        <v>2.6048869999999998E-2</v>
      </c>
      <c r="R2309">
        <v>-0.96278549999999996</v>
      </c>
      <c r="S2309">
        <v>-0.73086549999999995</v>
      </c>
      <c r="T2309">
        <v>-0.23973559999999999</v>
      </c>
      <c r="U2309">
        <v>-2.9191280000000002</v>
      </c>
      <c r="V2309">
        <v>-0.3221349</v>
      </c>
      <c r="W2309">
        <v>4.0605170000000003E-2</v>
      </c>
      <c r="X2309">
        <v>0.94582259999999996</v>
      </c>
      <c r="Y2309">
        <v>-0.3465955</v>
      </c>
      <c r="Z2309">
        <v>3.6737079999999998E-2</v>
      </c>
      <c r="AA2309">
        <v>0.93729499999999999</v>
      </c>
      <c r="AB2309">
        <v>23</v>
      </c>
      <c r="AC2309">
        <v>-3.3041</v>
      </c>
      <c r="AD2309">
        <v>-1.119434856984</v>
      </c>
      <c r="AE2309">
        <v>-13.452400000000001</v>
      </c>
      <c r="AF2309">
        <v>-4.8318104872235299</v>
      </c>
      <c r="AG2309">
        <v>-1.119434856984</v>
      </c>
      <c r="AH2309">
        <v>12.886264804191301</v>
      </c>
      <c r="AI2309">
        <v>94.650223929724703</v>
      </c>
      <c r="AJ2309">
        <v>110.553944839861</v>
      </c>
      <c r="AK2309">
        <v>13.8078002443262</v>
      </c>
      <c r="AL2309">
        <v>87.672855416923198</v>
      </c>
      <c r="AM2309">
        <v>108.808176375733</v>
      </c>
      <c r="AN2309">
        <v>1.00000003214974</v>
      </c>
    </row>
    <row r="2310" spans="1:40" x14ac:dyDescent="0.25">
      <c r="A2310" t="str">
        <f>"20190305135836410"</f>
        <v>20190305135836410</v>
      </c>
      <c r="B2310" t="str">
        <f>"1551765516401246"</f>
        <v>1551765516401246</v>
      </c>
      <c r="C2310" t="s">
        <v>40</v>
      </c>
      <c r="D2310">
        <v>3.8878659999999998</v>
      </c>
      <c r="E2310">
        <v>0.48643540000000002</v>
      </c>
      <c r="F2310" t="s">
        <v>42</v>
      </c>
      <c r="G2310">
        <v>-487.11860000000001</v>
      </c>
      <c r="H2310" s="1">
        <v>-2.8067740000000001E-6</v>
      </c>
      <c r="I2310">
        <v>264.98399999999998</v>
      </c>
      <c r="J2310">
        <v>-483.86180000000002</v>
      </c>
      <c r="K2310">
        <v>1.119162</v>
      </c>
      <c r="L2310">
        <v>278.40620000000001</v>
      </c>
      <c r="M2310">
        <v>-0.5564945</v>
      </c>
      <c r="N2310">
        <v>-2.2343950000000001E-2</v>
      </c>
      <c r="O2310">
        <v>-0.83055080000000003</v>
      </c>
      <c r="P2310">
        <v>-0.26192939999999998</v>
      </c>
      <c r="Q2310">
        <v>2.6250450000000002E-2</v>
      </c>
      <c r="R2310">
        <v>-0.96473010000000003</v>
      </c>
      <c r="S2310">
        <v>-0.71887209999999901</v>
      </c>
      <c r="T2310">
        <v>-0.2412579</v>
      </c>
      <c r="U2310">
        <v>-2.9216609999999998</v>
      </c>
      <c r="V2310">
        <v>-0.3203008</v>
      </c>
      <c r="W2310">
        <v>4.0891039999999997E-2</v>
      </c>
      <c r="X2310">
        <v>0.94643290000000002</v>
      </c>
      <c r="Y2310">
        <v>-0.34175</v>
      </c>
      <c r="Z2310">
        <v>3.7870429999999997E-2</v>
      </c>
      <c r="AA2310">
        <v>0.93902750000000001</v>
      </c>
      <c r="AB2310">
        <v>23</v>
      </c>
      <c r="AC2310">
        <v>-3.2567999999999899</v>
      </c>
      <c r="AD2310">
        <v>-1.1191648067739901</v>
      </c>
      <c r="AE2310">
        <v>-13.422199999999901</v>
      </c>
      <c r="AF2310">
        <v>-4.7345457168559202</v>
      </c>
      <c r="AG2310">
        <v>-1.1191648067739901</v>
      </c>
      <c r="AH2310">
        <v>12.8788848125334</v>
      </c>
      <c r="AI2310">
        <v>94.662860982454504</v>
      </c>
      <c r="AJ2310">
        <v>110.184476755774</v>
      </c>
      <c r="AK2310">
        <v>13.767139391472099</v>
      </c>
      <c r="AL2310">
        <v>87.656462481508896</v>
      </c>
      <c r="AM2310">
        <v>108.697335079833</v>
      </c>
      <c r="AN2310">
        <v>0.99999995691766397</v>
      </c>
    </row>
    <row r="2311" spans="1:40" x14ac:dyDescent="0.25">
      <c r="A2311" t="str">
        <f>"20190305135836429"</f>
        <v>20190305135836429</v>
      </c>
      <c r="B2311" t="str">
        <f>"1551765516420769"</f>
        <v>1551765516420769</v>
      </c>
      <c r="C2311" t="s">
        <v>40</v>
      </c>
      <c r="D2311">
        <v>3.909386</v>
      </c>
      <c r="E2311">
        <v>0.48759960000000002</v>
      </c>
      <c r="F2311" t="s">
        <v>42</v>
      </c>
      <c r="G2311">
        <v>-487.17989999999998</v>
      </c>
      <c r="H2311" s="1">
        <v>-2.6598619999999999E-6</v>
      </c>
      <c r="I2311">
        <v>264.6669</v>
      </c>
      <c r="J2311">
        <v>-483.95209999999997</v>
      </c>
      <c r="K2311">
        <v>1.1188450000000001</v>
      </c>
      <c r="L2311">
        <v>278.24900000000002</v>
      </c>
      <c r="M2311">
        <v>-0.54772749999999903</v>
      </c>
      <c r="N2311">
        <v>-2.2132639999999999E-2</v>
      </c>
      <c r="O2311">
        <v>-0.8363642</v>
      </c>
      <c r="P2311">
        <v>-0.25478579999999901</v>
      </c>
      <c r="Q2311">
        <v>2.7668749999999999E-2</v>
      </c>
      <c r="R2311">
        <v>-0.96660199999999996</v>
      </c>
      <c r="S2311">
        <v>-0.70626829999999996</v>
      </c>
      <c r="T2311">
        <v>-0.2382145</v>
      </c>
      <c r="U2311">
        <v>-2.9244080000000001</v>
      </c>
      <c r="V2311">
        <v>-0.31731150000000002</v>
      </c>
      <c r="W2311">
        <v>4.2433220000000001E-2</v>
      </c>
      <c r="X2311">
        <v>0.94737150000000003</v>
      </c>
      <c r="Y2311">
        <v>-0.33590209999999998</v>
      </c>
      <c r="Z2311">
        <v>3.799992E-2</v>
      </c>
      <c r="AA2311">
        <v>0.94113000000000002</v>
      </c>
      <c r="AB2311">
        <v>23</v>
      </c>
      <c r="AC2311">
        <v>-3.2277999999999998</v>
      </c>
      <c r="AD2311">
        <v>-1.1188476598620001</v>
      </c>
      <c r="AE2311">
        <v>-13.582100000000001</v>
      </c>
      <c r="AF2311">
        <v>-4.7105770881397504</v>
      </c>
      <c r="AG2311">
        <v>-1.1188476598620001</v>
      </c>
      <c r="AH2311">
        <v>13.0469488193835</v>
      </c>
      <c r="AI2311">
        <v>94.611453849852595</v>
      </c>
      <c r="AJ2311">
        <v>109.85202441800401</v>
      </c>
      <c r="AK2311">
        <v>13.9163296197273</v>
      </c>
      <c r="AL2311">
        <v>87.568025292438193</v>
      </c>
      <c r="AM2311">
        <v>108.517698176805</v>
      </c>
      <c r="AN2311">
        <v>0.99999996260203305</v>
      </c>
    </row>
    <row r="2312" spans="1:40" x14ac:dyDescent="0.25">
      <c r="A2312" t="str">
        <f>"20190305135836440"</f>
        <v>20190305135836440</v>
      </c>
      <c r="B2312" t="str">
        <f>"1551765516431034"</f>
        <v>1551765516431034</v>
      </c>
      <c r="C2312" t="s">
        <v>40</v>
      </c>
      <c r="D2312">
        <v>3.9033850000000001</v>
      </c>
      <c r="E2312">
        <v>0.4881992</v>
      </c>
      <c r="F2312" t="s">
        <v>42</v>
      </c>
      <c r="G2312">
        <v>-487.26089999999999</v>
      </c>
      <c r="H2312" s="1">
        <v>-2.4824320000000002E-6</v>
      </c>
      <c r="I2312">
        <v>264.28680000000003</v>
      </c>
      <c r="J2312">
        <v>-484.01139999999998</v>
      </c>
      <c r="K2312">
        <v>1.1186339999999999</v>
      </c>
      <c r="L2312">
        <v>278.14449999999999</v>
      </c>
      <c r="M2312">
        <v>-0.54200499999999996</v>
      </c>
      <c r="N2312">
        <v>-2.1996189999999999E-2</v>
      </c>
      <c r="O2312">
        <v>-0.84008749999999999</v>
      </c>
      <c r="P2312">
        <v>-0.2494846</v>
      </c>
      <c r="Q2312">
        <v>2.81993E-2</v>
      </c>
      <c r="R2312">
        <v>-0.96796819999999895</v>
      </c>
      <c r="S2312">
        <v>-0.69375609999999999</v>
      </c>
      <c r="T2312">
        <v>-0.23459150000000001</v>
      </c>
      <c r="U2312">
        <v>-2.9274900000000001</v>
      </c>
      <c r="V2312">
        <v>-0.31601030000000002</v>
      </c>
      <c r="W2312">
        <v>4.3031100000000003E-2</v>
      </c>
      <c r="X2312">
        <v>0.94777940000000005</v>
      </c>
      <c r="Y2312">
        <v>-0.33350960000000002</v>
      </c>
      <c r="Z2312">
        <v>3.7614590000000003E-2</v>
      </c>
      <c r="AA2312">
        <v>0.94199600000000006</v>
      </c>
      <c r="AB2312">
        <v>23</v>
      </c>
      <c r="AC2312">
        <v>-3.24950000000001</v>
      </c>
      <c r="AD2312">
        <v>-1.1186364824320001</v>
      </c>
      <c r="AE2312">
        <v>-13.8576999999999</v>
      </c>
      <c r="AF2312">
        <v>-4.7528781786702599</v>
      </c>
      <c r="AG2312">
        <v>-1.1186364824320001</v>
      </c>
      <c r="AH2312">
        <v>13.3238714757175</v>
      </c>
      <c r="AI2312">
        <v>94.521354544213594</v>
      </c>
      <c r="AJ2312">
        <v>109.63228340515001</v>
      </c>
      <c r="AK2312">
        <v>14.1903752474184</v>
      </c>
      <c r="AL2312">
        <v>87.533738033807296</v>
      </c>
      <c r="AM2312">
        <v>108.439509854576</v>
      </c>
      <c r="AN2312">
        <v>0.99999998816882996</v>
      </c>
    </row>
    <row r="2313" spans="1:40" x14ac:dyDescent="0.25">
      <c r="A2313" t="str">
        <f>"20190305135836452"</f>
        <v>20190305135836452</v>
      </c>
      <c r="B2313" t="str">
        <f>"1551765516440793"</f>
        <v>1551765516440793</v>
      </c>
      <c r="C2313" t="s">
        <v>40</v>
      </c>
      <c r="D2313">
        <v>3.9605450000000002</v>
      </c>
      <c r="E2313">
        <v>0.48884650000000002</v>
      </c>
      <c r="F2313" t="s">
        <v>42</v>
      </c>
      <c r="G2313">
        <v>-487.2774</v>
      </c>
      <c r="H2313" s="1">
        <v>-2.4122960000000001E-6</v>
      </c>
      <c r="I2313">
        <v>264.1302</v>
      </c>
      <c r="J2313">
        <v>-484.06849999999997</v>
      </c>
      <c r="K2313">
        <v>1.118433</v>
      </c>
      <c r="L2313">
        <v>278.04199999999997</v>
      </c>
      <c r="M2313">
        <v>-0.53652860000000002</v>
      </c>
      <c r="N2313">
        <v>-2.1865900000000001E-2</v>
      </c>
      <c r="O2313">
        <v>-0.84359889999999904</v>
      </c>
      <c r="P2313">
        <v>-0.2442637</v>
      </c>
      <c r="Q2313">
        <v>2.8324749999999999E-2</v>
      </c>
      <c r="R2313">
        <v>-0.96929529999999997</v>
      </c>
      <c r="S2313">
        <v>-0.6828613</v>
      </c>
      <c r="T2313">
        <v>-0.23388400000000001</v>
      </c>
      <c r="U2313">
        <v>-2.9301149999999998</v>
      </c>
      <c r="V2313">
        <v>-0.31492740000000002</v>
      </c>
      <c r="W2313">
        <v>4.3220229999999998E-2</v>
      </c>
      <c r="X2313">
        <v>0.94813119999999995</v>
      </c>
      <c r="Y2313">
        <v>-0.33089410000000002</v>
      </c>
      <c r="Z2313">
        <v>3.7925130000000001E-2</v>
      </c>
      <c r="AA2313">
        <v>0.94290549999999995</v>
      </c>
      <c r="AB2313">
        <v>23</v>
      </c>
      <c r="AC2313">
        <v>-3.2089000000000198</v>
      </c>
      <c r="AD2313">
        <v>-1.1184354122960001</v>
      </c>
      <c r="AE2313">
        <v>-13.911799999999999</v>
      </c>
      <c r="AF2313">
        <v>-4.7291693013148803</v>
      </c>
      <c r="AG2313">
        <v>-1.1184354122960001</v>
      </c>
      <c r="AH2313">
        <v>13.3787601512864</v>
      </c>
      <c r="AI2313">
        <v>94.506652258563506</v>
      </c>
      <c r="AJ2313">
        <v>109.46765472816</v>
      </c>
      <c r="AK2313">
        <v>14.234014305094201</v>
      </c>
      <c r="AL2313">
        <v>87.522891655942004</v>
      </c>
      <c r="AM2313">
        <v>108.374213147845</v>
      </c>
      <c r="AN2313">
        <v>1.0000000139827201</v>
      </c>
    </row>
    <row r="2314" spans="1:40" x14ac:dyDescent="0.25">
      <c r="A2314" t="str">
        <f>"20190305135836465"</f>
        <v>20190305135836465</v>
      </c>
      <c r="B2314" t="str">
        <f>"1551765516461289"</f>
        <v>1551765516461289</v>
      </c>
      <c r="C2314" t="s">
        <v>40</v>
      </c>
      <c r="D2314">
        <v>3.860341</v>
      </c>
      <c r="E2314">
        <v>0.48975079999999999</v>
      </c>
      <c r="F2314" t="s">
        <v>42</v>
      </c>
      <c r="G2314">
        <v>-487.3064</v>
      </c>
      <c r="H2314" s="1">
        <v>-2.309804E-6</v>
      </c>
      <c r="I2314">
        <v>263.90320000000003</v>
      </c>
      <c r="J2314">
        <v>-484.12360000000001</v>
      </c>
      <c r="K2314">
        <v>1.1182289999999999</v>
      </c>
      <c r="L2314">
        <v>277.94209999999998</v>
      </c>
      <c r="M2314">
        <v>-0.5312829</v>
      </c>
      <c r="N2314">
        <v>-2.173831E-2</v>
      </c>
      <c r="O2314">
        <v>-0.84691569999999905</v>
      </c>
      <c r="P2314">
        <v>-0.23977519999999999</v>
      </c>
      <c r="Q2314">
        <v>2.816666E-2</v>
      </c>
      <c r="R2314">
        <v>-0.97041980000000005</v>
      </c>
      <c r="S2314">
        <v>-0.67156979999999999</v>
      </c>
      <c r="T2314">
        <v>-0.23197699999999999</v>
      </c>
      <c r="U2314">
        <v>-2.9325559999999999</v>
      </c>
      <c r="V2314">
        <v>-0.31340410000000002</v>
      </c>
      <c r="W2314">
        <v>4.3135430000000002E-2</v>
      </c>
      <c r="X2314">
        <v>0.94863969999999997</v>
      </c>
      <c r="Y2314">
        <v>-0.32866469999999998</v>
      </c>
      <c r="Z2314">
        <v>3.7908110000000002E-2</v>
      </c>
      <c r="AA2314">
        <v>0.94368560000000001</v>
      </c>
      <c r="AB2314">
        <v>23</v>
      </c>
      <c r="AC2314">
        <v>-3.1827999999999799</v>
      </c>
      <c r="AD2314">
        <v>-1.118231309804</v>
      </c>
      <c r="AE2314">
        <v>-14.0388999999999</v>
      </c>
      <c r="AF2314">
        <v>-4.7356130638957401</v>
      </c>
      <c r="AG2314">
        <v>-1.118231309804</v>
      </c>
      <c r="AH2314">
        <v>13.502461680233299</v>
      </c>
      <c r="AI2314">
        <v>94.468569053169901</v>
      </c>
      <c r="AJ2314">
        <v>109.326901169655</v>
      </c>
      <c r="AK2314">
        <v>14.352454277207601</v>
      </c>
      <c r="AL2314">
        <v>87.527754932362896</v>
      </c>
      <c r="AM2314">
        <v>108.28211440983</v>
      </c>
      <c r="AN2314">
        <v>1.0000000378170899</v>
      </c>
    </row>
    <row r="2315" spans="1:40" x14ac:dyDescent="0.25">
      <c r="A2315" t="str">
        <f>"20190305135836483"</f>
        <v>20190305135836483</v>
      </c>
      <c r="B2315" t="str">
        <f>"1551765516471049"</f>
        <v>1551765516471049</v>
      </c>
      <c r="C2315" t="s">
        <v>40</v>
      </c>
      <c r="D2315">
        <v>3.8961749999999999</v>
      </c>
      <c r="E2315">
        <v>0.49034250000000001</v>
      </c>
      <c r="F2315" t="s">
        <v>42</v>
      </c>
      <c r="G2315">
        <v>-487.19400000000002</v>
      </c>
      <c r="H2315" s="1">
        <v>-2.5489790000000001E-6</v>
      </c>
      <c r="I2315">
        <v>264.41430000000003</v>
      </c>
      <c r="J2315">
        <v>-484.21120000000002</v>
      </c>
      <c r="K2315">
        <v>1.1178950000000001</v>
      </c>
      <c r="L2315">
        <v>277.7808</v>
      </c>
      <c r="M2315">
        <v>-0.52301909999999996</v>
      </c>
      <c r="N2315">
        <v>-2.153147E-2</v>
      </c>
      <c r="O2315">
        <v>-0.8520491</v>
      </c>
      <c r="P2315">
        <v>-0.23450860000000001</v>
      </c>
      <c r="Q2315">
        <v>2.7386020000000001E-2</v>
      </c>
      <c r="R2315">
        <v>-0.97172820000000004</v>
      </c>
      <c r="S2315">
        <v>-0.66592410000000002</v>
      </c>
      <c r="T2315">
        <v>-0.24252770000000001</v>
      </c>
      <c r="U2315">
        <v>-2.9339900000000001</v>
      </c>
      <c r="V2315">
        <v>-0.30927270000000001</v>
      </c>
      <c r="W2315">
        <v>4.2511340000000002E-2</v>
      </c>
      <c r="X2315">
        <v>0.95002279999999995</v>
      </c>
      <c r="Y2315">
        <v>-0.3213261</v>
      </c>
      <c r="Z2315">
        <v>4.1393619999999999E-2</v>
      </c>
      <c r="AA2315">
        <v>0.94606349999999995</v>
      </c>
      <c r="AB2315">
        <v>22</v>
      </c>
      <c r="AC2315">
        <v>-2.9827999999999899</v>
      </c>
      <c r="AD2315">
        <v>-1.117897548979</v>
      </c>
      <c r="AE2315">
        <v>-13.366499999999901</v>
      </c>
      <c r="AF2315">
        <v>-4.4210171698523704</v>
      </c>
      <c r="AG2315">
        <v>-1.117897548979</v>
      </c>
      <c r="AH2315">
        <v>12.866250233863299</v>
      </c>
      <c r="AI2315">
        <v>94.697464424109597</v>
      </c>
      <c r="AJ2315">
        <v>108.963412708728</v>
      </c>
      <c r="AK2315">
        <v>13.6504755531274</v>
      </c>
      <c r="AL2315">
        <v>87.563545562233401</v>
      </c>
      <c r="AM2315">
        <v>108.032265286171</v>
      </c>
      <c r="AN2315">
        <v>1.00000006875686</v>
      </c>
    </row>
    <row r="2316" spans="1:40" x14ac:dyDescent="0.25">
      <c r="A2316" t="str">
        <f>"20190305135836495"</f>
        <v>20190305135836495</v>
      </c>
      <c r="B2316" t="str">
        <f>"1551765516491545"</f>
        <v>1551765516491545</v>
      </c>
      <c r="C2316" t="s">
        <v>40</v>
      </c>
      <c r="D2316">
        <v>3.9986519999999999</v>
      </c>
      <c r="E2316">
        <v>0.49162679999999997</v>
      </c>
      <c r="F2316" t="s">
        <v>42</v>
      </c>
      <c r="G2316">
        <v>-487.17770000000002</v>
      </c>
      <c r="H2316" s="1">
        <v>-2.5756579999999999E-6</v>
      </c>
      <c r="I2316">
        <v>264.46969999999999</v>
      </c>
      <c r="J2316">
        <v>-484.267</v>
      </c>
      <c r="K2316">
        <v>1.117672</v>
      </c>
      <c r="L2316">
        <v>277.67660000000001</v>
      </c>
      <c r="M2316">
        <v>-0.5178277</v>
      </c>
      <c r="N2316">
        <v>-2.1398259999999999E-2</v>
      </c>
      <c r="O2316">
        <v>-0.85521729999999996</v>
      </c>
      <c r="P2316">
        <v>-0.23116819999999999</v>
      </c>
      <c r="Q2316">
        <v>2.7119330000000001E-2</v>
      </c>
      <c r="R2316">
        <v>-0.9725357</v>
      </c>
      <c r="S2316">
        <v>-0.65438839999999998</v>
      </c>
      <c r="T2316">
        <v>-0.2465965</v>
      </c>
      <c r="U2316">
        <v>-2.9362789999999999</v>
      </c>
      <c r="V2316">
        <v>-0.30672959999999999</v>
      </c>
      <c r="W2316">
        <v>4.2344119999999999E-2</v>
      </c>
      <c r="X2316">
        <v>0.95085430000000004</v>
      </c>
      <c r="Y2316">
        <v>-0.31927729999999999</v>
      </c>
      <c r="Z2316">
        <v>4.2891579999999999E-2</v>
      </c>
      <c r="AA2316">
        <v>0.94669020000000004</v>
      </c>
      <c r="AB2316">
        <v>22</v>
      </c>
      <c r="AC2316">
        <v>-2.9107000000000198</v>
      </c>
      <c r="AD2316">
        <v>-1.117674575658</v>
      </c>
      <c r="AE2316">
        <v>-13.206899999999999</v>
      </c>
      <c r="AF2316">
        <v>-4.3210999487257498</v>
      </c>
      <c r="AG2316">
        <v>-1.117674575658</v>
      </c>
      <c r="AH2316">
        <v>12.7180757150453</v>
      </c>
      <c r="AI2316">
        <v>94.756578959514002</v>
      </c>
      <c r="AJ2316">
        <v>108.765732659275</v>
      </c>
      <c r="AK2316">
        <v>13.4785218446822</v>
      </c>
      <c r="AL2316">
        <v>87.573134995781999</v>
      </c>
      <c r="AM2316">
        <v>107.878827934771</v>
      </c>
      <c r="AN2316">
        <v>0.99999998592161199</v>
      </c>
    </row>
    <row r="2317" spans="1:40" x14ac:dyDescent="0.25">
      <c r="A2317" t="str">
        <f>"20190305135836508"</f>
        <v>20190305135836508</v>
      </c>
      <c r="B2317" t="str">
        <f>"1551765516501305"</f>
        <v>1551765516501305</v>
      </c>
      <c r="C2317" t="s">
        <v>40</v>
      </c>
      <c r="D2317">
        <v>3.9927250000000001</v>
      </c>
      <c r="E2317">
        <v>0.49223519999999998</v>
      </c>
      <c r="F2317" t="s">
        <v>42</v>
      </c>
      <c r="G2317">
        <v>-487.24189999999999</v>
      </c>
      <c r="H2317" s="1">
        <v>-2.49766E-6</v>
      </c>
      <c r="I2317">
        <v>264.31450000000001</v>
      </c>
      <c r="J2317">
        <v>-484.32389999999998</v>
      </c>
      <c r="K2317">
        <v>1.1174379999999999</v>
      </c>
      <c r="L2317">
        <v>277.56849999999997</v>
      </c>
      <c r="M2317">
        <v>-0.51261659999999998</v>
      </c>
      <c r="N2317">
        <v>-2.1252730000000001E-2</v>
      </c>
      <c r="O2317">
        <v>-0.85835469999999903</v>
      </c>
      <c r="P2317">
        <v>-0.22783039999999999</v>
      </c>
      <c r="Q2317">
        <v>2.7916070000000001E-2</v>
      </c>
      <c r="R2317">
        <v>-0.97330090000000002</v>
      </c>
      <c r="S2317">
        <v>-0.65371699999999999</v>
      </c>
      <c r="T2317">
        <v>-0.2455976</v>
      </c>
      <c r="U2317">
        <v>-2.936188</v>
      </c>
      <c r="V2317">
        <v>-0.30417929999999999</v>
      </c>
      <c r="W2317">
        <v>4.3231659999999998E-2</v>
      </c>
      <c r="X2317">
        <v>0.95163330000000002</v>
      </c>
      <c r="Y2317">
        <v>-0.31372329999999998</v>
      </c>
      <c r="Z2317">
        <v>4.3213420000000002E-2</v>
      </c>
      <c r="AA2317">
        <v>0.9485306</v>
      </c>
      <c r="AB2317">
        <v>22</v>
      </c>
      <c r="AC2317">
        <v>-2.9180000000000001</v>
      </c>
      <c r="AD2317">
        <v>-1.1174404976600001</v>
      </c>
      <c r="AE2317">
        <v>-13.2539999999999</v>
      </c>
      <c r="AF2317">
        <v>-4.2616182344056099</v>
      </c>
      <c r="AG2317">
        <v>-1.1174404976600001</v>
      </c>
      <c r="AH2317">
        <v>12.7886540362554</v>
      </c>
      <c r="AI2317">
        <v>94.738757859507899</v>
      </c>
      <c r="AJ2317">
        <v>108.429842135051</v>
      </c>
      <c r="AK2317">
        <v>13.5262609504866</v>
      </c>
      <c r="AL2317">
        <v>87.522236069051004</v>
      </c>
      <c r="AM2317">
        <v>107.72591719329</v>
      </c>
      <c r="AN2317">
        <v>0.99999998032186699</v>
      </c>
    </row>
    <row r="2318" spans="1:40" x14ac:dyDescent="0.25">
      <c r="A2318" t="str">
        <f>"20190305135836521"</f>
        <v>20190305135836521</v>
      </c>
      <c r="B2318" t="str">
        <f>"1551765516511065"</f>
        <v>1551765516511065</v>
      </c>
      <c r="C2318" t="s">
        <v>40</v>
      </c>
      <c r="D2318">
        <v>3.94598</v>
      </c>
      <c r="E2318">
        <v>0.49305260000000001</v>
      </c>
      <c r="F2318" t="s">
        <v>42</v>
      </c>
      <c r="G2318">
        <v>-487.31450000000001</v>
      </c>
      <c r="H2318" s="1">
        <v>-2.352757E-6</v>
      </c>
      <c r="I2318">
        <v>264.00670000000002</v>
      </c>
      <c r="J2318">
        <v>-484.38380000000001</v>
      </c>
      <c r="K2318">
        <v>1.1171819999999999</v>
      </c>
      <c r="L2318">
        <v>277.45409999999998</v>
      </c>
      <c r="M2318">
        <v>-0.50720940000000003</v>
      </c>
      <c r="N2318">
        <v>-2.1095139999999998E-2</v>
      </c>
      <c r="O2318">
        <v>-0.86156460000000001</v>
      </c>
      <c r="P2318">
        <v>-0.22414480000000001</v>
      </c>
      <c r="Q2318">
        <v>2.9470369999999999E-2</v>
      </c>
      <c r="R2318">
        <v>-0.97411020000000004</v>
      </c>
      <c r="S2318">
        <v>-0.64779659999999994</v>
      </c>
      <c r="T2318">
        <v>-0.24205180000000001</v>
      </c>
      <c r="U2318">
        <v>-2.9376530000000001</v>
      </c>
      <c r="V2318">
        <v>-0.30176550000000002</v>
      </c>
      <c r="W2318">
        <v>4.4873250000000003E-2</v>
      </c>
      <c r="X2318">
        <v>0.95232559999999999</v>
      </c>
      <c r="Y2318">
        <v>-0.30968190000000001</v>
      </c>
      <c r="Z2318">
        <v>4.2840070000000001E-2</v>
      </c>
      <c r="AA2318">
        <v>0.94987460000000001</v>
      </c>
      <c r="AB2318">
        <v>22</v>
      </c>
      <c r="AC2318">
        <v>-2.9306999999999999</v>
      </c>
      <c r="AD2318">
        <v>-1.11718435275699</v>
      </c>
      <c r="AE2318">
        <v>-13.447399999999901</v>
      </c>
      <c r="AF2318">
        <v>-4.2684914160915701</v>
      </c>
      <c r="AG2318">
        <v>-1.11718435275699</v>
      </c>
      <c r="AH2318">
        <v>12.9896037200136</v>
      </c>
      <c r="AI2318">
        <v>94.671122565174201</v>
      </c>
      <c r="AJ2318">
        <v>108.190951690557</v>
      </c>
      <c r="AK2318">
        <v>13.718524871511701</v>
      </c>
      <c r="AL2318">
        <v>87.4280886270423</v>
      </c>
      <c r="AM2318">
        <v>107.581960635192</v>
      </c>
      <c r="AN2318">
        <v>1.0000000369855799</v>
      </c>
    </row>
    <row r="2319" spans="1:40" x14ac:dyDescent="0.25">
      <c r="A2319" t="str">
        <f>"20190305135836536"</f>
        <v>20190305135836536</v>
      </c>
      <c r="B2319" t="str">
        <f>"1551765516531092"</f>
        <v>1551765516531092</v>
      </c>
      <c r="C2319" t="s">
        <v>40</v>
      </c>
      <c r="D2319">
        <v>4.003444</v>
      </c>
      <c r="E2319">
        <v>0.49424289999999999</v>
      </c>
      <c r="F2319" t="s">
        <v>42</v>
      </c>
      <c r="G2319">
        <v>-487.4529</v>
      </c>
      <c r="H2319" s="1">
        <v>-2.07839E-6</v>
      </c>
      <c r="I2319">
        <v>263.42439999999999</v>
      </c>
      <c r="J2319">
        <v>-484.45249999999999</v>
      </c>
      <c r="K2319">
        <v>1.1168659999999999</v>
      </c>
      <c r="L2319">
        <v>277.3211</v>
      </c>
      <c r="M2319">
        <v>-0.50116989999999995</v>
      </c>
      <c r="N2319">
        <v>-2.090142E-2</v>
      </c>
      <c r="O2319">
        <v>-0.86509659999999999</v>
      </c>
      <c r="P2319">
        <v>-0.2190609</v>
      </c>
      <c r="Q2319">
        <v>3.125199E-2</v>
      </c>
      <c r="R2319">
        <v>-0.97521049999999998</v>
      </c>
      <c r="S2319">
        <v>-0.64291379999999998</v>
      </c>
      <c r="T2319">
        <v>-0.23402619999999999</v>
      </c>
      <c r="U2319">
        <v>-2.9389340000000002</v>
      </c>
      <c r="V2319">
        <v>-0.30002879999999998</v>
      </c>
      <c r="W2319">
        <v>4.6733339999999998E-2</v>
      </c>
      <c r="X2319">
        <v>0.95278470000000004</v>
      </c>
      <c r="Y2319">
        <v>-0.30462420000000001</v>
      </c>
      <c r="Z2319">
        <v>4.1377070000000002E-2</v>
      </c>
      <c r="AA2319">
        <v>0.95157340000000001</v>
      </c>
      <c r="AB2319">
        <v>22</v>
      </c>
      <c r="AC2319">
        <v>-3.0004000000000102</v>
      </c>
      <c r="AD2319">
        <v>-1.11686807839</v>
      </c>
      <c r="AE2319">
        <v>-13.896699999999999</v>
      </c>
      <c r="AF2319">
        <v>-4.3431222579530804</v>
      </c>
      <c r="AG2319">
        <v>-1.11686807839</v>
      </c>
      <c r="AH2319">
        <v>13.4456713447246</v>
      </c>
      <c r="AI2319">
        <v>94.519486858264202</v>
      </c>
      <c r="AJ2319">
        <v>107.901114178073</v>
      </c>
      <c r="AK2319">
        <v>14.173785068301299</v>
      </c>
      <c r="AL2319">
        <v>87.321401199617895</v>
      </c>
      <c r="AM2319">
        <v>107.479045082276</v>
      </c>
      <c r="AN2319">
        <v>0.99999998522554201</v>
      </c>
    </row>
    <row r="2320" spans="1:40" x14ac:dyDescent="0.25">
      <c r="A2320" t="str">
        <f>"20190305135836551"</f>
        <v>20190305135836551</v>
      </c>
      <c r="B2320" t="str">
        <f>"1551765516540853"</f>
        <v>1551765516540853</v>
      </c>
      <c r="C2320" t="s">
        <v>40</v>
      </c>
      <c r="D2320">
        <v>4.0127990000000002</v>
      </c>
      <c r="E2320">
        <v>0.4947915</v>
      </c>
      <c r="F2320" t="s">
        <v>42</v>
      </c>
      <c r="G2320">
        <v>-487.60160000000002</v>
      </c>
      <c r="H2320" s="1">
        <v>-1.772791E-6</v>
      </c>
      <c r="I2320">
        <v>262.77350000000001</v>
      </c>
      <c r="J2320">
        <v>-484.51749999999998</v>
      </c>
      <c r="K2320">
        <v>1.116544</v>
      </c>
      <c r="L2320">
        <v>277.1936</v>
      </c>
      <c r="M2320">
        <v>-0.49567729999999999</v>
      </c>
      <c r="N2320">
        <v>-2.0691959999999999E-2</v>
      </c>
      <c r="O2320">
        <v>-0.86826039999999904</v>
      </c>
      <c r="P2320">
        <v>-0.21514749999999999</v>
      </c>
      <c r="Q2320">
        <v>3.4358199999999998E-2</v>
      </c>
      <c r="R2320">
        <v>-0.97597710000000004</v>
      </c>
      <c r="S2320">
        <v>-0.63653559999999998</v>
      </c>
      <c r="T2320">
        <v>-0.2257516</v>
      </c>
      <c r="U2320">
        <v>-2.9404910000000002</v>
      </c>
      <c r="V2320">
        <v>-0.297761</v>
      </c>
      <c r="W2320">
        <v>4.9913470000000001E-2</v>
      </c>
      <c r="X2320">
        <v>0.95333469999999998</v>
      </c>
      <c r="Y2320">
        <v>-0.3006644</v>
      </c>
      <c r="Z2320">
        <v>3.977398E-2</v>
      </c>
      <c r="AA2320">
        <v>0.95290030000000003</v>
      </c>
      <c r="AB2320">
        <v>22</v>
      </c>
      <c r="AC2320">
        <v>-3.08410000000003</v>
      </c>
      <c r="AD2320">
        <v>-1.116545772791</v>
      </c>
      <c r="AE2320">
        <v>-14.4200999999999</v>
      </c>
      <c r="AF2320">
        <v>-4.4453849943361501</v>
      </c>
      <c r="AG2320">
        <v>-1.116545772791</v>
      </c>
      <c r="AH2320">
        <v>13.972023455622701</v>
      </c>
      <c r="AI2320">
        <v>94.354756356148499</v>
      </c>
      <c r="AJ2320">
        <v>107.649160385288</v>
      </c>
      <c r="AK2320">
        <v>14.7046102177201</v>
      </c>
      <c r="AL2320">
        <v>87.138980044872994</v>
      </c>
      <c r="AM2320">
        <v>107.345477578619</v>
      </c>
      <c r="AN2320">
        <v>1.00000000891626</v>
      </c>
    </row>
    <row r="2321" spans="1:40" x14ac:dyDescent="0.25">
      <c r="A2321" t="str">
        <f>"20190305135836565"</f>
        <v>20190305135836565</v>
      </c>
      <c r="B2321" t="str">
        <f>"1551765516561349"</f>
        <v>1551765516561349</v>
      </c>
      <c r="C2321" t="s">
        <v>40</v>
      </c>
      <c r="D2321">
        <v>4.1734119999999999</v>
      </c>
      <c r="E2321">
        <v>0.49557210000000002</v>
      </c>
      <c r="F2321" t="s">
        <v>42</v>
      </c>
      <c r="G2321">
        <v>-487.78449999999998</v>
      </c>
      <c r="H2321" s="1">
        <v>-1.3781359999999999E-6</v>
      </c>
      <c r="I2321">
        <v>261.92919999999998</v>
      </c>
      <c r="J2321">
        <v>-484.57429999999999</v>
      </c>
      <c r="K2321">
        <v>1.116231</v>
      </c>
      <c r="L2321">
        <v>277.08100000000002</v>
      </c>
      <c r="M2321">
        <v>-0.49101319999999998</v>
      </c>
      <c r="N2321">
        <v>-2.048676E-2</v>
      </c>
      <c r="O2321">
        <v>-0.870911199999999</v>
      </c>
      <c r="P2321">
        <v>-0.2109751</v>
      </c>
      <c r="Q2321">
        <v>3.4524930000000002E-2</v>
      </c>
      <c r="R2321">
        <v>-0.97688149999999996</v>
      </c>
      <c r="S2321">
        <v>-0.62979130000000005</v>
      </c>
      <c r="T2321">
        <v>-0.2152394</v>
      </c>
      <c r="U2321">
        <v>-2.9425659999999998</v>
      </c>
      <c r="V2321">
        <v>-0.29667900000000003</v>
      </c>
      <c r="W2321">
        <v>5.0116819999999999E-2</v>
      </c>
      <c r="X2321">
        <v>0.95366130000000005</v>
      </c>
      <c r="Y2321">
        <v>-0.2977725</v>
      </c>
      <c r="Z2321">
        <v>3.7475199999999903E-2</v>
      </c>
      <c r="AA2321">
        <v>0.953901</v>
      </c>
      <c r="AB2321">
        <v>22</v>
      </c>
      <c r="AC2321">
        <v>-3.21019999999998</v>
      </c>
      <c r="AD2321">
        <v>-1.116232378136</v>
      </c>
      <c r="AE2321">
        <v>-15.1517999999999</v>
      </c>
      <c r="AF2321">
        <v>-4.62090806487371</v>
      </c>
      <c r="AG2321">
        <v>-1.116232378136</v>
      </c>
      <c r="AH2321">
        <v>14.698876422166</v>
      </c>
      <c r="AI2321">
        <v>94.143524692474202</v>
      </c>
      <c r="AJ2321">
        <v>107.45166245597299</v>
      </c>
      <c r="AK2321">
        <v>15.448486467616201</v>
      </c>
      <c r="AL2321">
        <v>87.127314322185896</v>
      </c>
      <c r="AM2321">
        <v>107.280642372714</v>
      </c>
      <c r="AN2321">
        <v>0.99999999990280097</v>
      </c>
    </row>
    <row r="2322" spans="1:40" x14ac:dyDescent="0.25">
      <c r="A2322" t="str">
        <f>"20190305135836579"</f>
        <v>20190305135836579</v>
      </c>
      <c r="B2322" t="str">
        <f>"1551765516571109"</f>
        <v>1551765516571109</v>
      </c>
      <c r="C2322" t="s">
        <v>40</v>
      </c>
      <c r="D2322">
        <v>4.0252739999999996</v>
      </c>
      <c r="E2322">
        <v>0.49557210000000002</v>
      </c>
      <c r="F2322" t="s">
        <v>42</v>
      </c>
      <c r="G2322">
        <v>-487.779</v>
      </c>
      <c r="H2322" s="1">
        <v>-1.3880460000000001E-6</v>
      </c>
      <c r="I2322">
        <v>261.95</v>
      </c>
      <c r="J2322">
        <v>-484.63920000000002</v>
      </c>
      <c r="K2322">
        <v>1.1158440000000001</v>
      </c>
      <c r="L2322">
        <v>276.95190000000002</v>
      </c>
      <c r="M2322">
        <v>-0.4858885</v>
      </c>
      <c r="N2322">
        <v>-2.0217769999999999E-2</v>
      </c>
      <c r="O2322">
        <v>-0.87378690000000003</v>
      </c>
      <c r="P2322">
        <v>-0.20673639999999999</v>
      </c>
      <c r="Q2322">
        <v>3.383999E-2</v>
      </c>
      <c r="R2322">
        <v>-0.97781119999999999</v>
      </c>
      <c r="S2322">
        <v>-0.62350459999999996</v>
      </c>
      <c r="T2322">
        <v>-0.2171797</v>
      </c>
      <c r="U2322">
        <v>-2.9439700000000002</v>
      </c>
      <c r="V2322">
        <v>-0.29516490000000001</v>
      </c>
      <c r="W2322">
        <v>4.9457210000000001E-2</v>
      </c>
      <c r="X2322">
        <v>0.95416540000000005</v>
      </c>
      <c r="Y2322">
        <v>-0.29421750000000002</v>
      </c>
      <c r="Z2322">
        <v>3.8544630000000003E-2</v>
      </c>
      <c r="AA2322">
        <v>0.9549609</v>
      </c>
      <c r="AB2322">
        <v>22</v>
      </c>
      <c r="AC2322">
        <v>-3.1397999999999802</v>
      </c>
      <c r="AD2322">
        <v>-1.115845388046</v>
      </c>
      <c r="AE2322">
        <v>-15.001899999999999</v>
      </c>
      <c r="AF2322">
        <v>-4.5226926375799401</v>
      </c>
      <c r="AG2322">
        <v>-1.115845388046</v>
      </c>
      <c r="AH2322">
        <v>14.559877620167899</v>
      </c>
      <c r="AI2322">
        <v>94.185940975260493</v>
      </c>
      <c r="AJ2322">
        <v>107.25621067094799</v>
      </c>
      <c r="AK2322">
        <v>15.2869191120484</v>
      </c>
      <c r="AL2322">
        <v>87.165154040102905</v>
      </c>
      <c r="AM2322">
        <v>107.18911494085501</v>
      </c>
      <c r="AN2322">
        <v>0.99999997218507597</v>
      </c>
    </row>
    <row r="2323" spans="1:40" x14ac:dyDescent="0.25">
      <c r="A2323" t="str">
        <f>"20190305135836595"</f>
        <v>20190305135836595</v>
      </c>
      <c r="B2323" t="str">
        <f>"1551765516591604"</f>
        <v>1551765516591604</v>
      </c>
      <c r="C2323" t="s">
        <v>40</v>
      </c>
      <c r="D2323">
        <v>4.0113909999999997</v>
      </c>
      <c r="E2323">
        <v>0.51285950000000002</v>
      </c>
      <c r="F2323" t="s">
        <v>42</v>
      </c>
      <c r="G2323">
        <v>-487.74489999999997</v>
      </c>
      <c r="H2323" s="1">
        <v>-1.3962479999999999E-6</v>
      </c>
      <c r="I2323">
        <v>261.95499999999998</v>
      </c>
      <c r="J2323">
        <v>-484.70949999999999</v>
      </c>
      <c r="K2323">
        <v>1.1153630000000001</v>
      </c>
      <c r="L2323">
        <v>276.81049999999999</v>
      </c>
      <c r="M2323">
        <v>-0.48065479999999999</v>
      </c>
      <c r="N2323">
        <v>-1.9798349999999999E-2</v>
      </c>
      <c r="O2323">
        <v>-0.87668659999999998</v>
      </c>
      <c r="P2323">
        <v>-0.20494889999999999</v>
      </c>
      <c r="Q2323">
        <v>3.114805E-2</v>
      </c>
      <c r="R2323">
        <v>-0.97827739999999996</v>
      </c>
      <c r="S2323">
        <v>-0.61022949999999998</v>
      </c>
      <c r="T2323">
        <v>-0.21924850000000001</v>
      </c>
      <c r="U2323">
        <v>-2.9466860000000001</v>
      </c>
      <c r="V2323">
        <v>-0.29115269999999999</v>
      </c>
      <c r="W2323">
        <v>4.6720490000000003E-2</v>
      </c>
      <c r="X2323">
        <v>0.95553509999999997</v>
      </c>
      <c r="Y2323">
        <v>-0.29281459999999998</v>
      </c>
      <c r="Z2323">
        <v>3.9749220000000002E-2</v>
      </c>
      <c r="AA2323">
        <v>0.95534269999999999</v>
      </c>
      <c r="AB2323">
        <v>22</v>
      </c>
      <c r="AC2323">
        <v>-3.0353999999999801</v>
      </c>
      <c r="AD2323">
        <v>-1.115364396248</v>
      </c>
      <c r="AE2323">
        <v>-14.855499999999999</v>
      </c>
      <c r="AF2323">
        <v>-4.4560374903636202</v>
      </c>
      <c r="AG2323">
        <v>-1.115364396248</v>
      </c>
      <c r="AH2323">
        <v>14.4074716168676</v>
      </c>
      <c r="AI2323">
        <v>94.229841644653504</v>
      </c>
      <c r="AJ2323">
        <v>107.186136012814</v>
      </c>
      <c r="AK2323">
        <v>15.122021896650899</v>
      </c>
      <c r="AL2323">
        <v>87.322138330226295</v>
      </c>
      <c r="AM2323">
        <v>106.94604210665599</v>
      </c>
      <c r="AN2323">
        <v>1.0000000131175699</v>
      </c>
    </row>
    <row r="2324" spans="1:40" x14ac:dyDescent="0.25">
      <c r="A2324" t="str">
        <f>"20190305135836612"</f>
        <v>20190305135836612</v>
      </c>
      <c r="B2324" t="str">
        <f>"1551765516601365"</f>
        <v>1551765516601365</v>
      </c>
      <c r="C2324" t="s">
        <v>40</v>
      </c>
      <c r="D2324">
        <v>3.9994540000000001</v>
      </c>
      <c r="E2324">
        <v>0.51369830000000005</v>
      </c>
      <c r="F2324" t="s">
        <v>42</v>
      </c>
      <c r="G2324">
        <v>-488.80020000000002</v>
      </c>
      <c r="H2324" s="1">
        <v>-6.4777489999999997E-7</v>
      </c>
      <c r="I2324">
        <v>260.61349999999999</v>
      </c>
      <c r="J2324">
        <v>-484.77330000000001</v>
      </c>
      <c r="K2324">
        <v>1.11494</v>
      </c>
      <c r="L2324">
        <v>276.68130000000002</v>
      </c>
      <c r="M2324">
        <v>-0.47621649999999999</v>
      </c>
      <c r="N2324">
        <v>-1.9369310000000001E-2</v>
      </c>
      <c r="O2324">
        <v>-0.87911469999999903</v>
      </c>
      <c r="P2324">
        <v>-0.20188110000000001</v>
      </c>
      <c r="Q2324">
        <v>3.0810839999999999E-2</v>
      </c>
      <c r="R2324">
        <v>-0.97892539999999995</v>
      </c>
      <c r="S2324">
        <v>-0.73712159999999904</v>
      </c>
      <c r="T2324">
        <v>-0.2009804</v>
      </c>
      <c r="U2324">
        <v>-2.9185789999999998</v>
      </c>
      <c r="V2324">
        <v>-0.28926849999999998</v>
      </c>
      <c r="W2324">
        <v>4.6253219999999998E-2</v>
      </c>
      <c r="X2324">
        <v>0.95612989999999998</v>
      </c>
      <c r="Y2324">
        <v>-0.24644579999999999</v>
      </c>
      <c r="Z2324">
        <v>3.6454180000000003E-2</v>
      </c>
      <c r="AA2324">
        <v>0.96847079999999997</v>
      </c>
      <c r="AB2324">
        <v>22</v>
      </c>
      <c r="AC2324">
        <v>-4.0269000000000101</v>
      </c>
      <c r="AD2324">
        <v>-1.1149406477749</v>
      </c>
      <c r="AE2324">
        <v>-16.067799999999998</v>
      </c>
      <c r="AF2324">
        <v>-4.0938692328221196</v>
      </c>
      <c r="AG2324">
        <v>-1.1149406477749</v>
      </c>
      <c r="AH2324">
        <v>15.9737585883862</v>
      </c>
      <c r="AI2324">
        <v>93.868055838496304</v>
      </c>
      <c r="AJ2324">
        <v>104.374776618832</v>
      </c>
      <c r="AK2324">
        <v>16.527668358953399</v>
      </c>
      <c r="AL2324">
        <v>87.348939884106102</v>
      </c>
      <c r="AM2324">
        <v>106.832718362468</v>
      </c>
      <c r="AN2324">
        <v>1.00000000556331</v>
      </c>
    </row>
    <row r="2325" spans="1:40" x14ac:dyDescent="0.25">
      <c r="A2325" t="str">
        <f>"20190305135836626"</f>
        <v>20190305135836626</v>
      </c>
      <c r="B2325" t="str">
        <f>"1551765516620885"</f>
        <v>1551765516620885</v>
      </c>
      <c r="C2325" t="s">
        <v>40</v>
      </c>
      <c r="D2325">
        <v>4.0295079999999999</v>
      </c>
      <c r="E2325">
        <v>0.51425759999999998</v>
      </c>
      <c r="F2325" t="s">
        <v>42</v>
      </c>
      <c r="G2325">
        <v>-488.75639999999999</v>
      </c>
      <c r="H2325" s="1">
        <v>-7.3904480000000003E-7</v>
      </c>
      <c r="I2325">
        <v>260.84129999999999</v>
      </c>
      <c r="J2325">
        <v>-484.83980000000003</v>
      </c>
      <c r="K2325">
        <v>1.1144969999999901</v>
      </c>
      <c r="L2325">
        <v>276.54599999999999</v>
      </c>
      <c r="M2325">
        <v>-0.47188010000000002</v>
      </c>
      <c r="N2325">
        <v>-1.8926309999999998E-2</v>
      </c>
      <c r="O2325">
        <v>-0.88145969999999996</v>
      </c>
      <c r="P2325">
        <v>-0.19868640000000001</v>
      </c>
      <c r="Q2325">
        <v>3.1053839999999999E-2</v>
      </c>
      <c r="R2325">
        <v>-0.97957139999999998</v>
      </c>
      <c r="S2325">
        <v>-0.73419190000000001</v>
      </c>
      <c r="T2325">
        <v>-0.2055092</v>
      </c>
      <c r="U2325">
        <v>-2.9196780000000002</v>
      </c>
      <c r="V2325">
        <v>-0.28762349999999998</v>
      </c>
      <c r="W2325">
        <v>4.6364669999999997E-2</v>
      </c>
      <c r="X2325">
        <v>0.95662060000000004</v>
      </c>
      <c r="Y2325">
        <v>-0.2426904</v>
      </c>
      <c r="Z2325">
        <v>3.8333249999999999E-2</v>
      </c>
      <c r="AA2325">
        <v>0.96934620000000005</v>
      </c>
      <c r="AB2325">
        <v>22</v>
      </c>
      <c r="AC2325">
        <v>-3.9165999999999599</v>
      </c>
      <c r="AD2325">
        <v>-1.1144977390448001</v>
      </c>
      <c r="AE2325">
        <v>-15.704700000000001</v>
      </c>
      <c r="AF2325">
        <v>-3.9404363587821098</v>
      </c>
      <c r="AG2325">
        <v>-1.1144977390448001</v>
      </c>
      <c r="AH2325">
        <v>15.619976471417001</v>
      </c>
      <c r="AI2325">
        <v>93.957607555509995</v>
      </c>
      <c r="AJ2325">
        <v>104.15853658893499</v>
      </c>
      <c r="AK2325">
        <v>16.147842235901599</v>
      </c>
      <c r="AL2325">
        <v>87.342547307190699</v>
      </c>
      <c r="AM2325">
        <v>106.734257632978</v>
      </c>
      <c r="AN2325">
        <v>0.999999966360408</v>
      </c>
    </row>
    <row r="2326" spans="1:40" x14ac:dyDescent="0.25">
      <c r="A2326" t="str">
        <f>"20190305135836640"</f>
        <v>20190305135836640</v>
      </c>
      <c r="B2326" t="str">
        <f>"1551765516631151"</f>
        <v>1551765516631151</v>
      </c>
      <c r="C2326" t="s">
        <v>40</v>
      </c>
      <c r="D2326">
        <v>4.0470829999999998</v>
      </c>
      <c r="E2326">
        <v>0.51475760000000004</v>
      </c>
      <c r="F2326" t="s">
        <v>42</v>
      </c>
      <c r="G2326">
        <v>-488.62349999999998</v>
      </c>
      <c r="H2326" s="1">
        <v>-1.003316E-6</v>
      </c>
      <c r="I2326">
        <v>261.4024</v>
      </c>
      <c r="J2326">
        <v>-484.90089999999998</v>
      </c>
      <c r="K2326">
        <v>1.114088</v>
      </c>
      <c r="L2326">
        <v>276.42099999999999</v>
      </c>
      <c r="M2326">
        <v>-0.4681593</v>
      </c>
      <c r="N2326">
        <v>-1.85332E-2</v>
      </c>
      <c r="O2326">
        <v>-0.88344969999999901</v>
      </c>
      <c r="P2326">
        <v>-0.19706879999999999</v>
      </c>
      <c r="Q2326">
        <v>3.4202799999999998E-2</v>
      </c>
      <c r="R2326">
        <v>-0.97979309999999997</v>
      </c>
      <c r="S2326">
        <v>-0.7299194</v>
      </c>
      <c r="T2326">
        <v>-0.2149982</v>
      </c>
      <c r="U2326">
        <v>-2.9213559999999998</v>
      </c>
      <c r="V2326">
        <v>-0.2850973</v>
      </c>
      <c r="W2326">
        <v>4.9424830000000003E-2</v>
      </c>
      <c r="X2326">
        <v>0.95722339999999995</v>
      </c>
      <c r="Y2326">
        <v>-0.2400941</v>
      </c>
      <c r="Z2326">
        <v>4.1474940000000002E-2</v>
      </c>
      <c r="AA2326">
        <v>0.96986320000000004</v>
      </c>
      <c r="AB2326">
        <v>22</v>
      </c>
      <c r="AC2326">
        <v>-3.7225999999999999</v>
      </c>
      <c r="AD2326">
        <v>-1.114089003316</v>
      </c>
      <c r="AE2326">
        <v>-15.0185999999999</v>
      </c>
      <c r="AF2326">
        <v>-3.72370567905508</v>
      </c>
      <c r="AG2326">
        <v>-1.114089003316</v>
      </c>
      <c r="AH2326">
        <v>14.9360937179469</v>
      </c>
      <c r="AI2326">
        <v>94.139567233474196</v>
      </c>
      <c r="AJ2326">
        <v>103.99898609600901</v>
      </c>
      <c r="AK2326">
        <v>15.433537308175</v>
      </c>
      <c r="AL2326">
        <v>87.1670115171422</v>
      </c>
      <c r="AM2326">
        <v>106.585520167344</v>
      </c>
      <c r="AN2326">
        <v>0.99999996089768795</v>
      </c>
    </row>
    <row r="2327" spans="1:40" x14ac:dyDescent="0.25">
      <c r="A2327" t="str">
        <f>"20190305135836652"</f>
        <v>20190305135836652</v>
      </c>
      <c r="B2327" t="str">
        <f>"1551765516640911"</f>
        <v>1551765516640911</v>
      </c>
      <c r="C2327" t="s">
        <v>40</v>
      </c>
      <c r="D2327">
        <v>4.0279150000000001</v>
      </c>
      <c r="E2327">
        <v>0.51537349999999904</v>
      </c>
      <c r="F2327" t="s">
        <v>42</v>
      </c>
      <c r="G2327">
        <v>-488.82069999999999</v>
      </c>
      <c r="H2327" s="1">
        <v>-6.7854710000000001E-7</v>
      </c>
      <c r="I2327">
        <v>260.72000000000003</v>
      </c>
      <c r="J2327">
        <v>-484.9529</v>
      </c>
      <c r="K2327">
        <v>1.113742</v>
      </c>
      <c r="L2327">
        <v>276.31439999999998</v>
      </c>
      <c r="M2327">
        <v>-0.46527780000000002</v>
      </c>
      <c r="N2327">
        <v>-1.821337E-2</v>
      </c>
      <c r="O2327">
        <v>-0.88497760000000003</v>
      </c>
      <c r="P2327">
        <v>-0.1950218</v>
      </c>
      <c r="Q2327">
        <v>3.5447409999999999E-2</v>
      </c>
      <c r="R2327">
        <v>-0.98015839999999999</v>
      </c>
      <c r="S2327">
        <v>-0.72958369999999995</v>
      </c>
      <c r="T2327">
        <v>-0.2073652</v>
      </c>
      <c r="U2327">
        <v>-2.9224239999999999</v>
      </c>
      <c r="V2327">
        <v>-0.28392240000000002</v>
      </c>
      <c r="W2327">
        <v>5.0594960000000001E-2</v>
      </c>
      <c r="X2327">
        <v>0.95751149999999996</v>
      </c>
      <c r="Y2327">
        <v>-0.2371106</v>
      </c>
      <c r="Z2327">
        <v>3.9844320000000003E-2</v>
      </c>
      <c r="AA2327">
        <v>0.97066520000000001</v>
      </c>
      <c r="AB2327">
        <v>22</v>
      </c>
      <c r="AC2327">
        <v>-3.8677999999999799</v>
      </c>
      <c r="AD2327">
        <v>-1.1137426785471001</v>
      </c>
      <c r="AE2327">
        <v>-15.594399999999901</v>
      </c>
      <c r="AF2327">
        <v>-3.8151145212947699</v>
      </c>
      <c r="AG2327">
        <v>-1.1137426785471001</v>
      </c>
      <c r="AH2327">
        <v>15.5282649128527</v>
      </c>
      <c r="AI2327">
        <v>93.9843408122222</v>
      </c>
      <c r="AJ2327">
        <v>103.803503569583</v>
      </c>
      <c r="AK2327">
        <v>16.028803223208701</v>
      </c>
      <c r="AL2327">
        <v>87.099884193734795</v>
      </c>
      <c r="AM2327">
        <v>106.516203461685</v>
      </c>
      <c r="AN2327">
        <v>1.0000000259157</v>
      </c>
    </row>
    <row r="2328" spans="1:40" x14ac:dyDescent="0.25">
      <c r="A2328" t="str">
        <f>"20190305135836666"</f>
        <v>20190305135836666</v>
      </c>
      <c r="B2328" t="str">
        <f>"1551765516661407"</f>
        <v>1551765516661407</v>
      </c>
      <c r="C2328" t="s">
        <v>40</v>
      </c>
      <c r="D2328">
        <v>4.0254779999999997</v>
      </c>
      <c r="E2328">
        <v>0.51638139999999999</v>
      </c>
      <c r="F2328" t="s">
        <v>42</v>
      </c>
      <c r="G2328">
        <v>-488.94450000000001</v>
      </c>
      <c r="H2328" s="1">
        <v>-5.0110329999999996E-7</v>
      </c>
      <c r="I2328">
        <v>260.2953</v>
      </c>
      <c r="J2328">
        <v>-485.00709999999998</v>
      </c>
      <c r="K2328">
        <v>1.113389</v>
      </c>
      <c r="L2328">
        <v>276.20310000000001</v>
      </c>
      <c r="M2328">
        <v>-0.4624839</v>
      </c>
      <c r="N2328">
        <v>-1.7883920000000001E-2</v>
      </c>
      <c r="O2328">
        <v>-0.88644750000000005</v>
      </c>
      <c r="P2328">
        <v>-0.1935654</v>
      </c>
      <c r="Q2328">
        <v>3.551501E-2</v>
      </c>
      <c r="R2328">
        <v>-0.9804446</v>
      </c>
      <c r="S2328">
        <v>-0.72839359999999997</v>
      </c>
      <c r="T2328">
        <v>-0.20323569999999999</v>
      </c>
      <c r="U2328">
        <v>-2.9231569999999998</v>
      </c>
      <c r="V2328">
        <v>-0.28227809999999998</v>
      </c>
      <c r="W2328">
        <v>5.058638E-2</v>
      </c>
      <c r="X2328">
        <v>0.95799800000000002</v>
      </c>
      <c r="Y2328">
        <v>-0.23447470000000001</v>
      </c>
      <c r="Z2328">
        <v>3.9170799999999999E-2</v>
      </c>
      <c r="AA2328">
        <v>0.97133270000000005</v>
      </c>
      <c r="AB2328">
        <v>22</v>
      </c>
      <c r="AC2328">
        <v>-3.9374000000000202</v>
      </c>
      <c r="AD2328">
        <v>-1.1133895011032999</v>
      </c>
      <c r="AE2328">
        <v>-15.9078</v>
      </c>
      <c r="AF2328">
        <v>-3.8496514304642901</v>
      </c>
      <c r="AG2328">
        <v>-1.1133895011032999</v>
      </c>
      <c r="AH2328">
        <v>15.851788288885</v>
      </c>
      <c r="AI2328">
        <v>93.904586867807396</v>
      </c>
      <c r="AJ2328">
        <v>103.650185051235</v>
      </c>
      <c r="AK2328">
        <v>16.350493701196701</v>
      </c>
      <c r="AL2328">
        <v>87.100376456289794</v>
      </c>
      <c r="AM2328">
        <v>106.41782892572201</v>
      </c>
      <c r="AN2328">
        <v>1.00000003779255</v>
      </c>
    </row>
    <row r="2329" spans="1:40" x14ac:dyDescent="0.25">
      <c r="A2329" t="str">
        <f>"20190305135836679"</f>
        <v>20190305135836679</v>
      </c>
      <c r="B2329" t="str">
        <f>"1551765516671167"</f>
        <v>1551765516671167</v>
      </c>
      <c r="C2329" t="s">
        <v>40</v>
      </c>
      <c r="D2329">
        <v>4.0582370000000001</v>
      </c>
      <c r="E2329">
        <v>0.51691409999999904</v>
      </c>
      <c r="F2329" t="s">
        <v>42</v>
      </c>
      <c r="G2329">
        <v>-489.02420000000001</v>
      </c>
      <c r="H2329" s="1">
        <v>-4.3344219999999998E-7</v>
      </c>
      <c r="I2329">
        <v>260.15879999999999</v>
      </c>
      <c r="J2329">
        <v>-485.06529999999998</v>
      </c>
      <c r="K2329">
        <v>1.113016</v>
      </c>
      <c r="L2329">
        <v>276.08330000000001</v>
      </c>
      <c r="M2329">
        <v>-0.45967039999999998</v>
      </c>
      <c r="N2329">
        <v>-1.7534770000000002E-2</v>
      </c>
      <c r="O2329">
        <v>-0.88791640000000005</v>
      </c>
      <c r="P2329">
        <v>-0.1928964</v>
      </c>
      <c r="Q2329">
        <v>3.4441970000000002E-2</v>
      </c>
      <c r="R2329">
        <v>-0.9806146</v>
      </c>
      <c r="S2329">
        <v>-0.73178100000000001</v>
      </c>
      <c r="T2329">
        <v>-0.20282210000000001</v>
      </c>
      <c r="U2329">
        <v>-2.9227289999999999</v>
      </c>
      <c r="V2329">
        <v>-0.27985529999999997</v>
      </c>
      <c r="W2329">
        <v>4.9436260000000003E-2</v>
      </c>
      <c r="X2329">
        <v>0.95876850000000002</v>
      </c>
      <c r="Y2329">
        <v>-0.23030639999999999</v>
      </c>
      <c r="Z2329">
        <v>3.9563719999999997E-2</v>
      </c>
      <c r="AA2329">
        <v>0.9723136</v>
      </c>
      <c r="AB2329">
        <v>22</v>
      </c>
      <c r="AC2329">
        <v>-3.9589000000000198</v>
      </c>
      <c r="AD2329">
        <v>-1.1130164334421999</v>
      </c>
      <c r="AE2329">
        <v>-15.9245</v>
      </c>
      <c r="AF2329">
        <v>-3.7880067387505498</v>
      </c>
      <c r="AG2329">
        <v>-1.1130164334421999</v>
      </c>
      <c r="AH2329">
        <v>15.8887689014648</v>
      </c>
      <c r="AI2329">
        <v>93.898152927656795</v>
      </c>
      <c r="AJ2329">
        <v>103.409445306953</v>
      </c>
      <c r="AK2329">
        <v>16.371950947828001</v>
      </c>
      <c r="AL2329">
        <v>87.166355892222001</v>
      </c>
      <c r="AM2329">
        <v>106.272016810832</v>
      </c>
      <c r="AN2329">
        <v>0.99999998466656304</v>
      </c>
    </row>
    <row r="2330" spans="1:40" x14ac:dyDescent="0.25">
      <c r="A2330" t="str">
        <f>"20190305135836696"</f>
        <v>20190305135836696</v>
      </c>
      <c r="B2330" t="str">
        <f>"1551765516690687"</f>
        <v>1551765516690687</v>
      </c>
      <c r="C2330" t="s">
        <v>40</v>
      </c>
      <c r="D2330">
        <v>4.0766369999999998</v>
      </c>
      <c r="E2330">
        <v>0.51791450000000006</v>
      </c>
      <c r="F2330" t="s">
        <v>42</v>
      </c>
      <c r="G2330">
        <v>-489.05309999999997</v>
      </c>
      <c r="H2330" s="1">
        <v>-4.3430540000000002E-7</v>
      </c>
      <c r="I2330">
        <v>260.18400000000003</v>
      </c>
      <c r="J2330">
        <v>-485.137</v>
      </c>
      <c r="K2330">
        <v>1.112571</v>
      </c>
      <c r="L2330">
        <v>275.93549999999999</v>
      </c>
      <c r="M2330">
        <v>-0.45665679999999997</v>
      </c>
      <c r="N2330">
        <v>-1.7122620000000002E-2</v>
      </c>
      <c r="O2330">
        <v>-0.88947830000000006</v>
      </c>
      <c r="P2330">
        <v>-0.1942622</v>
      </c>
      <c r="Q2330">
        <v>3.15895E-2</v>
      </c>
      <c r="R2330">
        <v>-0.98044120000000001</v>
      </c>
      <c r="S2330">
        <v>-0.732940699999999</v>
      </c>
      <c r="T2330">
        <v>-0.2045691</v>
      </c>
      <c r="U2330">
        <v>-2.9222410000000001</v>
      </c>
      <c r="V2330">
        <v>-0.27523570000000003</v>
      </c>
      <c r="W2330">
        <v>4.6510429999999998E-2</v>
      </c>
      <c r="X2330">
        <v>0.96025099999999997</v>
      </c>
      <c r="Y2330">
        <v>-0.22661809999999999</v>
      </c>
      <c r="Z2330">
        <v>4.06194E-2</v>
      </c>
      <c r="AA2330">
        <v>0.97313629999999995</v>
      </c>
      <c r="AB2330">
        <v>22</v>
      </c>
      <c r="AC2330">
        <v>-3.9161000000000201</v>
      </c>
      <c r="AD2330">
        <v>-1.1125714343054001</v>
      </c>
      <c r="AE2330">
        <v>-15.751499999999901</v>
      </c>
      <c r="AF2330">
        <v>-3.6929355812721401</v>
      </c>
      <c r="AG2330">
        <v>-1.1125714343054001</v>
      </c>
      <c r="AH2330">
        <v>15.727349650927399</v>
      </c>
      <c r="AI2330">
        <v>93.939632067725</v>
      </c>
      <c r="AJ2330">
        <v>103.21422257923</v>
      </c>
      <c r="AK2330">
        <v>16.193366402523701</v>
      </c>
      <c r="AL2330">
        <v>87.334186802672804</v>
      </c>
      <c r="AM2330">
        <v>105.993833411349</v>
      </c>
      <c r="AN2330">
        <v>0.999999946827136</v>
      </c>
    </row>
    <row r="2331" spans="1:40" x14ac:dyDescent="0.25">
      <c r="A2331" t="str">
        <f>"20190305135836710"</f>
        <v>20190305135836710</v>
      </c>
      <c r="B2331" t="str">
        <f>"1551765516701423"</f>
        <v>1551765516701423</v>
      </c>
      <c r="C2331" t="s">
        <v>40</v>
      </c>
      <c r="D2331">
        <v>4.0517859999999999</v>
      </c>
      <c r="E2331">
        <v>0.51834139999999995</v>
      </c>
      <c r="F2331" t="s">
        <v>42</v>
      </c>
      <c r="G2331">
        <v>-489.08229999999998</v>
      </c>
      <c r="H2331" s="1">
        <v>-5.1772049999999997E-7</v>
      </c>
      <c r="I2331">
        <v>260.45190000000002</v>
      </c>
      <c r="J2331">
        <v>-485.19319999999999</v>
      </c>
      <c r="K2331">
        <v>1.11226</v>
      </c>
      <c r="L2331">
        <v>275.81990000000002</v>
      </c>
      <c r="M2331">
        <v>-0.45463799999999999</v>
      </c>
      <c r="N2331">
        <v>-1.68261E-2</v>
      </c>
      <c r="O2331">
        <v>-0.89051769999999997</v>
      </c>
      <c r="P2331">
        <v>-0.19394790000000001</v>
      </c>
      <c r="Q2331">
        <v>3.1529880000000003E-2</v>
      </c>
      <c r="R2331">
        <v>-0.98050530000000002</v>
      </c>
      <c r="S2331">
        <v>-0.74383540000000004</v>
      </c>
      <c r="T2331">
        <v>-0.2097617</v>
      </c>
      <c r="U2331">
        <v>-2.9192499999999999</v>
      </c>
      <c r="V2331">
        <v>-0.2733275</v>
      </c>
      <c r="W2331">
        <v>4.6379910000000003E-2</v>
      </c>
      <c r="X2331">
        <v>0.9608023</v>
      </c>
      <c r="Y2331">
        <v>-0.22078030000000001</v>
      </c>
      <c r="Z2331">
        <v>4.2531439999999997E-2</v>
      </c>
      <c r="AA2331">
        <v>0.97439580000000003</v>
      </c>
      <c r="AB2331">
        <v>22</v>
      </c>
      <c r="AC2331">
        <v>-3.88909999999998</v>
      </c>
      <c r="AD2331">
        <v>-1.1122605177204901</v>
      </c>
      <c r="AE2331">
        <v>-15.367999999999901</v>
      </c>
      <c r="AF2331">
        <v>-3.5067986672608402</v>
      </c>
      <c r="AG2331">
        <v>-1.1122605177204901</v>
      </c>
      <c r="AH2331">
        <v>15.3800777128896</v>
      </c>
      <c r="AI2331">
        <v>94.0331748009487</v>
      </c>
      <c r="AJ2331">
        <v>102.844381978691</v>
      </c>
      <c r="AK2331">
        <v>15.8139669535036</v>
      </c>
      <c r="AL2331">
        <v>87.341673372347103</v>
      </c>
      <c r="AM2331">
        <v>105.87990768755</v>
      </c>
      <c r="AN2331">
        <v>1.00000003899657</v>
      </c>
    </row>
    <row r="2332" spans="1:40" x14ac:dyDescent="0.25">
      <c r="A2332" t="str">
        <f>"20190305135836721"</f>
        <v>20190305135836721</v>
      </c>
      <c r="B2332" t="str">
        <f>"1551765516711184"</f>
        <v>1551765516711184</v>
      </c>
      <c r="C2332" t="s">
        <v>40</v>
      </c>
      <c r="D2332">
        <v>4.077286</v>
      </c>
      <c r="E2332">
        <v>0.51872119999999999</v>
      </c>
      <c r="F2332" t="s">
        <v>42</v>
      </c>
      <c r="G2332">
        <v>-489.17520000000002</v>
      </c>
      <c r="H2332" s="1">
        <v>-4.2083269999999999E-7</v>
      </c>
      <c r="I2332">
        <v>260.2398</v>
      </c>
      <c r="J2332">
        <v>-485.24400000000003</v>
      </c>
      <c r="K2332">
        <v>1.1119920000000001</v>
      </c>
      <c r="L2332">
        <v>275.71499999999997</v>
      </c>
      <c r="M2332">
        <v>-0.45295800000000003</v>
      </c>
      <c r="N2332">
        <v>-1.6569150000000001E-2</v>
      </c>
      <c r="O2332">
        <v>-0.891378</v>
      </c>
      <c r="P2332">
        <v>-0.19367960000000001</v>
      </c>
      <c r="Q2332">
        <v>3.2768720000000001E-2</v>
      </c>
      <c r="R2332">
        <v>-0.98051759999999999</v>
      </c>
      <c r="S2332">
        <v>-0.74600219999999995</v>
      </c>
      <c r="T2332">
        <v>-0.20837310000000001</v>
      </c>
      <c r="U2332">
        <v>-2.918793</v>
      </c>
      <c r="V2332">
        <v>-0.27173150000000001</v>
      </c>
      <c r="W2332">
        <v>4.755736E-2</v>
      </c>
      <c r="X2332">
        <v>0.96119730000000003</v>
      </c>
      <c r="Y2332">
        <v>-0.21822849999999999</v>
      </c>
      <c r="Z2332">
        <v>4.2498670000000002E-2</v>
      </c>
      <c r="AA2332">
        <v>0.9749719</v>
      </c>
      <c r="AB2332">
        <v>22</v>
      </c>
      <c r="AC2332">
        <v>-3.9311999999999898</v>
      </c>
      <c r="AD2332">
        <v>-1.1119924208326999</v>
      </c>
      <c r="AE2332">
        <v>-15.4751999999999</v>
      </c>
      <c r="AF2332">
        <v>-3.4889885538852301</v>
      </c>
      <c r="AG2332">
        <v>-1.1119924208326999</v>
      </c>
      <c r="AH2332">
        <v>15.5018686014437</v>
      </c>
      <c r="AI2332">
        <v>94.003157220448699</v>
      </c>
      <c r="AJ2332">
        <v>102.684141034333</v>
      </c>
      <c r="AK2332">
        <v>15.928512121650201</v>
      </c>
      <c r="AL2332">
        <v>87.274135757955307</v>
      </c>
      <c r="AM2332">
        <v>105.785654116353</v>
      </c>
      <c r="AN2332">
        <v>0.99999998005485402</v>
      </c>
    </row>
    <row r="2333" spans="1:40" x14ac:dyDescent="0.25">
      <c r="A2333" t="str">
        <f>"20190305135836735"</f>
        <v>20190305135836735</v>
      </c>
      <c r="B2333" t="str">
        <f>"1551765516731210"</f>
        <v>1551765516731210</v>
      </c>
      <c r="C2333" t="s">
        <v>40</v>
      </c>
      <c r="D2333">
        <v>4.0548739999999999</v>
      </c>
      <c r="E2333">
        <v>0.51911870000000004</v>
      </c>
      <c r="F2333" t="s">
        <v>42</v>
      </c>
      <c r="G2333">
        <v>-489.34019999999998</v>
      </c>
      <c r="H2333" s="1">
        <v>-2.0752460000000001E-7</v>
      </c>
      <c r="I2333">
        <v>259.74200000000002</v>
      </c>
      <c r="J2333">
        <v>-485.3005</v>
      </c>
      <c r="K2333">
        <v>1.1117079999999999</v>
      </c>
      <c r="L2333">
        <v>275.59879999999998</v>
      </c>
      <c r="M2333">
        <v>-0.45135999999999998</v>
      </c>
      <c r="N2333">
        <v>-1.6303749999999999E-2</v>
      </c>
      <c r="O2333">
        <v>-0.89219300000000001</v>
      </c>
      <c r="P2333">
        <v>-0.1937604</v>
      </c>
      <c r="Q2333">
        <v>3.5109870000000001E-2</v>
      </c>
      <c r="R2333">
        <v>-0.98042050000000003</v>
      </c>
      <c r="S2333">
        <v>-0.74844359999999999</v>
      </c>
      <c r="T2333">
        <v>-0.20318079999999999</v>
      </c>
      <c r="U2333">
        <v>-2.9185490000000001</v>
      </c>
      <c r="V2333">
        <v>-0.2698643</v>
      </c>
      <c r="W2333">
        <v>4.984251E-2</v>
      </c>
      <c r="X2333">
        <v>0.96160749999999995</v>
      </c>
      <c r="Y2333">
        <v>-0.2156882</v>
      </c>
      <c r="Z2333">
        <v>4.1404749999999997E-2</v>
      </c>
      <c r="AA2333">
        <v>0.97558400000000001</v>
      </c>
      <c r="AB2333">
        <v>22</v>
      </c>
      <c r="AC2333">
        <v>-4.0396999999999803</v>
      </c>
      <c r="AD2333">
        <v>-1.1117082075246001</v>
      </c>
      <c r="AE2333">
        <v>-15.8567999999999</v>
      </c>
      <c r="AF2333">
        <v>-3.5370792664397799</v>
      </c>
      <c r="AG2333">
        <v>-1.1117082075246001</v>
      </c>
      <c r="AH2333">
        <v>15.899420469608501</v>
      </c>
      <c r="AI2333">
        <v>93.904538881460795</v>
      </c>
      <c r="AJ2333">
        <v>102.54211302138501</v>
      </c>
      <c r="AK2333">
        <v>16.3260036795647</v>
      </c>
      <c r="AL2333">
        <v>87.143050795067794</v>
      </c>
      <c r="AM2333">
        <v>105.676176363099</v>
      </c>
      <c r="AN2333">
        <v>1.00000000013692</v>
      </c>
    </row>
    <row r="2334" spans="1:40" x14ac:dyDescent="0.25">
      <c r="A2334" t="str">
        <f>"20190305135836752"</f>
        <v>20190305135836752</v>
      </c>
      <c r="B2334" t="str">
        <f>"1551765516740970"</f>
        <v>1551765516740970</v>
      </c>
      <c r="C2334" t="s">
        <v>40</v>
      </c>
      <c r="D2334">
        <v>4.0491320000000002</v>
      </c>
      <c r="E2334">
        <v>0.51991569999999998</v>
      </c>
      <c r="F2334" t="s">
        <v>42</v>
      </c>
      <c r="G2334">
        <v>-489.584</v>
      </c>
      <c r="H2334" s="1">
        <v>-4.0798289999999996E-6</v>
      </c>
      <c r="I2334">
        <v>258.97089999999997</v>
      </c>
      <c r="J2334">
        <v>-485.3723</v>
      </c>
      <c r="K2334">
        <v>1.1113930000000001</v>
      </c>
      <c r="L2334">
        <v>275.4511</v>
      </c>
      <c r="M2334">
        <v>-0.44970209999999999</v>
      </c>
      <c r="N2334">
        <v>-1.599248E-2</v>
      </c>
      <c r="O2334">
        <v>-0.89303569999999999</v>
      </c>
      <c r="P2334">
        <v>-0.1960064</v>
      </c>
      <c r="Q2334">
        <v>3.9378959999999998E-2</v>
      </c>
      <c r="R2334">
        <v>-0.97981200000000002</v>
      </c>
      <c r="S2334">
        <v>-0.75180049999999998</v>
      </c>
      <c r="T2334">
        <v>-0.19511539999999999</v>
      </c>
      <c r="U2334">
        <v>-2.9183349999999999</v>
      </c>
      <c r="V2334">
        <v>-0.26576440000000001</v>
      </c>
      <c r="W2334">
        <v>5.4057769999999998E-2</v>
      </c>
      <c r="X2334">
        <v>0.96252119999999997</v>
      </c>
      <c r="Y2334">
        <v>-0.2127917</v>
      </c>
      <c r="Z2334">
        <v>3.9550589999999997E-2</v>
      </c>
      <c r="AA2334">
        <v>0.97629679999999996</v>
      </c>
      <c r="AB2334">
        <v>22</v>
      </c>
      <c r="AC2334">
        <v>-4.2117000000000004</v>
      </c>
      <c r="AD2334">
        <v>-1.111397079829</v>
      </c>
      <c r="AE2334">
        <v>-16.4802</v>
      </c>
      <c r="AF2334">
        <v>-3.6349301255084501</v>
      </c>
      <c r="AG2334">
        <v>-1.111397079829</v>
      </c>
      <c r="AH2334">
        <v>16.542914345660002</v>
      </c>
      <c r="AI2334">
        <v>93.754214208571895</v>
      </c>
      <c r="AJ2334">
        <v>102.392515166861</v>
      </c>
      <c r="AK2334">
        <v>16.9739781882217</v>
      </c>
      <c r="AL2334">
        <v>86.901207470272894</v>
      </c>
      <c r="AM2334">
        <v>105.435509059602</v>
      </c>
      <c r="AN2334">
        <v>1.00000000962708</v>
      </c>
    </row>
    <row r="2335" spans="1:40" x14ac:dyDescent="0.25">
      <c r="A2335" t="str">
        <f>"20190305135836765"</f>
        <v>20190305135836765</v>
      </c>
      <c r="B2335" t="str">
        <f>"1551765516761466"</f>
        <v>1551765516761466</v>
      </c>
      <c r="C2335" t="s">
        <v>40</v>
      </c>
      <c r="D2335">
        <v>4.0112370000000004</v>
      </c>
      <c r="E2335">
        <v>0.52059739999999999</v>
      </c>
      <c r="F2335" t="s">
        <v>42</v>
      </c>
      <c r="G2335">
        <v>-490.06420000000003</v>
      </c>
      <c r="H2335" s="1">
        <v>-3.4426829999999998E-6</v>
      </c>
      <c r="I2335">
        <v>257.57420000000002</v>
      </c>
      <c r="J2335">
        <v>-485.42590000000001</v>
      </c>
      <c r="K2335">
        <v>1.111157</v>
      </c>
      <c r="L2335">
        <v>275.34129999999999</v>
      </c>
      <c r="M2335">
        <v>-0.44869110000000001</v>
      </c>
      <c r="N2335">
        <v>-1.5776599999999901E-2</v>
      </c>
      <c r="O2335">
        <v>-0.89354800000000001</v>
      </c>
      <c r="P2335">
        <v>-0.1968</v>
      </c>
      <c r="Q2335">
        <v>4.0467660000000003E-2</v>
      </c>
      <c r="R2335">
        <v>-0.97960820000000004</v>
      </c>
      <c r="S2335">
        <v>-0.76531979999999999</v>
      </c>
      <c r="T2335">
        <v>-0.18128549999999999</v>
      </c>
      <c r="U2335">
        <v>-2.915985</v>
      </c>
      <c r="V2335">
        <v>-0.26384220000000003</v>
      </c>
      <c r="W2335">
        <v>5.510429E-2</v>
      </c>
      <c r="X2335">
        <v>0.96299060000000003</v>
      </c>
      <c r="Y2335">
        <v>-0.2072292</v>
      </c>
      <c r="Z2335">
        <v>3.6004130000000002E-2</v>
      </c>
      <c r="AA2335">
        <v>0.97762969999999905</v>
      </c>
      <c r="AB2335">
        <v>22</v>
      </c>
      <c r="AC2335">
        <v>-4.6383000000000099</v>
      </c>
      <c r="AD2335">
        <v>-1.111160442683</v>
      </c>
      <c r="AE2335">
        <v>-17.7670999999999</v>
      </c>
      <c r="AF2335">
        <v>-3.8139056387763399</v>
      </c>
      <c r="AG2335">
        <v>-1.111160442683</v>
      </c>
      <c r="AH2335">
        <v>17.893628343370501</v>
      </c>
      <c r="AI2335">
        <v>93.475524683970505</v>
      </c>
      <c r="AJ2335">
        <v>102.032156439546</v>
      </c>
      <c r="AK2335">
        <v>18.329279555987601</v>
      </c>
      <c r="AL2335">
        <v>86.841156877900801</v>
      </c>
      <c r="AM2335">
        <v>105.32201696045099</v>
      </c>
      <c r="AN2335">
        <v>1.0000000424827999</v>
      </c>
    </row>
    <row r="2336" spans="1:40" x14ac:dyDescent="0.25">
      <c r="A2336" t="str">
        <f>"20190305135836779"</f>
        <v>20190305135836779</v>
      </c>
      <c r="B2336" t="str">
        <f>"1551765516771226"</f>
        <v>1551765516771226</v>
      </c>
      <c r="C2336" t="s">
        <v>40</v>
      </c>
      <c r="D2336">
        <v>4.0351480000000004</v>
      </c>
      <c r="E2336">
        <v>0.5208197</v>
      </c>
      <c r="F2336" t="s">
        <v>42</v>
      </c>
      <c r="G2336">
        <v>-490.2346</v>
      </c>
      <c r="H2336" s="1">
        <v>-3.3337060000000001E-6</v>
      </c>
      <c r="I2336">
        <v>257.21449999999999</v>
      </c>
      <c r="J2336">
        <v>-485.48410000000001</v>
      </c>
      <c r="K2336">
        <v>1.1109070000000001</v>
      </c>
      <c r="L2336">
        <v>275.22199999999998</v>
      </c>
      <c r="M2336">
        <v>-0.44776090000000002</v>
      </c>
      <c r="N2336">
        <v>-1.5554139999999999E-2</v>
      </c>
      <c r="O2336">
        <v>-0.89401819999999899</v>
      </c>
      <c r="P2336">
        <v>-0.19773160000000001</v>
      </c>
      <c r="Q2336">
        <v>4.0324760000000001E-2</v>
      </c>
      <c r="R2336">
        <v>-0.97942669999999998</v>
      </c>
      <c r="S2336">
        <v>-0.77316280000000004</v>
      </c>
      <c r="T2336">
        <v>-0.1786565</v>
      </c>
      <c r="U2336">
        <v>-2.9144899999999998</v>
      </c>
      <c r="V2336">
        <v>-0.26188909999999999</v>
      </c>
      <c r="W2336">
        <v>5.4920030000000002E-2</v>
      </c>
      <c r="X2336">
        <v>0.96353409999999995</v>
      </c>
      <c r="Y2336">
        <v>-0.20362730000000001</v>
      </c>
      <c r="Z2336">
        <v>3.5558600000000003E-2</v>
      </c>
      <c r="AA2336">
        <v>0.97840260000000001</v>
      </c>
      <c r="AB2336">
        <v>22</v>
      </c>
      <c r="AC2336">
        <v>-4.7504999999999802</v>
      </c>
      <c r="AD2336">
        <v>-1.11091033370599</v>
      </c>
      <c r="AE2336">
        <v>-18.007499999999901</v>
      </c>
      <c r="AF2336">
        <v>-3.8029503566821301</v>
      </c>
      <c r="AG2336">
        <v>-1.11091033370599</v>
      </c>
      <c r="AH2336">
        <v>18.163692992738198</v>
      </c>
      <c r="AI2336">
        <v>93.425810484913498</v>
      </c>
      <c r="AJ2336">
        <v>101.82525727439599</v>
      </c>
      <c r="AK2336">
        <v>18.590758357833899</v>
      </c>
      <c r="AL2336">
        <v>86.851730189132496</v>
      </c>
      <c r="AM2336">
        <v>105.205685845229</v>
      </c>
      <c r="AN2336">
        <v>1.0000000361284</v>
      </c>
    </row>
    <row r="2337" spans="1:40" x14ac:dyDescent="0.25">
      <c r="A2337" t="str">
        <f>"20190305135836793"</f>
        <v>20190305135836793</v>
      </c>
      <c r="B2337" t="str">
        <f>"1551765516780986"</f>
        <v>1551765516780986</v>
      </c>
      <c r="C2337" t="s">
        <v>40</v>
      </c>
      <c r="D2337">
        <v>4.0203959999999999</v>
      </c>
      <c r="E2337">
        <v>0.52107219999999999</v>
      </c>
      <c r="F2337" t="s">
        <v>42</v>
      </c>
      <c r="G2337">
        <v>-490.28629999999998</v>
      </c>
      <c r="H2337" s="1">
        <v>-3.3519730000000002E-6</v>
      </c>
      <c r="I2337">
        <v>257.2251</v>
      </c>
      <c r="J2337">
        <v>-485.54880000000003</v>
      </c>
      <c r="K2337">
        <v>1.110652</v>
      </c>
      <c r="L2337">
        <v>275.08999999999997</v>
      </c>
      <c r="M2337">
        <v>-0.44706240000000003</v>
      </c>
      <c r="N2337">
        <v>-1.5334230000000001E-2</v>
      </c>
      <c r="O2337">
        <v>-0.89437129999999998</v>
      </c>
      <c r="P2337">
        <v>-0.1983914</v>
      </c>
      <c r="Q2337">
        <v>3.9346520000000003E-2</v>
      </c>
      <c r="R2337">
        <v>-0.9793326</v>
      </c>
      <c r="S2337">
        <v>-0.77740480000000001</v>
      </c>
      <c r="T2337">
        <v>-0.1798409</v>
      </c>
      <c r="U2337">
        <v>-2.9134519999999999</v>
      </c>
      <c r="V2337">
        <v>-0.26046659999999999</v>
      </c>
      <c r="W2337">
        <v>5.3899679999999998E-2</v>
      </c>
      <c r="X2337">
        <v>0.96397719999999998</v>
      </c>
      <c r="Y2337">
        <v>-0.20145270000000001</v>
      </c>
      <c r="Z2337">
        <v>3.6153959999999999E-2</v>
      </c>
      <c r="AA2337">
        <v>0.9788308</v>
      </c>
      <c r="AB2337">
        <v>22</v>
      </c>
      <c r="AC2337">
        <v>-4.7374999999999501</v>
      </c>
      <c r="AD2337">
        <v>-1.110655351973</v>
      </c>
      <c r="AE2337">
        <v>-17.864899999999899</v>
      </c>
      <c r="AF2337">
        <v>-3.7365887580905999</v>
      </c>
      <c r="AG2337">
        <v>-1.110655351973</v>
      </c>
      <c r="AH2337">
        <v>18.032821509863901</v>
      </c>
      <c r="AI2337">
        <v>93.451307700305904</v>
      </c>
      <c r="AJ2337">
        <v>101.70661395931501</v>
      </c>
      <c r="AK2337">
        <v>18.449344228577999</v>
      </c>
      <c r="AL2337">
        <v>86.910278659241598</v>
      </c>
      <c r="AM2337">
        <v>105.12025294422099</v>
      </c>
      <c r="AN2337">
        <v>1.0000000336697501</v>
      </c>
    </row>
    <row r="2338" spans="1:40" x14ac:dyDescent="0.25">
      <c r="A2338" t="str">
        <f>"20190305135836810"</f>
        <v>20190305135836810</v>
      </c>
      <c r="B2338" t="str">
        <f>"1551765516801482"</f>
        <v>1551765516801482</v>
      </c>
      <c r="C2338" t="s">
        <v>40</v>
      </c>
      <c r="D2338">
        <v>4.0240299999999998</v>
      </c>
      <c r="E2338">
        <v>0.52159330000000004</v>
      </c>
      <c r="F2338" t="s">
        <v>42</v>
      </c>
      <c r="G2338">
        <v>-490.27100000000002</v>
      </c>
      <c r="H2338" s="1">
        <v>-3.4646479999999999E-6</v>
      </c>
      <c r="I2338">
        <v>257.49720000000002</v>
      </c>
      <c r="J2338">
        <v>-485.61610000000002</v>
      </c>
      <c r="K2338">
        <v>1.110411</v>
      </c>
      <c r="L2338">
        <v>274.95310000000001</v>
      </c>
      <c r="M2338">
        <v>-0.44655250000000002</v>
      </c>
      <c r="N2338">
        <v>-1.512463E-2</v>
      </c>
      <c r="O2338">
        <v>-0.89462980000000003</v>
      </c>
      <c r="P2338">
        <v>-0.19992570000000001</v>
      </c>
      <c r="Q2338">
        <v>3.7563829999999999E-2</v>
      </c>
      <c r="R2338">
        <v>-0.97909089999999999</v>
      </c>
      <c r="S2338">
        <v>-0.78170779999999995</v>
      </c>
      <c r="T2338">
        <v>-0.18385889999999999</v>
      </c>
      <c r="U2338">
        <v>-2.9123230000000002</v>
      </c>
      <c r="V2338">
        <v>-0.25840229999999997</v>
      </c>
      <c r="W2338">
        <v>5.2077400000000003E-2</v>
      </c>
      <c r="X2338">
        <v>0.96463270000000001</v>
      </c>
      <c r="Y2338">
        <v>-0.19946369999999999</v>
      </c>
      <c r="Z2338">
        <v>3.7527400000000002E-2</v>
      </c>
      <c r="AA2338">
        <v>0.97918640000000001</v>
      </c>
      <c r="AB2338">
        <v>22</v>
      </c>
      <c r="AC2338">
        <v>-4.6548999999999401</v>
      </c>
      <c r="AD2338">
        <v>-1.1104144646480001</v>
      </c>
      <c r="AE2338">
        <v>-17.4558999999999</v>
      </c>
      <c r="AF2338">
        <v>-3.61731231382922</v>
      </c>
      <c r="AG2338">
        <v>-1.1104144646480001</v>
      </c>
      <c r="AH2338">
        <v>17.6306396515755</v>
      </c>
      <c r="AI2338">
        <v>93.530496359351702</v>
      </c>
      <c r="AJ2338">
        <v>101.59457932397</v>
      </c>
      <c r="AK2338">
        <v>18.032121982251201</v>
      </c>
      <c r="AL2338">
        <v>87.014834486106594</v>
      </c>
      <c r="AM2338">
        <v>104.996106674375</v>
      </c>
      <c r="AN2338">
        <v>1.0000000250726599</v>
      </c>
    </row>
    <row r="2339" spans="1:40" x14ac:dyDescent="0.25">
      <c r="A2339" t="str">
        <f>"20190305135836830"</f>
        <v>20190305135836830</v>
      </c>
      <c r="B2339" t="str">
        <f>"1551765516821002"</f>
        <v>1551765516821002</v>
      </c>
      <c r="C2339" t="s">
        <v>40</v>
      </c>
      <c r="D2339">
        <v>3.9734929999999999</v>
      </c>
      <c r="E2339">
        <v>0.52194269999999998</v>
      </c>
      <c r="F2339" t="s">
        <v>42</v>
      </c>
      <c r="G2339">
        <v>-490.25470000000001</v>
      </c>
      <c r="H2339" s="1">
        <v>-3.6161899999999999E-6</v>
      </c>
      <c r="I2339">
        <v>257.86059999999998</v>
      </c>
      <c r="J2339">
        <v>-485.70870000000002</v>
      </c>
      <c r="K2339">
        <v>1.1101209999999999</v>
      </c>
      <c r="L2339">
        <v>274.76569999999998</v>
      </c>
      <c r="M2339">
        <v>-0.44620480000000001</v>
      </c>
      <c r="N2339">
        <v>-1.48662E-2</v>
      </c>
      <c r="O2339">
        <v>-0.89480759999999904</v>
      </c>
      <c r="P2339">
        <v>-0.1998683</v>
      </c>
      <c r="Q2339">
        <v>3.8063470000000002E-2</v>
      </c>
      <c r="R2339">
        <v>-0.97908320000000004</v>
      </c>
      <c r="S2339">
        <v>-0.78973389999999999</v>
      </c>
      <c r="T2339">
        <v>-0.1890522</v>
      </c>
      <c r="U2339">
        <v>-2.9100649999999999</v>
      </c>
      <c r="V2339">
        <v>-0.25803540000000003</v>
      </c>
      <c r="W2339">
        <v>5.2514060000000001E-2</v>
      </c>
      <c r="X2339">
        <v>0.96470719999999999</v>
      </c>
      <c r="Y2339">
        <v>-0.19639409999999999</v>
      </c>
      <c r="Z2339">
        <v>3.9294320000000001E-2</v>
      </c>
      <c r="AA2339">
        <v>0.97973739999999998</v>
      </c>
      <c r="AB2339">
        <v>22</v>
      </c>
      <c r="AC2339">
        <v>-4.5459999999999896</v>
      </c>
      <c r="AD2339">
        <v>-1.11012461619</v>
      </c>
      <c r="AE2339">
        <v>-16.905100000000001</v>
      </c>
      <c r="AF2339">
        <v>-3.46180329666119</v>
      </c>
      <c r="AG2339">
        <v>-1.11012461619</v>
      </c>
      <c r="AH2339">
        <v>17.088431034787298</v>
      </c>
      <c r="AI2339">
        <v>93.643114087265801</v>
      </c>
      <c r="AJ2339">
        <v>101.45209250271201</v>
      </c>
      <c r="AK2339">
        <v>17.470859565543101</v>
      </c>
      <c r="AL2339">
        <v>86.989781318029003</v>
      </c>
      <c r="AM2339">
        <v>104.974666702316</v>
      </c>
      <c r="AN2339">
        <v>0.99999998794134104</v>
      </c>
    </row>
    <row r="2340" spans="1:40" x14ac:dyDescent="0.25">
      <c r="A2340" t="str">
        <f>"20190305135836846"</f>
        <v>20190305135836846</v>
      </c>
      <c r="B2340" t="str">
        <f>"1551765516841499"</f>
        <v>1551765516841499</v>
      </c>
      <c r="C2340" t="s">
        <v>40</v>
      </c>
      <c r="D2340">
        <v>4.0049130000000002</v>
      </c>
      <c r="E2340">
        <v>0.52223729999999902</v>
      </c>
      <c r="F2340" t="s">
        <v>42</v>
      </c>
      <c r="G2340">
        <v>-490.41770000000002</v>
      </c>
      <c r="H2340" s="1">
        <v>-3.4971299999999999E-6</v>
      </c>
      <c r="I2340">
        <v>257.4819</v>
      </c>
      <c r="J2340">
        <v>-485.77019999999999</v>
      </c>
      <c r="K2340">
        <v>1.1099490000000001</v>
      </c>
      <c r="L2340">
        <v>274.64150000000001</v>
      </c>
      <c r="M2340">
        <v>-0.44619619999999999</v>
      </c>
      <c r="N2340">
        <v>-1.471269E-2</v>
      </c>
      <c r="O2340">
        <v>-0.8948142</v>
      </c>
      <c r="P2340">
        <v>-0.19970540000000001</v>
      </c>
      <c r="Q2340">
        <v>3.9022099999999997E-2</v>
      </c>
      <c r="R2340">
        <v>-0.97907869999999997</v>
      </c>
      <c r="S2340">
        <v>-0.7927246</v>
      </c>
      <c r="T2340">
        <v>-0.18688060000000001</v>
      </c>
      <c r="U2340">
        <v>-2.9095759999999999</v>
      </c>
      <c r="V2340">
        <v>-0.25814550000000003</v>
      </c>
      <c r="W2340">
        <v>5.3434490000000001E-2</v>
      </c>
      <c r="X2340">
        <v>0.96462720000000002</v>
      </c>
      <c r="Y2340">
        <v>-0.19540250000000001</v>
      </c>
      <c r="Z2340">
        <v>3.884079E-2</v>
      </c>
      <c r="AA2340">
        <v>0.97995370000000004</v>
      </c>
      <c r="AB2340">
        <v>22</v>
      </c>
      <c r="AC2340">
        <v>-4.6475000000000302</v>
      </c>
      <c r="AD2340">
        <v>-1.1099524971300001</v>
      </c>
      <c r="AE2340">
        <v>-17.159600000000001</v>
      </c>
      <c r="AF2340">
        <v>-3.4846943864973801</v>
      </c>
      <c r="AG2340">
        <v>-1.1099524971300001</v>
      </c>
      <c r="AH2340">
        <v>17.362556755730498</v>
      </c>
      <c r="AI2340">
        <v>93.586495008541107</v>
      </c>
      <c r="AJ2340">
        <v>101.348584516999</v>
      </c>
      <c r="AK2340">
        <v>17.743547182261299</v>
      </c>
      <c r="AL2340">
        <v>86.936970412756907</v>
      </c>
      <c r="AM2340">
        <v>104.981955534641</v>
      </c>
      <c r="AN2340">
        <v>0.99999998943582402</v>
      </c>
    </row>
    <row r="2341" spans="1:40" x14ac:dyDescent="0.25">
      <c r="A2341" t="str">
        <f>"20190305135836859"</f>
        <v>20190305135836859</v>
      </c>
      <c r="B2341" t="str">
        <f>"1551765516851258"</f>
        <v>1551765516851258</v>
      </c>
      <c r="C2341" t="s">
        <v>40</v>
      </c>
      <c r="D2341">
        <v>3.9919340000000001</v>
      </c>
      <c r="E2341">
        <v>0.52237889999999998</v>
      </c>
      <c r="F2341" t="s">
        <v>42</v>
      </c>
      <c r="G2341">
        <v>-490.52300000000002</v>
      </c>
      <c r="H2341" s="1">
        <v>-3.4238120000000001E-6</v>
      </c>
      <c r="I2341">
        <v>257.2457</v>
      </c>
      <c r="J2341">
        <v>-485.82979999999998</v>
      </c>
      <c r="K2341">
        <v>1.1097919999999999</v>
      </c>
      <c r="L2341">
        <v>274.52170000000001</v>
      </c>
      <c r="M2341">
        <v>-0.4463145</v>
      </c>
      <c r="N2341">
        <v>-1.457468E-2</v>
      </c>
      <c r="O2341">
        <v>-0.89475759999999904</v>
      </c>
      <c r="P2341">
        <v>-0.19914080000000001</v>
      </c>
      <c r="Q2341">
        <v>4.0552089999999999E-2</v>
      </c>
      <c r="R2341">
        <v>-0.97913150000000004</v>
      </c>
      <c r="S2341">
        <v>-0.79489140000000003</v>
      </c>
      <c r="T2341">
        <v>-0.18563540000000001</v>
      </c>
      <c r="U2341">
        <v>-2.9093930000000001</v>
      </c>
      <c r="V2341">
        <v>-0.25877850000000002</v>
      </c>
      <c r="W2341">
        <v>5.4927650000000001E-2</v>
      </c>
      <c r="X2341">
        <v>0.9643737</v>
      </c>
      <c r="Y2341">
        <v>-0.19483610000000001</v>
      </c>
      <c r="Z2341">
        <v>3.8619970000000003E-2</v>
      </c>
      <c r="AA2341">
        <v>0.98007520000000004</v>
      </c>
      <c r="AB2341">
        <v>22</v>
      </c>
      <c r="AC2341">
        <v>-4.69320000000004</v>
      </c>
      <c r="AD2341">
        <v>-1.109795423812</v>
      </c>
      <c r="AE2341">
        <v>-17.276</v>
      </c>
      <c r="AF2341">
        <v>-3.4981818458789302</v>
      </c>
      <c r="AG2341">
        <v>-1.109795423812</v>
      </c>
      <c r="AH2341">
        <v>17.487134175624998</v>
      </c>
      <c r="AI2341">
        <v>93.560958884224604</v>
      </c>
      <c r="AJ2341">
        <v>101.31231106727</v>
      </c>
      <c r="AK2341">
        <v>17.868094016594501</v>
      </c>
      <c r="AL2341">
        <v>86.851292808890605</v>
      </c>
      <c r="AM2341">
        <v>105.020804352914</v>
      </c>
      <c r="AN2341">
        <v>0.99999999602423095</v>
      </c>
    </row>
    <row r="2342" spans="1:40" x14ac:dyDescent="0.25">
      <c r="A2342" t="str">
        <f>"20190305135836874"</f>
        <v>20190305135836874</v>
      </c>
      <c r="B2342" t="str">
        <f>"1551765516861019"</f>
        <v>1551765516861019</v>
      </c>
      <c r="C2342" t="s">
        <v>40</v>
      </c>
      <c r="D2342">
        <v>3.943727</v>
      </c>
      <c r="E2342">
        <v>0.52257149999999997</v>
      </c>
      <c r="F2342" t="s">
        <v>42</v>
      </c>
      <c r="G2342">
        <v>-490.68150000000003</v>
      </c>
      <c r="H2342" s="1">
        <v>-3.2609579999999999E-6</v>
      </c>
      <c r="I2342">
        <v>256.76780000000002</v>
      </c>
      <c r="J2342">
        <v>-485.89729999999997</v>
      </c>
      <c r="K2342">
        <v>1.1096330000000001</v>
      </c>
      <c r="L2342">
        <v>274.38690000000003</v>
      </c>
      <c r="M2342">
        <v>-0.4466561</v>
      </c>
      <c r="N2342">
        <v>-1.4437220000000001E-2</v>
      </c>
      <c r="O2342">
        <v>-0.89458939999999998</v>
      </c>
      <c r="P2342">
        <v>-0.19753989999999999</v>
      </c>
      <c r="Q2342">
        <v>4.1950059999999997E-2</v>
      </c>
      <c r="R2342">
        <v>-0.97939719999999997</v>
      </c>
      <c r="S2342">
        <v>-0.79516600000000004</v>
      </c>
      <c r="T2342">
        <v>-0.1818881</v>
      </c>
      <c r="U2342">
        <v>-2.9097599999999999</v>
      </c>
      <c r="V2342">
        <v>-0.26067390000000001</v>
      </c>
      <c r="W2342">
        <v>5.6288339999999999E-2</v>
      </c>
      <c r="X2342">
        <v>0.96378459999999999</v>
      </c>
      <c r="Y2342">
        <v>-0.1951474</v>
      </c>
      <c r="Z2342">
        <v>3.7673369999999998E-2</v>
      </c>
      <c r="AA2342">
        <v>0.98005010000000004</v>
      </c>
      <c r="AB2342">
        <v>22</v>
      </c>
      <c r="AC2342">
        <v>-4.78420000000005</v>
      </c>
      <c r="AD2342">
        <v>-1.1096362609579999</v>
      </c>
      <c r="AE2342">
        <v>-17.6191</v>
      </c>
      <c r="AF2342">
        <v>-3.5769442458434</v>
      </c>
      <c r="AG2342">
        <v>-1.1096362609579999</v>
      </c>
      <c r="AH2342">
        <v>17.834733454096501</v>
      </c>
      <c r="AI2342">
        <v>93.490882632580195</v>
      </c>
      <c r="AJ2342">
        <v>101.34081192826299</v>
      </c>
      <c r="AK2342">
        <v>18.223708188735198</v>
      </c>
      <c r="AL2342">
        <v>86.773210225692395</v>
      </c>
      <c r="AM2342">
        <v>105.13462042454</v>
      </c>
      <c r="AN2342">
        <v>1.0000000072791599</v>
      </c>
    </row>
    <row r="2343" spans="1:40" x14ac:dyDescent="0.25">
      <c r="A2343" t="str">
        <f>"20190305135836887"</f>
        <v>20190305135836887</v>
      </c>
      <c r="B2343" t="str">
        <f>"1551765516881515"</f>
        <v>1551765516881515</v>
      </c>
      <c r="C2343" t="s">
        <v>40</v>
      </c>
      <c r="D2343">
        <v>3.940906</v>
      </c>
      <c r="E2343">
        <v>0.52292629999999996</v>
      </c>
      <c r="F2343" t="s">
        <v>42</v>
      </c>
      <c r="G2343">
        <v>-490.88639999999998</v>
      </c>
      <c r="H2343" s="1">
        <v>-3.0061669999999998E-6</v>
      </c>
      <c r="I2343">
        <v>256.04680000000002</v>
      </c>
      <c r="J2343">
        <v>-485.95280000000002</v>
      </c>
      <c r="K2343">
        <v>1.1095109999999999</v>
      </c>
      <c r="L2343">
        <v>274.27640000000002</v>
      </c>
      <c r="M2343">
        <v>-0.44704290000000002</v>
      </c>
      <c r="N2343">
        <v>-1.433452E-2</v>
      </c>
      <c r="O2343">
        <v>-0.89439769999999896</v>
      </c>
      <c r="P2343">
        <v>-0.19693050000000001</v>
      </c>
      <c r="Q2343">
        <v>4.2130620000000001E-2</v>
      </c>
      <c r="R2343">
        <v>-0.97951189999999999</v>
      </c>
      <c r="S2343">
        <v>-0.79187010000000002</v>
      </c>
      <c r="T2343">
        <v>-0.1761221</v>
      </c>
      <c r="U2343">
        <v>-2.9109500000000001</v>
      </c>
      <c r="V2343">
        <v>-0.26167020000000002</v>
      </c>
      <c r="W2343">
        <v>5.6441650000000003E-2</v>
      </c>
      <c r="X2343">
        <v>0.96350559999999996</v>
      </c>
      <c r="Y2343">
        <v>-0.1966917</v>
      </c>
      <c r="Z2343">
        <v>3.6108580000000001E-2</v>
      </c>
      <c r="AA2343">
        <v>0.97980029999999996</v>
      </c>
      <c r="AB2343">
        <v>22</v>
      </c>
      <c r="AC2343">
        <v>-4.9335999999999496</v>
      </c>
      <c r="AD2343">
        <v>-1.1095140061669999</v>
      </c>
      <c r="AE2343">
        <v>-18.229600000000001</v>
      </c>
      <c r="AF2343">
        <v>-3.7243418770683099</v>
      </c>
      <c r="AG2343">
        <v>-1.1095140061669999</v>
      </c>
      <c r="AH2343">
        <v>18.448269522814901</v>
      </c>
      <c r="AI2343">
        <v>93.3738287731328</v>
      </c>
      <c r="AJ2343">
        <v>101.413483663566</v>
      </c>
      <c r="AK2343">
        <v>18.853126852954301</v>
      </c>
      <c r="AL2343">
        <v>86.764412190754598</v>
      </c>
      <c r="AM2343">
        <v>105.193992542687</v>
      </c>
      <c r="AN2343">
        <v>0.99999999732706102</v>
      </c>
    </row>
    <row r="2344" spans="1:40" x14ac:dyDescent="0.25">
      <c r="A2344" t="str">
        <f>"20190305135836900"</f>
        <v>20190305135836900</v>
      </c>
      <c r="B2344" t="str">
        <f>"1551765516891274"</f>
        <v>1551765516891274</v>
      </c>
      <c r="C2344" t="s">
        <v>40</v>
      </c>
      <c r="D2344">
        <v>3.9629400000000001</v>
      </c>
      <c r="E2344">
        <v>0.52317959999999997</v>
      </c>
      <c r="F2344" t="s">
        <v>42</v>
      </c>
      <c r="G2344">
        <v>-491.0335</v>
      </c>
      <c r="H2344" s="1">
        <v>-2.862289E-6</v>
      </c>
      <c r="I2344">
        <v>255.62010000000001</v>
      </c>
      <c r="J2344">
        <v>-486.0086</v>
      </c>
      <c r="K2344">
        <v>1.1093949999999999</v>
      </c>
      <c r="L2344">
        <v>274.16559999999998</v>
      </c>
      <c r="M2344">
        <v>-0.44749169999999999</v>
      </c>
      <c r="N2344">
        <v>-1.4237339999999999E-2</v>
      </c>
      <c r="O2344">
        <v>-0.89417479999999905</v>
      </c>
      <c r="P2344">
        <v>-0.19622899999999999</v>
      </c>
      <c r="Q2344">
        <v>4.2303430000000003E-2</v>
      </c>
      <c r="R2344">
        <v>-0.97964549999999995</v>
      </c>
      <c r="S2344">
        <v>-0.7927246</v>
      </c>
      <c r="T2344">
        <v>-0.17311289999999999</v>
      </c>
      <c r="U2344">
        <v>-2.9108580000000002</v>
      </c>
      <c r="V2344">
        <v>-0.26282559999999999</v>
      </c>
      <c r="W2344">
        <v>5.6588270000000003E-2</v>
      </c>
      <c r="X2344">
        <v>0.96318239999999999</v>
      </c>
      <c r="Y2344">
        <v>-0.19690189999999999</v>
      </c>
      <c r="Z2344">
        <v>3.5336609999999997E-2</v>
      </c>
      <c r="AA2344">
        <v>0.97978620000000005</v>
      </c>
      <c r="AB2344">
        <v>22</v>
      </c>
      <c r="AC2344">
        <v>-5.0248999999999997</v>
      </c>
      <c r="AD2344">
        <v>-1.1093978622889999</v>
      </c>
      <c r="AE2344">
        <v>-18.545499999999901</v>
      </c>
      <c r="AF2344">
        <v>-3.79355727386482</v>
      </c>
      <c r="AG2344">
        <v>-1.1093978622889999</v>
      </c>
      <c r="AH2344">
        <v>18.770850829122899</v>
      </c>
      <c r="AI2344">
        <v>93.315492952630194</v>
      </c>
      <c r="AJ2344">
        <v>101.425486113443</v>
      </c>
      <c r="AK2344">
        <v>19.1824576437986</v>
      </c>
      <c r="AL2344">
        <v>86.755997823460007</v>
      </c>
      <c r="AM2344">
        <v>105.262841703303</v>
      </c>
      <c r="AN2344">
        <v>0.99999993199335402</v>
      </c>
    </row>
    <row r="2345" spans="1:40" x14ac:dyDescent="0.25">
      <c r="A2345" t="str">
        <f>"20190305135836913"</f>
        <v>20190305135836913</v>
      </c>
      <c r="B2345" t="str">
        <f>"1551765516901035"</f>
        <v>1551765516901035</v>
      </c>
      <c r="C2345" t="s">
        <v>40</v>
      </c>
      <c r="D2345">
        <v>3.9569580000000002</v>
      </c>
      <c r="E2345">
        <v>0.52337709999999904</v>
      </c>
      <c r="F2345" t="s">
        <v>42</v>
      </c>
      <c r="G2345">
        <v>-491.15769999999998</v>
      </c>
      <c r="H2345" s="1">
        <v>-2.7375340000000001E-6</v>
      </c>
      <c r="I2345">
        <v>255.25229999999999</v>
      </c>
      <c r="J2345">
        <v>-486.0686</v>
      </c>
      <c r="K2345">
        <v>1.1092900000000001</v>
      </c>
      <c r="L2345">
        <v>274.0471</v>
      </c>
      <c r="M2345">
        <v>-0.44808700000000001</v>
      </c>
      <c r="N2345">
        <v>-1.414409E-2</v>
      </c>
      <c r="O2345">
        <v>-0.89387830000000001</v>
      </c>
      <c r="P2345">
        <v>-0.19562460000000001</v>
      </c>
      <c r="Q2345">
        <v>4.2279940000000002E-2</v>
      </c>
      <c r="R2345">
        <v>-0.97976739999999996</v>
      </c>
      <c r="S2345">
        <v>-0.79251099999999997</v>
      </c>
      <c r="T2345">
        <v>-0.17074890000000001</v>
      </c>
      <c r="U2345">
        <v>-2.9109799999999999</v>
      </c>
      <c r="V2345">
        <v>-0.26404840000000002</v>
      </c>
      <c r="W2345">
        <v>5.6535439999999999E-2</v>
      </c>
      <c r="X2345">
        <v>0.96285109999999996</v>
      </c>
      <c r="Y2345">
        <v>-0.19762689999999999</v>
      </c>
      <c r="Z2345">
        <v>3.4731140000000001E-2</v>
      </c>
      <c r="AA2345">
        <v>0.97966189999999997</v>
      </c>
      <c r="AB2345">
        <v>22</v>
      </c>
      <c r="AC2345">
        <v>-5.08909999999997</v>
      </c>
      <c r="AD2345">
        <v>-1.10929273753399</v>
      </c>
      <c r="AE2345">
        <v>-18.794799999999999</v>
      </c>
      <c r="AF2345">
        <v>-3.8605265443581702</v>
      </c>
      <c r="AG2345">
        <v>-1.10929273753399</v>
      </c>
      <c r="AH2345">
        <v>19.020795186161401</v>
      </c>
      <c r="AI2345">
        <v>93.271161910323698</v>
      </c>
      <c r="AJ2345">
        <v>101.473102673847</v>
      </c>
      <c r="AK2345">
        <v>19.440289223443699</v>
      </c>
      <c r="AL2345">
        <v>86.759029922013099</v>
      </c>
      <c r="AM2345">
        <v>105.335545092304</v>
      </c>
      <c r="AN2345">
        <v>1.0000000271448799</v>
      </c>
    </row>
    <row r="2346" spans="1:40" x14ac:dyDescent="0.25">
      <c r="A2346" t="str">
        <f>"20190305135836931"</f>
        <v>20190305135836931</v>
      </c>
      <c r="B2346" t="str">
        <f>"1551765516921530"</f>
        <v>1551765516921530</v>
      </c>
      <c r="C2346" t="s">
        <v>40</v>
      </c>
      <c r="D2346">
        <v>3.9373369999999999</v>
      </c>
      <c r="E2346">
        <v>0.5235824</v>
      </c>
      <c r="F2346" t="s">
        <v>42</v>
      </c>
      <c r="G2346">
        <v>-491.24160000000001</v>
      </c>
      <c r="H2346" s="1">
        <v>-2.6670660000000002E-6</v>
      </c>
      <c r="I2346">
        <v>255.036</v>
      </c>
      <c r="J2346">
        <v>-486.14580000000001</v>
      </c>
      <c r="K2346">
        <v>1.1091799999999901</v>
      </c>
      <c r="L2346">
        <v>273.89530000000002</v>
      </c>
      <c r="M2346">
        <v>-0.4489456</v>
      </c>
      <c r="N2346">
        <v>-1.403537E-2</v>
      </c>
      <c r="O2346">
        <v>-0.89344889999999999</v>
      </c>
      <c r="P2346">
        <v>-0.1943232</v>
      </c>
      <c r="Q2346">
        <v>4.2853549999999997E-2</v>
      </c>
      <c r="R2346">
        <v>-0.98000129999999996</v>
      </c>
      <c r="S2346">
        <v>-0.79214479999999998</v>
      </c>
      <c r="T2346">
        <v>-0.16986609999999999</v>
      </c>
      <c r="U2346">
        <v>-2.9111630000000002</v>
      </c>
      <c r="V2346">
        <v>-0.26622649999999998</v>
      </c>
      <c r="W2346">
        <v>5.706435E-2</v>
      </c>
      <c r="X2346">
        <v>0.96221990000000002</v>
      </c>
      <c r="Y2346">
        <v>-0.19869709999999999</v>
      </c>
      <c r="Z2346">
        <v>3.4542700000000003E-2</v>
      </c>
      <c r="AA2346">
        <v>0.97945199999999999</v>
      </c>
      <c r="AB2346">
        <v>22</v>
      </c>
      <c r="AC2346">
        <v>-5.0957999999999899</v>
      </c>
      <c r="AD2346">
        <v>-1.1091826670660001</v>
      </c>
      <c r="AE2346">
        <v>-18.859300000000001</v>
      </c>
      <c r="AF2346">
        <v>-3.9017702022080298</v>
      </c>
      <c r="AG2346">
        <v>-1.1091826670660001</v>
      </c>
      <c r="AH2346">
        <v>19.077941142849799</v>
      </c>
      <c r="AI2346">
        <v>93.260072772487604</v>
      </c>
      <c r="AJ2346">
        <v>101.55858586113</v>
      </c>
      <c r="AK2346">
        <v>19.504408095346001</v>
      </c>
      <c r="AL2346">
        <v>86.728676561356806</v>
      </c>
      <c r="AM2346">
        <v>105.46567427552399</v>
      </c>
      <c r="AN2346">
        <v>1.00000001264959</v>
      </c>
    </row>
    <row r="2347" spans="1:40" x14ac:dyDescent="0.25">
      <c r="A2347" t="str">
        <f>"20190305135836945"</f>
        <v>20190305135836945</v>
      </c>
      <c r="B2347" t="str">
        <f>"1551765516941051"</f>
        <v>1551765516941051</v>
      </c>
      <c r="C2347" t="s">
        <v>40</v>
      </c>
      <c r="D2347">
        <v>3.9156460000000002</v>
      </c>
      <c r="E2347">
        <v>0.52375569999999905</v>
      </c>
      <c r="F2347" t="s">
        <v>42</v>
      </c>
      <c r="G2347">
        <v>-491.37439999999998</v>
      </c>
      <c r="H2347" s="1">
        <v>-2.520867E-6</v>
      </c>
      <c r="I2347">
        <v>254.6129</v>
      </c>
      <c r="J2347">
        <v>-486.20569999999998</v>
      </c>
      <c r="K2347">
        <v>1.1091150000000001</v>
      </c>
      <c r="L2347">
        <v>273.77800000000002</v>
      </c>
      <c r="M2347">
        <v>-0.44966630000000002</v>
      </c>
      <c r="N2347">
        <v>-1.395879E-2</v>
      </c>
      <c r="O2347">
        <v>-0.89308759999999998</v>
      </c>
      <c r="P2347">
        <v>-0.19446069999999999</v>
      </c>
      <c r="Q2347">
        <v>4.3377550000000001E-2</v>
      </c>
      <c r="R2347">
        <v>-0.97995100000000002</v>
      </c>
      <c r="S2347">
        <v>-0.78961179999999997</v>
      </c>
      <c r="T2347">
        <v>-0.16750609999999999</v>
      </c>
      <c r="U2347">
        <v>-2.9119869999999999</v>
      </c>
      <c r="V2347">
        <v>-0.2668489</v>
      </c>
      <c r="W2347">
        <v>5.7548490000000001E-2</v>
      </c>
      <c r="X2347">
        <v>0.96201859999999995</v>
      </c>
      <c r="Y2347">
        <v>-0.2003453</v>
      </c>
      <c r="Z2347">
        <v>3.3904620000000003E-2</v>
      </c>
      <c r="AA2347">
        <v>0.97913850000000002</v>
      </c>
      <c r="AB2347">
        <v>22</v>
      </c>
      <c r="AC2347">
        <v>-5.1687000000000003</v>
      </c>
      <c r="AD2347">
        <v>-1.1091175208670001</v>
      </c>
      <c r="AE2347">
        <v>-19.165099999999999</v>
      </c>
      <c r="AF2347">
        <v>-3.9897313097436098</v>
      </c>
      <c r="AG2347">
        <v>-1.1091175208670001</v>
      </c>
      <c r="AH2347">
        <v>19.381686004174298</v>
      </c>
      <c r="AI2347">
        <v>93.208060804868495</v>
      </c>
      <c r="AJ2347">
        <v>101.631887571864</v>
      </c>
      <c r="AK2347">
        <v>19.819128385563499</v>
      </c>
      <c r="AL2347">
        <v>86.700891599261496</v>
      </c>
      <c r="AM2347">
        <v>105.503181637776</v>
      </c>
      <c r="AN2347">
        <v>0.99999997543922403</v>
      </c>
    </row>
    <row r="2348" spans="1:40" x14ac:dyDescent="0.25">
      <c r="A2348" t="str">
        <f>"20190305135836958"</f>
        <v>20190305135836958</v>
      </c>
      <c r="B2348" t="str">
        <f>"1551765516950811"</f>
        <v>1551765516950811</v>
      </c>
      <c r="C2348" t="s">
        <v>40</v>
      </c>
      <c r="D2348">
        <v>3.9019870000000001</v>
      </c>
      <c r="E2348">
        <v>0.52388329999999905</v>
      </c>
      <c r="F2348" t="s">
        <v>42</v>
      </c>
      <c r="G2348">
        <v>-491.44560000000001</v>
      </c>
      <c r="H2348" s="1">
        <v>-2.489438E-6</v>
      </c>
      <c r="I2348">
        <v>254.49549999999999</v>
      </c>
      <c r="J2348">
        <v>-486.26440000000002</v>
      </c>
      <c r="K2348">
        <v>1.109064</v>
      </c>
      <c r="L2348">
        <v>273.66340000000002</v>
      </c>
      <c r="M2348">
        <v>-0.45040150000000001</v>
      </c>
      <c r="N2348">
        <v>-1.388878E-2</v>
      </c>
      <c r="O2348">
        <v>-0.89271829999999996</v>
      </c>
      <c r="P2348">
        <v>-0.1950337</v>
      </c>
      <c r="Q2348">
        <v>4.3236919999999998E-2</v>
      </c>
      <c r="R2348">
        <v>-0.97984360000000004</v>
      </c>
      <c r="S2348">
        <v>-0.79125979999999996</v>
      </c>
      <c r="T2348">
        <v>-0.16748540000000001</v>
      </c>
      <c r="U2348">
        <v>-2.9118040000000001</v>
      </c>
      <c r="V2348">
        <v>-0.267076599999999</v>
      </c>
      <c r="W2348">
        <v>5.7362839999999998E-2</v>
      </c>
      <c r="X2348">
        <v>0.96196649999999995</v>
      </c>
      <c r="Y2348">
        <v>-0.20062070000000001</v>
      </c>
      <c r="Z2348">
        <v>3.393558E-2</v>
      </c>
      <c r="AA2348">
        <v>0.97908099999999998</v>
      </c>
      <c r="AB2348">
        <v>22</v>
      </c>
      <c r="AC2348">
        <v>-5.1811999999999898</v>
      </c>
      <c r="AD2348">
        <v>-1.109066489438</v>
      </c>
      <c r="AE2348">
        <v>-19.167899999999999</v>
      </c>
      <c r="AF2348">
        <v>-3.9958181919250499</v>
      </c>
      <c r="AG2348">
        <v>-1.109066489438</v>
      </c>
      <c r="AH2348">
        <v>19.3865434991238</v>
      </c>
      <c r="AI2348">
        <v>93.206945476110704</v>
      </c>
      <c r="AJ2348">
        <v>101.64630987565801</v>
      </c>
      <c r="AK2348">
        <v>19.825101773870699</v>
      </c>
      <c r="AL2348">
        <v>86.711546164883501</v>
      </c>
      <c r="AM2348">
        <v>105.516573153651</v>
      </c>
      <c r="AN2348">
        <v>0.99999997640133698</v>
      </c>
    </row>
    <row r="2349" spans="1:40" x14ac:dyDescent="0.25">
      <c r="A2349" t="str">
        <f>"20190305135836976"</f>
        <v>20190305135836976</v>
      </c>
      <c r="B2349" t="str">
        <f>"1551765516971307"</f>
        <v>1551765516971307</v>
      </c>
      <c r="C2349" t="s">
        <v>40</v>
      </c>
      <c r="D2349">
        <v>3.9011040000000001</v>
      </c>
      <c r="E2349">
        <v>0.52425569999999999</v>
      </c>
      <c r="F2349" t="s">
        <v>42</v>
      </c>
      <c r="G2349">
        <v>-491.4905</v>
      </c>
      <c r="H2349" s="1">
        <v>-2.4951E-6</v>
      </c>
      <c r="I2349">
        <v>254.48079999999999</v>
      </c>
      <c r="J2349">
        <v>-486.34269999999998</v>
      </c>
      <c r="K2349">
        <v>1.1090420000000001</v>
      </c>
      <c r="L2349">
        <v>273.51130000000001</v>
      </c>
      <c r="M2349">
        <v>-0.45141619999999999</v>
      </c>
      <c r="N2349">
        <v>-1.3809399999999999E-2</v>
      </c>
      <c r="O2349">
        <v>-0.89220650000000001</v>
      </c>
      <c r="P2349">
        <v>-0.1968133</v>
      </c>
      <c r="Q2349">
        <v>4.1950840000000003E-2</v>
      </c>
      <c r="R2349">
        <v>-0.9795431</v>
      </c>
      <c r="S2349">
        <v>-0.79315190000000002</v>
      </c>
      <c r="T2349">
        <v>-0.16831769999999999</v>
      </c>
      <c r="U2349">
        <v>-2.9112550000000001</v>
      </c>
      <c r="V2349">
        <v>-0.26645170000000001</v>
      </c>
      <c r="W2349">
        <v>5.5997930000000001E-2</v>
      </c>
      <c r="X2349">
        <v>0.96222019999999997</v>
      </c>
      <c r="Y2349">
        <v>-0.20109759999999999</v>
      </c>
      <c r="Z2349">
        <v>3.4207059999999997E-2</v>
      </c>
      <c r="AA2349">
        <v>0.97897369999999995</v>
      </c>
      <c r="AB2349">
        <v>22</v>
      </c>
      <c r="AC2349">
        <v>-5.1478000000000099</v>
      </c>
      <c r="AD2349">
        <v>-1.1090444951</v>
      </c>
      <c r="AE2349">
        <v>-19.0305</v>
      </c>
      <c r="AF2349">
        <v>-3.9855442372940901</v>
      </c>
      <c r="AG2349">
        <v>-1.1090444951</v>
      </c>
      <c r="AH2349">
        <v>19.243879057927099</v>
      </c>
      <c r="AI2349">
        <v>93.229971063317606</v>
      </c>
      <c r="AJ2349">
        <v>101.700937745404</v>
      </c>
      <c r="AK2349">
        <v>19.683531790704301</v>
      </c>
      <c r="AL2349">
        <v>86.789875739387298</v>
      </c>
      <c r="AM2349">
        <v>105.478125025278</v>
      </c>
      <c r="AN2349">
        <v>0.99999999494260705</v>
      </c>
    </row>
    <row r="2350" spans="1:40" x14ac:dyDescent="0.25">
      <c r="A2350" t="str">
        <f>"20190305135836990"</f>
        <v>20190305135836990</v>
      </c>
      <c r="B2350" t="str">
        <f>"1551765516981067"</f>
        <v>1551765516981067</v>
      </c>
      <c r="C2350" t="s">
        <v>40</v>
      </c>
      <c r="D2350">
        <v>3.9236710000000001</v>
      </c>
      <c r="E2350">
        <v>0.52439530000000001</v>
      </c>
      <c r="F2350" t="s">
        <v>42</v>
      </c>
      <c r="G2350">
        <v>-491.47430000000003</v>
      </c>
      <c r="H2350" s="1">
        <v>-2.6458569999999998E-6</v>
      </c>
      <c r="I2350">
        <v>254.84229999999999</v>
      </c>
      <c r="J2350">
        <v>-486.40339999999998</v>
      </c>
      <c r="K2350">
        <v>1.1090310000000001</v>
      </c>
      <c r="L2350">
        <v>273.39359999999999</v>
      </c>
      <c r="M2350">
        <v>-0.45220959999999899</v>
      </c>
      <c r="N2350">
        <v>-1.3640090000000001E-2</v>
      </c>
      <c r="O2350">
        <v>-0.89180740000000003</v>
      </c>
      <c r="P2350">
        <v>-0.19824030000000001</v>
      </c>
      <c r="Q2350">
        <v>4.132831E-2</v>
      </c>
      <c r="R2350">
        <v>-0.97928190000000004</v>
      </c>
      <c r="S2350">
        <v>-0.79971309999999995</v>
      </c>
      <c r="T2350">
        <v>-0.17283229999999999</v>
      </c>
      <c r="U2350">
        <v>-2.9093629999999999</v>
      </c>
      <c r="V2350">
        <v>-0.2659223</v>
      </c>
      <c r="W2350">
        <v>5.5191900000000002E-2</v>
      </c>
      <c r="X2350">
        <v>0.96241319999999997</v>
      </c>
      <c r="Y2350">
        <v>-0.19976669999999999</v>
      </c>
      <c r="Z2350">
        <v>3.5627850000000003E-2</v>
      </c>
      <c r="AA2350">
        <v>0.9791955</v>
      </c>
      <c r="AB2350">
        <v>22</v>
      </c>
      <c r="AC2350">
        <v>-5.0709000000000497</v>
      </c>
      <c r="AD2350">
        <v>-1.10903364585699</v>
      </c>
      <c r="AE2350">
        <v>-18.551300000000001</v>
      </c>
      <c r="AF2350">
        <v>-3.8543522071524698</v>
      </c>
      <c r="AG2350">
        <v>-1.10903364585699</v>
      </c>
      <c r="AH2350">
        <v>18.776608652376201</v>
      </c>
      <c r="AI2350">
        <v>93.311340067495394</v>
      </c>
      <c r="AJ2350">
        <v>101.600199049434</v>
      </c>
      <c r="AK2350">
        <v>19.200182786862001</v>
      </c>
      <c r="AL2350">
        <v>86.836129382730704</v>
      </c>
      <c r="AM2350">
        <v>105.44589251393199</v>
      </c>
      <c r="AN2350">
        <v>0.99999999149857</v>
      </c>
    </row>
    <row r="2351" spans="1:40" x14ac:dyDescent="0.25">
      <c r="A2351" t="str">
        <f>"20190305135837005"</f>
        <v>20190305135837005</v>
      </c>
      <c r="B2351" t="str">
        <f>"1551765517001563"</f>
        <v>1551765517001563</v>
      </c>
      <c r="C2351" t="s">
        <v>40</v>
      </c>
      <c r="D2351">
        <v>4.0470709999999999</v>
      </c>
      <c r="E2351">
        <v>0.52443329999999999</v>
      </c>
      <c r="F2351" t="s">
        <v>42</v>
      </c>
      <c r="G2351">
        <v>-491.50869999999998</v>
      </c>
      <c r="H2351" s="1">
        <v>-2.6975660000000001E-6</v>
      </c>
      <c r="I2351">
        <v>254.94149999999999</v>
      </c>
      <c r="J2351">
        <v>-486.47160000000002</v>
      </c>
      <c r="K2351">
        <v>1.109032</v>
      </c>
      <c r="L2351">
        <v>273.26159999999999</v>
      </c>
      <c r="M2351">
        <v>-0.45307779999999998</v>
      </c>
      <c r="N2351">
        <v>-1.3420990000000001E-2</v>
      </c>
      <c r="O2351">
        <v>-0.89136979999999999</v>
      </c>
      <c r="P2351">
        <v>-0.2001657</v>
      </c>
      <c r="Q2351">
        <v>4.0044929999999999E-2</v>
      </c>
      <c r="R2351">
        <v>-0.97894320000000001</v>
      </c>
      <c r="S2351">
        <v>-0.80456539999999999</v>
      </c>
      <c r="T2351">
        <v>-0.17477790000000001</v>
      </c>
      <c r="U2351">
        <v>-2.907959</v>
      </c>
      <c r="V2351">
        <v>-0.26500069999999998</v>
      </c>
      <c r="W2351">
        <v>5.3662080000000001E-2</v>
      </c>
      <c r="X2351">
        <v>0.96275379999999999</v>
      </c>
      <c r="Y2351">
        <v>-0.1990895</v>
      </c>
      <c r="Z2351">
        <v>3.6363230000000003E-2</v>
      </c>
      <c r="AA2351">
        <v>0.97930649999999997</v>
      </c>
      <c r="AB2351">
        <v>22</v>
      </c>
      <c r="AC2351">
        <v>-5.03709999999995</v>
      </c>
      <c r="AD2351">
        <v>-1.1090346975659999</v>
      </c>
      <c r="AE2351">
        <v>-18.3201</v>
      </c>
      <c r="AF2351">
        <v>-3.79791563352211</v>
      </c>
      <c r="AG2351">
        <v>-1.1090346975659999</v>
      </c>
      <c r="AH2351">
        <v>18.550657029930299</v>
      </c>
      <c r="AI2351">
        <v>93.351941380303501</v>
      </c>
      <c r="AJ2351">
        <v>101.570396924875</v>
      </c>
      <c r="AK2351">
        <v>18.967893856774399</v>
      </c>
      <c r="AL2351">
        <v>86.923911561561397</v>
      </c>
      <c r="AM2351">
        <v>105.389717537484</v>
      </c>
      <c r="AN2351">
        <v>0.99999993462242598</v>
      </c>
    </row>
    <row r="2352" spans="1:40" x14ac:dyDescent="0.25">
      <c r="A2352" t="str">
        <f>"20190305135837025"</f>
        <v>20190305135837025</v>
      </c>
      <c r="B2352" t="str">
        <f>"1551765517021082"</f>
        <v>1551765517021082</v>
      </c>
      <c r="C2352" t="s">
        <v>40</v>
      </c>
      <c r="D2352">
        <v>4.0559139999999996</v>
      </c>
      <c r="E2352">
        <v>0.49426750000000003</v>
      </c>
      <c r="F2352" t="s">
        <v>42</v>
      </c>
      <c r="G2352">
        <v>-491.42430000000002</v>
      </c>
      <c r="H2352" s="1">
        <v>-2.9139120000000001E-6</v>
      </c>
      <c r="I2352">
        <v>255.49809999999999</v>
      </c>
      <c r="J2352">
        <v>-486.5616</v>
      </c>
      <c r="K2352">
        <v>1.1090799999999901</v>
      </c>
      <c r="L2352">
        <v>273.08780000000002</v>
      </c>
      <c r="M2352">
        <v>-0.45413819999999999</v>
      </c>
      <c r="N2352">
        <v>-1.316839E-2</v>
      </c>
      <c r="O2352">
        <v>-0.89083409999999996</v>
      </c>
      <c r="P2352">
        <v>-0.20307549999999999</v>
      </c>
      <c r="Q2352">
        <v>3.726906E-2</v>
      </c>
      <c r="R2352">
        <v>-0.97845389999999999</v>
      </c>
      <c r="S2352">
        <v>-0.81030269999999904</v>
      </c>
      <c r="T2352">
        <v>-0.18144740000000001</v>
      </c>
      <c r="U2352">
        <v>-2.90625</v>
      </c>
      <c r="V2352">
        <v>-0.263353</v>
      </c>
      <c r="W2352">
        <v>5.0570200000000003E-2</v>
      </c>
      <c r="X2352">
        <v>0.96337309999999998</v>
      </c>
      <c r="Y2352">
        <v>-0.1983336</v>
      </c>
      <c r="Z2352">
        <v>3.8443730000000002E-2</v>
      </c>
      <c r="AA2352">
        <v>0.97938029999999998</v>
      </c>
      <c r="AB2352">
        <v>22</v>
      </c>
      <c r="AC2352">
        <v>-4.86270000000001</v>
      </c>
      <c r="AD2352">
        <v>-1.10908291391199</v>
      </c>
      <c r="AE2352">
        <v>-17.589700000000001</v>
      </c>
      <c r="AF2352">
        <v>-3.6431565538846402</v>
      </c>
      <c r="AG2352">
        <v>-1.10908291391199</v>
      </c>
      <c r="AH2352">
        <v>17.813597067018598</v>
      </c>
      <c r="AI2352">
        <v>93.490595615134495</v>
      </c>
      <c r="AJ2352">
        <v>101.55848295361299</v>
      </c>
      <c r="AK2352">
        <v>18.2161163548144</v>
      </c>
      <c r="AL2352">
        <v>87.101304402733803</v>
      </c>
      <c r="AM2352">
        <v>105.28915100898899</v>
      </c>
      <c r="AN2352">
        <v>0.999999938770323</v>
      </c>
    </row>
    <row r="2353" spans="1:40" x14ac:dyDescent="0.25">
      <c r="A2353" t="str">
        <f>"20190305135837043"</f>
        <v>20190305135837043</v>
      </c>
      <c r="B2353" t="str">
        <f>"1551765517030842"</f>
        <v>1551765517030842</v>
      </c>
      <c r="C2353" t="s">
        <v>40</v>
      </c>
      <c r="D2353">
        <v>4.0755489999999996</v>
      </c>
      <c r="E2353">
        <v>0.48854819999999999</v>
      </c>
      <c r="F2353" t="s">
        <v>42</v>
      </c>
      <c r="G2353">
        <v>-489.6309</v>
      </c>
      <c r="H2353" s="1">
        <v>-3.454655E-6</v>
      </c>
      <c r="I2353">
        <v>257.53300000000002</v>
      </c>
      <c r="J2353">
        <v>-486.64229999999998</v>
      </c>
      <c r="K2353">
        <v>1.1091949999999999</v>
      </c>
      <c r="L2353">
        <v>272.93209999999999</v>
      </c>
      <c r="M2353">
        <v>-0.4549762</v>
      </c>
      <c r="N2353">
        <v>-1.304495E-2</v>
      </c>
      <c r="O2353">
        <v>-0.89040810000000004</v>
      </c>
      <c r="P2353">
        <v>-0.20524400000000001</v>
      </c>
      <c r="Q2353">
        <v>3.5018269999999997E-2</v>
      </c>
      <c r="R2353">
        <v>-0.97808430000000002</v>
      </c>
      <c r="S2353">
        <v>-0.58270259999999996</v>
      </c>
      <c r="T2353">
        <v>-0.2105591</v>
      </c>
      <c r="U2353">
        <v>-2.9530639999999999</v>
      </c>
      <c r="V2353">
        <v>-0.26218160000000001</v>
      </c>
      <c r="W2353">
        <v>4.8115570000000003E-2</v>
      </c>
      <c r="X2353">
        <v>0.96381830000000002</v>
      </c>
      <c r="Y2353">
        <v>-0.27406469999999999</v>
      </c>
      <c r="Z2353">
        <v>4.5292150000000003E-2</v>
      </c>
      <c r="AA2353">
        <v>0.9606441</v>
      </c>
      <c r="AB2353">
        <v>22</v>
      </c>
      <c r="AC2353">
        <v>-2.9886000000000101</v>
      </c>
      <c r="AD2353">
        <v>-1.109198454655</v>
      </c>
      <c r="AE2353">
        <v>-15.399099999999899</v>
      </c>
      <c r="AF2353">
        <v>-4.3239003748102203</v>
      </c>
      <c r="AG2353">
        <v>-1.109198454655</v>
      </c>
      <c r="AH2353">
        <v>14.9975193436333</v>
      </c>
      <c r="AI2353">
        <v>94.0648489940465</v>
      </c>
      <c r="AJ2353">
        <v>106.08267905449399</v>
      </c>
      <c r="AK2353">
        <v>15.6477481487193</v>
      </c>
      <c r="AL2353">
        <v>87.242116098583494</v>
      </c>
      <c r="AM2353">
        <v>105.21760102944501</v>
      </c>
      <c r="AN2353">
        <v>1.00000000743493</v>
      </c>
    </row>
    <row r="2354" spans="1:40" x14ac:dyDescent="0.25">
      <c r="A2354" t="str">
        <f>"20190305135837059"</f>
        <v>20190305135837059</v>
      </c>
      <c r="B2354" t="str">
        <f>"1551765517051339"</f>
        <v>1551765517051339</v>
      </c>
      <c r="C2354" t="s">
        <v>40</v>
      </c>
      <c r="D2354">
        <v>4.0553589999999904</v>
      </c>
      <c r="E2354">
        <v>0.48325400000000002</v>
      </c>
      <c r="F2354" t="s">
        <v>42</v>
      </c>
      <c r="G2354">
        <v>-489.85849999999999</v>
      </c>
      <c r="H2354" s="1">
        <v>-2.491692E-6</v>
      </c>
      <c r="I2354">
        <v>255.38249999999999</v>
      </c>
      <c r="J2354">
        <v>-486.71089999999998</v>
      </c>
      <c r="K2354">
        <v>1.109334</v>
      </c>
      <c r="L2354">
        <v>272.8</v>
      </c>
      <c r="M2354">
        <v>-0.45560450000000002</v>
      </c>
      <c r="N2354">
        <v>-1.299545E-2</v>
      </c>
      <c r="O2354">
        <v>-0.89008739999999997</v>
      </c>
      <c r="P2354">
        <v>-0.2062852</v>
      </c>
      <c r="Q2354">
        <v>3.4399079999999999E-2</v>
      </c>
      <c r="R2354">
        <v>-0.97788730000000001</v>
      </c>
      <c r="S2354">
        <v>-0.54248050000000003</v>
      </c>
      <c r="T2354">
        <v>-0.18708720000000001</v>
      </c>
      <c r="U2354">
        <v>-2.960083</v>
      </c>
      <c r="V2354">
        <v>-0.26186140000000002</v>
      </c>
      <c r="W2354">
        <v>4.736779E-2</v>
      </c>
      <c r="X2354">
        <v>0.96394239999999998</v>
      </c>
      <c r="Y2354">
        <v>-0.2876995</v>
      </c>
      <c r="Z2354">
        <v>3.8664879999999999E-2</v>
      </c>
      <c r="AA2354">
        <v>0.95693989999999995</v>
      </c>
      <c r="AB2354">
        <v>22</v>
      </c>
      <c r="AC2354">
        <v>-3.1476000000000099</v>
      </c>
      <c r="AD2354">
        <v>-1.1093364916920001</v>
      </c>
      <c r="AE2354">
        <v>-17.4175</v>
      </c>
      <c r="AF2354">
        <v>-5.1141962278083701</v>
      </c>
      <c r="AG2354">
        <v>-1.1093364916920001</v>
      </c>
      <c r="AH2354">
        <v>16.872310484281901</v>
      </c>
      <c r="AI2354">
        <v>93.600413614317802</v>
      </c>
      <c r="AJ2354">
        <v>106.862674845312</v>
      </c>
      <c r="AK2354">
        <v>17.665233980514898</v>
      </c>
      <c r="AL2354">
        <v>87.285009696998799</v>
      </c>
      <c r="AM2354">
        <v>105.19800984050001</v>
      </c>
      <c r="AN2354">
        <v>1.0000000254285999</v>
      </c>
    </row>
    <row r="2355" spans="1:40" x14ac:dyDescent="0.25">
      <c r="A2355" t="str">
        <f>"20190305135837075"</f>
        <v>20190305135837075</v>
      </c>
      <c r="B2355" t="str">
        <f>"1551765517070859"</f>
        <v>1551765517070859</v>
      </c>
      <c r="C2355" t="s">
        <v>40</v>
      </c>
      <c r="D2355">
        <v>4.1154900000000003</v>
      </c>
      <c r="E2355">
        <v>0.48274669999999997</v>
      </c>
      <c r="F2355" t="s">
        <v>42</v>
      </c>
      <c r="G2355">
        <v>-490.3596</v>
      </c>
      <c r="H2355" s="1">
        <v>-7.9801480000000003E-7</v>
      </c>
      <c r="I2355">
        <v>251.22630000000001</v>
      </c>
      <c r="J2355">
        <v>-486.78820000000002</v>
      </c>
      <c r="K2355">
        <v>1.1095029999999999</v>
      </c>
      <c r="L2355">
        <v>272.6508</v>
      </c>
      <c r="M2355">
        <v>-0.45616259999999997</v>
      </c>
      <c r="N2355">
        <v>-1.2943680000000001E-2</v>
      </c>
      <c r="O2355">
        <v>-0.88980249999999905</v>
      </c>
      <c r="P2355">
        <v>-0.20669879999999999</v>
      </c>
      <c r="Q2355">
        <v>3.4806780000000002E-2</v>
      </c>
      <c r="R2355">
        <v>-0.97778540000000003</v>
      </c>
      <c r="S2355">
        <v>-0.50186160000000002</v>
      </c>
      <c r="T2355">
        <v>-0.1525831</v>
      </c>
      <c r="U2355">
        <v>-2.967346</v>
      </c>
      <c r="V2355">
        <v>-0.26206819999999997</v>
      </c>
      <c r="W2355">
        <v>4.7628320000000002E-2</v>
      </c>
      <c r="X2355">
        <v>0.96387330000000004</v>
      </c>
      <c r="Y2355">
        <v>-0.3013517</v>
      </c>
      <c r="Z2355">
        <v>2.908169E-2</v>
      </c>
      <c r="AA2355">
        <v>0.95306939999999996</v>
      </c>
      <c r="AB2355">
        <v>22</v>
      </c>
      <c r="AC2355">
        <v>-3.5713999999999801</v>
      </c>
      <c r="AD2355">
        <v>-1.1095037980147999</v>
      </c>
      <c r="AE2355">
        <v>-21.424499999999899</v>
      </c>
      <c r="AF2355">
        <v>-6.5786004968603402</v>
      </c>
      <c r="AG2355">
        <v>-1.1095037980147999</v>
      </c>
      <c r="AH2355">
        <v>20.640584276304999</v>
      </c>
      <c r="AI2355">
        <v>92.931847979778695</v>
      </c>
      <c r="AJ2355">
        <v>107.67820498052301</v>
      </c>
      <c r="AK2355">
        <v>21.691996276100301</v>
      </c>
      <c r="AL2355">
        <v>87.270065405065594</v>
      </c>
      <c r="AM2355">
        <v>105.210496285734</v>
      </c>
      <c r="AN2355">
        <v>0.99999996838507499</v>
      </c>
    </row>
    <row r="2356" spans="1:40" x14ac:dyDescent="0.25">
      <c r="A2356" t="str">
        <f>"20190305135837089"</f>
        <v>20190305135837089</v>
      </c>
      <c r="B2356" t="str">
        <f>"1551765517081595"</f>
        <v>1551765517081595</v>
      </c>
      <c r="C2356" t="s">
        <v>40</v>
      </c>
      <c r="D2356">
        <v>4.02583</v>
      </c>
      <c r="E2356">
        <v>0.48220039999999997</v>
      </c>
      <c r="F2356" t="s">
        <v>42</v>
      </c>
      <c r="G2356">
        <v>-490.68869999999998</v>
      </c>
      <c r="H2356" s="1">
        <v>-4.3580069999999996E-6</v>
      </c>
      <c r="I2356">
        <v>249.434</v>
      </c>
      <c r="J2356">
        <v>-486.84660000000002</v>
      </c>
      <c r="K2356">
        <v>1.1096269999999999</v>
      </c>
      <c r="L2356">
        <v>272.53809999999999</v>
      </c>
      <c r="M2356">
        <v>-0.45647409999999999</v>
      </c>
      <c r="N2356">
        <v>-1.2889309999999999E-2</v>
      </c>
      <c r="O2356">
        <v>-0.88964359999999998</v>
      </c>
      <c r="P2356">
        <v>-0.20670920000000001</v>
      </c>
      <c r="Q2356">
        <v>3.5591589999999999E-2</v>
      </c>
      <c r="R2356">
        <v>-0.97775509999999999</v>
      </c>
      <c r="S2356">
        <v>-0.49859619999999999</v>
      </c>
      <c r="T2356">
        <v>-0.14182879999999901</v>
      </c>
      <c r="U2356">
        <v>-2.9678040000000001</v>
      </c>
      <c r="V2356">
        <v>-0.26239489999999999</v>
      </c>
      <c r="W2356">
        <v>4.8285130000000002E-2</v>
      </c>
      <c r="X2356">
        <v>0.96375169999999999</v>
      </c>
      <c r="Y2356">
        <v>-0.30272300000000002</v>
      </c>
      <c r="Z2356">
        <v>2.6186020000000001E-2</v>
      </c>
      <c r="AA2356">
        <v>0.95271879999999998</v>
      </c>
      <c r="AB2356">
        <v>22</v>
      </c>
      <c r="AC2356">
        <v>-3.8420999999999599</v>
      </c>
      <c r="AD2356">
        <v>-1.1096313580069901</v>
      </c>
      <c r="AE2356">
        <v>-23.104099999999899</v>
      </c>
      <c r="AF2356">
        <v>-7.1129486116250904</v>
      </c>
      <c r="AG2356">
        <v>-1.1096313580069901</v>
      </c>
      <c r="AH2356">
        <v>22.260117567137101</v>
      </c>
      <c r="AI2356">
        <v>92.718544565632499</v>
      </c>
      <c r="AJ2356">
        <v>107.720645274718</v>
      </c>
      <c r="AK2356">
        <v>23.395259216453599</v>
      </c>
      <c r="AL2356">
        <v>87.232389529663294</v>
      </c>
      <c r="AM2356">
        <v>105.23041025450701</v>
      </c>
      <c r="AN2356">
        <v>0.99999993828900602</v>
      </c>
    </row>
    <row r="2357" spans="1:40" x14ac:dyDescent="0.25">
      <c r="A2357" t="str">
        <f>"20190305135837102"</f>
        <v>20190305135837102</v>
      </c>
      <c r="B2357" t="str">
        <f>"1551765517091355"</f>
        <v>1551765517091355</v>
      </c>
      <c r="C2357" t="s">
        <v>40</v>
      </c>
      <c r="D2357">
        <v>4.0322389999999997</v>
      </c>
      <c r="E2357">
        <v>0.48189090000000001</v>
      </c>
      <c r="F2357" t="s">
        <v>42</v>
      </c>
      <c r="G2357">
        <v>-490.9085</v>
      </c>
      <c r="H2357" s="1">
        <v>-3.9156320000000003E-6</v>
      </c>
      <c r="I2357">
        <v>248.15299999999999</v>
      </c>
      <c r="J2357">
        <v>-486.90649999999999</v>
      </c>
      <c r="K2357">
        <v>1.1097520000000001</v>
      </c>
      <c r="L2357">
        <v>272.42239999999998</v>
      </c>
      <c r="M2357">
        <v>-0.45672030000000002</v>
      </c>
      <c r="N2357">
        <v>-1.2829500000000001E-2</v>
      </c>
      <c r="O2357">
        <v>-0.88951809999999998</v>
      </c>
      <c r="P2357">
        <v>-0.20601069999999999</v>
      </c>
      <c r="Q2357">
        <v>3.641519E-2</v>
      </c>
      <c r="R2357">
        <v>-0.97787219999999997</v>
      </c>
      <c r="S2357">
        <v>-0.49450680000000002</v>
      </c>
      <c r="T2357">
        <v>-0.1350876</v>
      </c>
      <c r="U2357">
        <v>-2.968658</v>
      </c>
      <c r="V2357">
        <v>-0.26335009999999998</v>
      </c>
      <c r="W2357">
        <v>4.8970489999999998E-2</v>
      </c>
      <c r="X2357">
        <v>0.9634566</v>
      </c>
      <c r="Y2357">
        <v>-0.30430469999999998</v>
      </c>
      <c r="Z2357">
        <v>2.4382629999999999E-2</v>
      </c>
      <c r="AA2357">
        <v>0.95226259999999996</v>
      </c>
      <c r="AB2357">
        <v>22</v>
      </c>
      <c r="AC2357">
        <v>-4.0019999999999998</v>
      </c>
      <c r="AD2357">
        <v>-1.109755915632</v>
      </c>
      <c r="AE2357">
        <v>-24.269399999999901</v>
      </c>
      <c r="AF2357">
        <v>-7.5098070231175802</v>
      </c>
      <c r="AG2357">
        <v>-1.109755915632</v>
      </c>
      <c r="AH2357">
        <v>23.370215293141101</v>
      </c>
      <c r="AI2357">
        <v>92.588527800410006</v>
      </c>
      <c r="AJ2357">
        <v>107.81433821538801</v>
      </c>
      <c r="AK2357">
        <v>24.572255137950101</v>
      </c>
      <c r="AL2357">
        <v>87.193074959593403</v>
      </c>
      <c r="AM2357">
        <v>105.287727477072</v>
      </c>
      <c r="AN2357">
        <v>1.0000000020722</v>
      </c>
    </row>
    <row r="2358" spans="1:40" x14ac:dyDescent="0.25">
      <c r="A2358" t="str">
        <f>"20190305135837116"</f>
        <v>20190305135837116</v>
      </c>
      <c r="B2358" t="str">
        <f>"1551765517110875"</f>
        <v>1551765517110875</v>
      </c>
      <c r="C2358" t="s">
        <v>40</v>
      </c>
      <c r="D2358">
        <v>4.0205919999999997</v>
      </c>
      <c r="E2358">
        <v>0.4814039</v>
      </c>
      <c r="F2358" t="s">
        <v>42</v>
      </c>
      <c r="G2358">
        <v>-491.07679999999999</v>
      </c>
      <c r="H2358" s="1">
        <v>-3.5352189999999999E-6</v>
      </c>
      <c r="I2358">
        <v>247.1619</v>
      </c>
      <c r="J2358">
        <v>-486.96940000000001</v>
      </c>
      <c r="K2358">
        <v>1.1098859999999999</v>
      </c>
      <c r="L2358">
        <v>272.30079999999998</v>
      </c>
      <c r="M2358">
        <v>-0.45686589999999999</v>
      </c>
      <c r="N2358">
        <v>-1.276532E-2</v>
      </c>
      <c r="O2358">
        <v>-0.88944419999999902</v>
      </c>
      <c r="P2358">
        <v>-0.20512540000000001</v>
      </c>
      <c r="Q2358">
        <v>3.7062900000000003E-2</v>
      </c>
      <c r="R2358">
        <v>-0.97803379999999995</v>
      </c>
      <c r="S2358">
        <v>-0.49023440000000001</v>
      </c>
      <c r="T2358">
        <v>-0.1304554</v>
      </c>
      <c r="U2358">
        <v>-2.969452</v>
      </c>
      <c r="V2358">
        <v>-0.26438450000000002</v>
      </c>
      <c r="W2358">
        <v>4.9466749999999997E-2</v>
      </c>
      <c r="X2358">
        <v>0.96314789999999995</v>
      </c>
      <c r="Y2358">
        <v>-0.30583310000000002</v>
      </c>
      <c r="Z2358">
        <v>2.316174E-2</v>
      </c>
      <c r="AA2358">
        <v>0.95180339999999997</v>
      </c>
      <c r="AB2358">
        <v>22</v>
      </c>
      <c r="AC2358">
        <v>-4.1073999999999797</v>
      </c>
      <c r="AD2358">
        <v>-1.1098895352189999</v>
      </c>
      <c r="AE2358">
        <v>-25.1388999999999</v>
      </c>
      <c r="AF2358">
        <v>-7.8175975219723703</v>
      </c>
      <c r="AG2358">
        <v>-1.1098895352189999</v>
      </c>
      <c r="AH2358">
        <v>24.1922195331429</v>
      </c>
      <c r="AI2358">
        <v>92.499673792804799</v>
      </c>
      <c r="AJ2358">
        <v>107.90798518218</v>
      </c>
      <c r="AK2358">
        <v>25.448186020534301</v>
      </c>
      <c r="AL2358">
        <v>87.164606848092404</v>
      </c>
      <c r="AM2358">
        <v>105.34963633868099</v>
      </c>
      <c r="AN2358">
        <v>1.0000000002351099</v>
      </c>
    </row>
    <row r="2359" spans="1:40" x14ac:dyDescent="0.25">
      <c r="A2359" t="str">
        <f>"20190305135837132"</f>
        <v>20190305135837132</v>
      </c>
      <c r="B2359" t="str">
        <f>"1551765517121611"</f>
        <v>1551765517121611</v>
      </c>
      <c r="C2359" t="s">
        <v>40</v>
      </c>
      <c r="D2359">
        <v>4.0111330000000001</v>
      </c>
      <c r="E2359">
        <v>0.48121520000000001</v>
      </c>
      <c r="F2359" t="s">
        <v>42</v>
      </c>
      <c r="G2359">
        <v>-491.26729999999998</v>
      </c>
      <c r="H2359" s="1">
        <v>-3.0501709999999999E-6</v>
      </c>
      <c r="I2359">
        <v>245.91309999999999</v>
      </c>
      <c r="J2359">
        <v>-487.03719999999998</v>
      </c>
      <c r="K2359">
        <v>1.1100399999999999</v>
      </c>
      <c r="L2359">
        <v>272.16910000000001</v>
      </c>
      <c r="M2359">
        <v>-0.45687169999999999</v>
      </c>
      <c r="N2359">
        <v>-1.271186E-2</v>
      </c>
      <c r="O2359">
        <v>-0.88944190000000001</v>
      </c>
      <c r="P2359">
        <v>-0.20234150000000001</v>
      </c>
      <c r="Q2359">
        <v>3.8925069999999999E-2</v>
      </c>
      <c r="R2359">
        <v>-0.97854140000000001</v>
      </c>
      <c r="S2359">
        <v>-0.48385620000000001</v>
      </c>
      <c r="T2359">
        <v>-0.12494909999999999</v>
      </c>
      <c r="U2359">
        <v>-2.9706730000000001</v>
      </c>
      <c r="V2359">
        <v>-0.26711699999999999</v>
      </c>
      <c r="W2359">
        <v>5.1170710000000001E-2</v>
      </c>
      <c r="X2359">
        <v>0.96230450000000001</v>
      </c>
      <c r="Y2359">
        <v>-0.30788949999999998</v>
      </c>
      <c r="Z2359">
        <v>2.169016E-2</v>
      </c>
      <c r="AA2359">
        <v>0.95117490000000005</v>
      </c>
      <c r="AB2359">
        <v>22</v>
      </c>
      <c r="AC2359">
        <v>-4.2300999999999904</v>
      </c>
      <c r="AD2359">
        <v>-1.1100430501709999</v>
      </c>
      <c r="AE2359">
        <v>-26.256</v>
      </c>
      <c r="AF2359">
        <v>-8.2195395561326592</v>
      </c>
      <c r="AG2359">
        <v>-1.1100430501709999</v>
      </c>
      <c r="AH2359">
        <v>25.243860353552598</v>
      </c>
      <c r="AI2359">
        <v>92.394266612628201</v>
      </c>
      <c r="AJ2359">
        <v>108.035533840358</v>
      </c>
      <c r="AK2359">
        <v>26.571516923911801</v>
      </c>
      <c r="AL2359">
        <v>87.066853115518995</v>
      </c>
      <c r="AM2359">
        <v>105.513618938221</v>
      </c>
      <c r="AN2359">
        <v>0.99999994198557496</v>
      </c>
    </row>
    <row r="2360" spans="1:40" x14ac:dyDescent="0.25">
      <c r="A2360" t="str">
        <f>"20190305135837145"</f>
        <v>20190305135837145</v>
      </c>
      <c r="B2360" t="str">
        <f>"1551765517141131"</f>
        <v>1551765517141131</v>
      </c>
      <c r="C2360" t="s">
        <v>40</v>
      </c>
      <c r="D2360">
        <v>4.0169439999999996</v>
      </c>
      <c r="E2360">
        <v>0.48075400000000001</v>
      </c>
      <c r="F2360" t="s">
        <v>42</v>
      </c>
      <c r="G2360">
        <v>-491.50839999999999</v>
      </c>
      <c r="H2360" s="1">
        <v>-2.3513229999999998E-6</v>
      </c>
      <c r="I2360">
        <v>244.13460000000001</v>
      </c>
      <c r="J2360">
        <v>-487.09390000000002</v>
      </c>
      <c r="K2360">
        <v>1.110174</v>
      </c>
      <c r="L2360">
        <v>272.0591</v>
      </c>
      <c r="M2360">
        <v>-0.45678239999999998</v>
      </c>
      <c r="N2360">
        <v>-1.26762E-2</v>
      </c>
      <c r="O2360">
        <v>-0.88948799999999995</v>
      </c>
      <c r="P2360">
        <v>-0.2010074</v>
      </c>
      <c r="Q2360">
        <v>3.9921159999999997E-2</v>
      </c>
      <c r="R2360">
        <v>-0.97877559999999997</v>
      </c>
      <c r="S2360">
        <v>-0.47406009999999998</v>
      </c>
      <c r="T2360">
        <v>-0.1176941</v>
      </c>
      <c r="U2360">
        <v>-2.9724119999999998</v>
      </c>
      <c r="V2360">
        <v>-0.26833079999999998</v>
      </c>
      <c r="W2360">
        <v>5.2041199999999899E-2</v>
      </c>
      <c r="X2360">
        <v>0.96192009999999994</v>
      </c>
      <c r="Y2360">
        <v>-0.31093399999999999</v>
      </c>
      <c r="Z2360">
        <v>1.971908E-2</v>
      </c>
      <c r="AA2360">
        <v>0.95022689999999999</v>
      </c>
      <c r="AB2360">
        <v>22</v>
      </c>
      <c r="AC2360">
        <v>-4.4144999999999701</v>
      </c>
      <c r="AD2360">
        <v>-1.1101763513230001</v>
      </c>
      <c r="AE2360">
        <v>-27.924499999999899</v>
      </c>
      <c r="AF2360">
        <v>-8.8158915057814404</v>
      </c>
      <c r="AG2360">
        <v>-1.1101763513230001</v>
      </c>
      <c r="AH2360">
        <v>26.815784051811502</v>
      </c>
      <c r="AI2360">
        <v>92.252239010030607</v>
      </c>
      <c r="AJ2360">
        <v>108.19867012298501</v>
      </c>
      <c r="AK2360">
        <v>28.249578915200399</v>
      </c>
      <c r="AL2360">
        <v>87.016911310111695</v>
      </c>
      <c r="AM2360">
        <v>105.58662057085201</v>
      </c>
      <c r="AN2360">
        <v>0.99999999175504495</v>
      </c>
    </row>
    <row r="2361" spans="1:40" x14ac:dyDescent="0.25">
      <c r="A2361" t="str">
        <f>"20190305135837165"</f>
        <v>20190305135837165</v>
      </c>
      <c r="B2361" t="str">
        <f>"1551765517160651"</f>
        <v>1551765517160651</v>
      </c>
      <c r="C2361" t="s">
        <v>40</v>
      </c>
      <c r="D2361">
        <v>4.0147570000000004</v>
      </c>
      <c r="E2361">
        <v>0.48061409999999999</v>
      </c>
      <c r="F2361" t="s">
        <v>42</v>
      </c>
      <c r="G2361">
        <v>-491.69110000000001</v>
      </c>
      <c r="H2361" s="1">
        <v>-1.799219E-6</v>
      </c>
      <c r="I2361">
        <v>242.73429999999999</v>
      </c>
      <c r="J2361">
        <v>-487.1814</v>
      </c>
      <c r="K2361">
        <v>1.110395</v>
      </c>
      <c r="L2361">
        <v>271.88839999999999</v>
      </c>
      <c r="M2361">
        <v>-0.45644390000000001</v>
      </c>
      <c r="N2361">
        <v>-1.263512E-2</v>
      </c>
      <c r="O2361">
        <v>-0.88966270000000003</v>
      </c>
      <c r="P2361">
        <v>-0.19822190000000001</v>
      </c>
      <c r="Q2361">
        <v>4.180888E-2</v>
      </c>
      <c r="R2361">
        <v>-0.97926539999999995</v>
      </c>
      <c r="S2361">
        <v>-0.46621699999999999</v>
      </c>
      <c r="T2361">
        <v>-0.1125859</v>
      </c>
      <c r="U2361">
        <v>-2.9739070000000001</v>
      </c>
      <c r="V2361">
        <v>-0.2706944</v>
      </c>
      <c r="W2361">
        <v>5.3735890000000001E-2</v>
      </c>
      <c r="X2361">
        <v>0.96116440000000003</v>
      </c>
      <c r="Y2361">
        <v>-0.31308970000000003</v>
      </c>
      <c r="Z2361">
        <v>1.835262E-2</v>
      </c>
      <c r="AA2361">
        <v>0.94954620000000001</v>
      </c>
      <c r="AB2361">
        <v>22</v>
      </c>
      <c r="AC2361">
        <v>-4.5096999999999996</v>
      </c>
      <c r="AD2361">
        <v>-1.110396799219</v>
      </c>
      <c r="AE2361">
        <v>-29.1541</v>
      </c>
      <c r="AF2361">
        <v>-9.2826883316722402</v>
      </c>
      <c r="AG2361">
        <v>-1.110396799219</v>
      </c>
      <c r="AH2361">
        <v>27.958360228492602</v>
      </c>
      <c r="AI2361">
        <v>92.158618535133201</v>
      </c>
      <c r="AJ2361">
        <v>108.367112844318</v>
      </c>
      <c r="AK2361">
        <v>29.480013405370698</v>
      </c>
      <c r="AL2361">
        <v>86.919676662990696</v>
      </c>
      <c r="AM2361">
        <v>105.72890447663001</v>
      </c>
      <c r="AN2361">
        <v>1.0000000039464001</v>
      </c>
    </row>
    <row r="2362" spans="1:40" x14ac:dyDescent="0.25">
      <c r="A2362" t="str">
        <f>"20190305135837180"</f>
        <v>20190305135837180</v>
      </c>
      <c r="B2362" t="str">
        <f>"1551765517171387"</f>
        <v>1551765517171387</v>
      </c>
      <c r="C2362" t="s">
        <v>40</v>
      </c>
      <c r="D2362">
        <v>4.0125900000000003</v>
      </c>
      <c r="E2362">
        <v>0.4805508</v>
      </c>
      <c r="F2362" t="s">
        <v>42</v>
      </c>
      <c r="G2362">
        <v>-491.97750000000002</v>
      </c>
      <c r="H2362" s="1">
        <v>-9.547930999999999E-7</v>
      </c>
      <c r="I2362">
        <v>240.5883</v>
      </c>
      <c r="J2362">
        <v>-487.24860000000001</v>
      </c>
      <c r="K2362">
        <v>1.110574</v>
      </c>
      <c r="L2362">
        <v>271.75689999999997</v>
      </c>
      <c r="M2362">
        <v>-0.45602880000000001</v>
      </c>
      <c r="N2362">
        <v>-1.260847E-2</v>
      </c>
      <c r="O2362">
        <v>-0.88987590000000005</v>
      </c>
      <c r="P2362">
        <v>-0.19688510000000001</v>
      </c>
      <c r="Q2362">
        <v>4.208746E-2</v>
      </c>
      <c r="R2362">
        <v>-0.97952300000000003</v>
      </c>
      <c r="S2362">
        <v>-0.45596310000000001</v>
      </c>
      <c r="T2362">
        <v>-0.1055654</v>
      </c>
      <c r="U2362">
        <v>-2.975708</v>
      </c>
      <c r="V2362">
        <v>-0.27157599999999998</v>
      </c>
      <c r="W2362">
        <v>5.3868739999999998E-2</v>
      </c>
      <c r="X2362">
        <v>0.96090819999999999</v>
      </c>
      <c r="Y2362">
        <v>-0.31592769999999998</v>
      </c>
      <c r="Z2362">
        <v>1.6449519999999999E-2</v>
      </c>
      <c r="AA2362">
        <v>0.94864059999999994</v>
      </c>
      <c r="AB2362">
        <v>22</v>
      </c>
      <c r="AC2362">
        <v>-4.7289000000000003</v>
      </c>
      <c r="AD2362">
        <v>-1.1105749547931001</v>
      </c>
      <c r="AE2362">
        <v>-31.168599999999898</v>
      </c>
      <c r="AF2362">
        <v>-9.9940359738272804</v>
      </c>
      <c r="AG2362">
        <v>-1.1105749547931001</v>
      </c>
      <c r="AH2362">
        <v>29.858017298520899</v>
      </c>
      <c r="AI2362">
        <v>92.020086650984496</v>
      </c>
      <c r="AJ2362">
        <v>108.50635589162999</v>
      </c>
      <c r="AK2362">
        <v>31.505798335784799</v>
      </c>
      <c r="AL2362">
        <v>86.912053763332906</v>
      </c>
      <c r="AM2362">
        <v>105.781580835932</v>
      </c>
      <c r="AN2362">
        <v>0.99999996687621295</v>
      </c>
    </row>
    <row r="2363" spans="1:40" x14ac:dyDescent="0.25">
      <c r="A2363" t="str">
        <f>"20190305135837191"</f>
        <v>20190305135837191</v>
      </c>
      <c r="B2363" t="str">
        <f>"1551765517181147"</f>
        <v>1551765517181147</v>
      </c>
      <c r="C2363" t="s">
        <v>40</v>
      </c>
      <c r="D2363">
        <v>4.0075900000000004</v>
      </c>
      <c r="E2363">
        <v>0.48046299999999997</v>
      </c>
      <c r="F2363" t="s">
        <v>42</v>
      </c>
      <c r="G2363">
        <v>-492.08300000000003</v>
      </c>
      <c r="H2363" s="1">
        <v>-6.8033980000000003E-7</v>
      </c>
      <c r="I2363">
        <v>239.88300000000001</v>
      </c>
      <c r="J2363">
        <v>-487.3014</v>
      </c>
      <c r="K2363">
        <v>1.1107129999999901</v>
      </c>
      <c r="L2363">
        <v>271.65309999999999</v>
      </c>
      <c r="M2363">
        <v>-0.45556600000000003</v>
      </c>
      <c r="N2363">
        <v>-1.258866E-2</v>
      </c>
      <c r="O2363">
        <v>-0.89011319999999905</v>
      </c>
      <c r="P2363">
        <v>-0.1953887</v>
      </c>
      <c r="Q2363">
        <v>4.3162289999999999E-2</v>
      </c>
      <c r="R2363">
        <v>-0.97977599999999998</v>
      </c>
      <c r="S2363">
        <v>-0.45144649999999997</v>
      </c>
      <c r="T2363">
        <v>-0.1037064</v>
      </c>
      <c r="U2363">
        <v>-2.97641</v>
      </c>
      <c r="V2363">
        <v>-0.27254349999999999</v>
      </c>
      <c r="W2363">
        <v>5.4827189999999998E-2</v>
      </c>
      <c r="X2363">
        <v>0.96058010000000005</v>
      </c>
      <c r="Y2363">
        <v>-0.3168744</v>
      </c>
      <c r="Z2363">
        <v>1.596295E-2</v>
      </c>
      <c r="AA2363">
        <v>0.94833310000000004</v>
      </c>
      <c r="AB2363">
        <v>22</v>
      </c>
      <c r="AC2363">
        <v>-4.7816000000000196</v>
      </c>
      <c r="AD2363">
        <v>-1.1107136803397999</v>
      </c>
      <c r="AE2363">
        <v>-31.770099999999999</v>
      </c>
      <c r="AF2363">
        <v>-10.205821963238</v>
      </c>
      <c r="AG2363">
        <v>-1.1107136803397999</v>
      </c>
      <c r="AH2363">
        <v>30.423365976045702</v>
      </c>
      <c r="AI2363">
        <v>91.982383232923794</v>
      </c>
      <c r="AJ2363">
        <v>108.54454223489699</v>
      </c>
      <c r="AK2363">
        <v>32.108778926290803</v>
      </c>
      <c r="AL2363">
        <v>86.857057613092394</v>
      </c>
      <c r="AM2363">
        <v>105.840125735428</v>
      </c>
      <c r="AN2363">
        <v>1.0000000543357701</v>
      </c>
    </row>
    <row r="2364" spans="1:40" x14ac:dyDescent="0.25">
      <c r="A2364" t="str">
        <f>"20190305135837206"</f>
        <v>20190305135837206</v>
      </c>
      <c r="B2364" t="str">
        <f>"1551765517200667"</f>
        <v>1551765517200667</v>
      </c>
      <c r="C2364" t="s">
        <v>40</v>
      </c>
      <c r="D2364">
        <v>4.0073290000000004</v>
      </c>
      <c r="E2364">
        <v>0.48040690000000003</v>
      </c>
      <c r="F2364" t="s">
        <v>42</v>
      </c>
      <c r="G2364">
        <v>-492.24549999999999</v>
      </c>
      <c r="H2364" s="1">
        <v>-4.3661340000000001E-6</v>
      </c>
      <c r="I2364">
        <v>238.6464</v>
      </c>
      <c r="J2364">
        <v>-487.35930000000002</v>
      </c>
      <c r="K2364">
        <v>1.110862</v>
      </c>
      <c r="L2364">
        <v>271.53859999999997</v>
      </c>
      <c r="M2364">
        <v>-0.45496229999999999</v>
      </c>
      <c r="N2364">
        <v>-1.2567979999999999E-2</v>
      </c>
      <c r="O2364">
        <v>-0.89042199999999905</v>
      </c>
      <c r="P2364">
        <v>-0.1939545</v>
      </c>
      <c r="Q2364">
        <v>4.4344090000000003E-2</v>
      </c>
      <c r="R2364">
        <v>-0.98000790000000004</v>
      </c>
      <c r="S2364">
        <v>-0.44598389999999999</v>
      </c>
      <c r="T2364">
        <v>-0.100193</v>
      </c>
      <c r="U2364">
        <v>-2.9773860000000001</v>
      </c>
      <c r="V2364">
        <v>-0.27329700000000001</v>
      </c>
      <c r="W2364">
        <v>5.588224E-2</v>
      </c>
      <c r="X2364">
        <v>0.96030519999999997</v>
      </c>
      <c r="Y2364">
        <v>-0.3179787</v>
      </c>
      <c r="Z2364">
        <v>1.5028700000000001E-2</v>
      </c>
      <c r="AA2364">
        <v>0.94797869999999995</v>
      </c>
      <c r="AB2364">
        <v>22</v>
      </c>
      <c r="AC2364">
        <v>-4.8861999999999703</v>
      </c>
      <c r="AD2364">
        <v>-1.1108663661339999</v>
      </c>
      <c r="AE2364">
        <v>-32.892199999999903</v>
      </c>
      <c r="AF2364">
        <v>-10.6029367027317</v>
      </c>
      <c r="AG2364">
        <v>-1.1108663661339999</v>
      </c>
      <c r="AH2364">
        <v>31.478335116506599</v>
      </c>
      <c r="AI2364">
        <v>91.915465167234998</v>
      </c>
      <c r="AJ2364">
        <v>108.615214728852</v>
      </c>
      <c r="AK2364">
        <v>33.234648674427604</v>
      </c>
      <c r="AL2364">
        <v>86.796514944000407</v>
      </c>
      <c r="AM2364">
        <v>105.886029649094</v>
      </c>
      <c r="AN2364">
        <v>1.00000007605172</v>
      </c>
    </row>
    <row r="2365" spans="1:40" x14ac:dyDescent="0.25">
      <c r="A2365" t="str">
        <f>"20190305135837223"</f>
        <v>20190305135837223</v>
      </c>
      <c r="B2365" t="str">
        <f>"1551765517211403"</f>
        <v>1551765517211403</v>
      </c>
      <c r="C2365" t="s">
        <v>40</v>
      </c>
      <c r="D2365">
        <v>4.0828920000000002</v>
      </c>
      <c r="E2365">
        <v>0.48078549999999998</v>
      </c>
      <c r="F2365" t="s">
        <v>42</v>
      </c>
      <c r="G2365">
        <v>-492.43200000000002</v>
      </c>
      <c r="H2365" s="1">
        <v>-3.9429760000000004E-6</v>
      </c>
      <c r="I2365">
        <v>237.3057</v>
      </c>
      <c r="J2365">
        <v>-487.43549999999999</v>
      </c>
      <c r="K2365">
        <v>1.1110640000000001</v>
      </c>
      <c r="L2365">
        <v>271.38740000000001</v>
      </c>
      <c r="M2365">
        <v>-0.45398460000000002</v>
      </c>
      <c r="N2365">
        <v>-1.2543540000000001E-2</v>
      </c>
      <c r="O2365">
        <v>-0.89092119999999997</v>
      </c>
      <c r="P2365">
        <v>-0.19208529999999999</v>
      </c>
      <c r="Q2365">
        <v>4.5830570000000001E-2</v>
      </c>
      <c r="R2365">
        <v>-0.98030759999999995</v>
      </c>
      <c r="S2365">
        <v>-0.4413147</v>
      </c>
      <c r="T2365">
        <v>-9.6643809999999997E-2</v>
      </c>
      <c r="U2365">
        <v>-2.9782099999999998</v>
      </c>
      <c r="V2365">
        <v>-0.2740744</v>
      </c>
      <c r="W2365">
        <v>5.7203360000000002E-2</v>
      </c>
      <c r="X2365">
        <v>0.96000569999999996</v>
      </c>
      <c r="Y2365">
        <v>-0.31843110000000002</v>
      </c>
      <c r="Z2365">
        <v>1.4101900000000001E-2</v>
      </c>
      <c r="AA2365">
        <v>0.94784109999999999</v>
      </c>
      <c r="AB2365">
        <v>22</v>
      </c>
      <c r="AC2365">
        <v>-4.9964999999999602</v>
      </c>
      <c r="AD2365">
        <v>-1.111067942976</v>
      </c>
      <c r="AE2365">
        <v>-34.081699999999998</v>
      </c>
      <c r="AF2365">
        <v>-11.010491219843299</v>
      </c>
      <c r="AG2365">
        <v>-1.111067942976</v>
      </c>
      <c r="AH2365">
        <v>32.601093141393797</v>
      </c>
      <c r="AI2365">
        <v>91.849375641244293</v>
      </c>
      <c r="AJ2365">
        <v>108.661564062369</v>
      </c>
      <c r="AK2365">
        <v>34.428137662237702</v>
      </c>
      <c r="AL2365">
        <v>86.720698712217697</v>
      </c>
      <c r="AM2365">
        <v>105.933645368394</v>
      </c>
      <c r="AN2365">
        <v>0.99999997258156903</v>
      </c>
    </row>
    <row r="2366" spans="1:40" x14ac:dyDescent="0.25">
      <c r="A2366" t="str">
        <f>"20190305135837243"</f>
        <v>20190305135837243</v>
      </c>
      <c r="B2366" t="str">
        <f>"1551765517230923"</f>
        <v>1551765517230923</v>
      </c>
      <c r="C2366" t="s">
        <v>40</v>
      </c>
      <c r="D2366">
        <v>4.0039639999999999</v>
      </c>
      <c r="E2366">
        <v>0.48114129999999999</v>
      </c>
      <c r="F2366" t="s">
        <v>42</v>
      </c>
      <c r="G2366">
        <v>-492.54160000000002</v>
      </c>
      <c r="H2366" s="1">
        <v>-3.709071E-6</v>
      </c>
      <c r="I2366">
        <v>236.65860000000001</v>
      </c>
      <c r="J2366">
        <v>-487.52449999999999</v>
      </c>
      <c r="K2366">
        <v>1.111297</v>
      </c>
      <c r="L2366">
        <v>271.20929999999998</v>
      </c>
      <c r="M2366">
        <v>-0.45251770000000002</v>
      </c>
      <c r="N2366">
        <v>-1.252165E-2</v>
      </c>
      <c r="O2366">
        <v>-0.89166769999999995</v>
      </c>
      <c r="P2366">
        <v>-0.19034960000000001</v>
      </c>
      <c r="Q2366">
        <v>4.5051090000000002E-2</v>
      </c>
      <c r="R2366">
        <v>-0.98068239999999995</v>
      </c>
      <c r="S2366">
        <v>-0.4379883</v>
      </c>
      <c r="T2366">
        <v>-9.5303540000000006E-2</v>
      </c>
      <c r="U2366">
        <v>-2.9789119999999998</v>
      </c>
      <c r="V2366">
        <v>-0.27424340000000003</v>
      </c>
      <c r="W2366">
        <v>5.6235019999999997E-2</v>
      </c>
      <c r="X2366">
        <v>0.9600147</v>
      </c>
      <c r="Y2366">
        <v>-0.31793969999999999</v>
      </c>
      <c r="Z2366">
        <v>1.37882E-2</v>
      </c>
      <c r="AA2366">
        <v>0.94801069999999998</v>
      </c>
      <c r="AB2366">
        <v>22</v>
      </c>
      <c r="AC2366">
        <v>-5.0171000000000197</v>
      </c>
      <c r="AD2366">
        <v>-1.1113007090710001</v>
      </c>
      <c r="AE2366">
        <v>-34.5506999999999</v>
      </c>
      <c r="AF2366">
        <v>-11.150792658965001</v>
      </c>
      <c r="AG2366">
        <v>-1.1113007090710001</v>
      </c>
      <c r="AH2366">
        <v>33.047174708053902</v>
      </c>
      <c r="AI2366">
        <v>91.824984278784896</v>
      </c>
      <c r="AJ2366">
        <v>108.645447009671</v>
      </c>
      <c r="AK2366">
        <v>34.895428387882703</v>
      </c>
      <c r="AL2366">
        <v>86.776270130995798</v>
      </c>
      <c r="AM2366">
        <v>105.942829308699</v>
      </c>
      <c r="AN2366">
        <v>1.00000002206702</v>
      </c>
    </row>
    <row r="2367" spans="1:40" x14ac:dyDescent="0.25">
      <c r="A2367" t="str">
        <f>"20190305135837258"</f>
        <v>20190305135837258</v>
      </c>
      <c r="B2367" t="str">
        <f>"1551765517251419"</f>
        <v>1551765517251419</v>
      </c>
      <c r="C2367" t="s">
        <v>40</v>
      </c>
      <c r="D2367">
        <v>4.0023239999999998</v>
      </c>
      <c r="E2367">
        <v>0.48144999999999999</v>
      </c>
      <c r="F2367" t="s">
        <v>42</v>
      </c>
      <c r="G2367">
        <v>-492.33150000000001</v>
      </c>
      <c r="H2367" s="1">
        <v>-4.2766690000000003E-6</v>
      </c>
      <c r="I2367">
        <v>238.33869999999999</v>
      </c>
      <c r="J2367">
        <v>-487.58940000000001</v>
      </c>
      <c r="K2367">
        <v>1.1114649999999999</v>
      </c>
      <c r="L2367">
        <v>271.07859999999999</v>
      </c>
      <c r="M2367">
        <v>-0.45126450000000001</v>
      </c>
      <c r="N2367">
        <v>-1.250947E-2</v>
      </c>
      <c r="O2367">
        <v>-0.89230279999999995</v>
      </c>
      <c r="P2367">
        <v>-0.18887799999999999</v>
      </c>
      <c r="Q2367">
        <v>4.3420790000000001E-2</v>
      </c>
      <c r="R2367">
        <v>-0.98104020000000003</v>
      </c>
      <c r="S2367">
        <v>-0.43566890000000003</v>
      </c>
      <c r="T2367">
        <v>-0.1007204</v>
      </c>
      <c r="U2367">
        <v>-2.9791560000000001</v>
      </c>
      <c r="V2367">
        <v>-0.27438699999999999</v>
      </c>
      <c r="W2367">
        <v>5.4469150000000001E-2</v>
      </c>
      <c r="X2367">
        <v>0.96007540000000002</v>
      </c>
      <c r="Y2367">
        <v>-0.31734059999999997</v>
      </c>
      <c r="Z2367">
        <v>1.5300009999999999E-2</v>
      </c>
      <c r="AA2367">
        <v>0.94818820000000004</v>
      </c>
      <c r="AB2367">
        <v>22</v>
      </c>
      <c r="AC2367">
        <v>-4.74209999999999</v>
      </c>
      <c r="AD2367">
        <v>-1.111469276669</v>
      </c>
      <c r="AE2367">
        <v>-32.739899999999999</v>
      </c>
      <c r="AF2367">
        <v>-10.531899698496201</v>
      </c>
      <c r="AG2367">
        <v>-1.111469276669</v>
      </c>
      <c r="AH2367">
        <v>31.3209371262278</v>
      </c>
      <c r="AI2367">
        <v>91.926462600064198</v>
      </c>
      <c r="AJ2367">
        <v>108.58560395910899</v>
      </c>
      <c r="AK2367">
        <v>33.062930566985202</v>
      </c>
      <c r="AL2367">
        <v>86.877602148532404</v>
      </c>
      <c r="AM2367">
        <v>105.949795567485</v>
      </c>
      <c r="AN2367">
        <v>0.999999943877939</v>
      </c>
    </row>
    <row r="2368" spans="1:40" x14ac:dyDescent="0.25">
      <c r="A2368" t="str">
        <f>"20190305135837270"</f>
        <v>20190305135837270</v>
      </c>
      <c r="B2368" t="str">
        <f>"1551765517261179"</f>
        <v>1551765517261179</v>
      </c>
      <c r="C2368" t="s">
        <v>40</v>
      </c>
      <c r="D2368">
        <v>4.0155560000000001</v>
      </c>
      <c r="E2368">
        <v>0.48132190000000002</v>
      </c>
      <c r="F2368" t="s">
        <v>42</v>
      </c>
      <c r="G2368">
        <v>-491.98599999999999</v>
      </c>
      <c r="H2368" s="1">
        <v>-1.0687090000000001E-6</v>
      </c>
      <c r="I2368">
        <v>240.8485</v>
      </c>
      <c r="J2368">
        <v>-487.64409999999998</v>
      </c>
      <c r="K2368">
        <v>1.1116029999999999</v>
      </c>
      <c r="L2368">
        <v>270.9674</v>
      </c>
      <c r="M2368">
        <v>-0.45002150000000002</v>
      </c>
      <c r="N2368">
        <v>-1.250267E-2</v>
      </c>
      <c r="O2368">
        <v>-0.89293029999999995</v>
      </c>
      <c r="P2368">
        <v>-0.1874487</v>
      </c>
      <c r="Q2368">
        <v>4.1963800000000002E-2</v>
      </c>
      <c r="R2368">
        <v>-0.98137779999999997</v>
      </c>
      <c r="S2368">
        <v>-0.43331910000000001</v>
      </c>
      <c r="T2368">
        <v>-0.1095421</v>
      </c>
      <c r="U2368">
        <v>-2.9793699999999999</v>
      </c>
      <c r="V2368">
        <v>-0.274491599999999</v>
      </c>
      <c r="W2368">
        <v>5.2905000000000001E-2</v>
      </c>
      <c r="X2368">
        <v>0.96013300000000001</v>
      </c>
      <c r="Y2368">
        <v>-0.31676140000000003</v>
      </c>
      <c r="Z2368">
        <v>1.773574E-2</v>
      </c>
      <c r="AA2368">
        <v>0.94833940000000005</v>
      </c>
      <c r="AB2368">
        <v>22</v>
      </c>
      <c r="AC2368">
        <v>-4.3419000000000096</v>
      </c>
      <c r="AD2368">
        <v>-1.1116040687090001</v>
      </c>
      <c r="AE2368">
        <v>-30.1189</v>
      </c>
      <c r="AF2368">
        <v>-9.6649969508757092</v>
      </c>
      <c r="AG2368">
        <v>-1.1116040687090001</v>
      </c>
      <c r="AH2368">
        <v>28.811832246597898</v>
      </c>
      <c r="AI2368">
        <v>92.094849238929598</v>
      </c>
      <c r="AJ2368">
        <v>108.54414911937501</v>
      </c>
      <c r="AK2368">
        <v>30.410023135014299</v>
      </c>
      <c r="AL2368">
        <v>86.967350893364596</v>
      </c>
      <c r="AM2368">
        <v>105.954657908375</v>
      </c>
      <c r="AN2368">
        <v>0.99999997759227899</v>
      </c>
    </row>
    <row r="2369" spans="1:40" x14ac:dyDescent="0.25">
      <c r="A2369" t="str">
        <f>"20190305135837289"</f>
        <v>20190305135837289</v>
      </c>
      <c r="B2369" t="str">
        <f>"1551765517280717"</f>
        <v>1551765517280717</v>
      </c>
      <c r="C2369" t="s">
        <v>40</v>
      </c>
      <c r="D2369">
        <v>4.0298509999999998</v>
      </c>
      <c r="E2369">
        <v>0.44776660000000001</v>
      </c>
      <c r="F2369" t="s">
        <v>42</v>
      </c>
      <c r="G2369">
        <v>-491.84780000000001</v>
      </c>
      <c r="H2369" s="1">
        <v>-1.3931160000000001E-6</v>
      </c>
      <c r="I2369">
        <v>241.69040000000001</v>
      </c>
      <c r="J2369">
        <v>-487.71769999999998</v>
      </c>
      <c r="K2369">
        <v>1.1117729999999999</v>
      </c>
      <c r="L2369">
        <v>270.81670000000003</v>
      </c>
      <c r="M2369">
        <v>-0.44819229999999999</v>
      </c>
      <c r="N2369">
        <v>-1.249307E-2</v>
      </c>
      <c r="O2369">
        <v>-0.89385000000000003</v>
      </c>
      <c r="P2369">
        <v>-0.18471270000000001</v>
      </c>
      <c r="Q2369">
        <v>3.8227700000000003E-2</v>
      </c>
      <c r="R2369">
        <v>-0.98204880000000006</v>
      </c>
      <c r="S2369">
        <v>-0.42788700000000002</v>
      </c>
      <c r="T2369">
        <v>-0.1131481</v>
      </c>
      <c r="U2369">
        <v>-2.9800420000000001</v>
      </c>
      <c r="V2369">
        <v>-0.275279</v>
      </c>
      <c r="W2369">
        <v>4.9030009999999999E-2</v>
      </c>
      <c r="X2369">
        <v>0.96011329999999995</v>
      </c>
      <c r="Y2369">
        <v>-0.31654320000000002</v>
      </c>
      <c r="Z2369">
        <v>1.8767209999999999E-2</v>
      </c>
      <c r="AA2369">
        <v>0.94839249999999997</v>
      </c>
      <c r="AB2369">
        <v>22</v>
      </c>
      <c r="AC2369">
        <v>-4.1301000000000201</v>
      </c>
      <c r="AD2369">
        <v>-1.11177439311599</v>
      </c>
      <c r="AE2369">
        <v>-29.126300000000001</v>
      </c>
      <c r="AF2369">
        <v>-9.3498687721923606</v>
      </c>
      <c r="AG2369">
        <v>-1.11177439311599</v>
      </c>
      <c r="AH2369">
        <v>27.848020275398198</v>
      </c>
      <c r="AI2369">
        <v>92.167423176994006</v>
      </c>
      <c r="AJ2369">
        <v>108.559284301977</v>
      </c>
      <c r="AK2369">
        <v>29.396739982817799</v>
      </c>
      <c r="AL2369">
        <v>87.189660633646</v>
      </c>
      <c r="AM2369">
        <v>105.99839763555001</v>
      </c>
      <c r="AN2369">
        <v>1.00000000927924</v>
      </c>
    </row>
    <row r="2370" spans="1:40" x14ac:dyDescent="0.25">
      <c r="A2370" t="str">
        <f>"20190305135837302"</f>
        <v>20190305135837302</v>
      </c>
      <c r="B2370" t="str">
        <f>"1551765517291434"</f>
        <v>1551765517291434</v>
      </c>
      <c r="C2370" t="s">
        <v>40</v>
      </c>
      <c r="D2370">
        <v>4.0252869999999996</v>
      </c>
      <c r="E2370">
        <v>0.43930209999999997</v>
      </c>
      <c r="F2370" t="s">
        <v>42</v>
      </c>
      <c r="G2370">
        <v>-488.80689999999998</v>
      </c>
      <c r="H2370" s="1">
        <v>-4.0180629999999999E-7</v>
      </c>
      <c r="I2370">
        <v>249.89599999999999</v>
      </c>
      <c r="J2370">
        <v>-487.77010000000001</v>
      </c>
      <c r="K2370">
        <v>1.1118920000000001</v>
      </c>
      <c r="L2370">
        <v>270.70870000000002</v>
      </c>
      <c r="M2370">
        <v>-0.44685619999999998</v>
      </c>
      <c r="N2370">
        <v>-1.2649789999999999E-2</v>
      </c>
      <c r="O2370">
        <v>-0.89451639999999999</v>
      </c>
      <c r="P2370">
        <v>-0.18296580000000001</v>
      </c>
      <c r="Q2370">
        <v>3.6303090000000003E-2</v>
      </c>
      <c r="R2370">
        <v>-0.98244869999999995</v>
      </c>
      <c r="S2370">
        <v>-0.1578369</v>
      </c>
      <c r="T2370">
        <v>-0.1610982</v>
      </c>
      <c r="U2370">
        <v>-3.0314640000000002</v>
      </c>
      <c r="V2370">
        <v>-0.27558759999999999</v>
      </c>
      <c r="W2370">
        <v>4.7198219999999999E-2</v>
      </c>
      <c r="X2370">
        <v>0.96011659999999999</v>
      </c>
      <c r="Y2370">
        <v>-0.39959699999999998</v>
      </c>
      <c r="Z2370">
        <v>2.999338E-2</v>
      </c>
      <c r="AA2370">
        <v>0.91620009999999996</v>
      </c>
      <c r="AB2370">
        <v>22</v>
      </c>
      <c r="AC2370">
        <v>-1.03679999999997</v>
      </c>
      <c r="AD2370">
        <v>-1.1118924018062999</v>
      </c>
      <c r="AE2370">
        <v>-20.8127</v>
      </c>
      <c r="AF2370">
        <v>-8.3497471226091005</v>
      </c>
      <c r="AG2370">
        <v>-1.1118924018062999</v>
      </c>
      <c r="AH2370">
        <v>19.027954922836798</v>
      </c>
      <c r="AI2370">
        <v>93.062946918101801</v>
      </c>
      <c r="AJ2370">
        <v>113.692574279748</v>
      </c>
      <c r="AK2370">
        <v>20.809076151290899</v>
      </c>
      <c r="AL2370">
        <v>87.294736264182504</v>
      </c>
      <c r="AM2370">
        <v>106.015361092188</v>
      </c>
      <c r="AN2370">
        <v>1.0000000414202399</v>
      </c>
    </row>
    <row r="2371" spans="1:40" x14ac:dyDescent="0.25">
      <c r="A2371" t="str">
        <f>"20190305135837313"</f>
        <v>20190305135837313</v>
      </c>
      <c r="B2371" t="str">
        <f>"1551765517310955"</f>
        <v>1551765517310955</v>
      </c>
      <c r="C2371" t="s">
        <v>40</v>
      </c>
      <c r="D2371">
        <v>3.9652289999999999</v>
      </c>
      <c r="E2371">
        <v>0.43332660000000001</v>
      </c>
      <c r="F2371" t="s">
        <v>41</v>
      </c>
      <c r="G2371">
        <v>-487.79880000000003</v>
      </c>
      <c r="H2371">
        <v>1.060549</v>
      </c>
      <c r="I2371">
        <v>269.68049999999999</v>
      </c>
      <c r="J2371">
        <v>-487.82190000000003</v>
      </c>
      <c r="K2371">
        <v>1.1120139999999901</v>
      </c>
      <c r="L2371">
        <v>270.60140000000001</v>
      </c>
      <c r="M2371">
        <v>-0.44563619999999998</v>
      </c>
      <c r="N2371">
        <v>-1.3248960000000001E-2</v>
      </c>
      <c r="O2371">
        <v>-0.89511609999999997</v>
      </c>
      <c r="P2371">
        <v>-0.18140899999999999</v>
      </c>
      <c r="Q2371">
        <v>3.4337880000000001E-2</v>
      </c>
      <c r="R2371">
        <v>-0.98280780000000001</v>
      </c>
      <c r="S2371">
        <v>-8.4899899999999903E-2</v>
      </c>
      <c r="T2371">
        <v>-0.15196689999999999</v>
      </c>
      <c r="U2371">
        <v>-3.0434269999999999</v>
      </c>
      <c r="V2371">
        <v>-0.27582449999999997</v>
      </c>
      <c r="W2371">
        <v>4.5832610000000003E-2</v>
      </c>
      <c r="X2371">
        <v>0.96011469999999999</v>
      </c>
      <c r="Y2371">
        <v>-0.42033920000000002</v>
      </c>
      <c r="Z2371">
        <v>2.6583450000000002E-2</v>
      </c>
      <c r="AA2371">
        <v>0.90697749999999999</v>
      </c>
      <c r="AB2371">
        <v>22</v>
      </c>
      <c r="AC2371">
        <v>2.3099999999999399E-2</v>
      </c>
      <c r="AD2371">
        <v>-5.1464999999999803E-2</v>
      </c>
      <c r="AE2371">
        <v>-0.92090000000001704</v>
      </c>
      <c r="AF2371">
        <v>-0.42976001890853799</v>
      </c>
      <c r="AG2371">
        <v>-5.1464999999999803E-2</v>
      </c>
      <c r="AH2371">
        <v>0.81155662278802099</v>
      </c>
      <c r="AI2371">
        <v>93.207634807173605</v>
      </c>
      <c r="AJ2371">
        <v>117.90346861394499</v>
      </c>
      <c r="AK2371">
        <v>0.919764356815574</v>
      </c>
      <c r="AL2371">
        <v>87.373064658973902</v>
      </c>
      <c r="AM2371">
        <v>106.028451440159</v>
      </c>
      <c r="AN2371">
        <v>1.0000000100478701</v>
      </c>
    </row>
    <row r="2372" spans="1:40" x14ac:dyDescent="0.25">
      <c r="A2372" t="str">
        <f>"20190305135837327"</f>
        <v>20190305135837327</v>
      </c>
      <c r="B2372" t="str">
        <f>"1551765517320715"</f>
        <v>1551765517320715</v>
      </c>
      <c r="C2372" t="s">
        <v>40</v>
      </c>
      <c r="D2372">
        <v>3.9517899999999999</v>
      </c>
      <c r="E2372">
        <v>0.43284060000000002</v>
      </c>
      <c r="F2372" t="s">
        <v>42</v>
      </c>
      <c r="G2372">
        <v>-488.08539999999999</v>
      </c>
      <c r="H2372" s="1">
        <v>-2.9398849999999998E-6</v>
      </c>
      <c r="I2372">
        <v>245.69409999999999</v>
      </c>
      <c r="J2372">
        <v>-487.87240000000003</v>
      </c>
      <c r="K2372">
        <v>1.1121179999999999</v>
      </c>
      <c r="L2372">
        <v>270.49650000000003</v>
      </c>
      <c r="M2372">
        <v>-0.44447829999999999</v>
      </c>
      <c r="N2372">
        <v>-1.40369E-2</v>
      </c>
      <c r="O2372">
        <v>-0.89567980000000003</v>
      </c>
      <c r="P2372">
        <v>-0.17984849999999999</v>
      </c>
      <c r="Q2372">
        <v>3.2478109999999998E-2</v>
      </c>
      <c r="R2372">
        <v>-0.98315830000000004</v>
      </c>
      <c r="S2372">
        <v>-3.22876E-2</v>
      </c>
      <c r="T2372">
        <v>-0.13622870000000001</v>
      </c>
      <c r="U2372">
        <v>-3.0512999999999999</v>
      </c>
      <c r="V2372">
        <v>-0.27612550000000002</v>
      </c>
      <c r="W2372">
        <v>4.4789410000000002E-2</v>
      </c>
      <c r="X2372">
        <v>0.96007739999999997</v>
      </c>
      <c r="Y2372">
        <v>-0.43481180000000003</v>
      </c>
      <c r="Z2372">
        <v>2.1424780000000001E-2</v>
      </c>
      <c r="AA2372">
        <v>0.90026649999999997</v>
      </c>
      <c r="AB2372">
        <v>22</v>
      </c>
      <c r="AC2372">
        <v>-0.212999999999965</v>
      </c>
      <c r="AD2372">
        <v>-1.112120939885</v>
      </c>
      <c r="AE2372">
        <v>-24.802399999999999</v>
      </c>
      <c r="AF2372">
        <v>-10.8126766952367</v>
      </c>
      <c r="AG2372">
        <v>-1.112120939885</v>
      </c>
      <c r="AH2372">
        <v>22.267111420924099</v>
      </c>
      <c r="AI2372">
        <v>92.572439736243197</v>
      </c>
      <c r="AJ2372">
        <v>115.90072527694601</v>
      </c>
      <c r="AK2372">
        <v>24.7785197566863</v>
      </c>
      <c r="AL2372">
        <v>87.432897040764104</v>
      </c>
      <c r="AM2372">
        <v>106.045634363102</v>
      </c>
      <c r="AN2372">
        <v>0.99999999849457799</v>
      </c>
    </row>
    <row r="2373" spans="1:40" x14ac:dyDescent="0.25">
      <c r="A2373" t="str">
        <f>"20190305135837340"</f>
        <v>20190305135837340</v>
      </c>
      <c r="B2373" t="str">
        <f>"1551765517331451"</f>
        <v>1551765517331451</v>
      </c>
      <c r="C2373" t="s">
        <v>40</v>
      </c>
      <c r="D2373">
        <v>3.9274360000000001</v>
      </c>
      <c r="E2373">
        <v>0.43264239999999998</v>
      </c>
      <c r="F2373" t="s">
        <v>41</v>
      </c>
      <c r="G2373">
        <v>-487.88040000000001</v>
      </c>
      <c r="H2373">
        <v>1.066049</v>
      </c>
      <c r="I2373">
        <v>269.48219999999998</v>
      </c>
      <c r="J2373">
        <v>-487.92720000000003</v>
      </c>
      <c r="K2373">
        <v>1.11222</v>
      </c>
      <c r="L2373">
        <v>270.38240000000002</v>
      </c>
      <c r="M2373">
        <v>-0.44324439999999998</v>
      </c>
      <c r="N2373">
        <v>-1.501855E-2</v>
      </c>
      <c r="O2373">
        <v>-0.89627500000000004</v>
      </c>
      <c r="P2373">
        <v>-0.17820800000000001</v>
      </c>
      <c r="Q2373">
        <v>3.1216850000000001E-2</v>
      </c>
      <c r="R2373">
        <v>-0.98349759999999997</v>
      </c>
      <c r="S2373">
        <v>-2.377319E-2</v>
      </c>
      <c r="T2373">
        <v>-0.1385951</v>
      </c>
      <c r="U2373">
        <v>-3.0516049999999999</v>
      </c>
      <c r="V2373">
        <v>-0.27641450000000001</v>
      </c>
      <c r="W2373">
        <v>4.4556470000000001E-2</v>
      </c>
      <c r="X2373">
        <v>0.960005</v>
      </c>
      <c r="Y2373">
        <v>-0.43606980000000001</v>
      </c>
      <c r="Z2373">
        <v>2.1073439999999999E-2</v>
      </c>
      <c r="AA2373">
        <v>0.89966610000000002</v>
      </c>
      <c r="AB2373">
        <v>21</v>
      </c>
      <c r="AC2373">
        <v>4.6800000000018799E-2</v>
      </c>
      <c r="AD2373">
        <v>-4.61709999999999E-2</v>
      </c>
      <c r="AE2373">
        <v>-0.90020000000003997</v>
      </c>
      <c r="AF2373">
        <v>-0.439850044819595</v>
      </c>
      <c r="AG2373">
        <v>-4.61709999999999E-2</v>
      </c>
      <c r="AH2373">
        <v>0.78411441473648702</v>
      </c>
      <c r="AI2373">
        <v>92.939837551801205</v>
      </c>
      <c r="AJ2373">
        <v>119.29030518908399</v>
      </c>
      <c r="AK2373">
        <v>0.90024176673066203</v>
      </c>
      <c r="AL2373">
        <v>87.446256675646495</v>
      </c>
      <c r="AM2373">
        <v>106.06271129528</v>
      </c>
      <c r="AN2373">
        <v>0.99999992742705202</v>
      </c>
    </row>
    <row r="2374" spans="1:40" x14ac:dyDescent="0.25">
      <c r="A2374" t="str">
        <f>"20190305135837354"</f>
        <v>20190305135837354</v>
      </c>
      <c r="B2374" t="str">
        <f>"1551765517350970"</f>
        <v>1551765517350970</v>
      </c>
      <c r="C2374" t="s">
        <v>40</v>
      </c>
      <c r="D2374">
        <v>3.9403519999999999</v>
      </c>
      <c r="E2374">
        <v>0.43249530000000003</v>
      </c>
      <c r="F2374" t="s">
        <v>41</v>
      </c>
      <c r="G2374">
        <v>-487.93270000000001</v>
      </c>
      <c r="H2374">
        <v>1.0654110000000001</v>
      </c>
      <c r="I2374">
        <v>269.35230000000001</v>
      </c>
      <c r="J2374">
        <v>-487.98439999999999</v>
      </c>
      <c r="K2374">
        <v>1.112336</v>
      </c>
      <c r="L2374">
        <v>270.26280000000003</v>
      </c>
      <c r="M2374">
        <v>-0.4419824</v>
      </c>
      <c r="N2374">
        <v>-1.6171430000000001E-2</v>
      </c>
      <c r="O2374">
        <v>-0.89687809999999901</v>
      </c>
      <c r="P2374">
        <v>-0.17575969999999999</v>
      </c>
      <c r="Q2374">
        <v>3.0683129999999999E-2</v>
      </c>
      <c r="R2374">
        <v>-0.98395480000000002</v>
      </c>
      <c r="S2374">
        <v>-1.6693119999999999E-2</v>
      </c>
      <c r="T2374">
        <v>-0.1386878</v>
      </c>
      <c r="U2374">
        <v>-3.0517270000000001</v>
      </c>
      <c r="V2374">
        <v>-0.27745530000000002</v>
      </c>
      <c r="W2374">
        <v>4.5215749999999999E-2</v>
      </c>
      <c r="X2374">
        <v>0.95967389999999997</v>
      </c>
      <c r="Y2374">
        <v>-0.43687749999999997</v>
      </c>
      <c r="Z2374">
        <v>1.9969219999999999E-2</v>
      </c>
      <c r="AA2374">
        <v>0.89929930000000002</v>
      </c>
      <c r="AB2374">
        <v>21</v>
      </c>
      <c r="AC2374">
        <v>5.1699999999982503E-2</v>
      </c>
      <c r="AD2374">
        <v>-4.69249999999998E-2</v>
      </c>
      <c r="AE2374">
        <v>-0.91050000000001297</v>
      </c>
      <c r="AF2374">
        <v>-0.44766696564203601</v>
      </c>
      <c r="AG2374">
        <v>-4.69249999999998E-2</v>
      </c>
      <c r="AH2374">
        <v>0.79176445026944298</v>
      </c>
      <c r="AI2374">
        <v>92.953326162405006</v>
      </c>
      <c r="AJ2374">
        <v>119.484001304591</v>
      </c>
      <c r="AK2374">
        <v>0.91076814418523799</v>
      </c>
      <c r="AL2374">
        <v>87.408444661290602</v>
      </c>
      <c r="AM2374">
        <v>106.125329648817</v>
      </c>
      <c r="AN2374">
        <v>0.99999995094367999</v>
      </c>
    </row>
    <row r="2375" spans="1:40" x14ac:dyDescent="0.25">
      <c r="A2375" t="str">
        <f>"20190305135837368"</f>
        <v>20190305135837368</v>
      </c>
      <c r="B2375" t="str">
        <f>"1551765517360732"</f>
        <v>1551765517360732</v>
      </c>
      <c r="C2375" t="s">
        <v>40</v>
      </c>
      <c r="D2375">
        <v>4.0417300000000003</v>
      </c>
      <c r="E2375">
        <v>0.43266490000000002</v>
      </c>
      <c r="F2375" t="s">
        <v>42</v>
      </c>
      <c r="G2375">
        <v>-488.05549999999999</v>
      </c>
      <c r="H2375" s="1">
        <v>-2.6977879999999999E-6</v>
      </c>
      <c r="I2375">
        <v>245.1174</v>
      </c>
      <c r="J2375">
        <v>-488.03609999999998</v>
      </c>
      <c r="K2375">
        <v>1.1124780000000001</v>
      </c>
      <c r="L2375">
        <v>270.15429999999998</v>
      </c>
      <c r="M2375">
        <v>-0.44085249999999998</v>
      </c>
      <c r="N2375">
        <v>-1.725875E-2</v>
      </c>
      <c r="O2375">
        <v>-0.89741369999999898</v>
      </c>
      <c r="P2375">
        <v>-0.17385</v>
      </c>
      <c r="Q2375">
        <v>3.092895E-2</v>
      </c>
      <c r="R2375">
        <v>-0.98428660000000001</v>
      </c>
      <c r="S2375">
        <v>-8.6364749999999994E-3</v>
      </c>
      <c r="T2375">
        <v>-0.13498879999999999</v>
      </c>
      <c r="U2375">
        <v>-3.0515439999999998</v>
      </c>
      <c r="V2375">
        <v>-0.27811089999999999</v>
      </c>
      <c r="W2375">
        <v>4.6548060000000002E-2</v>
      </c>
      <c r="X2375">
        <v>0.95942039999999995</v>
      </c>
      <c r="Y2375">
        <v>-0.4381121</v>
      </c>
      <c r="Z2375">
        <v>1.793521E-2</v>
      </c>
      <c r="AA2375">
        <v>0.89874140000000002</v>
      </c>
      <c r="AB2375">
        <v>21</v>
      </c>
      <c r="AC2375">
        <v>-1.9400000000018701E-2</v>
      </c>
      <c r="AD2375">
        <v>-1.112480697788</v>
      </c>
      <c r="AE2375">
        <v>-25.0368999999999</v>
      </c>
      <c r="AF2375">
        <v>-11.000092977769899</v>
      </c>
      <c r="AG2375">
        <v>-1.112480697788</v>
      </c>
      <c r="AH2375">
        <v>22.436059748342299</v>
      </c>
      <c r="AI2375">
        <v>92.549202495954006</v>
      </c>
      <c r="AJ2375">
        <v>116.118080831547</v>
      </c>
      <c r="AK2375">
        <v>25.012325678627299</v>
      </c>
      <c r="AL2375">
        <v>87.332028431198097</v>
      </c>
      <c r="AM2375">
        <v>106.165492455888</v>
      </c>
      <c r="AN2375">
        <v>0.99999994926236502</v>
      </c>
    </row>
    <row r="2376" spans="1:40" x14ac:dyDescent="0.25">
      <c r="A2376" t="str">
        <f>"20190305135837381"</f>
        <v>20190305135837381</v>
      </c>
      <c r="B2376" t="str">
        <f>"1551765517371468"</f>
        <v>1551765517371468</v>
      </c>
      <c r="C2376" t="s">
        <v>40</v>
      </c>
      <c r="D2376">
        <v>4.0114679999999998</v>
      </c>
      <c r="E2376">
        <v>0.43254219999999999</v>
      </c>
      <c r="F2376" t="s">
        <v>42</v>
      </c>
      <c r="G2376">
        <v>-488.07190000000003</v>
      </c>
      <c r="H2376" s="1">
        <v>-2.984102E-6</v>
      </c>
      <c r="I2376">
        <v>245.79150000000001</v>
      </c>
      <c r="J2376">
        <v>-488.08580000000001</v>
      </c>
      <c r="K2376">
        <v>1.1126389999999999</v>
      </c>
      <c r="L2376">
        <v>270.04969999999997</v>
      </c>
      <c r="M2376">
        <v>-0.43970189999999998</v>
      </c>
      <c r="N2376">
        <v>-1.8283399999999998E-2</v>
      </c>
      <c r="O2376">
        <v>-0.89795759999999902</v>
      </c>
      <c r="P2376">
        <v>-0.17188729999999999</v>
      </c>
      <c r="Q2376">
        <v>3.1319799999999898E-2</v>
      </c>
      <c r="R2376">
        <v>-0.98461869999999996</v>
      </c>
      <c r="S2376">
        <v>-4.4860840000000004E-3</v>
      </c>
      <c r="T2376">
        <v>-0.139340299999999</v>
      </c>
      <c r="U2376">
        <v>-3.0514830000000002</v>
      </c>
      <c r="V2376">
        <v>-0.27879939999999998</v>
      </c>
      <c r="W2376">
        <v>4.7932200000000001E-2</v>
      </c>
      <c r="X2376">
        <v>0.95915249999999996</v>
      </c>
      <c r="Y2376">
        <v>-0.43816450000000001</v>
      </c>
      <c r="Z2376">
        <v>1.8076100000000001E-2</v>
      </c>
      <c r="AA2376">
        <v>0.89871309999999904</v>
      </c>
      <c r="AB2376">
        <v>20</v>
      </c>
      <c r="AC2376">
        <v>1.3899999999978201E-2</v>
      </c>
      <c r="AD2376">
        <v>-1.1126419841020001</v>
      </c>
      <c r="AE2376">
        <v>-24.258199999999899</v>
      </c>
      <c r="AF2376">
        <v>-10.658221921707</v>
      </c>
      <c r="AG2376">
        <v>-1.1126419841020001</v>
      </c>
      <c r="AH2376">
        <v>21.7346408489338</v>
      </c>
      <c r="AI2376">
        <v>92.631640531976004</v>
      </c>
      <c r="AJ2376">
        <v>116.12238441679899</v>
      </c>
      <c r="AK2376">
        <v>24.232834740270999</v>
      </c>
      <c r="AL2376">
        <v>87.252634705772707</v>
      </c>
      <c r="AM2376">
        <v>106.207702906208</v>
      </c>
      <c r="AN2376">
        <v>1.00000005974672</v>
      </c>
    </row>
    <row r="2377" spans="1:40" x14ac:dyDescent="0.25">
      <c r="A2377" t="str">
        <f>"20190305135837392"</f>
        <v>20190305135837392</v>
      </c>
      <c r="B2377" t="str">
        <f>"1551765517381227"</f>
        <v>1551765517381227</v>
      </c>
      <c r="C2377" t="s">
        <v>40</v>
      </c>
      <c r="D2377">
        <v>4.0183839999999904</v>
      </c>
      <c r="E2377">
        <v>0.43245159999999999</v>
      </c>
      <c r="F2377" t="s">
        <v>41</v>
      </c>
      <c r="G2377">
        <v>-488.08499999999998</v>
      </c>
      <c r="H2377">
        <v>1.062864</v>
      </c>
      <c r="I2377">
        <v>268.98829999999998</v>
      </c>
      <c r="J2377">
        <v>-488.13119999999998</v>
      </c>
      <c r="K2377">
        <v>1.1128169999999999</v>
      </c>
      <c r="L2377">
        <v>269.95359999999999</v>
      </c>
      <c r="M2377">
        <v>-0.43845719999999999</v>
      </c>
      <c r="N2377">
        <v>-1.9121220000000001E-2</v>
      </c>
      <c r="O2377">
        <v>-0.89854880000000004</v>
      </c>
      <c r="P2377">
        <v>-0.16987910000000001</v>
      </c>
      <c r="Q2377">
        <v>3.1934480000000001E-2</v>
      </c>
      <c r="R2377">
        <v>-0.98494740000000003</v>
      </c>
      <c r="S2377">
        <v>2.1972659999999998E-3</v>
      </c>
      <c r="T2377">
        <v>-0.14310899999999999</v>
      </c>
      <c r="U2377">
        <v>-3.051758</v>
      </c>
      <c r="V2377">
        <v>-0.27943639999999997</v>
      </c>
      <c r="W2377">
        <v>4.9307200000000002E-2</v>
      </c>
      <c r="X2377">
        <v>0.95889740000000001</v>
      </c>
      <c r="Y2377">
        <v>-0.43887090000000001</v>
      </c>
      <c r="Z2377">
        <v>1.8240820000000001E-2</v>
      </c>
      <c r="AA2377">
        <v>0.89836499999999997</v>
      </c>
      <c r="AB2377">
        <v>20</v>
      </c>
      <c r="AC2377">
        <v>4.6199999999998902E-2</v>
      </c>
      <c r="AD2377">
        <v>-4.99529999999999E-2</v>
      </c>
      <c r="AE2377">
        <v>-0.96530000000001304</v>
      </c>
      <c r="AF2377">
        <v>-0.46360195508954</v>
      </c>
      <c r="AG2377">
        <v>-4.99529999999999E-2</v>
      </c>
      <c r="AH2377">
        <v>0.84500951633247001</v>
      </c>
      <c r="AI2377">
        <v>92.966849138756203</v>
      </c>
      <c r="AJ2377">
        <v>118.750722330108</v>
      </c>
      <c r="AK2377">
        <v>0.965123389864881</v>
      </c>
      <c r="AL2377">
        <v>87.173759735206204</v>
      </c>
      <c r="AM2377">
        <v>106.24687708424599</v>
      </c>
      <c r="AN2377">
        <v>1.00000006267177</v>
      </c>
    </row>
    <row r="2378" spans="1:40" x14ac:dyDescent="0.25">
      <c r="A2378" t="str">
        <f>"20190305135837413"</f>
        <v>20190305135837413</v>
      </c>
      <c r="B2378" t="str">
        <f>"1551765517400751"</f>
        <v>1551765517400751</v>
      </c>
      <c r="C2378" t="s">
        <v>40</v>
      </c>
      <c r="D2378">
        <v>3.9861170000000001</v>
      </c>
      <c r="E2378">
        <v>0.43274509999999999</v>
      </c>
      <c r="F2378" t="s">
        <v>42</v>
      </c>
      <c r="G2378">
        <v>-488.06299999999999</v>
      </c>
      <c r="H2378" s="1">
        <v>-3.3011219999999998E-6</v>
      </c>
      <c r="I2378">
        <v>246.52690000000001</v>
      </c>
      <c r="J2378">
        <v>-488.20490000000001</v>
      </c>
      <c r="K2378">
        <v>1.112941</v>
      </c>
      <c r="L2378">
        <v>269.79599999999999</v>
      </c>
      <c r="M2378">
        <v>-0.43590800000000002</v>
      </c>
      <c r="N2378">
        <v>-1.9305940000000001E-2</v>
      </c>
      <c r="O2378">
        <v>-0.89978419999999903</v>
      </c>
      <c r="P2378">
        <v>-0.16581179999999901</v>
      </c>
      <c r="Q2378">
        <v>3.4758129999999998E-2</v>
      </c>
      <c r="R2378">
        <v>-0.98554459999999999</v>
      </c>
      <c r="S2378">
        <v>8.8806149999999997E-3</v>
      </c>
      <c r="T2378">
        <v>-0.14498139999999901</v>
      </c>
      <c r="U2378">
        <v>-3.0520939999999999</v>
      </c>
      <c r="V2378">
        <v>-0.2806804</v>
      </c>
      <c r="W2378">
        <v>5.212025E-2</v>
      </c>
      <c r="X2378">
        <v>0.95838509999999999</v>
      </c>
      <c r="Y2378">
        <v>-0.43828600000000001</v>
      </c>
      <c r="Z2378">
        <v>1.8624089999999999E-2</v>
      </c>
      <c r="AA2378">
        <v>0.89864259999999996</v>
      </c>
      <c r="AB2378">
        <v>20</v>
      </c>
      <c r="AC2378">
        <v>0.141899999999964</v>
      </c>
      <c r="AD2378">
        <v>-1.1129443011219999</v>
      </c>
      <c r="AE2378">
        <v>-23.269099999999899</v>
      </c>
      <c r="AF2378">
        <v>-10.2493343484568</v>
      </c>
      <c r="AG2378">
        <v>-1.1129443011219999</v>
      </c>
      <c r="AH2378">
        <v>20.831550118785799</v>
      </c>
      <c r="AI2378">
        <v>92.744532611807401</v>
      </c>
      <c r="AJ2378">
        <v>116.19765482402499</v>
      </c>
      <c r="AK2378">
        <v>23.2430845619797</v>
      </c>
      <c r="AL2378">
        <v>87.012375959209706</v>
      </c>
      <c r="AM2378">
        <v>106.323623152</v>
      </c>
      <c r="AN2378">
        <v>1.00000000365311</v>
      </c>
    </row>
    <row r="2379" spans="1:40" x14ac:dyDescent="0.25">
      <c r="A2379" t="str">
        <f>"20190305135837434"</f>
        <v>20190305135837434</v>
      </c>
      <c r="B2379" t="str">
        <f>"1551765517431003"</f>
        <v>1551765517431003</v>
      </c>
      <c r="C2379" t="s">
        <v>40</v>
      </c>
      <c r="D2379">
        <v>4.0235050000000001</v>
      </c>
      <c r="E2379">
        <v>0.43318240000000002</v>
      </c>
      <c r="F2379" t="s">
        <v>42</v>
      </c>
      <c r="G2379">
        <v>-488.0299</v>
      </c>
      <c r="H2379" s="1">
        <v>-1.948565E-6</v>
      </c>
      <c r="I2379">
        <v>243.3603</v>
      </c>
      <c r="J2379">
        <v>-488.28440000000001</v>
      </c>
      <c r="K2379">
        <v>1.112897</v>
      </c>
      <c r="L2379">
        <v>269.62400000000002</v>
      </c>
      <c r="M2379">
        <v>-0.43299019999999999</v>
      </c>
      <c r="N2379">
        <v>-1.830298E-2</v>
      </c>
      <c r="O2379">
        <v>-0.90121269999999998</v>
      </c>
      <c r="P2379">
        <v>-0.16161449999999999</v>
      </c>
      <c r="Q2379">
        <v>3.8179119999999997E-2</v>
      </c>
      <c r="R2379">
        <v>-0.98611530000000003</v>
      </c>
      <c r="S2379">
        <v>2.0202640000000001E-2</v>
      </c>
      <c r="T2379">
        <v>-0.1284882</v>
      </c>
      <c r="U2379">
        <v>-3.051971</v>
      </c>
      <c r="V2379">
        <v>-0.2816553</v>
      </c>
      <c r="W2379">
        <v>5.4295830000000003E-2</v>
      </c>
      <c r="X2379">
        <v>0.9579782</v>
      </c>
      <c r="Y2379">
        <v>-0.43874730000000001</v>
      </c>
      <c r="Z2379">
        <v>1.538481E-2</v>
      </c>
      <c r="AA2379">
        <v>0.89847880000000002</v>
      </c>
      <c r="AB2379">
        <v>20</v>
      </c>
      <c r="AC2379">
        <v>0.254500000000007</v>
      </c>
      <c r="AD2379">
        <v>-1.112898948565</v>
      </c>
      <c r="AE2379">
        <v>-26.2637</v>
      </c>
      <c r="AF2379">
        <v>-11.5824329694406</v>
      </c>
      <c r="AG2379">
        <v>-1.112898948565</v>
      </c>
      <c r="AH2379">
        <v>23.520704100541899</v>
      </c>
      <c r="AI2379">
        <v>92.430638963279407</v>
      </c>
      <c r="AJ2379">
        <v>116.21727842686001</v>
      </c>
      <c r="AK2379">
        <v>26.241471356357899</v>
      </c>
      <c r="AL2379">
        <v>86.887547509558402</v>
      </c>
      <c r="AM2379">
        <v>106.38387063167499</v>
      </c>
      <c r="AN2379">
        <v>0.999999988424359</v>
      </c>
    </row>
    <row r="2380" spans="1:40" x14ac:dyDescent="0.25">
      <c r="A2380" t="str">
        <f>"20190305135837448"</f>
        <v>20190305135837448</v>
      </c>
      <c r="B2380" t="str">
        <f>"1551765517440763"</f>
        <v>1551765517440763</v>
      </c>
      <c r="C2380" t="s">
        <v>40</v>
      </c>
      <c r="D2380">
        <v>4.0333610000000002</v>
      </c>
      <c r="E2380">
        <v>0.43326009999999998</v>
      </c>
      <c r="F2380" t="s">
        <v>42</v>
      </c>
      <c r="G2380">
        <v>-487.97770000000003</v>
      </c>
      <c r="H2380" s="1">
        <v>-4.2821360000000002E-6</v>
      </c>
      <c r="I2380">
        <v>238.7784</v>
      </c>
      <c r="J2380">
        <v>-488.339</v>
      </c>
      <c r="K2380">
        <v>1.1128049999999901</v>
      </c>
      <c r="L2380">
        <v>269.50389999999999</v>
      </c>
      <c r="M2380">
        <v>-0.43100909999999898</v>
      </c>
      <c r="N2380">
        <v>-1.7467340000000001E-2</v>
      </c>
      <c r="O2380">
        <v>-0.90217849999999999</v>
      </c>
      <c r="P2380">
        <v>-0.15867800000000001</v>
      </c>
      <c r="Q2380">
        <v>3.9300370000000001E-2</v>
      </c>
      <c r="R2380">
        <v>-0.98654810000000004</v>
      </c>
      <c r="S2380">
        <v>3.0334469999999999E-2</v>
      </c>
      <c r="T2380">
        <v>-0.1100966</v>
      </c>
      <c r="U2380">
        <v>-3.0514830000000002</v>
      </c>
      <c r="V2380">
        <v>-0.282404299999999</v>
      </c>
      <c r="W2380">
        <v>5.447581E-2</v>
      </c>
      <c r="X2380">
        <v>0.95774749999999997</v>
      </c>
      <c r="Y2380">
        <v>-0.43979449999999998</v>
      </c>
      <c r="Z2380">
        <v>1.143226E-2</v>
      </c>
      <c r="AA2380">
        <v>0.89802569999999904</v>
      </c>
      <c r="AB2380">
        <v>20</v>
      </c>
      <c r="AC2380">
        <v>0.36129999999997098</v>
      </c>
      <c r="AD2380">
        <v>-1.1128092821359901</v>
      </c>
      <c r="AE2380">
        <v>-30.725499999999901</v>
      </c>
      <c r="AF2380">
        <v>-13.5532220010478</v>
      </c>
      <c r="AG2380">
        <v>-1.1128092821359901</v>
      </c>
      <c r="AH2380">
        <v>27.532258103251301</v>
      </c>
      <c r="AI2380">
        <v>92.076793700070795</v>
      </c>
      <c r="AJ2380">
        <v>116.209501164475</v>
      </c>
      <c r="AK2380">
        <v>30.707546423837599</v>
      </c>
      <c r="AL2380">
        <v>86.877220285886693</v>
      </c>
      <c r="AM2380">
        <v>106.428837790937</v>
      </c>
      <c r="AN2380">
        <v>1.0000000381449401</v>
      </c>
    </row>
    <row r="2381" spans="1:40" x14ac:dyDescent="0.25">
      <c r="A2381" t="str">
        <f>"20190305135837468"</f>
        <v>20190305135837468</v>
      </c>
      <c r="B2381" t="str">
        <f>"1551765517461259"</f>
        <v>1551765517461259</v>
      </c>
      <c r="C2381" t="s">
        <v>40</v>
      </c>
      <c r="D2381">
        <v>4.121372</v>
      </c>
      <c r="E2381">
        <v>0.43346400000000002</v>
      </c>
      <c r="F2381" t="s">
        <v>42</v>
      </c>
      <c r="G2381">
        <v>-487.92239999999998</v>
      </c>
      <c r="H2381" s="1">
        <v>-3.46775E-6</v>
      </c>
      <c r="I2381">
        <v>236.8571</v>
      </c>
      <c r="J2381">
        <v>-488.41050000000001</v>
      </c>
      <c r="K2381">
        <v>1.112663</v>
      </c>
      <c r="L2381">
        <v>269.34530000000001</v>
      </c>
      <c r="M2381">
        <v>-0.42845630000000001</v>
      </c>
      <c r="N2381">
        <v>-1.6595559999999999E-2</v>
      </c>
      <c r="O2381">
        <v>-0.90341009999999999</v>
      </c>
      <c r="P2381">
        <v>-0.15426339999999999</v>
      </c>
      <c r="Q2381">
        <v>3.9686029999999997E-2</v>
      </c>
      <c r="R2381">
        <v>-0.98723249999999996</v>
      </c>
      <c r="S2381">
        <v>3.8940429999999998E-2</v>
      </c>
      <c r="T2381">
        <v>-0.10400860000000001</v>
      </c>
      <c r="U2381">
        <v>-3.0513309999999998</v>
      </c>
      <c r="V2381">
        <v>-0.28398010000000001</v>
      </c>
      <c r="W2381">
        <v>5.3932540000000001E-2</v>
      </c>
      <c r="X2381">
        <v>0.95731219999999995</v>
      </c>
      <c r="Y2381">
        <v>-0.439805</v>
      </c>
      <c r="Z2381">
        <v>1.075869E-2</v>
      </c>
      <c r="AA2381">
        <v>0.89802890000000002</v>
      </c>
      <c r="AB2381">
        <v>20</v>
      </c>
      <c r="AC2381">
        <v>0.48810000000003101</v>
      </c>
      <c r="AD2381">
        <v>-1.11266646775</v>
      </c>
      <c r="AE2381">
        <v>-32.488199999999999</v>
      </c>
      <c r="AF2381">
        <v>-14.345883070711301</v>
      </c>
      <c r="AG2381">
        <v>-1.11266646775</v>
      </c>
      <c r="AH2381">
        <v>29.110914019890998</v>
      </c>
      <c r="AI2381">
        <v>91.963594876310495</v>
      </c>
      <c r="AJ2381">
        <v>116.234116977813</v>
      </c>
      <c r="AK2381">
        <v>32.4728764174112</v>
      </c>
      <c r="AL2381">
        <v>86.908393172850296</v>
      </c>
      <c r="AM2381">
        <v>106.52262865440601</v>
      </c>
      <c r="AN2381">
        <v>1.0000000321678499</v>
      </c>
    </row>
    <row r="2382" spans="1:40" x14ac:dyDescent="0.25">
      <c r="A2382" t="str">
        <f>"20190305135837480"</f>
        <v>20190305135837480</v>
      </c>
      <c r="B2382" t="str">
        <f>"1551765517471019"</f>
        <v>1551765517471019</v>
      </c>
      <c r="C2382" t="s">
        <v>40</v>
      </c>
      <c r="D2382">
        <v>4.1334010000000001</v>
      </c>
      <c r="E2382">
        <v>0.43369790000000003</v>
      </c>
      <c r="F2382" t="s">
        <v>42</v>
      </c>
      <c r="G2382">
        <v>-487.90089999999998</v>
      </c>
      <c r="H2382" s="1">
        <v>-4.0732859999999996E-6</v>
      </c>
      <c r="I2382">
        <v>238.25980000000001</v>
      </c>
      <c r="J2382">
        <v>-488.45960000000002</v>
      </c>
      <c r="K2382">
        <v>1.1125510000000001</v>
      </c>
      <c r="L2382">
        <v>269.23570000000001</v>
      </c>
      <c r="M2382">
        <v>-0.42669649999999998</v>
      </c>
      <c r="N2382">
        <v>-1.616561E-2</v>
      </c>
      <c r="O2382">
        <v>-0.90425049999999996</v>
      </c>
      <c r="P2382">
        <v>-0.15169179999999999</v>
      </c>
      <c r="Q2382">
        <v>4.0070019999999998E-2</v>
      </c>
      <c r="R2382">
        <v>-0.98761549999999998</v>
      </c>
      <c r="S2382">
        <v>5.0018310000000003E-2</v>
      </c>
      <c r="T2382">
        <v>-0.1092066</v>
      </c>
      <c r="U2382">
        <v>-3.0509949999999999</v>
      </c>
      <c r="V2382">
        <v>-0.28459899999999999</v>
      </c>
      <c r="W2382">
        <v>5.39035E-2</v>
      </c>
      <c r="X2382">
        <v>0.95713000000000004</v>
      </c>
      <c r="Y2382">
        <v>-0.44131150000000002</v>
      </c>
      <c r="Z2382">
        <v>1.257779E-2</v>
      </c>
      <c r="AA2382">
        <v>0.89726589999999995</v>
      </c>
      <c r="AB2382">
        <v>21</v>
      </c>
      <c r="AC2382">
        <v>0.55870000000004405</v>
      </c>
      <c r="AD2382">
        <v>-1.1125550732859999</v>
      </c>
      <c r="AE2382">
        <v>-30.975899999999999</v>
      </c>
      <c r="AF2382">
        <v>-13.7066288773302</v>
      </c>
      <c r="AG2382">
        <v>-1.1125550732859999</v>
      </c>
      <c r="AH2382">
        <v>27.739431757382501</v>
      </c>
      <c r="AI2382">
        <v>92.059312355900602</v>
      </c>
      <c r="AJ2382">
        <v>116.294933054908</v>
      </c>
      <c r="AK2382">
        <v>30.961032414866899</v>
      </c>
      <c r="AL2382">
        <v>86.910059389805497</v>
      </c>
      <c r="AM2382">
        <v>106.55964745902099</v>
      </c>
      <c r="AN2382">
        <v>1.00000000750662</v>
      </c>
    </row>
    <row r="2383" spans="1:40" x14ac:dyDescent="0.25">
      <c r="A2383" t="str">
        <f>"20190305135837494"</f>
        <v>20190305135837494</v>
      </c>
      <c r="B2383" t="str">
        <f>"1551765517491515"</f>
        <v>1551765517491515</v>
      </c>
      <c r="C2383" t="s">
        <v>40</v>
      </c>
      <c r="D2383">
        <v>4.1053430000000004</v>
      </c>
      <c r="E2383">
        <v>0.4340889</v>
      </c>
      <c r="F2383" t="s">
        <v>42</v>
      </c>
      <c r="G2383">
        <v>-487.89960000000002</v>
      </c>
      <c r="H2383" s="1">
        <v>-4.301945E-6</v>
      </c>
      <c r="I2383">
        <v>238.79220000000001</v>
      </c>
      <c r="J2383">
        <v>-488.50729999999999</v>
      </c>
      <c r="K2383">
        <v>1.112411</v>
      </c>
      <c r="L2383">
        <v>269.1284</v>
      </c>
      <c r="M2383">
        <v>-0.42489640000000001</v>
      </c>
      <c r="N2383">
        <v>-1.584404E-2</v>
      </c>
      <c r="O2383">
        <v>-0.9051034</v>
      </c>
      <c r="P2383">
        <v>-0.1490957</v>
      </c>
      <c r="Q2383">
        <v>4.0403250000000002E-2</v>
      </c>
      <c r="R2383">
        <v>-0.98799720000000002</v>
      </c>
      <c r="S2383">
        <v>5.6121829999999998E-2</v>
      </c>
      <c r="T2383">
        <v>-0.1114919</v>
      </c>
      <c r="U2383">
        <v>-3.0508120000000001</v>
      </c>
      <c r="V2383">
        <v>-0.28519099999999997</v>
      </c>
      <c r="W2383">
        <v>5.3980630000000002E-2</v>
      </c>
      <c r="X2383">
        <v>0.95694939999999995</v>
      </c>
      <c r="Y2383">
        <v>-0.44132080000000001</v>
      </c>
      <c r="Z2383">
        <v>1.354283E-2</v>
      </c>
      <c r="AA2383">
        <v>0.89724720000000002</v>
      </c>
      <c r="AB2383">
        <v>20</v>
      </c>
      <c r="AC2383">
        <v>0.60769999999996505</v>
      </c>
      <c r="AD2383">
        <v>-1.112415301945</v>
      </c>
      <c r="AE2383">
        <v>-30.336199999999899</v>
      </c>
      <c r="AF2383">
        <v>-13.423417086241701</v>
      </c>
      <c r="AG2383">
        <v>-1.112415301945</v>
      </c>
      <c r="AH2383">
        <v>27.166086373092501</v>
      </c>
      <c r="AI2383">
        <v>92.102469222823103</v>
      </c>
      <c r="AJ2383">
        <v>116.29508572662201</v>
      </c>
      <c r="AK2383">
        <v>30.321969640930799</v>
      </c>
      <c r="AL2383">
        <v>86.905633651716499</v>
      </c>
      <c r="AM2383">
        <v>106.595160707434</v>
      </c>
      <c r="AN2383">
        <v>0.99999998452827799</v>
      </c>
    </row>
    <row r="2384" spans="1:40" x14ac:dyDescent="0.25">
      <c r="A2384" t="str">
        <f>"20190305135837508"</f>
        <v>20190305135837508</v>
      </c>
      <c r="B2384" t="str">
        <f>"1551765517501275"</f>
        <v>1551765517501275</v>
      </c>
      <c r="C2384" t="s">
        <v>40</v>
      </c>
      <c r="D2384">
        <v>4.4310710000000002</v>
      </c>
      <c r="E2384">
        <v>0.4340889</v>
      </c>
      <c r="F2384" t="s">
        <v>42</v>
      </c>
      <c r="G2384">
        <v>-487.92090000000002</v>
      </c>
      <c r="H2384" s="1">
        <v>-6.159528E-7</v>
      </c>
      <c r="I2384">
        <v>239.83240000000001</v>
      </c>
      <c r="J2384">
        <v>-488.56020000000001</v>
      </c>
      <c r="K2384">
        <v>1.1122160000000001</v>
      </c>
      <c r="L2384">
        <v>269.00909999999999</v>
      </c>
      <c r="M2384">
        <v>-0.4227458</v>
      </c>
      <c r="N2384">
        <v>-1.5428310000000001E-2</v>
      </c>
      <c r="O2384">
        <v>-0.90611710000000001</v>
      </c>
      <c r="P2384">
        <v>-0.1465929</v>
      </c>
      <c r="Q2384">
        <v>4.0753549999999999E-2</v>
      </c>
      <c r="R2384">
        <v>-0.98835720000000005</v>
      </c>
      <c r="S2384">
        <v>6.1065670000000002E-2</v>
      </c>
      <c r="T2384">
        <v>-0.115829</v>
      </c>
      <c r="U2384">
        <v>-3.0504150000000001</v>
      </c>
      <c r="V2384">
        <v>-0.28531640000000003</v>
      </c>
      <c r="W2384">
        <v>5.4019200000000003E-2</v>
      </c>
      <c r="X2384">
        <v>0.95690980000000003</v>
      </c>
      <c r="Y2384">
        <v>-0.4406429</v>
      </c>
      <c r="Z2384">
        <v>1.516619E-2</v>
      </c>
      <c r="AA2384">
        <v>0.89755439999999997</v>
      </c>
      <c r="AB2384">
        <v>20</v>
      </c>
      <c r="AC2384">
        <v>0.63929999999999099</v>
      </c>
      <c r="AD2384">
        <v>-1.1122166159528</v>
      </c>
      <c r="AE2384">
        <v>-29.176699999999901</v>
      </c>
      <c r="AF2384">
        <v>-12.8964124251545</v>
      </c>
      <c r="AG2384">
        <v>-1.1122166159528</v>
      </c>
      <c r="AH2384">
        <v>26.132401382833098</v>
      </c>
      <c r="AI2384">
        <v>92.1857032654016</v>
      </c>
      <c r="AJ2384">
        <v>116.266466720816</v>
      </c>
      <c r="AK2384">
        <v>29.162593870813001</v>
      </c>
      <c r="AL2384">
        <v>86.903420397850894</v>
      </c>
      <c r="AM2384">
        <v>106.602705358557</v>
      </c>
      <c r="AN2384">
        <v>0.999999943706818</v>
      </c>
    </row>
    <row r="2385" spans="1:40" x14ac:dyDescent="0.25">
      <c r="A2385" t="str">
        <f>"20190305135837522"</f>
        <v>20190305135837522</v>
      </c>
      <c r="B2385" t="str">
        <f>"1551765517511035"</f>
        <v>1551765517511035</v>
      </c>
      <c r="C2385" t="s">
        <v>40</v>
      </c>
      <c r="D2385">
        <v>4.1128499999999999</v>
      </c>
      <c r="E2385">
        <v>0.44733250000000002</v>
      </c>
      <c r="F2385" t="s">
        <v>42</v>
      </c>
      <c r="G2385">
        <v>-487.89699999999999</v>
      </c>
      <c r="H2385" s="1">
        <v>-4.5757500000000002E-6</v>
      </c>
      <c r="I2385">
        <v>239.42939999999999</v>
      </c>
      <c r="J2385">
        <v>-488.61169999999998</v>
      </c>
      <c r="K2385">
        <v>1.112015</v>
      </c>
      <c r="L2385">
        <v>268.89260000000002</v>
      </c>
      <c r="M2385">
        <v>-0.42055120000000001</v>
      </c>
      <c r="N2385">
        <v>-1.497224E-2</v>
      </c>
      <c r="O2385">
        <v>-0.90714539999999999</v>
      </c>
      <c r="P2385">
        <v>-0.1446093</v>
      </c>
      <c r="Q2385">
        <v>4.203378E-2</v>
      </c>
      <c r="R2385">
        <v>-0.98859580000000002</v>
      </c>
      <c r="S2385">
        <v>6.8389889999999995E-2</v>
      </c>
      <c r="T2385">
        <v>-0.1146911</v>
      </c>
      <c r="U2385">
        <v>-3.0502319999999998</v>
      </c>
      <c r="V2385">
        <v>-0.28488160000000001</v>
      </c>
      <c r="W2385">
        <v>5.4953839999999997E-2</v>
      </c>
      <c r="X2385">
        <v>0.95698620000000001</v>
      </c>
      <c r="Y2385">
        <v>-0.4406311</v>
      </c>
      <c r="Z2385">
        <v>1.5373639999999999E-2</v>
      </c>
      <c r="AA2385">
        <v>0.89755669999999899</v>
      </c>
      <c r="AB2385">
        <v>20</v>
      </c>
      <c r="AC2385">
        <v>0.71469999999999301</v>
      </c>
      <c r="AD2385">
        <v>-1.11201957575</v>
      </c>
      <c r="AE2385">
        <v>-29.463200000000001</v>
      </c>
      <c r="AF2385">
        <v>-13.0220418823308</v>
      </c>
      <c r="AG2385">
        <v>-1.11201957575</v>
      </c>
      <c r="AH2385">
        <v>26.3922237021443</v>
      </c>
      <c r="AI2385">
        <v>92.163907591627193</v>
      </c>
      <c r="AJ2385">
        <v>116.26193877545801</v>
      </c>
      <c r="AK2385">
        <v>29.450970005520301</v>
      </c>
      <c r="AL2385">
        <v>86.849790034270796</v>
      </c>
      <c r="AM2385">
        <v>106.577542973319</v>
      </c>
      <c r="AN2385">
        <v>1.0000000187698701</v>
      </c>
    </row>
    <row r="2386" spans="1:40" x14ac:dyDescent="0.25">
      <c r="A2386" t="str">
        <f>"20190305135837535"</f>
        <v>20190305135837535</v>
      </c>
      <c r="B2386" t="str">
        <f>"1551765517531531"</f>
        <v>1551765517531531</v>
      </c>
      <c r="C2386" t="s">
        <v>40</v>
      </c>
      <c r="D2386">
        <v>4.1732290000000001</v>
      </c>
      <c r="E2386">
        <v>0.44467060000000003</v>
      </c>
      <c r="F2386" t="s">
        <v>42</v>
      </c>
      <c r="G2386">
        <v>-488.79289999999997</v>
      </c>
      <c r="H2386" s="1">
        <v>-1.788619E-6</v>
      </c>
      <c r="I2386">
        <v>253.303</v>
      </c>
      <c r="J2386">
        <v>-488.66039999999998</v>
      </c>
      <c r="K2386">
        <v>1.111837</v>
      </c>
      <c r="L2386">
        <v>268.78190000000001</v>
      </c>
      <c r="M2386">
        <v>-0.41839320000000002</v>
      </c>
      <c r="N2386">
        <v>-1.4479580000000001E-2</v>
      </c>
      <c r="O2386">
        <v>-0.90815060000000003</v>
      </c>
      <c r="P2386">
        <v>-0.14314289999999999</v>
      </c>
      <c r="Q2386">
        <v>4.3468300000000001E-2</v>
      </c>
      <c r="R2386">
        <v>-0.98874700000000004</v>
      </c>
      <c r="S2386">
        <v>-3.5308840000000001E-2</v>
      </c>
      <c r="T2386">
        <v>-0.21674979999999999</v>
      </c>
      <c r="U2386">
        <v>-3.0386660000000001</v>
      </c>
      <c r="V2386">
        <v>-0.28398800000000002</v>
      </c>
      <c r="W2386">
        <v>5.5990320000000003E-2</v>
      </c>
      <c r="X2386">
        <v>0.95719169999999998</v>
      </c>
      <c r="Y2386">
        <v>-0.40755639999999999</v>
      </c>
      <c r="Z2386">
        <v>4.3870220000000001E-2</v>
      </c>
      <c r="AA2386">
        <v>0.91212559999999998</v>
      </c>
      <c r="AB2386">
        <v>20</v>
      </c>
      <c r="AC2386">
        <v>-0.13249999999999301</v>
      </c>
      <c r="AD2386">
        <v>-1.111838788619</v>
      </c>
      <c r="AE2386">
        <v>-15.478899999999999</v>
      </c>
      <c r="AF2386">
        <v>-6.3239769571367503</v>
      </c>
      <c r="AG2386">
        <v>-1.111838788619</v>
      </c>
      <c r="AH2386">
        <v>14.0416469072441</v>
      </c>
      <c r="AI2386">
        <v>94.129432447236198</v>
      </c>
      <c r="AJ2386">
        <v>114.245509531754</v>
      </c>
      <c r="AK2386">
        <v>15.440100968387201</v>
      </c>
      <c r="AL2386">
        <v>86.790312543002997</v>
      </c>
      <c r="AM2386">
        <v>106.525029863669</v>
      </c>
      <c r="AN2386">
        <v>1.0000000253132899</v>
      </c>
    </row>
    <row r="2387" spans="1:40" x14ac:dyDescent="0.25">
      <c r="A2387" t="str">
        <f>"20190305135837548"</f>
        <v>20190305135837548</v>
      </c>
      <c r="B2387" t="str">
        <f>"1551765517541291"</f>
        <v>1551765517541291</v>
      </c>
      <c r="C2387" t="s">
        <v>40</v>
      </c>
      <c r="D2387">
        <v>4.1500050000000002</v>
      </c>
      <c r="E2387">
        <v>0.44424920000000001</v>
      </c>
      <c r="F2387" t="s">
        <v>42</v>
      </c>
      <c r="G2387">
        <v>-488.70819999999998</v>
      </c>
      <c r="H2387" s="1">
        <v>-7.6940819999999999E-7</v>
      </c>
      <c r="I2387">
        <v>250.8921</v>
      </c>
      <c r="J2387">
        <v>-488.7045</v>
      </c>
      <c r="K2387">
        <v>1.1117440000000001</v>
      </c>
      <c r="L2387">
        <v>268.68119999999999</v>
      </c>
      <c r="M2387">
        <v>-0.41644930000000002</v>
      </c>
      <c r="N2387">
        <v>-1.404212E-2</v>
      </c>
      <c r="O2387">
        <v>-0.90905049999999998</v>
      </c>
      <c r="P2387">
        <v>-0.142031399999999</v>
      </c>
      <c r="Q2387">
        <v>4.4311080000000003E-2</v>
      </c>
      <c r="R2387">
        <v>-0.98886980000000002</v>
      </c>
      <c r="S2387">
        <v>-8.1176759999999903E-3</v>
      </c>
      <c r="T2387">
        <v>-0.18901409999999999</v>
      </c>
      <c r="U2387">
        <v>-3.04129</v>
      </c>
      <c r="V2387">
        <v>-0.28299340000000001</v>
      </c>
      <c r="W2387">
        <v>5.644735E-2</v>
      </c>
      <c r="X2387">
        <v>0.95745939999999996</v>
      </c>
      <c r="Y2387">
        <v>-0.41379670000000002</v>
      </c>
      <c r="Z2387">
        <v>3.6790099999999999E-2</v>
      </c>
      <c r="AA2387">
        <v>0.90962560000000003</v>
      </c>
      <c r="AB2387">
        <v>20</v>
      </c>
      <c r="AC2387">
        <v>-3.69999999998071E-3</v>
      </c>
      <c r="AD2387">
        <v>-1.1117447694081899</v>
      </c>
      <c r="AE2387">
        <v>-17.789099999999902</v>
      </c>
      <c r="AF2387">
        <v>-7.3768130315326701</v>
      </c>
      <c r="AG2387">
        <v>-1.1117447694081899</v>
      </c>
      <c r="AH2387">
        <v>16.1113989539224</v>
      </c>
      <c r="AI2387">
        <v>93.590027757150395</v>
      </c>
      <c r="AJ2387">
        <v>114.601289670583</v>
      </c>
      <c r="AK2387">
        <v>17.754732416652999</v>
      </c>
      <c r="AL2387">
        <v>86.764085206022301</v>
      </c>
      <c r="AM2387">
        <v>106.465940375111</v>
      </c>
      <c r="AN2387">
        <v>1.00000003520697</v>
      </c>
    </row>
    <row r="2388" spans="1:40" x14ac:dyDescent="0.25">
      <c r="A2388" t="str">
        <f>"20190305135837560"</f>
        <v>20190305135837560</v>
      </c>
      <c r="B2388" t="str">
        <f>"1551765517551053"</f>
        <v>1551765517551053</v>
      </c>
      <c r="C2388" t="s">
        <v>40</v>
      </c>
      <c r="D2388">
        <v>4.1505749999999999</v>
      </c>
      <c r="E2388">
        <v>0.44402380000000002</v>
      </c>
      <c r="F2388" t="s">
        <v>42</v>
      </c>
      <c r="G2388">
        <v>-488.7097</v>
      </c>
      <c r="H2388" s="1">
        <v>-5.1862739999999997E-7</v>
      </c>
      <c r="I2388">
        <v>250.16319999999999</v>
      </c>
      <c r="J2388">
        <v>-488.75360000000001</v>
      </c>
      <c r="K2388">
        <v>1.1116729999999999</v>
      </c>
      <c r="L2388">
        <v>268.56830000000002</v>
      </c>
      <c r="M2388">
        <v>-0.41429060000000001</v>
      </c>
      <c r="N2388">
        <v>-1.357216E-2</v>
      </c>
      <c r="O2388">
        <v>-0.91004350000000001</v>
      </c>
      <c r="P2388">
        <v>-0.1406637</v>
      </c>
      <c r="Q2388">
        <v>4.5104140000000001E-2</v>
      </c>
      <c r="R2388">
        <v>-0.98902970000000001</v>
      </c>
      <c r="S2388">
        <v>-8.5449219999999995E-4</v>
      </c>
      <c r="T2388">
        <v>-0.18262210000000001</v>
      </c>
      <c r="U2388">
        <v>-3.0418699999999999</v>
      </c>
      <c r="V2388">
        <v>-0.28202739999999998</v>
      </c>
      <c r="W2388">
        <v>5.6804899999999998E-2</v>
      </c>
      <c r="X2388">
        <v>0.9577232</v>
      </c>
      <c r="Y2388">
        <v>-0.41382370000000002</v>
      </c>
      <c r="Z2388">
        <v>3.5616189999999999E-2</v>
      </c>
      <c r="AA2388">
        <v>0.90966009999999997</v>
      </c>
      <c r="AB2388">
        <v>21</v>
      </c>
      <c r="AC2388">
        <v>4.3900000000007801E-2</v>
      </c>
      <c r="AD2388">
        <v>-1.1116735186273901</v>
      </c>
      <c r="AE2388">
        <v>-18.405100000000001</v>
      </c>
      <c r="AF2388">
        <v>-7.6378523727278598</v>
      </c>
      <c r="AG2388">
        <v>-1.1116735186273901</v>
      </c>
      <c r="AH2388">
        <v>16.6719725371075</v>
      </c>
      <c r="AI2388">
        <v>93.469052182248006</v>
      </c>
      <c r="AJ2388">
        <v>114.613713670406</v>
      </c>
      <c r="AK2388">
        <v>18.3719153916424</v>
      </c>
      <c r="AL2388">
        <v>86.743566027663803</v>
      </c>
      <c r="AM2388">
        <v>106.40848559805499</v>
      </c>
      <c r="AN2388">
        <v>0.99999998941650403</v>
      </c>
    </row>
    <row r="2389" spans="1:40" x14ac:dyDescent="0.25">
      <c r="A2389" t="str">
        <f>"20190305135837576"</f>
        <v>20190305135837576</v>
      </c>
      <c r="B2389" t="str">
        <f>"1551765517571547"</f>
        <v>1551765517571547</v>
      </c>
      <c r="C2389" t="s">
        <v>40</v>
      </c>
      <c r="D2389">
        <v>4.1954399999999996</v>
      </c>
      <c r="E2389">
        <v>0.4440152</v>
      </c>
      <c r="F2389" t="s">
        <v>41</v>
      </c>
      <c r="G2389">
        <v>-488.75170000000003</v>
      </c>
      <c r="H2389">
        <v>1.049417</v>
      </c>
      <c r="I2389">
        <v>267.50229999999999</v>
      </c>
      <c r="J2389">
        <v>-488.80869999999999</v>
      </c>
      <c r="K2389">
        <v>1.1116760000000001</v>
      </c>
      <c r="L2389">
        <v>268.44110000000001</v>
      </c>
      <c r="M2389">
        <v>-0.41191060000000002</v>
      </c>
      <c r="N2389">
        <v>-1.3110490000000001E-2</v>
      </c>
      <c r="O2389">
        <v>-0.91113010000000005</v>
      </c>
      <c r="P2389">
        <v>-0.13926140000000001</v>
      </c>
      <c r="Q2389">
        <v>4.571103E-2</v>
      </c>
      <c r="R2389">
        <v>-0.98920039999999998</v>
      </c>
      <c r="S2389">
        <v>5.432129E-3</v>
      </c>
      <c r="T2389">
        <v>-0.17764769999999999</v>
      </c>
      <c r="U2389">
        <v>-3.0421450000000001</v>
      </c>
      <c r="V2389">
        <v>-0.28087400000000001</v>
      </c>
      <c r="W2389">
        <v>5.6945799999999998E-2</v>
      </c>
      <c r="X2389">
        <v>0.95805370000000001</v>
      </c>
      <c r="Y2389">
        <v>-0.41333730000000002</v>
      </c>
      <c r="Z2389">
        <v>3.4830880000000002E-2</v>
      </c>
      <c r="AA2389">
        <v>0.90991160000000004</v>
      </c>
      <c r="AB2389">
        <v>21</v>
      </c>
      <c r="AC2389">
        <v>5.69999999999595E-2</v>
      </c>
      <c r="AD2389">
        <v>-6.2259000000000002E-2</v>
      </c>
      <c r="AE2389">
        <v>-0.93880000000001396</v>
      </c>
      <c r="AF2389">
        <v>-0.43675989878149701</v>
      </c>
      <c r="AG2389">
        <v>-6.2259000000000002E-2</v>
      </c>
      <c r="AH2389">
        <v>0.82833177135290803</v>
      </c>
      <c r="AI2389">
        <v>93.803757724652101</v>
      </c>
      <c r="AJ2389">
        <v>117.801629083827</v>
      </c>
      <c r="AK2389">
        <v>0.93849289592264296</v>
      </c>
      <c r="AL2389">
        <v>86.7354798672459</v>
      </c>
      <c r="AM2389">
        <v>106.339631212584</v>
      </c>
      <c r="AN2389">
        <v>0.99999996004866398</v>
      </c>
    </row>
    <row r="2390" spans="1:40" x14ac:dyDescent="0.25">
      <c r="A2390" t="str">
        <f>"20190305135837591"</f>
        <v>20190305135837591</v>
      </c>
      <c r="B2390" t="str">
        <f>"1551765517581307"</f>
        <v>1551765517581307</v>
      </c>
      <c r="C2390" t="s">
        <v>40</v>
      </c>
      <c r="D2390">
        <v>4.1793950000000004</v>
      </c>
      <c r="E2390">
        <v>0.44390760000000001</v>
      </c>
      <c r="F2390" t="s">
        <v>42</v>
      </c>
      <c r="G2390">
        <v>-488.74799999999999</v>
      </c>
      <c r="H2390" s="1">
        <v>-4.6294609999999999E-7</v>
      </c>
      <c r="I2390">
        <v>250.02950000000001</v>
      </c>
      <c r="J2390">
        <v>-488.86290000000002</v>
      </c>
      <c r="K2390">
        <v>1.111737</v>
      </c>
      <c r="L2390">
        <v>268.31450000000001</v>
      </c>
      <c r="M2390">
        <v>-0.4095703</v>
      </c>
      <c r="N2390">
        <v>-1.2713830000000001E-2</v>
      </c>
      <c r="O2390">
        <v>-0.9121899</v>
      </c>
      <c r="P2390">
        <v>-0.1382273</v>
      </c>
      <c r="Q2390">
        <v>4.5463570000000002E-2</v>
      </c>
      <c r="R2390">
        <v>-0.98935649999999997</v>
      </c>
      <c r="S2390">
        <v>1.004028E-2</v>
      </c>
      <c r="T2390">
        <v>-0.18371380000000001</v>
      </c>
      <c r="U2390">
        <v>-3.0426639999999998</v>
      </c>
      <c r="V2390">
        <v>-0.27942669999999997</v>
      </c>
      <c r="W2390">
        <v>5.6270729999999998E-2</v>
      </c>
      <c r="X2390">
        <v>0.9585167</v>
      </c>
      <c r="Y2390">
        <v>-0.41237560000000001</v>
      </c>
      <c r="Z2390">
        <v>3.6954720000000003E-2</v>
      </c>
      <c r="AA2390">
        <v>0.91026410000000002</v>
      </c>
      <c r="AB2390">
        <v>21</v>
      </c>
      <c r="AC2390">
        <v>0.11489999999997701</v>
      </c>
      <c r="AD2390">
        <v>-1.1117374629461001</v>
      </c>
      <c r="AE2390">
        <v>-18.285</v>
      </c>
      <c r="AF2390">
        <v>-7.5664479939730303</v>
      </c>
      <c r="AG2390">
        <v>-1.1117374629461001</v>
      </c>
      <c r="AH2390">
        <v>16.572417160410701</v>
      </c>
      <c r="AI2390">
        <v>93.492090911480105</v>
      </c>
      <c r="AJ2390">
        <v>114.539958006319</v>
      </c>
      <c r="AK2390">
        <v>18.251906913270499</v>
      </c>
      <c r="AL2390">
        <v>86.774220685548201</v>
      </c>
      <c r="AM2390">
        <v>106.252454977724</v>
      </c>
      <c r="AN2390">
        <v>0.99999996995325602</v>
      </c>
    </row>
    <row r="2391" spans="1:40" x14ac:dyDescent="0.25">
      <c r="A2391" t="str">
        <f>"20190305135837613"</f>
        <v>20190305135837613</v>
      </c>
      <c r="B2391" t="str">
        <f>"1551765517600827"</f>
        <v>1551765517600827</v>
      </c>
      <c r="C2391" t="s">
        <v>40</v>
      </c>
      <c r="D2391">
        <v>4.3105449999999896</v>
      </c>
      <c r="E2391">
        <v>0.44401499999999999</v>
      </c>
      <c r="F2391" t="s">
        <v>42</v>
      </c>
      <c r="G2391">
        <v>-488.77800000000002</v>
      </c>
      <c r="H2391" s="1">
        <v>-3.8506900000000002E-7</v>
      </c>
      <c r="I2391">
        <v>249.82419999999999</v>
      </c>
      <c r="J2391">
        <v>-488.94150000000002</v>
      </c>
      <c r="K2391">
        <v>1.111872</v>
      </c>
      <c r="L2391">
        <v>268.1293</v>
      </c>
      <c r="M2391">
        <v>-0.40610659999999998</v>
      </c>
      <c r="N2391">
        <v>-1.2184499999999999E-2</v>
      </c>
      <c r="O2391">
        <v>-0.91374449999999996</v>
      </c>
      <c r="P2391">
        <v>-0.1358791</v>
      </c>
      <c r="Q2391">
        <v>4.5766469999999997E-2</v>
      </c>
      <c r="R2391">
        <v>-0.98966770000000004</v>
      </c>
      <c r="S2391">
        <v>1.397705E-2</v>
      </c>
      <c r="T2391">
        <v>-0.18293960000000001</v>
      </c>
      <c r="U2391">
        <v>-3.0426329999999999</v>
      </c>
      <c r="V2391">
        <v>-0.27807599999999999</v>
      </c>
      <c r="W2391">
        <v>5.5968410000000003E-2</v>
      </c>
      <c r="X2391">
        <v>0.95892719999999998</v>
      </c>
      <c r="Y2391">
        <v>-0.41010560000000001</v>
      </c>
      <c r="Z2391">
        <v>3.7441620000000002E-2</v>
      </c>
      <c r="AA2391">
        <v>0.9112692</v>
      </c>
      <c r="AB2391">
        <v>21</v>
      </c>
      <c r="AC2391">
        <v>0.16349999999999901</v>
      </c>
      <c r="AD2391">
        <v>-1.111872385069</v>
      </c>
      <c r="AE2391">
        <v>-18.305099999999999</v>
      </c>
      <c r="AF2391">
        <v>-7.55590677955374</v>
      </c>
      <c r="AG2391">
        <v>-1.111872385069</v>
      </c>
      <c r="AH2391">
        <v>16.599782709429</v>
      </c>
      <c r="AI2391">
        <v>93.488592525379403</v>
      </c>
      <c r="AJ2391">
        <v>114.474129445269</v>
      </c>
      <c r="AK2391">
        <v>18.272404698403701</v>
      </c>
      <c r="AL2391">
        <v>86.791569943710499</v>
      </c>
      <c r="AM2391">
        <v>106.171448694643</v>
      </c>
      <c r="AN2391">
        <v>1.00000004979688</v>
      </c>
    </row>
    <row r="2392" spans="1:40" x14ac:dyDescent="0.25">
      <c r="A2392" t="str">
        <f>"20190305135837629"</f>
        <v>20190305135837629</v>
      </c>
      <c r="B2392" t="str">
        <f>"1551765517621323"</f>
        <v>1551765517621323</v>
      </c>
      <c r="C2392" t="s">
        <v>40</v>
      </c>
      <c r="D2392">
        <v>4.3321569999999996</v>
      </c>
      <c r="E2392">
        <v>0.47506900000000002</v>
      </c>
      <c r="F2392" t="s">
        <v>42</v>
      </c>
      <c r="G2392">
        <v>-488.81310000000002</v>
      </c>
      <c r="H2392" s="1">
        <v>-4.3209020000000001E-6</v>
      </c>
      <c r="I2392">
        <v>249.2141</v>
      </c>
      <c r="J2392">
        <v>-488.99630000000002</v>
      </c>
      <c r="K2392">
        <v>1.1119779999999999</v>
      </c>
      <c r="L2392">
        <v>267.99849999999998</v>
      </c>
      <c r="M2392">
        <v>-0.40358270000000002</v>
      </c>
      <c r="N2392">
        <v>-1.184147E-2</v>
      </c>
      <c r="O2392">
        <v>-0.91486659999999997</v>
      </c>
      <c r="P2392">
        <v>-0.1339176</v>
      </c>
      <c r="Q2392">
        <v>4.6622129999999998E-2</v>
      </c>
      <c r="R2392">
        <v>-0.98989530000000003</v>
      </c>
      <c r="S2392">
        <v>2.0660399999999999E-2</v>
      </c>
      <c r="T2392">
        <v>-0.17884050000000001</v>
      </c>
      <c r="U2392">
        <v>-3.0424190000000002</v>
      </c>
      <c r="V2392">
        <v>-0.27732990000000002</v>
      </c>
      <c r="W2392">
        <v>5.642117E-2</v>
      </c>
      <c r="X2392">
        <v>0.95911670000000004</v>
      </c>
      <c r="Y2392">
        <v>-0.40960029999999997</v>
      </c>
      <c r="Z2392">
        <v>3.6777190000000001E-2</v>
      </c>
      <c r="AA2392">
        <v>0.91152350000000004</v>
      </c>
      <c r="AB2392">
        <v>21</v>
      </c>
      <c r="AC2392">
        <v>0.183199999999999</v>
      </c>
      <c r="AD2392">
        <v>-1.1119823209020001</v>
      </c>
      <c r="AE2392">
        <v>-18.784399999999899</v>
      </c>
      <c r="AF2392">
        <v>-7.7221471784856801</v>
      </c>
      <c r="AG2392">
        <v>-1.1119823209020001</v>
      </c>
      <c r="AH2392">
        <v>17.052730477470899</v>
      </c>
      <c r="AI2392">
        <v>93.399472985897802</v>
      </c>
      <c r="AJ2392">
        <v>114.362888023491</v>
      </c>
      <c r="AK2392">
        <v>18.7526978983148</v>
      </c>
      <c r="AL2392">
        <v>86.765587596801396</v>
      </c>
      <c r="AM2392">
        <v>106.127297458971</v>
      </c>
      <c r="AN2392">
        <v>1.0000000330385299</v>
      </c>
    </row>
    <row r="2393" spans="1:40" x14ac:dyDescent="0.25">
      <c r="A2393" t="str">
        <f>"20190305135837647"</f>
        <v>20190305135837647</v>
      </c>
      <c r="B2393" t="str">
        <f>"1551765517640843"</f>
        <v>1551765517640843</v>
      </c>
      <c r="C2393" t="s">
        <v>40</v>
      </c>
      <c r="D2393">
        <v>4.2649559999999997</v>
      </c>
      <c r="E2393">
        <v>0.47909079999999898</v>
      </c>
      <c r="F2393" t="s">
        <v>42</v>
      </c>
      <c r="G2393">
        <v>-491.11779999999999</v>
      </c>
      <c r="H2393" s="1">
        <v>-4.1194349999999998E-6</v>
      </c>
      <c r="I2393">
        <v>238.5093</v>
      </c>
      <c r="J2393">
        <v>-489.06200000000001</v>
      </c>
      <c r="K2393">
        <v>1.1121000000000001</v>
      </c>
      <c r="L2393">
        <v>267.84019999999998</v>
      </c>
      <c r="M2393">
        <v>-0.40042270000000002</v>
      </c>
      <c r="N2393">
        <v>-1.145697E-2</v>
      </c>
      <c r="O2393">
        <v>-0.91625900000000005</v>
      </c>
      <c r="P2393">
        <v>-0.13228190000000001</v>
      </c>
      <c r="Q2393">
        <v>4.8174710000000003E-2</v>
      </c>
      <c r="R2393">
        <v>-0.99004080000000005</v>
      </c>
      <c r="S2393">
        <v>-0.21630859999999999</v>
      </c>
      <c r="T2393">
        <v>-0.11337849999999999</v>
      </c>
      <c r="U2393">
        <v>-3.0067439999999999</v>
      </c>
      <c r="V2393">
        <v>-0.27559650000000002</v>
      </c>
      <c r="W2393">
        <v>5.7530390000000001E-2</v>
      </c>
      <c r="X2393">
        <v>0.95955029999999997</v>
      </c>
      <c r="Y2393">
        <v>-0.333576599999999</v>
      </c>
      <c r="Z2393">
        <v>2.0575369999999999E-2</v>
      </c>
      <c r="AA2393">
        <v>0.94249839999999996</v>
      </c>
      <c r="AB2393">
        <v>21</v>
      </c>
      <c r="AC2393">
        <v>-2.0558000000000298</v>
      </c>
      <c r="AD2393">
        <v>-1.1121041194349901</v>
      </c>
      <c r="AE2393">
        <v>-29.3308999999999</v>
      </c>
      <c r="AF2393">
        <v>-9.8476715379064892</v>
      </c>
      <c r="AG2393">
        <v>-1.1121041194349901</v>
      </c>
      <c r="AH2393">
        <v>27.660135943184301</v>
      </c>
      <c r="AI2393">
        <v>92.169161237322399</v>
      </c>
      <c r="AJ2393">
        <v>109.596948626472</v>
      </c>
      <c r="AK2393">
        <v>29.3819082206447</v>
      </c>
      <c r="AL2393">
        <v>86.701930380402999</v>
      </c>
      <c r="AM2393">
        <v>106.024818754157</v>
      </c>
      <c r="AN2393">
        <v>0.999999977407945</v>
      </c>
    </row>
    <row r="2394" spans="1:40" x14ac:dyDescent="0.25">
      <c r="A2394" t="str">
        <f>"20190305135837661"</f>
        <v>20190305135837661</v>
      </c>
      <c r="B2394" t="str">
        <f>"1551765517650604"</f>
        <v>1551765517650604</v>
      </c>
      <c r="C2394" t="s">
        <v>40</v>
      </c>
      <c r="D2394">
        <v>4.2498579999999997</v>
      </c>
      <c r="E2394">
        <v>0.47968319999999998</v>
      </c>
      <c r="F2394" t="s">
        <v>42</v>
      </c>
      <c r="G2394">
        <v>-491.48349999999999</v>
      </c>
      <c r="H2394" s="1">
        <v>-3.9920720000000004E-6</v>
      </c>
      <c r="I2394">
        <v>237.97460000000001</v>
      </c>
      <c r="J2394">
        <v>-489.11239999999998</v>
      </c>
      <c r="K2394">
        <v>1.1121859999999999</v>
      </c>
      <c r="L2394">
        <v>267.71719999999999</v>
      </c>
      <c r="M2394">
        <v>-0.39788889999999999</v>
      </c>
      <c r="N2394">
        <v>-1.1182839999999999E-2</v>
      </c>
      <c r="O2394">
        <v>-0.9173654</v>
      </c>
      <c r="P2394">
        <v>-0.13045209999999999</v>
      </c>
      <c r="Q2394">
        <v>4.9193529999999999E-2</v>
      </c>
      <c r="R2394">
        <v>-0.99023349999999999</v>
      </c>
      <c r="S2394">
        <v>-0.24349979999999999</v>
      </c>
      <c r="T2394">
        <v>-0.11182690000000001</v>
      </c>
      <c r="U2394">
        <v>-3.0031129999999999</v>
      </c>
      <c r="V2394">
        <v>-0.27471309999999999</v>
      </c>
      <c r="W2394">
        <v>5.8232069999999997E-2</v>
      </c>
      <c r="X2394">
        <v>0.95976130000000004</v>
      </c>
      <c r="Y2394">
        <v>-0.3223895</v>
      </c>
      <c r="Z2394">
        <v>2.059244E-2</v>
      </c>
      <c r="AA2394">
        <v>0.94638310000000003</v>
      </c>
      <c r="AB2394">
        <v>21</v>
      </c>
      <c r="AC2394">
        <v>-2.37110000000001</v>
      </c>
      <c r="AD2394">
        <v>-1.112189992072</v>
      </c>
      <c r="AE2394">
        <v>-29.7425999999999</v>
      </c>
      <c r="AF2394">
        <v>-9.6462865405145202</v>
      </c>
      <c r="AG2394">
        <v>-1.112189992072</v>
      </c>
      <c r="AH2394">
        <v>28.190862694036699</v>
      </c>
      <c r="AI2394">
        <v>92.137708249197402</v>
      </c>
      <c r="AJ2394">
        <v>108.889806375215</v>
      </c>
      <c r="AK2394">
        <v>29.8163134883273</v>
      </c>
      <c r="AL2394">
        <v>86.661659660446105</v>
      </c>
      <c r="AM2394">
        <v>105.97274475423499</v>
      </c>
      <c r="AN2394">
        <v>1.0000000071328901</v>
      </c>
    </row>
    <row r="2395" spans="1:40" x14ac:dyDescent="0.25">
      <c r="A2395" t="str">
        <f>"20190305135837674"</f>
        <v>20190305135837674</v>
      </c>
      <c r="B2395" t="str">
        <f>"1551765517671100"</f>
        <v>1551765517671100</v>
      </c>
      <c r="C2395" t="s">
        <v>40</v>
      </c>
      <c r="D2395">
        <v>4.2500939999999998</v>
      </c>
      <c r="E2395">
        <v>0.48054940000000002</v>
      </c>
      <c r="F2395" t="s">
        <v>42</v>
      </c>
      <c r="G2395">
        <v>-491.5471</v>
      </c>
      <c r="H2395" s="1">
        <v>-3.8330639999999996E-6</v>
      </c>
      <c r="I2395">
        <v>237.56450000000001</v>
      </c>
      <c r="J2395">
        <v>-489.15859999999998</v>
      </c>
      <c r="K2395">
        <v>1.1122559999999999</v>
      </c>
      <c r="L2395">
        <v>267.6035</v>
      </c>
      <c r="M2395">
        <v>-0.3954743</v>
      </c>
      <c r="N2395">
        <v>-1.0956840000000001E-2</v>
      </c>
      <c r="O2395">
        <v>-0.9184118</v>
      </c>
      <c r="P2395">
        <v>-0.12859010000000001</v>
      </c>
      <c r="Q2395">
        <v>5.0105999999999998E-2</v>
      </c>
      <c r="R2395">
        <v>-0.99043150000000002</v>
      </c>
      <c r="S2395">
        <v>-0.24249270000000001</v>
      </c>
      <c r="T2395">
        <v>-0.1107718</v>
      </c>
      <c r="U2395">
        <v>-3.0031430000000001</v>
      </c>
      <c r="V2395">
        <v>-0.27398810000000001</v>
      </c>
      <c r="W2395">
        <v>5.8886609999999999E-2</v>
      </c>
      <c r="X2395">
        <v>0.95992860000000002</v>
      </c>
      <c r="Y2395">
        <v>-0.32021729999999998</v>
      </c>
      <c r="Z2395">
        <v>2.0585630000000001E-2</v>
      </c>
      <c r="AA2395">
        <v>0.94712039999999997</v>
      </c>
      <c r="AB2395">
        <v>21</v>
      </c>
      <c r="AC2395">
        <v>-2.3885000000000201</v>
      </c>
      <c r="AD2395">
        <v>-1.1122598330639999</v>
      </c>
      <c r="AE2395">
        <v>-30.038999999999898</v>
      </c>
      <c r="AF2395">
        <v>-9.6734272984983605</v>
      </c>
      <c r="AG2395">
        <v>-1.1122598330639999</v>
      </c>
      <c r="AH2395">
        <v>28.495649858728601</v>
      </c>
      <c r="AI2395">
        <v>92.116744717342399</v>
      </c>
      <c r="AJ2395">
        <v>108.750825009528</v>
      </c>
      <c r="AK2395">
        <v>30.1133588048036</v>
      </c>
      <c r="AL2395">
        <v>86.624092837842596</v>
      </c>
      <c r="AM2395">
        <v>105.930097267479</v>
      </c>
      <c r="AN2395">
        <v>1.00000001443843</v>
      </c>
    </row>
    <row r="2396" spans="1:40" x14ac:dyDescent="0.25">
      <c r="A2396" t="str">
        <f>"20190305135837691"</f>
        <v>20190305135837691</v>
      </c>
      <c r="B2396" t="str">
        <f>"1551765517680863"</f>
        <v>1551765517680863</v>
      </c>
      <c r="C2396" t="s">
        <v>40</v>
      </c>
      <c r="D2396">
        <v>4.2606519999999897</v>
      </c>
      <c r="E2396">
        <v>0.48098160000000001</v>
      </c>
      <c r="F2396" t="s">
        <v>42</v>
      </c>
      <c r="G2396">
        <v>-491.62810000000002</v>
      </c>
      <c r="H2396" s="1">
        <v>-3.7076159999999999E-6</v>
      </c>
      <c r="I2396">
        <v>237.22190000000001</v>
      </c>
      <c r="J2396">
        <v>-489.22</v>
      </c>
      <c r="K2396">
        <v>1.1123369999999999</v>
      </c>
      <c r="L2396">
        <v>267.45049999999998</v>
      </c>
      <c r="M2396">
        <v>-0.3921423</v>
      </c>
      <c r="N2396">
        <v>-1.068318E-2</v>
      </c>
      <c r="O2396">
        <v>-0.91984259999999995</v>
      </c>
      <c r="P2396">
        <v>-0.12577559999999999</v>
      </c>
      <c r="Q2396">
        <v>5.1501560000000002E-2</v>
      </c>
      <c r="R2396">
        <v>-0.99072099999999996</v>
      </c>
      <c r="S2396">
        <v>-0.24407960000000001</v>
      </c>
      <c r="T2396">
        <v>-0.10993410000000001</v>
      </c>
      <c r="U2396">
        <v>-3.002869</v>
      </c>
      <c r="V2396">
        <v>-0.27322419999999997</v>
      </c>
      <c r="W2396">
        <v>5.997425E-2</v>
      </c>
      <c r="X2396">
        <v>0.96007900000000002</v>
      </c>
      <c r="Y2396">
        <v>-0.3162799</v>
      </c>
      <c r="Z2396">
        <v>2.0721380000000001E-2</v>
      </c>
      <c r="AA2396">
        <v>0.94843960000000005</v>
      </c>
      <c r="AB2396">
        <v>21</v>
      </c>
      <c r="AC2396">
        <v>-2.4080999999999899</v>
      </c>
      <c r="AD2396">
        <v>-1.1123407076159999</v>
      </c>
      <c r="AE2396">
        <v>-30.228599999999901</v>
      </c>
      <c r="AF2396">
        <v>-9.6264366394496292</v>
      </c>
      <c r="AG2396">
        <v>-1.1123407076159999</v>
      </c>
      <c r="AH2396">
        <v>28.712876954744999</v>
      </c>
      <c r="AI2396">
        <v>92.103572541403196</v>
      </c>
      <c r="AJ2396">
        <v>108.534524764694</v>
      </c>
      <c r="AK2396">
        <v>30.304040774152298</v>
      </c>
      <c r="AL2396">
        <v>86.561665364423106</v>
      </c>
      <c r="AM2396">
        <v>105.88556453851599</v>
      </c>
      <c r="AN2396">
        <v>1.00000003018485</v>
      </c>
    </row>
    <row r="2397" spans="1:40" x14ac:dyDescent="0.25">
      <c r="A2397" t="str">
        <f>"20190305135837704"</f>
        <v>20190305135837704</v>
      </c>
      <c r="B2397" t="str">
        <f>"1551765517701356"</f>
        <v>1551765517701356</v>
      </c>
      <c r="C2397" t="s">
        <v>40</v>
      </c>
      <c r="D2397">
        <v>4.2155459999999998</v>
      </c>
      <c r="E2397">
        <v>0.48079110000000003</v>
      </c>
      <c r="F2397" t="s">
        <v>42</v>
      </c>
      <c r="G2397">
        <v>-491.7287</v>
      </c>
      <c r="H2397" s="1">
        <v>-3.1930749999999999E-6</v>
      </c>
      <c r="I2397">
        <v>235.96</v>
      </c>
      <c r="J2397">
        <v>-489.26209999999998</v>
      </c>
      <c r="K2397">
        <v>1.112385</v>
      </c>
      <c r="L2397">
        <v>267.34480000000002</v>
      </c>
      <c r="M2397">
        <v>-0.38978970000000002</v>
      </c>
      <c r="N2397">
        <v>-1.051036E-2</v>
      </c>
      <c r="O2397">
        <v>-0.920844</v>
      </c>
      <c r="P2397">
        <v>-0.1229605</v>
      </c>
      <c r="Q2397">
        <v>5.1840530000000003E-2</v>
      </c>
      <c r="R2397">
        <v>-0.99105670000000001</v>
      </c>
      <c r="S2397">
        <v>-0.23925779999999999</v>
      </c>
      <c r="T2397">
        <v>-0.1060835</v>
      </c>
      <c r="U2397">
        <v>-3.0032350000000001</v>
      </c>
      <c r="V2397">
        <v>-0.27349790000000002</v>
      </c>
      <c r="W2397">
        <v>6.0113710000000001E-2</v>
      </c>
      <c r="X2397">
        <v>0.95999230000000002</v>
      </c>
      <c r="Y2397">
        <v>-0.31537939999999998</v>
      </c>
      <c r="Z2397">
        <v>1.984959E-2</v>
      </c>
      <c r="AA2397">
        <v>0.94875810000000005</v>
      </c>
      <c r="AB2397">
        <v>21</v>
      </c>
      <c r="AC2397">
        <v>-2.4666000000000201</v>
      </c>
      <c r="AD2397">
        <v>-1.1123881930749999</v>
      </c>
      <c r="AE2397">
        <v>-31.384799999999998</v>
      </c>
      <c r="AF2397">
        <v>-9.9502443090723496</v>
      </c>
      <c r="AG2397">
        <v>-1.1123881930749999</v>
      </c>
      <c r="AH2397">
        <v>29.826368148522299</v>
      </c>
      <c r="AI2397">
        <v>92.026204605453202</v>
      </c>
      <c r="AJ2397">
        <v>108.448988932582</v>
      </c>
      <c r="AK2397">
        <v>31.4619930429321</v>
      </c>
      <c r="AL2397">
        <v>86.553660305812699</v>
      </c>
      <c r="AM2397">
        <v>105.902036999136</v>
      </c>
      <c r="AN2397">
        <v>0.99999998774683196</v>
      </c>
    </row>
    <row r="2398" spans="1:40" x14ac:dyDescent="0.25">
      <c r="A2398" t="str">
        <f>"20190305135837723"</f>
        <v>20190305135837723</v>
      </c>
      <c r="B2398" t="str">
        <f>"1551765517711115"</f>
        <v>1551765517711115</v>
      </c>
      <c r="C2398" t="s">
        <v>40</v>
      </c>
      <c r="D2398">
        <v>4.2483219999999999</v>
      </c>
      <c r="E2398">
        <v>0.4810024</v>
      </c>
      <c r="F2398" t="s">
        <v>42</v>
      </c>
      <c r="G2398">
        <v>-491.32240000000002</v>
      </c>
      <c r="H2398" s="1">
        <v>-7.0975880000000001E-7</v>
      </c>
      <c r="I2398">
        <v>240.42339999999999</v>
      </c>
      <c r="J2398">
        <v>-489.32859999999999</v>
      </c>
      <c r="K2398">
        <v>1.1124499999999999</v>
      </c>
      <c r="L2398">
        <v>267.17540000000002</v>
      </c>
      <c r="M2398">
        <v>-0.3859437</v>
      </c>
      <c r="N2398">
        <v>-1.02582E-2</v>
      </c>
      <c r="O2398">
        <v>-0.92246530000000004</v>
      </c>
      <c r="P2398">
        <v>-0.11923880000000001</v>
      </c>
      <c r="Q2398">
        <v>5.280431E-2</v>
      </c>
      <c r="R2398">
        <v>-0.99146049999999997</v>
      </c>
      <c r="S2398">
        <v>-0.2299805</v>
      </c>
      <c r="T2398">
        <v>-0.1241686</v>
      </c>
      <c r="U2398">
        <v>-3.0050659999999998</v>
      </c>
      <c r="V2398">
        <v>-0.27308870000000002</v>
      </c>
      <c r="W2398">
        <v>6.0798619999999998E-2</v>
      </c>
      <c r="X2398">
        <v>0.96006570000000002</v>
      </c>
      <c r="Y2398">
        <v>-0.31437579999999998</v>
      </c>
      <c r="Z2398">
        <v>2.5318110000000001E-2</v>
      </c>
      <c r="AA2398">
        <v>0.94896100000000005</v>
      </c>
      <c r="AB2398">
        <v>21</v>
      </c>
      <c r="AC2398">
        <v>-1.99380000000002</v>
      </c>
      <c r="AD2398">
        <v>-1.1124507097587999</v>
      </c>
      <c r="AE2398">
        <v>-26.751999999999999</v>
      </c>
      <c r="AF2398">
        <v>-8.4714330413693695</v>
      </c>
      <c r="AG2398">
        <v>-1.1124507097587999</v>
      </c>
      <c r="AH2398">
        <v>25.404937342665601</v>
      </c>
      <c r="AI2398">
        <v>92.378706794771006</v>
      </c>
      <c r="AJ2398">
        <v>108.441282679887</v>
      </c>
      <c r="AK2398">
        <v>26.803237971200598</v>
      </c>
      <c r="AL2398">
        <v>86.5143460854393</v>
      </c>
      <c r="AM2398">
        <v>105.878292578097</v>
      </c>
      <c r="AN2398">
        <v>1.0000000292890401</v>
      </c>
    </row>
    <row r="2399" spans="1:40" x14ac:dyDescent="0.25">
      <c r="A2399" t="str">
        <f>"20190305135837740"</f>
        <v>20190305135837740</v>
      </c>
      <c r="B2399" t="str">
        <f>"1551765517730636"</f>
        <v>1551765517730636</v>
      </c>
      <c r="C2399" t="s">
        <v>40</v>
      </c>
      <c r="D2399">
        <v>4.2700310000000004</v>
      </c>
      <c r="E2399">
        <v>0.48145060000000001</v>
      </c>
      <c r="F2399" t="s">
        <v>42</v>
      </c>
      <c r="G2399">
        <v>-491.37939999999998</v>
      </c>
      <c r="H2399" s="1">
        <v>-4.4050409999999998E-6</v>
      </c>
      <c r="I2399">
        <v>239.2122</v>
      </c>
      <c r="J2399">
        <v>-489.38499999999999</v>
      </c>
      <c r="K2399">
        <v>1.11249</v>
      </c>
      <c r="L2399">
        <v>267.03059999999999</v>
      </c>
      <c r="M2399">
        <v>-0.38259660000000001</v>
      </c>
      <c r="N2399">
        <v>-1.005989E-2</v>
      </c>
      <c r="O2399">
        <v>-0.92386080000000004</v>
      </c>
      <c r="P2399">
        <v>-0.1157318</v>
      </c>
      <c r="Q2399">
        <v>5.3327369999999999E-2</v>
      </c>
      <c r="R2399">
        <v>-0.99184799999999995</v>
      </c>
      <c r="S2399">
        <v>-0.2204285</v>
      </c>
      <c r="T2399">
        <v>-0.119575399999999</v>
      </c>
      <c r="U2399">
        <v>-3.0057070000000001</v>
      </c>
      <c r="V2399">
        <v>-0.27300029999999997</v>
      </c>
      <c r="W2399">
        <v>6.1103709999999999E-2</v>
      </c>
      <c r="X2399">
        <v>0.96007140000000002</v>
      </c>
      <c r="Y2399">
        <v>-0.31395070000000003</v>
      </c>
      <c r="Z2399">
        <v>2.4278029999999999E-2</v>
      </c>
      <c r="AA2399">
        <v>0.94912890000000005</v>
      </c>
      <c r="AB2399">
        <v>21</v>
      </c>
      <c r="AC2399">
        <v>-1.99439999999998</v>
      </c>
      <c r="AD2399">
        <v>-1.1124944050409999</v>
      </c>
      <c r="AE2399">
        <v>-27.8184</v>
      </c>
      <c r="AF2399">
        <v>-8.7871405707186501</v>
      </c>
      <c r="AG2399">
        <v>-1.1124944050409999</v>
      </c>
      <c r="AH2399">
        <v>26.422675453949999</v>
      </c>
      <c r="AI2399">
        <v>92.287887181028296</v>
      </c>
      <c r="AJ2399">
        <v>108.395092214385</v>
      </c>
      <c r="AK2399">
        <v>27.8677100127655</v>
      </c>
      <c r="AL2399">
        <v>86.496832913032506</v>
      </c>
      <c r="AM2399">
        <v>105.87332224417899</v>
      </c>
      <c r="AN2399">
        <v>0.99999996013690595</v>
      </c>
    </row>
    <row r="2400" spans="1:40" x14ac:dyDescent="0.25">
      <c r="A2400" t="str">
        <f>"20190305135837757"</f>
        <v>20190305135837757</v>
      </c>
      <c r="B2400" t="str">
        <f>"1551765517751134"</f>
        <v>1551765517751134</v>
      </c>
      <c r="C2400" t="s">
        <v>40</v>
      </c>
      <c r="D2400">
        <v>4.2250170000000002</v>
      </c>
      <c r="E2400">
        <v>0.48160059999999899</v>
      </c>
      <c r="F2400" t="s">
        <v>42</v>
      </c>
      <c r="G2400">
        <v>-491.41849999999999</v>
      </c>
      <c r="H2400" s="1">
        <v>-4.1409119999999999E-6</v>
      </c>
      <c r="I2400">
        <v>238.41560000000001</v>
      </c>
      <c r="J2400">
        <v>-489.4468</v>
      </c>
      <c r="K2400">
        <v>1.1125229999999999</v>
      </c>
      <c r="L2400">
        <v>266.86970000000002</v>
      </c>
      <c r="M2400">
        <v>-0.37882870000000002</v>
      </c>
      <c r="N2400">
        <v>-9.8559770000000001E-3</v>
      </c>
      <c r="O2400">
        <v>-0.92541450000000003</v>
      </c>
      <c r="P2400">
        <v>-0.11173379999999999</v>
      </c>
      <c r="Q2400">
        <v>5.4090539999999999E-2</v>
      </c>
      <c r="R2400">
        <v>-0.99226530000000002</v>
      </c>
      <c r="S2400">
        <v>-0.21362300000000001</v>
      </c>
      <c r="T2400">
        <v>-0.11686779999999999</v>
      </c>
      <c r="U2400">
        <v>-3.0060120000000001</v>
      </c>
      <c r="V2400">
        <v>-0.27295000000000003</v>
      </c>
      <c r="W2400">
        <v>6.1646760000000002E-2</v>
      </c>
      <c r="X2400">
        <v>0.96005099999999999</v>
      </c>
      <c r="Y2400">
        <v>-0.31222850000000002</v>
      </c>
      <c r="Z2400">
        <v>2.379916E-2</v>
      </c>
      <c r="AA2400">
        <v>0.94970889999999997</v>
      </c>
      <c r="AB2400">
        <v>21</v>
      </c>
      <c r="AC2400">
        <v>-1.97169999999999</v>
      </c>
      <c r="AD2400">
        <v>-1.1125271409119999</v>
      </c>
      <c r="AE2400">
        <v>-28.4541</v>
      </c>
      <c r="AF2400">
        <v>-8.9414197436304992</v>
      </c>
      <c r="AG2400">
        <v>-1.1125271409119999</v>
      </c>
      <c r="AH2400">
        <v>27.038946452085401</v>
      </c>
      <c r="AI2400">
        <v>92.237111816574</v>
      </c>
      <c r="AJ2400">
        <v>108.298363366885</v>
      </c>
      <c r="AK2400">
        <v>28.500725059369799</v>
      </c>
      <c r="AL2400">
        <v>86.465659718659396</v>
      </c>
      <c r="AM2400">
        <v>105.870865175887</v>
      </c>
      <c r="AN2400">
        <v>0.99999997405974805</v>
      </c>
    </row>
    <row r="2401" spans="1:40" x14ac:dyDescent="0.25">
      <c r="A2401" t="str">
        <f>"20190305135837770"</f>
        <v>20190305135837770</v>
      </c>
      <c r="B2401" t="str">
        <f>"1551765517760891"</f>
        <v>1551765517760891</v>
      </c>
      <c r="C2401" t="s">
        <v>40</v>
      </c>
      <c r="D2401">
        <v>4.229927</v>
      </c>
      <c r="E2401">
        <v>0.48186200000000001</v>
      </c>
      <c r="F2401" t="s">
        <v>42</v>
      </c>
      <c r="G2401">
        <v>-491.30689999999998</v>
      </c>
      <c r="H2401" s="1">
        <v>-4.4089259999999997E-6</v>
      </c>
      <c r="I2401">
        <v>239.26140000000001</v>
      </c>
      <c r="J2401">
        <v>-489.48919999999998</v>
      </c>
      <c r="K2401">
        <v>1.1125370000000001</v>
      </c>
      <c r="L2401">
        <v>266.75760000000002</v>
      </c>
      <c r="M2401">
        <v>-0.37618489999999999</v>
      </c>
      <c r="N2401">
        <v>-9.7221189999999996E-3</v>
      </c>
      <c r="O2401">
        <v>-0.92649380000000003</v>
      </c>
      <c r="P2401">
        <v>-0.1086879</v>
      </c>
      <c r="Q2401">
        <v>5.435413E-2</v>
      </c>
      <c r="R2401">
        <v>-0.9925891</v>
      </c>
      <c r="S2401">
        <v>-0.20260619999999999</v>
      </c>
      <c r="T2401">
        <v>-0.1211796</v>
      </c>
      <c r="U2401">
        <v>-3.0071720000000002</v>
      </c>
      <c r="V2401">
        <v>-0.27315349999999999</v>
      </c>
      <c r="W2401">
        <v>6.1768120000000003E-2</v>
      </c>
      <c r="X2401">
        <v>0.95998539999999999</v>
      </c>
      <c r="Y2401">
        <v>-0.31300480000000003</v>
      </c>
      <c r="Z2401">
        <v>2.520768E-2</v>
      </c>
      <c r="AA2401">
        <v>0.94941699999999996</v>
      </c>
      <c r="AB2401">
        <v>21</v>
      </c>
      <c r="AC2401">
        <v>-1.8177000000000001</v>
      </c>
      <c r="AD2401">
        <v>-1.112541408926</v>
      </c>
      <c r="AE2401">
        <v>-27.496200000000002</v>
      </c>
      <c r="AF2401">
        <v>-8.64588221678361</v>
      </c>
      <c r="AG2401">
        <v>-1.112541408926</v>
      </c>
      <c r="AH2401">
        <v>26.1175096666991</v>
      </c>
      <c r="AI2401">
        <v>92.315741055039098</v>
      </c>
      <c r="AJ2401">
        <v>108.31649405000699</v>
      </c>
      <c r="AK2401">
        <v>27.5338580457442</v>
      </c>
      <c r="AL2401">
        <v>86.458693301447994</v>
      </c>
      <c r="AM2401">
        <v>105.88313169311</v>
      </c>
      <c r="AN2401">
        <v>1.0000000517118699</v>
      </c>
    </row>
    <row r="2402" spans="1:40" x14ac:dyDescent="0.25">
      <c r="A2402" t="str">
        <f>"20190305135837783"</f>
        <v>20190305135837783</v>
      </c>
      <c r="B2402" t="str">
        <f>"1551765517770652"</f>
        <v>1551765517770652</v>
      </c>
      <c r="C2402" t="s">
        <v>40</v>
      </c>
      <c r="D2402">
        <v>4.196955</v>
      </c>
      <c r="E2402">
        <v>0.48188629999999999</v>
      </c>
      <c r="F2402" t="s">
        <v>42</v>
      </c>
      <c r="G2402">
        <v>-491.30669999999998</v>
      </c>
      <c r="H2402" s="1">
        <v>-4.2614649999999999E-6</v>
      </c>
      <c r="I2402">
        <v>238.82820000000001</v>
      </c>
      <c r="J2402">
        <v>-489.5283</v>
      </c>
      <c r="K2402">
        <v>1.112538</v>
      </c>
      <c r="L2402">
        <v>266.65379999999999</v>
      </c>
      <c r="M2402">
        <v>-0.37373299999999998</v>
      </c>
      <c r="N2402">
        <v>-9.5985819999999996E-3</v>
      </c>
      <c r="O2402">
        <v>-0.92748679999999994</v>
      </c>
      <c r="P2402">
        <v>-0.1057597</v>
      </c>
      <c r="Q2402">
        <v>5.4194909999999999E-2</v>
      </c>
      <c r="R2402">
        <v>-0.9929135</v>
      </c>
      <c r="S2402">
        <v>-0.1957092</v>
      </c>
      <c r="T2402">
        <v>-0.11980250000000001</v>
      </c>
      <c r="U2402">
        <v>-3.0075379999999998</v>
      </c>
      <c r="V2402">
        <v>-0.27344859999999999</v>
      </c>
      <c r="W2402">
        <v>6.1477799999999999E-2</v>
      </c>
      <c r="X2402">
        <v>0.95992</v>
      </c>
      <c r="Y2402">
        <v>-0.31266949999999999</v>
      </c>
      <c r="Z2402">
        <v>2.4988219999999998E-2</v>
      </c>
      <c r="AA2402">
        <v>0.94953319999999997</v>
      </c>
      <c r="AB2402">
        <v>21</v>
      </c>
      <c r="AC2402">
        <v>-1.77839999999997</v>
      </c>
      <c r="AD2402">
        <v>-1.112542261465</v>
      </c>
      <c r="AE2402">
        <v>-27.825599999999898</v>
      </c>
      <c r="AF2402">
        <v>-8.7363951221935903</v>
      </c>
      <c r="AG2402">
        <v>-1.112542261465</v>
      </c>
      <c r="AH2402">
        <v>26.431657553158999</v>
      </c>
      <c r="AI2402">
        <v>92.288596643509607</v>
      </c>
      <c r="AJ2402">
        <v>108.290151683733</v>
      </c>
      <c r="AK2402">
        <v>27.860274065811002</v>
      </c>
      <c r="AL2402">
        <v>86.475359013590506</v>
      </c>
      <c r="AM2402">
        <v>105.900452429666</v>
      </c>
      <c r="AN2402">
        <v>1.00000003156739</v>
      </c>
    </row>
    <row r="2403" spans="1:40" x14ac:dyDescent="0.25">
      <c r="A2403" t="str">
        <f>"20190305135837796"</f>
        <v>20190305135837796</v>
      </c>
      <c r="B2403" t="str">
        <f>"1551765517791147"</f>
        <v>1551765517791147</v>
      </c>
      <c r="C2403" t="s">
        <v>40</v>
      </c>
      <c r="D2403">
        <v>4.2321540000000004</v>
      </c>
      <c r="E2403">
        <v>0.48250199999999999</v>
      </c>
      <c r="F2403" t="s">
        <v>42</v>
      </c>
      <c r="G2403">
        <v>-491.19349999999997</v>
      </c>
      <c r="H2403" s="1">
        <v>-4.577646E-7</v>
      </c>
      <c r="I2403">
        <v>239.916</v>
      </c>
      <c r="J2403">
        <v>-489.5736</v>
      </c>
      <c r="K2403">
        <v>1.1125370000000001</v>
      </c>
      <c r="L2403">
        <v>266.53269999999998</v>
      </c>
      <c r="M2403">
        <v>-0.37086570000000002</v>
      </c>
      <c r="N2403">
        <v>-9.4552790000000005E-3</v>
      </c>
      <c r="O2403">
        <v>-0.92863830000000003</v>
      </c>
      <c r="P2403">
        <v>-0.102177</v>
      </c>
      <c r="Q2403">
        <v>5.411879E-2</v>
      </c>
      <c r="R2403">
        <v>-0.99329310000000004</v>
      </c>
      <c r="S2403">
        <v>-0.1873474</v>
      </c>
      <c r="T2403">
        <v>-0.12517420000000001</v>
      </c>
      <c r="U2403">
        <v>-3.0083310000000001</v>
      </c>
      <c r="V2403">
        <v>-0.2739472</v>
      </c>
      <c r="W2403">
        <v>6.125125E-2</v>
      </c>
      <c r="X2403">
        <v>0.95979230000000004</v>
      </c>
      <c r="Y2403">
        <v>-0.3123803</v>
      </c>
      <c r="Z2403">
        <v>2.673304E-2</v>
      </c>
      <c r="AA2403">
        <v>0.94958089999999995</v>
      </c>
      <c r="AB2403">
        <v>21</v>
      </c>
      <c r="AC2403">
        <v>-1.6198999999999699</v>
      </c>
      <c r="AD2403">
        <v>-1.1125374577645999</v>
      </c>
      <c r="AE2403">
        <v>-26.616699999999899</v>
      </c>
      <c r="AF2403">
        <v>-8.3527551592267599</v>
      </c>
      <c r="AG2403">
        <v>-1.1125374577645999</v>
      </c>
      <c r="AH2403">
        <v>25.2751903150514</v>
      </c>
      <c r="AI2403">
        <v>92.393221374812796</v>
      </c>
      <c r="AJ2403">
        <v>108.287299769824</v>
      </c>
      <c r="AK2403">
        <v>26.642850894883399</v>
      </c>
      <c r="AL2403">
        <v>86.488363845619105</v>
      </c>
      <c r="AM2403">
        <v>105.92998706221699</v>
      </c>
      <c r="AN2403">
        <v>1.0000000215768401</v>
      </c>
    </row>
    <row r="2404" spans="1:40" x14ac:dyDescent="0.25">
      <c r="A2404" t="str">
        <f>"20190305135837813"</f>
        <v>20190305135837813</v>
      </c>
      <c r="B2404" t="str">
        <f>"1551765517800907"</f>
        <v>1551765517800907</v>
      </c>
      <c r="C2404" t="s">
        <v>40</v>
      </c>
      <c r="D2404">
        <v>4.2539400000000001</v>
      </c>
      <c r="E2404">
        <v>0.48284070000000001</v>
      </c>
      <c r="F2404" t="s">
        <v>42</v>
      </c>
      <c r="G2404">
        <v>-491.20260000000002</v>
      </c>
      <c r="H2404" s="1">
        <v>-4.4680560000000001E-6</v>
      </c>
      <c r="I2404">
        <v>239.48949999999999</v>
      </c>
      <c r="J2404">
        <v>-489.6284</v>
      </c>
      <c r="K2404">
        <v>1.11253</v>
      </c>
      <c r="L2404">
        <v>266.38389999999998</v>
      </c>
      <c r="M2404">
        <v>-0.36734699999999998</v>
      </c>
      <c r="N2404">
        <v>-9.2726969999999999E-3</v>
      </c>
      <c r="O2404">
        <v>-0.93003769999999997</v>
      </c>
      <c r="P2404">
        <v>-9.7736649999999994E-2</v>
      </c>
      <c r="Q2404">
        <v>5.2994970000000002E-2</v>
      </c>
      <c r="R2404">
        <v>-0.99380020000000002</v>
      </c>
      <c r="S2404">
        <v>-0.1812134</v>
      </c>
      <c r="T2404">
        <v>-0.1237613</v>
      </c>
      <c r="U2404">
        <v>-3.0083310000000001</v>
      </c>
      <c r="V2404">
        <v>-0.2746171</v>
      </c>
      <c r="W2404">
        <v>5.9939979999999997E-2</v>
      </c>
      <c r="X2404">
        <v>0.95968370000000003</v>
      </c>
      <c r="Y2404">
        <v>-0.3107144</v>
      </c>
      <c r="Z2404">
        <v>2.6600530000000001E-2</v>
      </c>
      <c r="AA2404">
        <v>0.95013110000000001</v>
      </c>
      <c r="AB2404">
        <v>21</v>
      </c>
      <c r="AC2404">
        <v>-1.57420000000001</v>
      </c>
      <c r="AD2404">
        <v>-1.1125344680560001</v>
      </c>
      <c r="AE2404">
        <v>-26.894399999999901</v>
      </c>
      <c r="AF2404">
        <v>-8.4015462250671504</v>
      </c>
      <c r="AG2404">
        <v>-1.1125344680560001</v>
      </c>
      <c r="AH2404">
        <v>25.548615033724801</v>
      </c>
      <c r="AI2404">
        <v>92.368776151090401</v>
      </c>
      <c r="AJ2404">
        <v>108.203215834703</v>
      </c>
      <c r="AK2404">
        <v>26.917567536016701</v>
      </c>
      <c r="AL2404">
        <v>86.563632595556498</v>
      </c>
      <c r="AM2404">
        <v>105.968672886292</v>
      </c>
      <c r="AN2404">
        <v>1.0000000784302401</v>
      </c>
    </row>
    <row r="2405" spans="1:40" x14ac:dyDescent="0.25">
      <c r="A2405" t="str">
        <f>"20190305135837837"</f>
        <v>20190305135837837</v>
      </c>
      <c r="B2405" t="str">
        <f>"1551765517831163"</f>
        <v>1551765517831163</v>
      </c>
      <c r="C2405" t="s">
        <v>40</v>
      </c>
      <c r="D2405">
        <v>4.2378640000000001</v>
      </c>
      <c r="E2405">
        <v>0.48382199999999997</v>
      </c>
      <c r="F2405" t="s">
        <v>42</v>
      </c>
      <c r="G2405">
        <v>-491.12419999999997</v>
      </c>
      <c r="H2405" s="1">
        <v>-4.5469730000000001E-7</v>
      </c>
      <c r="I2405">
        <v>239.95179999999999</v>
      </c>
      <c r="J2405">
        <v>-489.7063</v>
      </c>
      <c r="K2405">
        <v>1.1125020000000001</v>
      </c>
      <c r="L2405">
        <v>266.1703</v>
      </c>
      <c r="M2405">
        <v>-0.36230190000000001</v>
      </c>
      <c r="N2405">
        <v>-9.0030969999999998E-3</v>
      </c>
      <c r="O2405">
        <v>-0.9320174</v>
      </c>
      <c r="P2405">
        <v>-9.2150109999999993E-2</v>
      </c>
      <c r="Q2405">
        <v>5.252689E-2</v>
      </c>
      <c r="R2405">
        <v>-0.99435870000000004</v>
      </c>
      <c r="S2405">
        <v>-0.17025760000000001</v>
      </c>
      <c r="T2405">
        <v>-0.12663869999999999</v>
      </c>
      <c r="U2405">
        <v>-3.008759</v>
      </c>
      <c r="V2405">
        <v>-0.274814</v>
      </c>
      <c r="W2405">
        <v>5.9206479999999999E-2</v>
      </c>
      <c r="X2405">
        <v>0.95967279999999999</v>
      </c>
      <c r="Y2405">
        <v>-0.30902190000000002</v>
      </c>
      <c r="Z2405">
        <v>2.7822909999999999E-2</v>
      </c>
      <c r="AA2405">
        <v>0.95064789999999999</v>
      </c>
      <c r="AB2405">
        <v>21</v>
      </c>
      <c r="AC2405">
        <v>-1.41789999999997</v>
      </c>
      <c r="AD2405">
        <v>-1.1125024546972999</v>
      </c>
      <c r="AE2405">
        <v>-26.218499999999999</v>
      </c>
      <c r="AF2405">
        <v>-8.1631809758323897</v>
      </c>
      <c r="AG2405">
        <v>-1.1125024546972999</v>
      </c>
      <c r="AH2405">
        <v>24.906103374527</v>
      </c>
      <c r="AI2405">
        <v>92.430524224680696</v>
      </c>
      <c r="AJ2405">
        <v>108.14698399207199</v>
      </c>
      <c r="AK2405">
        <v>26.233359881237501</v>
      </c>
      <c r="AL2405">
        <v>86.6057335977018</v>
      </c>
      <c r="AM2405">
        <v>105.979710272246</v>
      </c>
      <c r="AN2405">
        <v>1.00000001246491</v>
      </c>
    </row>
    <row r="2406" spans="1:40" x14ac:dyDescent="0.25">
      <c r="A2406" t="str">
        <f>"20190305135837859"</f>
        <v>20190305135837859</v>
      </c>
      <c r="B2406" t="str">
        <f>"1551765517851658"</f>
        <v>1551765517851658</v>
      </c>
      <c r="C2406" t="s">
        <v>40</v>
      </c>
      <c r="D2406">
        <v>4.2563360000000001</v>
      </c>
      <c r="E2406">
        <v>0.48462450000000001</v>
      </c>
      <c r="F2406" t="s">
        <v>42</v>
      </c>
      <c r="G2406">
        <v>-491.12889999999999</v>
      </c>
      <c r="H2406" s="1">
        <v>-3.2101110000000001E-7</v>
      </c>
      <c r="I2406">
        <v>239.63720000000001</v>
      </c>
      <c r="J2406">
        <v>-489.77780000000001</v>
      </c>
      <c r="K2406">
        <v>1.1124769999999999</v>
      </c>
      <c r="L2406">
        <v>265.9708</v>
      </c>
      <c r="M2406">
        <v>-0.35761659999999901</v>
      </c>
      <c r="N2406">
        <v>-8.7554920000000001E-3</v>
      </c>
      <c r="O2406">
        <v>-0.93382750000000003</v>
      </c>
      <c r="P2406">
        <v>-8.7221469999999995E-2</v>
      </c>
      <c r="Q2406">
        <v>5.2725050000000002E-2</v>
      </c>
      <c r="R2406">
        <v>-0.99479280000000003</v>
      </c>
      <c r="S2406">
        <v>-0.16131589999999901</v>
      </c>
      <c r="T2406">
        <v>-0.12615390000000001</v>
      </c>
      <c r="U2406">
        <v>-3.008759</v>
      </c>
      <c r="V2406">
        <v>-0.27474559999999998</v>
      </c>
      <c r="W2406">
        <v>5.9163640000000003E-2</v>
      </c>
      <c r="X2406">
        <v>0.95969499999999996</v>
      </c>
      <c r="Y2406">
        <v>-0.30706440000000002</v>
      </c>
      <c r="Z2406">
        <v>2.804978E-2</v>
      </c>
      <c r="AA2406">
        <v>0.95127530000000005</v>
      </c>
      <c r="AB2406">
        <v>22</v>
      </c>
      <c r="AC2406">
        <v>-1.35109999999997</v>
      </c>
      <c r="AD2406">
        <v>-1.1124773210111001</v>
      </c>
      <c r="AE2406">
        <v>-26.333599999999901</v>
      </c>
      <c r="AF2406">
        <v>-8.1414586091446708</v>
      </c>
      <c r="AG2406">
        <v>-1.1124773210111001</v>
      </c>
      <c r="AH2406">
        <v>25.030621116398301</v>
      </c>
      <c r="AI2406">
        <v>92.420174333654899</v>
      </c>
      <c r="AJ2406">
        <v>108.017631799524</v>
      </c>
      <c r="AK2406">
        <v>26.344884656169299</v>
      </c>
      <c r="AL2406">
        <v>86.608192372780096</v>
      </c>
      <c r="AM2406">
        <v>105.975585281017</v>
      </c>
      <c r="AN2406">
        <v>0.99999998702120396</v>
      </c>
    </row>
    <row r="2407" spans="1:40" x14ac:dyDescent="0.25">
      <c r="A2407" t="str">
        <f>"20190305135837871"</f>
        <v>20190305135837871</v>
      </c>
      <c r="B2407" t="str">
        <f>"1551765517861420"</f>
        <v>1551765517861420</v>
      </c>
      <c r="C2407" t="s">
        <v>40</v>
      </c>
      <c r="D2407">
        <v>4.2561200000000001</v>
      </c>
      <c r="E2407">
        <v>0.48499419999999999</v>
      </c>
      <c r="F2407" t="s">
        <v>42</v>
      </c>
      <c r="G2407">
        <v>-491.14139999999998</v>
      </c>
      <c r="H2407" s="1">
        <v>-4.3089719999999998E-6</v>
      </c>
      <c r="I2407">
        <v>239.0539</v>
      </c>
      <c r="J2407">
        <v>-489.82040000000001</v>
      </c>
      <c r="K2407">
        <v>1.1124620000000001</v>
      </c>
      <c r="L2407">
        <v>265.8503</v>
      </c>
      <c r="M2407">
        <v>-0.3548037</v>
      </c>
      <c r="N2407">
        <v>-8.6144940000000003E-3</v>
      </c>
      <c r="O2407">
        <v>-0.93490119999999999</v>
      </c>
      <c r="P2407">
        <v>-8.4658639999999993E-2</v>
      </c>
      <c r="Q2407">
        <v>5.3427280000000001E-2</v>
      </c>
      <c r="R2407">
        <v>-0.99497650000000004</v>
      </c>
      <c r="S2407">
        <v>-0.1524353</v>
      </c>
      <c r="T2407">
        <v>-0.12435889999999999</v>
      </c>
      <c r="U2407">
        <v>-3.0089109999999999</v>
      </c>
      <c r="V2407">
        <v>-0.27431939999999999</v>
      </c>
      <c r="W2407">
        <v>5.9731979999999997E-2</v>
      </c>
      <c r="X2407">
        <v>0.95978169999999996</v>
      </c>
      <c r="Y2407">
        <v>-0.30700329999999998</v>
      </c>
      <c r="Z2407">
        <v>2.7728949999999999E-2</v>
      </c>
      <c r="AA2407">
        <v>0.95130440000000005</v>
      </c>
      <c r="AB2407">
        <v>22</v>
      </c>
      <c r="AC2407">
        <v>-1.32099999999996</v>
      </c>
      <c r="AD2407">
        <v>-1.1124663089719999</v>
      </c>
      <c r="AE2407">
        <v>-26.796399999999998</v>
      </c>
      <c r="AF2407">
        <v>-8.2585643731200307</v>
      </c>
      <c r="AG2407">
        <v>-1.1124663089719999</v>
      </c>
      <c r="AH2407">
        <v>25.477822018690699</v>
      </c>
      <c r="AI2407">
        <v>92.378496177524895</v>
      </c>
      <c r="AJ2407">
        <v>107.95995606636301</v>
      </c>
      <c r="AK2407">
        <v>26.805985928699702</v>
      </c>
      <c r="AL2407">
        <v>86.575571161424307</v>
      </c>
      <c r="AM2407">
        <v>105.950697276342</v>
      </c>
      <c r="AN2407">
        <v>0.99999997715298405</v>
      </c>
    </row>
    <row r="2408" spans="1:40" x14ac:dyDescent="0.25">
      <c r="A2408" t="str">
        <f>"20190305135837883"</f>
        <v>20190305135837883</v>
      </c>
      <c r="B2408" t="str">
        <f>"1551765517871179"</f>
        <v>1551765517871179</v>
      </c>
      <c r="C2408" t="s">
        <v>40</v>
      </c>
      <c r="D2408">
        <v>4.2043330000000001</v>
      </c>
      <c r="E2408">
        <v>0.48541260000000003</v>
      </c>
      <c r="F2408" t="s">
        <v>42</v>
      </c>
      <c r="G2408">
        <v>-491.17020000000002</v>
      </c>
      <c r="H2408" s="1">
        <v>-4.0846879999999997E-6</v>
      </c>
      <c r="I2408">
        <v>238.38480000000001</v>
      </c>
      <c r="J2408">
        <v>-489.85599999999999</v>
      </c>
      <c r="K2408">
        <v>1.112452</v>
      </c>
      <c r="L2408">
        <v>265.74889999999999</v>
      </c>
      <c r="M2408">
        <v>-0.35243849999999999</v>
      </c>
      <c r="N2408">
        <v>-8.4997259999999904E-3</v>
      </c>
      <c r="O2408">
        <v>-0.93579639999999997</v>
      </c>
      <c r="P2408">
        <v>-8.2591699999999907E-2</v>
      </c>
      <c r="Q2408">
        <v>5.3865919999999998E-2</v>
      </c>
      <c r="R2408">
        <v>-0.99512679999999998</v>
      </c>
      <c r="S2408">
        <v>-0.1478882</v>
      </c>
      <c r="T2408">
        <v>-0.1218808</v>
      </c>
      <c r="U2408">
        <v>-3.0090940000000002</v>
      </c>
      <c r="V2408">
        <v>-0.27388000000000001</v>
      </c>
      <c r="W2408">
        <v>6.0062299999999999E-2</v>
      </c>
      <c r="X2408">
        <v>0.95988660000000003</v>
      </c>
      <c r="Y2408">
        <v>-0.30603520000000001</v>
      </c>
      <c r="Z2408">
        <v>2.7177219999999998E-2</v>
      </c>
      <c r="AA2408">
        <v>0.95163220000000004</v>
      </c>
      <c r="AB2408">
        <v>22</v>
      </c>
      <c r="AC2408">
        <v>-1.31420000000002</v>
      </c>
      <c r="AD2408">
        <v>-1.1124560846879901</v>
      </c>
      <c r="AE2408">
        <v>-27.364099999999901</v>
      </c>
      <c r="AF2408">
        <v>-8.40079017413583</v>
      </c>
      <c r="AG2408">
        <v>-1.1124560846879901</v>
      </c>
      <c r="AH2408">
        <v>26.028423047480999</v>
      </c>
      <c r="AI2408">
        <v>92.329165059207199</v>
      </c>
      <c r="AJ2408">
        <v>107.88771745917199</v>
      </c>
      <c r="AK2408">
        <v>27.3731554708049</v>
      </c>
      <c r="AL2408">
        <v>86.556611289156706</v>
      </c>
      <c r="AM2408">
        <v>105.924792347741</v>
      </c>
      <c r="AN2408">
        <v>1.00000000957042</v>
      </c>
    </row>
    <row r="2409" spans="1:40" x14ac:dyDescent="0.25">
      <c r="A2409" t="str">
        <f>"20190305135837896"</f>
        <v>20190305135837896</v>
      </c>
      <c r="B2409" t="str">
        <f>"1551765517890700"</f>
        <v>1551765517890700</v>
      </c>
      <c r="C2409" t="s">
        <v>40</v>
      </c>
      <c r="D2409">
        <v>4.2107999999999999</v>
      </c>
      <c r="E2409">
        <v>0.48613060000000002</v>
      </c>
      <c r="F2409" t="s">
        <v>42</v>
      </c>
      <c r="G2409">
        <v>-491.20170000000002</v>
      </c>
      <c r="H2409" s="1">
        <v>-3.830723E-6</v>
      </c>
      <c r="I2409">
        <v>237.77330000000001</v>
      </c>
      <c r="J2409">
        <v>-489.89830000000001</v>
      </c>
      <c r="K2409">
        <v>1.11243799999999</v>
      </c>
      <c r="L2409">
        <v>265.62740000000002</v>
      </c>
      <c r="M2409">
        <v>-0.34961510000000001</v>
      </c>
      <c r="N2409">
        <v>-8.3682679999999999E-3</v>
      </c>
      <c r="O2409">
        <v>-0.93685609999999997</v>
      </c>
      <c r="P2409">
        <v>-8.0074820000000005E-2</v>
      </c>
      <c r="Q2409">
        <v>5.4278E-2</v>
      </c>
      <c r="R2409">
        <v>-0.99530980000000002</v>
      </c>
      <c r="S2409">
        <v>-0.14474489999999901</v>
      </c>
      <c r="T2409">
        <v>-0.11966110000000001</v>
      </c>
      <c r="U2409">
        <v>-3.0091860000000001</v>
      </c>
      <c r="V2409">
        <v>-0.27340750000000003</v>
      </c>
      <c r="W2409">
        <v>6.0348829999999999E-2</v>
      </c>
      <c r="X2409">
        <v>0.9600033</v>
      </c>
      <c r="Y2409">
        <v>-0.30415900000000001</v>
      </c>
      <c r="Z2409">
        <v>2.6732039999999999E-2</v>
      </c>
      <c r="AA2409">
        <v>0.95224609999999998</v>
      </c>
      <c r="AB2409">
        <v>22</v>
      </c>
      <c r="AC2409">
        <v>-1.3034000000000101</v>
      </c>
      <c r="AD2409">
        <v>-1.11244183072299</v>
      </c>
      <c r="AE2409">
        <v>-27.854099999999999</v>
      </c>
      <c r="AF2409">
        <v>-8.5038789912075394</v>
      </c>
      <c r="AG2409">
        <v>-1.11244183072299</v>
      </c>
      <c r="AH2409">
        <v>26.509708092440299</v>
      </c>
      <c r="AI2409">
        <v>92.288208199355296</v>
      </c>
      <c r="AJ2409">
        <v>107.785387741668</v>
      </c>
      <c r="AK2409">
        <v>27.862485672858298</v>
      </c>
      <c r="AL2409">
        <v>86.540164424412097</v>
      </c>
      <c r="AM2409">
        <v>105.896873576969</v>
      </c>
      <c r="AN2409">
        <v>0.99999998917475397</v>
      </c>
    </row>
    <row r="2410" spans="1:40" x14ac:dyDescent="0.25">
      <c r="A2410" t="str">
        <f>"20190305135837914"</f>
        <v>20190305135837914</v>
      </c>
      <c r="B2410" t="str">
        <f>"1551765517901435"</f>
        <v>1551765517901435</v>
      </c>
      <c r="C2410" t="s">
        <v>40</v>
      </c>
      <c r="D2410">
        <v>4.2423270000000004</v>
      </c>
      <c r="E2410">
        <v>0.48645859999999902</v>
      </c>
      <c r="F2410" t="s">
        <v>42</v>
      </c>
      <c r="G2410">
        <v>-491.25439999999998</v>
      </c>
      <c r="H2410" s="1">
        <v>-3.5242020000000001E-6</v>
      </c>
      <c r="I2410">
        <v>237.02610000000001</v>
      </c>
      <c r="J2410">
        <v>-489.95209999999997</v>
      </c>
      <c r="K2410">
        <v>1.112414</v>
      </c>
      <c r="L2410">
        <v>265.47070000000002</v>
      </c>
      <c r="M2410">
        <v>-0.34598390000000001</v>
      </c>
      <c r="N2410">
        <v>-8.2118529999999999E-3</v>
      </c>
      <c r="O2410">
        <v>-0.93820460000000006</v>
      </c>
      <c r="P2410">
        <v>-7.7477779999999996E-2</v>
      </c>
      <c r="Q2410">
        <v>5.3487960000000001E-2</v>
      </c>
      <c r="R2410">
        <v>-0.99555819999999995</v>
      </c>
      <c r="S2410">
        <v>-0.14266970000000001</v>
      </c>
      <c r="T2410">
        <v>-0.1170356</v>
      </c>
      <c r="U2410">
        <v>-3.0090330000000001</v>
      </c>
      <c r="V2410">
        <v>-0.272202099999999</v>
      </c>
      <c r="W2410">
        <v>5.9413529999999999E-2</v>
      </c>
      <c r="X2410">
        <v>0.96040409999999998</v>
      </c>
      <c r="Y2410">
        <v>-0.30112319999999998</v>
      </c>
      <c r="Z2410">
        <v>2.6216710000000001E-2</v>
      </c>
      <c r="AA2410">
        <v>0.95322479999999998</v>
      </c>
      <c r="AB2410">
        <v>22</v>
      </c>
      <c r="AC2410">
        <v>-1.3023</v>
      </c>
      <c r="AD2410">
        <v>-1.112417524202</v>
      </c>
      <c r="AE2410">
        <v>-28.444600000000001</v>
      </c>
      <c r="AF2410">
        <v>-8.6067037132024495</v>
      </c>
      <c r="AG2410">
        <v>-1.112417524202</v>
      </c>
      <c r="AH2410">
        <v>27.096985343918099</v>
      </c>
      <c r="AI2410">
        <v>92.240664268547306</v>
      </c>
      <c r="AJ2410">
        <v>107.621194784583</v>
      </c>
      <c r="AK2410">
        <v>28.452757973235499</v>
      </c>
      <c r="AL2410">
        <v>86.593849519983195</v>
      </c>
      <c r="AM2410">
        <v>105.82403178957701</v>
      </c>
      <c r="AN2410">
        <v>0.99999999304414</v>
      </c>
    </row>
    <row r="2411" spans="1:40" x14ac:dyDescent="0.25">
      <c r="A2411" t="str">
        <f>"20190305135837938"</f>
        <v>20190305135837938</v>
      </c>
      <c r="B2411" t="str">
        <f>"1551765517930715"</f>
        <v>1551765517930715</v>
      </c>
      <c r="C2411" t="s">
        <v>40</v>
      </c>
      <c r="D2411">
        <v>4.3379099999999999</v>
      </c>
      <c r="E2411">
        <v>0.4872109</v>
      </c>
      <c r="F2411" t="s">
        <v>42</v>
      </c>
      <c r="G2411">
        <v>-491.24</v>
      </c>
      <c r="H2411" s="1">
        <v>-3.6551750000000001E-6</v>
      </c>
      <c r="I2411">
        <v>237.34039999999999</v>
      </c>
      <c r="J2411">
        <v>-490.02370000000002</v>
      </c>
      <c r="K2411">
        <v>1.1123940000000001</v>
      </c>
      <c r="L2411">
        <v>265.25990000000002</v>
      </c>
      <c r="M2411">
        <v>-0.34110469999999998</v>
      </c>
      <c r="N2411">
        <v>-8.0196260000000002E-3</v>
      </c>
      <c r="O2411">
        <v>-0.93999120000000003</v>
      </c>
      <c r="P2411">
        <v>-7.3707120000000001E-2</v>
      </c>
      <c r="Q2411">
        <v>5.1708560000000001E-2</v>
      </c>
      <c r="R2411">
        <v>-0.99593860000000001</v>
      </c>
      <c r="S2411">
        <v>-0.1377563</v>
      </c>
      <c r="T2411">
        <v>-0.118995</v>
      </c>
      <c r="U2411">
        <v>-3.0090940000000002</v>
      </c>
      <c r="V2411">
        <v>-0.27086840000000001</v>
      </c>
      <c r="W2411">
        <v>5.7450420000000002E-2</v>
      </c>
      <c r="X2411">
        <v>0.96090050000000005</v>
      </c>
      <c r="Y2411">
        <v>-0.29772300000000002</v>
      </c>
      <c r="Z2411">
        <v>2.710504E-2</v>
      </c>
      <c r="AA2411">
        <v>0.95426739999999999</v>
      </c>
      <c r="AB2411">
        <v>22</v>
      </c>
      <c r="AC2411">
        <v>-1.21629999999998</v>
      </c>
      <c r="AD2411">
        <v>-1.1123976551749899</v>
      </c>
      <c r="AE2411">
        <v>-27.919499999999999</v>
      </c>
      <c r="AF2411">
        <v>-8.3671726335255396</v>
      </c>
      <c r="AG2411">
        <v>-1.1123976551749899</v>
      </c>
      <c r="AH2411">
        <v>26.6176501694328</v>
      </c>
      <c r="AI2411">
        <v>92.283079155714205</v>
      </c>
      <c r="AJ2411">
        <v>107.45037266930601</v>
      </c>
      <c r="AK2411">
        <v>27.923937884273499</v>
      </c>
      <c r="AL2411">
        <v>86.706520008718897</v>
      </c>
      <c r="AM2411">
        <v>105.74262221146201</v>
      </c>
      <c r="AN2411">
        <v>1.0000000058884899</v>
      </c>
    </row>
    <row r="2412" spans="1:40" x14ac:dyDescent="0.25">
      <c r="A2412" t="str">
        <f>"20190305135837950"</f>
        <v>20190305135837950</v>
      </c>
      <c r="B2412" t="str">
        <f>"1551765517940982"</f>
        <v>1551765517940982</v>
      </c>
      <c r="C2412" t="s">
        <v>40</v>
      </c>
      <c r="D2412">
        <v>4.331671</v>
      </c>
      <c r="E2412">
        <v>0.48742740000000001</v>
      </c>
      <c r="F2412" t="s">
        <v>42</v>
      </c>
      <c r="G2412">
        <v>-491.17500000000001</v>
      </c>
      <c r="H2412" s="1">
        <v>-4.3011399999999996E-6</v>
      </c>
      <c r="I2412">
        <v>239.01339999999999</v>
      </c>
      <c r="J2412">
        <v>-490.06950000000001</v>
      </c>
      <c r="K2412">
        <v>1.1123970000000001</v>
      </c>
      <c r="L2412">
        <v>265.12310000000002</v>
      </c>
      <c r="M2412">
        <v>-0.33793570000000001</v>
      </c>
      <c r="N2412">
        <v>-7.9085919999999903E-3</v>
      </c>
      <c r="O2412">
        <v>-0.94113599999999997</v>
      </c>
      <c r="P2412">
        <v>-7.1138560000000003E-2</v>
      </c>
      <c r="Q2412">
        <v>5.0349020000000001E-2</v>
      </c>
      <c r="R2412">
        <v>-0.99619500000000005</v>
      </c>
      <c r="S2412">
        <v>-0.13198850000000001</v>
      </c>
      <c r="T2412">
        <v>-0.12753249999999999</v>
      </c>
      <c r="U2412">
        <v>-3.009064</v>
      </c>
      <c r="V2412">
        <v>-0.27012389999999997</v>
      </c>
      <c r="W2412">
        <v>5.5980790000000002E-2</v>
      </c>
      <c r="X2412">
        <v>0.96119679999999996</v>
      </c>
      <c r="Y2412">
        <v>-0.29633159999999997</v>
      </c>
      <c r="Z2412">
        <v>2.980669E-2</v>
      </c>
      <c r="AA2412">
        <v>0.95461989999999997</v>
      </c>
      <c r="AB2412">
        <v>22</v>
      </c>
      <c r="AC2412">
        <v>-1.1054999999999999</v>
      </c>
      <c r="AD2412">
        <v>-1.11240130113999</v>
      </c>
      <c r="AE2412">
        <v>-26.1097</v>
      </c>
      <c r="AF2412">
        <v>-7.7691399618607502</v>
      </c>
      <c r="AG2412">
        <v>-1.11240130113999</v>
      </c>
      <c r="AH2412">
        <v>24.902025329565799</v>
      </c>
      <c r="AI2412">
        <v>92.441835779758307</v>
      </c>
      <c r="AJ2412">
        <v>107.32730965007499</v>
      </c>
      <c r="AK2412">
        <v>26.1095353829994</v>
      </c>
      <c r="AL2412">
        <v>86.790859442211897</v>
      </c>
      <c r="AM2412">
        <v>105.696887757035</v>
      </c>
      <c r="AN2412">
        <v>1.00000002926523</v>
      </c>
    </row>
    <row r="2413" spans="1:40" x14ac:dyDescent="0.25">
      <c r="A2413" t="str">
        <f>"20190305135837963"</f>
        <v>20190305135837963</v>
      </c>
      <c r="B2413" t="str">
        <f>"1551765517950743"</f>
        <v>1551765517950743</v>
      </c>
      <c r="C2413" t="s">
        <v>40</v>
      </c>
      <c r="D2413">
        <v>4.2490430000000003</v>
      </c>
      <c r="E2413">
        <v>0.48774669999999998</v>
      </c>
      <c r="F2413" t="s">
        <v>42</v>
      </c>
      <c r="G2413">
        <v>-491.12329999999997</v>
      </c>
      <c r="H2413" s="1">
        <v>-4.8498360000000003E-7</v>
      </c>
      <c r="I2413">
        <v>240.02289999999999</v>
      </c>
      <c r="J2413">
        <v>-490.10820000000001</v>
      </c>
      <c r="K2413">
        <v>1.112401</v>
      </c>
      <c r="L2413">
        <v>265.00630000000001</v>
      </c>
      <c r="M2413">
        <v>-0.33522669999999999</v>
      </c>
      <c r="N2413">
        <v>-7.8197330000000006E-3</v>
      </c>
      <c r="O2413">
        <v>-0.94210519999999998</v>
      </c>
      <c r="P2413">
        <v>-6.919459E-2</v>
      </c>
      <c r="Q2413">
        <v>4.9820980000000001E-2</v>
      </c>
      <c r="R2413">
        <v>-0.99635850000000004</v>
      </c>
      <c r="S2413">
        <v>-0.12634280000000001</v>
      </c>
      <c r="T2413">
        <v>-0.13336210000000001</v>
      </c>
      <c r="U2413">
        <v>-3.0091860000000001</v>
      </c>
      <c r="V2413">
        <v>-0.26923979999999997</v>
      </c>
      <c r="W2413">
        <v>5.5364240000000002E-2</v>
      </c>
      <c r="X2413">
        <v>0.96148049999999996</v>
      </c>
      <c r="Y2413">
        <v>-0.29537360000000001</v>
      </c>
      <c r="Z2413">
        <v>3.1680350000000003E-2</v>
      </c>
      <c r="AA2413">
        <v>0.9548565</v>
      </c>
      <c r="AB2413">
        <v>22</v>
      </c>
      <c r="AC2413">
        <v>-1.0150999999999599</v>
      </c>
      <c r="AD2413">
        <v>-1.1124014849835999</v>
      </c>
      <c r="AE2413">
        <v>-24.9834</v>
      </c>
      <c r="AF2413">
        <v>-7.4043423350700301</v>
      </c>
      <c r="AG2413">
        <v>-1.1124014849835999</v>
      </c>
      <c r="AH2413">
        <v>23.830838682841499</v>
      </c>
      <c r="AI2413">
        <v>92.552382635541605</v>
      </c>
      <c r="AJ2413">
        <v>107.260240543599</v>
      </c>
      <c r="AK2413">
        <v>24.979403411737501</v>
      </c>
      <c r="AL2413">
        <v>86.826239967107696</v>
      </c>
      <c r="AM2413">
        <v>105.64364228762</v>
      </c>
      <c r="AN2413">
        <v>1.00000001042753</v>
      </c>
    </row>
    <row r="2414" spans="1:40" x14ac:dyDescent="0.25">
      <c r="A2414" t="str">
        <f>"20190305135837982"</f>
        <v>20190305135837982</v>
      </c>
      <c r="B2414" t="str">
        <f>"1551765517971242"</f>
        <v>1551765517971242</v>
      </c>
      <c r="C2414" t="s">
        <v>40</v>
      </c>
      <c r="D2414">
        <v>4.5862360000000004</v>
      </c>
      <c r="E2414">
        <v>0.48814400000000002</v>
      </c>
      <c r="F2414" t="s">
        <v>42</v>
      </c>
      <c r="G2414">
        <v>-491.12670000000003</v>
      </c>
      <c r="H2414" s="1">
        <v>-5.0421960000000003E-7</v>
      </c>
      <c r="I2414">
        <v>240.06559999999999</v>
      </c>
      <c r="J2414">
        <v>-490.1662</v>
      </c>
      <c r="K2414">
        <v>1.11242</v>
      </c>
      <c r="L2414">
        <v>264.82859999999999</v>
      </c>
      <c r="M2414">
        <v>-0.331092</v>
      </c>
      <c r="N2414">
        <v>-7.6971030000000003E-3</v>
      </c>
      <c r="O2414">
        <v>-0.94356719999999905</v>
      </c>
      <c r="P2414">
        <v>-6.597778E-2</v>
      </c>
      <c r="Q2414">
        <v>4.9870530000000003E-2</v>
      </c>
      <c r="R2414">
        <v>-0.99657430000000002</v>
      </c>
      <c r="S2414">
        <v>-0.1228943</v>
      </c>
      <c r="T2414">
        <v>-0.13421549999999999</v>
      </c>
      <c r="U2414">
        <v>-3.0091860000000001</v>
      </c>
      <c r="V2414">
        <v>-0.2681289</v>
      </c>
      <c r="W2414">
        <v>5.5286170000000003E-2</v>
      </c>
      <c r="X2414">
        <v>0.96179539999999997</v>
      </c>
      <c r="Y2414">
        <v>-0.2922767</v>
      </c>
      <c r="Z2414">
        <v>3.2170909999999997E-2</v>
      </c>
      <c r="AA2414">
        <v>0.95579250000000004</v>
      </c>
      <c r="AB2414">
        <v>22</v>
      </c>
      <c r="AC2414">
        <v>-0.960500000000024</v>
      </c>
      <c r="AD2414">
        <v>-1.1124205042196</v>
      </c>
      <c r="AE2414">
        <v>-24.763000000000002</v>
      </c>
      <c r="AF2414">
        <v>-7.2780846777689696</v>
      </c>
      <c r="AG2414">
        <v>-1.1124205042196</v>
      </c>
      <c r="AH2414">
        <v>23.636639238530201</v>
      </c>
      <c r="AI2414">
        <v>92.575393033562904</v>
      </c>
      <c r="AJ2414">
        <v>107.11440377933501</v>
      </c>
      <c r="AK2414">
        <v>24.756791198525899</v>
      </c>
      <c r="AL2414">
        <v>86.830719970721603</v>
      </c>
      <c r="AM2414">
        <v>105.577383602621</v>
      </c>
      <c r="AN2414">
        <v>1.0000000295348099</v>
      </c>
    </row>
    <row r="2415" spans="1:40" x14ac:dyDescent="0.25">
      <c r="A2415" t="str">
        <f>"20190305135837998"</f>
        <v>20190305135837998</v>
      </c>
      <c r="B2415" t="str">
        <f>"1551765517990758"</f>
        <v>1551765517990758</v>
      </c>
      <c r="C2415" t="s">
        <v>40</v>
      </c>
      <c r="D2415">
        <v>4.259989</v>
      </c>
      <c r="E2415">
        <v>0.50443479999999996</v>
      </c>
      <c r="F2415" t="s">
        <v>42</v>
      </c>
      <c r="G2415">
        <v>-491.13310000000001</v>
      </c>
      <c r="H2415" s="1">
        <v>-3.7418659999999999E-7</v>
      </c>
      <c r="I2415">
        <v>239.7586</v>
      </c>
      <c r="J2415">
        <v>-490.2149</v>
      </c>
      <c r="K2415">
        <v>1.1124400000000001</v>
      </c>
      <c r="L2415">
        <v>264.67790000000002</v>
      </c>
      <c r="M2415">
        <v>-0.3275672</v>
      </c>
      <c r="N2415">
        <v>-7.602976E-3</v>
      </c>
      <c r="O2415">
        <v>-0.94479749999999996</v>
      </c>
      <c r="P2415">
        <v>-6.2453359999999999E-2</v>
      </c>
      <c r="Q2415">
        <v>4.9975230000000002E-2</v>
      </c>
      <c r="R2415">
        <v>-0.99679609999999996</v>
      </c>
      <c r="S2415">
        <v>-0.1160583</v>
      </c>
      <c r="T2415">
        <v>-0.13353190000000001</v>
      </c>
      <c r="U2415">
        <v>-3.0093380000000001</v>
      </c>
      <c r="V2415">
        <v>-0.26794190000000001</v>
      </c>
      <c r="W2415">
        <v>5.5281400000000001E-2</v>
      </c>
      <c r="X2415">
        <v>0.96184780000000003</v>
      </c>
      <c r="Y2415">
        <v>-0.2908772</v>
      </c>
      <c r="Z2415">
        <v>3.2148599999999999E-2</v>
      </c>
      <c r="AA2415">
        <v>0.95622010000000002</v>
      </c>
      <c r="AB2415">
        <v>22</v>
      </c>
      <c r="AC2415">
        <v>-0.91820000000001301</v>
      </c>
      <c r="AD2415">
        <v>-1.11244037418659</v>
      </c>
      <c r="AE2415">
        <v>-24.9193</v>
      </c>
      <c r="AF2415">
        <v>-7.2809512831786796</v>
      </c>
      <c r="AG2415">
        <v>-1.11244037418659</v>
      </c>
      <c r="AH2415">
        <v>23.797787168129801</v>
      </c>
      <c r="AI2415">
        <v>92.559430705177306</v>
      </c>
      <c r="AJ2415">
        <v>107.01153144882601</v>
      </c>
      <c r="AK2415">
        <v>24.9115324553458</v>
      </c>
      <c r="AL2415">
        <v>86.830993731832294</v>
      </c>
      <c r="AM2415">
        <v>105.566239565972</v>
      </c>
      <c r="AN2415">
        <v>1.0000000426632001</v>
      </c>
    </row>
    <row r="2416" spans="1:40" x14ac:dyDescent="0.25">
      <c r="A2416" t="str">
        <f>"20190305135838013"</f>
        <v>20190305135838013</v>
      </c>
      <c r="B2416" t="str">
        <f>"1551765518001494"</f>
        <v>1551765518001494</v>
      </c>
      <c r="C2416" t="s">
        <v>40</v>
      </c>
      <c r="D2416">
        <v>4.3731780000000002</v>
      </c>
      <c r="E2416">
        <v>0.50272429999999901</v>
      </c>
      <c r="F2416" t="s">
        <v>42</v>
      </c>
      <c r="G2416">
        <v>-492.51049999999998</v>
      </c>
      <c r="H2416" s="1">
        <v>-3.1008040000000001E-6</v>
      </c>
      <c r="I2416">
        <v>235.26009999999999</v>
      </c>
      <c r="J2416">
        <v>-490.25990000000002</v>
      </c>
      <c r="K2416">
        <v>1.112457</v>
      </c>
      <c r="L2416">
        <v>264.53620000000001</v>
      </c>
      <c r="M2416">
        <v>-0.32423370000000001</v>
      </c>
      <c r="N2416">
        <v>-7.5257969999999999E-3</v>
      </c>
      <c r="O2416">
        <v>-0.94594730000000005</v>
      </c>
      <c r="P2416">
        <v>-5.921303E-2</v>
      </c>
      <c r="Q2416">
        <v>5.1110820000000001E-2</v>
      </c>
      <c r="R2416">
        <v>-0.99693600000000004</v>
      </c>
      <c r="S2416">
        <v>-0.23416139999999999</v>
      </c>
      <c r="T2416">
        <v>-0.1134725</v>
      </c>
      <c r="U2416">
        <v>-3.000702</v>
      </c>
      <c r="V2416">
        <v>-0.26767039999999998</v>
      </c>
      <c r="W2416">
        <v>5.6322629999999999E-2</v>
      </c>
      <c r="X2416">
        <v>0.96186300000000002</v>
      </c>
      <c r="Y2416">
        <v>-0.24964620000000001</v>
      </c>
      <c r="Z2416">
        <v>2.666549E-2</v>
      </c>
      <c r="AA2416">
        <v>0.96796990000000005</v>
      </c>
      <c r="AB2416">
        <v>22</v>
      </c>
      <c r="AC2416">
        <v>-2.25059999999996</v>
      </c>
      <c r="AD2416">
        <v>-1.112460100804</v>
      </c>
      <c r="AE2416">
        <v>-29.2761</v>
      </c>
      <c r="AF2416">
        <v>-7.3530014464784097</v>
      </c>
      <c r="AG2416">
        <v>-1.112460100804</v>
      </c>
      <c r="AH2416">
        <v>28.383424485187302</v>
      </c>
      <c r="AI2416">
        <v>92.172846410407203</v>
      </c>
      <c r="AJ2416">
        <v>104.523740815274</v>
      </c>
      <c r="AK2416">
        <v>29.3414891110545</v>
      </c>
      <c r="AL2416">
        <v>86.771242589905</v>
      </c>
      <c r="AM2416">
        <v>105.55099643261001</v>
      </c>
      <c r="AN2416">
        <v>1.0000000562276301</v>
      </c>
    </row>
    <row r="2417" spans="1:40" x14ac:dyDescent="0.25">
      <c r="A2417" t="str">
        <f>"20190305135838040"</f>
        <v>20190305135838040</v>
      </c>
      <c r="B2417" t="str">
        <f>"1551765518030773"</f>
        <v>1551765518030773</v>
      </c>
      <c r="C2417" t="s">
        <v>40</v>
      </c>
      <c r="D2417">
        <v>4.2897460000000001</v>
      </c>
      <c r="E2417">
        <v>0.50240929999999995</v>
      </c>
      <c r="F2417" t="s">
        <v>42</v>
      </c>
      <c r="G2417">
        <v>-492.04570000000001</v>
      </c>
      <c r="H2417" s="1">
        <v>-4.523111E-6</v>
      </c>
      <c r="I2417">
        <v>239.21180000000001</v>
      </c>
      <c r="J2417">
        <v>-490.33679999999998</v>
      </c>
      <c r="K2417">
        <v>1.1124969999999901</v>
      </c>
      <c r="L2417">
        <v>264.29059999999998</v>
      </c>
      <c r="M2417">
        <v>-0.31840020000000002</v>
      </c>
      <c r="N2417">
        <v>-7.4068629999999996E-3</v>
      </c>
      <c r="O2417">
        <v>-0.94792759999999998</v>
      </c>
      <c r="P2417">
        <v>-5.3118199999999997E-2</v>
      </c>
      <c r="Q2417">
        <v>5.2034370000000003E-2</v>
      </c>
      <c r="R2417">
        <v>-0.9972318</v>
      </c>
      <c r="S2417">
        <v>-0.21179200000000001</v>
      </c>
      <c r="T2417">
        <v>-0.13193559999999999</v>
      </c>
      <c r="U2417">
        <v>-3.0034179999999999</v>
      </c>
      <c r="V2417">
        <v>-0.26762429999999998</v>
      </c>
      <c r="W2417">
        <v>5.7087190000000003E-2</v>
      </c>
      <c r="X2417">
        <v>0.96183070000000004</v>
      </c>
      <c r="Y2417">
        <v>-0.25092419999999999</v>
      </c>
      <c r="Z2417">
        <v>3.2406799999999999E-2</v>
      </c>
      <c r="AA2417">
        <v>0.96746410000000005</v>
      </c>
      <c r="AB2417">
        <v>22</v>
      </c>
      <c r="AC2417">
        <v>-1.7089000000000201</v>
      </c>
      <c r="AD2417">
        <v>-1.11250152311099</v>
      </c>
      <c r="AE2417">
        <v>-25.078799999999902</v>
      </c>
      <c r="AF2417">
        <v>-6.3529114907606701</v>
      </c>
      <c r="AG2417">
        <v>-1.11250152311099</v>
      </c>
      <c r="AH2417">
        <v>24.270125643680501</v>
      </c>
      <c r="AI2417">
        <v>92.539077605185895</v>
      </c>
      <c r="AJ2417">
        <v>104.668550173732</v>
      </c>
      <c r="AK2417">
        <v>25.1124698667495</v>
      </c>
      <c r="AL2417">
        <v>86.727365761781201</v>
      </c>
      <c r="AM2417">
        <v>105.548944597249</v>
      </c>
      <c r="AN2417">
        <v>1.0000000043375299</v>
      </c>
    </row>
    <row r="2418" spans="1:40" x14ac:dyDescent="0.25">
      <c r="A2418" t="str">
        <f>"20190305135838062"</f>
        <v>20190305135838062</v>
      </c>
      <c r="B2418" t="str">
        <f>"1551765518051270"</f>
        <v>1551765518051270</v>
      </c>
      <c r="C2418" t="s">
        <v>40</v>
      </c>
      <c r="D2418">
        <v>4.3208169999999999</v>
      </c>
      <c r="E2418">
        <v>0.50243850000000001</v>
      </c>
      <c r="F2418" t="s">
        <v>42</v>
      </c>
      <c r="G2418">
        <v>-491.98669999999998</v>
      </c>
      <c r="H2418" s="1">
        <v>-4.2380260000000002E-6</v>
      </c>
      <c r="I2418">
        <v>238.40479999999999</v>
      </c>
      <c r="J2418">
        <v>-490.40140000000002</v>
      </c>
      <c r="K2418">
        <v>1.112547</v>
      </c>
      <c r="L2418">
        <v>264.07960000000003</v>
      </c>
      <c r="M2418">
        <v>-0.31329380000000001</v>
      </c>
      <c r="N2418">
        <v>-7.3231859999999998E-3</v>
      </c>
      <c r="O2418">
        <v>-0.94962800000000003</v>
      </c>
      <c r="P2418">
        <v>-4.8433900000000002E-2</v>
      </c>
      <c r="Q2418">
        <v>5.163914E-2</v>
      </c>
      <c r="R2418">
        <v>-0.99749060000000001</v>
      </c>
      <c r="S2418">
        <v>-0.19152830000000001</v>
      </c>
      <c r="T2418">
        <v>-0.12914039999999999</v>
      </c>
      <c r="U2418">
        <v>-3.0048520000000001</v>
      </c>
      <c r="V2418">
        <v>-0.2669781</v>
      </c>
      <c r="W2418">
        <v>5.6567329999999999E-2</v>
      </c>
      <c r="X2418">
        <v>0.96204100000000004</v>
      </c>
      <c r="Y2418">
        <v>-0.2522413</v>
      </c>
      <c r="Z2418">
        <v>3.1730349999999997E-2</v>
      </c>
      <c r="AA2418">
        <v>0.967144</v>
      </c>
      <c r="AB2418">
        <v>23</v>
      </c>
      <c r="AC2418">
        <v>-1.58529999999996</v>
      </c>
      <c r="AD2418">
        <v>-1.1125512380260001</v>
      </c>
      <c r="AE2418">
        <v>-25.674800000000001</v>
      </c>
      <c r="AF2418">
        <v>-6.52627796498588</v>
      </c>
      <c r="AG2418">
        <v>-1.1125512380260001</v>
      </c>
      <c r="AH2418">
        <v>24.832390445806599</v>
      </c>
      <c r="AI2418">
        <v>92.481128854949802</v>
      </c>
      <c r="AJ2418">
        <v>104.725086447648</v>
      </c>
      <c r="AK2418">
        <v>25.699760496675399</v>
      </c>
      <c r="AL2418">
        <v>86.7571998310938</v>
      </c>
      <c r="AM2418">
        <v>105.50998275353901</v>
      </c>
      <c r="AN2418">
        <v>1.00000002719196</v>
      </c>
    </row>
    <row r="2419" spans="1:40" x14ac:dyDescent="0.25">
      <c r="A2419" t="str">
        <f>"20190305135838083"</f>
        <v>20190305135838083</v>
      </c>
      <c r="B2419" t="str">
        <f>"1551765518070790"</f>
        <v>1551765518070790</v>
      </c>
      <c r="C2419" t="s">
        <v>40</v>
      </c>
      <c r="D2419">
        <v>4.1902299999999997</v>
      </c>
      <c r="E2419">
        <v>0.50298019999999999</v>
      </c>
      <c r="F2419" t="s">
        <v>42</v>
      </c>
      <c r="G2419">
        <v>-491.89</v>
      </c>
      <c r="H2419" s="1">
        <v>-4.3402490000000003E-6</v>
      </c>
      <c r="I2419">
        <v>238.75559999999999</v>
      </c>
      <c r="J2419">
        <v>-490.46350000000001</v>
      </c>
      <c r="K2419">
        <v>1.1126130000000001</v>
      </c>
      <c r="L2419">
        <v>263.8723</v>
      </c>
      <c r="M2419">
        <v>-0.30819790000000002</v>
      </c>
      <c r="N2419">
        <v>-7.2541130000000004E-3</v>
      </c>
      <c r="O2419">
        <v>-0.95129470000000005</v>
      </c>
      <c r="P2419">
        <v>-4.3444070000000001E-2</v>
      </c>
      <c r="Q2419">
        <v>5.0227599999999997E-2</v>
      </c>
      <c r="R2419">
        <v>-0.99779269999999998</v>
      </c>
      <c r="S2419">
        <v>-0.17669679999999999</v>
      </c>
      <c r="T2419">
        <v>-0.13205310000000001</v>
      </c>
      <c r="U2419">
        <v>-3.005798</v>
      </c>
      <c r="V2419">
        <v>-0.26665420000000001</v>
      </c>
      <c r="W2419">
        <v>5.5037160000000002E-2</v>
      </c>
      <c r="X2419">
        <v>0.96221950000000001</v>
      </c>
      <c r="Y2419">
        <v>-0.2518281</v>
      </c>
      <c r="Z2419">
        <v>3.2773539999999997E-2</v>
      </c>
      <c r="AA2419">
        <v>0.96721690000000005</v>
      </c>
      <c r="AB2419">
        <v>23</v>
      </c>
      <c r="AC2419">
        <v>-1.4264999999999699</v>
      </c>
      <c r="AD2419">
        <v>-1.1126173402489901</v>
      </c>
      <c r="AE2419">
        <v>-25.116700000000002</v>
      </c>
      <c r="AF2419">
        <v>-6.3715969086086197</v>
      </c>
      <c r="AG2419">
        <v>-1.1126173402489901</v>
      </c>
      <c r="AH2419">
        <v>24.2861624071511</v>
      </c>
      <c r="AI2419">
        <v>92.537296290356906</v>
      </c>
      <c r="AJ2419">
        <v>104.700532996993</v>
      </c>
      <c r="AK2419">
        <v>25.132704768451202</v>
      </c>
      <c r="AL2419">
        <v>86.845008724781707</v>
      </c>
      <c r="AM2419">
        <v>105.489334323512</v>
      </c>
      <c r="AN2419">
        <v>0.99999995876937597</v>
      </c>
    </row>
    <row r="2420" spans="1:40" x14ac:dyDescent="0.25">
      <c r="A2420" t="str">
        <f>"20190305135838103"</f>
        <v>20190305135838103</v>
      </c>
      <c r="B2420" t="str">
        <f>"1551765518091286"</f>
        <v>1551765518091286</v>
      </c>
      <c r="C2420" t="s">
        <v>40</v>
      </c>
      <c r="D2420">
        <v>4.3230589999999998</v>
      </c>
      <c r="E2420">
        <v>0.50376209999999999</v>
      </c>
      <c r="F2420" t="s">
        <v>42</v>
      </c>
      <c r="G2420">
        <v>-491.80160000000001</v>
      </c>
      <c r="H2420" s="1">
        <v>-4.6119940000000003E-6</v>
      </c>
      <c r="I2420">
        <v>239.6002</v>
      </c>
      <c r="J2420">
        <v>-490.52210000000002</v>
      </c>
      <c r="K2420">
        <v>1.112698</v>
      </c>
      <c r="L2420">
        <v>263.67290000000003</v>
      </c>
      <c r="M2420">
        <v>-0.30320780000000003</v>
      </c>
      <c r="N2420">
        <v>-7.1984140000000002E-3</v>
      </c>
      <c r="O2420">
        <v>-0.95289749999999995</v>
      </c>
      <c r="P2420">
        <v>-3.8295759999999998E-2</v>
      </c>
      <c r="Q2420">
        <v>5.0624290000000002E-2</v>
      </c>
      <c r="R2420">
        <v>-0.99798330000000002</v>
      </c>
      <c r="S2420">
        <v>-0.165741</v>
      </c>
      <c r="T2420">
        <v>-0.1378093</v>
      </c>
      <c r="U2420">
        <v>-3.006348</v>
      </c>
      <c r="V2420">
        <v>-0.26658389999999998</v>
      </c>
      <c r="W2420">
        <v>5.5321870000000002E-2</v>
      </c>
      <c r="X2420">
        <v>0.96222269999999999</v>
      </c>
      <c r="Y2420">
        <v>-0.25028139999999999</v>
      </c>
      <c r="Z2420">
        <v>3.467696E-2</v>
      </c>
      <c r="AA2420">
        <v>0.96755190000000002</v>
      </c>
      <c r="AB2420">
        <v>23</v>
      </c>
      <c r="AC2420">
        <v>-1.2794999999999801</v>
      </c>
      <c r="AD2420">
        <v>-1.112702611994</v>
      </c>
      <c r="AE2420">
        <v>-24.072700000000001</v>
      </c>
      <c r="AF2420">
        <v>-6.06702840553295</v>
      </c>
      <c r="AG2420">
        <v>-1.112702611994</v>
      </c>
      <c r="AH2420">
        <v>23.2777758524545</v>
      </c>
      <c r="AI2420">
        <v>92.648373143604005</v>
      </c>
      <c r="AJ2420">
        <v>104.608348302583</v>
      </c>
      <c r="AK2420">
        <v>24.0811500849398</v>
      </c>
      <c r="AL2420">
        <v>86.828671297420996</v>
      </c>
      <c r="AM2420">
        <v>105.485397729637</v>
      </c>
      <c r="AN2420">
        <v>1.00000000471739</v>
      </c>
    </row>
    <row r="2421" spans="1:40" x14ac:dyDescent="0.25">
      <c r="A2421" t="str">
        <f>"20190305135838116"</f>
        <v>20190305135838116</v>
      </c>
      <c r="B2421" t="str">
        <f>"1551765518110806"</f>
        <v>1551765518110806</v>
      </c>
      <c r="C2421" t="s">
        <v>40</v>
      </c>
      <c r="D2421">
        <v>4.3377119999999998</v>
      </c>
      <c r="E2421">
        <v>0.50465300000000002</v>
      </c>
      <c r="F2421" t="s">
        <v>42</v>
      </c>
      <c r="G2421">
        <v>-491.8304</v>
      </c>
      <c r="H2421" s="1">
        <v>-4.2484459999999998E-6</v>
      </c>
      <c r="I2421">
        <v>238.517</v>
      </c>
      <c r="J2421">
        <v>-490.55799999999999</v>
      </c>
      <c r="K2421">
        <v>1.112752</v>
      </c>
      <c r="L2421">
        <v>263.54840000000002</v>
      </c>
      <c r="M2421">
        <v>-0.30005179999999998</v>
      </c>
      <c r="N2421">
        <v>-7.1679129999999997E-3</v>
      </c>
      <c r="O2421">
        <v>-0.95389610000000002</v>
      </c>
      <c r="P2421">
        <v>-3.5284599999999999E-2</v>
      </c>
      <c r="Q2421">
        <v>5.1939079999999999E-2</v>
      </c>
      <c r="R2421">
        <v>-0.998027</v>
      </c>
      <c r="S2421">
        <v>-0.15637210000000001</v>
      </c>
      <c r="T2421">
        <v>-0.13299639999999999</v>
      </c>
      <c r="U2421">
        <v>-3.0067750000000002</v>
      </c>
      <c r="V2421">
        <v>-0.26630039999999999</v>
      </c>
      <c r="W2421">
        <v>5.6570179999999998E-2</v>
      </c>
      <c r="X2421">
        <v>0.96222859999999999</v>
      </c>
      <c r="Y2421">
        <v>-0.25008989999999998</v>
      </c>
      <c r="Z2421">
        <v>3.3309449999999997E-2</v>
      </c>
      <c r="AA2421">
        <v>0.96764950000000005</v>
      </c>
      <c r="AB2421">
        <v>23</v>
      </c>
      <c r="AC2421">
        <v>-1.27239999999994</v>
      </c>
      <c r="AD2421">
        <v>-1.1127562484460001</v>
      </c>
      <c r="AE2421">
        <v>-25.031400000000001</v>
      </c>
      <c r="AF2421">
        <v>-6.2847523858582202</v>
      </c>
      <c r="AG2421">
        <v>-1.1127562484460001</v>
      </c>
      <c r="AH2421">
        <v>24.212036780229202</v>
      </c>
      <c r="AI2421">
        <v>92.547100834885001</v>
      </c>
      <c r="AJ2421">
        <v>104.551211990502</v>
      </c>
      <c r="AK2421">
        <v>25.0391506259134</v>
      </c>
      <c r="AL2421">
        <v>86.757036134324693</v>
      </c>
      <c r="AM2421">
        <v>105.469628525293</v>
      </c>
      <c r="AN2421">
        <v>0.99999998348167596</v>
      </c>
    </row>
    <row r="2422" spans="1:40" x14ac:dyDescent="0.25">
      <c r="A2422" t="str">
        <f>"20190305135838129"</f>
        <v>20190305135838129</v>
      </c>
      <c r="B2422" t="str">
        <f>"1551765518121542"</f>
        <v>1551765518121542</v>
      </c>
      <c r="C2422" t="s">
        <v>40</v>
      </c>
      <c r="D2422">
        <v>4.3407039999999997</v>
      </c>
      <c r="E2422">
        <v>0.50510250000000001</v>
      </c>
      <c r="F2422" t="s">
        <v>42</v>
      </c>
      <c r="G2422">
        <v>-491.93279999999999</v>
      </c>
      <c r="H2422" s="1">
        <v>-3.6053870000000001E-6</v>
      </c>
      <c r="I2422">
        <v>236.7946</v>
      </c>
      <c r="J2422">
        <v>-490.59399999999999</v>
      </c>
      <c r="K2422">
        <v>1.1128100000000001</v>
      </c>
      <c r="L2422">
        <v>263.42200000000003</v>
      </c>
      <c r="M2422">
        <v>-0.29679040000000001</v>
      </c>
      <c r="N2422">
        <v>-7.1417649999999996E-3</v>
      </c>
      <c r="O2422">
        <v>-0.95491610000000005</v>
      </c>
      <c r="P2422">
        <v>-3.2216080000000001E-2</v>
      </c>
      <c r="Q2422">
        <v>5.3190220000000003E-2</v>
      </c>
      <c r="R2422">
        <v>-0.99806490000000003</v>
      </c>
      <c r="S2422">
        <v>-0.1545105</v>
      </c>
      <c r="T2422">
        <v>-0.12506780000000001</v>
      </c>
      <c r="U2422">
        <v>-3.0069889999999999</v>
      </c>
      <c r="V2422">
        <v>-0.26597029999999999</v>
      </c>
      <c r="W2422">
        <v>5.7757469999999998E-2</v>
      </c>
      <c r="X2422">
        <v>0.96224940000000003</v>
      </c>
      <c r="Y2422">
        <v>-0.24738099999999999</v>
      </c>
      <c r="Z2422">
        <v>3.100371E-2</v>
      </c>
      <c r="AA2422">
        <v>0.96842209999999995</v>
      </c>
      <c r="AB2422">
        <v>23</v>
      </c>
      <c r="AC2422">
        <v>-1.33879999999999</v>
      </c>
      <c r="AD2422">
        <v>-1.1128136053869999</v>
      </c>
      <c r="AE2422">
        <v>-26.627400000000002</v>
      </c>
      <c r="AF2422">
        <v>-6.6129620445649699</v>
      </c>
      <c r="AG2422">
        <v>-1.1128136053869999</v>
      </c>
      <c r="AH2422">
        <v>25.780017421043699</v>
      </c>
      <c r="AI2422">
        <v>92.394258893030297</v>
      </c>
      <c r="AJ2422">
        <v>104.38702741495599</v>
      </c>
      <c r="AK2422">
        <v>26.6379225795202</v>
      </c>
      <c r="AL2422">
        <v>86.688898114895807</v>
      </c>
      <c r="AM2422">
        <v>105.451051496475</v>
      </c>
      <c r="AN2422">
        <v>1.0000000168116201</v>
      </c>
    </row>
    <row r="2423" spans="1:40" x14ac:dyDescent="0.25">
      <c r="A2423" t="str">
        <f>"20190305135838149"</f>
        <v>20190305135838149</v>
      </c>
      <c r="B2423" t="str">
        <f>"1551765518141066"</f>
        <v>1551765518141066</v>
      </c>
      <c r="C2423" t="s">
        <v>40</v>
      </c>
      <c r="D2423">
        <v>4.5323900000000004</v>
      </c>
      <c r="E2423">
        <v>0.50624709999999995</v>
      </c>
      <c r="F2423" t="s">
        <v>42</v>
      </c>
      <c r="G2423">
        <v>-491.97329999999999</v>
      </c>
      <c r="H2423" s="1">
        <v>-3.0507930000000001E-6</v>
      </c>
      <c r="I2423">
        <v>235.47669999999999</v>
      </c>
      <c r="J2423">
        <v>-490.6508</v>
      </c>
      <c r="K2423">
        <v>1.1129039999999999</v>
      </c>
      <c r="L2423">
        <v>263.21859999999998</v>
      </c>
      <c r="M2423">
        <v>-0.29146749999999999</v>
      </c>
      <c r="N2423">
        <v>-7.1053690000000003E-3</v>
      </c>
      <c r="O2423">
        <v>-0.95655449999999997</v>
      </c>
      <c r="P2423">
        <v>-2.7416329999999999E-2</v>
      </c>
      <c r="Q2423">
        <v>5.492694E-2</v>
      </c>
      <c r="R2423">
        <v>-0.99811399999999995</v>
      </c>
      <c r="S2423">
        <v>-0.1484375</v>
      </c>
      <c r="T2423">
        <v>-0.11976000000000001</v>
      </c>
      <c r="U2423">
        <v>-3.0074459999999998</v>
      </c>
      <c r="V2423">
        <v>-0.2652408</v>
      </c>
      <c r="W2423">
        <v>5.9396869999999997E-2</v>
      </c>
      <c r="X2423">
        <v>0.96235090000000001</v>
      </c>
      <c r="Y2423">
        <v>-0.24394189999999999</v>
      </c>
      <c r="Z2423">
        <v>2.953312E-2</v>
      </c>
      <c r="AA2423">
        <v>0.96934010000000004</v>
      </c>
      <c r="AB2423">
        <v>23</v>
      </c>
      <c r="AC2423">
        <v>-1.32249999999999</v>
      </c>
      <c r="AD2423">
        <v>-1.1129070507929999</v>
      </c>
      <c r="AE2423">
        <v>-27.741899999999902</v>
      </c>
      <c r="AF2423">
        <v>-6.8100552866483399</v>
      </c>
      <c r="AG2423">
        <v>-1.1129070507929999</v>
      </c>
      <c r="AH2423">
        <v>26.879620497849899</v>
      </c>
      <c r="AI2423">
        <v>92.298349914079793</v>
      </c>
      <c r="AJ2423">
        <v>104.216957988047</v>
      </c>
      <c r="AK2423">
        <v>27.751205617402299</v>
      </c>
      <c r="AL2423">
        <v>86.594805652102593</v>
      </c>
      <c r="AM2423">
        <v>105.409141503282</v>
      </c>
      <c r="AN2423">
        <v>0.99999996244062195</v>
      </c>
    </row>
    <row r="2424" spans="1:40" x14ac:dyDescent="0.25">
      <c r="A2424" t="str">
        <f>"20190305135838171"</f>
        <v>20190305135838171</v>
      </c>
      <c r="B2424" t="str">
        <f>"1551765518160586"</f>
        <v>1551765518160586</v>
      </c>
      <c r="C2424" t="s">
        <v>40</v>
      </c>
      <c r="D2424">
        <v>4.3180379999999996</v>
      </c>
      <c r="E2424">
        <v>0.50676779999999999</v>
      </c>
      <c r="F2424" t="s">
        <v>42</v>
      </c>
      <c r="G2424">
        <v>-492.06369999999998</v>
      </c>
      <c r="H2424" s="1">
        <v>-2.2600189999999999E-6</v>
      </c>
      <c r="I2424">
        <v>233.57730000000001</v>
      </c>
      <c r="J2424">
        <v>-490.71</v>
      </c>
      <c r="K2424">
        <v>1.113005</v>
      </c>
      <c r="L2424">
        <v>263.00170000000003</v>
      </c>
      <c r="M2424">
        <v>-0.2856669</v>
      </c>
      <c r="N2424">
        <v>-7.0743769999999997E-3</v>
      </c>
      <c r="O2424">
        <v>-0.95830289999999996</v>
      </c>
      <c r="P2424">
        <v>-2.1744510000000002E-2</v>
      </c>
      <c r="Q2424">
        <v>5.642987E-2</v>
      </c>
      <c r="R2424">
        <v>-0.99816950000000004</v>
      </c>
      <c r="S2424">
        <v>-0.14337159999999999</v>
      </c>
      <c r="T2424">
        <v>-0.1129353</v>
      </c>
      <c r="U2424">
        <v>-3.0079349999999998</v>
      </c>
      <c r="V2424">
        <v>-0.26488519999999999</v>
      </c>
      <c r="W2424">
        <v>6.0798140000000001E-2</v>
      </c>
      <c r="X2424">
        <v>0.96236129999999998</v>
      </c>
      <c r="Y2424">
        <v>-0.2397012</v>
      </c>
      <c r="Z2424">
        <v>2.7592160000000001E-2</v>
      </c>
      <c r="AA2424">
        <v>0.9704545</v>
      </c>
      <c r="AB2424">
        <v>23</v>
      </c>
      <c r="AC2424">
        <v>-1.3536999999999999</v>
      </c>
      <c r="AD2424">
        <v>-1.113007260019</v>
      </c>
      <c r="AE2424">
        <v>-29.424399999999999</v>
      </c>
      <c r="AF2424">
        <v>-7.0983651866923996</v>
      </c>
      <c r="AG2424">
        <v>-1.113007260019</v>
      </c>
      <c r="AH2424">
        <v>28.544154506209001</v>
      </c>
      <c r="AI2424">
        <v>92.167037250767905</v>
      </c>
      <c r="AJ2424">
        <v>103.96504896645099</v>
      </c>
      <c r="AK2424">
        <v>29.4345771153389</v>
      </c>
      <c r="AL2424">
        <v>86.514373282700404</v>
      </c>
      <c r="AM2424">
        <v>105.38930449255101</v>
      </c>
      <c r="AN2424">
        <v>0.99999992737209198</v>
      </c>
    </row>
    <row r="2425" spans="1:40" x14ac:dyDescent="0.25">
      <c r="A2425" t="str">
        <f>"20190305135838185"</f>
        <v>20190305135838185</v>
      </c>
      <c r="B2425" t="str">
        <f>"1551765518180609"</f>
        <v>1551765518180609</v>
      </c>
      <c r="C2425" t="s">
        <v>40</v>
      </c>
      <c r="D2425">
        <v>4.3164889999999998</v>
      </c>
      <c r="E2425">
        <v>0.50742159999999903</v>
      </c>
      <c r="F2425" t="s">
        <v>42</v>
      </c>
      <c r="G2425">
        <v>-492.07909999999998</v>
      </c>
      <c r="H2425" s="1">
        <v>-1.3332849999999901E-6</v>
      </c>
      <c r="I2425">
        <v>231.4075</v>
      </c>
      <c r="J2425">
        <v>-490.74329999999998</v>
      </c>
      <c r="K2425">
        <v>1.113062</v>
      </c>
      <c r="L2425">
        <v>262.87709999999998</v>
      </c>
      <c r="M2425">
        <v>-0.28228589999999998</v>
      </c>
      <c r="N2425">
        <v>-7.0595789999999999E-3</v>
      </c>
      <c r="O2425">
        <v>-0.9593045</v>
      </c>
      <c r="P2425">
        <v>-1.8290109999999998E-2</v>
      </c>
      <c r="Q2425">
        <v>5.7097479999999999E-2</v>
      </c>
      <c r="R2425">
        <v>-0.99820120000000001</v>
      </c>
      <c r="S2425">
        <v>-0.13037109999999999</v>
      </c>
      <c r="T2425">
        <v>-0.1059901</v>
      </c>
      <c r="U2425">
        <v>-3.008667</v>
      </c>
      <c r="V2425">
        <v>-0.26482670000000003</v>
      </c>
      <c r="W2425">
        <v>6.1410689999999997E-2</v>
      </c>
      <c r="X2425">
        <v>0.96233860000000004</v>
      </c>
      <c r="Y2425">
        <v>-0.2404733</v>
      </c>
      <c r="Z2425">
        <v>2.5519509999999999E-2</v>
      </c>
      <c r="AA2425">
        <v>0.97032019999999997</v>
      </c>
      <c r="AB2425">
        <v>23</v>
      </c>
      <c r="AC2425">
        <v>-1.3358000000000001</v>
      </c>
      <c r="AD2425">
        <v>-1.113063333285</v>
      </c>
      <c r="AE2425">
        <v>-31.4695999999999</v>
      </c>
      <c r="AF2425">
        <v>-7.5926923673011002</v>
      </c>
      <c r="AG2425">
        <v>-1.113063333285</v>
      </c>
      <c r="AH2425">
        <v>30.528641011330301</v>
      </c>
      <c r="AI2425">
        <v>92.026381659291502</v>
      </c>
      <c r="AJ2425">
        <v>103.966506670984</v>
      </c>
      <c r="AK2425">
        <v>31.478338732643699</v>
      </c>
      <c r="AL2425">
        <v>86.479211362557507</v>
      </c>
      <c r="AM2425">
        <v>105.386412562234</v>
      </c>
      <c r="AN2425">
        <v>1.00000001746456</v>
      </c>
    </row>
    <row r="2426" spans="1:40" x14ac:dyDescent="0.25">
      <c r="A2426" t="str">
        <f>"20190305135838199"</f>
        <v>20190305135838199</v>
      </c>
      <c r="B2426" t="str">
        <f>"1551765518191345"</f>
        <v>1551765518191345</v>
      </c>
      <c r="C2426" t="s">
        <v>40</v>
      </c>
      <c r="D2426">
        <v>4.3021089999999997</v>
      </c>
      <c r="E2426">
        <v>0.50778009999999996</v>
      </c>
      <c r="F2426" t="s">
        <v>42</v>
      </c>
      <c r="G2426">
        <v>-492.09719999999999</v>
      </c>
      <c r="H2426" s="1">
        <v>-8.7373059999999898E-7</v>
      </c>
      <c r="I2426">
        <v>230.32499999999999</v>
      </c>
      <c r="J2426">
        <v>-490.77940000000001</v>
      </c>
      <c r="K2426">
        <v>1.1131219999999999</v>
      </c>
      <c r="L2426">
        <v>262.74029999999999</v>
      </c>
      <c r="M2426">
        <v>-0.27853630000000001</v>
      </c>
      <c r="N2426">
        <v>-7.044771E-3</v>
      </c>
      <c r="O2426">
        <v>-0.96039989999999997</v>
      </c>
      <c r="P2426">
        <v>-1.443909E-2</v>
      </c>
      <c r="Q2426">
        <v>5.7110679999999997E-2</v>
      </c>
      <c r="R2426">
        <v>-0.99826340000000002</v>
      </c>
      <c r="S2426">
        <v>-0.1251526</v>
      </c>
      <c r="T2426">
        <v>-0.10288659999999999</v>
      </c>
      <c r="U2426">
        <v>-3.008972</v>
      </c>
      <c r="V2426">
        <v>-0.26479019999999998</v>
      </c>
      <c r="W2426">
        <v>6.1366419999999998E-2</v>
      </c>
      <c r="X2426">
        <v>0.96235139999999997</v>
      </c>
      <c r="Y2426">
        <v>-0.23836570000000001</v>
      </c>
      <c r="Z2426">
        <v>2.4642830000000001E-2</v>
      </c>
      <c r="AA2426">
        <v>0.97086269999999997</v>
      </c>
      <c r="AB2426">
        <v>23</v>
      </c>
      <c r="AC2426">
        <v>-1.3177999999999701</v>
      </c>
      <c r="AD2426">
        <v>-1.1131228737306</v>
      </c>
      <c r="AE2426">
        <v>-32.415300000000002</v>
      </c>
      <c r="AF2426">
        <v>-7.7542863845186103</v>
      </c>
      <c r="AG2426">
        <v>-1.1131228737306</v>
      </c>
      <c r="AH2426">
        <v>31.4624474201396</v>
      </c>
      <c r="AI2426">
        <v>91.967421175139705</v>
      </c>
      <c r="AJ2426">
        <v>103.845277557852</v>
      </c>
      <c r="AK2426">
        <v>32.423041151782897</v>
      </c>
      <c r="AL2426">
        <v>86.481752410112307</v>
      </c>
      <c r="AM2426">
        <v>105.384197459422</v>
      </c>
      <c r="AN2426">
        <v>0.99999995230080696</v>
      </c>
    </row>
    <row r="2427" spans="1:40" x14ac:dyDescent="0.25">
      <c r="A2427" t="str">
        <f>"20190305135838215"</f>
        <v>20190305135838215</v>
      </c>
      <c r="B2427" t="str">
        <f>"1551765518210864"</f>
        <v>1551765518210864</v>
      </c>
      <c r="C2427" t="s">
        <v>40</v>
      </c>
      <c r="D2427">
        <v>4.3289939999999998</v>
      </c>
      <c r="E2427">
        <v>0.50836559999999997</v>
      </c>
      <c r="F2427" t="s">
        <v>42</v>
      </c>
      <c r="G2427">
        <v>-492.06029999999998</v>
      </c>
      <c r="H2427" s="1">
        <v>-5.7081559999999899E-7</v>
      </c>
      <c r="I2427">
        <v>229.64189999999999</v>
      </c>
      <c r="J2427">
        <v>-490.82310000000001</v>
      </c>
      <c r="K2427">
        <v>1.113184</v>
      </c>
      <c r="L2427">
        <v>262.57040000000001</v>
      </c>
      <c r="M2427">
        <v>-0.27382109999999998</v>
      </c>
      <c r="N2427">
        <v>-7.0263840000000001E-3</v>
      </c>
      <c r="O2427">
        <v>-0.96175520000000003</v>
      </c>
      <c r="P2427">
        <v>-1.003277E-2</v>
      </c>
      <c r="Q2427">
        <v>5.727641E-2</v>
      </c>
      <c r="R2427">
        <v>-0.99830819999999998</v>
      </c>
      <c r="S2427">
        <v>-0.11645510000000001</v>
      </c>
      <c r="T2427">
        <v>-0.10120609999999999</v>
      </c>
      <c r="U2427">
        <v>-3.0093380000000001</v>
      </c>
      <c r="V2427">
        <v>-0.26432600000000001</v>
      </c>
      <c r="W2427">
        <v>6.1471610000000003E-2</v>
      </c>
      <c r="X2427">
        <v>0.96247240000000001</v>
      </c>
      <c r="Y2427">
        <v>-0.23640729999999999</v>
      </c>
      <c r="Z2427">
        <v>2.4215049999999998E-2</v>
      </c>
      <c r="AA2427">
        <v>0.97135229999999995</v>
      </c>
      <c r="AB2427">
        <v>23</v>
      </c>
      <c r="AC2427">
        <v>-1.2371999999999701</v>
      </c>
      <c r="AD2427">
        <v>-1.1131845708155901</v>
      </c>
      <c r="AE2427">
        <v>-32.9285</v>
      </c>
      <c r="AF2427">
        <v>-7.8179039628712204</v>
      </c>
      <c r="AG2427">
        <v>-1.1131845708155901</v>
      </c>
      <c r="AH2427">
        <v>31.972222789576801</v>
      </c>
      <c r="AI2427">
        <v>91.937052459599499</v>
      </c>
      <c r="AJ2427">
        <v>103.740447933243</v>
      </c>
      <c r="AK2427">
        <v>32.932990030783898</v>
      </c>
      <c r="AL2427">
        <v>86.475714436038601</v>
      </c>
      <c r="AM2427">
        <v>105.356662481504</v>
      </c>
      <c r="AN2427">
        <v>1.0000000569368701</v>
      </c>
    </row>
    <row r="2428" spans="1:40" x14ac:dyDescent="0.25">
      <c r="A2428" t="str">
        <f>"20190305135838228"</f>
        <v>20190305135838228</v>
      </c>
      <c r="B2428" t="str">
        <f>"1551765518220625"</f>
        <v>1551765518220625</v>
      </c>
      <c r="C2428" t="s">
        <v>40</v>
      </c>
      <c r="D2428">
        <v>4.3959999999999999</v>
      </c>
      <c r="E2428">
        <v>0.50836559999999997</v>
      </c>
      <c r="F2428" t="s">
        <v>58</v>
      </c>
      <c r="G2428">
        <v>-492.02159999999998</v>
      </c>
      <c r="H2428" s="1">
        <v>5.962291E-6</v>
      </c>
      <c r="I2428">
        <v>229.06720000000001</v>
      </c>
      <c r="J2428">
        <v>-490.85660000000001</v>
      </c>
      <c r="K2428">
        <v>1.113226</v>
      </c>
      <c r="L2428">
        <v>262.4375</v>
      </c>
      <c r="M2428">
        <v>-0.27009650000000002</v>
      </c>
      <c r="N2428">
        <v>-7.007274E-3</v>
      </c>
      <c r="O2428">
        <v>-0.962808</v>
      </c>
      <c r="P2428">
        <v>-6.442494E-3</v>
      </c>
      <c r="Q2428">
        <v>5.7435050000000001E-2</v>
      </c>
      <c r="R2428">
        <v>-0.99832849999999995</v>
      </c>
      <c r="S2428">
        <v>-0.107666</v>
      </c>
      <c r="T2428">
        <v>-0.10000050000000001</v>
      </c>
      <c r="U2428">
        <v>-3.0097049999999999</v>
      </c>
      <c r="V2428">
        <v>-0.26406849999999998</v>
      </c>
      <c r="W2428">
        <v>6.158251E-2</v>
      </c>
      <c r="X2428">
        <v>0.9625359</v>
      </c>
      <c r="Y2428">
        <v>-0.2354839</v>
      </c>
      <c r="Z2428">
        <v>2.3913050000000002E-2</v>
      </c>
      <c r="AA2428">
        <v>0.971584</v>
      </c>
      <c r="AB2428">
        <v>23</v>
      </c>
      <c r="AC2428">
        <v>-1.1649999999999601</v>
      </c>
      <c r="AD2428">
        <v>-1.113220037709</v>
      </c>
      <c r="AE2428">
        <v>-33.370299999999901</v>
      </c>
      <c r="AF2428">
        <v>-7.8829598491005299</v>
      </c>
      <c r="AG2428">
        <v>-1.113220037709</v>
      </c>
      <c r="AH2428">
        <v>32.408620760957298</v>
      </c>
      <c r="AI2428">
        <v>91.911614453237306</v>
      </c>
      <c r="AJ2428">
        <v>103.67094296496199</v>
      </c>
      <c r="AK2428">
        <v>33.372129306690098</v>
      </c>
      <c r="AL2428">
        <v>86.469347960616304</v>
      </c>
      <c r="AM2428">
        <v>105.341443181622</v>
      </c>
      <c r="AN2428">
        <v>0.99999996850947903</v>
      </c>
    </row>
    <row r="2429" spans="1:40" x14ac:dyDescent="0.25">
      <c r="A2429" t="str">
        <f>"20190305135838251"</f>
        <v>20190305135838251</v>
      </c>
      <c r="B2429" t="str">
        <f>"1551765518241121"</f>
        <v>1551765518241121</v>
      </c>
      <c r="C2429" t="s">
        <v>40</v>
      </c>
      <c r="D2429">
        <v>4.3683230000000002</v>
      </c>
      <c r="E2429">
        <v>0.53627689999999995</v>
      </c>
      <c r="F2429" t="s">
        <v>58</v>
      </c>
      <c r="G2429">
        <v>-491.93099999999998</v>
      </c>
      <c r="H2429" s="1">
        <v>5.9243129999999999E-6</v>
      </c>
      <c r="I2429">
        <v>228.78630000000001</v>
      </c>
      <c r="J2429">
        <v>-490.91329999999999</v>
      </c>
      <c r="K2429">
        <v>1.113281</v>
      </c>
      <c r="L2429">
        <v>262.20830000000001</v>
      </c>
      <c r="M2429">
        <v>-0.26361400000000001</v>
      </c>
      <c r="N2429">
        <v>-6.9469220000000003E-3</v>
      </c>
      <c r="O2429">
        <v>-0.96460349999999995</v>
      </c>
      <c r="P2429">
        <v>-1.6598890000000001E-4</v>
      </c>
      <c r="Q2429">
        <v>5.7686790000000002E-2</v>
      </c>
      <c r="R2429">
        <v>-0.99833510000000003</v>
      </c>
      <c r="S2429">
        <v>-9.6099850000000001E-2</v>
      </c>
      <c r="T2429">
        <v>-9.9578620000000007E-2</v>
      </c>
      <c r="U2429">
        <v>-3.010132</v>
      </c>
      <c r="V2429">
        <v>-0.26365490000000003</v>
      </c>
      <c r="W2429">
        <v>6.1731000000000001E-2</v>
      </c>
      <c r="X2429">
        <v>0.96263980000000005</v>
      </c>
      <c r="Y2429">
        <v>-0.2326802</v>
      </c>
      <c r="Z2429">
        <v>2.393576E-2</v>
      </c>
      <c r="AA2429">
        <v>0.97225870000000003</v>
      </c>
      <c r="AB2429">
        <v>23</v>
      </c>
      <c r="AC2429">
        <v>-1.0176999999999901</v>
      </c>
      <c r="AD2429">
        <v>-1.113275075687</v>
      </c>
      <c r="AE2429">
        <v>-33.421999999999997</v>
      </c>
      <c r="AF2429">
        <v>-7.8203481394163896</v>
      </c>
      <c r="AG2429">
        <v>-1.113275075687</v>
      </c>
      <c r="AH2429">
        <v>32.472038817692301</v>
      </c>
      <c r="AI2429">
        <v>91.909025973122098</v>
      </c>
      <c r="AJ2429">
        <v>103.540868788361</v>
      </c>
      <c r="AK2429">
        <v>33.419014518587097</v>
      </c>
      <c r="AL2429">
        <v>86.460824016600498</v>
      </c>
      <c r="AM2429">
        <v>105.316968402127</v>
      </c>
      <c r="AN2429">
        <v>1.00000000359952</v>
      </c>
    </row>
    <row r="2430" spans="1:40" x14ac:dyDescent="0.25">
      <c r="A2430" t="str">
        <f>"20190305135838272"</f>
        <v>20190305135838272</v>
      </c>
      <c r="B2430" t="str">
        <f>"1551765518260640"</f>
        <v>1551765518260640</v>
      </c>
      <c r="C2430" t="s">
        <v>40</v>
      </c>
      <c r="D2430">
        <v>4.3830519999999904</v>
      </c>
      <c r="E2430">
        <v>0.54195839999999995</v>
      </c>
      <c r="F2430" t="s">
        <v>42</v>
      </c>
      <c r="G2430">
        <v>-493.0849</v>
      </c>
      <c r="H2430" s="1">
        <v>-1.2329380000000001E-6</v>
      </c>
      <c r="I2430">
        <v>240.5498</v>
      </c>
      <c r="J2430">
        <v>-490.96440000000001</v>
      </c>
      <c r="K2430">
        <v>1.113307</v>
      </c>
      <c r="L2430">
        <v>261.9957</v>
      </c>
      <c r="M2430">
        <v>-0.25754129999999997</v>
      </c>
      <c r="N2430">
        <v>-6.8452779999999998E-3</v>
      </c>
      <c r="O2430">
        <v>-0.96624319999999997</v>
      </c>
      <c r="P2430">
        <v>5.4311350000000001E-3</v>
      </c>
      <c r="Q2430">
        <v>5.8361570000000002E-2</v>
      </c>
      <c r="R2430">
        <v>-0.99828110000000003</v>
      </c>
      <c r="S2430">
        <v>-0.30218509999999998</v>
      </c>
      <c r="T2430">
        <v>-0.1549181</v>
      </c>
      <c r="U2430">
        <v>-3.0138850000000001</v>
      </c>
      <c r="V2430">
        <v>-0.26300040000000002</v>
      </c>
      <c r="W2430">
        <v>6.2278779999999999E-2</v>
      </c>
      <c r="X2430">
        <v>0.96278350000000001</v>
      </c>
      <c r="Y2430">
        <v>-0.1599187</v>
      </c>
      <c r="Z2430">
        <v>4.154919E-2</v>
      </c>
      <c r="AA2430">
        <v>0.9862554</v>
      </c>
      <c r="AB2430">
        <v>23</v>
      </c>
      <c r="AC2430">
        <v>-2.1204999999999901</v>
      </c>
      <c r="AD2430">
        <v>-1.113308232938</v>
      </c>
      <c r="AE2430">
        <v>-21.445899999999899</v>
      </c>
      <c r="AF2430">
        <v>-3.4651194084765402</v>
      </c>
      <c r="AG2430">
        <v>-1.113308232938</v>
      </c>
      <c r="AH2430">
        <v>21.211955885850799</v>
      </c>
      <c r="AI2430">
        <v>92.965177288731596</v>
      </c>
      <c r="AJ2430">
        <v>99.277713527323598</v>
      </c>
      <c r="AK2430">
        <v>21.521932539616699</v>
      </c>
      <c r="AL2430">
        <v>86.429377879817395</v>
      </c>
      <c r="AM2430">
        <v>105.278550840549</v>
      </c>
      <c r="AN2430">
        <v>0.99999996235534805</v>
      </c>
    </row>
    <row r="2431" spans="1:40" x14ac:dyDescent="0.25">
      <c r="A2431" t="str">
        <f>"20190305135838286"</f>
        <v>20190305135838286</v>
      </c>
      <c r="B2431" t="str">
        <f>"1551765518281137"</f>
        <v>1551765518281137</v>
      </c>
      <c r="C2431" t="s">
        <v>40</v>
      </c>
      <c r="D2431">
        <v>4.3349799999999998</v>
      </c>
      <c r="E2431">
        <v>0.54435049999999996</v>
      </c>
      <c r="F2431" t="s">
        <v>42</v>
      </c>
      <c r="G2431">
        <v>-493.38189999999997</v>
      </c>
      <c r="H2431" s="1">
        <v>-1.0489780000000001E-6</v>
      </c>
      <c r="I2431">
        <v>239.93680000000001</v>
      </c>
      <c r="J2431">
        <v>-490.99759999999998</v>
      </c>
      <c r="K2431">
        <v>1.1133120000000001</v>
      </c>
      <c r="L2431">
        <v>261.85379999999998</v>
      </c>
      <c r="M2431">
        <v>-0.25347259999999999</v>
      </c>
      <c r="N2431">
        <v>-6.7540439999999998E-3</v>
      </c>
      <c r="O2431">
        <v>-0.96731900000000004</v>
      </c>
      <c r="P2431">
        <v>9.2198169999999999E-3</v>
      </c>
      <c r="Q2431">
        <v>5.833377E-2</v>
      </c>
      <c r="R2431">
        <v>-0.99825489999999995</v>
      </c>
      <c r="S2431">
        <v>-0.3305054</v>
      </c>
      <c r="T2431">
        <v>-0.1522087</v>
      </c>
      <c r="U2431">
        <v>-3.0158390000000002</v>
      </c>
      <c r="V2431">
        <v>-0.26260630000000001</v>
      </c>
      <c r="W2431">
        <v>6.214741E-2</v>
      </c>
      <c r="X2431">
        <v>0.96289959999999997</v>
      </c>
      <c r="Y2431">
        <v>-0.146653799999999</v>
      </c>
      <c r="Z2431">
        <v>4.0882370000000001E-2</v>
      </c>
      <c r="AA2431">
        <v>0.98834270000000002</v>
      </c>
      <c r="AB2431">
        <v>23</v>
      </c>
      <c r="AC2431">
        <v>-2.3842999999999899</v>
      </c>
      <c r="AD2431">
        <v>-1.1133130489779901</v>
      </c>
      <c r="AE2431">
        <v>-21.916999999999899</v>
      </c>
      <c r="AF2431">
        <v>-3.2407899064321302</v>
      </c>
      <c r="AG2431">
        <v>-1.1133130489779901</v>
      </c>
      <c r="AH2431">
        <v>21.750116658330299</v>
      </c>
      <c r="AI2431">
        <v>92.898274271514396</v>
      </c>
      <c r="AJ2431">
        <v>98.474780460731495</v>
      </c>
      <c r="AK2431">
        <v>22.018395940977001</v>
      </c>
      <c r="AL2431">
        <v>86.436919585938</v>
      </c>
      <c r="AM2431">
        <v>105.254970173365</v>
      </c>
      <c r="AN2431">
        <v>1.0000000045247699</v>
      </c>
    </row>
    <row r="2432" spans="1:40" x14ac:dyDescent="0.25">
      <c r="A2432" t="str">
        <f>"20190305135838305"</f>
        <v>20190305135838305</v>
      </c>
      <c r="B2432" t="str">
        <f>"1551765518300657"</f>
        <v>1551765518300657</v>
      </c>
      <c r="C2432" t="s">
        <v>40</v>
      </c>
      <c r="D2432">
        <v>4.3615750000000002</v>
      </c>
      <c r="E2432">
        <v>0.54597430000000002</v>
      </c>
      <c r="F2432" t="s">
        <v>42</v>
      </c>
      <c r="G2432">
        <v>-493.16629999999998</v>
      </c>
      <c r="H2432" s="1">
        <v>-2.106666E-6</v>
      </c>
      <c r="I2432">
        <v>242.536</v>
      </c>
      <c r="J2432">
        <v>-491.04169999999999</v>
      </c>
      <c r="K2432">
        <v>1.1133010000000001</v>
      </c>
      <c r="L2432">
        <v>261.66160000000002</v>
      </c>
      <c r="M2432">
        <v>-0.24794820000000001</v>
      </c>
      <c r="N2432">
        <v>-6.6083590000000003E-3</v>
      </c>
      <c r="O2432">
        <v>-0.96875100000000003</v>
      </c>
      <c r="P2432">
        <v>1.330685E-2</v>
      </c>
      <c r="Q2432">
        <v>5.7851930000000003E-2</v>
      </c>
      <c r="R2432">
        <v>-0.99823689999999998</v>
      </c>
      <c r="S2432">
        <v>-0.33886719999999998</v>
      </c>
      <c r="T2432">
        <v>-0.1739637</v>
      </c>
      <c r="U2432">
        <v>-3.0185550000000001</v>
      </c>
      <c r="V2432">
        <v>-0.26105820000000002</v>
      </c>
      <c r="W2432">
        <v>6.1521590000000001E-2</v>
      </c>
      <c r="X2432">
        <v>0.96336060000000001</v>
      </c>
      <c r="Y2432">
        <v>-0.13842960000000001</v>
      </c>
      <c r="Z2432">
        <v>4.7901680000000002E-2</v>
      </c>
      <c r="AA2432">
        <v>0.98921320000000001</v>
      </c>
      <c r="AB2432">
        <v>24</v>
      </c>
      <c r="AC2432">
        <v>-2.1245999999999801</v>
      </c>
      <c r="AD2432">
        <v>-1.113303106666</v>
      </c>
      <c r="AE2432">
        <v>-19.125599999999999</v>
      </c>
      <c r="AF2432">
        <v>-2.67505397696124</v>
      </c>
      <c r="AG2432">
        <v>-1.113303106666</v>
      </c>
      <c r="AH2432">
        <v>18.9915794362871</v>
      </c>
      <c r="AI2432">
        <v>93.322170010400797</v>
      </c>
      <c r="AJ2432">
        <v>98.017636302391395</v>
      </c>
      <c r="AK2432">
        <v>19.211336420763899</v>
      </c>
      <c r="AL2432">
        <v>86.472845047774598</v>
      </c>
      <c r="AM2432">
        <v>105.16227056488501</v>
      </c>
      <c r="AN2432">
        <v>0.99999996772786304</v>
      </c>
    </row>
    <row r="2433" spans="1:40" x14ac:dyDescent="0.25">
      <c r="A2433" t="str">
        <f>"20190305135838319"</f>
        <v>20190305135838319</v>
      </c>
      <c r="B2433" t="str">
        <f>"1551765518311393"</f>
        <v>1551765518311393</v>
      </c>
      <c r="C2433" t="s">
        <v>40</v>
      </c>
      <c r="D2433">
        <v>4.3480259999999999</v>
      </c>
      <c r="E2433">
        <v>0.54645549999999998</v>
      </c>
      <c r="F2433" t="s">
        <v>42</v>
      </c>
      <c r="G2433">
        <v>-493.11860000000001</v>
      </c>
      <c r="H2433" s="1">
        <v>-2.3696199999999999E-6</v>
      </c>
      <c r="I2433">
        <v>243.17850000000001</v>
      </c>
      <c r="J2433">
        <v>-491.07330000000002</v>
      </c>
      <c r="K2433">
        <v>1.113294</v>
      </c>
      <c r="L2433">
        <v>261.52190000000002</v>
      </c>
      <c r="M2433">
        <v>-0.24392910000000001</v>
      </c>
      <c r="N2433">
        <v>-6.4914040000000001E-3</v>
      </c>
      <c r="O2433">
        <v>-0.96977159999999996</v>
      </c>
      <c r="P2433">
        <v>1.628404E-2</v>
      </c>
      <c r="Q2433">
        <v>5.7193880000000002E-2</v>
      </c>
      <c r="R2433">
        <v>-0.99823050000000002</v>
      </c>
      <c r="S2433">
        <v>-0.33938600000000002</v>
      </c>
      <c r="T2433">
        <v>-0.1819268</v>
      </c>
      <c r="U2433">
        <v>-3.0203549999999999</v>
      </c>
      <c r="V2433">
        <v>-0.25994080000000003</v>
      </c>
      <c r="W2433">
        <v>6.0751039999999999E-2</v>
      </c>
      <c r="X2433">
        <v>0.9637116</v>
      </c>
      <c r="Y2433">
        <v>-0.1342344</v>
      </c>
      <c r="Z2433">
        <v>5.0572489999999998E-2</v>
      </c>
      <c r="AA2433">
        <v>0.98965829999999999</v>
      </c>
      <c r="AB2433">
        <v>24</v>
      </c>
      <c r="AC2433">
        <v>-2.0452999999999899</v>
      </c>
      <c r="AD2433">
        <v>-1.11329636962</v>
      </c>
      <c r="AE2433">
        <v>-18.343399999999999</v>
      </c>
      <c r="AF2433">
        <v>-2.4820367218316202</v>
      </c>
      <c r="AG2433">
        <v>-1.11329636962</v>
      </c>
      <c r="AH2433">
        <v>18.2219009595497</v>
      </c>
      <c r="AI2433">
        <v>93.464320774037304</v>
      </c>
      <c r="AJ2433">
        <v>97.756621350999893</v>
      </c>
      <c r="AK2433">
        <v>18.423832654330301</v>
      </c>
      <c r="AL2433">
        <v>86.517077088871005</v>
      </c>
      <c r="AM2433">
        <v>105.095092789597</v>
      </c>
      <c r="AN2433">
        <v>0.99999997817013997</v>
      </c>
    </row>
    <row r="2434" spans="1:40" x14ac:dyDescent="0.25">
      <c r="A2434" t="str">
        <f>"20190305135838331"</f>
        <v>20190305135838331</v>
      </c>
      <c r="B2434" t="str">
        <f>"1551765518321153"</f>
        <v>1551765518321153</v>
      </c>
      <c r="C2434" t="s">
        <v>40</v>
      </c>
      <c r="D2434">
        <v>4.3638849999999998</v>
      </c>
      <c r="E2434">
        <v>0.54704160000000002</v>
      </c>
      <c r="F2434" t="s">
        <v>42</v>
      </c>
      <c r="G2434">
        <v>-493.1146</v>
      </c>
      <c r="H2434" s="1">
        <v>-2.3274700000000002E-6</v>
      </c>
      <c r="I2434">
        <v>243.08269999999999</v>
      </c>
      <c r="J2434">
        <v>-491.10329999999999</v>
      </c>
      <c r="K2434">
        <v>1.1132770000000001</v>
      </c>
      <c r="L2434">
        <v>261.38459999999998</v>
      </c>
      <c r="M2434">
        <v>-0.23998929999999999</v>
      </c>
      <c r="N2434">
        <v>-6.3649969999999998E-3</v>
      </c>
      <c r="O2434">
        <v>-0.97075480000000003</v>
      </c>
      <c r="P2434">
        <v>1.8933990000000001E-2</v>
      </c>
      <c r="Q2434">
        <v>5.6341820000000001E-2</v>
      </c>
      <c r="R2434">
        <v>-0.99823220000000001</v>
      </c>
      <c r="S2434">
        <v>-0.33447270000000001</v>
      </c>
      <c r="T2434">
        <v>-0.18241109999999999</v>
      </c>
      <c r="U2434">
        <v>-3.02121</v>
      </c>
      <c r="V2434">
        <v>-0.25858950000000003</v>
      </c>
      <c r="W2434">
        <v>5.9781470000000003E-2</v>
      </c>
      <c r="X2434">
        <v>0.96413570000000004</v>
      </c>
      <c r="Y2434">
        <v>-0.1318339</v>
      </c>
      <c r="Z2434">
        <v>5.0931909999999997E-2</v>
      </c>
      <c r="AA2434">
        <v>0.98996249999999997</v>
      </c>
      <c r="AB2434">
        <v>24</v>
      </c>
      <c r="AC2434">
        <v>-2.0112999999999999</v>
      </c>
      <c r="AD2434">
        <v>-1.1132793274699999</v>
      </c>
      <c r="AE2434">
        <v>-18.3018999999999</v>
      </c>
      <c r="AF2434">
        <v>-2.4309426995838099</v>
      </c>
      <c r="AG2434">
        <v>-1.1132793274699999</v>
      </c>
      <c r="AH2434">
        <v>18.183237740470901</v>
      </c>
      <c r="AI2434">
        <v>93.472772992438806</v>
      </c>
      <c r="AJ2434">
        <v>97.614800364767802</v>
      </c>
      <c r="AK2434">
        <v>18.378765137955199</v>
      </c>
      <c r="AL2434">
        <v>86.572730598193402</v>
      </c>
      <c r="AM2434">
        <v>105.013867189004</v>
      </c>
      <c r="AN2434">
        <v>1.00000000084005</v>
      </c>
    </row>
    <row r="2435" spans="1:40" x14ac:dyDescent="0.25">
      <c r="A2435" t="str">
        <f>"20190305135838351"</f>
        <v>20190305135838351</v>
      </c>
      <c r="B2435" t="str">
        <f>"1551765518340676"</f>
        <v>1551765518340676</v>
      </c>
      <c r="C2435" t="s">
        <v>40</v>
      </c>
      <c r="D2435">
        <v>4.4118890000000004</v>
      </c>
      <c r="E2435">
        <v>0.5473249</v>
      </c>
      <c r="F2435" t="s">
        <v>42</v>
      </c>
      <c r="G2435">
        <v>-493.06509999999997</v>
      </c>
      <c r="H2435" s="1">
        <v>-2.480982E-6</v>
      </c>
      <c r="I2435">
        <v>243.47130000000001</v>
      </c>
      <c r="J2435">
        <v>-491.14609999999999</v>
      </c>
      <c r="K2435">
        <v>1.1132470000000001</v>
      </c>
      <c r="L2435">
        <v>261.18630000000002</v>
      </c>
      <c r="M2435">
        <v>-0.23430329999999999</v>
      </c>
      <c r="N2435">
        <v>-6.1706E-3</v>
      </c>
      <c r="O2435">
        <v>-0.97214409999999896</v>
      </c>
      <c r="P2435">
        <v>2.160782E-2</v>
      </c>
      <c r="Q2435">
        <v>5.4512949999999998E-2</v>
      </c>
      <c r="R2435">
        <v>-0.99827929999999998</v>
      </c>
      <c r="S2435">
        <v>-0.33096310000000001</v>
      </c>
      <c r="T2435">
        <v>-0.1878215</v>
      </c>
      <c r="U2435">
        <v>-3.0221559999999998</v>
      </c>
      <c r="V2435">
        <v>-0.2555325</v>
      </c>
      <c r="W2435">
        <v>5.7786509999999999E-2</v>
      </c>
      <c r="X2435">
        <v>0.96507200000000004</v>
      </c>
      <c r="Y2435">
        <v>-0.12721250000000001</v>
      </c>
      <c r="Z2435">
        <v>5.294343E-2</v>
      </c>
      <c r="AA2435">
        <v>0.99046149999999999</v>
      </c>
      <c r="AB2435">
        <v>24</v>
      </c>
      <c r="AC2435">
        <v>-1.9189999999999801</v>
      </c>
      <c r="AD2435">
        <v>-1.1132494809819999</v>
      </c>
      <c r="AE2435">
        <v>-17.715</v>
      </c>
      <c r="AF2435">
        <v>-2.2762964829334398</v>
      </c>
      <c r="AG2435">
        <v>-1.1132494809819999</v>
      </c>
      <c r="AH2435">
        <v>17.6027852582808</v>
      </c>
      <c r="AI2435">
        <v>93.588922334850196</v>
      </c>
      <c r="AJ2435">
        <v>97.368288779167301</v>
      </c>
      <c r="AK2435">
        <v>17.784231749903402</v>
      </c>
      <c r="AL2435">
        <v>86.687231579343205</v>
      </c>
      <c r="AM2435">
        <v>104.83048927674</v>
      </c>
      <c r="AN2435">
        <v>1.0000000522391099</v>
      </c>
    </row>
    <row r="2436" spans="1:40" x14ac:dyDescent="0.25">
      <c r="A2436" t="str">
        <f>"20190305135838365"</f>
        <v>20190305135838365</v>
      </c>
      <c r="B2436" t="str">
        <f>"1551765518361169"</f>
        <v>1551765518361169</v>
      </c>
      <c r="C2436" t="s">
        <v>40</v>
      </c>
      <c r="D2436">
        <v>4.3342239999999999</v>
      </c>
      <c r="E2436">
        <v>0.54770830000000004</v>
      </c>
      <c r="F2436" t="s">
        <v>42</v>
      </c>
      <c r="G2436">
        <v>-493.00450000000001</v>
      </c>
      <c r="H2436" s="1">
        <v>-2.6548189999999999E-6</v>
      </c>
      <c r="I2436">
        <v>243.91409999999999</v>
      </c>
      <c r="J2436">
        <v>-491.17579999999998</v>
      </c>
      <c r="K2436">
        <v>1.1132280000000001</v>
      </c>
      <c r="L2436">
        <v>261.04450000000003</v>
      </c>
      <c r="M2436">
        <v>-0.23024349999999999</v>
      </c>
      <c r="N2436">
        <v>-6.0223589999999997E-3</v>
      </c>
      <c r="O2436">
        <v>-0.97311440000000005</v>
      </c>
      <c r="P2436">
        <v>2.4278230000000001E-2</v>
      </c>
      <c r="Q2436">
        <v>5.3652159999999997E-2</v>
      </c>
      <c r="R2436">
        <v>-0.99826459999999995</v>
      </c>
      <c r="S2436">
        <v>-0.3252563</v>
      </c>
      <c r="T2436">
        <v>-0.19483490000000001</v>
      </c>
      <c r="U2436">
        <v>-3.022888</v>
      </c>
      <c r="V2436">
        <v>-0.25408799999999998</v>
      </c>
      <c r="W2436">
        <v>5.6788699999999998E-2</v>
      </c>
      <c r="X2436">
        <v>0.9655125</v>
      </c>
      <c r="Y2436">
        <v>-0.1249605</v>
      </c>
      <c r="Z2436">
        <v>5.5376050000000003E-2</v>
      </c>
      <c r="AA2436">
        <v>0.99061509999999997</v>
      </c>
      <c r="AB2436">
        <v>24</v>
      </c>
      <c r="AC2436">
        <v>-1.82870000000002</v>
      </c>
      <c r="AD2436">
        <v>-1.1132306548190001</v>
      </c>
      <c r="AE2436">
        <v>-17.130400000000002</v>
      </c>
      <c r="AF2436">
        <v>-2.1556671285720101</v>
      </c>
      <c r="AG2436">
        <v>-1.1132306548190001</v>
      </c>
      <c r="AH2436">
        <v>17.020126914685601</v>
      </c>
      <c r="AI2436">
        <v>93.712623467839407</v>
      </c>
      <c r="AJ2436">
        <v>97.218306452441695</v>
      </c>
      <c r="AK2436">
        <v>17.192175646265401</v>
      </c>
      <c r="AL2436">
        <v>86.744495845545799</v>
      </c>
      <c r="AM2436">
        <v>104.743882685111</v>
      </c>
      <c r="AN2436">
        <v>1.00000002792396</v>
      </c>
    </row>
    <row r="2437" spans="1:40" x14ac:dyDescent="0.25">
      <c r="A2437" t="str">
        <f>"20190305135838383"</f>
        <v>20190305135838383</v>
      </c>
      <c r="B2437" t="str">
        <f>"1551765518370928"</f>
        <v>1551765518370928</v>
      </c>
      <c r="C2437" t="s">
        <v>40</v>
      </c>
      <c r="D2437">
        <v>4.3502960000000002</v>
      </c>
      <c r="E2437">
        <v>0.54807430000000001</v>
      </c>
      <c r="F2437" t="s">
        <v>42</v>
      </c>
      <c r="G2437">
        <v>-492.99770000000001</v>
      </c>
      <c r="H2437" s="1">
        <v>-2.6285520000000001E-6</v>
      </c>
      <c r="I2437">
        <v>243.857</v>
      </c>
      <c r="J2437">
        <v>-491.21510000000001</v>
      </c>
      <c r="K2437">
        <v>1.113202</v>
      </c>
      <c r="L2437">
        <v>260.85320000000002</v>
      </c>
      <c r="M2437">
        <v>-0.22478400000000001</v>
      </c>
      <c r="N2437">
        <v>-5.8136759999999899E-3</v>
      </c>
      <c r="O2437">
        <v>-0.97439129999999996</v>
      </c>
      <c r="P2437">
        <v>2.6872420000000001E-2</v>
      </c>
      <c r="Q2437">
        <v>5.1831849999999999E-2</v>
      </c>
      <c r="R2437">
        <v>-0.99829449999999997</v>
      </c>
      <c r="S2437">
        <v>-0.32049559999999999</v>
      </c>
      <c r="T2437">
        <v>-0.19583239999999999</v>
      </c>
      <c r="U2437">
        <v>-3.0234990000000002</v>
      </c>
      <c r="V2437">
        <v>-0.25118550000000001</v>
      </c>
      <c r="W2437">
        <v>5.478624E-2</v>
      </c>
      <c r="X2437">
        <v>0.96638729999999995</v>
      </c>
      <c r="Y2437">
        <v>-0.1209654</v>
      </c>
      <c r="Z2437">
        <v>5.6022790000000003E-2</v>
      </c>
      <c r="AA2437">
        <v>0.99107460000000003</v>
      </c>
      <c r="AB2437">
        <v>24</v>
      </c>
      <c r="AC2437">
        <v>-1.7826</v>
      </c>
      <c r="AD2437">
        <v>-1.1132046285519901</v>
      </c>
      <c r="AE2437">
        <v>-16.996200000000002</v>
      </c>
      <c r="AF2437">
        <v>-2.07475541375238</v>
      </c>
      <c r="AG2437">
        <v>-1.1132046285519901</v>
      </c>
      <c r="AH2437">
        <v>16.890266551924501</v>
      </c>
      <c r="AI2437">
        <v>93.742749167901195</v>
      </c>
      <c r="AJ2437">
        <v>97.002979082734896</v>
      </c>
      <c r="AK2437">
        <v>17.053590201684301</v>
      </c>
      <c r="AL2437">
        <v>86.859407395023297</v>
      </c>
      <c r="AM2437">
        <v>104.57004003569701</v>
      </c>
      <c r="AN2437">
        <v>1.00000005055243</v>
      </c>
    </row>
    <row r="2438" spans="1:40" x14ac:dyDescent="0.25">
      <c r="A2438" t="str">
        <f>"20190305135838395"</f>
        <v>20190305135838395</v>
      </c>
      <c r="B2438" t="str">
        <f>"1551765518391425"</f>
        <v>1551765518391425</v>
      </c>
      <c r="C2438" t="s">
        <v>40</v>
      </c>
      <c r="D2438">
        <v>4.3499790000000003</v>
      </c>
      <c r="E2438">
        <v>0.54854069999999899</v>
      </c>
      <c r="F2438" t="s">
        <v>42</v>
      </c>
      <c r="G2438">
        <v>-492.97059999999999</v>
      </c>
      <c r="H2438" s="1">
        <v>-2.705917E-6</v>
      </c>
      <c r="I2438">
        <v>244.05420000000001</v>
      </c>
      <c r="J2438">
        <v>-491.24239999999998</v>
      </c>
      <c r="K2438">
        <v>1.1131879999999901</v>
      </c>
      <c r="L2438">
        <v>260.7174</v>
      </c>
      <c r="M2438">
        <v>-0.22091350000000001</v>
      </c>
      <c r="N2438">
        <v>-5.6628850000000003E-3</v>
      </c>
      <c r="O2438">
        <v>-0.97527710000000001</v>
      </c>
      <c r="P2438">
        <v>2.9346790000000001E-2</v>
      </c>
      <c r="Q2438">
        <v>5.0531270000000003E-2</v>
      </c>
      <c r="R2438">
        <v>-0.99829129999999999</v>
      </c>
      <c r="S2438">
        <v>-0.3160095</v>
      </c>
      <c r="T2438">
        <v>-0.20039419999999999</v>
      </c>
      <c r="U2438">
        <v>-3.0240779999999998</v>
      </c>
      <c r="V2438">
        <v>-0.24974489999999999</v>
      </c>
      <c r="W2438">
        <v>5.3344969999999999E-2</v>
      </c>
      <c r="X2438">
        <v>0.96684119999999996</v>
      </c>
      <c r="Y2438">
        <v>-0.11850819999999999</v>
      </c>
      <c r="Z2438">
        <v>5.7691859999999998E-2</v>
      </c>
      <c r="AA2438">
        <v>0.99127569999999998</v>
      </c>
      <c r="AB2438">
        <v>24</v>
      </c>
      <c r="AC2438">
        <v>-1.72820000000001</v>
      </c>
      <c r="AD2438">
        <v>-1.1131907059170001</v>
      </c>
      <c r="AE2438">
        <v>-16.6631999999999</v>
      </c>
      <c r="AF2438">
        <v>-1.9869105636523201</v>
      </c>
      <c r="AG2438">
        <v>-1.1131907059170001</v>
      </c>
      <c r="AH2438">
        <v>16.560163873304599</v>
      </c>
      <c r="AI2438">
        <v>93.818390086070096</v>
      </c>
      <c r="AJ2438">
        <v>96.841719146308904</v>
      </c>
      <c r="AK2438">
        <v>16.716041237278599</v>
      </c>
      <c r="AL2438">
        <v>86.942107052803493</v>
      </c>
      <c r="AM2438">
        <v>104.483488602091</v>
      </c>
      <c r="AN2438">
        <v>1.00000005345887</v>
      </c>
    </row>
    <row r="2439" spans="1:40" x14ac:dyDescent="0.25">
      <c r="A2439" t="str">
        <f>"20190305135838417"</f>
        <v>20190305135838417</v>
      </c>
      <c r="B2439" t="str">
        <f>"1551765518410945"</f>
        <v>1551765518410945</v>
      </c>
      <c r="C2439" t="s">
        <v>40</v>
      </c>
      <c r="D2439">
        <v>4.3324509999999998</v>
      </c>
      <c r="E2439">
        <v>0.54915269999999905</v>
      </c>
      <c r="F2439" t="s">
        <v>42</v>
      </c>
      <c r="G2439">
        <v>-492.95249999999999</v>
      </c>
      <c r="H2439" s="1">
        <v>-2.7413980000000001E-6</v>
      </c>
      <c r="I2439">
        <v>244.1482</v>
      </c>
      <c r="J2439">
        <v>-491.28710000000001</v>
      </c>
      <c r="K2439">
        <v>1.113162</v>
      </c>
      <c r="L2439">
        <v>260.48820000000001</v>
      </c>
      <c r="M2439">
        <v>-0.21441080000000001</v>
      </c>
      <c r="N2439">
        <v>-5.4162869999999997E-3</v>
      </c>
      <c r="O2439">
        <v>-0.97672870000000001</v>
      </c>
      <c r="P2439">
        <v>3.3203429999999999E-2</v>
      </c>
      <c r="Q2439">
        <v>4.7992930000000003E-2</v>
      </c>
      <c r="R2439">
        <v>-0.99829570000000001</v>
      </c>
      <c r="S2439">
        <v>-0.31216430000000001</v>
      </c>
      <c r="T2439">
        <v>-0.20320559999999999</v>
      </c>
      <c r="U2439">
        <v>-3.024597</v>
      </c>
      <c r="V2439">
        <v>-0.24703820000000001</v>
      </c>
      <c r="W2439">
        <v>5.0579239999999998E-2</v>
      </c>
      <c r="X2439">
        <v>0.96768480000000001</v>
      </c>
      <c r="Y2439">
        <v>-0.1131645</v>
      </c>
      <c r="Z2439">
        <v>5.897525E-2</v>
      </c>
      <c r="AA2439">
        <v>0.99182440000000005</v>
      </c>
      <c r="AB2439">
        <v>24</v>
      </c>
      <c r="AC2439">
        <v>-1.66539999999997</v>
      </c>
      <c r="AD2439">
        <v>-1.1131647413979999</v>
      </c>
      <c r="AE2439">
        <v>-16.34</v>
      </c>
      <c r="AF2439">
        <v>-1.8682741827239799</v>
      </c>
      <c r="AG2439">
        <v>-1.1131647413979999</v>
      </c>
      <c r="AH2439">
        <v>16.2424569727864</v>
      </c>
      <c r="AI2439">
        <v>93.894991218183193</v>
      </c>
      <c r="AJ2439">
        <v>96.561559855295698</v>
      </c>
      <c r="AK2439">
        <v>16.387403475723101</v>
      </c>
      <c r="AL2439">
        <v>87.100785968540293</v>
      </c>
      <c r="AM2439">
        <v>104.321037968204</v>
      </c>
      <c r="AN2439">
        <v>1.00000000196462</v>
      </c>
    </row>
    <row r="2440" spans="1:40" x14ac:dyDescent="0.25">
      <c r="A2440" t="str">
        <f>"20190305135838430"</f>
        <v>20190305135838430</v>
      </c>
      <c r="B2440" t="str">
        <f>"1551765518420705"</f>
        <v>1551765518420705</v>
      </c>
      <c r="C2440" t="s">
        <v>40</v>
      </c>
      <c r="D2440">
        <v>4.3277989999999997</v>
      </c>
      <c r="E2440">
        <v>0.54943619999999904</v>
      </c>
      <c r="F2440" t="s">
        <v>42</v>
      </c>
      <c r="G2440">
        <v>-492.90050000000002</v>
      </c>
      <c r="H2440" s="1">
        <v>-2.8837859999999999E-6</v>
      </c>
      <c r="I2440">
        <v>244.51230000000001</v>
      </c>
      <c r="J2440">
        <v>-491.31420000000003</v>
      </c>
      <c r="K2440">
        <v>1.113157</v>
      </c>
      <c r="L2440">
        <v>260.34449999999998</v>
      </c>
      <c r="M2440">
        <v>-0.21035280000000001</v>
      </c>
      <c r="N2440">
        <v>-5.272166E-3</v>
      </c>
      <c r="O2440">
        <v>-0.97761149999999997</v>
      </c>
      <c r="P2440">
        <v>3.6188039999999998E-2</v>
      </c>
      <c r="Q2440">
        <v>4.701263E-2</v>
      </c>
      <c r="R2440">
        <v>-0.99823870000000003</v>
      </c>
      <c r="S2440">
        <v>-0.30554199999999998</v>
      </c>
      <c r="T2440">
        <v>-0.21080840000000001</v>
      </c>
      <c r="U2440">
        <v>-3.0254819999999998</v>
      </c>
      <c r="V2440">
        <v>-0.24591350000000001</v>
      </c>
      <c r="W2440">
        <v>4.9458179999999997E-2</v>
      </c>
      <c r="X2440">
        <v>0.96802909999999998</v>
      </c>
      <c r="Y2440">
        <v>-0.1112325</v>
      </c>
      <c r="Z2440">
        <v>6.1597880000000001E-2</v>
      </c>
      <c r="AA2440">
        <v>0.99188359999999998</v>
      </c>
      <c r="AB2440">
        <v>24</v>
      </c>
      <c r="AC2440">
        <v>-1.5862999999999901</v>
      </c>
      <c r="AD2440">
        <v>-1.1131598837859999</v>
      </c>
      <c r="AE2440">
        <v>-15.832199999999901</v>
      </c>
      <c r="AF2440">
        <v>-1.7709194190037501</v>
      </c>
      <c r="AG2440">
        <v>-1.1131598837859999</v>
      </c>
      <c r="AH2440">
        <v>15.7346298077718</v>
      </c>
      <c r="AI2440">
        <v>94.021390982331297</v>
      </c>
      <c r="AJ2440">
        <v>96.421568356950402</v>
      </c>
      <c r="AK2440">
        <v>15.873054391108701</v>
      </c>
      <c r="AL2440">
        <v>87.165098331441897</v>
      </c>
      <c r="AM2440">
        <v>104.25363784120501</v>
      </c>
      <c r="AN2440">
        <v>0.99999994974898498</v>
      </c>
    </row>
    <row r="2441" spans="1:40" x14ac:dyDescent="0.25">
      <c r="A2441" t="str">
        <f>"20190305135838447"</f>
        <v>20190305135838447</v>
      </c>
      <c r="B2441" t="str">
        <f>"1551765518441200"</f>
        <v>1551765518441200</v>
      </c>
      <c r="C2441" t="s">
        <v>40</v>
      </c>
      <c r="D2441">
        <v>4.2316560000000001</v>
      </c>
      <c r="E2441">
        <v>0.55002289999999998</v>
      </c>
      <c r="F2441" t="s">
        <v>42</v>
      </c>
      <c r="G2441">
        <v>-492.86939999999998</v>
      </c>
      <c r="H2441" s="1">
        <v>-2.913811E-6</v>
      </c>
      <c r="I2441">
        <v>244.60159999999999</v>
      </c>
      <c r="J2441">
        <v>-491.34679999999997</v>
      </c>
      <c r="K2441">
        <v>1.113156</v>
      </c>
      <c r="L2441">
        <v>260.16849999999999</v>
      </c>
      <c r="M2441">
        <v>-0.20539769999999999</v>
      </c>
      <c r="N2441">
        <v>-5.1047080000000003E-3</v>
      </c>
      <c r="O2441">
        <v>-0.97866520000000001</v>
      </c>
      <c r="P2441">
        <v>3.9995360000000001E-2</v>
      </c>
      <c r="Q2441">
        <v>4.5935780000000002E-2</v>
      </c>
      <c r="R2441">
        <v>-0.99814309999999995</v>
      </c>
      <c r="S2441">
        <v>-0.2989502</v>
      </c>
      <c r="T2441">
        <v>-0.21397910000000001</v>
      </c>
      <c r="U2441">
        <v>-3.0262150000000001</v>
      </c>
      <c r="V2441">
        <v>-0.24470130000000001</v>
      </c>
      <c r="W2441">
        <v>4.8217019999999999E-2</v>
      </c>
      <c r="X2441">
        <v>0.96839889999999995</v>
      </c>
      <c r="Y2441">
        <v>-0.1083694</v>
      </c>
      <c r="Z2441">
        <v>6.2873460000000006E-2</v>
      </c>
      <c r="AA2441">
        <v>0.99212040000000001</v>
      </c>
      <c r="AB2441">
        <v>25</v>
      </c>
      <c r="AC2441">
        <v>-1.5226000000000099</v>
      </c>
      <c r="AD2441">
        <v>-1.1131589138110001</v>
      </c>
      <c r="AE2441">
        <v>-15.5669</v>
      </c>
      <c r="AF2441">
        <v>-1.69870832855134</v>
      </c>
      <c r="AG2441">
        <v>-1.1131589138110001</v>
      </c>
      <c r="AH2441">
        <v>15.469374026606101</v>
      </c>
      <c r="AI2441">
        <v>94.091336716284303</v>
      </c>
      <c r="AJ2441">
        <v>96.266602114717898</v>
      </c>
      <c r="AK2441">
        <v>15.602123750564299</v>
      </c>
      <c r="AL2441">
        <v>87.236296717652394</v>
      </c>
      <c r="AM2441">
        <v>104.181020742573</v>
      </c>
      <c r="AN2441">
        <v>1.00000001838029</v>
      </c>
    </row>
    <row r="2442" spans="1:40" x14ac:dyDescent="0.25">
      <c r="A2442" t="str">
        <f>"20190305135838463"</f>
        <v>20190305135838463</v>
      </c>
      <c r="B2442" t="str">
        <f>"1551765518450961"</f>
        <v>1551765518450961</v>
      </c>
      <c r="C2442" t="s">
        <v>40</v>
      </c>
      <c r="D2442">
        <v>4.3172509999999997</v>
      </c>
      <c r="E2442">
        <v>0.55033489999999996</v>
      </c>
      <c r="F2442" t="s">
        <v>42</v>
      </c>
      <c r="G2442">
        <v>-492.85239999999999</v>
      </c>
      <c r="H2442" s="1">
        <v>-2.9084010000000002E-6</v>
      </c>
      <c r="I2442">
        <v>244.59950000000001</v>
      </c>
      <c r="J2442">
        <v>-491.37849999999997</v>
      </c>
      <c r="K2442">
        <v>1.1131489999999999</v>
      </c>
      <c r="L2442">
        <v>259.99239999999998</v>
      </c>
      <c r="M2442">
        <v>-0.2004618</v>
      </c>
      <c r="N2442">
        <v>-4.948778E-3</v>
      </c>
      <c r="O2442">
        <v>-0.97968909999999998</v>
      </c>
      <c r="P2442">
        <v>4.3424160000000003E-2</v>
      </c>
      <c r="Q2442">
        <v>4.4087460000000002E-2</v>
      </c>
      <c r="R2442">
        <v>-0.99808379999999997</v>
      </c>
      <c r="S2442">
        <v>-0.29275509999999999</v>
      </c>
      <c r="T2442">
        <v>-0.2164488</v>
      </c>
      <c r="U2442">
        <v>-3.0273129999999999</v>
      </c>
      <c r="V2442">
        <v>-0.2431442</v>
      </c>
      <c r="W2442">
        <v>4.622035E-2</v>
      </c>
      <c r="X2442">
        <v>0.96888830000000004</v>
      </c>
      <c r="Y2442">
        <v>-0.1054113</v>
      </c>
      <c r="Z2442">
        <v>6.3907229999999995E-2</v>
      </c>
      <c r="AA2442">
        <v>0.99237310000000001</v>
      </c>
      <c r="AB2442">
        <v>25</v>
      </c>
      <c r="AC2442">
        <v>-1.47390000000001</v>
      </c>
      <c r="AD2442">
        <v>-1.113151908401</v>
      </c>
      <c r="AE2442">
        <v>-15.3928999999999</v>
      </c>
      <c r="AF2442">
        <v>-1.6332808559979</v>
      </c>
      <c r="AG2442">
        <v>-1.113151908401</v>
      </c>
      <c r="AH2442">
        <v>15.2966356479648</v>
      </c>
      <c r="AI2442">
        <v>94.138693503553696</v>
      </c>
      <c r="AJ2442">
        <v>96.094600802675899</v>
      </c>
      <c r="AK2442">
        <v>15.423805486076899</v>
      </c>
      <c r="AL2442">
        <v>87.350825145770202</v>
      </c>
      <c r="AM2442">
        <v>104.087554697111</v>
      </c>
      <c r="AN2442">
        <v>0.99999998031232595</v>
      </c>
    </row>
    <row r="2443" spans="1:40" x14ac:dyDescent="0.25">
      <c r="A2443" t="str">
        <f>"20190305135838484"</f>
        <v>20190305135838484</v>
      </c>
      <c r="B2443" t="str">
        <f>"1551765518471457"</f>
        <v>1551765518471457</v>
      </c>
      <c r="C2443" t="s">
        <v>40</v>
      </c>
      <c r="D2443">
        <v>4.5935300000000003</v>
      </c>
      <c r="E2443">
        <v>0.50872340000000005</v>
      </c>
      <c r="F2443" t="s">
        <v>42</v>
      </c>
      <c r="G2443">
        <v>-492.79910000000001</v>
      </c>
      <c r="H2443" s="1">
        <v>-3.0210029999999998E-6</v>
      </c>
      <c r="I2443">
        <v>244.89510000000001</v>
      </c>
      <c r="J2443">
        <v>-491.41840000000002</v>
      </c>
      <c r="K2443">
        <v>1.113143</v>
      </c>
      <c r="L2443">
        <v>259.76319999999998</v>
      </c>
      <c r="M2443">
        <v>-0.19407430000000001</v>
      </c>
      <c r="N2443">
        <v>-4.7645099999999996E-3</v>
      </c>
      <c r="O2443">
        <v>-0.98097540000000005</v>
      </c>
      <c r="P2443">
        <v>4.9022719999999999E-2</v>
      </c>
      <c r="Q2443">
        <v>4.1696070000000002E-2</v>
      </c>
      <c r="R2443">
        <v>-0.99792720000000001</v>
      </c>
      <c r="S2443">
        <v>-0.284912099999999</v>
      </c>
      <c r="T2443">
        <v>-0.22326119999999999</v>
      </c>
      <c r="U2443">
        <v>-3.0280149999999999</v>
      </c>
      <c r="V2443">
        <v>-0.24226159999999999</v>
      </c>
      <c r="W2443">
        <v>4.3642309999999997E-2</v>
      </c>
      <c r="X2443">
        <v>0.96922889999999995</v>
      </c>
      <c r="Y2443">
        <v>-0.1015163</v>
      </c>
      <c r="Z2443">
        <v>6.6388989999999995E-2</v>
      </c>
      <c r="AA2443">
        <v>0.99261619999999995</v>
      </c>
      <c r="AB2443">
        <v>25</v>
      </c>
      <c r="AC2443">
        <v>-1.38069999999999</v>
      </c>
      <c r="AD2443">
        <v>-1.113146021003</v>
      </c>
      <c r="AE2443">
        <v>-14.868099999999901</v>
      </c>
      <c r="AF2443">
        <v>-1.52263876931849</v>
      </c>
      <c r="AG2443">
        <v>-1.113146021003</v>
      </c>
      <c r="AH2443">
        <v>14.771276830568601</v>
      </c>
      <c r="AI2443">
        <v>94.2869662914391</v>
      </c>
      <c r="AJ2443">
        <v>95.885322789886999</v>
      </c>
      <c r="AK2443">
        <v>14.891210229232501</v>
      </c>
      <c r="AL2443">
        <v>87.498685371198604</v>
      </c>
      <c r="AM2443">
        <v>104.03370498044499</v>
      </c>
      <c r="AN2443">
        <v>0.99999999732595202</v>
      </c>
    </row>
    <row r="2444" spans="1:40" x14ac:dyDescent="0.25">
      <c r="A2444" t="str">
        <f>"20190305135838497"</f>
        <v>20190305135838497</v>
      </c>
      <c r="B2444" t="str">
        <f>"1551765518490977"</f>
        <v>1551765518490977</v>
      </c>
      <c r="C2444" t="s">
        <v>40</v>
      </c>
      <c r="D2444">
        <v>4.2780959999999997</v>
      </c>
      <c r="E2444">
        <v>0.49184430000000001</v>
      </c>
      <c r="F2444" t="s">
        <v>42</v>
      </c>
      <c r="G2444">
        <v>-491.12939999999998</v>
      </c>
      <c r="H2444" s="1">
        <v>-3.035201E-6</v>
      </c>
      <c r="I2444">
        <v>245.96369999999999</v>
      </c>
      <c r="J2444">
        <v>-491.44369999999998</v>
      </c>
      <c r="K2444">
        <v>1.11314</v>
      </c>
      <c r="L2444">
        <v>259.6146</v>
      </c>
      <c r="M2444">
        <v>-0.18994749999999999</v>
      </c>
      <c r="N2444">
        <v>-4.6536709999999998E-3</v>
      </c>
      <c r="O2444">
        <v>-0.98178330000000003</v>
      </c>
      <c r="P2444">
        <v>5.3218439999999999E-2</v>
      </c>
      <c r="Q2444">
        <v>4.0077660000000001E-2</v>
      </c>
      <c r="R2444">
        <v>-0.99777839999999995</v>
      </c>
      <c r="S2444">
        <v>6.3110349999999996E-2</v>
      </c>
      <c r="T2444">
        <v>-0.24306910000000001</v>
      </c>
      <c r="U2444">
        <v>-3.0132750000000001</v>
      </c>
      <c r="V2444">
        <v>-0.24225659999999999</v>
      </c>
      <c r="W2444">
        <v>4.1905829999999998E-2</v>
      </c>
      <c r="X2444">
        <v>0.96930680000000002</v>
      </c>
      <c r="Y2444">
        <v>-0.21036079999999999</v>
      </c>
      <c r="Z2444">
        <v>7.2652999999999995E-2</v>
      </c>
      <c r="AA2444">
        <v>0.97492049999999997</v>
      </c>
      <c r="AB2444">
        <v>25</v>
      </c>
      <c r="AC2444">
        <v>0.31430000000000202</v>
      </c>
      <c r="AD2444">
        <v>-1.1131430352009899</v>
      </c>
      <c r="AE2444">
        <v>-13.6509</v>
      </c>
      <c r="AF2444">
        <v>-2.8824040429342799</v>
      </c>
      <c r="AG2444">
        <v>-1.1131430352009899</v>
      </c>
      <c r="AH2444">
        <v>13.2545808907173</v>
      </c>
      <c r="AI2444">
        <v>94.691393465025598</v>
      </c>
      <c r="AJ2444">
        <v>102.26879157806199</v>
      </c>
      <c r="AK2444">
        <v>13.609968959263201</v>
      </c>
      <c r="AL2444">
        <v>87.598269545690101</v>
      </c>
      <c r="AM2444">
        <v>104.03234352867899</v>
      </c>
      <c r="AN2444">
        <v>1.00000001567889</v>
      </c>
    </row>
    <row r="2445" spans="1:40" x14ac:dyDescent="0.25">
      <c r="A2445" t="str">
        <f>"20190305135838511"</f>
        <v>20190305135838511</v>
      </c>
      <c r="B2445" t="str">
        <f>"1551765518501713"</f>
        <v>1551765518501713</v>
      </c>
      <c r="C2445" t="s">
        <v>40</v>
      </c>
      <c r="D2445">
        <v>4.3687430000000003</v>
      </c>
      <c r="E2445">
        <v>0.4290737</v>
      </c>
      <c r="F2445" t="s">
        <v>42</v>
      </c>
      <c r="G2445">
        <v>-490.48500000000001</v>
      </c>
      <c r="H2445" s="1">
        <v>-2.8397269999999998E-6</v>
      </c>
      <c r="I2445">
        <v>245.90780000000001</v>
      </c>
      <c r="J2445">
        <v>-491.46820000000002</v>
      </c>
      <c r="K2445">
        <v>1.1131329999999999</v>
      </c>
      <c r="L2445">
        <v>259.46499999999997</v>
      </c>
      <c r="M2445">
        <v>-0.1858235</v>
      </c>
      <c r="N2445">
        <v>-4.5538130000000003E-3</v>
      </c>
      <c r="O2445">
        <v>-0.98257269999999997</v>
      </c>
      <c r="P2445">
        <v>5.7677890000000002E-2</v>
      </c>
      <c r="Q2445">
        <v>3.8454710000000003E-2</v>
      </c>
      <c r="R2445">
        <v>-0.99759439999999999</v>
      </c>
      <c r="S2445">
        <v>0.21020510000000001</v>
      </c>
      <c r="T2445">
        <v>-0.2440649</v>
      </c>
      <c r="U2445">
        <v>-3.0053100000000001</v>
      </c>
      <c r="V2445">
        <v>-0.2425137</v>
      </c>
      <c r="W2445">
        <v>4.017399E-2</v>
      </c>
      <c r="X2445">
        <v>0.96931579999999995</v>
      </c>
      <c r="Y2445">
        <v>-0.25368309999999999</v>
      </c>
      <c r="Z2445">
        <v>7.2839570000000006E-2</v>
      </c>
      <c r="AA2445">
        <v>0.96454099999999998</v>
      </c>
      <c r="AB2445">
        <v>25</v>
      </c>
      <c r="AC2445">
        <v>0.98320000000000995</v>
      </c>
      <c r="AD2445">
        <v>-1.1131358397269999</v>
      </c>
      <c r="AE2445">
        <v>-13.5571999999999</v>
      </c>
      <c r="AF2445">
        <v>-3.4621297633952</v>
      </c>
      <c r="AG2445">
        <v>-1.1131358397269999</v>
      </c>
      <c r="AH2445">
        <v>13.050845804562</v>
      </c>
      <c r="AI2445">
        <v>94.712848226878094</v>
      </c>
      <c r="AJ2445">
        <v>104.85722184876199</v>
      </c>
      <c r="AK2445">
        <v>13.5480622271499</v>
      </c>
      <c r="AL2445">
        <v>87.697580270713701</v>
      </c>
      <c r="AM2445">
        <v>104.046521107137</v>
      </c>
      <c r="AN2445">
        <v>0.99999998214492503</v>
      </c>
    </row>
    <row r="2446" spans="1:40" x14ac:dyDescent="0.25">
      <c r="A2446" t="str">
        <f>"20190305135838530"</f>
        <v>20190305135838530</v>
      </c>
      <c r="B2446" t="str">
        <f>"1551765518521232"</f>
        <v>1551765518521232</v>
      </c>
      <c r="C2446" t="s">
        <v>40</v>
      </c>
      <c r="D2446">
        <v>4.2660220000000004</v>
      </c>
      <c r="E2446">
        <v>0.43132690000000001</v>
      </c>
      <c r="F2446" t="s">
        <v>42</v>
      </c>
      <c r="G2446">
        <v>-487.8768</v>
      </c>
      <c r="H2446" s="1">
        <v>-2.5626229999999998E-6</v>
      </c>
      <c r="I2446">
        <v>244.72839999999999</v>
      </c>
      <c r="J2446">
        <v>-491.5016</v>
      </c>
      <c r="K2446">
        <v>1.1131150000000001</v>
      </c>
      <c r="L2446">
        <v>259.25560000000002</v>
      </c>
      <c r="M2446">
        <v>-0.18008379999999999</v>
      </c>
      <c r="N2446">
        <v>-4.4260979999999998E-3</v>
      </c>
      <c r="O2446">
        <v>-0.9836414</v>
      </c>
      <c r="P2446">
        <v>6.4345399999999997E-2</v>
      </c>
      <c r="Q2446">
        <v>3.5641689999999997E-2</v>
      </c>
      <c r="R2446">
        <v>-0.99729140000000005</v>
      </c>
      <c r="S2446">
        <v>0.72479249999999995</v>
      </c>
      <c r="T2446">
        <v>-0.22464480000000001</v>
      </c>
      <c r="U2446">
        <v>-2.97403</v>
      </c>
      <c r="V2446">
        <v>-0.24332219999999999</v>
      </c>
      <c r="W2446">
        <v>3.7218380000000002E-2</v>
      </c>
      <c r="X2446">
        <v>0.96923119999999996</v>
      </c>
      <c r="Y2446">
        <v>-0.40727679999999999</v>
      </c>
      <c r="Z2446">
        <v>6.4676540000000005E-2</v>
      </c>
      <c r="AA2446">
        <v>0.91101180000000004</v>
      </c>
      <c r="AB2446">
        <v>25</v>
      </c>
      <c r="AC2446">
        <v>3.6247999999999898</v>
      </c>
      <c r="AD2446">
        <v>-1.1131175626230001</v>
      </c>
      <c r="AE2446">
        <v>-14.527200000000001</v>
      </c>
      <c r="AF2446">
        <v>-6.1476985626131002</v>
      </c>
      <c r="AG2446">
        <v>-1.1131175626230001</v>
      </c>
      <c r="AH2446">
        <v>13.561963345079</v>
      </c>
      <c r="AI2446">
        <v>94.275167926240698</v>
      </c>
      <c r="AJ2446">
        <v>114.384999111374</v>
      </c>
      <c r="AK2446">
        <v>14.931847779100901</v>
      </c>
      <c r="AL2446">
        <v>87.867051303951897</v>
      </c>
      <c r="AM2446">
        <v>104.09266806572199</v>
      </c>
      <c r="AN2446">
        <v>1.0000000099380499</v>
      </c>
    </row>
    <row r="2447" spans="1:40" x14ac:dyDescent="0.25">
      <c r="A2447" t="str">
        <f>"20190305135838552"</f>
        <v>20190305135838552</v>
      </c>
      <c r="B2447" t="str">
        <f>"1551765518541550"</f>
        <v>1551765518541550</v>
      </c>
      <c r="C2447" t="s">
        <v>40</v>
      </c>
      <c r="D2447">
        <v>4.177924</v>
      </c>
      <c r="E2447">
        <v>0.4341449</v>
      </c>
      <c r="F2447" t="s">
        <v>42</v>
      </c>
      <c r="G2447">
        <v>-487.87259999999998</v>
      </c>
      <c r="H2447" s="1">
        <v>-2.4363939999999999E-6</v>
      </c>
      <c r="I2447">
        <v>244.4324</v>
      </c>
      <c r="J2447">
        <v>-491.53980000000001</v>
      </c>
      <c r="K2447">
        <v>1.113102</v>
      </c>
      <c r="L2447">
        <v>259.0068</v>
      </c>
      <c r="M2447">
        <v>-0.17333080000000001</v>
      </c>
      <c r="N2447">
        <v>-4.2956380000000001E-3</v>
      </c>
      <c r="O2447">
        <v>-0.98485429999999996</v>
      </c>
      <c r="P2447">
        <v>7.2093560000000001E-2</v>
      </c>
      <c r="Q2447">
        <v>3.3981379999999999E-2</v>
      </c>
      <c r="R2447">
        <v>-0.9968188</v>
      </c>
      <c r="S2447">
        <v>0.72692869999999998</v>
      </c>
      <c r="T2447">
        <v>-0.22296930000000001</v>
      </c>
      <c r="U2447">
        <v>-2.9692379999999998</v>
      </c>
      <c r="V2447">
        <v>-0.24419489999999999</v>
      </c>
      <c r="W2447">
        <v>3.541474E-2</v>
      </c>
      <c r="X2447">
        <v>0.96907929999999998</v>
      </c>
      <c r="Y2447">
        <v>-0.40196850000000001</v>
      </c>
      <c r="Z2447">
        <v>6.462292E-2</v>
      </c>
      <c r="AA2447">
        <v>0.91337029999999997</v>
      </c>
      <c r="AB2447">
        <v>25</v>
      </c>
      <c r="AC2447">
        <v>3.66720000000003</v>
      </c>
      <c r="AD2447">
        <v>-1.1131044363939999</v>
      </c>
      <c r="AE2447">
        <v>-14.574399999999899</v>
      </c>
      <c r="AF2447">
        <v>-6.1044198672885903</v>
      </c>
      <c r="AG2447">
        <v>-1.1131044363939999</v>
      </c>
      <c r="AH2447">
        <v>13.643305627526701</v>
      </c>
      <c r="AI2447">
        <v>94.259046583128494</v>
      </c>
      <c r="AJ2447">
        <v>114.10515898288899</v>
      </c>
      <c r="AK2447">
        <v>14.9880863304349</v>
      </c>
      <c r="AL2447">
        <v>87.970460515222697</v>
      </c>
      <c r="AM2447">
        <v>104.143316124596</v>
      </c>
      <c r="AN2447">
        <v>1.00000002134188</v>
      </c>
    </row>
    <row r="2448" spans="1:40" x14ac:dyDescent="0.25">
      <c r="A2448" t="str">
        <f>"20190305135838564"</f>
        <v>20190305135838564</v>
      </c>
      <c r="B2448" t="str">
        <f>"1551765518551310"</f>
        <v>1551765518551310</v>
      </c>
      <c r="C2448" t="s">
        <v>40</v>
      </c>
      <c r="D2448">
        <v>4.1430230000000003</v>
      </c>
      <c r="E2448">
        <v>0.43562000000000001</v>
      </c>
      <c r="F2448" t="s">
        <v>42</v>
      </c>
      <c r="G2448">
        <v>-487.84690000000001</v>
      </c>
      <c r="H2448" s="1">
        <v>-2.2389409999999999E-6</v>
      </c>
      <c r="I2448">
        <v>243.9615</v>
      </c>
      <c r="J2448">
        <v>-491.56060000000002</v>
      </c>
      <c r="K2448">
        <v>1.1130930000000001</v>
      </c>
      <c r="L2448">
        <v>258.86680000000001</v>
      </c>
      <c r="M2448">
        <v>-0.16956550000000001</v>
      </c>
      <c r="N2448">
        <v>-4.2316910000000001E-3</v>
      </c>
      <c r="O2448">
        <v>-0.98551</v>
      </c>
      <c r="P2448">
        <v>7.6186320000000002E-2</v>
      </c>
      <c r="Q2448">
        <v>3.378722E-2</v>
      </c>
      <c r="R2448">
        <v>-0.99652110000000005</v>
      </c>
      <c r="S2448">
        <v>0.72763059999999902</v>
      </c>
      <c r="T2448">
        <v>-0.2193176</v>
      </c>
      <c r="U2448">
        <v>-2.9644170000000001</v>
      </c>
      <c r="V2448">
        <v>-0.2444693</v>
      </c>
      <c r="W2448">
        <v>3.5154079999999997E-2</v>
      </c>
      <c r="X2448">
        <v>0.96901959999999998</v>
      </c>
      <c r="Y2448">
        <v>-0.39903189999999999</v>
      </c>
      <c r="Z2448">
        <v>6.3789079999999998E-2</v>
      </c>
      <c r="AA2448">
        <v>0.91471550000000001</v>
      </c>
      <c r="AB2448">
        <v>25</v>
      </c>
      <c r="AC2448">
        <v>3.71370000000001</v>
      </c>
      <c r="AD2448">
        <v>-1.113095238941</v>
      </c>
      <c r="AE2448">
        <v>-14.9053</v>
      </c>
      <c r="AF2448">
        <v>-6.1550484741635199</v>
      </c>
      <c r="AG2448">
        <v>-1.113095238941</v>
      </c>
      <c r="AH2448">
        <v>13.986290905308</v>
      </c>
      <c r="AI2448">
        <v>94.166239669489798</v>
      </c>
      <c r="AJ2448">
        <v>113.753202699722</v>
      </c>
      <c r="AK2448">
        <v>15.321225016889301</v>
      </c>
      <c r="AL2448">
        <v>87.985404528717893</v>
      </c>
      <c r="AM2448">
        <v>104.15940726843699</v>
      </c>
      <c r="AN2448">
        <v>1.00000001658364</v>
      </c>
    </row>
    <row r="2449" spans="1:40" x14ac:dyDescent="0.25">
      <c r="A2449" t="str">
        <f>"20190305135838577"</f>
        <v>20190305135838577</v>
      </c>
      <c r="B2449" t="str">
        <f>"1551765518571807"</f>
        <v>1551765518571807</v>
      </c>
      <c r="C2449" t="s">
        <v>40</v>
      </c>
      <c r="D2449">
        <v>4.110201</v>
      </c>
      <c r="E2449">
        <v>0.4381545</v>
      </c>
      <c r="F2449" t="s">
        <v>42</v>
      </c>
      <c r="G2449">
        <v>-487.75330000000002</v>
      </c>
      <c r="H2449" s="1">
        <v>-2.0066049999999999E-6</v>
      </c>
      <c r="I2449">
        <v>243.38120000000001</v>
      </c>
      <c r="J2449">
        <v>-491.58249999999998</v>
      </c>
      <c r="K2449">
        <v>1.1130819999999999</v>
      </c>
      <c r="L2449">
        <v>258.7167</v>
      </c>
      <c r="M2449">
        <v>-0.1655452</v>
      </c>
      <c r="N2449">
        <v>-4.1681319999999997E-3</v>
      </c>
      <c r="O2449">
        <v>-0.98619349999999995</v>
      </c>
      <c r="P2449">
        <v>8.0452289999999996E-2</v>
      </c>
      <c r="Q2449">
        <v>3.3538369999999998E-2</v>
      </c>
      <c r="R2449">
        <v>-0.99619440000000004</v>
      </c>
      <c r="S2449">
        <v>0.72824100000000003</v>
      </c>
      <c r="T2449">
        <v>-0.2129084</v>
      </c>
      <c r="U2449">
        <v>-2.962021</v>
      </c>
      <c r="V2449">
        <v>-0.2446643</v>
      </c>
      <c r="W2449">
        <v>3.4840990000000002E-2</v>
      </c>
      <c r="X2449">
        <v>0.96898169999999995</v>
      </c>
      <c r="Y2449">
        <v>-0.39567170000000002</v>
      </c>
      <c r="Z2449">
        <v>6.2049790000000001E-2</v>
      </c>
      <c r="AA2449">
        <v>0.91629349999999998</v>
      </c>
      <c r="AB2449">
        <v>26</v>
      </c>
      <c r="AC2449">
        <v>3.82919999999995</v>
      </c>
      <c r="AD2449">
        <v>-1.1130840066049901</v>
      </c>
      <c r="AE2449">
        <v>-15.3354999999999</v>
      </c>
      <c r="AF2449">
        <v>-6.2839427550665903</v>
      </c>
      <c r="AG2449">
        <v>-1.1130840066049901</v>
      </c>
      <c r="AH2449">
        <v>14.418487962494099</v>
      </c>
      <c r="AI2449">
        <v>94.048034299799696</v>
      </c>
      <c r="AJ2449">
        <v>113.54879347158</v>
      </c>
      <c r="AK2449">
        <v>15.7676785761031</v>
      </c>
      <c r="AL2449">
        <v>88.003354276157296</v>
      </c>
      <c r="AM2449">
        <v>104.170778606792</v>
      </c>
      <c r="AN2449">
        <v>1.00000002460677</v>
      </c>
    </row>
    <row r="2450" spans="1:40" x14ac:dyDescent="0.25">
      <c r="A2450" t="str">
        <f>"20190305135838597"</f>
        <v>20190305135838597</v>
      </c>
      <c r="B2450" t="str">
        <f>"1551765518591327"</f>
        <v>1551765518591327</v>
      </c>
      <c r="C2450" t="s">
        <v>40</v>
      </c>
      <c r="D2450">
        <v>4.0979409999999996</v>
      </c>
      <c r="E2450">
        <v>0.44034839999999997</v>
      </c>
      <c r="F2450" t="s">
        <v>42</v>
      </c>
      <c r="G2450">
        <v>-487.69760000000002</v>
      </c>
      <c r="H2450" s="1">
        <v>-1.7545370000000001E-6</v>
      </c>
      <c r="I2450">
        <v>242.7706</v>
      </c>
      <c r="J2450">
        <v>-491.61110000000002</v>
      </c>
      <c r="K2450">
        <v>1.1130639999999901</v>
      </c>
      <c r="L2450">
        <v>258.51089999999999</v>
      </c>
      <c r="M2450">
        <v>-0.160107</v>
      </c>
      <c r="N2450">
        <v>-4.0955039999999998E-3</v>
      </c>
      <c r="O2450">
        <v>-0.9870913</v>
      </c>
      <c r="P2450">
        <v>8.6092050000000003E-2</v>
      </c>
      <c r="Q2450">
        <v>3.289015E-2</v>
      </c>
      <c r="R2450">
        <v>-0.99574439999999997</v>
      </c>
      <c r="S2450">
        <v>0.72116089999999999</v>
      </c>
      <c r="T2450">
        <v>-0.20662749999999999</v>
      </c>
      <c r="U2450">
        <v>-2.9601440000000001</v>
      </c>
      <c r="V2450">
        <v>-0.24480569999999999</v>
      </c>
      <c r="W2450">
        <v>3.4122350000000003E-2</v>
      </c>
      <c r="X2450">
        <v>0.96897160000000004</v>
      </c>
      <c r="Y2450">
        <v>-0.38869629999999999</v>
      </c>
      <c r="Z2450">
        <v>6.0433189999999998E-2</v>
      </c>
      <c r="AA2450">
        <v>0.91938189999999997</v>
      </c>
      <c r="AB2450">
        <v>26</v>
      </c>
      <c r="AC2450">
        <v>3.9134999999999902</v>
      </c>
      <c r="AD2450">
        <v>-1.11306575453699</v>
      </c>
      <c r="AE2450">
        <v>-15.7402999999999</v>
      </c>
      <c r="AF2450">
        <v>-6.35324670162335</v>
      </c>
      <c r="AG2450">
        <v>-1.11306575453699</v>
      </c>
      <c r="AH2450">
        <v>14.840766366388101</v>
      </c>
      <c r="AI2450">
        <v>93.944204231736293</v>
      </c>
      <c r="AJ2450">
        <v>113.175488520315</v>
      </c>
      <c r="AK2450">
        <v>16.181810942145098</v>
      </c>
      <c r="AL2450">
        <v>88.044553891344606</v>
      </c>
      <c r="AM2450">
        <v>104.178780029509</v>
      </c>
      <c r="AN2450">
        <v>1.0000000635642801</v>
      </c>
    </row>
    <row r="2451" spans="1:40" x14ac:dyDescent="0.25">
      <c r="A2451" t="str">
        <f>"20190305135838618"</f>
        <v>20190305135838618</v>
      </c>
      <c r="B2451" t="str">
        <f>"1551765518610850"</f>
        <v>1551765518610850</v>
      </c>
      <c r="C2451" t="s">
        <v>40</v>
      </c>
      <c r="D2451">
        <v>4.0938530000000002</v>
      </c>
      <c r="E2451">
        <v>0.44224629999999998</v>
      </c>
      <c r="F2451" t="s">
        <v>42</v>
      </c>
      <c r="G2451">
        <v>-487.63380000000001</v>
      </c>
      <c r="H2451" s="1">
        <v>-1.522643E-6</v>
      </c>
      <c r="I2451">
        <v>242.2037</v>
      </c>
      <c r="J2451">
        <v>-491.64569999999998</v>
      </c>
      <c r="K2451">
        <v>1.1130359999999999</v>
      </c>
      <c r="L2451">
        <v>258.25439999999998</v>
      </c>
      <c r="M2451">
        <v>-0.15341969999999999</v>
      </c>
      <c r="N2451">
        <v>-4.0268170000000002E-3</v>
      </c>
      <c r="O2451">
        <v>-0.98815319999999995</v>
      </c>
      <c r="P2451">
        <v>9.3695920000000002E-2</v>
      </c>
      <c r="Q2451">
        <v>3.1029290000000001E-2</v>
      </c>
      <c r="R2451">
        <v>-0.99511740000000004</v>
      </c>
      <c r="S2451">
        <v>0.72125240000000002</v>
      </c>
      <c r="T2451">
        <v>-0.20184460000000001</v>
      </c>
      <c r="U2451">
        <v>-2.9571689999999999</v>
      </c>
      <c r="V2451">
        <v>-0.2456332</v>
      </c>
      <c r="W2451">
        <v>3.2192690000000003E-2</v>
      </c>
      <c r="X2451">
        <v>0.96882809999999997</v>
      </c>
      <c r="Y2451">
        <v>-0.38271230000000001</v>
      </c>
      <c r="Z2451">
        <v>5.9270410000000003E-2</v>
      </c>
      <c r="AA2451">
        <v>0.92196429999999996</v>
      </c>
      <c r="AB2451">
        <v>26</v>
      </c>
      <c r="AC2451">
        <v>4.0118999999999598</v>
      </c>
      <c r="AD2451">
        <v>-1.113037522643</v>
      </c>
      <c r="AE2451">
        <v>-16.0506999999999</v>
      </c>
      <c r="AF2451">
        <v>-6.3979586595457896</v>
      </c>
      <c r="AG2451">
        <v>-1.113037522643</v>
      </c>
      <c r="AH2451">
        <v>15.1764769351369</v>
      </c>
      <c r="AI2451">
        <v>93.866163849560806</v>
      </c>
      <c r="AJ2451">
        <v>112.858864806721</v>
      </c>
      <c r="AK2451">
        <v>16.5075188837939</v>
      </c>
      <c r="AL2451">
        <v>88.155175916380998</v>
      </c>
      <c r="AM2451">
        <v>104.226786768165</v>
      </c>
      <c r="AN2451">
        <v>0.99999996279064196</v>
      </c>
    </row>
    <row r="2452" spans="1:40" x14ac:dyDescent="0.25">
      <c r="A2452" t="str">
        <f>"20190305135838645"</f>
        <v>20190305135838645</v>
      </c>
      <c r="B2452" t="str">
        <f>"1551765518631342"</f>
        <v>1551765518631342</v>
      </c>
      <c r="C2452" t="s">
        <v>40</v>
      </c>
      <c r="D2452">
        <v>4.0799110000000001</v>
      </c>
      <c r="E2452">
        <v>0.44369330000000001</v>
      </c>
      <c r="F2452" t="s">
        <v>42</v>
      </c>
      <c r="G2452">
        <v>-487.5564</v>
      </c>
      <c r="H2452" s="1">
        <v>-1.341017E-6</v>
      </c>
      <c r="I2452">
        <v>241.6781</v>
      </c>
      <c r="J2452">
        <v>-491.68369999999999</v>
      </c>
      <c r="K2452">
        <v>1.113</v>
      </c>
      <c r="L2452">
        <v>257.95499999999998</v>
      </c>
      <c r="M2452">
        <v>-0.145782299999999</v>
      </c>
      <c r="N2452">
        <v>-3.9808899999999999E-3</v>
      </c>
      <c r="O2452">
        <v>-0.98930870000000004</v>
      </c>
      <c r="P2452">
        <v>0.1019354</v>
      </c>
      <c r="Q2452">
        <v>2.876457E-2</v>
      </c>
      <c r="R2452">
        <v>-0.99437509999999996</v>
      </c>
      <c r="S2452">
        <v>0.72833249999999905</v>
      </c>
      <c r="T2452">
        <v>-0.19824020000000001</v>
      </c>
      <c r="U2452">
        <v>-2.9523619999999999</v>
      </c>
      <c r="V2452">
        <v>-0.24615699999999999</v>
      </c>
      <c r="W2452">
        <v>2.989259E-2</v>
      </c>
      <c r="X2452">
        <v>0.96876890000000004</v>
      </c>
      <c r="Y2452">
        <v>-0.37801899999999999</v>
      </c>
      <c r="Z2452">
        <v>5.8452829999999997E-2</v>
      </c>
      <c r="AA2452">
        <v>0.92395070000000001</v>
      </c>
      <c r="AB2452">
        <v>26</v>
      </c>
      <c r="AC2452">
        <v>4.1272999999999902</v>
      </c>
      <c r="AD2452">
        <v>-1.1130013410170001</v>
      </c>
      <c r="AE2452">
        <v>-16.276899999999898</v>
      </c>
      <c r="AF2452">
        <v>-6.4278695792322704</v>
      </c>
      <c r="AG2452">
        <v>-1.1130013410170001</v>
      </c>
      <c r="AH2452">
        <v>15.4335109151863</v>
      </c>
      <c r="AI2452">
        <v>93.808716880656505</v>
      </c>
      <c r="AJ2452">
        <v>112.61113391917701</v>
      </c>
      <c r="AK2452">
        <v>16.7555823080518</v>
      </c>
      <c r="AL2452">
        <v>88.287025594846497</v>
      </c>
      <c r="AM2452">
        <v>104.256724838404</v>
      </c>
      <c r="AN2452">
        <v>1.0000000085965499</v>
      </c>
    </row>
    <row r="2453" spans="1:40" x14ac:dyDescent="0.25">
      <c r="A2453" t="str">
        <f>"20190305135838663"</f>
        <v>20190305135838663</v>
      </c>
      <c r="B2453" t="str">
        <f>"1551765518650862"</f>
        <v>1551765518650862</v>
      </c>
      <c r="C2453" t="s">
        <v>40</v>
      </c>
      <c r="D2453">
        <v>4.1991160000000001</v>
      </c>
      <c r="E2453">
        <v>0.46779759999999998</v>
      </c>
      <c r="F2453" t="s">
        <v>42</v>
      </c>
      <c r="G2453">
        <v>-487.51369999999997</v>
      </c>
      <c r="H2453" s="1">
        <v>-1.2510110000000001E-6</v>
      </c>
      <c r="I2453">
        <v>241.38030000000001</v>
      </c>
      <c r="J2453">
        <v>-491.71039999999999</v>
      </c>
      <c r="K2453">
        <v>1.1129739999999999</v>
      </c>
      <c r="L2453">
        <v>257.73430000000002</v>
      </c>
      <c r="M2453">
        <v>-0.14023339999999901</v>
      </c>
      <c r="N2453">
        <v>-3.9615930000000002E-3</v>
      </c>
      <c r="O2453">
        <v>-0.99011079999999996</v>
      </c>
      <c r="P2453">
        <v>0.107944899999999</v>
      </c>
      <c r="Q2453">
        <v>2.7224780000000001E-2</v>
      </c>
      <c r="R2453">
        <v>-0.99378449999999996</v>
      </c>
      <c r="S2453">
        <v>0.74133300000000002</v>
      </c>
      <c r="T2453">
        <v>-0.19786970000000001</v>
      </c>
      <c r="U2453">
        <v>-2.9466709999999998</v>
      </c>
      <c r="V2453">
        <v>-0.24656910000000001</v>
      </c>
      <c r="W2453">
        <v>2.834066E-2</v>
      </c>
      <c r="X2453">
        <v>0.96871070000000004</v>
      </c>
      <c r="Y2453">
        <v>-0.37708199999999997</v>
      </c>
      <c r="Z2453">
        <v>5.8533839999999997E-2</v>
      </c>
      <c r="AA2453">
        <v>0.92432840000000005</v>
      </c>
      <c r="AB2453">
        <v>26</v>
      </c>
      <c r="AC2453">
        <v>4.1967000000000203</v>
      </c>
      <c r="AD2453">
        <v>-1.11297525101099</v>
      </c>
      <c r="AE2453">
        <v>-16.353999999999999</v>
      </c>
      <c r="AF2453">
        <v>-6.4207236355929798</v>
      </c>
      <c r="AG2453">
        <v>-1.11297525101099</v>
      </c>
      <c r="AH2453">
        <v>15.536361929460799</v>
      </c>
      <c r="AI2453">
        <v>93.787786350354807</v>
      </c>
      <c r="AJ2453">
        <v>112.453875409334</v>
      </c>
      <c r="AK2453">
        <v>16.847639238695301</v>
      </c>
      <c r="AL2453">
        <v>88.3759822906528</v>
      </c>
      <c r="AM2453">
        <v>104.280439972579</v>
      </c>
      <c r="AN2453">
        <v>0.99999996718926698</v>
      </c>
    </row>
    <row r="2454" spans="1:40" x14ac:dyDescent="0.25">
      <c r="A2454" t="str">
        <f>"20190305135838686"</f>
        <v>20190305135838686</v>
      </c>
      <c r="B2454" t="str">
        <f>"1551765518681119"</f>
        <v>1551765518681119</v>
      </c>
      <c r="C2454" t="s">
        <v>40</v>
      </c>
      <c r="D2454">
        <v>4.1361910000000002</v>
      </c>
      <c r="E2454">
        <v>0.45563569999999998</v>
      </c>
      <c r="F2454" t="s">
        <v>42</v>
      </c>
      <c r="G2454">
        <v>-488.92880000000002</v>
      </c>
      <c r="H2454" s="1">
        <v>-1.717621E-6</v>
      </c>
      <c r="I2454">
        <v>243.19370000000001</v>
      </c>
      <c r="J2454">
        <v>-491.7414</v>
      </c>
      <c r="K2454">
        <v>1.112941</v>
      </c>
      <c r="L2454">
        <v>257.46460000000002</v>
      </c>
      <c r="M2454">
        <v>-0.1335904</v>
      </c>
      <c r="N2454">
        <v>-3.954834E-3</v>
      </c>
      <c r="O2454">
        <v>-0.99102889999999999</v>
      </c>
      <c r="P2454">
        <v>0.1150895</v>
      </c>
      <c r="Q2454">
        <v>2.6157349999999999E-2</v>
      </c>
      <c r="R2454">
        <v>-0.99301079999999997</v>
      </c>
      <c r="S2454">
        <v>0.56689449999999997</v>
      </c>
      <c r="T2454">
        <v>-0.22682959999999999</v>
      </c>
      <c r="U2454">
        <v>-2.9634399999999999</v>
      </c>
      <c r="V2454">
        <v>-0.24702950000000001</v>
      </c>
      <c r="W2454">
        <v>2.728011E-2</v>
      </c>
      <c r="X2454">
        <v>0.96862389999999998</v>
      </c>
      <c r="Y2454">
        <v>-0.31691069999999999</v>
      </c>
      <c r="Z2454">
        <v>6.8672330000000004E-2</v>
      </c>
      <c r="AA2454">
        <v>0.94596599999999997</v>
      </c>
      <c r="AB2454">
        <v>26</v>
      </c>
      <c r="AC2454">
        <v>2.81259999999997</v>
      </c>
      <c r="AD2454">
        <v>-1.1129427176210001</v>
      </c>
      <c r="AE2454">
        <v>-14.270899999999999</v>
      </c>
      <c r="AF2454">
        <v>-4.6665386400771496</v>
      </c>
      <c r="AG2454">
        <v>-1.1129427176210001</v>
      </c>
      <c r="AH2454">
        <v>13.6871116805598</v>
      </c>
      <c r="AI2454">
        <v>94.400976038867995</v>
      </c>
      <c r="AJ2454">
        <v>108.82650202306699</v>
      </c>
      <c r="AK2454">
        <v>14.5035254517016</v>
      </c>
      <c r="AL2454">
        <v>88.436770927433102</v>
      </c>
      <c r="AM2454">
        <v>104.307240562297</v>
      </c>
      <c r="AN2454">
        <v>1.0000000189615299</v>
      </c>
    </row>
    <row r="2455" spans="1:40" x14ac:dyDescent="0.25">
      <c r="A2455" t="str">
        <f>"20190305135838709"</f>
        <v>20190305135838709</v>
      </c>
      <c r="B2455" t="str">
        <f>"1551765518701615"</f>
        <v>1551765518701615</v>
      </c>
      <c r="C2455" t="s">
        <v>40</v>
      </c>
      <c r="D2455">
        <v>4.2506729999999999</v>
      </c>
      <c r="E2455">
        <v>0.4558972</v>
      </c>
      <c r="F2455" t="s">
        <v>42</v>
      </c>
      <c r="G2455">
        <v>-487.11799999999999</v>
      </c>
      <c r="H2455" s="1">
        <v>-3.9411880000000002E-6</v>
      </c>
      <c r="I2455">
        <v>237.62809999999999</v>
      </c>
      <c r="J2455">
        <v>-491.76960000000003</v>
      </c>
      <c r="K2455">
        <v>1.1128849999999999</v>
      </c>
      <c r="L2455">
        <v>257.20639999999997</v>
      </c>
      <c r="M2455">
        <v>-0.12739819999999999</v>
      </c>
      <c r="N2455">
        <v>-3.966125E-3</v>
      </c>
      <c r="O2455">
        <v>-0.99184380000000005</v>
      </c>
      <c r="P2455">
        <v>0.1216064</v>
      </c>
      <c r="Q2455">
        <v>2.5158739999999999E-2</v>
      </c>
      <c r="R2455">
        <v>-0.99225960000000002</v>
      </c>
      <c r="S2455">
        <v>0.68661499999999998</v>
      </c>
      <c r="T2455">
        <v>-0.16528180000000001</v>
      </c>
      <c r="U2455">
        <v>-2.9458920000000002</v>
      </c>
      <c r="V2455">
        <v>-0.24732870000000001</v>
      </c>
      <c r="W2455">
        <v>2.632058E-2</v>
      </c>
      <c r="X2455">
        <v>0.96857400000000005</v>
      </c>
      <c r="Y2455">
        <v>-0.34889629999999999</v>
      </c>
      <c r="Z2455">
        <v>4.8844140000000001E-2</v>
      </c>
      <c r="AA2455">
        <v>0.93588760000000004</v>
      </c>
      <c r="AB2455">
        <v>26</v>
      </c>
      <c r="AC2455">
        <v>4.65159999999997</v>
      </c>
      <c r="AD2455">
        <v>-1.1128889411880001</v>
      </c>
      <c r="AE2455">
        <v>-19.578299999999899</v>
      </c>
      <c r="AF2455">
        <v>-7.0862829183837199</v>
      </c>
      <c r="AG2455">
        <v>-1.1128889411880001</v>
      </c>
      <c r="AH2455">
        <v>18.768752810620398</v>
      </c>
      <c r="AI2455">
        <v>93.175094275407702</v>
      </c>
      <c r="AJ2455">
        <v>110.684403944463</v>
      </c>
      <c r="AK2455">
        <v>20.0927850100718</v>
      </c>
      <c r="AL2455">
        <v>88.491767562268905</v>
      </c>
      <c r="AM2455">
        <v>104.324564302414</v>
      </c>
      <c r="AN2455">
        <v>0.99999992612560995</v>
      </c>
    </row>
    <row r="2456" spans="1:40" x14ac:dyDescent="0.25">
      <c r="A2456" t="str">
        <f>"20190305135838732"</f>
        <v>20190305135838732</v>
      </c>
      <c r="B2456" t="str">
        <f>"1551765518721135"</f>
        <v>1551765518721135</v>
      </c>
      <c r="C2456" t="s">
        <v>40</v>
      </c>
      <c r="D2456">
        <v>4.3459719999999997</v>
      </c>
      <c r="E2456">
        <v>0.45609640000000001</v>
      </c>
      <c r="F2456" t="s">
        <v>42</v>
      </c>
      <c r="G2456">
        <v>-487.18340000000001</v>
      </c>
      <c r="H2456" s="1">
        <v>-4.1055010000000001E-6</v>
      </c>
      <c r="I2456">
        <v>238.03819999999999</v>
      </c>
      <c r="J2456">
        <v>-491.79840000000002</v>
      </c>
      <c r="K2456">
        <v>1.1127830000000001</v>
      </c>
      <c r="L2456">
        <v>256.92840000000001</v>
      </c>
      <c r="M2456">
        <v>-0.1209546</v>
      </c>
      <c r="N2456">
        <v>-3.9965479999999999E-3</v>
      </c>
      <c r="O2456">
        <v>-0.99265020000000004</v>
      </c>
      <c r="P2456">
        <v>0.12851460000000001</v>
      </c>
      <c r="Q2456">
        <v>2.2236880000000001E-2</v>
      </c>
      <c r="R2456">
        <v>-0.99145850000000002</v>
      </c>
      <c r="S2456">
        <v>0.70376590000000006</v>
      </c>
      <c r="T2456">
        <v>-0.17077790000000001</v>
      </c>
      <c r="U2456">
        <v>-2.941452</v>
      </c>
      <c r="V2456">
        <v>-0.2477568</v>
      </c>
      <c r="W2456">
        <v>2.3478559999999999E-2</v>
      </c>
      <c r="X2456">
        <v>0.96853769999999995</v>
      </c>
      <c r="Y2456">
        <v>-0.34826879999999999</v>
      </c>
      <c r="Z2456">
        <v>5.0687700000000002E-2</v>
      </c>
      <c r="AA2456">
        <v>0.9360233</v>
      </c>
      <c r="AB2456">
        <v>27</v>
      </c>
      <c r="AC2456">
        <v>4.6150000000000002</v>
      </c>
      <c r="AD2456">
        <v>-1.1127871055009999</v>
      </c>
      <c r="AE2456">
        <v>-18.8902</v>
      </c>
      <c r="AF2456">
        <v>-6.8435798951264397</v>
      </c>
      <c r="AG2456">
        <v>-1.1127871055009999</v>
      </c>
      <c r="AH2456">
        <v>18.133913457352101</v>
      </c>
      <c r="AI2456">
        <v>93.285889833741606</v>
      </c>
      <c r="AJ2456">
        <v>110.676066727601</v>
      </c>
      <c r="AK2456">
        <v>19.414213818794799</v>
      </c>
      <c r="AL2456">
        <v>88.654653948663196</v>
      </c>
      <c r="AM2456">
        <v>104.348851311757</v>
      </c>
      <c r="AN2456">
        <v>0.99999997552360098</v>
      </c>
    </row>
    <row r="2457" spans="1:40" x14ac:dyDescent="0.25">
      <c r="A2457" t="str">
        <f>"20190305135838754"</f>
        <v>20190305135838754</v>
      </c>
      <c r="B2457" t="str">
        <f>"1551765518741165"</f>
        <v>1551765518741165</v>
      </c>
      <c r="C2457" t="s">
        <v>40</v>
      </c>
      <c r="D2457">
        <v>4.2619769999999999</v>
      </c>
      <c r="E2457">
        <v>0.45639800000000003</v>
      </c>
      <c r="F2457" t="s">
        <v>42</v>
      </c>
      <c r="G2457">
        <v>-487.35550000000001</v>
      </c>
      <c r="H2457" s="1">
        <v>-4.4270979999999999E-6</v>
      </c>
      <c r="I2457">
        <v>238.85900000000001</v>
      </c>
      <c r="J2457">
        <v>-491.82389999999998</v>
      </c>
      <c r="K2457">
        <v>1.112668</v>
      </c>
      <c r="L2457">
        <v>256.6687</v>
      </c>
      <c r="M2457">
        <v>-0.11519</v>
      </c>
      <c r="N2457">
        <v>-4.0404100000000004E-3</v>
      </c>
      <c r="O2457">
        <v>-0.99333530000000003</v>
      </c>
      <c r="P2457">
        <v>0.13448470000000001</v>
      </c>
      <c r="Q2457">
        <v>1.7977259999999998E-2</v>
      </c>
      <c r="R2457">
        <v>-0.99075270000000004</v>
      </c>
      <c r="S2457">
        <v>0.72198490000000004</v>
      </c>
      <c r="T2457">
        <v>-0.18082989999999999</v>
      </c>
      <c r="U2457">
        <v>-2.9363100000000002</v>
      </c>
      <c r="V2457">
        <v>-0.24792800000000001</v>
      </c>
      <c r="W2457">
        <v>1.9333409999999999E-2</v>
      </c>
      <c r="X2457">
        <v>0.96858560000000005</v>
      </c>
      <c r="Y2457">
        <v>-0.34863860000000002</v>
      </c>
      <c r="Z2457">
        <v>5.3970690000000002E-2</v>
      </c>
      <c r="AA2457">
        <v>0.93570200000000003</v>
      </c>
      <c r="AB2457">
        <v>27</v>
      </c>
      <c r="AC2457">
        <v>4.4683999999999697</v>
      </c>
      <c r="AD2457">
        <v>-1.112672427098</v>
      </c>
      <c r="AE2457">
        <v>-17.8096999999999</v>
      </c>
      <c r="AF2457">
        <v>-6.4664264581476303</v>
      </c>
      <c r="AG2457">
        <v>-1.112672427098</v>
      </c>
      <c r="AH2457">
        <v>17.113586229221202</v>
      </c>
      <c r="AI2457">
        <v>93.480440972773906</v>
      </c>
      <c r="AJ2457">
        <v>110.699241503027</v>
      </c>
      <c r="AK2457">
        <v>18.328326292753701</v>
      </c>
      <c r="AL2457">
        <v>88.892208260917798</v>
      </c>
      <c r="AM2457">
        <v>104.357675854891</v>
      </c>
      <c r="AN2457">
        <v>1.0000000692267901</v>
      </c>
    </row>
    <row r="2458" spans="1:40" x14ac:dyDescent="0.25">
      <c r="A2458" t="str">
        <f>"20190305135838769"</f>
        <v>20190305135838769</v>
      </c>
      <c r="B2458" t="str">
        <f>"1551765518761658"</f>
        <v>1551765518761658</v>
      </c>
      <c r="C2458" t="s">
        <v>40</v>
      </c>
      <c r="D2458">
        <v>3.9368159999999999</v>
      </c>
      <c r="E2458">
        <v>0.45824920000000002</v>
      </c>
      <c r="F2458" t="s">
        <v>42</v>
      </c>
      <c r="G2458">
        <v>-487.56380000000001</v>
      </c>
      <c r="H2458" s="1">
        <v>-6.7077960000000001E-7</v>
      </c>
      <c r="I2458">
        <v>239.71440000000001</v>
      </c>
      <c r="J2458">
        <v>-491.83980000000003</v>
      </c>
      <c r="K2458">
        <v>1.112571</v>
      </c>
      <c r="L2458">
        <v>256.50020000000001</v>
      </c>
      <c r="M2458">
        <v>-0.11161889999999899</v>
      </c>
      <c r="N2458">
        <v>-4.0733779999999999E-3</v>
      </c>
      <c r="O2458">
        <v>-0.99374289999999998</v>
      </c>
      <c r="P2458">
        <v>0.13834089999999999</v>
      </c>
      <c r="Q2458">
        <v>1.6363610000000001E-2</v>
      </c>
      <c r="R2458">
        <v>-0.99024959999999995</v>
      </c>
      <c r="S2458">
        <v>0.7366028</v>
      </c>
      <c r="T2458">
        <v>-0.19238669999999999</v>
      </c>
      <c r="U2458">
        <v>-2.9315030000000002</v>
      </c>
      <c r="V2458">
        <v>-0.24820010000000001</v>
      </c>
      <c r="W2458">
        <v>1.7810659999999999E-2</v>
      </c>
      <c r="X2458">
        <v>0.96854499999999999</v>
      </c>
      <c r="Y2458">
        <v>-0.3499642</v>
      </c>
      <c r="Z2458">
        <v>5.7719699999999999E-2</v>
      </c>
      <c r="AA2458">
        <v>0.93498309999999996</v>
      </c>
      <c r="AB2458">
        <v>27</v>
      </c>
      <c r="AC2458">
        <v>4.2760000000000096</v>
      </c>
      <c r="AD2458">
        <v>-1.1125716707796001</v>
      </c>
      <c r="AE2458">
        <v>-16.785799999999899</v>
      </c>
      <c r="AF2458">
        <v>-6.0977513028585797</v>
      </c>
      <c r="AG2458">
        <v>-1.1125716707796001</v>
      </c>
      <c r="AH2458">
        <v>16.137047154754999</v>
      </c>
      <c r="AI2458">
        <v>93.690138653991895</v>
      </c>
      <c r="AJ2458">
        <v>110.700215342466</v>
      </c>
      <c r="AK2458">
        <v>17.286546142851101</v>
      </c>
      <c r="AL2458">
        <v>88.979470353849806</v>
      </c>
      <c r="AM2458">
        <v>104.37335843058</v>
      </c>
      <c r="AN2458">
        <v>0.99999996313732198</v>
      </c>
    </row>
    <row r="2459" spans="1:40" x14ac:dyDescent="0.25">
      <c r="A2459" t="str">
        <f>"20190305135838787"</f>
        <v>20190305135838787</v>
      </c>
      <c r="B2459" t="str">
        <f>"1551765518781178"</f>
        <v>1551765518781178</v>
      </c>
      <c r="C2459" t="s">
        <v>40</v>
      </c>
      <c r="D2459">
        <v>4.0818949999999896</v>
      </c>
      <c r="E2459">
        <v>0.45972659999999999</v>
      </c>
      <c r="F2459" t="s">
        <v>42</v>
      </c>
      <c r="G2459">
        <v>-487.76409999999998</v>
      </c>
      <c r="H2459" s="1">
        <v>-7.9249719999999898E-7</v>
      </c>
      <c r="I2459">
        <v>240.2287</v>
      </c>
      <c r="J2459">
        <v>-491.86</v>
      </c>
      <c r="K2459">
        <v>1.112419</v>
      </c>
      <c r="L2459">
        <v>256.27800000000002</v>
      </c>
      <c r="M2459">
        <v>-0.10709539999999999</v>
      </c>
      <c r="N2459">
        <v>-4.1181519999999999E-3</v>
      </c>
      <c r="O2459">
        <v>-0.99424029999999997</v>
      </c>
      <c r="P2459">
        <v>0.14337030000000001</v>
      </c>
      <c r="Q2459">
        <v>1.4842340000000001E-2</v>
      </c>
      <c r="R2459">
        <v>-0.98955800000000005</v>
      </c>
      <c r="S2459">
        <v>0.73397829999999997</v>
      </c>
      <c r="T2459">
        <v>-0.20036129999999999</v>
      </c>
      <c r="U2459">
        <v>-2.9303129999999999</v>
      </c>
      <c r="V2459">
        <v>-0.24869459999999999</v>
      </c>
      <c r="W2459">
        <v>1.6421359999999999E-2</v>
      </c>
      <c r="X2459">
        <v>0.96844269999999999</v>
      </c>
      <c r="Y2459">
        <v>-0.34495910000000002</v>
      </c>
      <c r="Z2459">
        <v>6.0374579999999997E-2</v>
      </c>
      <c r="AA2459">
        <v>0.93667389999999995</v>
      </c>
      <c r="AB2459">
        <v>27</v>
      </c>
      <c r="AC2459">
        <v>4.0959000000000199</v>
      </c>
      <c r="AD2459">
        <v>-1.1124197924971999</v>
      </c>
      <c r="AE2459">
        <v>-16.049299999999999</v>
      </c>
      <c r="AF2459">
        <v>-5.7651600871147402</v>
      </c>
      <c r="AG2459">
        <v>-1.1124197924971999</v>
      </c>
      <c r="AH2459">
        <v>15.4486583747615</v>
      </c>
      <c r="AI2459">
        <v>93.859496703744298</v>
      </c>
      <c r="AJ2459">
        <v>110.464665338489</v>
      </c>
      <c r="AK2459">
        <v>16.5268143997835</v>
      </c>
      <c r="AL2459">
        <v>89.059083053067198</v>
      </c>
      <c r="AM2459">
        <v>104.402263261371</v>
      </c>
      <c r="AN2459">
        <v>0.99999996415834902</v>
      </c>
    </row>
    <row r="2460" spans="1:40" x14ac:dyDescent="0.25">
      <c r="A2460" t="str">
        <f>"20190305135838809"</f>
        <v>20190305135838809</v>
      </c>
      <c r="B2460" t="str">
        <f>"1551765518801674"</f>
        <v>1551765518801674</v>
      </c>
      <c r="C2460" t="s">
        <v>40</v>
      </c>
      <c r="D2460">
        <v>4.098592</v>
      </c>
      <c r="E2460">
        <v>0.46047670000000002</v>
      </c>
      <c r="F2460" t="s">
        <v>42</v>
      </c>
      <c r="G2460">
        <v>-487.7176</v>
      </c>
      <c r="H2460" s="1">
        <v>-6.6626079999999998E-7</v>
      </c>
      <c r="I2460">
        <v>239.82140000000001</v>
      </c>
      <c r="J2460">
        <v>-491.88330000000002</v>
      </c>
      <c r="K2460">
        <v>1.1122110000000001</v>
      </c>
      <c r="L2460">
        <v>256.0095</v>
      </c>
      <c r="M2460">
        <v>-0.1019419</v>
      </c>
      <c r="N2460">
        <v>-4.1712620000000002E-3</v>
      </c>
      <c r="O2460">
        <v>-0.99478180000000005</v>
      </c>
      <c r="P2460">
        <v>0.14879149999999999</v>
      </c>
      <c r="Q2460">
        <v>1.2218100000000001E-2</v>
      </c>
      <c r="R2460">
        <v>-0.98879329999999999</v>
      </c>
      <c r="S2460">
        <v>0.73696899999999999</v>
      </c>
      <c r="T2460">
        <v>-0.1979117</v>
      </c>
      <c r="U2460">
        <v>-2.927826</v>
      </c>
      <c r="V2460">
        <v>-0.2489556</v>
      </c>
      <c r="W2460">
        <v>1.3972129999999999E-2</v>
      </c>
      <c r="X2460">
        <v>0.96841410000000006</v>
      </c>
      <c r="Y2460">
        <v>-0.34119250000000001</v>
      </c>
      <c r="Z2460">
        <v>5.9682079999999998E-2</v>
      </c>
      <c r="AA2460">
        <v>0.93809690000000001</v>
      </c>
      <c r="AB2460">
        <v>27</v>
      </c>
      <c r="AC2460">
        <v>4.16570000000001</v>
      </c>
      <c r="AD2460">
        <v>-1.1122116662607999</v>
      </c>
      <c r="AE2460">
        <v>-16.188099999999899</v>
      </c>
      <c r="AF2460">
        <v>-5.7687178161104198</v>
      </c>
      <c r="AG2460">
        <v>-1.1122116662607999</v>
      </c>
      <c r="AH2460">
        <v>15.6099915644928</v>
      </c>
      <c r="AI2460">
        <v>93.823526337401304</v>
      </c>
      <c r="AJ2460">
        <v>110.28193868857799</v>
      </c>
      <c r="AK2460">
        <v>16.678937516401099</v>
      </c>
      <c r="AL2460">
        <v>89.199429862912496</v>
      </c>
      <c r="AM2460">
        <v>104.41715653407699</v>
      </c>
      <c r="AN2460">
        <v>0.99999999013345298</v>
      </c>
    </row>
    <row r="2461" spans="1:40" x14ac:dyDescent="0.25">
      <c r="A2461" t="str">
        <f>"20190305135838823"</f>
        <v>20190305135838823</v>
      </c>
      <c r="B2461" t="str">
        <f>"1551765518811434"</f>
        <v>1551765518811434</v>
      </c>
      <c r="C2461" t="s">
        <v>40</v>
      </c>
      <c r="D2461">
        <v>4.0868769999999897</v>
      </c>
      <c r="E2461">
        <v>0.46085310000000002</v>
      </c>
      <c r="F2461" t="s">
        <v>42</v>
      </c>
      <c r="G2461">
        <v>-487.8263</v>
      </c>
      <c r="H2461" s="1">
        <v>-7.3915449999999996E-7</v>
      </c>
      <c r="I2461">
        <v>240.12049999999999</v>
      </c>
      <c r="J2461">
        <v>-491.89729999999997</v>
      </c>
      <c r="K2461">
        <v>1.112079</v>
      </c>
      <c r="L2461">
        <v>255.84360000000001</v>
      </c>
      <c r="M2461">
        <v>-9.8914089999999996E-2</v>
      </c>
      <c r="N2461">
        <v>-4.2031569999999999E-3</v>
      </c>
      <c r="O2461">
        <v>-0.99508719999999995</v>
      </c>
      <c r="P2461">
        <v>0.15164069999999999</v>
      </c>
      <c r="Q2461">
        <v>1.1005859999999999E-2</v>
      </c>
      <c r="R2461">
        <v>-0.9883748</v>
      </c>
      <c r="S2461">
        <v>0.7466431</v>
      </c>
      <c r="T2461">
        <v>-0.2046878</v>
      </c>
      <c r="U2461">
        <v>-2.9241489999999999</v>
      </c>
      <c r="V2461">
        <v>-0.2487856</v>
      </c>
      <c r="W2461">
        <v>1.2871209999999999E-2</v>
      </c>
      <c r="X2461">
        <v>0.96847309999999998</v>
      </c>
      <c r="Y2461">
        <v>-0.34149159999999901</v>
      </c>
      <c r="Z2461">
        <v>6.1910689999999997E-2</v>
      </c>
      <c r="AA2461">
        <v>0.9378436</v>
      </c>
      <c r="AB2461">
        <v>27</v>
      </c>
      <c r="AC2461">
        <v>4.0709999999999598</v>
      </c>
      <c r="AD2461">
        <v>-1.1120797391545001</v>
      </c>
      <c r="AE2461">
        <v>-15.723100000000001</v>
      </c>
      <c r="AF2461">
        <v>-5.5801237932508796</v>
      </c>
      <c r="AG2461">
        <v>-1.1120797391545001</v>
      </c>
      <c r="AH2461">
        <v>15.172177715437901</v>
      </c>
      <c r="AI2461">
        <v>93.935301000599793</v>
      </c>
      <c r="AJ2461">
        <v>110.192846284935</v>
      </c>
      <c r="AK2461">
        <v>16.203995788788401</v>
      </c>
      <c r="AL2461">
        <v>89.262513658368505</v>
      </c>
      <c r="AM2461">
        <v>104.40688047098401</v>
      </c>
      <c r="AN2461">
        <v>1.0000000441189101</v>
      </c>
    </row>
    <row r="2462" spans="1:40" x14ac:dyDescent="0.25">
      <c r="A2462" t="str">
        <f>"20190305135838834"</f>
        <v>20190305135838834</v>
      </c>
      <c r="B2462" t="str">
        <f>"1551765518830954"</f>
        <v>1551765518830954</v>
      </c>
      <c r="C2462" t="s">
        <v>40</v>
      </c>
      <c r="D2462">
        <v>4.235322</v>
      </c>
      <c r="E2462">
        <v>0.46133940000000001</v>
      </c>
      <c r="F2462" t="s">
        <v>42</v>
      </c>
      <c r="G2462">
        <v>-487.86770000000001</v>
      </c>
      <c r="H2462" s="1">
        <v>-7.5102120000000002E-7</v>
      </c>
      <c r="I2462">
        <v>240.18780000000001</v>
      </c>
      <c r="J2462">
        <v>-491.91</v>
      </c>
      <c r="K2462">
        <v>1.1119589999999999</v>
      </c>
      <c r="L2462">
        <v>255.6884</v>
      </c>
      <c r="M2462">
        <v>-9.6198889999999995E-2</v>
      </c>
      <c r="N2462">
        <v>-4.2320989999999996E-3</v>
      </c>
      <c r="O2462">
        <v>-0.99535320000000005</v>
      </c>
      <c r="P2462">
        <v>0.15395149999999999</v>
      </c>
      <c r="Q2462">
        <v>1.0624969999999999E-2</v>
      </c>
      <c r="R2462">
        <v>-0.98802160000000006</v>
      </c>
      <c r="S2462">
        <v>0.75213619999999903</v>
      </c>
      <c r="T2462">
        <v>-0.20757349999999999</v>
      </c>
      <c r="U2462">
        <v>-2.9221949999999999</v>
      </c>
      <c r="V2462">
        <v>-0.24840180000000001</v>
      </c>
      <c r="W2462">
        <v>1.259419E-2</v>
      </c>
      <c r="X2462">
        <v>0.96857519999999997</v>
      </c>
      <c r="Y2462">
        <v>-0.34071639999999997</v>
      </c>
      <c r="Z2462">
        <v>6.2876660000000001E-2</v>
      </c>
      <c r="AA2462">
        <v>0.93806120000000004</v>
      </c>
      <c r="AB2462">
        <v>27</v>
      </c>
      <c r="AC2462">
        <v>4.0423000000000098</v>
      </c>
      <c r="AD2462">
        <v>-1.11195975102119</v>
      </c>
      <c r="AE2462">
        <v>-15.500599999999899</v>
      </c>
      <c r="AF2462">
        <v>-5.4882609177218402</v>
      </c>
      <c r="AG2462">
        <v>-1.11195975102119</v>
      </c>
      <c r="AH2462">
        <v>14.9677196654486</v>
      </c>
      <c r="AI2462">
        <v>93.989888270355706</v>
      </c>
      <c r="AJ2462">
        <v>110.136630871002</v>
      </c>
      <c r="AK2462">
        <v>15.9809290835151</v>
      </c>
      <c r="AL2462">
        <v>89.278386984400797</v>
      </c>
      <c r="AM2462">
        <v>104.384124571057</v>
      </c>
      <c r="AN2462">
        <v>0.99999999296001796</v>
      </c>
    </row>
    <row r="2463" spans="1:40" x14ac:dyDescent="0.25">
      <c r="A2463" t="str">
        <f>"20190305135838855"</f>
        <v>20190305135838855</v>
      </c>
      <c r="B2463" t="str">
        <f>"1551765518850980"</f>
        <v>1551765518850980</v>
      </c>
      <c r="C2463" t="s">
        <v>40</v>
      </c>
      <c r="D2463">
        <v>4.3730289999999998</v>
      </c>
      <c r="E2463">
        <v>0.46182810000000002</v>
      </c>
      <c r="F2463" t="s">
        <v>42</v>
      </c>
      <c r="G2463">
        <v>-487.85570000000001</v>
      </c>
      <c r="H2463" s="1">
        <v>-6.9042619999999995E-7</v>
      </c>
      <c r="I2463">
        <v>240.00030000000001</v>
      </c>
      <c r="J2463">
        <v>-491.92869999999999</v>
      </c>
      <c r="K2463">
        <v>1.1117870000000001</v>
      </c>
      <c r="L2463">
        <v>255.45259999999999</v>
      </c>
      <c r="M2463">
        <v>-9.2296279999999994E-2</v>
      </c>
      <c r="N2463">
        <v>-4.2743809999999998E-3</v>
      </c>
      <c r="O2463">
        <v>-0.99572249999999995</v>
      </c>
      <c r="P2463">
        <v>0.15668560000000001</v>
      </c>
      <c r="Q2463">
        <v>1.056438E-2</v>
      </c>
      <c r="R2463">
        <v>-0.98759189999999997</v>
      </c>
      <c r="S2463">
        <v>0.75488279999999996</v>
      </c>
      <c r="T2463">
        <v>-0.20703579999999999</v>
      </c>
      <c r="U2463">
        <v>-2.9209589999999999</v>
      </c>
      <c r="V2463">
        <v>-0.24728040000000001</v>
      </c>
      <c r="W2463">
        <v>1.2689550000000001E-2</v>
      </c>
      <c r="X2463">
        <v>0.96886090000000002</v>
      </c>
      <c r="Y2463">
        <v>-0.33795540000000002</v>
      </c>
      <c r="Z2463">
        <v>6.2755759999999994E-2</v>
      </c>
      <c r="AA2463">
        <v>0.93906750000000005</v>
      </c>
      <c r="AB2463">
        <v>27</v>
      </c>
      <c r="AC2463">
        <v>4.0729999999999702</v>
      </c>
      <c r="AD2463">
        <v>-1.1117876904261901</v>
      </c>
      <c r="AE2463">
        <v>-15.4522999999999</v>
      </c>
      <c r="AF2463">
        <v>-5.4554105073291996</v>
      </c>
      <c r="AG2463">
        <v>-1.1117876904261901</v>
      </c>
      <c r="AH2463">
        <v>14.9381086835371</v>
      </c>
      <c r="AI2463">
        <v>93.999048452326804</v>
      </c>
      <c r="AJ2463">
        <v>110.06223820694601</v>
      </c>
      <c r="AK2463">
        <v>15.9419154029002</v>
      </c>
      <c r="AL2463">
        <v>89.2729228507268</v>
      </c>
      <c r="AM2463">
        <v>104.317815373965</v>
      </c>
      <c r="AN2463">
        <v>1.00000003222608</v>
      </c>
    </row>
    <row r="2464" spans="1:40" x14ac:dyDescent="0.25">
      <c r="A2464" t="str">
        <f>"20190305135838878"</f>
        <v>20190305135838878</v>
      </c>
      <c r="B2464" t="str">
        <f>"1551765518871476"</f>
        <v>1551765518871476</v>
      </c>
      <c r="C2464" t="s">
        <v>40</v>
      </c>
      <c r="D2464">
        <v>4.0798730000000001</v>
      </c>
      <c r="E2464">
        <v>0.46286250000000001</v>
      </c>
      <c r="F2464" t="s">
        <v>42</v>
      </c>
      <c r="G2464">
        <v>-487.83839999999998</v>
      </c>
      <c r="H2464" s="1">
        <v>-6.0235409999999999E-7</v>
      </c>
      <c r="I2464">
        <v>239.72800000000001</v>
      </c>
      <c r="J2464">
        <v>-491.94970000000001</v>
      </c>
      <c r="K2464">
        <v>1.111588</v>
      </c>
      <c r="L2464">
        <v>255.17740000000001</v>
      </c>
      <c r="M2464">
        <v>-8.8036110000000001E-2</v>
      </c>
      <c r="N2464">
        <v>-4.3204849999999998E-3</v>
      </c>
      <c r="O2464">
        <v>-0.99610799999999999</v>
      </c>
      <c r="P2464">
        <v>0.1595743</v>
      </c>
      <c r="Q2464">
        <v>9.40356E-3</v>
      </c>
      <c r="R2464">
        <v>-0.98714120000000005</v>
      </c>
      <c r="S2464">
        <v>0.75939939999999995</v>
      </c>
      <c r="T2464">
        <v>-0.2064136</v>
      </c>
      <c r="U2464">
        <v>-2.9194179999999998</v>
      </c>
      <c r="V2464">
        <v>-0.2459567</v>
      </c>
      <c r="W2464">
        <v>1.1701619999999999E-2</v>
      </c>
      <c r="X2464">
        <v>0.96921009999999996</v>
      </c>
      <c r="Y2464">
        <v>-0.33541349999999998</v>
      </c>
      <c r="Z2464">
        <v>6.2603850000000003E-2</v>
      </c>
      <c r="AA2464">
        <v>0.93998859999999995</v>
      </c>
      <c r="AB2464">
        <v>27</v>
      </c>
      <c r="AC2464">
        <v>4.1113000000000204</v>
      </c>
      <c r="AD2464">
        <v>-1.1115886023541</v>
      </c>
      <c r="AE2464">
        <v>-15.449400000000001</v>
      </c>
      <c r="AF2464">
        <v>-5.4292069529539004</v>
      </c>
      <c r="AG2464">
        <v>-1.1115886023541</v>
      </c>
      <c r="AH2464">
        <v>14.955166582954799</v>
      </c>
      <c r="AI2464">
        <v>93.996565407340597</v>
      </c>
      <c r="AJ2464">
        <v>109.952527065211</v>
      </c>
      <c r="AK2464">
        <v>15.9489474537605</v>
      </c>
      <c r="AL2464">
        <v>89.329531206703606</v>
      </c>
      <c r="AM2464">
        <v>104.239375392992</v>
      </c>
      <c r="AN2464">
        <v>0.99999992206375898</v>
      </c>
    </row>
    <row r="2465" spans="1:40" x14ac:dyDescent="0.25">
      <c r="A2465" t="str">
        <f>"20190305135838899"</f>
        <v>20190305135838899</v>
      </c>
      <c r="B2465" t="str">
        <f>"1551765518890997"</f>
        <v>1551765518890997</v>
      </c>
      <c r="C2465" t="s">
        <v>40</v>
      </c>
      <c r="D2465">
        <v>4.0751580000000001</v>
      </c>
      <c r="E2465">
        <v>0.46374480000000001</v>
      </c>
      <c r="F2465" t="s">
        <v>42</v>
      </c>
      <c r="G2465">
        <v>-487.86759999999998</v>
      </c>
      <c r="H2465" s="1">
        <v>-4.6108160000000004E-6</v>
      </c>
      <c r="I2465">
        <v>239.499</v>
      </c>
      <c r="J2465">
        <v>-491.9692</v>
      </c>
      <c r="K2465">
        <v>1.111407</v>
      </c>
      <c r="L2465">
        <v>254.9118</v>
      </c>
      <c r="M2465">
        <v>-8.4222669999999999E-2</v>
      </c>
      <c r="N2465">
        <v>-4.3608839999999998E-3</v>
      </c>
      <c r="O2465">
        <v>-0.99643749999999998</v>
      </c>
      <c r="P2465">
        <v>0.16270879999999999</v>
      </c>
      <c r="Q2465">
        <v>7.2211860000000001E-3</v>
      </c>
      <c r="R2465">
        <v>-0.98664810000000003</v>
      </c>
      <c r="S2465">
        <v>0.75979609999999997</v>
      </c>
      <c r="T2465">
        <v>-0.2069018</v>
      </c>
      <c r="U2465">
        <v>-2.918228</v>
      </c>
      <c r="V2465">
        <v>-0.24530669999999999</v>
      </c>
      <c r="W2465">
        <v>9.6670709999999993E-3</v>
      </c>
      <c r="X2465">
        <v>0.96939730000000002</v>
      </c>
      <c r="Y2465">
        <v>-0.33201599999999998</v>
      </c>
      <c r="Z2465">
        <v>6.2824500000000005E-2</v>
      </c>
      <c r="AA2465">
        <v>0.94117930000000005</v>
      </c>
      <c r="AB2465">
        <v>28</v>
      </c>
      <c r="AC2465">
        <v>4.1016000000000101</v>
      </c>
      <c r="AD2465">
        <v>-1.1114116108159999</v>
      </c>
      <c r="AE2465">
        <v>-15.412799999999899</v>
      </c>
      <c r="AF2465">
        <v>-5.35912252857743</v>
      </c>
      <c r="AG2465">
        <v>-1.1114116108159999</v>
      </c>
      <c r="AH2465">
        <v>14.940038131943499</v>
      </c>
      <c r="AI2465">
        <v>94.005471810993498</v>
      </c>
      <c r="AJ2465">
        <v>109.733354824833</v>
      </c>
      <c r="AK2465">
        <v>15.9110078068263</v>
      </c>
      <c r="AL2465">
        <v>89.446108991576196</v>
      </c>
      <c r="AM2465">
        <v>104.200637277586</v>
      </c>
      <c r="AN2465">
        <v>0.999999977286949</v>
      </c>
    </row>
    <row r="2466" spans="1:40" x14ac:dyDescent="0.25">
      <c r="A2466" t="str">
        <f>"20190305135838923"</f>
        <v>20190305135838923</v>
      </c>
      <c r="B2466" t="str">
        <f>"1551765518911492"</f>
        <v>1551765518911492</v>
      </c>
      <c r="C2466" t="s">
        <v>40</v>
      </c>
      <c r="D2466">
        <v>4.0660829999999999</v>
      </c>
      <c r="E2466">
        <v>0.46457359999999998</v>
      </c>
      <c r="F2466" t="s">
        <v>42</v>
      </c>
      <c r="G2466">
        <v>-487.93490000000003</v>
      </c>
      <c r="H2466" s="1">
        <v>-4.5906900000000001E-6</v>
      </c>
      <c r="I2466">
        <v>239.47989999999999</v>
      </c>
      <c r="J2466">
        <v>-491.99009999999998</v>
      </c>
      <c r="K2466">
        <v>1.111243</v>
      </c>
      <c r="L2466">
        <v>254.61279999999999</v>
      </c>
      <c r="M2466">
        <v>-8.0220970000000003E-2</v>
      </c>
      <c r="N2466">
        <v>-4.4073189999999998E-3</v>
      </c>
      <c r="O2466">
        <v>-0.99676759999999998</v>
      </c>
      <c r="P2466">
        <v>0.16581489999999999</v>
      </c>
      <c r="Q2466">
        <v>7.7268600000000003E-3</v>
      </c>
      <c r="R2466">
        <v>-0.98612699999999998</v>
      </c>
      <c r="S2466">
        <v>0.76242069999999995</v>
      </c>
      <c r="T2466">
        <v>-0.21004120000000001</v>
      </c>
      <c r="U2466">
        <v>-2.9164119999999998</v>
      </c>
      <c r="V2466">
        <v>-0.24446560000000001</v>
      </c>
      <c r="W2466">
        <v>1.032317E-2</v>
      </c>
      <c r="X2466">
        <v>0.96960299999999999</v>
      </c>
      <c r="Y2466">
        <v>-0.32914579999999999</v>
      </c>
      <c r="Z2466">
        <v>6.3899049999999999E-2</v>
      </c>
      <c r="AA2466">
        <v>0.94211469999999997</v>
      </c>
      <c r="AB2466">
        <v>28</v>
      </c>
      <c r="AC2466">
        <v>4.0551999999999504</v>
      </c>
      <c r="AD2466">
        <v>-1.1112475906899999</v>
      </c>
      <c r="AE2466">
        <v>-15.132899999999999</v>
      </c>
      <c r="AF2466">
        <v>-5.2298061938146603</v>
      </c>
      <c r="AG2466">
        <v>-1.1112475906899999</v>
      </c>
      <c r="AH2466">
        <v>14.6849313281795</v>
      </c>
      <c r="AI2466">
        <v>94.077537744596</v>
      </c>
      <c r="AJ2466">
        <v>109.602553162018</v>
      </c>
      <c r="AK2466">
        <v>15.627954189401301</v>
      </c>
      <c r="AL2466">
        <v>89.408515414563198</v>
      </c>
      <c r="AM2466">
        <v>104.151024495684</v>
      </c>
      <c r="AN2466">
        <v>0.99999998751560404</v>
      </c>
    </row>
    <row r="2467" spans="1:40" x14ac:dyDescent="0.25">
      <c r="A2467" t="str">
        <f>"20190305135838943"</f>
        <v>20190305135838943</v>
      </c>
      <c r="B2467" t="str">
        <f>"1551765518931016"</f>
        <v>1551765518931016</v>
      </c>
      <c r="C2467" t="s">
        <v>40</v>
      </c>
      <c r="D2467">
        <v>4.095199</v>
      </c>
      <c r="E2467">
        <v>0.4653717</v>
      </c>
      <c r="F2467" t="s">
        <v>42</v>
      </c>
      <c r="G2467">
        <v>-487.85230000000001</v>
      </c>
      <c r="H2467" s="1">
        <v>-4.3344749999999997E-6</v>
      </c>
      <c r="I2467">
        <v>238.8485</v>
      </c>
      <c r="J2467">
        <v>-492.00740000000002</v>
      </c>
      <c r="K2467">
        <v>1.111138</v>
      </c>
      <c r="L2467">
        <v>254.3546</v>
      </c>
      <c r="M2467">
        <v>-7.692264E-2</v>
      </c>
      <c r="N2467">
        <v>-4.4506140000000003E-3</v>
      </c>
      <c r="O2467">
        <v>-0.9970272</v>
      </c>
      <c r="P2467">
        <v>0.16801279999999999</v>
      </c>
      <c r="Q2467">
        <v>8.8627900000000006E-3</v>
      </c>
      <c r="R2467">
        <v>-0.98574519999999999</v>
      </c>
      <c r="S2467">
        <v>0.76516719999999905</v>
      </c>
      <c r="T2467">
        <v>-0.20549480000000001</v>
      </c>
      <c r="U2467">
        <v>-2.9151760000000002</v>
      </c>
      <c r="V2467">
        <v>-0.24342369999999999</v>
      </c>
      <c r="W2467">
        <v>1.1574310000000001E-2</v>
      </c>
      <c r="X2467">
        <v>0.96985100000000002</v>
      </c>
      <c r="Y2467">
        <v>-0.3269744</v>
      </c>
      <c r="Z2467">
        <v>6.2457220000000001E-2</v>
      </c>
      <c r="AA2467">
        <v>0.94296709999999995</v>
      </c>
      <c r="AB2467">
        <v>28</v>
      </c>
      <c r="AC2467">
        <v>4.1551</v>
      </c>
      <c r="AD2467">
        <v>-1.111142334475</v>
      </c>
      <c r="AE2467">
        <v>-15.5061</v>
      </c>
      <c r="AF2467">
        <v>-5.3101299740180803</v>
      </c>
      <c r="AG2467">
        <v>-1.111142334475</v>
      </c>
      <c r="AH2467">
        <v>15.0683400128559</v>
      </c>
      <c r="AI2467">
        <v>93.978402303443602</v>
      </c>
      <c r="AJ2467">
        <v>109.412616467571</v>
      </c>
      <c r="AK2467">
        <v>16.015211156006099</v>
      </c>
      <c r="AL2467">
        <v>89.336826086833597</v>
      </c>
      <c r="AM2467">
        <v>104.08966152696399</v>
      </c>
      <c r="AN2467">
        <v>1.00000001228733</v>
      </c>
    </row>
    <row r="2468" spans="1:40" x14ac:dyDescent="0.25">
      <c r="A2468" t="str">
        <f>"20190305135838956"</f>
        <v>20190305135838956</v>
      </c>
      <c r="B2468" t="str">
        <f>"1551765518951039"</f>
        <v>1551765518951039</v>
      </c>
      <c r="C2468" t="s">
        <v>40</v>
      </c>
      <c r="D2468">
        <v>4.0936640000000004</v>
      </c>
      <c r="E2468">
        <v>0.4658254</v>
      </c>
      <c r="F2468" t="s">
        <v>42</v>
      </c>
      <c r="G2468">
        <v>-487.7595</v>
      </c>
      <c r="H2468" s="1">
        <v>-4.0655000000000003E-6</v>
      </c>
      <c r="I2468">
        <v>238.1831</v>
      </c>
      <c r="J2468">
        <v>-492.01859999999999</v>
      </c>
      <c r="K2468">
        <v>1.111089</v>
      </c>
      <c r="L2468">
        <v>254.18209999999999</v>
      </c>
      <c r="M2468">
        <v>-7.4782870000000001E-2</v>
      </c>
      <c r="N2468">
        <v>-4.48315E-3</v>
      </c>
      <c r="O2468">
        <v>-0.99718989999999996</v>
      </c>
      <c r="P2468">
        <v>0.1697014</v>
      </c>
      <c r="Q2468">
        <v>9.4763509999999992E-3</v>
      </c>
      <c r="R2468">
        <v>-0.98545000000000005</v>
      </c>
      <c r="S2468">
        <v>0.765625</v>
      </c>
      <c r="T2468">
        <v>-0.20026910000000001</v>
      </c>
      <c r="U2468">
        <v>-2.9146879999999999</v>
      </c>
      <c r="V2468">
        <v>-0.2430059</v>
      </c>
      <c r="W2468">
        <v>1.225709E-2</v>
      </c>
      <c r="X2468">
        <v>0.96994729999999996</v>
      </c>
      <c r="Y2468">
        <v>-0.32515149999999998</v>
      </c>
      <c r="Z2468">
        <v>6.0777659999999997E-2</v>
      </c>
      <c r="AA2468">
        <v>0.94370679999999996</v>
      </c>
      <c r="AB2468">
        <v>28</v>
      </c>
      <c r="AC2468">
        <v>4.2590999999999797</v>
      </c>
      <c r="AD2468">
        <v>-1.1110930655</v>
      </c>
      <c r="AE2468">
        <v>-15.998999999999899</v>
      </c>
      <c r="AF2468">
        <v>-5.4192294671001804</v>
      </c>
      <c r="AG2468">
        <v>-1.1110930655</v>
      </c>
      <c r="AH2468">
        <v>15.565584177701499</v>
      </c>
      <c r="AI2468">
        <v>93.856623693402298</v>
      </c>
      <c r="AJ2468">
        <v>109.195796427625</v>
      </c>
      <c r="AK2468">
        <v>16.519382149777901</v>
      </c>
      <c r="AL2468">
        <v>89.297702841868201</v>
      </c>
      <c r="AM2468">
        <v>104.06509845927501</v>
      </c>
      <c r="AN2468">
        <v>0.99999993423368105</v>
      </c>
    </row>
    <row r="2469" spans="1:40" x14ac:dyDescent="0.25">
      <c r="A2469" t="str">
        <f>"20190305135838976"</f>
        <v>20190305135838976</v>
      </c>
      <c r="B2469" t="str">
        <f>"1551765518971535"</f>
        <v>1551765518971535</v>
      </c>
      <c r="C2469" t="s">
        <v>40</v>
      </c>
      <c r="D2469">
        <v>4.0977389999999998</v>
      </c>
      <c r="E2469">
        <v>0.46647450000000001</v>
      </c>
      <c r="F2469" t="s">
        <v>42</v>
      </c>
      <c r="G2469">
        <v>-487.66669999999999</v>
      </c>
      <c r="H2469" s="1">
        <v>-3.85497E-6</v>
      </c>
      <c r="I2469">
        <v>237.654</v>
      </c>
      <c r="J2469">
        <v>-492.03359999999998</v>
      </c>
      <c r="K2469">
        <v>1.1110409999999999</v>
      </c>
      <c r="L2469">
        <v>253.9418</v>
      </c>
      <c r="M2469">
        <v>-7.1889649999999999E-2</v>
      </c>
      <c r="N2469">
        <v>-4.5396739999999996E-3</v>
      </c>
      <c r="O2469">
        <v>-0.99740229999999996</v>
      </c>
      <c r="P2469">
        <v>0.17153460000000001</v>
      </c>
      <c r="Q2469">
        <v>1.0904759999999999E-2</v>
      </c>
      <c r="R2469">
        <v>-0.98511760000000004</v>
      </c>
      <c r="S2469">
        <v>0.76727290000000004</v>
      </c>
      <c r="T2469">
        <v>-0.19589409999999999</v>
      </c>
      <c r="U2469">
        <v>-2.9140320000000002</v>
      </c>
      <c r="V2469">
        <v>-0.24200289999999999</v>
      </c>
      <c r="W2469">
        <v>1.3782839999999999E-2</v>
      </c>
      <c r="X2469">
        <v>0.97017770000000003</v>
      </c>
      <c r="Y2469">
        <v>-0.3229822</v>
      </c>
      <c r="Z2469">
        <v>5.935679E-2</v>
      </c>
      <c r="AA2469">
        <v>0.94454179999999999</v>
      </c>
      <c r="AB2469">
        <v>28</v>
      </c>
      <c r="AC2469">
        <v>4.3668999999999798</v>
      </c>
      <c r="AD2469">
        <v>-1.1110448549700001</v>
      </c>
      <c r="AE2469">
        <v>-16.287799999999901</v>
      </c>
      <c r="AF2469">
        <v>-5.5026499915842999</v>
      </c>
      <c r="AG2469">
        <v>-1.1110448549700001</v>
      </c>
      <c r="AH2469">
        <v>15.8628569163888</v>
      </c>
      <c r="AI2469">
        <v>93.785879286326505</v>
      </c>
      <c r="AJ2469">
        <v>109.13109576253299</v>
      </c>
      <c r="AK2469">
        <v>16.826877522269601</v>
      </c>
      <c r="AL2469">
        <v>89.210276488653307</v>
      </c>
      <c r="AM2469">
        <v>104.006139903717</v>
      </c>
      <c r="AN2469">
        <v>1.0000000699320799</v>
      </c>
    </row>
    <row r="2470" spans="1:40" x14ac:dyDescent="0.25">
      <c r="A2470" t="str">
        <f>"20190305135838992"</f>
        <v>20190305135838992</v>
      </c>
      <c r="B2470" t="str">
        <f>"1551765518981296"</f>
        <v>1551765518981296</v>
      </c>
      <c r="C2470" t="s">
        <v>40</v>
      </c>
      <c r="D2470">
        <v>4.0887370000000001</v>
      </c>
      <c r="E2470">
        <v>0.46669040000000001</v>
      </c>
      <c r="F2470" t="s">
        <v>42</v>
      </c>
      <c r="G2470">
        <v>-487.5197</v>
      </c>
      <c r="H2470" s="1">
        <v>-3.5160170000000001E-6</v>
      </c>
      <c r="I2470">
        <v>236.8031</v>
      </c>
      <c r="J2470">
        <v>-492.0455</v>
      </c>
      <c r="K2470">
        <v>1.111024</v>
      </c>
      <c r="L2470">
        <v>253.74350000000001</v>
      </c>
      <c r="M2470">
        <v>-6.9556709999999994E-2</v>
      </c>
      <c r="N2470">
        <v>-4.5968279999999999E-3</v>
      </c>
      <c r="O2470">
        <v>-0.99756750000000005</v>
      </c>
      <c r="P2470">
        <v>0.1734279</v>
      </c>
      <c r="Q2470">
        <v>1.132703E-2</v>
      </c>
      <c r="R2470">
        <v>-0.98478160000000003</v>
      </c>
      <c r="S2470">
        <v>0.76742549999999998</v>
      </c>
      <c r="T2470">
        <v>-0.18889159999999999</v>
      </c>
      <c r="U2470">
        <v>-2.9137879999999998</v>
      </c>
      <c r="V2470">
        <v>-0.24160010000000001</v>
      </c>
      <c r="W2470">
        <v>1.428347E-2</v>
      </c>
      <c r="X2470">
        <v>0.97027079999999999</v>
      </c>
      <c r="Y2470">
        <v>-0.32086999999999999</v>
      </c>
      <c r="Z2470">
        <v>5.7067399999999997E-2</v>
      </c>
      <c r="AA2470">
        <v>0.94540239999999998</v>
      </c>
      <c r="AB2470">
        <v>28</v>
      </c>
      <c r="AC2470">
        <v>4.5258000000000003</v>
      </c>
      <c r="AD2470">
        <v>-1.111027516017</v>
      </c>
      <c r="AE2470">
        <v>-16.9404</v>
      </c>
      <c r="AF2470">
        <v>-5.6704037263076099</v>
      </c>
      <c r="AG2470">
        <v>-1.111027516017</v>
      </c>
      <c r="AH2470">
        <v>16.518249398838599</v>
      </c>
      <c r="AI2470">
        <v>93.640058616519198</v>
      </c>
      <c r="AJ2470">
        <v>108.94638026909099</v>
      </c>
      <c r="AK2470">
        <v>17.499726391086799</v>
      </c>
      <c r="AL2470">
        <v>89.181589643187095</v>
      </c>
      <c r="AM2470">
        <v>103.98245385961999</v>
      </c>
      <c r="AN2470">
        <v>1.0000000255839401</v>
      </c>
    </row>
    <row r="2471" spans="1:40" x14ac:dyDescent="0.25">
      <c r="A2471" t="str">
        <f>"20190305135839011"</f>
        <v>20190305135839011</v>
      </c>
      <c r="B2471" t="str">
        <f>"1551765519001790"</f>
        <v>1551765519001790</v>
      </c>
      <c r="C2471" t="s">
        <v>40</v>
      </c>
      <c r="D2471">
        <v>4.0954370000000004</v>
      </c>
      <c r="E2471">
        <v>0.46710079999999998</v>
      </c>
      <c r="F2471" t="s">
        <v>42</v>
      </c>
      <c r="G2471">
        <v>-487.45499999999998</v>
      </c>
      <c r="H2471" s="1">
        <v>-3.3648739999999999E-6</v>
      </c>
      <c r="I2471">
        <v>236.42410000000001</v>
      </c>
      <c r="J2471">
        <v>-492.0598</v>
      </c>
      <c r="K2471">
        <v>1.111005</v>
      </c>
      <c r="L2471">
        <v>253.4967</v>
      </c>
      <c r="M2471">
        <v>-6.6690860000000005E-2</v>
      </c>
      <c r="N2471">
        <v>-4.6740779999999999E-3</v>
      </c>
      <c r="O2471">
        <v>-0.99776260000000006</v>
      </c>
      <c r="P2471">
        <v>0.17637700000000001</v>
      </c>
      <c r="Q2471">
        <v>1.1139609999999999E-2</v>
      </c>
      <c r="R2471">
        <v>-0.98425969999999996</v>
      </c>
      <c r="S2471">
        <v>0.77197269999999996</v>
      </c>
      <c r="T2471">
        <v>-0.18683920000000001</v>
      </c>
      <c r="U2471">
        <v>-2.9125670000000001</v>
      </c>
      <c r="V2471">
        <v>-0.2417184</v>
      </c>
      <c r="W2471">
        <v>1.418764E-2</v>
      </c>
      <c r="X2471">
        <v>0.97024270000000001</v>
      </c>
      <c r="Y2471">
        <v>-0.31963709999999901</v>
      </c>
      <c r="Z2471">
        <v>5.636758E-2</v>
      </c>
      <c r="AA2471">
        <v>0.94586190000000003</v>
      </c>
      <c r="AB2471">
        <v>28</v>
      </c>
      <c r="AC2471">
        <v>4.6048000000000098</v>
      </c>
      <c r="AD2471">
        <v>-1.1110083648739999</v>
      </c>
      <c r="AE2471">
        <v>-17.072599999999898</v>
      </c>
      <c r="AF2471">
        <v>-5.71060360820589</v>
      </c>
      <c r="AG2471">
        <v>-1.1110083648739999</v>
      </c>
      <c r="AH2471">
        <v>16.661714277824998</v>
      </c>
      <c r="AI2471">
        <v>93.609337166212697</v>
      </c>
      <c r="AJ2471">
        <v>108.91853886755101</v>
      </c>
      <c r="AK2471">
        <v>17.648174291771699</v>
      </c>
      <c r="AL2471">
        <v>89.187080821411996</v>
      </c>
      <c r="AM2471">
        <v>103.98942083385801</v>
      </c>
      <c r="AN2471">
        <v>0.99999998546530899</v>
      </c>
    </row>
    <row r="2472" spans="1:40" x14ac:dyDescent="0.25">
      <c r="A2472" t="str">
        <f>"20190305135839034"</f>
        <v>20190305135839034</v>
      </c>
      <c r="B2472" t="str">
        <f>"1551765519021311"</f>
        <v>1551765519021311</v>
      </c>
      <c r="C2472" t="s">
        <v>40</v>
      </c>
      <c r="D2472">
        <v>4.0615750000000004</v>
      </c>
      <c r="E2472">
        <v>0.46747820000000001</v>
      </c>
      <c r="F2472" t="s">
        <v>42</v>
      </c>
      <c r="G2472">
        <v>-487.41789999999997</v>
      </c>
      <c r="H2472" s="1">
        <v>-3.231888E-6</v>
      </c>
      <c r="I2472">
        <v>236.09870000000001</v>
      </c>
      <c r="J2472">
        <v>-492.07499999999999</v>
      </c>
      <c r="K2472">
        <v>1.1110070000000001</v>
      </c>
      <c r="L2472">
        <v>253.21940000000001</v>
      </c>
      <c r="M2472">
        <v>-6.3500459999999995E-2</v>
      </c>
      <c r="N2472">
        <v>-4.7625819999999996E-3</v>
      </c>
      <c r="O2472">
        <v>-0.99797060000000004</v>
      </c>
      <c r="P2472">
        <v>0.17913119999999999</v>
      </c>
      <c r="Q2472">
        <v>1.071805E-2</v>
      </c>
      <c r="R2472">
        <v>-0.98376719999999895</v>
      </c>
      <c r="S2472">
        <v>0.77664180000000005</v>
      </c>
      <c r="T2472">
        <v>-0.18588660000000001</v>
      </c>
      <c r="U2472">
        <v>-2.9109189999999998</v>
      </c>
      <c r="V2472">
        <v>-0.24132899999999999</v>
      </c>
      <c r="W2472">
        <v>1.3865809999999999E-2</v>
      </c>
      <c r="X2472">
        <v>0.97034430000000005</v>
      </c>
      <c r="Y2472">
        <v>-0.318162</v>
      </c>
      <c r="Z2472">
        <v>5.6025999999999999E-2</v>
      </c>
      <c r="AA2472">
        <v>0.94637939999999998</v>
      </c>
      <c r="AB2472">
        <v>28</v>
      </c>
      <c r="AC2472">
        <v>4.6571000000000096</v>
      </c>
      <c r="AD2472">
        <v>-1.111010231888</v>
      </c>
      <c r="AE2472">
        <v>-17.120699999999999</v>
      </c>
      <c r="AF2472">
        <v>-5.7124869590927503</v>
      </c>
      <c r="AG2472">
        <v>-1.111010231888</v>
      </c>
      <c r="AH2472">
        <v>16.724837758619699</v>
      </c>
      <c r="AI2472">
        <v>93.597053988131705</v>
      </c>
      <c r="AJ2472">
        <v>108.85796550957301</v>
      </c>
      <c r="AK2472">
        <v>17.7083892278579</v>
      </c>
      <c r="AL2472">
        <v>89.205522151240899</v>
      </c>
      <c r="AM2472">
        <v>103.966362129967</v>
      </c>
      <c r="AN2472">
        <v>1.0000000037352199</v>
      </c>
    </row>
    <row r="2473" spans="1:40" x14ac:dyDescent="0.25">
      <c r="A2473" t="str">
        <f>"20190305135839050"</f>
        <v>20190305135839050</v>
      </c>
      <c r="B2473" t="str">
        <f>"1551765519041339"</f>
        <v>1551765519041339</v>
      </c>
      <c r="C2473" t="s">
        <v>40</v>
      </c>
      <c r="D2473">
        <v>4.0770379999999999</v>
      </c>
      <c r="E2473">
        <v>0.46791329999999998</v>
      </c>
      <c r="F2473" t="s">
        <v>42</v>
      </c>
      <c r="G2473">
        <v>-487.38490000000002</v>
      </c>
      <c r="H2473" s="1">
        <v>-3.0962929999999999E-6</v>
      </c>
      <c r="I2473">
        <v>235.76900000000001</v>
      </c>
      <c r="J2473">
        <v>-492.08609999999999</v>
      </c>
      <c r="K2473">
        <v>1.111016</v>
      </c>
      <c r="L2473">
        <v>253.006</v>
      </c>
      <c r="M2473">
        <v>-6.1055310000000002E-2</v>
      </c>
      <c r="N2473">
        <v>-4.8283429999999997E-3</v>
      </c>
      <c r="O2473">
        <v>-0.99812290000000004</v>
      </c>
      <c r="P2473">
        <v>0.18128949999999999</v>
      </c>
      <c r="Q2473">
        <v>1.0768740000000001E-2</v>
      </c>
      <c r="R2473">
        <v>-0.983371</v>
      </c>
      <c r="S2473">
        <v>0.78189090000000006</v>
      </c>
      <c r="T2473">
        <v>-0.18521570000000001</v>
      </c>
      <c r="U2473">
        <v>-2.9091490000000002</v>
      </c>
      <c r="V2473">
        <v>-0.2410815</v>
      </c>
      <c r="W2473">
        <v>1.398405E-2</v>
      </c>
      <c r="X2473">
        <v>0.97040409999999999</v>
      </c>
      <c r="Y2473">
        <v>-0.31757960000000002</v>
      </c>
      <c r="Z2473">
        <v>5.5784439999999998E-2</v>
      </c>
      <c r="AA2473">
        <v>0.94658929999999997</v>
      </c>
      <c r="AB2473">
        <v>29</v>
      </c>
      <c r="AC2473">
        <v>4.7011999999999698</v>
      </c>
      <c r="AD2473">
        <v>-1.111019096293</v>
      </c>
      <c r="AE2473">
        <v>-17.236999999999899</v>
      </c>
      <c r="AF2473">
        <v>-5.7227226059054299</v>
      </c>
      <c r="AG2473">
        <v>-1.111019096293</v>
      </c>
      <c r="AH2473">
        <v>16.8526382336129</v>
      </c>
      <c r="AI2473">
        <v>93.572030437420295</v>
      </c>
      <c r="AJ2473">
        <v>108.756166295555</v>
      </c>
      <c r="AK2473">
        <v>17.8324236403665</v>
      </c>
      <c r="AL2473">
        <v>89.198746822600697</v>
      </c>
      <c r="AM2473">
        <v>103.951772271251</v>
      </c>
      <c r="AN2473">
        <v>0.99999998029673098</v>
      </c>
    </row>
    <row r="2474" spans="1:40" x14ac:dyDescent="0.25">
      <c r="A2474" t="str">
        <f>"20190305135839067"</f>
        <v>20190305135839067</v>
      </c>
      <c r="B2474" t="str">
        <f>"1551765519060858"</f>
        <v>1551765519060858</v>
      </c>
      <c r="C2474" t="s">
        <v>40</v>
      </c>
      <c r="D2474">
        <v>4.1556499999999996</v>
      </c>
      <c r="E2474">
        <v>0.46835450000000001</v>
      </c>
      <c r="F2474" t="s">
        <v>42</v>
      </c>
      <c r="G2474">
        <v>-487.31479999999999</v>
      </c>
      <c r="H2474" s="1">
        <v>-2.920508E-6</v>
      </c>
      <c r="I2474">
        <v>235.33029999999999</v>
      </c>
      <c r="J2474">
        <v>-492.09719999999999</v>
      </c>
      <c r="K2474">
        <v>1.1110370000000001</v>
      </c>
      <c r="L2474">
        <v>252.7824</v>
      </c>
      <c r="M2474">
        <v>-5.8495869999999998E-2</v>
      </c>
      <c r="N2474">
        <v>-4.8943340000000002E-3</v>
      </c>
      <c r="O2474">
        <v>-0.99827589999999999</v>
      </c>
      <c r="P2474">
        <v>0.18369179999999999</v>
      </c>
      <c r="Q2474">
        <v>1.170032E-2</v>
      </c>
      <c r="R2474">
        <v>-0.98291430000000002</v>
      </c>
      <c r="S2474">
        <v>0.78497309999999998</v>
      </c>
      <c r="T2474">
        <v>-0.18278539999999999</v>
      </c>
      <c r="U2474">
        <v>-2.90802</v>
      </c>
      <c r="V2474">
        <v>-0.2409702</v>
      </c>
      <c r="W2474">
        <v>1.497863E-2</v>
      </c>
      <c r="X2474">
        <v>0.97041690000000003</v>
      </c>
      <c r="Y2474">
        <v>-0.31618800000000002</v>
      </c>
      <c r="Z2474">
        <v>5.4969450000000003E-2</v>
      </c>
      <c r="AA2474">
        <v>0.94710269999999996</v>
      </c>
      <c r="AB2474">
        <v>29</v>
      </c>
      <c r="AC2474">
        <v>4.7823999999999902</v>
      </c>
      <c r="AD2474">
        <v>-1.1110399205079999</v>
      </c>
      <c r="AE2474">
        <v>-17.452100000000002</v>
      </c>
      <c r="AF2474">
        <v>-5.7733341104138001</v>
      </c>
      <c r="AG2474">
        <v>-1.1110399205079999</v>
      </c>
      <c r="AH2474">
        <v>17.078080354511101</v>
      </c>
      <c r="AI2474">
        <v>93.526686564861805</v>
      </c>
      <c r="AJ2474">
        <v>108.67809238742601</v>
      </c>
      <c r="AK2474">
        <v>18.061744795300601</v>
      </c>
      <c r="AL2474">
        <v>89.141755604856002</v>
      </c>
      <c r="AM2474">
        <v>103.945405841902</v>
      </c>
      <c r="AN2474">
        <v>0.99999997822516296</v>
      </c>
    </row>
    <row r="2475" spans="1:40" x14ac:dyDescent="0.25">
      <c r="A2475" t="str">
        <f>"20190305135839090"</f>
        <v>20190305135839090</v>
      </c>
      <c r="B2475" t="str">
        <f>"1551765519081354"</f>
        <v>1551765519081354</v>
      </c>
      <c r="C2475" t="s">
        <v>40</v>
      </c>
      <c r="D2475">
        <v>4.1146149999999997</v>
      </c>
      <c r="E2475">
        <v>0.44251069999999998</v>
      </c>
      <c r="F2475" t="s">
        <v>42</v>
      </c>
      <c r="G2475">
        <v>-487.2038</v>
      </c>
      <c r="H2475" s="1">
        <v>-2.6926459999999999E-6</v>
      </c>
      <c r="I2475">
        <v>234.75319999999999</v>
      </c>
      <c r="J2475">
        <v>-492.11090000000002</v>
      </c>
      <c r="K2475">
        <v>1.111067</v>
      </c>
      <c r="L2475">
        <v>252.4905</v>
      </c>
      <c r="M2475">
        <v>-5.51525E-2</v>
      </c>
      <c r="N2475">
        <v>-4.9754680000000003E-3</v>
      </c>
      <c r="O2475">
        <v>-0.99846550000000001</v>
      </c>
      <c r="P2475">
        <v>0.18821209999999999</v>
      </c>
      <c r="Q2475">
        <v>1.344498E-2</v>
      </c>
      <c r="R2475">
        <v>-0.98203640000000003</v>
      </c>
      <c r="S2475">
        <v>0.78897090000000003</v>
      </c>
      <c r="T2475">
        <v>-0.17913270000000001</v>
      </c>
      <c r="U2475">
        <v>-2.9068450000000001</v>
      </c>
      <c r="V2475">
        <v>-0.24219579999999999</v>
      </c>
      <c r="W2475">
        <v>1.6786570000000001E-2</v>
      </c>
      <c r="X2475">
        <v>0.97008220000000001</v>
      </c>
      <c r="Y2475">
        <v>-0.31433899999999998</v>
      </c>
      <c r="Z2475">
        <v>5.3745399999999999E-2</v>
      </c>
      <c r="AA2475">
        <v>0.94778819999999997</v>
      </c>
      <c r="AB2475">
        <v>29</v>
      </c>
      <c r="AC2475">
        <v>4.9071000000000096</v>
      </c>
      <c r="AD2475">
        <v>-1.111069692646</v>
      </c>
      <c r="AE2475">
        <v>-17.737300000000001</v>
      </c>
      <c r="AF2475">
        <v>-5.8565533225486401</v>
      </c>
      <c r="AG2475">
        <v>-1.111069692646</v>
      </c>
      <c r="AH2475">
        <v>17.3763260286172</v>
      </c>
      <c r="AI2475">
        <v>93.467458116140307</v>
      </c>
      <c r="AJ2475">
        <v>108.625982300183</v>
      </c>
      <c r="AK2475">
        <v>18.370367414251</v>
      </c>
      <c r="AL2475">
        <v>89.0381552433184</v>
      </c>
      <c r="AM2475">
        <v>104.01818967265601</v>
      </c>
      <c r="AN2475">
        <v>1.0000000346134199</v>
      </c>
    </row>
    <row r="2476" spans="1:40" x14ac:dyDescent="0.25">
      <c r="A2476" t="str">
        <f>"20190305135839123"</f>
        <v>20190305135839123</v>
      </c>
      <c r="B2476" t="str">
        <f>"1551765519111610"</f>
        <v>1551765519111610</v>
      </c>
      <c r="C2476" t="s">
        <v>40</v>
      </c>
      <c r="D2476">
        <v>4.1172490000000002</v>
      </c>
      <c r="E2476">
        <v>0.43346230000000002</v>
      </c>
      <c r="F2476" t="s">
        <v>42</v>
      </c>
      <c r="G2476">
        <v>-485.69819999999999</v>
      </c>
      <c r="H2476" s="1">
        <v>-2.7251719999999998E-6</v>
      </c>
      <c r="I2476">
        <v>234.20650000000001</v>
      </c>
      <c r="J2476">
        <v>-492.12869999999998</v>
      </c>
      <c r="K2476">
        <v>1.1111070000000001</v>
      </c>
      <c r="L2476">
        <v>252.07310000000001</v>
      </c>
      <c r="M2476">
        <v>-5.036674E-2</v>
      </c>
      <c r="N2476">
        <v>-5.0894349999999998E-3</v>
      </c>
      <c r="O2476">
        <v>-0.99871770000000004</v>
      </c>
      <c r="P2476">
        <v>0.19680790000000001</v>
      </c>
      <c r="Q2476">
        <v>1.3073339999999999E-2</v>
      </c>
      <c r="R2476">
        <v>-0.98035499999999998</v>
      </c>
      <c r="S2476">
        <v>1.0047299999999999</v>
      </c>
      <c r="T2476">
        <v>-0.17408029999999999</v>
      </c>
      <c r="U2476">
        <v>-2.8647</v>
      </c>
      <c r="V2476">
        <v>-0.24604280000000001</v>
      </c>
      <c r="W2476">
        <v>1.6483339999999999E-2</v>
      </c>
      <c r="X2476">
        <v>0.96911879999999995</v>
      </c>
      <c r="Y2476">
        <v>-0.37757039999999997</v>
      </c>
      <c r="Z2476">
        <v>5.1485240000000002E-2</v>
      </c>
      <c r="AA2476">
        <v>0.92454840000000005</v>
      </c>
      <c r="AB2476">
        <v>29</v>
      </c>
      <c r="AC2476">
        <v>6.4304999999999897</v>
      </c>
      <c r="AD2476">
        <v>-1.1111097251719999</v>
      </c>
      <c r="AE2476">
        <v>-17.866599999999998</v>
      </c>
      <c r="AF2476">
        <v>-7.2972468388352096</v>
      </c>
      <c r="AG2476">
        <v>-1.1111097251719999</v>
      </c>
      <c r="AH2476">
        <v>17.460252242813301</v>
      </c>
      <c r="AI2476">
        <v>93.360260130423299</v>
      </c>
      <c r="AJ2476">
        <v>112.681746892818</v>
      </c>
      <c r="AK2476">
        <v>18.956391656402602</v>
      </c>
      <c r="AL2476">
        <v>89.055531417651096</v>
      </c>
      <c r="AM2476">
        <v>104.24544453362699</v>
      </c>
      <c r="AN2476">
        <v>1.0000000042214101</v>
      </c>
    </row>
    <row r="2477" spans="1:40" x14ac:dyDescent="0.25">
      <c r="A2477" t="str">
        <f>"20190305135839142"</f>
        <v>20190305135839142</v>
      </c>
      <c r="B2477" t="str">
        <f>"1551765519131129"</f>
        <v>1551765519131129</v>
      </c>
      <c r="C2477" t="s">
        <v>40</v>
      </c>
      <c r="D2477">
        <v>4.1134110000000002</v>
      </c>
      <c r="E2477">
        <v>0.4325253</v>
      </c>
      <c r="F2477" t="s">
        <v>41</v>
      </c>
      <c r="G2477">
        <v>-491.74619999999999</v>
      </c>
      <c r="H2477">
        <v>1.0399750000000001</v>
      </c>
      <c r="I2477">
        <v>251.083</v>
      </c>
      <c r="J2477">
        <v>-492.13909999999998</v>
      </c>
      <c r="K2477">
        <v>1.111124</v>
      </c>
      <c r="L2477">
        <v>251.8074</v>
      </c>
      <c r="M2477">
        <v>-4.7315969999999999E-2</v>
      </c>
      <c r="N2477">
        <v>-5.1762520000000001E-3</v>
      </c>
      <c r="O2477">
        <v>-0.99886660000000005</v>
      </c>
      <c r="P2477">
        <v>0.2018045</v>
      </c>
      <c r="Q2477">
        <v>1.096214E-2</v>
      </c>
      <c r="R2477">
        <v>-0.97936440000000002</v>
      </c>
      <c r="S2477">
        <v>1.099121</v>
      </c>
      <c r="T2477">
        <v>-0.20416519999999999</v>
      </c>
      <c r="U2477">
        <v>-2.842209</v>
      </c>
      <c r="V2477">
        <v>-0.24801319999999999</v>
      </c>
      <c r="W2477">
        <v>1.443033E-2</v>
      </c>
      <c r="X2477">
        <v>0.96864910000000004</v>
      </c>
      <c r="Y2477">
        <v>-0.40366380000000002</v>
      </c>
      <c r="Z2477">
        <v>6.0895270000000001E-2</v>
      </c>
      <c r="AA2477">
        <v>0.91287859999999998</v>
      </c>
      <c r="AB2477">
        <v>29</v>
      </c>
      <c r="AC2477">
        <v>0.39289999999999697</v>
      </c>
      <c r="AD2477">
        <v>-7.1148999999999907E-2</v>
      </c>
      <c r="AE2477">
        <v>-0.72440000000000204</v>
      </c>
      <c r="AF2477">
        <v>-0.42357873448102901</v>
      </c>
      <c r="AG2477">
        <v>-7.1148999999999907E-2</v>
      </c>
      <c r="AH2477">
        <v>0.69978178783430001</v>
      </c>
      <c r="AI2477">
        <v>94.9710701709338</v>
      </c>
      <c r="AJ2477">
        <v>121.18656859213699</v>
      </c>
      <c r="AK2477">
        <v>0.82108201483781096</v>
      </c>
      <c r="AL2477">
        <v>89.173174239149603</v>
      </c>
      <c r="AM2477">
        <v>104.361503184577</v>
      </c>
      <c r="AN2477">
        <v>0.99999993036447699</v>
      </c>
    </row>
    <row r="2478" spans="1:40" x14ac:dyDescent="0.25">
      <c r="A2478" t="str">
        <f>"20190305135839166"</f>
        <v>20190305135839166</v>
      </c>
      <c r="B2478" t="str">
        <f>"1551765519161386"</f>
        <v>1551765519161386</v>
      </c>
      <c r="C2478" t="s">
        <v>40</v>
      </c>
      <c r="D2478">
        <v>4.0274479999999997</v>
      </c>
      <c r="E2478">
        <v>0.43372880000000003</v>
      </c>
      <c r="F2478" t="s">
        <v>41</v>
      </c>
      <c r="G2478">
        <v>-491.7552</v>
      </c>
      <c r="H2478">
        <v>1.0304519999999999</v>
      </c>
      <c r="I2478">
        <v>250.83539999999999</v>
      </c>
      <c r="J2478">
        <v>-492.1497</v>
      </c>
      <c r="K2478">
        <v>1.1111500000000001</v>
      </c>
      <c r="L2478">
        <v>251.50700000000001</v>
      </c>
      <c r="M2478">
        <v>-4.3867650000000001E-2</v>
      </c>
      <c r="N2478">
        <v>-5.2980040000000003E-3</v>
      </c>
      <c r="O2478">
        <v>-0.99902329999999995</v>
      </c>
      <c r="P2478">
        <v>0.20734849999999999</v>
      </c>
      <c r="Q2478">
        <v>8.7610320000000002E-3</v>
      </c>
      <c r="R2478">
        <v>-0.97822779999999998</v>
      </c>
      <c r="S2478">
        <v>1.1197509999999999</v>
      </c>
      <c r="T2478">
        <v>-0.2353249</v>
      </c>
      <c r="U2478">
        <v>-2.8351289999999998</v>
      </c>
      <c r="V2478">
        <v>-0.25014429999999999</v>
      </c>
      <c r="W2478">
        <v>1.231812E-2</v>
      </c>
      <c r="X2478">
        <v>0.96813020000000005</v>
      </c>
      <c r="Y2478">
        <v>-0.40677530000000001</v>
      </c>
      <c r="Z2478">
        <v>7.0851579999999997E-2</v>
      </c>
      <c r="AA2478">
        <v>0.91077660000000005</v>
      </c>
      <c r="AB2478">
        <v>29</v>
      </c>
      <c r="AC2478">
        <v>0.39449999999999302</v>
      </c>
      <c r="AD2478">
        <v>-8.0697999999999895E-2</v>
      </c>
      <c r="AE2478">
        <v>-0.67160000000001197</v>
      </c>
      <c r="AF2478">
        <v>-0.41908364002447701</v>
      </c>
      <c r="AG2478">
        <v>-8.0697999999999895E-2</v>
      </c>
      <c r="AH2478">
        <v>0.64670559345346901</v>
      </c>
      <c r="AI2478">
        <v>95.978106889739607</v>
      </c>
      <c r="AJ2478">
        <v>122.94438650343901</v>
      </c>
      <c r="AK2478">
        <v>0.77483636281744594</v>
      </c>
      <c r="AL2478">
        <v>89.294205859467297</v>
      </c>
      <c r="AM2478">
        <v>104.487174535219</v>
      </c>
      <c r="AN2478">
        <v>0.99999999552743202</v>
      </c>
    </row>
    <row r="2479" spans="1:40" x14ac:dyDescent="0.25">
      <c r="A2479" t="str">
        <f>"20190305135839189"</f>
        <v>20190305135839189</v>
      </c>
      <c r="B2479" t="str">
        <f>"1551765519181882"</f>
        <v>1551765519181882</v>
      </c>
      <c r="C2479" t="s">
        <v>40</v>
      </c>
      <c r="D2479">
        <v>4.0261180000000003</v>
      </c>
      <c r="E2479">
        <v>0.43464550000000002</v>
      </c>
      <c r="F2479" t="s">
        <v>41</v>
      </c>
      <c r="G2479">
        <v>-491.74900000000002</v>
      </c>
      <c r="H2479">
        <v>1.0347249999999999</v>
      </c>
      <c r="I2479">
        <v>250.50040000000001</v>
      </c>
      <c r="J2479">
        <v>-492.15969999999999</v>
      </c>
      <c r="K2479">
        <v>1.1112070000000001</v>
      </c>
      <c r="L2479">
        <v>251.19829999999999</v>
      </c>
      <c r="M2479">
        <v>-4.0338329999999999E-2</v>
      </c>
      <c r="N2479">
        <v>-5.4992030000000003E-3</v>
      </c>
      <c r="O2479">
        <v>-0.99917100000000003</v>
      </c>
      <c r="P2479">
        <v>0.21316740000000001</v>
      </c>
      <c r="Q2479">
        <v>7.3644050000000001E-3</v>
      </c>
      <c r="R2479">
        <v>-0.97698799999999997</v>
      </c>
      <c r="S2479">
        <v>1.126709</v>
      </c>
      <c r="T2479">
        <v>-0.21484610000000001</v>
      </c>
      <c r="U2479">
        <v>-2.829834</v>
      </c>
      <c r="V2479">
        <v>-0.25247989999999998</v>
      </c>
      <c r="W2479">
        <v>1.1085589999999999E-2</v>
      </c>
      <c r="X2479">
        <v>0.96753869999999997</v>
      </c>
      <c r="Y2479">
        <v>-0.40623890000000001</v>
      </c>
      <c r="Z2479">
        <v>6.4172800000000002E-2</v>
      </c>
      <c r="AA2479">
        <v>0.91151070000000001</v>
      </c>
      <c r="AB2479">
        <v>29</v>
      </c>
      <c r="AC2479">
        <v>0.41069999999996298</v>
      </c>
      <c r="AD2479">
        <v>-7.6482000000000105E-2</v>
      </c>
      <c r="AE2479">
        <v>-0.69789999999997498</v>
      </c>
      <c r="AF2479">
        <v>-0.434641056341737</v>
      </c>
      <c r="AG2479">
        <v>-7.6482000000000105E-2</v>
      </c>
      <c r="AH2479">
        <v>0.67474569938627804</v>
      </c>
      <c r="AI2479">
        <v>95.443321155672507</v>
      </c>
      <c r="AJ2479">
        <v>122.78782660594101</v>
      </c>
      <c r="AK2479">
        <v>0.806253125899143</v>
      </c>
      <c r="AL2479">
        <v>89.364829509834294</v>
      </c>
      <c r="AM2479">
        <v>104.625226326091</v>
      </c>
      <c r="AN2479">
        <v>1.0000000631036701</v>
      </c>
    </row>
    <row r="2480" spans="1:40" x14ac:dyDescent="0.25">
      <c r="A2480" t="str">
        <f>"20190305135839211"</f>
        <v>20190305135839211</v>
      </c>
      <c r="B2480" t="str">
        <f>"1551765519201402"</f>
        <v>1551765519201402</v>
      </c>
      <c r="C2480" t="s">
        <v>40</v>
      </c>
      <c r="D2480">
        <v>4.0210800000000004</v>
      </c>
      <c r="E2480">
        <v>0.43477680000000002</v>
      </c>
      <c r="F2480" t="s">
        <v>42</v>
      </c>
      <c r="G2480">
        <v>-485.89089999999999</v>
      </c>
      <c r="H2480" s="1">
        <v>-3.306562E-6</v>
      </c>
      <c r="I2480">
        <v>235.6414</v>
      </c>
      <c r="J2480">
        <v>-492.1678</v>
      </c>
      <c r="K2480">
        <v>1.111272</v>
      </c>
      <c r="L2480">
        <v>250.91460000000001</v>
      </c>
      <c r="M2480">
        <v>-3.7138600000000001E-2</v>
      </c>
      <c r="N2480">
        <v>-5.8247799999999999E-3</v>
      </c>
      <c r="O2480">
        <v>-0.99929310000000005</v>
      </c>
      <c r="P2480">
        <v>0.2189374</v>
      </c>
      <c r="Q2480">
        <v>6.6825799999999996E-3</v>
      </c>
      <c r="R2480">
        <v>-0.97571609999999998</v>
      </c>
      <c r="S2480">
        <v>1.1379090000000001</v>
      </c>
      <c r="T2480">
        <v>-0.20170779999999999</v>
      </c>
      <c r="U2480">
        <v>-2.8238979999999998</v>
      </c>
      <c r="V2480">
        <v>-0.25509690000000002</v>
      </c>
      <c r="W2480">
        <v>1.06946E-2</v>
      </c>
      <c r="X2480">
        <v>0.96685639999999995</v>
      </c>
      <c r="Y2480">
        <v>-0.40719109999999997</v>
      </c>
      <c r="Z2480">
        <v>5.9684340000000002E-2</v>
      </c>
      <c r="AA2480">
        <v>0.91139079999999995</v>
      </c>
      <c r="AB2480">
        <v>29</v>
      </c>
      <c r="AC2480">
        <v>6.2769000000000101</v>
      </c>
      <c r="AD2480">
        <v>-1.111275306562</v>
      </c>
      <c r="AE2480">
        <v>-15.273199999999999</v>
      </c>
      <c r="AF2480">
        <v>-6.80896643154085</v>
      </c>
      <c r="AG2480">
        <v>-1.111275306562</v>
      </c>
      <c r="AH2480">
        <v>14.9617813372033</v>
      </c>
      <c r="AI2480">
        <v>93.867476933157207</v>
      </c>
      <c r="AJ2480">
        <v>114.469836842072</v>
      </c>
      <c r="AK2480">
        <v>16.475796109903399</v>
      </c>
      <c r="AL2480">
        <v>89.387232906191997</v>
      </c>
      <c r="AM2480">
        <v>104.78019076378401</v>
      </c>
      <c r="AN2480">
        <v>1.0000000505398601</v>
      </c>
    </row>
    <row r="2481" spans="1:40" x14ac:dyDescent="0.25">
      <c r="A2481" t="str">
        <f>"20190305135839232"</f>
        <v>20190305135839232</v>
      </c>
      <c r="B2481" t="str">
        <f>"1551765519220927"</f>
        <v>1551765519220927</v>
      </c>
      <c r="C2481" t="s">
        <v>40</v>
      </c>
      <c r="D2481">
        <v>4.0366999999999997</v>
      </c>
      <c r="E2481">
        <v>0.43508000000000002</v>
      </c>
      <c r="F2481" t="s">
        <v>42</v>
      </c>
      <c r="G2481">
        <v>-485.37389999999999</v>
      </c>
      <c r="H2481" s="1">
        <v>-2.8369650000000002E-6</v>
      </c>
      <c r="I2481">
        <v>234.333</v>
      </c>
      <c r="J2481">
        <v>-492.17500000000001</v>
      </c>
      <c r="K2481">
        <v>1.1113649999999999</v>
      </c>
      <c r="L2481">
        <v>250.63200000000001</v>
      </c>
      <c r="M2481">
        <v>-3.4028830000000003E-2</v>
      </c>
      <c r="N2481">
        <v>-6.3593629999999998E-3</v>
      </c>
      <c r="O2481">
        <v>-0.99940070000000003</v>
      </c>
      <c r="P2481">
        <v>0.2244322</v>
      </c>
      <c r="Q2481">
        <v>4.7133309999999899E-3</v>
      </c>
      <c r="R2481">
        <v>-0.97447839999999997</v>
      </c>
      <c r="S2481">
        <v>1.1542049999999999</v>
      </c>
      <c r="T2481">
        <v>-0.18879209999999999</v>
      </c>
      <c r="U2481">
        <v>-2.8170169999999999</v>
      </c>
      <c r="V2481">
        <v>-0.2575267</v>
      </c>
      <c r="W2481">
        <v>9.2350750000000006E-3</v>
      </c>
      <c r="X2481">
        <v>0.96622710000000001</v>
      </c>
      <c r="Y2481">
        <v>-0.40974270000000002</v>
      </c>
      <c r="Z2481">
        <v>5.5018110000000002E-2</v>
      </c>
      <c r="AA2481">
        <v>0.91054049999999997</v>
      </c>
      <c r="AB2481">
        <v>29</v>
      </c>
      <c r="AC2481">
        <v>6.8011000000000204</v>
      </c>
      <c r="AD2481">
        <v>-1.111367836965</v>
      </c>
      <c r="AE2481">
        <v>-16.298999999999999</v>
      </c>
      <c r="AF2481">
        <v>-7.3228105461126702</v>
      </c>
      <c r="AG2481">
        <v>-1.111367836965</v>
      </c>
      <c r="AH2481">
        <v>15.9947843662612</v>
      </c>
      <c r="AI2481">
        <v>93.614961862641096</v>
      </c>
      <c r="AJ2481">
        <v>114.599486235673</v>
      </c>
      <c r="AK2481">
        <v>17.6264522716993</v>
      </c>
      <c r="AL2481">
        <v>89.470861682986296</v>
      </c>
      <c r="AM2481">
        <v>104.924006214342</v>
      </c>
      <c r="AN2481">
        <v>1.0000000482987701</v>
      </c>
    </row>
    <row r="2482" spans="1:40" x14ac:dyDescent="0.25">
      <c r="A2482" t="str">
        <f>"20190305135839256"</f>
        <v>20190305135839256</v>
      </c>
      <c r="B2482" t="str">
        <f>"1551765519251178"</f>
        <v>1551765519251178</v>
      </c>
      <c r="C2482" t="s">
        <v>40</v>
      </c>
      <c r="D2482">
        <v>4.0373130000000002</v>
      </c>
      <c r="E2482">
        <v>0.43548429999999999</v>
      </c>
      <c r="F2482" t="s">
        <v>42</v>
      </c>
      <c r="G2482">
        <v>-485.06939999999997</v>
      </c>
      <c r="H2482" s="1">
        <v>-2.6340699999999999E-6</v>
      </c>
      <c r="I2482">
        <v>233.5333</v>
      </c>
      <c r="J2482">
        <v>-492.18180000000001</v>
      </c>
      <c r="K2482">
        <v>1.1114459999999999</v>
      </c>
      <c r="L2482">
        <v>250.3331</v>
      </c>
      <c r="M2482">
        <v>-3.0828210000000002E-2</v>
      </c>
      <c r="N2482">
        <v>-7.09248E-3</v>
      </c>
      <c r="O2482">
        <v>-0.99949940000000004</v>
      </c>
      <c r="P2482">
        <v>0.23003270000000001</v>
      </c>
      <c r="Q2482">
        <v>1.6636999999999999E-3</v>
      </c>
      <c r="R2482">
        <v>-0.97318139999999997</v>
      </c>
      <c r="S2482">
        <v>1.1679379999999999</v>
      </c>
      <c r="T2482">
        <v>-0.1826738</v>
      </c>
      <c r="U2482">
        <v>-2.810486</v>
      </c>
      <c r="V2482">
        <v>-0.25997360000000003</v>
      </c>
      <c r="W2482">
        <v>6.9096169999999998E-3</v>
      </c>
      <c r="X2482">
        <v>0.96559099999999998</v>
      </c>
      <c r="Y2482">
        <v>-0.41141129999999998</v>
      </c>
      <c r="Z2482">
        <v>5.2362640000000002E-2</v>
      </c>
      <c r="AA2482">
        <v>0.90994450000000004</v>
      </c>
      <c r="AB2482">
        <v>29</v>
      </c>
      <c r="AC2482">
        <v>7.1124000000000303</v>
      </c>
      <c r="AD2482">
        <v>-1.1114486340699901</v>
      </c>
      <c r="AE2482">
        <v>-16.799800000000001</v>
      </c>
      <c r="AF2482">
        <v>-7.5987361045121702</v>
      </c>
      <c r="AG2482">
        <v>-1.1114486340699901</v>
      </c>
      <c r="AH2482">
        <v>16.511262060248299</v>
      </c>
      <c r="AI2482">
        <v>93.499259682266697</v>
      </c>
      <c r="AJ2482">
        <v>114.71261274627901</v>
      </c>
      <c r="AK2482">
        <v>18.209829303823501</v>
      </c>
      <c r="AL2482">
        <v>89.6041049565831</v>
      </c>
      <c r="AM2482">
        <v>105.068863957693</v>
      </c>
      <c r="AN2482">
        <v>0.99999999739252299</v>
      </c>
    </row>
    <row r="2483" spans="1:40" x14ac:dyDescent="0.25">
      <c r="A2483" t="str">
        <f>"20190305135839284"</f>
        <v>20190305135839284</v>
      </c>
      <c r="B2483" t="str">
        <f>"1551765519281435"</f>
        <v>1551765519281435</v>
      </c>
      <c r="C2483" t="s">
        <v>40</v>
      </c>
      <c r="D2483">
        <v>4.0051410000000001</v>
      </c>
      <c r="E2483">
        <v>0.43610139999999997</v>
      </c>
      <c r="F2483" t="s">
        <v>42</v>
      </c>
      <c r="G2483">
        <v>-484.7296</v>
      </c>
      <c r="H2483" s="1">
        <v>-2.424676E-6</v>
      </c>
      <c r="I2483">
        <v>232.6523</v>
      </c>
      <c r="J2483">
        <v>-492.18880000000001</v>
      </c>
      <c r="K2483">
        <v>1.1115010000000001</v>
      </c>
      <c r="L2483">
        <v>249.9743</v>
      </c>
      <c r="M2483">
        <v>-2.7123789999999998E-2</v>
      </c>
      <c r="N2483">
        <v>-8.0009350000000007E-3</v>
      </c>
      <c r="O2483">
        <v>-0.99960009999999999</v>
      </c>
      <c r="P2483">
        <v>0.23577020000000001</v>
      </c>
      <c r="Q2483">
        <v>-7.437896E-4</v>
      </c>
      <c r="R2483">
        <v>-0.97180860000000002</v>
      </c>
      <c r="S2483">
        <v>1.181702</v>
      </c>
      <c r="T2483">
        <v>-0.17624239999999999</v>
      </c>
      <c r="U2483">
        <v>-2.8036500000000002</v>
      </c>
      <c r="V2483">
        <v>-0.26207999999999998</v>
      </c>
      <c r="W2483">
        <v>5.4238219999999896E-3</v>
      </c>
      <c r="X2483">
        <v>0.96503090000000002</v>
      </c>
      <c r="Y2483">
        <v>-0.41266770000000003</v>
      </c>
      <c r="Z2483">
        <v>4.9436960000000002E-2</v>
      </c>
      <c r="AA2483">
        <v>0.90953910000000004</v>
      </c>
      <c r="AB2483">
        <v>29</v>
      </c>
      <c r="AC2483">
        <v>7.4592000000000098</v>
      </c>
      <c r="AD2483">
        <v>-1.1115034246760001</v>
      </c>
      <c r="AE2483">
        <v>-17.321999999999999</v>
      </c>
      <c r="AF2483">
        <v>-7.89887322865534</v>
      </c>
      <c r="AG2483">
        <v>-1.1115034246760001</v>
      </c>
      <c r="AH2483">
        <v>17.0540635805425</v>
      </c>
      <c r="AI2483">
        <v>93.384519938138396</v>
      </c>
      <c r="AJ2483">
        <v>114.851998151598</v>
      </c>
      <c r="AK2483">
        <v>18.827339768395898</v>
      </c>
      <c r="AL2483">
        <v>89.689236364125193</v>
      </c>
      <c r="AM2483">
        <v>105.193746866436</v>
      </c>
      <c r="AN2483">
        <v>0.99999999109994797</v>
      </c>
    </row>
    <row r="2484" spans="1:40" x14ac:dyDescent="0.25">
      <c r="A2484" t="str">
        <f>"20190305135839301"</f>
        <v>20190305135839301</v>
      </c>
      <c r="B2484" t="str">
        <f>"1551765519291194"</f>
        <v>1551765519291194</v>
      </c>
      <c r="C2484" t="s">
        <v>40</v>
      </c>
      <c r="D2484">
        <v>4.016362</v>
      </c>
      <c r="E2484">
        <v>0.43628519999999998</v>
      </c>
      <c r="F2484" t="s">
        <v>41</v>
      </c>
      <c r="G2484">
        <v>-491.78820000000002</v>
      </c>
      <c r="H2484">
        <v>1.053496</v>
      </c>
      <c r="I2484">
        <v>249.03550000000001</v>
      </c>
      <c r="J2484">
        <v>-492.19290000000001</v>
      </c>
      <c r="K2484">
        <v>1.111515</v>
      </c>
      <c r="L2484">
        <v>249.7313</v>
      </c>
      <c r="M2484">
        <v>-2.471754E-2</v>
      </c>
      <c r="N2484">
        <v>-8.5817729999999991E-3</v>
      </c>
      <c r="O2484">
        <v>-0.99965769999999998</v>
      </c>
      <c r="P2484">
        <v>0.2399163</v>
      </c>
      <c r="Q2484">
        <v>-1.7568550000000001E-3</v>
      </c>
      <c r="R2484">
        <v>-0.97079190000000004</v>
      </c>
      <c r="S2484">
        <v>1.1944889999999999</v>
      </c>
      <c r="T2484">
        <v>-0.17279169999999999</v>
      </c>
      <c r="U2484">
        <v>-2.7970890000000002</v>
      </c>
      <c r="V2484">
        <v>-0.26387250000000001</v>
      </c>
      <c r="W2484">
        <v>5.0003950000000004E-3</v>
      </c>
      <c r="X2484">
        <v>0.96454459999999997</v>
      </c>
      <c r="Y2484">
        <v>-0.41478500000000001</v>
      </c>
      <c r="Z2484">
        <v>4.7785960000000002E-2</v>
      </c>
      <c r="AA2484">
        <v>0.90866380000000002</v>
      </c>
      <c r="AB2484">
        <v>29</v>
      </c>
      <c r="AC2484">
        <v>0.40469999999999101</v>
      </c>
      <c r="AD2484">
        <v>-5.8019000000000001E-2</v>
      </c>
      <c r="AE2484">
        <v>-0.69579999999999098</v>
      </c>
      <c r="AF2484">
        <v>-0.41959547380093398</v>
      </c>
      <c r="AG2484">
        <v>-5.8019000000000001E-2</v>
      </c>
      <c r="AH2484">
        <v>0.68204036897591203</v>
      </c>
      <c r="AI2484">
        <v>94.144045729385098</v>
      </c>
      <c r="AJ2484">
        <v>121.600087709059</v>
      </c>
      <c r="AK2484">
        <v>0.80287335919684599</v>
      </c>
      <c r="AL2484">
        <v>89.713497274579694</v>
      </c>
      <c r="AM2484">
        <v>105.30016340802401</v>
      </c>
      <c r="AN2484">
        <v>0.99999999279778296</v>
      </c>
    </row>
    <row r="2485" spans="1:40" x14ac:dyDescent="0.25">
      <c r="A2485" t="str">
        <f>"20190305135839322"</f>
        <v>20190305135839322</v>
      </c>
      <c r="B2485" t="str">
        <f>"1551765519310718"</f>
        <v>1551765519310718</v>
      </c>
      <c r="C2485" t="s">
        <v>40</v>
      </c>
      <c r="D2485">
        <v>4.0996030000000001</v>
      </c>
      <c r="E2485">
        <v>0.43659209999999898</v>
      </c>
      <c r="F2485" t="s">
        <v>41</v>
      </c>
      <c r="G2485">
        <v>-491.78149999999999</v>
      </c>
      <c r="H2485">
        <v>1.0527789999999999</v>
      </c>
      <c r="I2485">
        <v>248.77869999999999</v>
      </c>
      <c r="J2485">
        <v>-492.1968</v>
      </c>
      <c r="K2485">
        <v>1.1115189999999999</v>
      </c>
      <c r="L2485">
        <v>249.4579</v>
      </c>
      <c r="M2485">
        <v>-2.2117729999999999E-2</v>
      </c>
      <c r="N2485">
        <v>-9.1946279999999998E-3</v>
      </c>
      <c r="O2485">
        <v>-0.99971319999999997</v>
      </c>
      <c r="P2485">
        <v>0.24378240000000001</v>
      </c>
      <c r="Q2485">
        <v>-2.0007530000000001E-3</v>
      </c>
      <c r="R2485">
        <v>-0.96982800000000002</v>
      </c>
      <c r="S2485">
        <v>1.2055049999999901</v>
      </c>
      <c r="T2485">
        <v>-0.17215059999999999</v>
      </c>
      <c r="U2485">
        <v>-2.7920069999999999</v>
      </c>
      <c r="V2485">
        <v>-0.26520820000000001</v>
      </c>
      <c r="W2485">
        <v>5.3823369999999897E-3</v>
      </c>
      <c r="X2485">
        <v>0.96417609999999998</v>
      </c>
      <c r="Y2485">
        <v>-0.41604829999999998</v>
      </c>
      <c r="Z2485">
        <v>4.7006949999999999E-2</v>
      </c>
      <c r="AA2485">
        <v>0.90812680000000001</v>
      </c>
      <c r="AB2485">
        <v>29</v>
      </c>
      <c r="AC2485">
        <v>0.415300000000002</v>
      </c>
      <c r="AD2485">
        <v>-5.8740000000000001E-2</v>
      </c>
      <c r="AE2485">
        <v>-0.67920000000000802</v>
      </c>
      <c r="AF2485">
        <v>-0.42789191438004698</v>
      </c>
      <c r="AG2485">
        <v>-5.8740000000000001E-2</v>
      </c>
      <c r="AH2485">
        <v>0.66622099239883603</v>
      </c>
      <c r="AI2485">
        <v>94.242756464286998</v>
      </c>
      <c r="AJ2485">
        <v>122.711304134689</v>
      </c>
      <c r="AK2485">
        <v>0.79397247351826505</v>
      </c>
      <c r="AL2485">
        <v>89.691613303231904</v>
      </c>
      <c r="AM2485">
        <v>105.379553422567</v>
      </c>
      <c r="AN2485">
        <v>0.99999995535501396</v>
      </c>
    </row>
    <row r="2486" spans="1:40" x14ac:dyDescent="0.25">
      <c r="A2486" t="str">
        <f>"20190305135839344"</f>
        <v>20190305135839344</v>
      </c>
      <c r="B2486" t="str">
        <f>"1551765519340970"</f>
        <v>1551765519340970</v>
      </c>
      <c r="C2486" t="s">
        <v>40</v>
      </c>
      <c r="D2486">
        <v>4.1027800000000001</v>
      </c>
      <c r="E2486">
        <v>0.4371524</v>
      </c>
      <c r="F2486" t="s">
        <v>41</v>
      </c>
      <c r="G2486">
        <v>-491.78789999999998</v>
      </c>
      <c r="H2486">
        <v>1.054162</v>
      </c>
      <c r="I2486">
        <v>248.51840000000001</v>
      </c>
      <c r="J2486">
        <v>-492.20010000000002</v>
      </c>
      <c r="K2486">
        <v>1.1115170000000001</v>
      </c>
      <c r="L2486">
        <v>249.1748</v>
      </c>
      <c r="M2486">
        <v>-1.9522729999999999E-2</v>
      </c>
      <c r="N2486">
        <v>-9.7844000000000004E-3</v>
      </c>
      <c r="O2486">
        <v>-0.99976149999999997</v>
      </c>
      <c r="P2486">
        <v>0.24688209999999999</v>
      </c>
      <c r="Q2486">
        <v>-1.2721469999999999E-3</v>
      </c>
      <c r="R2486">
        <v>-0.96904469999999998</v>
      </c>
      <c r="S2486">
        <v>1.2138979999999999</v>
      </c>
      <c r="T2486">
        <v>-0.17019799999999999</v>
      </c>
      <c r="U2486">
        <v>-2.7878720000000001</v>
      </c>
      <c r="V2486">
        <v>-0.26579449999999999</v>
      </c>
      <c r="W2486">
        <v>6.7193640000000002E-3</v>
      </c>
      <c r="X2486">
        <v>0.96400629999999998</v>
      </c>
      <c r="Y2486">
        <v>-0.41649360000000002</v>
      </c>
      <c r="Z2486">
        <v>4.582667E-2</v>
      </c>
      <c r="AA2486">
        <v>0.90798290000000004</v>
      </c>
      <c r="AB2486">
        <v>29</v>
      </c>
      <c r="AC2486">
        <v>0.41220000000004098</v>
      </c>
      <c r="AD2486">
        <v>-5.7355000000000003E-2</v>
      </c>
      <c r="AE2486">
        <v>-0.65639999999998999</v>
      </c>
      <c r="AF2486">
        <v>-0.42262263930143401</v>
      </c>
      <c r="AG2486">
        <v>-5.7355000000000003E-2</v>
      </c>
      <c r="AH2486">
        <v>0.64469710619777598</v>
      </c>
      <c r="AI2486">
        <v>94.255121378239394</v>
      </c>
      <c r="AJ2486">
        <v>123.246313731238</v>
      </c>
      <c r="AK2486">
        <v>0.77300313713134206</v>
      </c>
      <c r="AL2486">
        <v>89.615005907090193</v>
      </c>
      <c r="AM2486">
        <v>105.414523986424</v>
      </c>
      <c r="AN2486">
        <v>1.00000000626125</v>
      </c>
    </row>
    <row r="2487" spans="1:40" x14ac:dyDescent="0.25">
      <c r="A2487" t="str">
        <f>"20190305135839369"</f>
        <v>20190305135839369</v>
      </c>
      <c r="B2487" t="str">
        <f>"1551765519361467"</f>
        <v>1551765519361467</v>
      </c>
      <c r="C2487" t="s">
        <v>40</v>
      </c>
      <c r="D2487">
        <v>4.0779449999999997</v>
      </c>
      <c r="E2487">
        <v>0.43734899999999999</v>
      </c>
      <c r="F2487" t="s">
        <v>41</v>
      </c>
      <c r="G2487">
        <v>-491.7912</v>
      </c>
      <c r="H2487">
        <v>1.0537559999999999</v>
      </c>
      <c r="I2487">
        <v>248.2398</v>
      </c>
      <c r="J2487">
        <v>-492.20310000000001</v>
      </c>
      <c r="K2487">
        <v>1.1115090000000001</v>
      </c>
      <c r="L2487">
        <v>248.85820000000001</v>
      </c>
      <c r="M2487">
        <v>-1.669787E-2</v>
      </c>
      <c r="N2487">
        <v>-1.038335E-2</v>
      </c>
      <c r="O2487">
        <v>-0.9998068</v>
      </c>
      <c r="P2487">
        <v>0.25041400000000003</v>
      </c>
      <c r="Q2487">
        <v>-8.2579669999999997E-4</v>
      </c>
      <c r="R2487">
        <v>-0.96813890000000002</v>
      </c>
      <c r="S2487">
        <v>1.218475</v>
      </c>
      <c r="T2487">
        <v>-0.17205680000000001</v>
      </c>
      <c r="U2487">
        <v>-2.785202</v>
      </c>
      <c r="V2487">
        <v>-0.26659040000000001</v>
      </c>
      <c r="W2487">
        <v>7.7817290000000003E-3</v>
      </c>
      <c r="X2487">
        <v>0.96377849999999998</v>
      </c>
      <c r="Y2487">
        <v>-0.41548629999999998</v>
      </c>
      <c r="Z2487">
        <v>4.5887629999999999E-2</v>
      </c>
      <c r="AA2487">
        <v>0.90844119999999995</v>
      </c>
      <c r="AB2487">
        <v>29</v>
      </c>
      <c r="AC2487">
        <v>0.41190000000000199</v>
      </c>
      <c r="AD2487">
        <v>-5.7753000000000103E-2</v>
      </c>
      <c r="AE2487">
        <v>-0.61840000000000805</v>
      </c>
      <c r="AF2487">
        <v>-0.41963385457746399</v>
      </c>
      <c r="AG2487">
        <v>-5.7753000000000103E-2</v>
      </c>
      <c r="AH2487">
        <v>0.60776372849756199</v>
      </c>
      <c r="AI2487">
        <v>94.471252048338499</v>
      </c>
      <c r="AJ2487">
        <v>124.62335522239</v>
      </c>
      <c r="AK2487">
        <v>0.74081355994190501</v>
      </c>
      <c r="AL2487">
        <v>89.554135269600195</v>
      </c>
      <c r="AM2487">
        <v>105.46195597932901</v>
      </c>
      <c r="AN2487">
        <v>0.99999999687031904</v>
      </c>
    </row>
    <row r="2488" spans="1:40" x14ac:dyDescent="0.25">
      <c r="A2488" t="str">
        <f>"20190305135839389"</f>
        <v>20190305135839389</v>
      </c>
      <c r="B2488" t="str">
        <f>"1551765519380990"</f>
        <v>1551765519380990</v>
      </c>
      <c r="C2488" t="s">
        <v>40</v>
      </c>
      <c r="D2488">
        <v>4.023129</v>
      </c>
      <c r="E2488">
        <v>0.43782680000000002</v>
      </c>
      <c r="F2488" t="s">
        <v>42</v>
      </c>
      <c r="G2488">
        <v>-484.2466</v>
      </c>
      <c r="H2488" s="1">
        <v>-1.9314030000000001E-6</v>
      </c>
      <c r="I2488">
        <v>230.8252</v>
      </c>
      <c r="J2488">
        <v>-492.20499999999998</v>
      </c>
      <c r="K2488">
        <v>1.1114869999999999</v>
      </c>
      <c r="L2488">
        <v>248.57919999999999</v>
      </c>
      <c r="M2488">
        <v>-1.42446E-2</v>
      </c>
      <c r="N2488">
        <v>-1.0856070000000001E-2</v>
      </c>
      <c r="O2488">
        <v>-0.9998397</v>
      </c>
      <c r="P2488">
        <v>0.2529593</v>
      </c>
      <c r="Q2488">
        <v>-8.0128990000000004E-4</v>
      </c>
      <c r="R2488">
        <v>-0.96747669999999997</v>
      </c>
      <c r="S2488">
        <v>1.227112</v>
      </c>
      <c r="T2488">
        <v>-0.1714272</v>
      </c>
      <c r="U2488">
        <v>-2.7812190000000001</v>
      </c>
      <c r="V2488">
        <v>-0.26676159999999999</v>
      </c>
      <c r="W2488">
        <v>8.2943129999999993E-3</v>
      </c>
      <c r="X2488">
        <v>0.96372690000000005</v>
      </c>
      <c r="Y2488">
        <v>-0.41610130000000001</v>
      </c>
      <c r="Z2488">
        <v>4.5248780000000002E-2</v>
      </c>
      <c r="AA2488">
        <v>0.90819170000000005</v>
      </c>
      <c r="AB2488">
        <v>29</v>
      </c>
      <c r="AC2488">
        <v>7.9583999999999797</v>
      </c>
      <c r="AD2488">
        <v>-1.1114889314030001</v>
      </c>
      <c r="AE2488">
        <v>-17.753999999999898</v>
      </c>
      <c r="AF2488">
        <v>-8.1837972660133804</v>
      </c>
      <c r="AG2488">
        <v>-1.1114889314030001</v>
      </c>
      <c r="AH2488">
        <v>17.581448655103799</v>
      </c>
      <c r="AI2488">
        <v>93.280285955292399</v>
      </c>
      <c r="AJ2488">
        <v>114.960994682479</v>
      </c>
      <c r="AK2488">
        <v>19.424656551607001</v>
      </c>
      <c r="AL2488">
        <v>89.524765442136896</v>
      </c>
      <c r="AM2488">
        <v>105.472198545274</v>
      </c>
      <c r="AN2488">
        <v>1.0000000423231501</v>
      </c>
    </row>
    <row r="2489" spans="1:40" x14ac:dyDescent="0.25">
      <c r="A2489" t="str">
        <f>"20190305135839412"</f>
        <v>20190305135839412</v>
      </c>
      <c r="B2489" t="str">
        <f>"1551765519401482"</f>
        <v>1551765519401482</v>
      </c>
      <c r="C2489" t="s">
        <v>40</v>
      </c>
      <c r="D2489">
        <v>3.983851</v>
      </c>
      <c r="E2489">
        <v>0.43815599999999999</v>
      </c>
      <c r="F2489" t="s">
        <v>42</v>
      </c>
      <c r="G2489">
        <v>-484.04270000000002</v>
      </c>
      <c r="H2489" s="1">
        <v>-1.757258E-6</v>
      </c>
      <c r="I2489">
        <v>230.154</v>
      </c>
      <c r="J2489">
        <v>-492.20620000000002</v>
      </c>
      <c r="K2489">
        <v>1.1114660000000001</v>
      </c>
      <c r="L2489">
        <v>248.2936</v>
      </c>
      <c r="M2489">
        <v>-1.175084E-2</v>
      </c>
      <c r="N2489">
        <v>-1.1287810000000001E-2</v>
      </c>
      <c r="O2489">
        <v>-0.99986730000000001</v>
      </c>
      <c r="P2489">
        <v>0.25513150000000001</v>
      </c>
      <c r="Q2489">
        <v>-1.6965560000000001E-3</v>
      </c>
      <c r="R2489">
        <v>-0.96690509999999996</v>
      </c>
      <c r="S2489">
        <v>1.2310179999999999</v>
      </c>
      <c r="T2489">
        <v>-0.16763210000000001</v>
      </c>
      <c r="U2489">
        <v>-2.7788539999999999</v>
      </c>
      <c r="V2489">
        <v>-0.26651950000000002</v>
      </c>
      <c r="W2489">
        <v>7.8441929999999993E-3</v>
      </c>
      <c r="X2489">
        <v>0.96379760000000003</v>
      </c>
      <c r="Y2489">
        <v>-0.41521279999999999</v>
      </c>
      <c r="Z2489">
        <v>4.3625230000000001E-2</v>
      </c>
      <c r="AA2489">
        <v>0.90867770000000003</v>
      </c>
      <c r="AB2489">
        <v>29</v>
      </c>
      <c r="AC2489">
        <v>8.1634999999999902</v>
      </c>
      <c r="AD2489">
        <v>-1.1114677572579901</v>
      </c>
      <c r="AE2489">
        <v>-18.139599999999898</v>
      </c>
      <c r="AF2489">
        <v>-8.3500360952474999</v>
      </c>
      <c r="AG2489">
        <v>-1.1114677572579901</v>
      </c>
      <c r="AH2489">
        <v>17.9862591745324</v>
      </c>
      <c r="AI2489">
        <v>93.208062107999993</v>
      </c>
      <c r="AJ2489">
        <v>114.902863340473</v>
      </c>
      <c r="AK2489">
        <v>19.861117351770801</v>
      </c>
      <c r="AL2489">
        <v>89.550556235715803</v>
      </c>
      <c r="AM2489">
        <v>105.457748850203</v>
      </c>
      <c r="AN2489">
        <v>0.99999999450491495</v>
      </c>
    </row>
    <row r="2490" spans="1:40" x14ac:dyDescent="0.25">
      <c r="A2490" t="str">
        <f>"20190305135839433"</f>
        <v>20190305135839433</v>
      </c>
      <c r="B2490" t="str">
        <f>"1551765519421002"</f>
        <v>1551765519421002</v>
      </c>
      <c r="C2490" t="s">
        <v>40</v>
      </c>
      <c r="D2490">
        <v>4.2941649999999996</v>
      </c>
      <c r="E2490">
        <v>0.43824049999999998</v>
      </c>
      <c r="F2490" t="s">
        <v>42</v>
      </c>
      <c r="G2490">
        <v>-483.93150000000003</v>
      </c>
      <c r="H2490" s="1">
        <v>-1.6286650000000001E-6</v>
      </c>
      <c r="I2490">
        <v>229.6892</v>
      </c>
      <c r="J2490">
        <v>-492.20679999999999</v>
      </c>
      <c r="K2490">
        <v>1.111453</v>
      </c>
      <c r="L2490">
        <v>248.02160000000001</v>
      </c>
      <c r="M2490">
        <v>-9.3818819999999994E-3</v>
      </c>
      <c r="N2490">
        <v>-1.165244E-2</v>
      </c>
      <c r="O2490">
        <v>-0.99988809999999995</v>
      </c>
      <c r="P2490">
        <v>0.25688339999999998</v>
      </c>
      <c r="Q2490">
        <v>-2.7731269999999998E-3</v>
      </c>
      <c r="R2490">
        <v>-0.96643860000000004</v>
      </c>
      <c r="S2490">
        <v>1.2349239999999999</v>
      </c>
      <c r="T2490">
        <v>-0.1658771</v>
      </c>
      <c r="U2490">
        <v>-2.7765499999999999</v>
      </c>
      <c r="V2490">
        <v>-0.26597850000000001</v>
      </c>
      <c r="W2490">
        <v>7.1418319999999999E-3</v>
      </c>
      <c r="X2490">
        <v>0.96395249999999999</v>
      </c>
      <c r="Y2490">
        <v>-0.41441670000000003</v>
      </c>
      <c r="Z2490">
        <v>4.2731129999999999E-2</v>
      </c>
      <c r="AA2490">
        <v>0.90908350000000004</v>
      </c>
      <c r="AB2490">
        <v>29</v>
      </c>
      <c r="AC2490">
        <v>8.2752999999999499</v>
      </c>
      <c r="AD2490">
        <v>-1.111454628665</v>
      </c>
      <c r="AE2490">
        <v>-18.3324</v>
      </c>
      <c r="AF2490">
        <v>-8.4212253116887901</v>
      </c>
      <c r="AG2490">
        <v>-1.111454628665</v>
      </c>
      <c r="AH2490">
        <v>18.198380472180499</v>
      </c>
      <c r="AI2490">
        <v>93.1725188404438</v>
      </c>
      <c r="AJ2490">
        <v>114.83214495183699</v>
      </c>
      <c r="AK2490">
        <v>20.083162573460601</v>
      </c>
      <c r="AL2490">
        <v>89.590799687815206</v>
      </c>
      <c r="AM2490">
        <v>105.425506792093</v>
      </c>
      <c r="AN2490">
        <v>0.99999999524140804</v>
      </c>
    </row>
    <row r="2491" spans="1:40" x14ac:dyDescent="0.25">
      <c r="A2491" t="str">
        <f>"20190305135839456"</f>
        <v>20190305135839456</v>
      </c>
      <c r="B2491" t="str">
        <f>"1551765519451258"</f>
        <v>1551765519451258</v>
      </c>
      <c r="C2491" t="s">
        <v>40</v>
      </c>
      <c r="D2491">
        <v>3.9630480000000001</v>
      </c>
      <c r="E2491">
        <v>0.43850410000000001</v>
      </c>
      <c r="F2491" t="s">
        <v>42</v>
      </c>
      <c r="G2491">
        <v>-483.9862</v>
      </c>
      <c r="H2491" s="1">
        <v>-1.5894449999999999E-6</v>
      </c>
      <c r="I2491">
        <v>229.61670000000001</v>
      </c>
      <c r="J2491">
        <v>-492.20670000000001</v>
      </c>
      <c r="K2491">
        <v>1.111443</v>
      </c>
      <c r="L2491">
        <v>247.7294</v>
      </c>
      <c r="M2491">
        <v>-6.8341590000000002E-3</v>
      </c>
      <c r="N2491">
        <v>-1.1998709999999999E-2</v>
      </c>
      <c r="O2491">
        <v>-0.99990489999999999</v>
      </c>
      <c r="P2491">
        <v>0.25711980000000001</v>
      </c>
      <c r="Q2491">
        <v>-3.5642260000000002E-3</v>
      </c>
      <c r="R2491">
        <v>-0.96637329999999999</v>
      </c>
      <c r="S2491">
        <v>1.239166</v>
      </c>
      <c r="T2491">
        <v>-0.16753959999999901</v>
      </c>
      <c r="U2491">
        <v>-2.7743380000000002</v>
      </c>
      <c r="V2491">
        <v>-0.26375480000000001</v>
      </c>
      <c r="W2491">
        <v>6.71698E-3</v>
      </c>
      <c r="X2491">
        <v>0.96456629999999999</v>
      </c>
      <c r="Y2491">
        <v>-0.41351650000000001</v>
      </c>
      <c r="Z2491">
        <v>4.2971849999999999E-2</v>
      </c>
      <c r="AA2491">
        <v>0.90948209999999996</v>
      </c>
      <c r="AB2491">
        <v>29</v>
      </c>
      <c r="AC2491">
        <v>8.2205000000000101</v>
      </c>
      <c r="AD2491">
        <v>-1.111444589445</v>
      </c>
      <c r="AE2491">
        <v>-18.112699999999901</v>
      </c>
      <c r="AF2491">
        <v>-8.3181306317240598</v>
      </c>
      <c r="AG2491">
        <v>-1.111444589445</v>
      </c>
      <c r="AH2491">
        <v>17.9998924732337</v>
      </c>
      <c r="AI2491">
        <v>93.208163078786001</v>
      </c>
      <c r="AJ2491">
        <v>114.802656229305</v>
      </c>
      <c r="AK2491">
        <v>19.860078935638899</v>
      </c>
      <c r="AL2491">
        <v>89.615142473852202</v>
      </c>
      <c r="AM2491">
        <v>105.293330478173</v>
      </c>
      <c r="AN2491">
        <v>0.99999992971952201</v>
      </c>
    </row>
    <row r="2492" spans="1:40" x14ac:dyDescent="0.25">
      <c r="A2492" t="str">
        <f>"20190305135839480"</f>
        <v>20190305135839480</v>
      </c>
      <c r="B2492" t="str">
        <f>"1551765519470778"</f>
        <v>1551765519470778</v>
      </c>
      <c r="C2492" t="s">
        <v>40</v>
      </c>
      <c r="D2492">
        <v>3.9640279999999999</v>
      </c>
      <c r="E2492">
        <v>0.438724</v>
      </c>
      <c r="F2492" t="s">
        <v>58</v>
      </c>
      <c r="G2492">
        <v>-483.81830000000002</v>
      </c>
      <c r="H2492" s="1">
        <v>4.7878839999999999E-6</v>
      </c>
      <c r="I2492">
        <v>228.93389999999999</v>
      </c>
      <c r="J2492">
        <v>-492.20569999999998</v>
      </c>
      <c r="K2492">
        <v>1.111442</v>
      </c>
      <c r="L2492">
        <v>247.41659999999999</v>
      </c>
      <c r="M2492">
        <v>-4.0951420000000004E-3</v>
      </c>
      <c r="N2492">
        <v>-1.2319689999999999E-2</v>
      </c>
      <c r="O2492">
        <v>-0.99991589999999997</v>
      </c>
      <c r="P2492">
        <v>0.2572393</v>
      </c>
      <c r="Q2492">
        <v>-3.8261649999999999E-3</v>
      </c>
      <c r="R2492">
        <v>-0.96634050000000005</v>
      </c>
      <c r="S2492">
        <v>1.2381899999999999</v>
      </c>
      <c r="T2492">
        <v>-0.16405739999999999</v>
      </c>
      <c r="U2492">
        <v>-2.7743679999999999</v>
      </c>
      <c r="V2492">
        <v>-0.26123109999999999</v>
      </c>
      <c r="W2492">
        <v>6.7937479999999996E-3</v>
      </c>
      <c r="X2492">
        <v>0.96525240000000001</v>
      </c>
      <c r="Y2492">
        <v>-0.41077390000000003</v>
      </c>
      <c r="Z2492">
        <v>4.155764E-2</v>
      </c>
      <c r="AA2492">
        <v>0.91078970000000004</v>
      </c>
      <c r="AB2492">
        <v>29</v>
      </c>
      <c r="AC2492">
        <v>8.3873999999999498</v>
      </c>
      <c r="AD2492">
        <v>-1.1114372121160001</v>
      </c>
      <c r="AE2492">
        <v>-18.482699999999902</v>
      </c>
      <c r="AF2492">
        <v>-8.4377234501114007</v>
      </c>
      <c r="AG2492">
        <v>-1.1114372121160001</v>
      </c>
      <c r="AH2492">
        <v>18.3930417223525</v>
      </c>
      <c r="AI2492">
        <v>93.143727765471795</v>
      </c>
      <c r="AJ2492">
        <v>114.64307318612499</v>
      </c>
      <c r="AK2492">
        <v>20.2665846530005</v>
      </c>
      <c r="AL2492">
        <v>89.610743925591393</v>
      </c>
      <c r="AM2492">
        <v>105.143481353293</v>
      </c>
      <c r="AN2492">
        <v>1.0000000191624201</v>
      </c>
    </row>
    <row r="2493" spans="1:40" x14ac:dyDescent="0.25">
      <c r="A2493" t="str">
        <f>"20190305135839502"</f>
        <v>20190305135839502</v>
      </c>
      <c r="B2493" t="str">
        <f>"1551765519491274"</f>
        <v>1551765519491274</v>
      </c>
      <c r="C2493" t="s">
        <v>40</v>
      </c>
      <c r="D2493">
        <v>3.944245</v>
      </c>
      <c r="E2493">
        <v>0.43888100000000002</v>
      </c>
      <c r="F2493" t="s">
        <v>41</v>
      </c>
      <c r="G2493">
        <v>-491.77789999999999</v>
      </c>
      <c r="H2493">
        <v>1.0552979999999901</v>
      </c>
      <c r="I2493">
        <v>246.45590000000001</v>
      </c>
      <c r="J2493">
        <v>-492.20409999999998</v>
      </c>
      <c r="K2493">
        <v>1.1114459999999999</v>
      </c>
      <c r="L2493">
        <v>247.1266</v>
      </c>
      <c r="M2493">
        <v>-1.5407369999999999E-3</v>
      </c>
      <c r="N2493">
        <v>-1.2576250000000001E-2</v>
      </c>
      <c r="O2493">
        <v>-0.99992009999999998</v>
      </c>
      <c r="P2493">
        <v>0.25650669999999998</v>
      </c>
      <c r="Q2493">
        <v>-3.6529679999999999E-3</v>
      </c>
      <c r="R2493">
        <v>-0.9665357</v>
      </c>
      <c r="S2493">
        <v>1.236664</v>
      </c>
      <c r="T2493">
        <v>-0.16212989999999999</v>
      </c>
      <c r="U2493">
        <v>-2.7746119999999999</v>
      </c>
      <c r="V2493">
        <v>-0.25803409999999999</v>
      </c>
      <c r="W2493">
        <v>7.2448240000000004E-3</v>
      </c>
      <c r="X2493">
        <v>0.96610870000000004</v>
      </c>
      <c r="Y2493">
        <v>-0.4080088</v>
      </c>
      <c r="Z2493">
        <v>4.0713140000000002E-2</v>
      </c>
      <c r="AA2493">
        <v>0.91206969999999998</v>
      </c>
      <c r="AB2493">
        <v>29</v>
      </c>
      <c r="AC2493">
        <v>0.42619999999999397</v>
      </c>
      <c r="AD2493">
        <v>-5.6148000000000003E-2</v>
      </c>
      <c r="AE2493">
        <v>-0.67069999999998198</v>
      </c>
      <c r="AF2493">
        <v>-0.42511064380841301</v>
      </c>
      <c r="AG2493">
        <v>-5.6148000000000003E-2</v>
      </c>
      <c r="AH2493">
        <v>0.666714015934743</v>
      </c>
      <c r="AI2493">
        <v>94.061718539067797</v>
      </c>
      <c r="AJ2493">
        <v>122.522426721106</v>
      </c>
      <c r="AK2493">
        <v>0.79270375073354804</v>
      </c>
      <c r="AL2493">
        <v>89.584898551839302</v>
      </c>
      <c r="AM2493">
        <v>104.95384531995499</v>
      </c>
      <c r="AN2493">
        <v>1.0000000522266399</v>
      </c>
    </row>
    <row r="2494" spans="1:40" x14ac:dyDescent="0.25">
      <c r="A2494" t="str">
        <f>"20190305135839523"</f>
        <v>20190305135839523</v>
      </c>
      <c r="B2494" t="str">
        <f>"1551765519511774"</f>
        <v>1551765519511774</v>
      </c>
      <c r="C2494" t="s">
        <v>40</v>
      </c>
      <c r="D2494">
        <v>3.9555449999999999</v>
      </c>
      <c r="E2494">
        <v>0.4389845</v>
      </c>
      <c r="F2494" t="s">
        <v>41</v>
      </c>
      <c r="G2494">
        <v>-491.77330000000001</v>
      </c>
      <c r="H2494">
        <v>1.0558700000000001</v>
      </c>
      <c r="I2494">
        <v>246.1568</v>
      </c>
      <c r="J2494">
        <v>-492.20190000000002</v>
      </c>
      <c r="K2494">
        <v>1.111462</v>
      </c>
      <c r="L2494">
        <v>246.86189999999999</v>
      </c>
      <c r="M2494">
        <v>8.0136289999999902E-4</v>
      </c>
      <c r="N2494">
        <v>-1.2781570000000001E-2</v>
      </c>
      <c r="O2494">
        <v>-0.99991830000000004</v>
      </c>
      <c r="P2494">
        <v>0.25598029999999999</v>
      </c>
      <c r="Q2494">
        <v>-3.5396590000000001E-3</v>
      </c>
      <c r="R2494">
        <v>-0.96667559999999997</v>
      </c>
      <c r="S2494">
        <v>1.2335510000000001</v>
      </c>
      <c r="T2494">
        <v>-0.1590763</v>
      </c>
      <c r="U2494">
        <v>-2.775925</v>
      </c>
      <c r="V2494">
        <v>-0.25524530000000001</v>
      </c>
      <c r="W2494">
        <v>7.5819399999999997E-3</v>
      </c>
      <c r="X2494">
        <v>0.9668466</v>
      </c>
      <c r="Y2494">
        <v>-0.40487430000000002</v>
      </c>
      <c r="Z2494">
        <v>3.9540190000000003E-2</v>
      </c>
      <c r="AA2494">
        <v>0.91351709999999997</v>
      </c>
      <c r="AB2494">
        <v>29</v>
      </c>
      <c r="AC2494">
        <v>0.42860000000001702</v>
      </c>
      <c r="AD2494">
        <v>-5.5592000000000003E-2</v>
      </c>
      <c r="AE2494">
        <v>-0.70509999999998696</v>
      </c>
      <c r="AF2494">
        <v>-0.426100686286982</v>
      </c>
      <c r="AG2494">
        <v>-5.5592000000000003E-2</v>
      </c>
      <c r="AH2494">
        <v>0.702255697231571</v>
      </c>
      <c r="AI2494">
        <v>93.871772362521398</v>
      </c>
      <c r="AJ2494">
        <v>121.24770226420399</v>
      </c>
      <c r="AK2494">
        <v>0.82329540847282501</v>
      </c>
      <c r="AL2494">
        <v>89.565582674602297</v>
      </c>
      <c r="AM2494">
        <v>104.78855560256299</v>
      </c>
      <c r="AN2494">
        <v>0.99999999845890597</v>
      </c>
    </row>
    <row r="2495" spans="1:40" x14ac:dyDescent="0.25">
      <c r="A2495" t="str">
        <f>"20190305135839545"</f>
        <v>20190305135839545</v>
      </c>
      <c r="B2495" t="str">
        <f>"1551765519541051"</f>
        <v>1551765519541051</v>
      </c>
      <c r="C2495" t="s">
        <v>40</v>
      </c>
      <c r="D2495">
        <v>4.5401420000000003</v>
      </c>
      <c r="E2495">
        <v>0.46444540000000001</v>
      </c>
      <c r="F2495" t="s">
        <v>41</v>
      </c>
      <c r="G2495">
        <v>-491.76229999999998</v>
      </c>
      <c r="H2495">
        <v>1.055733</v>
      </c>
      <c r="I2495">
        <v>245.86959999999999</v>
      </c>
      <c r="J2495">
        <v>-492.19889999999998</v>
      </c>
      <c r="K2495">
        <v>1.1114740000000001</v>
      </c>
      <c r="L2495">
        <v>246.5719</v>
      </c>
      <c r="M2495">
        <v>3.3775340000000002E-3</v>
      </c>
      <c r="N2495">
        <v>-1.2977310000000001E-2</v>
      </c>
      <c r="O2495">
        <v>-0.99991019999999997</v>
      </c>
      <c r="P2495">
        <v>0.25468990000000002</v>
      </c>
      <c r="Q2495">
        <v>-3.5520059999999999E-3</v>
      </c>
      <c r="R2495">
        <v>-0.9670166</v>
      </c>
      <c r="S2495">
        <v>1.2311099999999999</v>
      </c>
      <c r="T2495">
        <v>-0.1559392</v>
      </c>
      <c r="U2495">
        <v>-2.7768709999999999</v>
      </c>
      <c r="V2495">
        <v>-0.25146289999999999</v>
      </c>
      <c r="W2495">
        <v>7.7922199999999999E-3</v>
      </c>
      <c r="X2495">
        <v>0.96783549999999996</v>
      </c>
      <c r="Y2495">
        <v>-0.40175</v>
      </c>
      <c r="Z2495">
        <v>3.835177E-2</v>
      </c>
      <c r="AA2495">
        <v>0.91494600000000004</v>
      </c>
      <c r="AB2495">
        <v>29</v>
      </c>
      <c r="AC2495">
        <v>0.43659999999999799</v>
      </c>
      <c r="AD2495">
        <v>-5.5740999999999999E-2</v>
      </c>
      <c r="AE2495">
        <v>-0.70230000000000803</v>
      </c>
      <c r="AF2495">
        <v>-0.432261282182059</v>
      </c>
      <c r="AG2495">
        <v>-5.5740999999999999E-2</v>
      </c>
      <c r="AH2495">
        <v>0.70058761875736597</v>
      </c>
      <c r="AI2495">
        <v>93.873690650695906</v>
      </c>
      <c r="AJ2495">
        <v>121.674510076187</v>
      </c>
      <c r="AK2495">
        <v>0.82509386539398899</v>
      </c>
      <c r="AL2495">
        <v>89.553534132349398</v>
      </c>
      <c r="AM2495">
        <v>104.564548931408</v>
      </c>
      <c r="AN2495">
        <v>0.99999993191459102</v>
      </c>
    </row>
    <row r="2496" spans="1:40" x14ac:dyDescent="0.25">
      <c r="A2496" t="str">
        <f>"20190305135839569"</f>
        <v>20190305135839569</v>
      </c>
      <c r="B2496" t="str">
        <f>"1551765519561547"</f>
        <v>1551765519561547</v>
      </c>
      <c r="C2496" t="s">
        <v>40</v>
      </c>
      <c r="D2496">
        <v>4.1822869999999996</v>
      </c>
      <c r="E2496">
        <v>0.53704359999999995</v>
      </c>
      <c r="F2496" t="s">
        <v>58</v>
      </c>
      <c r="G2496">
        <v>-484.7133</v>
      </c>
      <c r="H2496" s="1">
        <v>4.2333739999999997E-6</v>
      </c>
      <c r="I2496">
        <v>226.02879999999999</v>
      </c>
      <c r="J2496">
        <v>-492.19479999999999</v>
      </c>
      <c r="K2496">
        <v>1.111483</v>
      </c>
      <c r="L2496">
        <v>246.26830000000001</v>
      </c>
      <c r="M2496">
        <v>6.0806580000000001E-3</v>
      </c>
      <c r="N2496">
        <v>-1.3154040000000001E-2</v>
      </c>
      <c r="O2496">
        <v>-0.99989510000000004</v>
      </c>
      <c r="P2496">
        <v>0.2528841</v>
      </c>
      <c r="Q2496">
        <v>-3.7146459999999998E-3</v>
      </c>
      <c r="R2496">
        <v>-0.96748959999999995</v>
      </c>
      <c r="S2496">
        <v>1.03125</v>
      </c>
      <c r="T2496">
        <v>-0.15312329999999999</v>
      </c>
      <c r="U2496">
        <v>-2.830139</v>
      </c>
      <c r="V2496">
        <v>-0.2470368</v>
      </c>
      <c r="W2496">
        <v>7.8408569999999997E-3</v>
      </c>
      <c r="X2496">
        <v>0.96897440000000001</v>
      </c>
      <c r="Y2496">
        <v>-0.33626089999999997</v>
      </c>
      <c r="Z2496">
        <v>3.7695300000000001E-2</v>
      </c>
      <c r="AA2496">
        <v>0.94101420000000002</v>
      </c>
      <c r="AB2496">
        <v>29</v>
      </c>
      <c r="AC2496">
        <v>7.4814999999999801</v>
      </c>
      <c r="AD2496">
        <v>-1.111478766626</v>
      </c>
      <c r="AE2496">
        <v>-20.2395</v>
      </c>
      <c r="AF2496">
        <v>-7.3388097773858396</v>
      </c>
      <c r="AG2496">
        <v>-1.111478766626</v>
      </c>
      <c r="AH2496">
        <v>20.230944174106298</v>
      </c>
      <c r="AI2496">
        <v>92.956498309950604</v>
      </c>
      <c r="AJ2496">
        <v>109.93832698737</v>
      </c>
      <c r="AK2496">
        <v>21.549585058026601</v>
      </c>
      <c r="AL2496">
        <v>89.550747393442606</v>
      </c>
      <c r="AM2496">
        <v>104.30268297348999</v>
      </c>
      <c r="AN2496">
        <v>1.0000000237240401</v>
      </c>
    </row>
    <row r="2497" spans="1:40" x14ac:dyDescent="0.25">
      <c r="A2497" t="str">
        <f>"20190305135839590"</f>
        <v>20190305135839590</v>
      </c>
      <c r="B2497" t="str">
        <f>"1551765519581066"</f>
        <v>1551765519581066</v>
      </c>
      <c r="C2497" t="s">
        <v>40</v>
      </c>
      <c r="D2497">
        <v>4.2002860000000002</v>
      </c>
      <c r="E2497">
        <v>0.55485220000000002</v>
      </c>
      <c r="F2497" t="s">
        <v>58</v>
      </c>
      <c r="G2497">
        <v>-487.97859999999997</v>
      </c>
      <c r="H2497" s="1">
        <v>3.172963E-6</v>
      </c>
      <c r="I2497">
        <v>219.36580000000001</v>
      </c>
      <c r="J2497">
        <v>-492.19060000000002</v>
      </c>
      <c r="K2497">
        <v>1.111486</v>
      </c>
      <c r="L2497">
        <v>245.99590000000001</v>
      </c>
      <c r="M2497">
        <v>8.5004750000000004E-3</v>
      </c>
      <c r="N2497">
        <v>-1.329091E-2</v>
      </c>
      <c r="O2497">
        <v>-0.99987559999999998</v>
      </c>
      <c r="P2497">
        <v>0.24989510000000001</v>
      </c>
      <c r="Q2497">
        <v>-3.4340999999999998E-3</v>
      </c>
      <c r="R2497">
        <v>-0.96826679999999998</v>
      </c>
      <c r="S2497">
        <v>0.46676640000000003</v>
      </c>
      <c r="T2497">
        <v>-0.12305000000000001</v>
      </c>
      <c r="U2497">
        <v>-2.9783330000000001</v>
      </c>
      <c r="V2497">
        <v>-0.24169740000000001</v>
      </c>
      <c r="W2497">
        <v>8.3024199999999996E-3</v>
      </c>
      <c r="X2497">
        <v>0.97031619999999996</v>
      </c>
      <c r="Y2497">
        <v>-0.14631559999999999</v>
      </c>
      <c r="Z2497">
        <v>2.7532350000000001E-2</v>
      </c>
      <c r="AA2497">
        <v>0.98885480000000003</v>
      </c>
      <c r="AB2497">
        <v>29</v>
      </c>
      <c r="AC2497">
        <v>4.2120000000000397</v>
      </c>
      <c r="AD2497">
        <v>-1.1114828270370001</v>
      </c>
      <c r="AE2497">
        <v>-26.630099999999999</v>
      </c>
      <c r="AF2497">
        <v>-3.9786973955266101</v>
      </c>
      <c r="AG2497">
        <v>-1.1114828270370001</v>
      </c>
      <c r="AH2497">
        <v>26.619703856763401</v>
      </c>
      <c r="AI2497">
        <v>92.3647100179695</v>
      </c>
      <c r="AJ2497">
        <v>98.500749502811701</v>
      </c>
      <c r="AK2497">
        <v>26.938338116182099</v>
      </c>
      <c r="AL2497">
        <v>89.524300930867</v>
      </c>
      <c r="AM2497">
        <v>103.987235197427</v>
      </c>
      <c r="AN2497">
        <v>1.0000000456635201</v>
      </c>
    </row>
    <row r="2498" spans="1:40" x14ac:dyDescent="0.25">
      <c r="A2498" t="str">
        <f>"20190305135839612"</f>
        <v>20190305135839612</v>
      </c>
      <c r="B2498" t="str">
        <f>"1551765519601563"</f>
        <v>1551765519601563</v>
      </c>
      <c r="C2498" t="s">
        <v>40</v>
      </c>
      <c r="D2498">
        <v>4.0323449999999896</v>
      </c>
      <c r="E2498">
        <v>0.55958430000000003</v>
      </c>
      <c r="F2498" t="s">
        <v>58</v>
      </c>
      <c r="G2498">
        <v>-488.72230000000002</v>
      </c>
      <c r="H2498" s="1">
        <v>3.0456920000000001E-6</v>
      </c>
      <c r="I2498">
        <v>213.43639999999999</v>
      </c>
      <c r="J2498">
        <v>-492.18549999999999</v>
      </c>
      <c r="K2498">
        <v>1.1114809999999999</v>
      </c>
      <c r="L2498">
        <v>245.71940000000001</v>
      </c>
      <c r="M2498">
        <v>1.0929599999999999E-2</v>
      </c>
      <c r="N2498">
        <v>-1.341121E-2</v>
      </c>
      <c r="O2498">
        <v>-0.99985049999999998</v>
      </c>
      <c r="P2498">
        <v>0.2464006</v>
      </c>
      <c r="Q2498">
        <v>-3.8675329999999998E-3</v>
      </c>
      <c r="R2498">
        <v>-0.96916060000000004</v>
      </c>
      <c r="S2498">
        <v>0.32116699999999998</v>
      </c>
      <c r="T2498">
        <v>-0.10292469999999999</v>
      </c>
      <c r="U2498">
        <v>-3.0150450000000002</v>
      </c>
      <c r="V2498">
        <v>-0.2358336</v>
      </c>
      <c r="W2498">
        <v>8.0454129999999995E-3</v>
      </c>
      <c r="X2498">
        <v>0.97176019999999996</v>
      </c>
      <c r="Y2498">
        <v>-9.4994380000000003E-2</v>
      </c>
      <c r="Z2498">
        <v>2.0542359999999999E-2</v>
      </c>
      <c r="AA2498">
        <v>0.99526579999999998</v>
      </c>
      <c r="AB2498">
        <v>29</v>
      </c>
      <c r="AC2498">
        <v>3.4631999999999699</v>
      </c>
      <c r="AD2498">
        <v>-1.111477954308</v>
      </c>
      <c r="AE2498">
        <v>-32.283000000000001</v>
      </c>
      <c r="AF2498">
        <v>-3.1064807199001998</v>
      </c>
      <c r="AG2498">
        <v>-1.111477954308</v>
      </c>
      <c r="AH2498">
        <v>32.281096491465497</v>
      </c>
      <c r="AI2498">
        <v>91.962924435500895</v>
      </c>
      <c r="AJ2498">
        <v>95.496772366183194</v>
      </c>
      <c r="AK2498">
        <v>32.449264959276498</v>
      </c>
      <c r="AL2498">
        <v>89.539026841017503</v>
      </c>
      <c r="AM2498">
        <v>103.641215047241</v>
      </c>
      <c r="AN2498">
        <v>1.00000005093166</v>
      </c>
    </row>
    <row r="2499" spans="1:40" x14ac:dyDescent="0.25">
      <c r="A2499" t="str">
        <f>"20190305135839635"</f>
        <v>20190305135839635</v>
      </c>
      <c r="B2499" t="str">
        <f>"1551765519630843"</f>
        <v>1551765519630843</v>
      </c>
      <c r="C2499" t="s">
        <v>40</v>
      </c>
      <c r="D2499">
        <v>4.1415030000000002</v>
      </c>
      <c r="E2499">
        <v>0.56079100000000004</v>
      </c>
      <c r="F2499" t="s">
        <v>58</v>
      </c>
      <c r="G2499">
        <v>-488.5949</v>
      </c>
      <c r="H2499" s="1">
        <v>1.782818E-6</v>
      </c>
      <c r="I2499">
        <v>206.15170000000001</v>
      </c>
      <c r="J2499">
        <v>-492.17959999999999</v>
      </c>
      <c r="K2499">
        <v>1.111461</v>
      </c>
      <c r="L2499">
        <v>245.4298</v>
      </c>
      <c r="M2499">
        <v>1.3425019999999999E-2</v>
      </c>
      <c r="N2499">
        <v>-1.351949E-2</v>
      </c>
      <c r="O2499">
        <v>-0.99981869999999995</v>
      </c>
      <c r="P2499">
        <v>0.24577080000000001</v>
      </c>
      <c r="Q2499">
        <v>-4.3382250000000002E-3</v>
      </c>
      <c r="R2499">
        <v>-0.96931829999999997</v>
      </c>
      <c r="S2499">
        <v>0.27453610000000001</v>
      </c>
      <c r="T2499">
        <v>-8.4983110000000001E-2</v>
      </c>
      <c r="U2499">
        <v>-3.0253299999999999</v>
      </c>
      <c r="V2499">
        <v>-0.2327729</v>
      </c>
      <c r="W2499">
        <v>7.7259410000000001E-3</v>
      </c>
      <c r="X2499">
        <v>0.97250040000000004</v>
      </c>
      <c r="Y2499">
        <v>-7.6964060000000001E-2</v>
      </c>
      <c r="Z2499">
        <v>1.446806E-2</v>
      </c>
      <c r="AA2499">
        <v>0.99692890000000001</v>
      </c>
      <c r="AB2499">
        <v>29</v>
      </c>
      <c r="AC2499">
        <v>3.58469999999999</v>
      </c>
      <c r="AD2499">
        <v>-1.1114592171819999</v>
      </c>
      <c r="AE2499">
        <v>-39.278100000000002</v>
      </c>
      <c r="AF2499">
        <v>-3.0545938300210498</v>
      </c>
      <c r="AG2499">
        <v>-1.1114592171819999</v>
      </c>
      <c r="AH2499">
        <v>39.291486698138399</v>
      </c>
      <c r="AI2499">
        <v>91.615452359788307</v>
      </c>
      <c r="AJ2499">
        <v>94.445340110736396</v>
      </c>
      <c r="AK2499">
        <v>39.425712574509603</v>
      </c>
      <c r="AL2499">
        <v>89.5573317710071</v>
      </c>
      <c r="AM2499">
        <v>103.46078883212</v>
      </c>
      <c r="AN2499">
        <v>0.999999970569452</v>
      </c>
    </row>
    <row r="2500" spans="1:40" x14ac:dyDescent="0.25">
      <c r="A2500" t="str">
        <f>"20190305135839657"</f>
        <v>20190305135839657</v>
      </c>
      <c r="B2500" t="str">
        <f>"1551765519651339"</f>
        <v>1551765519651339</v>
      </c>
      <c r="C2500" t="s">
        <v>40</v>
      </c>
      <c r="D2500">
        <v>4.1251530000000001</v>
      </c>
      <c r="E2500">
        <v>0.5608168</v>
      </c>
      <c r="F2500" t="s">
        <v>58</v>
      </c>
      <c r="G2500">
        <v>-488.4665</v>
      </c>
      <c r="H2500" s="1">
        <v>8.5611050000000002E-7</v>
      </c>
      <c r="I2500">
        <v>202.80680000000001</v>
      </c>
      <c r="J2500">
        <v>-492.17320000000001</v>
      </c>
      <c r="K2500">
        <v>1.111423</v>
      </c>
      <c r="L2500">
        <v>245.14510000000001</v>
      </c>
      <c r="M2500">
        <v>1.5809139999999999E-2</v>
      </c>
      <c r="N2500">
        <v>-1.361031E-2</v>
      </c>
      <c r="O2500">
        <v>-0.99978259999999997</v>
      </c>
      <c r="P2500">
        <v>0.2430358</v>
      </c>
      <c r="Q2500">
        <v>-4.6657060000000004E-3</v>
      </c>
      <c r="R2500">
        <v>-0.97000649999999999</v>
      </c>
      <c r="S2500">
        <v>0.26376339999999998</v>
      </c>
      <c r="T2500">
        <v>-7.8953029999999993E-2</v>
      </c>
      <c r="U2500">
        <v>-3.0277400000000001</v>
      </c>
      <c r="V2500">
        <v>-0.22770580000000001</v>
      </c>
      <c r="W2500">
        <v>7.557622E-3</v>
      </c>
      <c r="X2500">
        <v>0.97370060000000003</v>
      </c>
      <c r="Y2500">
        <v>-7.0999359999999997E-2</v>
      </c>
      <c r="Z2500">
        <v>1.2381990000000001E-2</v>
      </c>
      <c r="AA2500">
        <v>0.99739949999999999</v>
      </c>
      <c r="AB2500">
        <v>29</v>
      </c>
      <c r="AC2500">
        <v>3.7067000000000099</v>
      </c>
      <c r="AD2500">
        <v>-1.1114221438895</v>
      </c>
      <c r="AE2500">
        <v>-42.338299999999997</v>
      </c>
      <c r="AF2500">
        <v>-3.0347673109829199</v>
      </c>
      <c r="AG2500">
        <v>-1.1114221438895</v>
      </c>
      <c r="AH2500">
        <v>42.362642419408701</v>
      </c>
      <c r="AI2500">
        <v>91.499021922562903</v>
      </c>
      <c r="AJ2500">
        <v>94.097544748581598</v>
      </c>
      <c r="AK2500">
        <v>42.485745192575202</v>
      </c>
      <c r="AL2500">
        <v>89.5669760139196</v>
      </c>
      <c r="AM2500">
        <v>103.162423416545</v>
      </c>
      <c r="AN2500">
        <v>0.99999995372214601</v>
      </c>
    </row>
    <row r="2501" spans="1:40" x14ac:dyDescent="0.25">
      <c r="A2501" t="str">
        <f>"20190305135839670"</f>
        <v>20190305135839670</v>
      </c>
      <c r="B2501" t="str">
        <f>"1551765519661099"</f>
        <v>1551765519661099</v>
      </c>
      <c r="C2501" t="s">
        <v>40</v>
      </c>
      <c r="D2501">
        <v>4.1119529999999997</v>
      </c>
      <c r="E2501">
        <v>0.56051059999999997</v>
      </c>
      <c r="F2501" t="s">
        <v>58</v>
      </c>
      <c r="G2501">
        <v>-488.65899999999999</v>
      </c>
      <c r="H2501" s="1">
        <v>1.058411E-6</v>
      </c>
      <c r="I2501">
        <v>203.40469999999999</v>
      </c>
      <c r="J2501">
        <v>-492.16910000000001</v>
      </c>
      <c r="K2501">
        <v>1.1113879999999901</v>
      </c>
      <c r="L2501">
        <v>244.97890000000001</v>
      </c>
      <c r="M2501">
        <v>1.7150140000000001E-2</v>
      </c>
      <c r="N2501">
        <v>-1.365568E-2</v>
      </c>
      <c r="O2501">
        <v>-0.99975990000000003</v>
      </c>
      <c r="P2501">
        <v>0.241844</v>
      </c>
      <c r="Q2501">
        <v>-4.5870629999999997E-3</v>
      </c>
      <c r="R2501">
        <v>-0.97030459999999996</v>
      </c>
      <c r="S2501">
        <v>0.25497439999999999</v>
      </c>
      <c r="T2501">
        <v>-8.0640080000000003E-2</v>
      </c>
      <c r="U2501">
        <v>-3.0285030000000002</v>
      </c>
      <c r="V2501">
        <v>-0.22520219999999999</v>
      </c>
      <c r="W2501">
        <v>7.7221260000000002E-3</v>
      </c>
      <c r="X2501">
        <v>0.97428139999999996</v>
      </c>
      <c r="Y2501">
        <v>-6.6765870000000005E-2</v>
      </c>
      <c r="Z2501">
        <v>1.2891639999999999E-2</v>
      </c>
      <c r="AA2501">
        <v>0.99768539999999994</v>
      </c>
      <c r="AB2501">
        <v>29</v>
      </c>
      <c r="AC2501">
        <v>3.51010000000002</v>
      </c>
      <c r="AD2501">
        <v>-1.1113869415890001</v>
      </c>
      <c r="AE2501">
        <v>-41.574199999999998</v>
      </c>
      <c r="AF2501">
        <v>-2.7945310558355101</v>
      </c>
      <c r="AG2501">
        <v>-1.1113869415890001</v>
      </c>
      <c r="AH2501">
        <v>41.598771241864803</v>
      </c>
      <c r="AI2501">
        <v>91.5269570526564</v>
      </c>
      <c r="AJ2501">
        <v>93.843253518039305</v>
      </c>
      <c r="AK2501">
        <v>41.707341722878503</v>
      </c>
      <c r="AL2501">
        <v>89.5575503537126</v>
      </c>
      <c r="AM2501">
        <v>103.01516401287699</v>
      </c>
      <c r="AN2501">
        <v>0.99999995425037802</v>
      </c>
    </row>
    <row r="2502" spans="1:40" x14ac:dyDescent="0.25">
      <c r="A2502" t="str">
        <f>"20190305135839686"</f>
        <v>20190305135839686</v>
      </c>
      <c r="B2502" t="str">
        <f>"1551765519681594"</f>
        <v>1551765519681594</v>
      </c>
      <c r="C2502" t="s">
        <v>40</v>
      </c>
      <c r="D2502">
        <v>4.1243470000000002</v>
      </c>
      <c r="E2502">
        <v>0.55984579999999995</v>
      </c>
      <c r="F2502" t="s">
        <v>58</v>
      </c>
      <c r="G2502">
        <v>-488.6866</v>
      </c>
      <c r="H2502" s="1">
        <v>1.073231E-6</v>
      </c>
      <c r="I2502">
        <v>203.44470000000001</v>
      </c>
      <c r="J2502">
        <v>-492.16410000000002</v>
      </c>
      <c r="K2502">
        <v>1.111345</v>
      </c>
      <c r="L2502">
        <v>244.78270000000001</v>
      </c>
      <c r="M2502">
        <v>1.8694519999999999E-2</v>
      </c>
      <c r="N2502">
        <v>-1.3705139999999999E-2</v>
      </c>
      <c r="O2502">
        <v>-0.99973140000000005</v>
      </c>
      <c r="P2502">
        <v>0.2409655</v>
      </c>
      <c r="Q2502">
        <v>-4.5366369999999996E-3</v>
      </c>
      <c r="R2502">
        <v>-0.97052329999999998</v>
      </c>
      <c r="S2502">
        <v>0.25390629999999997</v>
      </c>
      <c r="T2502">
        <v>-8.1029180000000006E-2</v>
      </c>
      <c r="U2502">
        <v>-3.0281829999999998</v>
      </c>
      <c r="V2502">
        <v>-0.22281419999999999</v>
      </c>
      <c r="W2502">
        <v>7.868033E-3</v>
      </c>
      <c r="X2502">
        <v>0.9748291</v>
      </c>
      <c r="Y2502">
        <v>-6.4884079999999997E-2</v>
      </c>
      <c r="Z2502">
        <v>1.297479E-2</v>
      </c>
      <c r="AA2502">
        <v>0.99780849999999999</v>
      </c>
      <c r="AB2502">
        <v>29</v>
      </c>
      <c r="AC2502">
        <v>3.47750000000002</v>
      </c>
      <c r="AD2502">
        <v>-1.111343926769</v>
      </c>
      <c r="AE2502">
        <v>-41.338000000000001</v>
      </c>
      <c r="AF2502">
        <v>-2.7020863291502901</v>
      </c>
      <c r="AG2502">
        <v>-1.111343926769</v>
      </c>
      <c r="AH2502">
        <v>41.366102859064199</v>
      </c>
      <c r="AI2502">
        <v>91.535670088188596</v>
      </c>
      <c r="AJ2502">
        <v>93.737323500881701</v>
      </c>
      <c r="AK2502">
        <v>41.469155062533297</v>
      </c>
      <c r="AL2502">
        <v>89.549190230357198</v>
      </c>
      <c r="AM2502">
        <v>102.874784834408</v>
      </c>
      <c r="AN2502">
        <v>0.99999992393586601</v>
      </c>
    </row>
    <row r="2503" spans="1:40" x14ac:dyDescent="0.25">
      <c r="A2503" t="str">
        <f>"20190305135839704"</f>
        <v>20190305135839704</v>
      </c>
      <c r="B2503" t="str">
        <f>"1551765519701114"</f>
        <v>1551765519701114</v>
      </c>
      <c r="C2503" t="s">
        <v>40</v>
      </c>
      <c r="D2503">
        <v>4.1225370000000003</v>
      </c>
      <c r="E2503">
        <v>0.55918630000000003</v>
      </c>
      <c r="F2503" t="s">
        <v>58</v>
      </c>
      <c r="G2503">
        <v>-488.70479999999998</v>
      </c>
      <c r="H2503" s="1">
        <v>1.223114E-6</v>
      </c>
      <c r="I2503">
        <v>203.92330000000001</v>
      </c>
      <c r="J2503">
        <v>-492.15809999999999</v>
      </c>
      <c r="K2503">
        <v>1.1112899999999999</v>
      </c>
      <c r="L2503">
        <v>244.5565</v>
      </c>
      <c r="M2503">
        <v>2.0407970000000001E-2</v>
      </c>
      <c r="N2503">
        <v>-1.3755750000000001E-2</v>
      </c>
      <c r="O2503">
        <v>-0.99969730000000001</v>
      </c>
      <c r="P2503">
        <v>0.237233</v>
      </c>
      <c r="Q2503">
        <v>-3.7887369999999999E-3</v>
      </c>
      <c r="R2503">
        <v>-0.97144549999999996</v>
      </c>
      <c r="S2503">
        <v>0.25628659999999998</v>
      </c>
      <c r="T2503">
        <v>-8.2335229999999995E-2</v>
      </c>
      <c r="U2503">
        <v>-3.0271150000000002</v>
      </c>
      <c r="V2503">
        <v>-0.21739439999999999</v>
      </c>
      <c r="W2503">
        <v>8.7420469999999993E-3</v>
      </c>
      <c r="X2503">
        <v>0.97604469999999999</v>
      </c>
      <c r="Y2503">
        <v>-6.3981640000000006E-2</v>
      </c>
      <c r="Z2503">
        <v>1.3363E-2</v>
      </c>
      <c r="AA2503">
        <v>0.99786160000000002</v>
      </c>
      <c r="AB2503">
        <v>29</v>
      </c>
      <c r="AC2503">
        <v>3.4533000000000098</v>
      </c>
      <c r="AD2503">
        <v>-1.11128877688599</v>
      </c>
      <c r="AE2503">
        <v>-40.633199999999903</v>
      </c>
      <c r="AF2503">
        <v>-2.62131459848852</v>
      </c>
      <c r="AG2503">
        <v>-1.11128877688599</v>
      </c>
      <c r="AH2503">
        <v>40.665018824714501</v>
      </c>
      <c r="AI2503">
        <v>91.562142049995401</v>
      </c>
      <c r="AJ2503">
        <v>93.688249976781094</v>
      </c>
      <c r="AK2503">
        <v>40.764568058355103</v>
      </c>
      <c r="AL2503">
        <v>89.499111223756799</v>
      </c>
      <c r="AM2503">
        <v>102.556527127598</v>
      </c>
      <c r="AN2503">
        <v>1.0000000024675999</v>
      </c>
    </row>
    <row r="2504" spans="1:40" x14ac:dyDescent="0.25">
      <c r="A2504" t="str">
        <f>"20190305135839725"</f>
        <v>20190305135839725</v>
      </c>
      <c r="B2504" t="str">
        <f>"1551765519721611"</f>
        <v>1551765519721611</v>
      </c>
      <c r="C2504" t="s">
        <v>40</v>
      </c>
      <c r="D2504">
        <v>4.1249359999999999</v>
      </c>
      <c r="E2504">
        <v>0.55862369999999995</v>
      </c>
      <c r="F2504" t="s">
        <v>58</v>
      </c>
      <c r="G2504">
        <v>-488.70769999999999</v>
      </c>
      <c r="H2504" s="1">
        <v>8.6159899999999895E-7</v>
      </c>
      <c r="I2504">
        <v>202.75550000000001</v>
      </c>
      <c r="J2504">
        <v>-492.15050000000002</v>
      </c>
      <c r="K2504">
        <v>1.1112200000000001</v>
      </c>
      <c r="L2504">
        <v>244.2895</v>
      </c>
      <c r="M2504">
        <v>2.2334219999999998E-2</v>
      </c>
      <c r="N2504">
        <v>-1.3807359999999999E-2</v>
      </c>
      <c r="O2504">
        <v>-0.99965539999999997</v>
      </c>
      <c r="P2504">
        <v>0.23440820000000001</v>
      </c>
      <c r="Q2504">
        <v>-3.819874E-3</v>
      </c>
      <c r="R2504">
        <v>-0.97213110000000003</v>
      </c>
      <c r="S2504">
        <v>0.2498474</v>
      </c>
      <c r="T2504">
        <v>-8.0469609999999997E-2</v>
      </c>
      <c r="U2504">
        <v>-3.0268549999999999</v>
      </c>
      <c r="V2504">
        <v>-0.21267240000000001</v>
      </c>
      <c r="W2504">
        <v>8.8383630000000001E-3</v>
      </c>
      <c r="X2504">
        <v>0.97708360000000005</v>
      </c>
      <c r="Y2504">
        <v>-5.9959329999999998E-2</v>
      </c>
      <c r="Z2504">
        <v>1.270463E-2</v>
      </c>
      <c r="AA2504">
        <v>0.99812000000000001</v>
      </c>
      <c r="AB2504">
        <v>29</v>
      </c>
      <c r="AC2504">
        <v>3.4428000000000298</v>
      </c>
      <c r="AD2504">
        <v>-1.111219138401</v>
      </c>
      <c r="AE2504">
        <v>-41.533999999999899</v>
      </c>
      <c r="AF2504">
        <v>-2.51243718092043</v>
      </c>
      <c r="AG2504">
        <v>-1.111219138401</v>
      </c>
      <c r="AH2504">
        <v>41.5709838991556</v>
      </c>
      <c r="AI2504">
        <v>91.528400919632006</v>
      </c>
      <c r="AJ2504">
        <v>93.4585941171093</v>
      </c>
      <c r="AK2504">
        <v>41.661659243307597</v>
      </c>
      <c r="AL2504">
        <v>89.493592516037694</v>
      </c>
      <c r="AM2504">
        <v>102.279494786597</v>
      </c>
      <c r="AN2504">
        <v>1.00000001388561</v>
      </c>
    </row>
    <row r="2505" spans="1:40" x14ac:dyDescent="0.25">
      <c r="A2505" t="str">
        <f>"20190305135839739"</f>
        <v>20190305135839739</v>
      </c>
      <c r="B2505" t="str">
        <f>"1551765519731371"</f>
        <v>1551765519731371</v>
      </c>
      <c r="C2505" t="s">
        <v>40</v>
      </c>
      <c r="D2505">
        <v>4.15524</v>
      </c>
      <c r="E2505">
        <v>0.55830849999999999</v>
      </c>
      <c r="F2505" t="s">
        <v>58</v>
      </c>
      <c r="G2505">
        <v>-488.7176</v>
      </c>
      <c r="H2505" s="1">
        <v>6.098381E-7</v>
      </c>
      <c r="I2505">
        <v>201.93989999999999</v>
      </c>
      <c r="J2505">
        <v>-492.14510000000001</v>
      </c>
      <c r="K2505">
        <v>1.111175</v>
      </c>
      <c r="L2505">
        <v>244.10669999999999</v>
      </c>
      <c r="M2505">
        <v>2.360348E-2</v>
      </c>
      <c r="N2505">
        <v>-1.3838899999999999E-2</v>
      </c>
      <c r="O2505">
        <v>-0.99962580000000001</v>
      </c>
      <c r="P2505">
        <v>0.2336309</v>
      </c>
      <c r="Q2505">
        <v>-3.90027E-3</v>
      </c>
      <c r="R2505">
        <v>-0.97231780000000001</v>
      </c>
      <c r="S2505">
        <v>0.24533079999999999</v>
      </c>
      <c r="T2505">
        <v>-7.941318E-2</v>
      </c>
      <c r="U2505">
        <v>-3.0265049999999998</v>
      </c>
      <c r="V2505">
        <v>-0.21064849999999999</v>
      </c>
      <c r="W2505">
        <v>8.8321659999999903E-3</v>
      </c>
      <c r="X2505">
        <v>0.977522</v>
      </c>
      <c r="Y2505">
        <v>-5.7222740000000001E-2</v>
      </c>
      <c r="Z2505">
        <v>1.2331450000000001E-2</v>
      </c>
      <c r="AA2505">
        <v>0.99828530000000004</v>
      </c>
      <c r="AB2505">
        <v>29</v>
      </c>
      <c r="AC2505">
        <v>3.4275000000000002</v>
      </c>
      <c r="AD2505">
        <v>-1.1111743901619</v>
      </c>
      <c r="AE2505">
        <v>-42.166800000000002</v>
      </c>
      <c r="AF2505">
        <v>-2.4294905447200401</v>
      </c>
      <c r="AG2505">
        <v>-1.1111743901619</v>
      </c>
      <c r="AH2505">
        <v>42.206841745443697</v>
      </c>
      <c r="AI2505">
        <v>91.505579638766093</v>
      </c>
      <c r="AJ2505">
        <v>93.294397678455098</v>
      </c>
      <c r="AK2505">
        <v>42.2913067066644</v>
      </c>
      <c r="AL2505">
        <v>89.493947599535204</v>
      </c>
      <c r="AM2505">
        <v>102.16083991808</v>
      </c>
      <c r="AN2505">
        <v>1.0000000290962501</v>
      </c>
    </row>
    <row r="2506" spans="1:40" x14ac:dyDescent="0.25">
      <c r="A2506" t="str">
        <f>"20190305135839759"</f>
        <v>20190305135839759</v>
      </c>
      <c r="B2506" t="str">
        <f>"1551765519750891"</f>
        <v>1551765519750891</v>
      </c>
      <c r="C2506" t="s">
        <v>40</v>
      </c>
      <c r="D2506">
        <v>4.0898789999999998</v>
      </c>
      <c r="E2506">
        <v>0.55765399999999998</v>
      </c>
      <c r="F2506" t="s">
        <v>58</v>
      </c>
      <c r="G2506">
        <v>-488.7337</v>
      </c>
      <c r="H2506" s="1">
        <v>6.3347299999999899E-7</v>
      </c>
      <c r="I2506">
        <v>202.01159999999999</v>
      </c>
      <c r="J2506">
        <v>-492.137</v>
      </c>
      <c r="K2506">
        <v>1.1111120000000001</v>
      </c>
      <c r="L2506">
        <v>243.84569999999999</v>
      </c>
      <c r="M2506">
        <v>2.532367E-2</v>
      </c>
      <c r="N2506">
        <v>-1.387774E-2</v>
      </c>
      <c r="O2506">
        <v>-0.99958309999999995</v>
      </c>
      <c r="P2506">
        <v>0.2314967</v>
      </c>
      <c r="Q2506">
        <v>-4.0619130000000003E-3</v>
      </c>
      <c r="R2506">
        <v>-0.97282729999999995</v>
      </c>
      <c r="S2506">
        <v>0.24523929999999999</v>
      </c>
      <c r="T2506">
        <v>-7.9881549999999996E-2</v>
      </c>
      <c r="U2506">
        <v>-3.0261840000000002</v>
      </c>
      <c r="V2506">
        <v>-0.20681740000000001</v>
      </c>
      <c r="W2506">
        <v>8.7735150000000008E-3</v>
      </c>
      <c r="X2506">
        <v>0.97834019999999999</v>
      </c>
      <c r="Y2506">
        <v>-5.5483339999999999E-2</v>
      </c>
      <c r="Z2506">
        <v>1.245024E-2</v>
      </c>
      <c r="AA2506">
        <v>0.99838199999999999</v>
      </c>
      <c r="AB2506">
        <v>28</v>
      </c>
      <c r="AC2506">
        <v>3.4032999999999398</v>
      </c>
      <c r="AD2506">
        <v>-1.111111366527</v>
      </c>
      <c r="AE2506">
        <v>-41.834099999999999</v>
      </c>
      <c r="AF2506">
        <v>-2.3410729215371799</v>
      </c>
      <c r="AG2506">
        <v>-1.111111366527</v>
      </c>
      <c r="AH2506">
        <v>41.8775262813461</v>
      </c>
      <c r="AI2506">
        <v>91.517469904679899</v>
      </c>
      <c r="AJ2506">
        <v>93.199666814660901</v>
      </c>
      <c r="AK2506">
        <v>41.957626223817996</v>
      </c>
      <c r="AL2506">
        <v>89.497308159338601</v>
      </c>
      <c r="AM2506">
        <v>101.936375066962</v>
      </c>
      <c r="AN2506">
        <v>0.99999997922212702</v>
      </c>
    </row>
    <row r="2507" spans="1:40" x14ac:dyDescent="0.25">
      <c r="A2507" t="str">
        <f>"20190305135839771"</f>
        <v>20190305135839771</v>
      </c>
      <c r="B2507" t="str">
        <f>"1551765519761627"</f>
        <v>1551765519761627</v>
      </c>
      <c r="C2507" t="s">
        <v>40</v>
      </c>
      <c r="D2507">
        <v>4.1281600000000003</v>
      </c>
      <c r="E2507">
        <v>0.55733409999999906</v>
      </c>
      <c r="F2507" t="s">
        <v>58</v>
      </c>
      <c r="G2507">
        <v>-488.9502</v>
      </c>
      <c r="H2507" s="1">
        <v>1.374058E-6</v>
      </c>
      <c r="I2507">
        <v>204.34030000000001</v>
      </c>
      <c r="J2507">
        <v>-492.13189999999997</v>
      </c>
      <c r="K2507">
        <v>1.1110719999999901</v>
      </c>
      <c r="L2507">
        <v>243.68639999999999</v>
      </c>
      <c r="M2507">
        <v>2.6322519999999999E-2</v>
      </c>
      <c r="N2507">
        <v>-1.389834E-2</v>
      </c>
      <c r="O2507">
        <v>-0.99955720000000003</v>
      </c>
      <c r="P2507">
        <v>0.2308354</v>
      </c>
      <c r="Q2507">
        <v>-4.0521949999999998E-3</v>
      </c>
      <c r="R2507">
        <v>-0.97298499999999999</v>
      </c>
      <c r="S2507">
        <v>0.24404909999999999</v>
      </c>
      <c r="T2507">
        <v>-8.5089449999999997E-2</v>
      </c>
      <c r="U2507">
        <v>-3.0253450000000002</v>
      </c>
      <c r="V2507">
        <v>-0.20517350000000001</v>
      </c>
      <c r="W2507">
        <v>8.8364559999999995E-3</v>
      </c>
      <c r="X2507">
        <v>0.97868569999999999</v>
      </c>
      <c r="Y2507">
        <v>-5.4115499999999997E-2</v>
      </c>
      <c r="Z2507">
        <v>1.415287E-2</v>
      </c>
      <c r="AA2507">
        <v>0.99843440000000006</v>
      </c>
      <c r="AB2507">
        <v>28</v>
      </c>
      <c r="AC2507">
        <v>3.18169999999997</v>
      </c>
      <c r="AD2507">
        <v>-1.11107062594199</v>
      </c>
      <c r="AE2507">
        <v>-39.3460999999999</v>
      </c>
      <c r="AF2507">
        <v>-2.1431112884739898</v>
      </c>
      <c r="AG2507">
        <v>-1.11107062594199</v>
      </c>
      <c r="AH2507">
        <v>39.385020618193799</v>
      </c>
      <c r="AI2507">
        <v>91.613527553006406</v>
      </c>
      <c r="AJ2507">
        <v>93.114642392873293</v>
      </c>
      <c r="AK2507">
        <v>39.458931220018698</v>
      </c>
      <c r="AL2507">
        <v>89.493701763018706</v>
      </c>
      <c r="AM2507">
        <v>101.84012503433</v>
      </c>
      <c r="AN2507">
        <v>0.99999997372068905</v>
      </c>
    </row>
    <row r="2508" spans="1:40" x14ac:dyDescent="0.25">
      <c r="A2508" t="str">
        <f>"20190305135839790"</f>
        <v>20190305135839790</v>
      </c>
      <c r="B2508" t="str">
        <f>"1551765519781150"</f>
        <v>1551765519781150</v>
      </c>
      <c r="C2508" t="s">
        <v>40</v>
      </c>
      <c r="D2508">
        <v>4.0918229999999998</v>
      </c>
      <c r="E2508">
        <v>0.55670620000000004</v>
      </c>
      <c r="F2508" t="s">
        <v>58</v>
      </c>
      <c r="G2508">
        <v>-489.14210000000003</v>
      </c>
      <c r="H2508" s="1">
        <v>2.020065E-6</v>
      </c>
      <c r="I2508">
        <v>206.60419999999999</v>
      </c>
      <c r="J2508">
        <v>-492.12380000000002</v>
      </c>
      <c r="K2508">
        <v>1.1110139999999999</v>
      </c>
      <c r="L2508">
        <v>243.4434</v>
      </c>
      <c r="M2508">
        <v>2.7794050000000001E-2</v>
      </c>
      <c r="N2508">
        <v>-1.392667E-2</v>
      </c>
      <c r="O2508">
        <v>-0.99951659999999998</v>
      </c>
      <c r="P2508">
        <v>0.2292775</v>
      </c>
      <c r="Q2508">
        <v>-4.8509850000000004E-3</v>
      </c>
      <c r="R2508">
        <v>-0.97334900000000002</v>
      </c>
      <c r="S2508">
        <v>0.24389649999999999</v>
      </c>
      <c r="T2508">
        <v>-9.0637800000000004E-2</v>
      </c>
      <c r="U2508">
        <v>-3.025055</v>
      </c>
      <c r="V2508">
        <v>-0.20216139999999999</v>
      </c>
      <c r="W2508">
        <v>8.1174119999999992E-3</v>
      </c>
      <c r="X2508">
        <v>0.97931860000000004</v>
      </c>
      <c r="Y2508">
        <v>-5.2600559999999998E-2</v>
      </c>
      <c r="Z2508">
        <v>1.5954670000000001E-2</v>
      </c>
      <c r="AA2508">
        <v>0.99848820000000005</v>
      </c>
      <c r="AB2508">
        <v>28</v>
      </c>
      <c r="AC2508">
        <v>2.98169999999998</v>
      </c>
      <c r="AD2508">
        <v>-1.111011979935</v>
      </c>
      <c r="AE2508">
        <v>-36.839199999999998</v>
      </c>
      <c r="AF2508">
        <v>-1.95477157639302</v>
      </c>
      <c r="AG2508">
        <v>-1.111011979935</v>
      </c>
      <c r="AH2508">
        <v>36.874526525189602</v>
      </c>
      <c r="AI2508">
        <v>91.723354218367305</v>
      </c>
      <c r="AJ2508">
        <v>93.0344911131495</v>
      </c>
      <c r="AK2508">
        <v>36.943012681592997</v>
      </c>
      <c r="AL2508">
        <v>89.534901454304105</v>
      </c>
      <c r="AM2508">
        <v>101.663769773529</v>
      </c>
      <c r="AN2508">
        <v>1.00000002216674</v>
      </c>
    </row>
    <row r="2509" spans="1:40" x14ac:dyDescent="0.25">
      <c r="A2509" t="str">
        <f>"20190305135839805"</f>
        <v>20190305135839805</v>
      </c>
      <c r="B2509" t="str">
        <f>"1551765519801643"</f>
        <v>1551765519801643</v>
      </c>
      <c r="C2509" t="s">
        <v>40</v>
      </c>
      <c r="D2509">
        <v>4.1049790000000002</v>
      </c>
      <c r="E2509">
        <v>0.55614949999999996</v>
      </c>
      <c r="F2509" t="s">
        <v>58</v>
      </c>
      <c r="G2509">
        <v>-489.46980000000002</v>
      </c>
      <c r="H2509" s="1">
        <v>3.0501350000000001E-6</v>
      </c>
      <c r="I2509">
        <v>210.50470000000001</v>
      </c>
      <c r="J2509">
        <v>-492.11810000000003</v>
      </c>
      <c r="K2509">
        <v>1.1109690000000001</v>
      </c>
      <c r="L2509">
        <v>243.2741</v>
      </c>
      <c r="M2509">
        <v>2.8775100000000001E-2</v>
      </c>
      <c r="N2509">
        <v>-1.3944069999999999E-2</v>
      </c>
      <c r="O2509">
        <v>-0.99948859999999995</v>
      </c>
      <c r="P2509">
        <v>0.22905159999999999</v>
      </c>
      <c r="Q2509">
        <v>-4.8866229999999997E-3</v>
      </c>
      <c r="R2509">
        <v>-0.97340199999999999</v>
      </c>
      <c r="S2509">
        <v>0.24368290000000001</v>
      </c>
      <c r="T2509">
        <v>-0.10200679999999999</v>
      </c>
      <c r="U2509">
        <v>-3.0242460000000002</v>
      </c>
      <c r="V2509">
        <v>-0.20097129999999999</v>
      </c>
      <c r="W2509">
        <v>8.1283789999999998E-3</v>
      </c>
      <c r="X2509">
        <v>0.97956339999999997</v>
      </c>
      <c r="Y2509">
        <v>-5.156525E-2</v>
      </c>
      <c r="Z2509">
        <v>1.9689419999999999E-2</v>
      </c>
      <c r="AA2509">
        <v>0.99847549999999996</v>
      </c>
      <c r="AB2509">
        <v>28</v>
      </c>
      <c r="AC2509">
        <v>2.6482999999999999</v>
      </c>
      <c r="AD2509">
        <v>-1.110965949865</v>
      </c>
      <c r="AE2509">
        <v>-32.769399999999898</v>
      </c>
      <c r="AF2509">
        <v>-1.70222485162698</v>
      </c>
      <c r="AG2509">
        <v>-1.110965949865</v>
      </c>
      <c r="AH2509">
        <v>32.794591489085001</v>
      </c>
      <c r="AI2509">
        <v>91.937632001077404</v>
      </c>
      <c r="AJ2509">
        <v>92.971308622795206</v>
      </c>
      <c r="AK2509">
        <v>32.857526469946301</v>
      </c>
      <c r="AL2509">
        <v>89.534273057791694</v>
      </c>
      <c r="AM2509">
        <v>101.594152156947</v>
      </c>
      <c r="AN2509">
        <v>0.99999999429420805</v>
      </c>
    </row>
    <row r="2510" spans="1:40" x14ac:dyDescent="0.25">
      <c r="A2510" t="str">
        <f>"20190305135839818"</f>
        <v>20190305135839818</v>
      </c>
      <c r="B2510" t="str">
        <f>"1551765519811403"</f>
        <v>1551765519811403</v>
      </c>
      <c r="C2510" t="s">
        <v>40</v>
      </c>
      <c r="D2510">
        <v>4.4610079999999996</v>
      </c>
      <c r="E2510">
        <v>0.5559191</v>
      </c>
      <c r="F2510" t="s">
        <v>58</v>
      </c>
      <c r="G2510">
        <v>-489.60570000000001</v>
      </c>
      <c r="H2510" s="1">
        <v>3.1638699999999999E-6</v>
      </c>
      <c r="I2510">
        <v>212.5549</v>
      </c>
      <c r="J2510">
        <v>-492.11189999999999</v>
      </c>
      <c r="K2510">
        <v>1.1109230000000001</v>
      </c>
      <c r="L2510">
        <v>243.09880000000001</v>
      </c>
      <c r="M2510">
        <v>2.9759069999999999E-2</v>
      </c>
      <c r="N2510">
        <v>-1.39606E-2</v>
      </c>
      <c r="O2510">
        <v>-0.9994596</v>
      </c>
      <c r="P2510">
        <v>0.2289716</v>
      </c>
      <c r="Q2510">
        <v>-5.4099550000000001E-3</v>
      </c>
      <c r="R2510">
        <v>-0.97341809999999995</v>
      </c>
      <c r="S2510">
        <v>0.24725340000000001</v>
      </c>
      <c r="T2510">
        <v>-0.1093365</v>
      </c>
      <c r="U2510">
        <v>-3.0232540000000001</v>
      </c>
      <c r="V2510">
        <v>-0.19992380000000001</v>
      </c>
      <c r="W2510">
        <v>7.6510800000000002E-3</v>
      </c>
      <c r="X2510">
        <v>0.97978160000000003</v>
      </c>
      <c r="Y2510">
        <v>-5.1774720000000003E-2</v>
      </c>
      <c r="Z2510">
        <v>2.2095159999999999E-2</v>
      </c>
      <c r="AA2510">
        <v>0.99841429999999998</v>
      </c>
      <c r="AB2510">
        <v>28</v>
      </c>
      <c r="AC2510">
        <v>2.50619999999997</v>
      </c>
      <c r="AD2510">
        <v>-1.1109198361299999</v>
      </c>
      <c r="AE2510">
        <v>-30.543900000000001</v>
      </c>
      <c r="AF2510">
        <v>-1.5939486557507501</v>
      </c>
      <c r="AG2510">
        <v>-1.1109198361299999</v>
      </c>
      <c r="AH2510">
        <v>30.564796157144102</v>
      </c>
      <c r="AI2510">
        <v>92.078755837119104</v>
      </c>
      <c r="AJ2510">
        <v>92.985260377234994</v>
      </c>
      <c r="AK2510">
        <v>30.626484932607699</v>
      </c>
      <c r="AL2510">
        <v>89.561621140804306</v>
      </c>
      <c r="AM2510">
        <v>101.53284501681399</v>
      </c>
      <c r="AN2510">
        <v>1.0000000242650799</v>
      </c>
    </row>
    <row r="2511" spans="1:40" x14ac:dyDescent="0.25">
      <c r="A2511" t="str">
        <f>"20190305135839835"</f>
        <v>20190305135839835</v>
      </c>
      <c r="B2511" t="str">
        <f>"1551765519830923"</f>
        <v>1551765519830923</v>
      </c>
      <c r="C2511" t="s">
        <v>40</v>
      </c>
      <c r="D2511">
        <v>4.0846390000000001</v>
      </c>
      <c r="E2511">
        <v>0.55548350000000002</v>
      </c>
      <c r="F2511" t="s">
        <v>58</v>
      </c>
      <c r="G2511">
        <v>-489.67630000000003</v>
      </c>
      <c r="H2511" s="1">
        <v>3.2169519999999998E-6</v>
      </c>
      <c r="I2511">
        <v>213.4828</v>
      </c>
      <c r="J2511">
        <v>-492.10410000000002</v>
      </c>
      <c r="K2511">
        <v>1.110859</v>
      </c>
      <c r="L2511">
        <v>242.881</v>
      </c>
      <c r="M2511">
        <v>3.0913840000000001E-2</v>
      </c>
      <c r="N2511">
        <v>-1.397814E-2</v>
      </c>
      <c r="O2511">
        <v>-0.99942430000000004</v>
      </c>
      <c r="P2511">
        <v>0.22877790000000001</v>
      </c>
      <c r="Q2511">
        <v>-6.6137449999999999E-3</v>
      </c>
      <c r="R2511">
        <v>-0.97345619999999999</v>
      </c>
      <c r="S2511">
        <v>0.24859619999999999</v>
      </c>
      <c r="T2511">
        <v>-0.1133885</v>
      </c>
      <c r="U2511">
        <v>-3.0228269999999999</v>
      </c>
      <c r="V2511">
        <v>-0.1985923</v>
      </c>
      <c r="W2511">
        <v>6.5033620000000004E-3</v>
      </c>
      <c r="X2511">
        <v>0.98006059999999995</v>
      </c>
      <c r="Y2511">
        <v>-5.1070129999999998E-2</v>
      </c>
      <c r="Z2511">
        <v>2.341582E-2</v>
      </c>
      <c r="AA2511">
        <v>0.99842050000000004</v>
      </c>
      <c r="AB2511">
        <v>28</v>
      </c>
      <c r="AC2511">
        <v>2.4277999999999902</v>
      </c>
      <c r="AD2511">
        <v>-1.1108557830479999</v>
      </c>
      <c r="AE2511">
        <v>-29.3981999999999</v>
      </c>
      <c r="AF2511">
        <v>-1.5155900237737401</v>
      </c>
      <c r="AG2511">
        <v>-1.1108557830479999</v>
      </c>
      <c r="AH2511">
        <v>29.4174880284016</v>
      </c>
      <c r="AI2511">
        <v>92.159699659485497</v>
      </c>
      <c r="AJ2511">
        <v>92.949272999359906</v>
      </c>
      <c r="AK2511">
        <v>29.477442487299399</v>
      </c>
      <c r="AL2511">
        <v>89.627382173501104</v>
      </c>
      <c r="AM2511">
        <v>101.454898295272</v>
      </c>
      <c r="AN2511">
        <v>0.99999998750447605</v>
      </c>
    </row>
    <row r="2512" spans="1:40" x14ac:dyDescent="0.25">
      <c r="A2512" t="str">
        <f>"20190305135839849"</f>
        <v>20190305135839849</v>
      </c>
      <c r="B2512" t="str">
        <f>"1551765519841659"</f>
        <v>1551765519841659</v>
      </c>
      <c r="C2512" t="s">
        <v>40</v>
      </c>
      <c r="D2512">
        <v>4.1216189999999999</v>
      </c>
      <c r="E2512">
        <v>0.55521489999999996</v>
      </c>
      <c r="F2512" t="s">
        <v>58</v>
      </c>
      <c r="G2512">
        <v>-489.7878</v>
      </c>
      <c r="H2512" s="1">
        <v>3.3036680000000002E-6</v>
      </c>
      <c r="I2512">
        <v>215.01429999999999</v>
      </c>
      <c r="J2512">
        <v>-492.09800000000001</v>
      </c>
      <c r="K2512">
        <v>1.1108009999999999</v>
      </c>
      <c r="L2512">
        <v>242.71559999999999</v>
      </c>
      <c r="M2512">
        <v>3.1750899999999999E-2</v>
      </c>
      <c r="N2512">
        <v>-1.398975E-2</v>
      </c>
      <c r="O2512">
        <v>-0.9993978</v>
      </c>
      <c r="P2512">
        <v>0.22936390000000001</v>
      </c>
      <c r="Q2512">
        <v>-7.0642419999999897E-3</v>
      </c>
      <c r="R2512">
        <v>-0.97331509999999999</v>
      </c>
      <c r="S2512">
        <v>0.25119019999999997</v>
      </c>
      <c r="T2512">
        <v>-0.1204648</v>
      </c>
      <c r="U2512">
        <v>-3.021957</v>
      </c>
      <c r="V2512">
        <v>-0.1983597</v>
      </c>
      <c r="W2512">
        <v>6.088998E-3</v>
      </c>
      <c r="X2512">
        <v>0.98011040000000005</v>
      </c>
      <c r="Y2512">
        <v>-5.1102719999999997E-2</v>
      </c>
      <c r="Z2512">
        <v>2.5742890000000001E-2</v>
      </c>
      <c r="AA2512">
        <v>0.99836159999999996</v>
      </c>
      <c r="AB2512">
        <v>28</v>
      </c>
      <c r="AC2512">
        <v>2.3102</v>
      </c>
      <c r="AD2512">
        <v>-1.1107976963320001</v>
      </c>
      <c r="AE2512">
        <v>-27.7013</v>
      </c>
      <c r="AF2512">
        <v>-1.4271287347746999</v>
      </c>
      <c r="AG2512">
        <v>-1.1107976963320001</v>
      </c>
      <c r="AH2512">
        <v>27.716430227599801</v>
      </c>
      <c r="AI2512">
        <v>92.291994727771794</v>
      </c>
      <c r="AJ2512">
        <v>92.947576738661994</v>
      </c>
      <c r="AK2512">
        <v>27.775368089535799</v>
      </c>
      <c r="AL2512">
        <v>89.651123964741501</v>
      </c>
      <c r="AM2512">
        <v>101.441269839125</v>
      </c>
      <c r="AN2512">
        <v>1.00000002133444</v>
      </c>
    </row>
    <row r="2513" spans="1:40" x14ac:dyDescent="0.25">
      <c r="A2513" t="str">
        <f>"20190305135839863"</f>
        <v>20190305135839863</v>
      </c>
      <c r="B2513" t="str">
        <f>"1551765519851419"</f>
        <v>1551765519851419</v>
      </c>
      <c r="C2513" t="s">
        <v>40</v>
      </c>
      <c r="D2513">
        <v>4.1162419999999997</v>
      </c>
      <c r="E2513">
        <v>0.55501219999999996</v>
      </c>
      <c r="F2513" t="s">
        <v>58</v>
      </c>
      <c r="G2513">
        <v>-489.81700000000001</v>
      </c>
      <c r="H2513" s="1">
        <v>3.3374239999999998E-6</v>
      </c>
      <c r="I2513">
        <v>215.6678</v>
      </c>
      <c r="J2513">
        <v>-492.09179999999998</v>
      </c>
      <c r="K2513">
        <v>1.110751</v>
      </c>
      <c r="L2513">
        <v>242.547</v>
      </c>
      <c r="M2513">
        <v>3.2577700000000001E-2</v>
      </c>
      <c r="N2513">
        <v>-1.400068E-2</v>
      </c>
      <c r="O2513">
        <v>-0.99937120000000002</v>
      </c>
      <c r="P2513">
        <v>0.22998640000000001</v>
      </c>
      <c r="Q2513">
        <v>-8.2851019999999904E-3</v>
      </c>
      <c r="R2513">
        <v>-0.973159</v>
      </c>
      <c r="S2513">
        <v>0.2547913</v>
      </c>
      <c r="T2513">
        <v>-0.1240792</v>
      </c>
      <c r="U2513">
        <v>-3.0213169999999998</v>
      </c>
      <c r="V2513">
        <v>-0.19817170000000001</v>
      </c>
      <c r="W2513">
        <v>4.9040759999999899E-3</v>
      </c>
      <c r="X2513">
        <v>0.98015509999999995</v>
      </c>
      <c r="Y2513">
        <v>-5.1472410000000003E-2</v>
      </c>
      <c r="Z2513">
        <v>2.6927280000000001E-2</v>
      </c>
      <c r="AA2513">
        <v>0.99831130000000001</v>
      </c>
      <c r="AB2513">
        <v>28</v>
      </c>
      <c r="AC2513">
        <v>2.2748000000000199</v>
      </c>
      <c r="AD2513">
        <v>-1.110747662576</v>
      </c>
      <c r="AE2513">
        <v>-26.879200000000001</v>
      </c>
      <c r="AF2513">
        <v>-1.39547797842413</v>
      </c>
      <c r="AG2513">
        <v>-1.110747662576</v>
      </c>
      <c r="AH2513">
        <v>26.893446962591799</v>
      </c>
      <c r="AI2513">
        <v>92.361900456237805</v>
      </c>
      <c r="AJ2513">
        <v>92.970365056330195</v>
      </c>
      <c r="AK2513">
        <v>26.9525250892736</v>
      </c>
      <c r="AL2513">
        <v>89.719016029528703</v>
      </c>
      <c r="AM2513">
        <v>101.43020411473999</v>
      </c>
      <c r="AN2513">
        <v>1.0000000463491501</v>
      </c>
    </row>
    <row r="2514" spans="1:40" x14ac:dyDescent="0.25">
      <c r="A2514" t="str">
        <f>"20190305135839883"</f>
        <v>20190305135839883</v>
      </c>
      <c r="B2514" t="str">
        <f>"1551765519870942"</f>
        <v>1551765519870942</v>
      </c>
      <c r="C2514" t="s">
        <v>40</v>
      </c>
      <c r="D2514">
        <v>4.0633150000000002</v>
      </c>
      <c r="E2514">
        <v>0.55473760000000005</v>
      </c>
      <c r="F2514" t="s">
        <v>58</v>
      </c>
      <c r="G2514">
        <v>-489.87950000000001</v>
      </c>
      <c r="H2514" s="1">
        <v>3.3913800000000001E-6</v>
      </c>
      <c r="I2514">
        <v>216.64869999999999</v>
      </c>
      <c r="J2514">
        <v>-492.08179999999999</v>
      </c>
      <c r="K2514">
        <v>1.1106720000000001</v>
      </c>
      <c r="L2514">
        <v>242.2851</v>
      </c>
      <c r="M2514">
        <v>3.3776069999999998E-2</v>
      </c>
      <c r="N2514">
        <v>-1.4015120000000001E-2</v>
      </c>
      <c r="O2514">
        <v>-0.99933139999999998</v>
      </c>
      <c r="P2514">
        <v>0.23069790000000001</v>
      </c>
      <c r="Q2514">
        <v>-1.029241E-2</v>
      </c>
      <c r="R2514">
        <v>-0.97297129999999998</v>
      </c>
      <c r="S2514">
        <v>0.25802609999999998</v>
      </c>
      <c r="T2514">
        <v>-0.12955120000000001</v>
      </c>
      <c r="U2514">
        <v>-3.0206300000000001</v>
      </c>
      <c r="V2514">
        <v>-0.1977081</v>
      </c>
      <c r="W2514">
        <v>2.9523959999999999E-3</v>
      </c>
      <c r="X2514">
        <v>0.98025649999999998</v>
      </c>
      <c r="Y2514">
        <v>-5.1350460000000001E-2</v>
      </c>
      <c r="Z2514">
        <v>2.8720550000000001E-2</v>
      </c>
      <c r="AA2514">
        <v>0.99826769999999998</v>
      </c>
      <c r="AB2514">
        <v>28</v>
      </c>
      <c r="AC2514">
        <v>2.2022999999999802</v>
      </c>
      <c r="AD2514">
        <v>-1.1106686086199999</v>
      </c>
      <c r="AE2514">
        <v>-25.636399999999998</v>
      </c>
      <c r="AF2514">
        <v>-1.33257862370105</v>
      </c>
      <c r="AG2514">
        <v>-1.1106686086199999</v>
      </c>
      <c r="AH2514">
        <v>25.648373693790202</v>
      </c>
      <c r="AI2514">
        <v>92.476232430265298</v>
      </c>
      <c r="AJ2514">
        <v>92.9741667998087</v>
      </c>
      <c r="AK2514">
        <v>25.706972277629799</v>
      </c>
      <c r="AL2514">
        <v>89.830839925285801</v>
      </c>
      <c r="AM2514">
        <v>101.40301713667699</v>
      </c>
      <c r="AN2514">
        <v>1.00000000762</v>
      </c>
    </row>
    <row r="2515" spans="1:40" x14ac:dyDescent="0.25">
      <c r="A2515" t="str">
        <f>"20190305135839906"</f>
        <v>20190305135839906</v>
      </c>
      <c r="B2515" t="str">
        <f>"1551765519901195"</f>
        <v>1551765519901195</v>
      </c>
      <c r="C2515" t="s">
        <v>40</v>
      </c>
      <c r="D2515">
        <v>4.0419609999999997</v>
      </c>
      <c r="E2515">
        <v>0.55422130000000003</v>
      </c>
      <c r="F2515" t="s">
        <v>58</v>
      </c>
      <c r="G2515">
        <v>-489.98219999999998</v>
      </c>
      <c r="H2515" s="1">
        <v>3.4659510000000001E-6</v>
      </c>
      <c r="I2515">
        <v>218.13640000000001</v>
      </c>
      <c r="J2515">
        <v>-492.07100000000003</v>
      </c>
      <c r="K2515">
        <v>1.1105849999999999</v>
      </c>
      <c r="L2515">
        <v>242.00540000000001</v>
      </c>
      <c r="M2515">
        <v>3.4947249999999999E-2</v>
      </c>
      <c r="N2515">
        <v>-1.402783E-2</v>
      </c>
      <c r="O2515">
        <v>-0.99929080000000003</v>
      </c>
      <c r="P2515">
        <v>0.2323211</v>
      </c>
      <c r="Q2515">
        <v>-1.1380100000000001E-2</v>
      </c>
      <c r="R2515">
        <v>-0.97257260000000001</v>
      </c>
      <c r="S2515">
        <v>0.26254270000000002</v>
      </c>
      <c r="T2515">
        <v>-0.13888039999999999</v>
      </c>
      <c r="U2515">
        <v>-3.0196079999999998</v>
      </c>
      <c r="V2515">
        <v>-0.1981919</v>
      </c>
      <c r="W2515">
        <v>1.91814E-3</v>
      </c>
      <c r="X2515">
        <v>0.98016139999999996</v>
      </c>
      <c r="Y2515">
        <v>-5.1681489999999997E-2</v>
      </c>
      <c r="Z2515">
        <v>3.1789020000000001E-2</v>
      </c>
      <c r="AA2515">
        <v>0.99815759999999998</v>
      </c>
      <c r="AB2515">
        <v>28</v>
      </c>
      <c r="AC2515">
        <v>2.0887999999999902</v>
      </c>
      <c r="AD2515">
        <v>-1.110581534049</v>
      </c>
      <c r="AE2515">
        <v>-23.869</v>
      </c>
      <c r="AF2515">
        <v>-1.2505990962645299</v>
      </c>
      <c r="AG2515">
        <v>-1.110581534049</v>
      </c>
      <c r="AH2515">
        <v>23.87612599377</v>
      </c>
      <c r="AI2515">
        <v>92.659513652431201</v>
      </c>
      <c r="AJ2515">
        <v>92.998335223711393</v>
      </c>
      <c r="AK2515">
        <v>23.9346356127209</v>
      </c>
      <c r="AL2515">
        <v>89.890098610407605</v>
      </c>
      <c r="AM2515">
        <v>101.431267003413</v>
      </c>
      <c r="AN2515">
        <v>1.0000000392683099</v>
      </c>
    </row>
    <row r="2516" spans="1:40" x14ac:dyDescent="0.25">
      <c r="A2516" t="str">
        <f>"20190305135839925"</f>
        <v>20190305135839925</v>
      </c>
      <c r="B2516" t="str">
        <f>"1551765519921691"</f>
        <v>1551765519921691</v>
      </c>
      <c r="C2516" t="s">
        <v>40</v>
      </c>
      <c r="D2516">
        <v>4.0734969999999997</v>
      </c>
      <c r="E2516">
        <v>0.55389960000000005</v>
      </c>
      <c r="F2516" t="s">
        <v>58</v>
      </c>
      <c r="G2516">
        <v>-490.01659999999998</v>
      </c>
      <c r="H2516" s="1">
        <v>3.504567E-6</v>
      </c>
      <c r="I2516">
        <v>219.1593</v>
      </c>
      <c r="J2516">
        <v>-492.06119999999999</v>
      </c>
      <c r="K2516">
        <v>1.110509</v>
      </c>
      <c r="L2516">
        <v>241.75729999999999</v>
      </c>
      <c r="M2516">
        <v>3.5889499999999998E-2</v>
      </c>
      <c r="N2516">
        <v>-1.403712E-2</v>
      </c>
      <c r="O2516">
        <v>-0.99925719999999996</v>
      </c>
      <c r="P2516">
        <v>0.23411979999999999</v>
      </c>
      <c r="Q2516">
        <v>-1.1940299999999999E-2</v>
      </c>
      <c r="R2516">
        <v>-0.97213450000000001</v>
      </c>
      <c r="S2516">
        <v>0.27139279999999999</v>
      </c>
      <c r="T2516">
        <v>-0.1467128</v>
      </c>
      <c r="U2516">
        <v>-3.0180660000000001</v>
      </c>
      <c r="V2516">
        <v>-0.19907949999999999</v>
      </c>
      <c r="W2516">
        <v>1.402679E-3</v>
      </c>
      <c r="X2516">
        <v>0.97998229999999997</v>
      </c>
      <c r="Y2516">
        <v>-5.3678450000000003E-2</v>
      </c>
      <c r="Z2516">
        <v>3.4372130000000001E-2</v>
      </c>
      <c r="AA2516">
        <v>0.99796649999999998</v>
      </c>
      <c r="AB2516">
        <v>28</v>
      </c>
      <c r="AC2516">
        <v>2.0446</v>
      </c>
      <c r="AD2516">
        <v>-1.110505495433</v>
      </c>
      <c r="AE2516">
        <v>-22.5979999999999</v>
      </c>
      <c r="AF2516">
        <v>-1.2292273464317001</v>
      </c>
      <c r="AG2516">
        <v>-1.110505495433</v>
      </c>
      <c r="AH2516">
        <v>22.602685282763701</v>
      </c>
      <c r="AI2516">
        <v>92.808626286875693</v>
      </c>
      <c r="AJ2516">
        <v>93.112914513037794</v>
      </c>
      <c r="AK2516">
        <v>22.663309650540199</v>
      </c>
      <c r="AL2516">
        <v>89.919632383845894</v>
      </c>
      <c r="AM2516">
        <v>101.483147764961</v>
      </c>
      <c r="AN2516">
        <v>0.99999996157095705</v>
      </c>
    </row>
    <row r="2517" spans="1:40" x14ac:dyDescent="0.25">
      <c r="A2517" t="str">
        <f>"20190305135839940"</f>
        <v>20190305135839940</v>
      </c>
      <c r="B2517" t="str">
        <f>"1551765519931451"</f>
        <v>1551765519931451</v>
      </c>
      <c r="C2517" t="s">
        <v>40</v>
      </c>
      <c r="D2517">
        <v>4.09971</v>
      </c>
      <c r="E2517">
        <v>0.55379639999999997</v>
      </c>
      <c r="F2517" t="s">
        <v>58</v>
      </c>
      <c r="G2517">
        <v>-490.02449999999999</v>
      </c>
      <c r="H2517" s="1">
        <v>3.5456150000000002E-6</v>
      </c>
      <c r="I2517">
        <v>219.68879999999999</v>
      </c>
      <c r="J2517">
        <v>-492.05380000000002</v>
      </c>
      <c r="K2517">
        <v>1.1104480000000001</v>
      </c>
      <c r="L2517">
        <v>241.5711</v>
      </c>
      <c r="M2517">
        <v>3.6535049999999999E-2</v>
      </c>
      <c r="N2517">
        <v>-1.4043119999999999E-2</v>
      </c>
      <c r="O2517">
        <v>-0.99923379999999995</v>
      </c>
      <c r="P2517">
        <v>0.2350727</v>
      </c>
      <c r="Q2517">
        <v>-1.2178629999999999E-2</v>
      </c>
      <c r="R2517">
        <v>-0.97190149999999997</v>
      </c>
      <c r="S2517">
        <v>0.27844239999999998</v>
      </c>
      <c r="T2517">
        <v>-0.15182109999999999</v>
      </c>
      <c r="U2517">
        <v>-3.0170590000000002</v>
      </c>
      <c r="V2517">
        <v>-0.19940669999999999</v>
      </c>
      <c r="W2517">
        <v>1.2000239999999901E-3</v>
      </c>
      <c r="X2517">
        <v>0.97991609999999996</v>
      </c>
      <c r="Y2517">
        <v>-5.5368720000000003E-2</v>
      </c>
      <c r="Z2517">
        <v>3.60556E-2</v>
      </c>
      <c r="AA2517">
        <v>0.9978148</v>
      </c>
      <c r="AB2517">
        <v>28</v>
      </c>
      <c r="AC2517">
        <v>2.0293000000000299</v>
      </c>
      <c r="AD2517">
        <v>-1.1104444543849901</v>
      </c>
      <c r="AE2517">
        <v>-21.882300000000001</v>
      </c>
      <c r="AF2517">
        <v>-1.2252668512587599</v>
      </c>
      <c r="AG2517">
        <v>-1.1104444543849901</v>
      </c>
      <c r="AH2517">
        <v>21.885956048019299</v>
      </c>
      <c r="AI2517">
        <v>92.900035610776499</v>
      </c>
      <c r="AJ2517">
        <v>93.204311166052506</v>
      </c>
      <c r="AK2517">
        <v>21.9483356516821</v>
      </c>
      <c r="AL2517">
        <v>89.9312436741901</v>
      </c>
      <c r="AM2517">
        <v>101.502274806636</v>
      </c>
      <c r="AN2517">
        <v>1.0000000175508501</v>
      </c>
    </row>
    <row r="2518" spans="1:40" x14ac:dyDescent="0.25">
      <c r="A2518" t="str">
        <f>"20190305135839959"</f>
        <v>20190305135839959</v>
      </c>
      <c r="B2518" t="str">
        <f>"1551765519950974"</f>
        <v>1551765519950974</v>
      </c>
      <c r="C2518" t="s">
        <v>40</v>
      </c>
      <c r="D2518">
        <v>4.0974909999999998</v>
      </c>
      <c r="E2518">
        <v>0.55351870000000003</v>
      </c>
      <c r="F2518" t="s">
        <v>58</v>
      </c>
      <c r="G2518">
        <v>-490.0093</v>
      </c>
      <c r="H2518" s="1">
        <v>3.5568369999999999E-6</v>
      </c>
      <c r="I2518">
        <v>219.71639999999999</v>
      </c>
      <c r="J2518">
        <v>-492.0437</v>
      </c>
      <c r="K2518">
        <v>1.1103529999999999</v>
      </c>
      <c r="L2518">
        <v>241.31989999999999</v>
      </c>
      <c r="M2518">
        <v>3.7275059999999999E-2</v>
      </c>
      <c r="N2518">
        <v>-1.404966E-2</v>
      </c>
      <c r="O2518">
        <v>-0.9992065</v>
      </c>
      <c r="P2518">
        <v>0.23743359999999999</v>
      </c>
      <c r="Q2518">
        <v>-1.245683E-2</v>
      </c>
      <c r="R2518">
        <v>-0.97132430000000003</v>
      </c>
      <c r="S2518">
        <v>0.282196</v>
      </c>
      <c r="T2518">
        <v>-0.15327289999999999</v>
      </c>
      <c r="U2518">
        <v>-3.0165709999999999</v>
      </c>
      <c r="V2518">
        <v>-0.2010605</v>
      </c>
      <c r="W2518">
        <v>9.7114309999999998E-4</v>
      </c>
      <c r="X2518">
        <v>0.97957830000000001</v>
      </c>
      <c r="Y2518">
        <v>-5.5873020000000002E-2</v>
      </c>
      <c r="Z2518">
        <v>3.6530119999999999E-2</v>
      </c>
      <c r="AA2518">
        <v>0.99776940000000003</v>
      </c>
      <c r="AB2518">
        <v>28</v>
      </c>
      <c r="AC2518">
        <v>2.0344000000000002</v>
      </c>
      <c r="AD2518">
        <v>-1.1103494431630001</v>
      </c>
      <c r="AE2518">
        <v>-21.6035</v>
      </c>
      <c r="AF2518">
        <v>-1.2244287860005201</v>
      </c>
      <c r="AG2518">
        <v>-1.1103494431630001</v>
      </c>
      <c r="AH2518">
        <v>21.607745573989199</v>
      </c>
      <c r="AI2518">
        <v>92.936946883469801</v>
      </c>
      <c r="AJ2518">
        <v>93.243265508098702</v>
      </c>
      <c r="AK2518">
        <v>21.670873783218099</v>
      </c>
      <c r="AL2518">
        <v>89.944357587916997</v>
      </c>
      <c r="AM2518">
        <v>101.59898708506</v>
      </c>
      <c r="AN2518">
        <v>0.99999995680502896</v>
      </c>
    </row>
    <row r="2519" spans="1:40" x14ac:dyDescent="0.25">
      <c r="A2519" t="str">
        <f>"20190305135839972"</f>
        <v>20190305135839972</v>
      </c>
      <c r="B2519" t="str">
        <f>"1551765519961708"</f>
        <v>1551765519961708</v>
      </c>
      <c r="C2519" t="s">
        <v>40</v>
      </c>
      <c r="D2519">
        <v>4.1306379999999896</v>
      </c>
      <c r="E2519">
        <v>0.553432699999999</v>
      </c>
      <c r="F2519" t="s">
        <v>58</v>
      </c>
      <c r="G2519">
        <v>-489.97590000000002</v>
      </c>
      <c r="H2519" s="1">
        <v>3.6389789999999999E-6</v>
      </c>
      <c r="I2519">
        <v>219.9624</v>
      </c>
      <c r="J2519">
        <v>-492.03730000000002</v>
      </c>
      <c r="K2519">
        <v>1.1102879999999999</v>
      </c>
      <c r="L2519">
        <v>241.16239999999999</v>
      </c>
      <c r="M2519">
        <v>3.7653249999999999E-2</v>
      </c>
      <c r="N2519">
        <v>-1.405297E-2</v>
      </c>
      <c r="O2519">
        <v>-0.99919210000000003</v>
      </c>
      <c r="P2519">
        <v>0.23868200000000001</v>
      </c>
      <c r="Q2519">
        <v>-1.284603E-2</v>
      </c>
      <c r="R2519">
        <v>-0.97101320000000002</v>
      </c>
      <c r="S2519">
        <v>0.2919312</v>
      </c>
      <c r="T2519">
        <v>-0.15675700000000001</v>
      </c>
      <c r="U2519">
        <v>-3.0152130000000001</v>
      </c>
      <c r="V2519">
        <v>-0.20194799999999999</v>
      </c>
      <c r="W2519">
        <v>6.1828220000000001E-4</v>
      </c>
      <c r="X2519">
        <v>0.97939600000000004</v>
      </c>
      <c r="Y2519">
        <v>-5.8723169999999998E-2</v>
      </c>
      <c r="Z2519">
        <v>3.7684410000000002E-2</v>
      </c>
      <c r="AA2519">
        <v>0.99756279999999997</v>
      </c>
      <c r="AB2519">
        <v>28</v>
      </c>
      <c r="AC2519">
        <v>2.0613999999999901</v>
      </c>
      <c r="AD2519">
        <v>-1.110284361021</v>
      </c>
      <c r="AE2519">
        <v>-21.1999999999999</v>
      </c>
      <c r="AF2519">
        <v>-1.25819154398082</v>
      </c>
      <c r="AG2519">
        <v>-1.110284361021</v>
      </c>
      <c r="AH2519">
        <v>21.2049728472849</v>
      </c>
      <c r="AI2519">
        <v>92.991995723721004</v>
      </c>
      <c r="AJ2519">
        <v>93.395648976805802</v>
      </c>
      <c r="AK2519">
        <v>21.271263497445599</v>
      </c>
      <c r="AL2519">
        <v>89.964575035395399</v>
      </c>
      <c r="AM2519">
        <v>101.65089877320599</v>
      </c>
      <c r="AN2519">
        <v>0.99999995089643801</v>
      </c>
    </row>
    <row r="2520" spans="1:40" x14ac:dyDescent="0.25">
      <c r="A2520" t="str">
        <f>"20190305135839986"</f>
        <v>20190305135839986</v>
      </c>
      <c r="B2520" t="str">
        <f>"1551765519981227"</f>
        <v>1551765519981227</v>
      </c>
      <c r="C2520" t="s">
        <v>40</v>
      </c>
      <c r="D2520">
        <v>4.1239699999999999</v>
      </c>
      <c r="E2520">
        <v>0.55331770000000002</v>
      </c>
      <c r="F2520" t="s">
        <v>58</v>
      </c>
      <c r="G2520">
        <v>-489.97160000000002</v>
      </c>
      <c r="H2520" s="1">
        <v>3.6942620000000002E-6</v>
      </c>
      <c r="I2520">
        <v>220.13839999999999</v>
      </c>
      <c r="J2520">
        <v>-492.03059999999999</v>
      </c>
      <c r="K2520">
        <v>1.110206</v>
      </c>
      <c r="L2520">
        <v>240.99619999999999</v>
      </c>
      <c r="M2520">
        <v>3.7991980000000002E-2</v>
      </c>
      <c r="N2520">
        <v>-1.405609E-2</v>
      </c>
      <c r="O2520">
        <v>-0.99917920000000005</v>
      </c>
      <c r="P2520">
        <v>0.24043200000000001</v>
      </c>
      <c r="Q2520">
        <v>-1.258096E-2</v>
      </c>
      <c r="R2520">
        <v>-0.97058460000000002</v>
      </c>
      <c r="S2520">
        <v>0.29620360000000001</v>
      </c>
      <c r="T2520">
        <v>-0.15920290000000001</v>
      </c>
      <c r="U2520">
        <v>-3.014618</v>
      </c>
      <c r="V2520">
        <v>-0.20338149999999999</v>
      </c>
      <c r="W2520">
        <v>9.225053E-4</v>
      </c>
      <c r="X2520">
        <v>0.97909919999999995</v>
      </c>
      <c r="Y2520">
        <v>-5.9800209999999999E-2</v>
      </c>
      <c r="Z2520">
        <v>3.8490870000000003E-2</v>
      </c>
      <c r="AA2520">
        <v>0.99746800000000002</v>
      </c>
      <c r="AB2520">
        <v>28</v>
      </c>
      <c r="AC2520">
        <v>2.0589999999999602</v>
      </c>
      <c r="AD2520">
        <v>-1.1102023057379999</v>
      </c>
      <c r="AE2520">
        <v>-20.857800000000001</v>
      </c>
      <c r="AF2520">
        <v>-1.26146638711897</v>
      </c>
      <c r="AG2520">
        <v>-1.1102023057379999</v>
      </c>
      <c r="AH2520">
        <v>20.8624361528185</v>
      </c>
      <c r="AI2520">
        <v>93.04060007967</v>
      </c>
      <c r="AJ2520">
        <v>93.460229088336703</v>
      </c>
      <c r="AK2520">
        <v>20.9300045111301</v>
      </c>
      <c r="AL2520">
        <v>89.947144335643799</v>
      </c>
      <c r="AM2520">
        <v>101.73477427885901</v>
      </c>
      <c r="AN2520">
        <v>1.00000006449945</v>
      </c>
    </row>
    <row r="2521" spans="1:40" x14ac:dyDescent="0.25">
      <c r="A2521" t="str">
        <f>"20190305135840004"</f>
        <v>20190305135840004</v>
      </c>
      <c r="B2521" t="str">
        <f>"1551765520001723"</f>
        <v>1551765520001723</v>
      </c>
      <c r="C2521" t="s">
        <v>40</v>
      </c>
      <c r="D2521">
        <v>4.1335550000000003</v>
      </c>
      <c r="E2521">
        <v>0.55334810000000001</v>
      </c>
      <c r="F2521" t="s">
        <v>58</v>
      </c>
      <c r="G2521">
        <v>-489.9101</v>
      </c>
      <c r="H2521" s="1">
        <v>3.6010669999999999E-6</v>
      </c>
      <c r="I2521">
        <v>219.8638</v>
      </c>
      <c r="J2521">
        <v>-492.0215</v>
      </c>
      <c r="K2521">
        <v>1.1100920000000001</v>
      </c>
      <c r="L2521">
        <v>240.7715</v>
      </c>
      <c r="M2521">
        <v>3.8340050000000001E-2</v>
      </c>
      <c r="N2521">
        <v>-1.405972E-2</v>
      </c>
      <c r="O2521">
        <v>-0.99916609999999995</v>
      </c>
      <c r="P2521">
        <v>0.24332780000000001</v>
      </c>
      <c r="Q2521">
        <v>-1.215955E-2</v>
      </c>
      <c r="R2521">
        <v>-0.96986830000000002</v>
      </c>
      <c r="S2521">
        <v>0.30242920000000001</v>
      </c>
      <c r="T2521">
        <v>-0.15833829999999999</v>
      </c>
      <c r="U2521">
        <v>-3.0139309999999999</v>
      </c>
      <c r="V2521">
        <v>-0.20596200000000001</v>
      </c>
      <c r="W2521">
        <v>1.4002960000000001E-3</v>
      </c>
      <c r="X2521">
        <v>0.97855899999999996</v>
      </c>
      <c r="Y2521">
        <v>-6.1515159999999999E-2</v>
      </c>
      <c r="Z2521">
        <v>3.8206240000000002E-2</v>
      </c>
      <c r="AA2521">
        <v>0.99737469999999995</v>
      </c>
      <c r="AB2521">
        <v>28</v>
      </c>
      <c r="AC2521">
        <v>2.1114000000000002</v>
      </c>
      <c r="AD2521">
        <v>-1.1100883989329999</v>
      </c>
      <c r="AE2521">
        <v>-20.907699999999998</v>
      </c>
      <c r="AF2521">
        <v>-1.3045256002775101</v>
      </c>
      <c r="AG2521">
        <v>-1.1100883989329999</v>
      </c>
      <c r="AH2521">
        <v>20.914918788953699</v>
      </c>
      <c r="AI2521">
        <v>93.032320640520993</v>
      </c>
      <c r="AJ2521">
        <v>93.569084349814403</v>
      </c>
      <c r="AK2521">
        <v>20.984944871115498</v>
      </c>
      <c r="AL2521">
        <v>89.919768923823796</v>
      </c>
      <c r="AM2521">
        <v>101.885831091189</v>
      </c>
      <c r="AN2521">
        <v>1.0000000113769401</v>
      </c>
    </row>
    <row r="2522" spans="1:40" x14ac:dyDescent="0.25">
      <c r="A2522" t="str">
        <f>"20190305135840028"</f>
        <v>20190305135840028</v>
      </c>
      <c r="B2522" t="str">
        <f>"1551765520021243"</f>
        <v>1551765520021243</v>
      </c>
      <c r="C2522" t="s">
        <v>40</v>
      </c>
      <c r="D2522">
        <v>4.9268299999999998</v>
      </c>
      <c r="E2522">
        <v>0.5531471</v>
      </c>
      <c r="F2522" t="s">
        <v>58</v>
      </c>
      <c r="G2522">
        <v>-489.81299999999999</v>
      </c>
      <c r="H2522" s="1">
        <v>3.4983399999999999E-6</v>
      </c>
      <c r="I2522">
        <v>219.36539999999999</v>
      </c>
      <c r="J2522">
        <v>-492.00990000000002</v>
      </c>
      <c r="K2522">
        <v>1.1099270000000001</v>
      </c>
      <c r="L2522">
        <v>240.4787</v>
      </c>
      <c r="M2522">
        <v>3.8571340000000003E-2</v>
      </c>
      <c r="N2522">
        <v>-1.40635E-2</v>
      </c>
      <c r="O2522">
        <v>-0.99915710000000002</v>
      </c>
      <c r="P2522">
        <v>0.245891</v>
      </c>
      <c r="Q2522">
        <v>-1.186709E-2</v>
      </c>
      <c r="R2522">
        <v>-0.96922509999999995</v>
      </c>
      <c r="S2522">
        <v>0.31088259999999901</v>
      </c>
      <c r="T2522">
        <v>-0.15626319999999999</v>
      </c>
      <c r="U2522">
        <v>-3.0132599999999998</v>
      </c>
      <c r="V2522">
        <v>-0.2083209</v>
      </c>
      <c r="W2522">
        <v>1.7769960000000001E-3</v>
      </c>
      <c r="X2522">
        <v>0.97805889999999995</v>
      </c>
      <c r="Y2522">
        <v>-6.4077099999999998E-2</v>
      </c>
      <c r="Z2522">
        <v>3.7519629999999998E-2</v>
      </c>
      <c r="AA2522">
        <v>0.9972394</v>
      </c>
      <c r="AB2522">
        <v>28</v>
      </c>
      <c r="AC2522">
        <v>2.1968999999999701</v>
      </c>
      <c r="AD2522">
        <v>-1.10992350166</v>
      </c>
      <c r="AE2522">
        <v>-21.113299999999999</v>
      </c>
      <c r="AF2522">
        <v>-1.3770513673579201</v>
      </c>
      <c r="AG2522">
        <v>-1.10992350166</v>
      </c>
      <c r="AH2522">
        <v>21.124576758398799</v>
      </c>
      <c r="AI2522">
        <v>93.001299946054104</v>
      </c>
      <c r="AJ2522">
        <v>93.729672751997597</v>
      </c>
      <c r="AK2522">
        <v>21.1984891883682</v>
      </c>
      <c r="AL2522">
        <v>89.898185573722898</v>
      </c>
      <c r="AM2522">
        <v>102.02399029175101</v>
      </c>
      <c r="AN2522">
        <v>0.99999998348040098</v>
      </c>
    </row>
    <row r="2523" spans="1:40" x14ac:dyDescent="0.25">
      <c r="A2523" t="str">
        <f>"20190305135840050"</f>
        <v>20190305135840050</v>
      </c>
      <c r="B2523" t="str">
        <f>"1551765520041739"</f>
        <v>1551765520041739</v>
      </c>
      <c r="C2523" t="s">
        <v>40</v>
      </c>
      <c r="D2523">
        <v>4.194782</v>
      </c>
      <c r="E2523">
        <v>0.48887259999999999</v>
      </c>
      <c r="F2523" t="s">
        <v>58</v>
      </c>
      <c r="G2523">
        <v>-489.72019999999998</v>
      </c>
      <c r="H2523" s="1">
        <v>3.4640760000000002E-6</v>
      </c>
      <c r="I2523">
        <v>218.95830000000001</v>
      </c>
      <c r="J2523">
        <v>-491.99869999999999</v>
      </c>
      <c r="K2523">
        <v>1.1097760000000001</v>
      </c>
      <c r="L2523">
        <v>240.19300000000001</v>
      </c>
      <c r="M2523">
        <v>3.8568760000000001E-2</v>
      </c>
      <c r="N2523">
        <v>-1.406669E-2</v>
      </c>
      <c r="O2523">
        <v>-0.99915710000000002</v>
      </c>
      <c r="P2523">
        <v>0.2495984</v>
      </c>
      <c r="Q2523">
        <v>-1.1756849999999999E-2</v>
      </c>
      <c r="R2523">
        <v>-0.96827839999999998</v>
      </c>
      <c r="S2523">
        <v>0.3204651</v>
      </c>
      <c r="T2523">
        <v>-0.15534629999999999</v>
      </c>
      <c r="U2523">
        <v>-3.0120239999999998</v>
      </c>
      <c r="V2523">
        <v>-0.2120638</v>
      </c>
      <c r="W2523">
        <v>1.9653470000000001E-3</v>
      </c>
      <c r="X2523">
        <v>0.97725390000000001</v>
      </c>
      <c r="Y2523">
        <v>-6.7259120000000006E-2</v>
      </c>
      <c r="Z2523">
        <v>3.7222520000000002E-2</v>
      </c>
      <c r="AA2523">
        <v>0.99704099999999996</v>
      </c>
      <c r="AB2523">
        <v>28</v>
      </c>
      <c r="AC2523">
        <v>2.2785000000000002</v>
      </c>
      <c r="AD2523">
        <v>-1.109772535924</v>
      </c>
      <c r="AE2523">
        <v>-21.234699999999901</v>
      </c>
      <c r="AF2523">
        <v>-1.4538017627961</v>
      </c>
      <c r="AG2523">
        <v>-1.109772535924</v>
      </c>
      <c r="AH2523">
        <v>21.249406054224099</v>
      </c>
      <c r="AI2523">
        <v>92.982656308742094</v>
      </c>
      <c r="AJ2523">
        <v>93.913855509212098</v>
      </c>
      <c r="AK2523">
        <v>21.3279720626293</v>
      </c>
      <c r="AL2523">
        <v>89.887393844924304</v>
      </c>
      <c r="AM2523">
        <v>102.243347048327</v>
      </c>
      <c r="AN2523">
        <v>1.00000005146223</v>
      </c>
    </row>
    <row r="2524" spans="1:40" x14ac:dyDescent="0.25">
      <c r="A2524" t="str">
        <f>"20190305135840063"</f>
        <v>20190305135840063</v>
      </c>
      <c r="B2524" t="str">
        <f>"1551765520051499"</f>
        <v>1551765520051499</v>
      </c>
      <c r="C2524" t="s">
        <v>40</v>
      </c>
      <c r="D2524">
        <v>4.1992440000000002</v>
      </c>
      <c r="E2524">
        <v>0.4832359</v>
      </c>
      <c r="F2524" t="s">
        <v>58</v>
      </c>
      <c r="G2524">
        <v>-487.71039999999999</v>
      </c>
      <c r="H2524" s="1">
        <v>4.7198330000000004E-6</v>
      </c>
      <c r="I2524">
        <v>225.2234</v>
      </c>
      <c r="J2524">
        <v>-491.99239999999998</v>
      </c>
      <c r="K2524">
        <v>1.109693</v>
      </c>
      <c r="L2524">
        <v>240.02850000000001</v>
      </c>
      <c r="M2524">
        <v>3.8470039999999997E-2</v>
      </c>
      <c r="N2524">
        <v>-1.406834E-2</v>
      </c>
      <c r="O2524">
        <v>-0.99916070000000001</v>
      </c>
      <c r="P2524">
        <v>0.25150670000000003</v>
      </c>
      <c r="Q2524">
        <v>-1.143796E-2</v>
      </c>
      <c r="R2524">
        <v>-0.96778830000000005</v>
      </c>
      <c r="S2524">
        <v>0.82583619999999902</v>
      </c>
      <c r="T2524">
        <v>-0.21371770000000001</v>
      </c>
      <c r="U2524">
        <v>-2.8828130000000001</v>
      </c>
      <c r="V2524">
        <v>-0.2140861</v>
      </c>
      <c r="W2524">
        <v>2.32965E-3</v>
      </c>
      <c r="X2524">
        <v>0.97681200000000001</v>
      </c>
      <c r="Y2524">
        <v>-0.2376086</v>
      </c>
      <c r="Z2524">
        <v>5.7402130000000003E-2</v>
      </c>
      <c r="AA2524">
        <v>0.96966339999999995</v>
      </c>
      <c r="AB2524">
        <v>28</v>
      </c>
      <c r="AC2524">
        <v>4.2819999999999796</v>
      </c>
      <c r="AD2524">
        <v>-1.1096882801670001</v>
      </c>
      <c r="AE2524">
        <v>-14.805099999999999</v>
      </c>
      <c r="AF2524">
        <v>-3.69008994554614</v>
      </c>
      <c r="AG2524">
        <v>-1.1096882801670001</v>
      </c>
      <c r="AH2524">
        <v>14.881732105822101</v>
      </c>
      <c r="AI2524">
        <v>94.139583941004702</v>
      </c>
      <c r="AJ2524">
        <v>103.926239650458</v>
      </c>
      <c r="AK2524">
        <v>15.3725119077793</v>
      </c>
      <c r="AL2524">
        <v>89.866520764438604</v>
      </c>
      <c r="AM2524">
        <v>102.361950605335</v>
      </c>
      <c r="AN2524">
        <v>0.99999998441316595</v>
      </c>
    </row>
    <row r="2525" spans="1:40" x14ac:dyDescent="0.25">
      <c r="A2525" t="str">
        <f>"20190305135840083"</f>
        <v>20190305135840083</v>
      </c>
      <c r="B2525" t="str">
        <f>"1551765520071023"</f>
        <v>1551765520071023</v>
      </c>
      <c r="C2525" t="s">
        <v>40</v>
      </c>
      <c r="D2525">
        <v>4.0590830000000002</v>
      </c>
      <c r="E2525">
        <v>0.48055759999999997</v>
      </c>
      <c r="F2525" t="s">
        <v>58</v>
      </c>
      <c r="G2525">
        <v>-487.55759999999998</v>
      </c>
      <c r="H2525" s="1">
        <v>4.7434859999999996E-6</v>
      </c>
      <c r="I2525">
        <v>225.4837</v>
      </c>
      <c r="J2525">
        <v>-491.98270000000002</v>
      </c>
      <c r="K2525">
        <v>1.1095759999999999</v>
      </c>
      <c r="L2525">
        <v>239.7731</v>
      </c>
      <c r="M2525">
        <v>3.8172829999999998E-2</v>
      </c>
      <c r="N2525">
        <v>-1.407044E-2</v>
      </c>
      <c r="O2525">
        <v>-0.99917210000000001</v>
      </c>
      <c r="P2525">
        <v>0.25527090000000002</v>
      </c>
      <c r="Q2525">
        <v>-1.137228E-2</v>
      </c>
      <c r="R2525">
        <v>-0.96680279999999996</v>
      </c>
      <c r="S2525">
        <v>0.87503050000000004</v>
      </c>
      <c r="T2525">
        <v>-0.2189527</v>
      </c>
      <c r="U2525">
        <v>-2.8698429999999999</v>
      </c>
      <c r="V2525">
        <v>-0.2181746</v>
      </c>
      <c r="W2525">
        <v>2.4574409999999999E-3</v>
      </c>
      <c r="X2525">
        <v>0.97590670000000002</v>
      </c>
      <c r="Y2525">
        <v>-0.2542586</v>
      </c>
      <c r="Z2525">
        <v>5.9130559999999999E-2</v>
      </c>
      <c r="AA2525">
        <v>0.96532700000000005</v>
      </c>
      <c r="AB2525">
        <v>28</v>
      </c>
      <c r="AC2525">
        <v>4.4251000000000396</v>
      </c>
      <c r="AD2525">
        <v>-1.1095712565139999</v>
      </c>
      <c r="AE2525">
        <v>-14.289400000000001</v>
      </c>
      <c r="AF2525">
        <v>-3.8551427505181901</v>
      </c>
      <c r="AG2525">
        <v>-1.1095712565139999</v>
      </c>
      <c r="AH2525">
        <v>14.368862615207499</v>
      </c>
      <c r="AI2525">
        <v>94.265382150247902</v>
      </c>
      <c r="AJ2525">
        <v>105.01866583161301</v>
      </c>
      <c r="AK2525">
        <v>14.918360729479</v>
      </c>
      <c r="AL2525">
        <v>89.859198866368004</v>
      </c>
      <c r="AM2525">
        <v>102.60187921152</v>
      </c>
      <c r="AN2525">
        <v>1.00000004110315</v>
      </c>
    </row>
    <row r="2526" spans="1:40" x14ac:dyDescent="0.25">
      <c r="A2526" t="str">
        <f>"20190305135840105"</f>
        <v>20190305135840105</v>
      </c>
      <c r="B2526" t="str">
        <f>"1551765520101275"</f>
        <v>1551765520101275</v>
      </c>
      <c r="C2526" t="s">
        <v>40</v>
      </c>
      <c r="D2526">
        <v>4.0722069999999997</v>
      </c>
      <c r="E2526">
        <v>0.48019060000000002</v>
      </c>
      <c r="F2526" t="s">
        <v>58</v>
      </c>
      <c r="G2526">
        <v>-487.43819999999999</v>
      </c>
      <c r="H2526" s="1">
        <v>4.708398E-6</v>
      </c>
      <c r="I2526">
        <v>225.44470000000001</v>
      </c>
      <c r="J2526">
        <v>-491.97289999999998</v>
      </c>
      <c r="K2526">
        <v>1.10947</v>
      </c>
      <c r="L2526">
        <v>239.50790000000001</v>
      </c>
      <c r="M2526">
        <v>3.7724500000000001E-2</v>
      </c>
      <c r="N2526">
        <v>-1.407196E-2</v>
      </c>
      <c r="O2526">
        <v>-0.99918910000000005</v>
      </c>
      <c r="P2526">
        <v>0.2589746</v>
      </c>
      <c r="Q2526">
        <v>-1.1402219999999999E-2</v>
      </c>
      <c r="R2526">
        <v>-0.96581669999999997</v>
      </c>
      <c r="S2526">
        <v>0.90737920000000005</v>
      </c>
      <c r="T2526">
        <v>-0.2215403</v>
      </c>
      <c r="U2526">
        <v>-2.8608549999999999</v>
      </c>
      <c r="V2526">
        <v>-0.22234999999999999</v>
      </c>
      <c r="W2526">
        <v>2.4827130000000001E-3</v>
      </c>
      <c r="X2526">
        <v>0.97496369999999999</v>
      </c>
      <c r="Y2526">
        <v>-0.26544679999999998</v>
      </c>
      <c r="Z2526">
        <v>5.9979409999999997E-2</v>
      </c>
      <c r="AA2526">
        <v>0.96225799999999995</v>
      </c>
      <c r="AB2526">
        <v>28</v>
      </c>
      <c r="AC2526">
        <v>4.5346999999999804</v>
      </c>
      <c r="AD2526">
        <v>-1.109465291602</v>
      </c>
      <c r="AE2526">
        <v>-14.063199999999901</v>
      </c>
      <c r="AF2526">
        <v>-3.9784624686449899</v>
      </c>
      <c r="AG2526">
        <v>-1.109465291602</v>
      </c>
      <c r="AH2526">
        <v>14.144531498578001</v>
      </c>
      <c r="AI2526">
        <v>94.318081025550399</v>
      </c>
      <c r="AJ2526">
        <v>105.709812705754</v>
      </c>
      <c r="AK2526">
        <v>14.7352247408023</v>
      </c>
      <c r="AL2526">
        <v>89.8577508703017</v>
      </c>
      <c r="AM2526">
        <v>102.84713830521</v>
      </c>
      <c r="AN2526">
        <v>0.99999995134076403</v>
      </c>
    </row>
    <row r="2527" spans="1:40" x14ac:dyDescent="0.25">
      <c r="A2527" t="str">
        <f>"20190305135840127"</f>
        <v>20190305135840127</v>
      </c>
      <c r="B2527" t="str">
        <f>"1551765520121771"</f>
        <v>1551765520121771</v>
      </c>
      <c r="C2527" t="s">
        <v>40</v>
      </c>
      <c r="D2527">
        <v>4.0678289999999997</v>
      </c>
      <c r="E2527">
        <v>0.48054190000000002</v>
      </c>
      <c r="F2527" t="s">
        <v>58</v>
      </c>
      <c r="G2527">
        <v>-487.24430000000001</v>
      </c>
      <c r="H2527" s="1">
        <v>4.5326249999999997E-6</v>
      </c>
      <c r="I2527">
        <v>224.8442</v>
      </c>
      <c r="J2527">
        <v>-491.96300000000002</v>
      </c>
      <c r="K2527">
        <v>1.1093919999999999</v>
      </c>
      <c r="L2527">
        <v>239.2296</v>
      </c>
      <c r="M2527">
        <v>3.7159579999999998E-2</v>
      </c>
      <c r="N2527">
        <v>-1.407277E-2</v>
      </c>
      <c r="O2527">
        <v>-0.9992103</v>
      </c>
      <c r="P2527">
        <v>0.2628569</v>
      </c>
      <c r="Q2527">
        <v>-1.128474E-2</v>
      </c>
      <c r="R2527">
        <v>-0.96476890000000004</v>
      </c>
      <c r="S2527">
        <v>0.92117309999999997</v>
      </c>
      <c r="T2527">
        <v>-0.21613009999999999</v>
      </c>
      <c r="U2527">
        <v>-2.8565830000000001</v>
      </c>
      <c r="V2527">
        <v>-0.22681899999999999</v>
      </c>
      <c r="W2527">
        <v>2.6400690000000001E-3</v>
      </c>
      <c r="X2527">
        <v>0.9739333</v>
      </c>
      <c r="Y2527">
        <v>-0.27065020000000001</v>
      </c>
      <c r="Z2527">
        <v>5.8180999999999997E-2</v>
      </c>
      <c r="AA2527">
        <v>0.96091800000000005</v>
      </c>
      <c r="AB2527">
        <v>28</v>
      </c>
      <c r="AC2527">
        <v>4.7187000000000099</v>
      </c>
      <c r="AD2527">
        <v>-1.1093874673749999</v>
      </c>
      <c r="AE2527">
        <v>-14.385400000000001</v>
      </c>
      <c r="AF2527">
        <v>-4.1585025855101403</v>
      </c>
      <c r="AG2527">
        <v>-1.1093874673749999</v>
      </c>
      <c r="AH2527">
        <v>14.4731103325232</v>
      </c>
      <c r="AI2527">
        <v>94.213421566997596</v>
      </c>
      <c r="AJ2527">
        <v>106.030740707642</v>
      </c>
      <c r="AK2527">
        <v>15.099496912276701</v>
      </c>
      <c r="AL2527">
        <v>89.848735005513504</v>
      </c>
      <c r="AM2527">
        <v>103.109912154572</v>
      </c>
      <c r="AN2527">
        <v>0.99999995078710602</v>
      </c>
    </row>
    <row r="2528" spans="1:40" x14ac:dyDescent="0.25">
      <c r="A2528" t="str">
        <f>"20190305135840142"</f>
        <v>20190305135840142</v>
      </c>
      <c r="B2528" t="str">
        <f>"1551765520131532"</f>
        <v>1551765520131532</v>
      </c>
      <c r="C2528" t="s">
        <v>40</v>
      </c>
      <c r="D2528">
        <v>4.2105980000000001</v>
      </c>
      <c r="E2528">
        <v>0.48152919999999999</v>
      </c>
      <c r="F2528" t="s">
        <v>58</v>
      </c>
      <c r="G2528">
        <v>-487.142</v>
      </c>
      <c r="H2528" s="1">
        <v>4.4066299999999999E-6</v>
      </c>
      <c r="I2528">
        <v>224.44540000000001</v>
      </c>
      <c r="J2528">
        <v>-491.95650000000001</v>
      </c>
      <c r="K2528">
        <v>1.109353</v>
      </c>
      <c r="L2528">
        <v>239.04730000000001</v>
      </c>
      <c r="M2528">
        <v>3.6769799999999998E-2</v>
      </c>
      <c r="N2528">
        <v>-1.4072869999999999E-2</v>
      </c>
      <c r="O2528">
        <v>-0.99922500000000003</v>
      </c>
      <c r="P2528">
        <v>0.26477230000000002</v>
      </c>
      <c r="Q2528">
        <v>-1.1436160000000001E-2</v>
      </c>
      <c r="R2528">
        <v>-0.96424339999999997</v>
      </c>
      <c r="S2528">
        <v>0.93051150000000005</v>
      </c>
      <c r="T2528">
        <v>-0.21412610000000001</v>
      </c>
      <c r="U2528">
        <v>-2.8535309999999998</v>
      </c>
      <c r="V2528">
        <v>-0.22913259999999999</v>
      </c>
      <c r="W2528">
        <v>2.505125E-3</v>
      </c>
      <c r="X2528">
        <v>0.97339200000000003</v>
      </c>
      <c r="Y2528">
        <v>-0.27418019999999999</v>
      </c>
      <c r="Z2528">
        <v>5.751742E-2</v>
      </c>
      <c r="AA2528">
        <v>0.95995680000000005</v>
      </c>
      <c r="AB2528">
        <v>28</v>
      </c>
      <c r="AC2528">
        <v>4.8144999999999998</v>
      </c>
      <c r="AD2528">
        <v>-1.10934859337</v>
      </c>
      <c r="AE2528">
        <v>-14.601900000000001</v>
      </c>
      <c r="AF2528">
        <v>-4.2521453186203804</v>
      </c>
      <c r="AG2528">
        <v>-1.10934859337</v>
      </c>
      <c r="AH2528">
        <v>14.6925808823053</v>
      </c>
      <c r="AI2528">
        <v>94.148268817911301</v>
      </c>
      <c r="AJ2528">
        <v>106.140847808834</v>
      </c>
      <c r="AK2528">
        <v>15.3356880215842</v>
      </c>
      <c r="AL2528">
        <v>89.856466760915595</v>
      </c>
      <c r="AM2528">
        <v>103.246051927766</v>
      </c>
      <c r="AN2528">
        <v>1.0000000048490101</v>
      </c>
    </row>
    <row r="2529" spans="1:40" x14ac:dyDescent="0.25">
      <c r="A2529" t="str">
        <f>"20190305135840161"</f>
        <v>20190305135840161</v>
      </c>
      <c r="B2529" t="str">
        <f>"1551765520151057"</f>
        <v>1551765520151057</v>
      </c>
      <c r="C2529" t="s">
        <v>40</v>
      </c>
      <c r="D2529">
        <v>4.0795120000000002</v>
      </c>
      <c r="E2529">
        <v>0.48199379999999997</v>
      </c>
      <c r="F2529" t="s">
        <v>58</v>
      </c>
      <c r="G2529">
        <v>-487.3229</v>
      </c>
      <c r="H2529" s="1">
        <v>4.5407130000000001E-6</v>
      </c>
      <c r="I2529">
        <v>224.80189999999999</v>
      </c>
      <c r="J2529">
        <v>-491.94810000000001</v>
      </c>
      <c r="K2529">
        <v>1.1093409999999999</v>
      </c>
      <c r="L2529">
        <v>238.80510000000001</v>
      </c>
      <c r="M2529">
        <v>3.6268250000000002E-2</v>
      </c>
      <c r="N2529">
        <v>-1.407242E-2</v>
      </c>
      <c r="O2529">
        <v>-0.99924310000000005</v>
      </c>
      <c r="P2529">
        <v>0.26824150000000002</v>
      </c>
      <c r="Q2529">
        <v>-1.1440179999999999E-2</v>
      </c>
      <c r="R2529">
        <v>-0.96328409999999998</v>
      </c>
      <c r="S2529">
        <v>0.92822269999999896</v>
      </c>
      <c r="T2529">
        <v>-0.22222839999999999</v>
      </c>
      <c r="U2529">
        <v>-2.8536990000000002</v>
      </c>
      <c r="V2529">
        <v>-0.2331223</v>
      </c>
      <c r="W2529">
        <v>2.496542E-3</v>
      </c>
      <c r="X2529">
        <v>0.97244419999999998</v>
      </c>
      <c r="Y2529">
        <v>-0.27389599999999997</v>
      </c>
      <c r="Z2529">
        <v>6.0218609999999999E-2</v>
      </c>
      <c r="AA2529">
        <v>0.95987219999999995</v>
      </c>
      <c r="AB2529">
        <v>28</v>
      </c>
      <c r="AC2529">
        <v>4.6252000000000004</v>
      </c>
      <c r="AD2529">
        <v>-1.1093364592870001</v>
      </c>
      <c r="AE2529">
        <v>-14.0032</v>
      </c>
      <c r="AF2529">
        <v>-4.0910851310190397</v>
      </c>
      <c r="AG2529">
        <v>-1.1093364592870001</v>
      </c>
      <c r="AH2529">
        <v>14.082066150425799</v>
      </c>
      <c r="AI2529">
        <v>94.326117480180898</v>
      </c>
      <c r="AJ2529">
        <v>106.199499915525</v>
      </c>
      <c r="AK2529">
        <v>14.7061957009322</v>
      </c>
      <c r="AL2529">
        <v>89.856958528685993</v>
      </c>
      <c r="AM2529">
        <v>103.481007660892</v>
      </c>
      <c r="AN2529">
        <v>0.99999998079644303</v>
      </c>
    </row>
    <row r="2530" spans="1:40" x14ac:dyDescent="0.25">
      <c r="A2530" t="str">
        <f>"20190305135840204"</f>
        <v>20190305135840204</v>
      </c>
      <c r="B2530" t="str">
        <f>"1551765520201803"</f>
        <v>1551765520201803</v>
      </c>
      <c r="C2530" t="s">
        <v>40</v>
      </c>
      <c r="D2530">
        <v>4.0963029999999998</v>
      </c>
      <c r="E2530">
        <v>0.41390700000000002</v>
      </c>
      <c r="F2530" t="s">
        <v>58</v>
      </c>
      <c r="G2530">
        <v>-487.34300000000002</v>
      </c>
      <c r="H2530" s="1">
        <v>4.5361929999999999E-6</v>
      </c>
      <c r="I2530">
        <v>224.76130000000001</v>
      </c>
      <c r="J2530">
        <v>-491.9298</v>
      </c>
      <c r="K2530">
        <v>1.109464</v>
      </c>
      <c r="L2530">
        <v>238.27359999999999</v>
      </c>
      <c r="M2530">
        <v>3.54936E-2</v>
      </c>
      <c r="N2530">
        <v>-1.4069760000000001E-2</v>
      </c>
      <c r="O2530">
        <v>-0.99927080000000001</v>
      </c>
      <c r="P2530">
        <v>0.275009</v>
      </c>
      <c r="Q2530">
        <v>-1.263829E-2</v>
      </c>
      <c r="R2530">
        <v>-0.96135839999999995</v>
      </c>
      <c r="S2530">
        <v>0.93496699999999999</v>
      </c>
      <c r="T2530">
        <v>-0.2252284</v>
      </c>
      <c r="U2530">
        <v>-2.851318</v>
      </c>
      <c r="V2530">
        <v>-0.2407097</v>
      </c>
      <c r="W2530">
        <v>1.1914409999999999E-3</v>
      </c>
      <c r="X2530">
        <v>0.97059640000000003</v>
      </c>
      <c r="Y2530">
        <v>-0.2769045</v>
      </c>
      <c r="Z2530">
        <v>6.1219370000000002E-2</v>
      </c>
      <c r="AA2530">
        <v>0.9589453</v>
      </c>
      <c r="AB2530">
        <v>28</v>
      </c>
      <c r="AC2530">
        <v>4.5867999999999798</v>
      </c>
      <c r="AD2530">
        <v>-1.1094594638069999</v>
      </c>
      <c r="AE2530">
        <v>-13.5122999999999</v>
      </c>
      <c r="AF2530">
        <v>-4.0796002126543298</v>
      </c>
      <c r="AG2530">
        <v>-1.1094594638069999</v>
      </c>
      <c r="AH2530">
        <v>13.584483466212999</v>
      </c>
      <c r="AI2530">
        <v>94.472566957999206</v>
      </c>
      <c r="AJ2530">
        <v>106.715708135273</v>
      </c>
      <c r="AK2530">
        <v>14.227165186386699</v>
      </c>
      <c r="AL2530">
        <v>89.931735441334496</v>
      </c>
      <c r="AM2530">
        <v>103.92844163888201</v>
      </c>
      <c r="AN2530">
        <v>0.99999997544935304</v>
      </c>
    </row>
    <row r="2531" spans="1:40" x14ac:dyDescent="0.25">
      <c r="A2531" t="str">
        <f>"20190305135840218"</f>
        <v>20190305135840218</v>
      </c>
      <c r="B2531" t="str">
        <f>"1551765520211563"</f>
        <v>1551765520211563</v>
      </c>
      <c r="C2531" t="s">
        <v>40</v>
      </c>
      <c r="D2531">
        <v>4.1531529999999997</v>
      </c>
      <c r="E2531">
        <v>0.40433190000000002</v>
      </c>
      <c r="F2531" t="s">
        <v>41</v>
      </c>
      <c r="G2531">
        <v>-491.44909999999999</v>
      </c>
      <c r="H2531">
        <v>1.0247470000000001</v>
      </c>
      <c r="I2531">
        <v>237.3956</v>
      </c>
      <c r="J2531">
        <v>-491.92399999999998</v>
      </c>
      <c r="K2531">
        <v>1.1095389999999901</v>
      </c>
      <c r="L2531">
        <v>238.10310000000001</v>
      </c>
      <c r="M2531">
        <v>3.5365359999999998E-2</v>
      </c>
      <c r="N2531">
        <v>-1.4068880000000001E-2</v>
      </c>
      <c r="O2531">
        <v>-0.99927540000000004</v>
      </c>
      <c r="P2531">
        <v>0.27729419999999999</v>
      </c>
      <c r="Q2531">
        <v>-1.3392309999999999E-2</v>
      </c>
      <c r="R2531">
        <v>-0.96069199999999999</v>
      </c>
      <c r="S2531">
        <v>1.4762569999999999</v>
      </c>
      <c r="T2531">
        <v>-0.26001600000000002</v>
      </c>
      <c r="U2531">
        <v>-2.6948699999999999</v>
      </c>
      <c r="V2531">
        <v>-0.2431421</v>
      </c>
      <c r="W2531">
        <v>3.8129510000000001E-4</v>
      </c>
      <c r="X2531">
        <v>0.96999060000000004</v>
      </c>
      <c r="Y2531">
        <v>-0.44761770000000001</v>
      </c>
      <c r="Z2531">
        <v>7.1075299999999994E-2</v>
      </c>
      <c r="AA2531">
        <v>0.89139590000000002</v>
      </c>
      <c r="AB2531">
        <v>28</v>
      </c>
      <c r="AC2531">
        <v>0.47490000000004701</v>
      </c>
      <c r="AD2531">
        <v>-8.4791999999999895E-2</v>
      </c>
      <c r="AE2531">
        <v>-0.70750000000001001</v>
      </c>
      <c r="AF2531">
        <v>-0.445171325801685</v>
      </c>
      <c r="AG2531">
        <v>-8.4791999999999895E-2</v>
      </c>
      <c r="AH2531">
        <v>0.71675670553852</v>
      </c>
      <c r="AI2531">
        <v>95.738613746370206</v>
      </c>
      <c r="AJ2531">
        <v>121.84405445461501</v>
      </c>
      <c r="AK2531">
        <v>0.84800198556044803</v>
      </c>
      <c r="AL2531">
        <v>89.978153399385306</v>
      </c>
      <c r="AM2531">
        <v>104.072065271905</v>
      </c>
      <c r="AN2531">
        <v>0.99999999513336102</v>
      </c>
    </row>
    <row r="2532" spans="1:40" x14ac:dyDescent="0.25">
      <c r="A2532" t="str">
        <f>"20190305135840231"</f>
        <v>20190305135840231</v>
      </c>
      <c r="B2532" t="str">
        <f>"1551765520221324"</f>
        <v>1551765520221324</v>
      </c>
      <c r="C2532" t="s">
        <v>40</v>
      </c>
      <c r="D2532">
        <v>4.075869</v>
      </c>
      <c r="E2532">
        <v>0.40087149999999999</v>
      </c>
      <c r="F2532" t="s">
        <v>41</v>
      </c>
      <c r="G2532">
        <v>-491.45609999999999</v>
      </c>
      <c r="H2532">
        <v>1.0397449999999999</v>
      </c>
      <c r="I2532">
        <v>237.3004</v>
      </c>
      <c r="J2532">
        <v>-491.91820000000001</v>
      </c>
      <c r="K2532">
        <v>1.1096330000000001</v>
      </c>
      <c r="L2532">
        <v>237.93950000000001</v>
      </c>
      <c r="M2532">
        <v>3.5378699999999999E-2</v>
      </c>
      <c r="N2532">
        <v>-1.4068260000000001E-2</v>
      </c>
      <c r="O2532">
        <v>-0.99927520000000003</v>
      </c>
      <c r="P2532">
        <v>0.27979209999999999</v>
      </c>
      <c r="Q2532">
        <v>-1.445931E-2</v>
      </c>
      <c r="R2532">
        <v>-0.95995209999999997</v>
      </c>
      <c r="S2532">
        <v>1.5570980000000001</v>
      </c>
      <c r="T2532">
        <v>-0.2321404</v>
      </c>
      <c r="U2532">
        <v>-2.6700590000000002</v>
      </c>
      <c r="V2532">
        <v>-0.2456518</v>
      </c>
      <c r="W2532">
        <v>-7.5380130000000001E-4</v>
      </c>
      <c r="X2532">
        <v>0.96935780000000005</v>
      </c>
      <c r="Y2532">
        <v>-0.47165839999999998</v>
      </c>
      <c r="Z2532">
        <v>6.1612050000000002E-2</v>
      </c>
      <c r="AA2532">
        <v>0.87962619999999903</v>
      </c>
      <c r="AB2532">
        <v>28</v>
      </c>
      <c r="AC2532">
        <v>0.46210000000001999</v>
      </c>
      <c r="AD2532">
        <v>-6.9887999999999895E-2</v>
      </c>
      <c r="AE2532">
        <v>-0.63910000000001299</v>
      </c>
      <c r="AF2532">
        <v>-0.43577583323547497</v>
      </c>
      <c r="AG2532">
        <v>-6.9887999999999895E-2</v>
      </c>
      <c r="AH2532">
        <v>0.649946037928681</v>
      </c>
      <c r="AI2532">
        <v>95.103657956518902</v>
      </c>
      <c r="AJ2532">
        <v>123.841063117643</v>
      </c>
      <c r="AK2532">
        <v>0.78563016846049305</v>
      </c>
      <c r="AL2532">
        <v>90.043189638910405</v>
      </c>
      <c r="AM2532">
        <v>104.22036105373699</v>
      </c>
      <c r="AN2532">
        <v>0.99999995974023903</v>
      </c>
    </row>
    <row r="2533" spans="1:40" x14ac:dyDescent="0.25">
      <c r="A2533" t="str">
        <f>"20190305135840250"</f>
        <v>20190305135840250</v>
      </c>
      <c r="B2533" t="str">
        <f>"1551765520241820"</f>
        <v>1551765520241820</v>
      </c>
      <c r="C2533" t="s">
        <v>40</v>
      </c>
      <c r="D2533">
        <v>4.0611040000000003</v>
      </c>
      <c r="E2533">
        <v>0.39921499999999999</v>
      </c>
      <c r="F2533" t="s">
        <v>41</v>
      </c>
      <c r="G2533">
        <v>-491.44389999999999</v>
      </c>
      <c r="H2533">
        <v>1.0435989999999999</v>
      </c>
      <c r="I2533">
        <v>237.1474</v>
      </c>
      <c r="J2533">
        <v>-491.90960000000001</v>
      </c>
      <c r="K2533">
        <v>1.1098049999999999</v>
      </c>
      <c r="L2533">
        <v>237.70240000000001</v>
      </c>
      <c r="M2533">
        <v>3.5585859999999997E-2</v>
      </c>
      <c r="N2533">
        <v>-1.4067720000000001E-2</v>
      </c>
      <c r="O2533">
        <v>-0.99926769999999998</v>
      </c>
      <c r="P2533">
        <v>0.28485959999999899</v>
      </c>
      <c r="Q2533">
        <v>-1.6442269999999998E-2</v>
      </c>
      <c r="R2533">
        <v>-0.95842819999999995</v>
      </c>
      <c r="S2533">
        <v>1.5912170000000001</v>
      </c>
      <c r="T2533">
        <v>-0.2215579</v>
      </c>
      <c r="U2533">
        <v>-2.6580509999999999</v>
      </c>
      <c r="V2533">
        <v>-0.25056899999999999</v>
      </c>
      <c r="W2533">
        <v>-2.8631609999999999E-3</v>
      </c>
      <c r="X2533">
        <v>0.96809449999999997</v>
      </c>
      <c r="Y2533">
        <v>-0.48164649999999998</v>
      </c>
      <c r="Z2533">
        <v>5.8044709999999999E-2</v>
      </c>
      <c r="AA2533">
        <v>0.87444120000000003</v>
      </c>
      <c r="AB2533">
        <v>28</v>
      </c>
      <c r="AC2533">
        <v>0.46570000000002598</v>
      </c>
      <c r="AD2533">
        <v>-6.6205999999999904E-2</v>
      </c>
      <c r="AE2533">
        <v>-0.55500000000000604</v>
      </c>
      <c r="AF2533">
        <v>-0.44196222974551203</v>
      </c>
      <c r="AG2533">
        <v>-6.6205999999999904E-2</v>
      </c>
      <c r="AH2533">
        <v>0.56649184137419595</v>
      </c>
      <c r="AI2533">
        <v>95.264631621365496</v>
      </c>
      <c r="AJ2533">
        <v>127.960430228907</v>
      </c>
      <c r="AK2533">
        <v>0.72154476874352802</v>
      </c>
      <c r="AL2533">
        <v>90.164047266946795</v>
      </c>
      <c r="AM2533">
        <v>104.511246134453</v>
      </c>
      <c r="AN2533">
        <v>0.99999999119108096</v>
      </c>
    </row>
    <row r="2534" spans="1:40" x14ac:dyDescent="0.25">
      <c r="A2534" t="str">
        <f>"20190305135840272"</f>
        <v>20190305135840272</v>
      </c>
      <c r="B2534" t="str">
        <f>"1551765520261342"</f>
        <v>1551765520261342</v>
      </c>
      <c r="C2534" t="s">
        <v>40</v>
      </c>
      <c r="D2534">
        <v>3.9957129999999998</v>
      </c>
      <c r="E2534">
        <v>0.39963569999999998</v>
      </c>
      <c r="F2534" t="s">
        <v>41</v>
      </c>
      <c r="G2534">
        <v>-491.42160000000001</v>
      </c>
      <c r="H2534">
        <v>1.044414</v>
      </c>
      <c r="I2534">
        <v>236.9041</v>
      </c>
      <c r="J2534">
        <v>-491.89949999999999</v>
      </c>
      <c r="K2534">
        <v>1.110058</v>
      </c>
      <c r="L2534">
        <v>237.4332</v>
      </c>
      <c r="M2534">
        <v>3.6165019999999999E-2</v>
      </c>
      <c r="N2534">
        <v>-1.4068509999999999E-2</v>
      </c>
      <c r="O2534">
        <v>-0.99924710000000005</v>
      </c>
      <c r="P2534">
        <v>0.29026239999999998</v>
      </c>
      <c r="Q2534">
        <v>-1.755193E-2</v>
      </c>
      <c r="R2534">
        <v>-0.95678629999999998</v>
      </c>
      <c r="S2534">
        <v>1.6178889999999999</v>
      </c>
      <c r="T2534">
        <v>-0.2166961</v>
      </c>
      <c r="U2534">
        <v>-2.645508</v>
      </c>
      <c r="V2534">
        <v>-0.25546340000000001</v>
      </c>
      <c r="W2534">
        <v>-4.1493550000000004E-3</v>
      </c>
      <c r="X2534">
        <v>0.96680980000000005</v>
      </c>
      <c r="Y2534">
        <v>-0.4894386</v>
      </c>
      <c r="Z2534">
        <v>5.6427789999999999E-2</v>
      </c>
      <c r="AA2534">
        <v>0.87021019999999905</v>
      </c>
      <c r="AB2534">
        <v>28</v>
      </c>
      <c r="AC2534">
        <v>0.47789999999997601</v>
      </c>
      <c r="AD2534">
        <v>-6.5643999999999994E-2</v>
      </c>
      <c r="AE2534">
        <v>-0.52909999999999902</v>
      </c>
      <c r="AF2534">
        <v>-0.45459691345675701</v>
      </c>
      <c r="AG2534">
        <v>-6.5643999999999994E-2</v>
      </c>
      <c r="AH2534">
        <v>0.54144894147267397</v>
      </c>
      <c r="AI2534">
        <v>95.3047525105586</v>
      </c>
      <c r="AJ2534">
        <v>130.016594981948</v>
      </c>
      <c r="AK2534">
        <v>0.710024256404166</v>
      </c>
      <c r="AL2534">
        <v>90.237741216727002</v>
      </c>
      <c r="AM2534">
        <v>104.801176172852</v>
      </c>
      <c r="AN2534">
        <v>0.99999997763125703</v>
      </c>
    </row>
    <row r="2535" spans="1:40" x14ac:dyDescent="0.25">
      <c r="A2535" t="str">
        <f>"20190305135840290"</f>
        <v>20190305135840290</v>
      </c>
      <c r="B2535" t="str">
        <f>"1551765520280859"</f>
        <v>1551765520280859</v>
      </c>
      <c r="C2535" t="s">
        <v>40</v>
      </c>
      <c r="D2535">
        <v>4.0165059999999997</v>
      </c>
      <c r="E2535">
        <v>0.40011790000000003</v>
      </c>
      <c r="F2535" t="s">
        <v>41</v>
      </c>
      <c r="G2535">
        <v>-491.41950000000003</v>
      </c>
      <c r="H2535">
        <v>1.047153</v>
      </c>
      <c r="I2535">
        <v>236.65629999999999</v>
      </c>
      <c r="J2535">
        <v>-491.8913</v>
      </c>
      <c r="K2535">
        <v>1.1102799999999999</v>
      </c>
      <c r="L2535">
        <v>237.22200000000001</v>
      </c>
      <c r="M2535">
        <v>3.6898529999999999E-2</v>
      </c>
      <c r="N2535">
        <v>-1.407072E-2</v>
      </c>
      <c r="O2535">
        <v>-0.99922010000000006</v>
      </c>
      <c r="P2535">
        <v>0.29336200000000001</v>
      </c>
      <c r="Q2535">
        <v>-1.779888E-2</v>
      </c>
      <c r="R2535">
        <v>-0.95583600000000002</v>
      </c>
      <c r="S2535">
        <v>1.629761</v>
      </c>
      <c r="T2535">
        <v>-0.21353030000000001</v>
      </c>
      <c r="U2535">
        <v>-2.6371609999999999</v>
      </c>
      <c r="V2535">
        <v>-0.25788430000000001</v>
      </c>
      <c r="W2535">
        <v>-4.5474529999999999E-3</v>
      </c>
      <c r="X2535">
        <v>0.9661651</v>
      </c>
      <c r="Y2535">
        <v>-0.49289040000000001</v>
      </c>
      <c r="Z2535">
        <v>5.5442949999999998E-2</v>
      </c>
      <c r="AA2535">
        <v>0.86832319999999996</v>
      </c>
      <c r="AB2535">
        <v>28</v>
      </c>
      <c r="AC2535">
        <v>0.47179999999997302</v>
      </c>
      <c r="AD2535">
        <v>-6.3126999999999905E-2</v>
      </c>
      <c r="AE2535">
        <v>-0.56570000000002096</v>
      </c>
      <c r="AF2535">
        <v>-0.447317920112764</v>
      </c>
      <c r="AG2535">
        <v>-6.3126999999999905E-2</v>
      </c>
      <c r="AH2535">
        <v>0.57847672363697</v>
      </c>
      <c r="AI2535">
        <v>94.933960642452604</v>
      </c>
      <c r="AJ2535">
        <v>127.713657445267</v>
      </c>
      <c r="AK2535">
        <v>0.73397115718042505</v>
      </c>
      <c r="AL2535">
        <v>90.260550763487501</v>
      </c>
      <c r="AM2535">
        <v>104.944719132079</v>
      </c>
      <c r="AN2535">
        <v>0.99999999598664302</v>
      </c>
    </row>
    <row r="2536" spans="1:40" x14ac:dyDescent="0.25">
      <c r="A2536" t="str">
        <f>"20190305135840307"</f>
        <v>20190305135840307</v>
      </c>
      <c r="B2536" t="str">
        <f>"1551765520301355"</f>
        <v>1551765520301355</v>
      </c>
      <c r="C2536" t="s">
        <v>40</v>
      </c>
      <c r="D2536">
        <v>3.965662</v>
      </c>
      <c r="E2536">
        <v>0.40066309999999999</v>
      </c>
      <c r="F2536" t="s">
        <v>41</v>
      </c>
      <c r="G2536">
        <v>-491.39060000000001</v>
      </c>
      <c r="H2536">
        <v>1.0481149999999999</v>
      </c>
      <c r="I2536">
        <v>236.41560000000001</v>
      </c>
      <c r="J2536">
        <v>-491.88249999999999</v>
      </c>
      <c r="K2536">
        <v>1.1105259999999999</v>
      </c>
      <c r="L2536">
        <v>237.00980000000001</v>
      </c>
      <c r="M2536">
        <v>3.7879549999999998E-2</v>
      </c>
      <c r="N2536">
        <v>-1.4074079999999999E-2</v>
      </c>
      <c r="O2536">
        <v>-0.99918320000000005</v>
      </c>
      <c r="P2536">
        <v>0.29893570000000003</v>
      </c>
      <c r="Q2536">
        <v>-1.7279900000000001E-2</v>
      </c>
      <c r="R2536">
        <v>-0.95411659999999998</v>
      </c>
      <c r="S2536">
        <v>1.6350709999999999</v>
      </c>
      <c r="T2536">
        <v>-0.20297219999999999</v>
      </c>
      <c r="U2536">
        <v>-2.6329959999999999</v>
      </c>
      <c r="V2536">
        <v>-0.26256839999999998</v>
      </c>
      <c r="W2536">
        <v>-4.2034949999999998E-3</v>
      </c>
      <c r="X2536">
        <v>0.96490419999999999</v>
      </c>
      <c r="Y2536">
        <v>-0.49402109999999999</v>
      </c>
      <c r="Z2536">
        <v>5.2059559999999998E-2</v>
      </c>
      <c r="AA2536">
        <v>0.86788989999999999</v>
      </c>
      <c r="AB2536">
        <v>28</v>
      </c>
      <c r="AC2536">
        <v>0.49189999999998602</v>
      </c>
      <c r="AD2536">
        <v>-6.2411000000000202E-2</v>
      </c>
      <c r="AE2536">
        <v>-0.59419999999999995</v>
      </c>
      <c r="AF2536">
        <v>-0.46598629045880702</v>
      </c>
      <c r="AG2536">
        <v>-6.2411000000000202E-2</v>
      </c>
      <c r="AH2536">
        <v>0.60842550225235403</v>
      </c>
      <c r="AI2536">
        <v>94.655724437539604</v>
      </c>
      <c r="AJ2536">
        <v>127.44810004793101</v>
      </c>
      <c r="AK2536">
        <v>0.76890828296201197</v>
      </c>
      <c r="AL2536">
        <v>90.240843238080203</v>
      </c>
      <c r="AM2536">
        <v>105.222654795662</v>
      </c>
      <c r="AN2536">
        <v>0.999999974613207</v>
      </c>
    </row>
    <row r="2537" spans="1:40" x14ac:dyDescent="0.25">
      <c r="A2537" t="str">
        <f>"20190305135840328"</f>
        <v>20190305135840328</v>
      </c>
      <c r="B2537" t="str">
        <f>"1551765520320875"</f>
        <v>1551765520320875</v>
      </c>
      <c r="C2537" t="s">
        <v>40</v>
      </c>
      <c r="D2537">
        <v>3.963616</v>
      </c>
      <c r="E2537">
        <v>0.40115909999999999</v>
      </c>
      <c r="F2537" t="s">
        <v>41</v>
      </c>
      <c r="G2537">
        <v>-491.3596</v>
      </c>
      <c r="H2537">
        <v>1.0493629999999901</v>
      </c>
      <c r="I2537">
        <v>236.17599999999999</v>
      </c>
      <c r="J2537">
        <v>-491.87090000000001</v>
      </c>
      <c r="K2537">
        <v>1.1108450000000001</v>
      </c>
      <c r="L2537">
        <v>236.7441</v>
      </c>
      <c r="M2537">
        <v>3.9477190000000002E-2</v>
      </c>
      <c r="N2537">
        <v>-1.407958E-2</v>
      </c>
      <c r="O2537">
        <v>-0.9991215</v>
      </c>
      <c r="P2537">
        <v>0.30445539999999999</v>
      </c>
      <c r="Q2537">
        <v>-1.6405869999999999E-2</v>
      </c>
      <c r="R2537">
        <v>-0.9523857</v>
      </c>
      <c r="S2537">
        <v>1.646423</v>
      </c>
      <c r="T2537">
        <v>-0.1925538</v>
      </c>
      <c r="U2537">
        <v>-2.6249389999999999</v>
      </c>
      <c r="V2537">
        <v>-0.26660820000000002</v>
      </c>
      <c r="W2537">
        <v>-3.5492700000000002E-3</v>
      </c>
      <c r="X2537">
        <v>0.9637985</v>
      </c>
      <c r="Y2537">
        <v>-0.49661959999999999</v>
      </c>
      <c r="Z2537">
        <v>4.8729679999999997E-2</v>
      </c>
      <c r="AA2537">
        <v>0.86659929999999996</v>
      </c>
      <c r="AB2537">
        <v>28</v>
      </c>
      <c r="AC2537">
        <v>0.51130000000000497</v>
      </c>
      <c r="AD2537">
        <v>-6.1482000000000203E-2</v>
      </c>
      <c r="AE2537">
        <v>-0.56810000000001504</v>
      </c>
      <c r="AF2537">
        <v>-0.48533163847033201</v>
      </c>
      <c r="AG2537">
        <v>-6.1482000000000203E-2</v>
      </c>
      <c r="AH2537">
        <v>0.58406436287698804</v>
      </c>
      <c r="AI2537">
        <v>94.628685871700796</v>
      </c>
      <c r="AJ2537">
        <v>129.725081527638</v>
      </c>
      <c r="AK2537">
        <v>0.76187795322295504</v>
      </c>
      <c r="AL2537">
        <v>90.203358610361903</v>
      </c>
      <c r="AM2537">
        <v>105.462633437828</v>
      </c>
      <c r="AN2537">
        <v>1.00000003911351</v>
      </c>
    </row>
    <row r="2538" spans="1:40" x14ac:dyDescent="0.25">
      <c r="A2538" t="str">
        <f>"20190305135840346"</f>
        <v>20190305135840346</v>
      </c>
      <c r="B2538" t="str">
        <f>"1551765520341371"</f>
        <v>1551765520341371</v>
      </c>
      <c r="C2538" t="s">
        <v>40</v>
      </c>
      <c r="D2538">
        <v>3.9854310000000002</v>
      </c>
      <c r="E2538">
        <v>0.40170990000000001</v>
      </c>
      <c r="F2538" t="s">
        <v>41</v>
      </c>
      <c r="G2538">
        <v>-491.35509999999999</v>
      </c>
      <c r="H2538">
        <v>1.0539000000000001</v>
      </c>
      <c r="I2538">
        <v>235.93010000000001</v>
      </c>
      <c r="J2538">
        <v>-491.86099999999999</v>
      </c>
      <c r="K2538">
        <v>1.111092</v>
      </c>
      <c r="L2538">
        <v>236.5317</v>
      </c>
      <c r="M2538">
        <v>4.1046140000000002E-2</v>
      </c>
      <c r="N2538">
        <v>-1.408477E-2</v>
      </c>
      <c r="O2538">
        <v>-0.99905809999999995</v>
      </c>
      <c r="P2538">
        <v>0.3078687</v>
      </c>
      <c r="Q2538">
        <v>-1.5971590000000001E-2</v>
      </c>
      <c r="R2538">
        <v>-0.9512948</v>
      </c>
      <c r="S2538">
        <v>1.658325</v>
      </c>
      <c r="T2538">
        <v>-0.18304529999999999</v>
      </c>
      <c r="U2538">
        <v>-2.6167449999999999</v>
      </c>
      <c r="V2538">
        <v>-0.26854919999999999</v>
      </c>
      <c r="W2538">
        <v>-3.2831689999999998E-3</v>
      </c>
      <c r="X2538">
        <v>0.96326040000000002</v>
      </c>
      <c r="Y2538">
        <v>-0.4993784</v>
      </c>
      <c r="Z2538">
        <v>4.5684429999999998E-2</v>
      </c>
      <c r="AA2538">
        <v>0.86517869999999997</v>
      </c>
      <c r="AB2538">
        <v>28</v>
      </c>
      <c r="AC2538">
        <v>0.50589999999999602</v>
      </c>
      <c r="AD2538">
        <v>-5.7191999999999903E-2</v>
      </c>
      <c r="AE2538">
        <v>-0.60159999999999003</v>
      </c>
      <c r="AF2538">
        <v>-0.47824594022699002</v>
      </c>
      <c r="AG2538">
        <v>-5.7191999999999903E-2</v>
      </c>
      <c r="AH2538">
        <v>0.61858542279147799</v>
      </c>
      <c r="AI2538">
        <v>94.183445875436703</v>
      </c>
      <c r="AJ2538">
        <v>127.708626960896</v>
      </c>
      <c r="AK2538">
        <v>0.78398853913670796</v>
      </c>
      <c r="AL2538">
        <v>90.188112060354499</v>
      </c>
      <c r="AM2538">
        <v>105.57803971626601</v>
      </c>
      <c r="AN2538">
        <v>1.00000002511374</v>
      </c>
    </row>
    <row r="2539" spans="1:40" x14ac:dyDescent="0.25">
      <c r="A2539" t="str">
        <f>"20190305135840363"</f>
        <v>20190305135840363</v>
      </c>
      <c r="B2539" t="str">
        <f>"1551765520351132"</f>
        <v>1551765520351132</v>
      </c>
      <c r="C2539" t="s">
        <v>40</v>
      </c>
      <c r="D2539">
        <v>3.9710209999999999</v>
      </c>
      <c r="E2539">
        <v>0.40200849999999999</v>
      </c>
      <c r="F2539" t="s">
        <v>41</v>
      </c>
      <c r="G2539">
        <v>-491.32549999999998</v>
      </c>
      <c r="H2539">
        <v>1.0549980000000001</v>
      </c>
      <c r="I2539">
        <v>235.69110000000001</v>
      </c>
      <c r="J2539">
        <v>-491.85050000000001</v>
      </c>
      <c r="K2539">
        <v>1.111329</v>
      </c>
      <c r="L2539">
        <v>236.3218</v>
      </c>
      <c r="M2539">
        <v>4.2837140000000003E-2</v>
      </c>
      <c r="N2539">
        <v>-1.4090429999999999E-2</v>
      </c>
      <c r="O2539">
        <v>-0.99898279999999995</v>
      </c>
      <c r="P2539">
        <v>0.31405820000000001</v>
      </c>
      <c r="Q2539">
        <v>-1.6100940000000001E-2</v>
      </c>
      <c r="R2539">
        <v>-0.94926730000000004</v>
      </c>
      <c r="S2539">
        <v>1.6635439999999999</v>
      </c>
      <c r="T2539">
        <v>-0.17430789999999999</v>
      </c>
      <c r="U2539">
        <v>-2.6122890000000001</v>
      </c>
      <c r="V2539">
        <v>-0.2730899</v>
      </c>
      <c r="W2539">
        <v>-3.5954340000000002E-3</v>
      </c>
      <c r="X2539">
        <v>0.9619818</v>
      </c>
      <c r="Y2539">
        <v>-0.49979839999999998</v>
      </c>
      <c r="Z2539">
        <v>4.2890709999999999E-2</v>
      </c>
      <c r="AA2539">
        <v>0.86507909999999899</v>
      </c>
      <c r="AB2539">
        <v>27</v>
      </c>
      <c r="AC2539">
        <v>0.525000000000034</v>
      </c>
      <c r="AD2539">
        <v>-5.6331000000000103E-2</v>
      </c>
      <c r="AE2539">
        <v>-0.63069999999999005</v>
      </c>
      <c r="AF2539">
        <v>-0.49516464763199602</v>
      </c>
      <c r="AG2539">
        <v>-5.6331000000000103E-2</v>
      </c>
      <c r="AH2539">
        <v>0.649551903804371</v>
      </c>
      <c r="AI2539">
        <v>93.945350463761301</v>
      </c>
      <c r="AJ2539">
        <v>127.318900185269</v>
      </c>
      <c r="AK2539">
        <v>0.81870561593371405</v>
      </c>
      <c r="AL2539">
        <v>90.206003637130905</v>
      </c>
      <c r="AM2539">
        <v>105.848322058837</v>
      </c>
      <c r="AN2539">
        <v>1.00000000207944</v>
      </c>
    </row>
    <row r="2540" spans="1:40" x14ac:dyDescent="0.25">
      <c r="A2540" t="str">
        <f>"20190305135840384"</f>
        <v>20190305135840384</v>
      </c>
      <c r="B2540" t="str">
        <f>"1551765520371627"</f>
        <v>1551765520371627</v>
      </c>
      <c r="C2540" t="s">
        <v>40</v>
      </c>
      <c r="D2540">
        <v>3.9582000000000002</v>
      </c>
      <c r="E2540">
        <v>0.40259129999999999</v>
      </c>
      <c r="F2540" t="s">
        <v>41</v>
      </c>
      <c r="G2540">
        <v>-491.29079999999999</v>
      </c>
      <c r="H2540">
        <v>1.053112</v>
      </c>
      <c r="I2540">
        <v>235.4538</v>
      </c>
      <c r="J2540">
        <v>-491.83730000000003</v>
      </c>
      <c r="K2540">
        <v>1.1115950000000001</v>
      </c>
      <c r="L2540">
        <v>236.07060000000001</v>
      </c>
      <c r="M2540">
        <v>4.5296700000000002E-2</v>
      </c>
      <c r="N2540">
        <v>-1.4111769999999999E-2</v>
      </c>
      <c r="O2540">
        <v>-0.99887389999999998</v>
      </c>
      <c r="P2540">
        <v>0.3211329</v>
      </c>
      <c r="Q2540">
        <v>-1.6700220000000002E-2</v>
      </c>
      <c r="R2540">
        <v>-0.94688689999999998</v>
      </c>
      <c r="S2540">
        <v>1.678436</v>
      </c>
      <c r="T2540">
        <v>-0.174509</v>
      </c>
      <c r="U2540">
        <v>-2.602112</v>
      </c>
      <c r="V2540">
        <v>-0.27789150000000001</v>
      </c>
      <c r="W2540">
        <v>-4.3902809999999898E-3</v>
      </c>
      <c r="X2540">
        <v>0.96060239999999997</v>
      </c>
      <c r="Y2540">
        <v>-0.50269649999999999</v>
      </c>
      <c r="Z2540">
        <v>4.2992349999999999E-2</v>
      </c>
      <c r="AA2540">
        <v>0.86339319999999897</v>
      </c>
      <c r="AB2540">
        <v>27</v>
      </c>
      <c r="AC2540">
        <v>0.54650000000003696</v>
      </c>
      <c r="AD2540">
        <v>-5.8483E-2</v>
      </c>
      <c r="AE2540">
        <v>-0.61680000000001201</v>
      </c>
      <c r="AF2540">
        <v>-0.51540137930303498</v>
      </c>
      <c r="AG2540">
        <v>-5.8483E-2</v>
      </c>
      <c r="AH2540">
        <v>0.63771209686159303</v>
      </c>
      <c r="AI2540">
        <v>94.079725430693003</v>
      </c>
      <c r="AJ2540">
        <v>128.94527727843601</v>
      </c>
      <c r="AK2540">
        <v>0.82203136288105305</v>
      </c>
      <c r="AL2540">
        <v>90.251545388902301</v>
      </c>
      <c r="AM2540">
        <v>106.13456337367001</v>
      </c>
      <c r="AN2540">
        <v>0.99999996561263305</v>
      </c>
    </row>
    <row r="2541" spans="1:40" x14ac:dyDescent="0.25">
      <c r="A2541" t="str">
        <f>"20190305135840398"</f>
        <v>20190305135840398</v>
      </c>
      <c r="B2541" t="str">
        <f>"1551765520391148"</f>
        <v>1551765520391148</v>
      </c>
      <c r="C2541" t="s">
        <v>40</v>
      </c>
      <c r="D2541">
        <v>3.9983330000000001</v>
      </c>
      <c r="E2541">
        <v>0.40316999999999997</v>
      </c>
      <c r="F2541" t="s">
        <v>41</v>
      </c>
      <c r="G2541">
        <v>-491.27600000000001</v>
      </c>
      <c r="H2541">
        <v>1.054603</v>
      </c>
      <c r="I2541">
        <v>235.21190000000001</v>
      </c>
      <c r="J2541">
        <v>-491.82729999999998</v>
      </c>
      <c r="K2541">
        <v>1.11178</v>
      </c>
      <c r="L2541">
        <v>235.8922</v>
      </c>
      <c r="M2541">
        <v>4.7195670000000002E-2</v>
      </c>
      <c r="N2541">
        <v>-1.415493E-2</v>
      </c>
      <c r="O2541">
        <v>-0.99878540000000005</v>
      </c>
      <c r="P2541">
        <v>0.32540609999999998</v>
      </c>
      <c r="Q2541">
        <v>-1.7433580000000001E-2</v>
      </c>
      <c r="R2541">
        <v>-0.94541379999999997</v>
      </c>
      <c r="S2541">
        <v>1.6932370000000001</v>
      </c>
      <c r="T2541">
        <v>-0.1719716</v>
      </c>
      <c r="U2541">
        <v>-2.590973</v>
      </c>
      <c r="V2541">
        <v>-0.28039730000000002</v>
      </c>
      <c r="W2541">
        <v>-5.2229119999999997E-3</v>
      </c>
      <c r="X2541">
        <v>0.95986990000000005</v>
      </c>
      <c r="Y2541">
        <v>-0.5062219</v>
      </c>
      <c r="Z2541">
        <v>4.2186849999999998E-2</v>
      </c>
      <c r="AA2541">
        <v>0.86137079999999999</v>
      </c>
      <c r="AB2541">
        <v>27</v>
      </c>
      <c r="AC2541">
        <v>0.55129999999996904</v>
      </c>
      <c r="AD2541">
        <v>-5.7176999999999999E-2</v>
      </c>
      <c r="AE2541">
        <v>-0.68029999999998803</v>
      </c>
      <c r="AF2541">
        <v>-0.51637341058241004</v>
      </c>
      <c r="AG2541">
        <v>-5.7176999999999999E-2</v>
      </c>
      <c r="AH2541">
        <v>0.702567749953249</v>
      </c>
      <c r="AI2541">
        <v>93.751858367941296</v>
      </c>
      <c r="AJ2541">
        <v>126.315151199328</v>
      </c>
      <c r="AK2541">
        <v>0.873791824040419</v>
      </c>
      <c r="AL2541">
        <v>90.299252152537505</v>
      </c>
      <c r="AM2541">
        <v>106.284145273083</v>
      </c>
      <c r="AN2541">
        <v>1.0000000747915201</v>
      </c>
    </row>
    <row r="2542" spans="1:40" x14ac:dyDescent="0.25">
      <c r="A2542" t="str">
        <f>"20190305135840417"</f>
        <v>20190305135840417</v>
      </c>
      <c r="B2542" t="str">
        <f>"1551765520411644"</f>
        <v>1551765520411644</v>
      </c>
      <c r="C2542" t="s">
        <v>40</v>
      </c>
      <c r="D2542">
        <v>3.9687730000000001</v>
      </c>
      <c r="E2542">
        <v>0.40375090000000002</v>
      </c>
      <c r="F2542" t="s">
        <v>41</v>
      </c>
      <c r="G2542">
        <v>-491.22710000000001</v>
      </c>
      <c r="H2542">
        <v>1.0517890000000001</v>
      </c>
      <c r="I2542">
        <v>234.97989999999999</v>
      </c>
      <c r="J2542">
        <v>-491.8134</v>
      </c>
      <c r="K2542">
        <v>1.1120099999999999</v>
      </c>
      <c r="L2542">
        <v>235.65780000000001</v>
      </c>
      <c r="M2542">
        <v>4.990928E-2</v>
      </c>
      <c r="N2542">
        <v>-1.4305490000000001E-2</v>
      </c>
      <c r="O2542">
        <v>-0.99865130000000002</v>
      </c>
      <c r="P2542">
        <v>0.33528530000000001</v>
      </c>
      <c r="Q2542">
        <v>-1.8715309999999999E-2</v>
      </c>
      <c r="R2542">
        <v>-0.94193070000000001</v>
      </c>
      <c r="S2542">
        <v>1.7010799999999999</v>
      </c>
      <c r="T2542">
        <v>-0.16996510000000001</v>
      </c>
      <c r="U2542">
        <v>-2.584549</v>
      </c>
      <c r="V2542">
        <v>-0.28782049999999998</v>
      </c>
      <c r="W2542">
        <v>-6.5675789999999996E-3</v>
      </c>
      <c r="X2542">
        <v>0.95766189999999995</v>
      </c>
      <c r="Y2542">
        <v>-0.50670150000000003</v>
      </c>
      <c r="Z2542">
        <v>4.145107E-2</v>
      </c>
      <c r="AA2542">
        <v>0.86112449999999996</v>
      </c>
      <c r="AB2542">
        <v>27</v>
      </c>
      <c r="AC2542">
        <v>0.58629999999999405</v>
      </c>
      <c r="AD2542">
        <v>-6.0220999999999997E-2</v>
      </c>
      <c r="AE2542">
        <v>-0.67790000000002204</v>
      </c>
      <c r="AF2542">
        <v>-0.54925255249811999</v>
      </c>
      <c r="AG2542">
        <v>-6.0220999999999997E-2</v>
      </c>
      <c r="AH2542">
        <v>0.70314537581089098</v>
      </c>
      <c r="AI2542">
        <v>93.861276046294293</v>
      </c>
      <c r="AJ2542">
        <v>127.994695680733</v>
      </c>
      <c r="AK2542">
        <v>0.89426973268189103</v>
      </c>
      <c r="AL2542">
        <v>90.376297246933802</v>
      </c>
      <c r="AM2542">
        <v>106.727888058828</v>
      </c>
      <c r="AN2542">
        <v>1.00000004401288</v>
      </c>
    </row>
    <row r="2543" spans="1:40" x14ac:dyDescent="0.25">
      <c r="A2543" t="str">
        <f>"20190305135840442"</f>
        <v>20190305135840442</v>
      </c>
      <c r="B2543" t="str">
        <f>"1551765520431167"</f>
        <v>1551765520431167</v>
      </c>
      <c r="C2543" t="s">
        <v>40</v>
      </c>
      <c r="D2543">
        <v>3.9548139999999998</v>
      </c>
      <c r="E2543">
        <v>0.40427239999999998</v>
      </c>
      <c r="F2543" t="s">
        <v>41</v>
      </c>
      <c r="G2543">
        <v>-491.33870000000002</v>
      </c>
      <c r="H2543">
        <v>1.0650959999999901</v>
      </c>
      <c r="I2543">
        <v>234.95009999999999</v>
      </c>
      <c r="J2543">
        <v>-491.79430000000002</v>
      </c>
      <c r="K2543">
        <v>1.1123050000000001</v>
      </c>
      <c r="L2543">
        <v>235.35830000000001</v>
      </c>
      <c r="M2543">
        <v>5.3667850000000003E-2</v>
      </c>
      <c r="N2543">
        <v>-1.463651E-2</v>
      </c>
      <c r="O2543">
        <v>-0.99845170000000005</v>
      </c>
      <c r="P2543">
        <v>0.34384520000000002</v>
      </c>
      <c r="Q2543">
        <v>-1.880298E-2</v>
      </c>
      <c r="R2543">
        <v>-0.93883830000000001</v>
      </c>
      <c r="S2543">
        <v>1.7234499999999999</v>
      </c>
      <c r="T2543">
        <v>-0.17023869999999999</v>
      </c>
      <c r="U2543">
        <v>-2.5680999999999998</v>
      </c>
      <c r="V2543">
        <v>-0.2929254</v>
      </c>
      <c r="W2543">
        <v>-6.5377730000000002E-3</v>
      </c>
      <c r="X2543">
        <v>0.95611290000000004</v>
      </c>
      <c r="Y2543">
        <v>-0.51116569999999995</v>
      </c>
      <c r="Z2543">
        <v>4.1311920000000002E-2</v>
      </c>
      <c r="AA2543">
        <v>0.85848869999999899</v>
      </c>
      <c r="AB2543">
        <v>27</v>
      </c>
      <c r="AC2543">
        <v>0.455600000000003</v>
      </c>
      <c r="AD2543">
        <v>-4.7209000000000001E-2</v>
      </c>
      <c r="AE2543">
        <v>-0.40820000000002199</v>
      </c>
      <c r="AF2543">
        <v>-0.43046987179511598</v>
      </c>
      <c r="AG2543">
        <v>-4.7209000000000001E-2</v>
      </c>
      <c r="AH2543">
        <v>0.42950718013109701</v>
      </c>
      <c r="AI2543">
        <v>94.439203571697902</v>
      </c>
      <c r="AJ2543">
        <v>135.06413909086999</v>
      </c>
      <c r="AK2543">
        <v>0.60992574793040999</v>
      </c>
      <c r="AL2543">
        <v>90.374589485686201</v>
      </c>
      <c r="AM2543">
        <v>107.03355282428301</v>
      </c>
      <c r="AN2543">
        <v>0.99999995499368299</v>
      </c>
    </row>
    <row r="2544" spans="1:40" x14ac:dyDescent="0.25">
      <c r="A2544" t="str">
        <f>"20190305135840456"</f>
        <v>20190305135840456</v>
      </c>
      <c r="B2544" t="str">
        <f>"1551765520451659"</f>
        <v>1551765520451659</v>
      </c>
      <c r="C2544" t="s">
        <v>40</v>
      </c>
      <c r="D2544">
        <v>3.972661</v>
      </c>
      <c r="E2544">
        <v>0.41408089999999997</v>
      </c>
      <c r="F2544" t="s">
        <v>41</v>
      </c>
      <c r="G2544">
        <v>-491.20729999999998</v>
      </c>
      <c r="H2544">
        <v>1.0561449999999999</v>
      </c>
      <c r="I2544">
        <v>234.49799999999999</v>
      </c>
      <c r="J2544">
        <v>-491.78300000000002</v>
      </c>
      <c r="K2544">
        <v>1.1124559999999999</v>
      </c>
      <c r="L2544">
        <v>235.18969999999999</v>
      </c>
      <c r="M2544">
        <v>5.5896099999999997E-2</v>
      </c>
      <c r="N2544">
        <v>-1.486406E-2</v>
      </c>
      <c r="O2544">
        <v>-0.99832589999999999</v>
      </c>
      <c r="P2544">
        <v>0.348159</v>
      </c>
      <c r="Q2544">
        <v>-1.8342580000000001E-2</v>
      </c>
      <c r="R2544">
        <v>-0.93725599999999998</v>
      </c>
      <c r="S2544">
        <v>1.7430730000000001</v>
      </c>
      <c r="T2544">
        <v>-0.16667879999999999</v>
      </c>
      <c r="U2544">
        <v>-2.5537109999999998</v>
      </c>
      <c r="V2544">
        <v>-0.29518929999999999</v>
      </c>
      <c r="W2544">
        <v>-5.9581649999999996E-3</v>
      </c>
      <c r="X2544">
        <v>0.95542020000000005</v>
      </c>
      <c r="Y2544">
        <v>-0.51601759999999997</v>
      </c>
      <c r="Z2544">
        <v>3.9991390000000002E-2</v>
      </c>
      <c r="AA2544">
        <v>0.85564390000000001</v>
      </c>
      <c r="AB2544">
        <v>27</v>
      </c>
      <c r="AC2544">
        <v>0.57570000000003996</v>
      </c>
      <c r="AD2544">
        <v>-5.6310999999999702E-2</v>
      </c>
      <c r="AE2544">
        <v>-0.69169999999999698</v>
      </c>
      <c r="AF2544">
        <v>-0.53404120361733598</v>
      </c>
      <c r="AG2544">
        <v>-5.6310999999999702E-2</v>
      </c>
      <c r="AH2544">
        <v>0.71998233826439195</v>
      </c>
      <c r="AI2544">
        <v>93.594450497658002</v>
      </c>
      <c r="AJ2544">
        <v>126.56588363055801</v>
      </c>
      <c r="AK2544">
        <v>0.89819012647362995</v>
      </c>
      <c r="AL2544">
        <v>90.341379731198003</v>
      </c>
      <c r="AM2544">
        <v>107.169203354285</v>
      </c>
      <c r="AN2544">
        <v>0.99999999056634803</v>
      </c>
    </row>
    <row r="2545" spans="1:40" x14ac:dyDescent="0.25">
      <c r="A2545" t="str">
        <f>"20190305135840473"</f>
        <v>20190305135840473</v>
      </c>
      <c r="B2545" t="str">
        <f>"1551765520461421"</f>
        <v>1551765520461421</v>
      </c>
      <c r="C2545" t="s">
        <v>40</v>
      </c>
      <c r="D2545">
        <v>3.9767749999999999</v>
      </c>
      <c r="E2545">
        <v>0.41359069999999998</v>
      </c>
      <c r="F2545" t="s">
        <v>58</v>
      </c>
      <c r="G2545">
        <v>-474.26609999999999</v>
      </c>
      <c r="H2545">
        <v>7.999974E-2</v>
      </c>
      <c r="I2545">
        <v>208.4427</v>
      </c>
      <c r="J2545">
        <v>-491.76909999999998</v>
      </c>
      <c r="K2545">
        <v>1.112628</v>
      </c>
      <c r="L2545">
        <v>234.9939</v>
      </c>
      <c r="M2545">
        <v>5.8589879999999997E-2</v>
      </c>
      <c r="N2545">
        <v>-1.515176E-2</v>
      </c>
      <c r="O2545">
        <v>-0.99816720000000003</v>
      </c>
      <c r="P2545">
        <v>0.3546878</v>
      </c>
      <c r="Q2545">
        <v>-1.706558E-2</v>
      </c>
      <c r="R2545">
        <v>-0.93482909999999997</v>
      </c>
      <c r="S2545">
        <v>1.6850590000000001</v>
      </c>
      <c r="T2545">
        <v>-9.9318500000000004E-2</v>
      </c>
      <c r="U2545">
        <v>-2.5729679999999999</v>
      </c>
      <c r="V2545">
        <v>-0.29927769999999998</v>
      </c>
      <c r="W2545">
        <v>-4.5254570000000001E-3</v>
      </c>
      <c r="X2545">
        <v>0.95415530000000004</v>
      </c>
      <c r="Y2545">
        <v>-0.49766129999999997</v>
      </c>
      <c r="Z2545">
        <v>1.784003E-2</v>
      </c>
      <c r="AA2545">
        <v>0.86718799999999996</v>
      </c>
      <c r="AB2545">
        <v>27</v>
      </c>
      <c r="AC2545">
        <v>17.502999999999901</v>
      </c>
      <c r="AD2545">
        <v>-1.0326282600000001</v>
      </c>
      <c r="AE2545">
        <v>-26.551199999999898</v>
      </c>
      <c r="AF2545">
        <v>-15.9003501314088</v>
      </c>
      <c r="AG2545">
        <v>-1.0326282600000001</v>
      </c>
      <c r="AH2545">
        <v>27.502196677588099</v>
      </c>
      <c r="AI2545">
        <v>91.861773561188897</v>
      </c>
      <c r="AJ2545">
        <v>120.034283927063</v>
      </c>
      <c r="AK2545">
        <v>31.784560363759699</v>
      </c>
      <c r="AL2545">
        <v>90.259290476953097</v>
      </c>
      <c r="AM2545">
        <v>107.414409688097</v>
      </c>
      <c r="AN2545">
        <v>0.99999997899821902</v>
      </c>
    </row>
    <row r="2546" spans="1:40" x14ac:dyDescent="0.25">
      <c r="A2546" t="str">
        <f>"20190305135840497"</f>
        <v>20190305135840497</v>
      </c>
      <c r="B2546" t="str">
        <f>"1551765520491675"</f>
        <v>1551765520491675</v>
      </c>
      <c r="C2546" t="s">
        <v>40</v>
      </c>
      <c r="D2546">
        <v>3.9586899999999998</v>
      </c>
      <c r="E2546">
        <v>0.4126051</v>
      </c>
      <c r="F2546" t="s">
        <v>58</v>
      </c>
      <c r="G2546">
        <v>-474.55619999999999</v>
      </c>
      <c r="H2546">
        <v>7.9999730000000005E-2</v>
      </c>
      <c r="I2546">
        <v>209.1755</v>
      </c>
      <c r="J2546">
        <v>-491.74790000000002</v>
      </c>
      <c r="K2546">
        <v>1.112841</v>
      </c>
      <c r="L2546">
        <v>234.70939999999999</v>
      </c>
      <c r="M2546">
        <v>6.26274E-2</v>
      </c>
      <c r="N2546">
        <v>-1.557387E-2</v>
      </c>
      <c r="O2546">
        <v>-0.99791569999999996</v>
      </c>
      <c r="P2546">
        <v>0.36155209999999999</v>
      </c>
      <c r="Q2546">
        <v>-1.6381639999999999E-2</v>
      </c>
      <c r="R2546">
        <v>-0.93220809999999998</v>
      </c>
      <c r="S2546">
        <v>1.706604</v>
      </c>
      <c r="T2546">
        <v>-0.1023819</v>
      </c>
      <c r="U2546">
        <v>-2.5598139999999998</v>
      </c>
      <c r="V2546">
        <v>-0.30243599999999998</v>
      </c>
      <c r="W2546">
        <v>-3.5705229999999999E-3</v>
      </c>
      <c r="X2546">
        <v>0.95316299999999998</v>
      </c>
      <c r="Y2546">
        <v>-0.50124279999999999</v>
      </c>
      <c r="Z2546">
        <v>1.847911E-2</v>
      </c>
      <c r="AA2546">
        <v>0.86510940000000003</v>
      </c>
      <c r="AB2546">
        <v>27</v>
      </c>
      <c r="AC2546">
        <v>17.191700000000001</v>
      </c>
      <c r="AD2546">
        <v>-1.03284127</v>
      </c>
      <c r="AE2546">
        <v>-25.5338999999999</v>
      </c>
      <c r="AF2546">
        <v>-15.541132136885199</v>
      </c>
      <c r="AG2546">
        <v>-1.03284127</v>
      </c>
      <c r="AH2546">
        <v>26.530697039352098</v>
      </c>
      <c r="AI2546">
        <v>91.923907002406395</v>
      </c>
      <c r="AJ2546">
        <v>120.360887314438</v>
      </c>
      <c r="AK2546">
        <v>30.764775874025599</v>
      </c>
      <c r="AL2546">
        <v>90.204576334533201</v>
      </c>
      <c r="AM2546">
        <v>107.60408983478</v>
      </c>
      <c r="AN2546">
        <v>0.99999999364974601</v>
      </c>
    </row>
    <row r="2547" spans="1:40" x14ac:dyDescent="0.25">
      <c r="A2547" t="str">
        <f>"20190305135840524"</f>
        <v>20190305135840524</v>
      </c>
      <c r="B2547" t="str">
        <f>"1551765520520955"</f>
        <v>1551765520520955</v>
      </c>
      <c r="C2547" t="s">
        <v>40</v>
      </c>
      <c r="D2547">
        <v>3.9825499999999998</v>
      </c>
      <c r="E2547">
        <v>0.41387210000000002</v>
      </c>
      <c r="F2547" t="s">
        <v>58</v>
      </c>
      <c r="G2547">
        <v>-473.7722</v>
      </c>
      <c r="H2547">
        <v>7.9999810000000005E-2</v>
      </c>
      <c r="I2547">
        <v>208.31460000000001</v>
      </c>
      <c r="J2547">
        <v>-491.72199999999998</v>
      </c>
      <c r="K2547">
        <v>1.113032</v>
      </c>
      <c r="L2547">
        <v>234.38550000000001</v>
      </c>
      <c r="M2547">
        <v>6.7406450000000007E-2</v>
      </c>
      <c r="N2547">
        <v>-1.6044630000000001E-2</v>
      </c>
      <c r="O2547">
        <v>-0.99759659999999994</v>
      </c>
      <c r="P2547">
        <v>0.36927389999999999</v>
      </c>
      <c r="Q2547">
        <v>-1.67584E-2</v>
      </c>
      <c r="R2547">
        <v>-0.92916960000000004</v>
      </c>
      <c r="S2547">
        <v>1.7328190000000001</v>
      </c>
      <c r="T2547">
        <v>-9.9563840000000001E-2</v>
      </c>
      <c r="U2547">
        <v>-2.544403</v>
      </c>
      <c r="V2547">
        <v>-0.30577559999999998</v>
      </c>
      <c r="W2547">
        <v>-3.6234539999999999E-3</v>
      </c>
      <c r="X2547">
        <v>0.95209670000000002</v>
      </c>
      <c r="Y2547">
        <v>-0.50563210000000003</v>
      </c>
      <c r="Z2547">
        <v>1.713481E-2</v>
      </c>
      <c r="AA2547">
        <v>0.86257899999999998</v>
      </c>
      <c r="AB2547">
        <v>27</v>
      </c>
      <c r="AC2547">
        <v>17.9497999999999</v>
      </c>
      <c r="AD2547">
        <v>-1.0330321899999999</v>
      </c>
      <c r="AE2547">
        <v>-26.070899999999899</v>
      </c>
      <c r="AF2547">
        <v>-16.134206128357299</v>
      </c>
      <c r="AG2547">
        <v>-1.0330321899999999</v>
      </c>
      <c r="AH2547">
        <v>27.1927128774872</v>
      </c>
      <c r="AI2547">
        <v>91.871263610948702</v>
      </c>
      <c r="AJ2547">
        <v>120.681855376097</v>
      </c>
      <c r="AK2547">
        <v>31.635792965174101</v>
      </c>
      <c r="AL2547">
        <v>90.207609078548998</v>
      </c>
      <c r="AM2547">
        <v>107.80495298243299</v>
      </c>
      <c r="AN2547">
        <v>0.99999998656256905</v>
      </c>
    </row>
    <row r="2548" spans="1:40" x14ac:dyDescent="0.25">
      <c r="A2548" t="str">
        <f>"20190305135840542"</f>
        <v>20190305135840542</v>
      </c>
      <c r="B2548" t="str">
        <f>"1551765520531691"</f>
        <v>1551765520531691</v>
      </c>
      <c r="C2548" t="s">
        <v>40</v>
      </c>
      <c r="D2548">
        <v>3.9871400000000001</v>
      </c>
      <c r="E2548">
        <v>0.41408210000000001</v>
      </c>
      <c r="F2548" t="s">
        <v>58</v>
      </c>
      <c r="G2548">
        <v>-474.11130000000003</v>
      </c>
      <c r="H2548">
        <v>7.9999769999999998E-2</v>
      </c>
      <c r="I2548">
        <v>208.8013</v>
      </c>
      <c r="J2548">
        <v>-491.7045</v>
      </c>
      <c r="K2548">
        <v>1.1131310000000001</v>
      </c>
      <c r="L2548">
        <v>234.179</v>
      </c>
      <c r="M2548">
        <v>7.0531919999999998E-2</v>
      </c>
      <c r="N2548">
        <v>-1.6333790000000001E-2</v>
      </c>
      <c r="O2548">
        <v>-0.99737589999999998</v>
      </c>
      <c r="P2548">
        <v>0.37493660000000001</v>
      </c>
      <c r="Q2548">
        <v>-1.7255389999999999E-2</v>
      </c>
      <c r="R2548">
        <v>-0.92688999999999999</v>
      </c>
      <c r="S2548">
        <v>1.744049</v>
      </c>
      <c r="T2548">
        <v>-0.1023048</v>
      </c>
      <c r="U2548">
        <v>-2.5336910000000001</v>
      </c>
      <c r="V2548">
        <v>-0.30859829999999999</v>
      </c>
      <c r="W2548">
        <v>-3.922633E-3</v>
      </c>
      <c r="X2548">
        <v>0.95118440000000004</v>
      </c>
      <c r="Y2548">
        <v>-0.50720690000000002</v>
      </c>
      <c r="Z2548">
        <v>1.7824449999999999E-2</v>
      </c>
      <c r="AA2548">
        <v>0.86163999999999996</v>
      </c>
      <c r="AB2548">
        <v>27</v>
      </c>
      <c r="AC2548">
        <v>17.5931999999999</v>
      </c>
      <c r="AD2548">
        <v>-1.03313123</v>
      </c>
      <c r="AE2548">
        <v>-25.377700000000001</v>
      </c>
      <c r="AF2548">
        <v>-15.741575893244701</v>
      </c>
      <c r="AG2548">
        <v>-1.03313123</v>
      </c>
      <c r="AH2548">
        <v>26.525836284208701</v>
      </c>
      <c r="AI2548">
        <v>91.918360815932999</v>
      </c>
      <c r="AJ2548">
        <v>120.686722212726</v>
      </c>
      <c r="AK2548">
        <v>30.862348619601701</v>
      </c>
      <c r="AL2548">
        <v>90.224750885044998</v>
      </c>
      <c r="AM2548">
        <v>107.974920283975</v>
      </c>
      <c r="AN2548">
        <v>1.0000000303079499</v>
      </c>
    </row>
    <row r="2549" spans="1:40" x14ac:dyDescent="0.25">
      <c r="A2549" t="str">
        <f>"20190305135840564"</f>
        <v>20190305135840564</v>
      </c>
      <c r="B2549" t="str">
        <f>"1551765520551721"</f>
        <v>1551765520551721</v>
      </c>
      <c r="C2549" t="s">
        <v>40</v>
      </c>
      <c r="D2549">
        <v>4.0120719999999999</v>
      </c>
      <c r="E2549">
        <v>0.41450140000000002</v>
      </c>
      <c r="F2549" t="s">
        <v>58</v>
      </c>
      <c r="G2549">
        <v>-474.2987</v>
      </c>
      <c r="H2549">
        <v>7.9999760000000003E-2</v>
      </c>
      <c r="I2549">
        <v>209.19040000000001</v>
      </c>
      <c r="J2549">
        <v>-491.68189999999998</v>
      </c>
      <c r="K2549">
        <v>1.1132249999999999</v>
      </c>
      <c r="L2549">
        <v>233.92330000000001</v>
      </c>
      <c r="M2549">
        <v>7.4490429999999996E-2</v>
      </c>
      <c r="N2549">
        <v>-1.6669489999999999E-2</v>
      </c>
      <c r="O2549">
        <v>-0.99708240000000004</v>
      </c>
      <c r="P2549">
        <v>0.38081559999999998</v>
      </c>
      <c r="Q2549">
        <v>-1.7192829999999999E-2</v>
      </c>
      <c r="R2549">
        <v>-0.92449139999999996</v>
      </c>
      <c r="S2549">
        <v>1.7578130000000001</v>
      </c>
      <c r="T2549">
        <v>-0.104335999999999</v>
      </c>
      <c r="U2549">
        <v>-2.5236049999999999</v>
      </c>
      <c r="V2549">
        <v>-0.31086370000000002</v>
      </c>
      <c r="W2549">
        <v>-3.6062469999999999E-3</v>
      </c>
      <c r="X2549">
        <v>0.95044759999999995</v>
      </c>
      <c r="Y2549">
        <v>-0.50855159999999999</v>
      </c>
      <c r="Z2549">
        <v>1.8224569999999999E-2</v>
      </c>
      <c r="AA2549">
        <v>0.86083869999999896</v>
      </c>
      <c r="AB2549">
        <v>27</v>
      </c>
      <c r="AC2549">
        <v>17.383199999999899</v>
      </c>
      <c r="AD2549">
        <v>-1.0332252399999999</v>
      </c>
      <c r="AE2549">
        <v>-24.732900000000001</v>
      </c>
      <c r="AF2549">
        <v>-15.474194900563701</v>
      </c>
      <c r="AG2549">
        <v>-1.0332252399999999</v>
      </c>
      <c r="AH2549">
        <v>25.928939495839501</v>
      </c>
      <c r="AI2549">
        <v>91.959782209403201</v>
      </c>
      <c r="AJ2549">
        <v>120.828432917935</v>
      </c>
      <c r="AK2549">
        <v>30.213046281302301</v>
      </c>
      <c r="AL2549">
        <v>90.206623192685399</v>
      </c>
      <c r="AM2549">
        <v>108.111411693842</v>
      </c>
      <c r="AN2549">
        <v>0.99999994267043502</v>
      </c>
    </row>
    <row r="2550" spans="1:40" x14ac:dyDescent="0.25">
      <c r="A2550" t="str">
        <f>"20190305135840585"</f>
        <v>20190305135840585</v>
      </c>
      <c r="B2550" t="str">
        <f>"1551765520580997"</f>
        <v>1551765520580997</v>
      </c>
      <c r="C2550" t="s">
        <v>40</v>
      </c>
      <c r="D2550">
        <v>4.0010879999999904</v>
      </c>
      <c r="E2550">
        <v>0.41479149999999998</v>
      </c>
      <c r="F2550" t="s">
        <v>58</v>
      </c>
      <c r="G2550">
        <v>-474.54849999999999</v>
      </c>
      <c r="H2550">
        <v>6.8521949999999998E-2</v>
      </c>
      <c r="I2550">
        <v>209.59780000000001</v>
      </c>
      <c r="J2550">
        <v>-491.65839999999997</v>
      </c>
      <c r="K2550">
        <v>1.1132850000000001</v>
      </c>
      <c r="L2550">
        <v>233.67140000000001</v>
      </c>
      <c r="M2550">
        <v>7.848173E-2</v>
      </c>
      <c r="N2550">
        <v>-1.6971730000000001E-2</v>
      </c>
      <c r="O2550">
        <v>-0.99677110000000002</v>
      </c>
      <c r="P2550">
        <v>0.38704729999999998</v>
      </c>
      <c r="Q2550">
        <v>-1.6348290000000001E-2</v>
      </c>
      <c r="R2550">
        <v>-0.92191520000000005</v>
      </c>
      <c r="S2550">
        <v>1.7705379999999999</v>
      </c>
      <c r="T2550">
        <v>-0.1079577</v>
      </c>
      <c r="U2550">
        <v>-2.5137480000000001</v>
      </c>
      <c r="V2550">
        <v>-0.31347900000000001</v>
      </c>
      <c r="W2550">
        <v>-2.5355759999999999E-3</v>
      </c>
      <c r="X2550">
        <v>0.94959179999999999</v>
      </c>
      <c r="Y2550">
        <v>-0.50958510000000001</v>
      </c>
      <c r="Z2550">
        <v>1.9189009999999999E-2</v>
      </c>
      <c r="AA2550">
        <v>0.86020629999999998</v>
      </c>
      <c r="AB2550">
        <v>26</v>
      </c>
      <c r="AC2550">
        <v>17.1098999999999</v>
      </c>
      <c r="AD2550">
        <v>-1.04476305</v>
      </c>
      <c r="AE2550">
        <v>-24.073599999999999</v>
      </c>
      <c r="AF2550">
        <v>-15.148544267032699</v>
      </c>
      <c r="AG2550">
        <v>-1.04476305</v>
      </c>
      <c r="AH2550">
        <v>25.310660455745399</v>
      </c>
      <c r="AI2550">
        <v>92.028487655681602</v>
      </c>
      <c r="AJ2550">
        <v>120.90071081212901</v>
      </c>
      <c r="AK2550">
        <v>29.5160880867864</v>
      </c>
      <c r="AL2550">
        <v>90.145277951896901</v>
      </c>
      <c r="AM2550">
        <v>108.26907667269199</v>
      </c>
      <c r="AN2550">
        <v>1.0000000496069399</v>
      </c>
    </row>
    <row r="2551" spans="1:40" x14ac:dyDescent="0.25">
      <c r="A2551" t="str">
        <f>"20190305135840610"</f>
        <v>20190305135840610</v>
      </c>
      <c r="B2551" t="str">
        <f>"1551765520601494"</f>
        <v>1551765520601494</v>
      </c>
      <c r="C2551" t="s">
        <v>40</v>
      </c>
      <c r="D2551">
        <v>4.0135480000000001</v>
      </c>
      <c r="E2551">
        <v>0.41500680000000001</v>
      </c>
      <c r="F2551" t="s">
        <v>58</v>
      </c>
      <c r="G2551">
        <v>-474.5027</v>
      </c>
      <c r="H2551">
        <v>5.100404E-2</v>
      </c>
      <c r="I2551">
        <v>209.61529999999999</v>
      </c>
      <c r="J2551">
        <v>-491.63060000000002</v>
      </c>
      <c r="K2551">
        <v>1.1133519999999999</v>
      </c>
      <c r="L2551">
        <v>233.38669999999999</v>
      </c>
      <c r="M2551">
        <v>8.311035E-2</v>
      </c>
      <c r="N2551">
        <v>-1.727861E-2</v>
      </c>
      <c r="O2551">
        <v>-0.99639080000000002</v>
      </c>
      <c r="P2551">
        <v>0.39409880000000003</v>
      </c>
      <c r="Q2551">
        <v>-1.6458710000000001E-2</v>
      </c>
      <c r="R2551">
        <v>-0.91892110000000005</v>
      </c>
      <c r="S2551">
        <v>1.7848820000000001</v>
      </c>
      <c r="T2551">
        <v>-0.1105198</v>
      </c>
      <c r="U2551">
        <v>-2.5027919999999999</v>
      </c>
      <c r="V2551">
        <v>-0.31634259999999997</v>
      </c>
      <c r="W2551">
        <v>-2.4228190000000001E-3</v>
      </c>
      <c r="X2551">
        <v>0.94864190000000004</v>
      </c>
      <c r="Y2551">
        <v>-0.51061990000000002</v>
      </c>
      <c r="Z2551">
        <v>1.9808220000000001E-2</v>
      </c>
      <c r="AA2551">
        <v>0.85957830000000002</v>
      </c>
      <c r="AB2551">
        <v>26</v>
      </c>
      <c r="AC2551">
        <v>17.1279</v>
      </c>
      <c r="AD2551">
        <v>-1.0623479600000001</v>
      </c>
      <c r="AE2551">
        <v>-23.7714</v>
      </c>
      <c r="AF2551">
        <v>-15.072865857605199</v>
      </c>
      <c r="AG2551">
        <v>-1.0623479600000001</v>
      </c>
      <c r="AH2551">
        <v>25.079880546638002</v>
      </c>
      <c r="AI2551">
        <v>92.079281089459002</v>
      </c>
      <c r="AJ2551">
        <v>121.00562828481701</v>
      </c>
      <c r="AK2551">
        <v>29.280032045459102</v>
      </c>
      <c r="AL2551">
        <v>90.138817441460205</v>
      </c>
      <c r="AM2551">
        <v>108.441940779045</v>
      </c>
      <c r="AN2551">
        <v>0.99999998253113798</v>
      </c>
    </row>
    <row r="2552" spans="1:40" x14ac:dyDescent="0.25">
      <c r="A2552" t="str">
        <f>"20190305135840634"</f>
        <v>20190305135840634</v>
      </c>
      <c r="B2552" t="str">
        <f>"1551765520631750"</f>
        <v>1551765520631750</v>
      </c>
      <c r="C2552" t="s">
        <v>40</v>
      </c>
      <c r="D2552">
        <v>4.0824579999999999</v>
      </c>
      <c r="E2552">
        <v>0.41519240000000002</v>
      </c>
      <c r="F2552" t="s">
        <v>58</v>
      </c>
      <c r="G2552">
        <v>-474.42630000000003</v>
      </c>
      <c r="H2552">
        <v>1.840284E-2</v>
      </c>
      <c r="I2552">
        <v>209.6163</v>
      </c>
      <c r="J2552">
        <v>-491.60129999999998</v>
      </c>
      <c r="K2552">
        <v>1.1134269999999999</v>
      </c>
      <c r="L2552">
        <v>233.10339999999999</v>
      </c>
      <c r="M2552">
        <v>8.786368E-2</v>
      </c>
      <c r="N2552">
        <v>-1.755694E-2</v>
      </c>
      <c r="O2552">
        <v>-0.99597780000000002</v>
      </c>
      <c r="P2552">
        <v>0.4008176</v>
      </c>
      <c r="Q2552">
        <v>-1.7021189999999999E-2</v>
      </c>
      <c r="R2552">
        <v>-0.91599969999999997</v>
      </c>
      <c r="S2552">
        <v>1.802063</v>
      </c>
      <c r="T2552">
        <v>-0.1146908</v>
      </c>
      <c r="U2552">
        <v>-2.4898380000000002</v>
      </c>
      <c r="V2552">
        <v>-0.31875949999999997</v>
      </c>
      <c r="W2552">
        <v>-2.7959510000000001E-3</v>
      </c>
      <c r="X2552">
        <v>0.94783150000000005</v>
      </c>
      <c r="Y2552">
        <v>-0.5125073</v>
      </c>
      <c r="Z2552">
        <v>2.099376E-2</v>
      </c>
      <c r="AA2552">
        <v>0.85842619999999903</v>
      </c>
      <c r="AB2552">
        <v>26</v>
      </c>
      <c r="AC2552">
        <v>17.174999999999901</v>
      </c>
      <c r="AD2552">
        <v>-1.0950241599999999</v>
      </c>
      <c r="AE2552">
        <v>-23.487100000000002</v>
      </c>
      <c r="AF2552">
        <v>-15.023296631562401</v>
      </c>
      <c r="AG2552">
        <v>-1.0950241599999999</v>
      </c>
      <c r="AH2552">
        <v>24.870303156208799</v>
      </c>
      <c r="AI2552">
        <v>92.158291458699495</v>
      </c>
      <c r="AJ2552">
        <v>121.13473346691799</v>
      </c>
      <c r="AK2552">
        <v>29.0762875668925</v>
      </c>
      <c r="AL2552">
        <v>90.160196401659306</v>
      </c>
      <c r="AM2552">
        <v>108.587996711689</v>
      </c>
      <c r="AN2552">
        <v>0.99999999428724695</v>
      </c>
    </row>
    <row r="2553" spans="1:40" x14ac:dyDescent="0.25">
      <c r="A2553" t="str">
        <f>"20190305135840654"</f>
        <v>20190305135840654</v>
      </c>
      <c r="B2553" t="str">
        <f>"1551765520651776"</f>
        <v>1551765520651776</v>
      </c>
      <c r="C2553" t="s">
        <v>40</v>
      </c>
      <c r="D2553">
        <v>4.0754440000000001</v>
      </c>
      <c r="E2553">
        <v>0.41533320000000001</v>
      </c>
      <c r="F2553" t="s">
        <v>58</v>
      </c>
      <c r="G2553">
        <v>-474.6327</v>
      </c>
      <c r="H2553" s="1">
        <v>3.701921E-6</v>
      </c>
      <c r="I2553">
        <v>209.99250000000001</v>
      </c>
      <c r="J2553">
        <v>-491.57760000000002</v>
      </c>
      <c r="K2553">
        <v>1.1135079999999999</v>
      </c>
      <c r="L2553">
        <v>232.8844</v>
      </c>
      <c r="M2553">
        <v>9.1685169999999996E-2</v>
      </c>
      <c r="N2553">
        <v>-1.7757309999999998E-2</v>
      </c>
      <c r="O2553">
        <v>-0.99562980000000001</v>
      </c>
      <c r="P2553">
        <v>0.40682249999999998</v>
      </c>
      <c r="Q2553">
        <v>-1.730129E-2</v>
      </c>
      <c r="R2553">
        <v>-0.91334369999999998</v>
      </c>
      <c r="S2553">
        <v>1.8187260000000001</v>
      </c>
      <c r="T2553">
        <v>-0.1193384</v>
      </c>
      <c r="U2553">
        <v>-2.4770660000000002</v>
      </c>
      <c r="V2553">
        <v>-0.32134200000000002</v>
      </c>
      <c r="W2553">
        <v>-2.9724360000000002E-3</v>
      </c>
      <c r="X2553">
        <v>0.94695850000000004</v>
      </c>
      <c r="Y2553">
        <v>-0.5150439</v>
      </c>
      <c r="Z2553">
        <v>2.240671E-2</v>
      </c>
      <c r="AA2553">
        <v>0.85687089999999999</v>
      </c>
      <c r="AB2553">
        <v>26</v>
      </c>
      <c r="AC2553">
        <v>16.944900000000001</v>
      </c>
      <c r="AD2553">
        <v>-1.113504298079</v>
      </c>
      <c r="AE2553">
        <v>-22.8919</v>
      </c>
      <c r="AF2553">
        <v>-14.7517792961215</v>
      </c>
      <c r="AG2553">
        <v>-1.113504298079</v>
      </c>
      <c r="AH2553">
        <v>24.312129064051401</v>
      </c>
      <c r="AI2553">
        <v>92.242334758581706</v>
      </c>
      <c r="AJ2553">
        <v>121.247962694913</v>
      </c>
      <c r="AK2553">
        <v>28.459348268195001</v>
      </c>
      <c r="AL2553">
        <v>90.170308295525501</v>
      </c>
      <c r="AM2553">
        <v>108.744189481191</v>
      </c>
      <c r="AN2553">
        <v>0.99999995853101098</v>
      </c>
    </row>
    <row r="2554" spans="1:40" x14ac:dyDescent="0.25">
      <c r="A2554" t="str">
        <f>"20190305135840675"</f>
        <v>20190305135840675</v>
      </c>
      <c r="B2554" t="str">
        <f>"1551765520671295"</f>
        <v>1551765520671295</v>
      </c>
      <c r="C2554" t="s">
        <v>40</v>
      </c>
      <c r="D2554">
        <v>4.079472</v>
      </c>
      <c r="E2554">
        <v>0.4191917</v>
      </c>
      <c r="F2554" t="s">
        <v>58</v>
      </c>
      <c r="G2554">
        <v>-474.83879999999999</v>
      </c>
      <c r="H2554" s="1">
        <v>3.6275710000000001E-6</v>
      </c>
      <c r="I2554">
        <v>210.38229999999999</v>
      </c>
      <c r="J2554">
        <v>-491.55110000000002</v>
      </c>
      <c r="K2554">
        <v>1.113623</v>
      </c>
      <c r="L2554">
        <v>232.65010000000001</v>
      </c>
      <c r="M2554">
        <v>9.594925E-2</v>
      </c>
      <c r="N2554">
        <v>-1.7962369999999998E-2</v>
      </c>
      <c r="O2554">
        <v>-0.9952242</v>
      </c>
      <c r="P2554">
        <v>0.41402929999999999</v>
      </c>
      <c r="Q2554">
        <v>-1.641515E-2</v>
      </c>
      <c r="R2554">
        <v>-0.91011569999999997</v>
      </c>
      <c r="S2554">
        <v>1.8339840000000001</v>
      </c>
      <c r="T2554">
        <v>-0.1220007</v>
      </c>
      <c r="U2554">
        <v>-2.4654389999999999</v>
      </c>
      <c r="V2554">
        <v>-0.3247738</v>
      </c>
      <c r="W2554">
        <v>-2.0186869999999999E-3</v>
      </c>
      <c r="X2554">
        <v>0.94578960000000001</v>
      </c>
      <c r="Y2554">
        <v>-0.51670209999999905</v>
      </c>
      <c r="Z2554">
        <v>2.315996E-2</v>
      </c>
      <c r="AA2554">
        <v>0.8558519</v>
      </c>
      <c r="AB2554">
        <v>26</v>
      </c>
      <c r="AC2554">
        <v>16.712299999999999</v>
      </c>
      <c r="AD2554">
        <v>-1.113619372429</v>
      </c>
      <c r="AE2554">
        <v>-22.267800000000001</v>
      </c>
      <c r="AF2554">
        <v>-14.4750867126209</v>
      </c>
      <c r="AG2554">
        <v>-1.113619372429</v>
      </c>
      <c r="AH2554">
        <v>23.730853253344101</v>
      </c>
      <c r="AI2554">
        <v>92.294177196604906</v>
      </c>
      <c r="AJ2554">
        <v>121.381899865116</v>
      </c>
      <c r="AK2554">
        <v>27.819447866129401</v>
      </c>
      <c r="AL2554">
        <v>90.115662320128195</v>
      </c>
      <c r="AM2554">
        <v>108.951910758971</v>
      </c>
      <c r="AN2554">
        <v>1.0000000318658999</v>
      </c>
    </row>
    <row r="2555" spans="1:40" x14ac:dyDescent="0.25">
      <c r="A2555" t="str">
        <f>"20190305135840701"</f>
        <v>20190305135840701</v>
      </c>
      <c r="B2555" t="str">
        <f>"1551765520691791"</f>
        <v>1551765520691791</v>
      </c>
      <c r="C2555" t="s">
        <v>40</v>
      </c>
      <c r="D2555">
        <v>4.0364789999999999</v>
      </c>
      <c r="E2555">
        <v>0.41861510000000002</v>
      </c>
      <c r="F2555" t="s">
        <v>41</v>
      </c>
      <c r="G2555">
        <v>-491.02109999999999</v>
      </c>
      <c r="H2555">
        <v>1.065553</v>
      </c>
      <c r="I2555">
        <v>231.9331</v>
      </c>
      <c r="J2555">
        <v>-491.51580000000001</v>
      </c>
      <c r="K2555">
        <v>1.1138300000000001</v>
      </c>
      <c r="L2555">
        <v>232.3536</v>
      </c>
      <c r="M2555">
        <v>0.101674</v>
      </c>
      <c r="N2555">
        <v>-1.8218290000000002E-2</v>
      </c>
      <c r="O2555">
        <v>-0.99465110000000001</v>
      </c>
      <c r="P2555">
        <v>0.42334820000000001</v>
      </c>
      <c r="Q2555">
        <v>-1.5715299999999901E-2</v>
      </c>
      <c r="R2555">
        <v>-0.90583069999999999</v>
      </c>
      <c r="S2555">
        <v>1.822479</v>
      </c>
      <c r="T2555">
        <v>-0.16519439999999999</v>
      </c>
      <c r="U2555">
        <v>-2.4642029999999999</v>
      </c>
      <c r="V2555">
        <v>-0.3290399</v>
      </c>
      <c r="W2555">
        <v>-1.2781660000000001E-3</v>
      </c>
      <c r="X2555">
        <v>0.94431509999999996</v>
      </c>
      <c r="Y2555">
        <v>-0.50907190000000002</v>
      </c>
      <c r="Z2555">
        <v>3.7443410000000003E-2</v>
      </c>
      <c r="AA2555">
        <v>0.85990919999999904</v>
      </c>
      <c r="AB2555">
        <v>26</v>
      </c>
      <c r="AC2555">
        <v>0.49470000000002201</v>
      </c>
      <c r="AD2555">
        <v>-4.8276999999999903E-2</v>
      </c>
      <c r="AE2555">
        <v>-0.42050000000000398</v>
      </c>
      <c r="AF2555">
        <v>-0.44690363787757598</v>
      </c>
      <c r="AG2555">
        <v>-4.8276999999999903E-2</v>
      </c>
      <c r="AH2555">
        <v>0.46604990675087798</v>
      </c>
      <c r="AI2555">
        <v>94.275889178409898</v>
      </c>
      <c r="AJ2555">
        <v>133.79858112971601</v>
      </c>
      <c r="AK2555">
        <v>0.64749984236269398</v>
      </c>
      <c r="AL2555">
        <v>90.073233541007397</v>
      </c>
      <c r="AM2555">
        <v>109.210529026774</v>
      </c>
      <c r="AN2555">
        <v>0.99999994879416998</v>
      </c>
    </row>
    <row r="2556" spans="1:40" x14ac:dyDescent="0.25">
      <c r="A2556" t="str">
        <f>"20190305135840724"</f>
        <v>20190305135840724</v>
      </c>
      <c r="B2556" t="str">
        <f>"1551765520711312"</f>
        <v>1551765520711312</v>
      </c>
      <c r="C2556" t="s">
        <v>40</v>
      </c>
      <c r="D2556">
        <v>4.0728140000000002</v>
      </c>
      <c r="E2556">
        <v>0.41893530000000001</v>
      </c>
      <c r="F2556" t="s">
        <v>41</v>
      </c>
      <c r="G2556">
        <v>-490.88060000000002</v>
      </c>
      <c r="H2556">
        <v>1.056943</v>
      </c>
      <c r="I2556">
        <v>231.5153</v>
      </c>
      <c r="J2556">
        <v>-491.48410000000001</v>
      </c>
      <c r="K2556">
        <v>1.114042</v>
      </c>
      <c r="L2556">
        <v>232.1027</v>
      </c>
      <c r="M2556">
        <v>0.10686950000000001</v>
      </c>
      <c r="N2556">
        <v>-1.84368E-2</v>
      </c>
      <c r="O2556">
        <v>-0.99410220000000005</v>
      </c>
      <c r="P2556">
        <v>0.43262489999999998</v>
      </c>
      <c r="Q2556">
        <v>-1.6194630000000002E-2</v>
      </c>
      <c r="R2556">
        <v>-0.90142860000000002</v>
      </c>
      <c r="S2556">
        <v>1.8515630000000001</v>
      </c>
      <c r="T2556">
        <v>-0.1658317</v>
      </c>
      <c r="U2556">
        <v>-2.4436650000000002</v>
      </c>
      <c r="V2556">
        <v>-0.33379219999999998</v>
      </c>
      <c r="W2556">
        <v>-1.7714689999999999E-3</v>
      </c>
      <c r="X2556">
        <v>0.94264499999999996</v>
      </c>
      <c r="Y2556">
        <v>-0.51453890000000002</v>
      </c>
      <c r="Z2556">
        <v>3.7536689999999998E-2</v>
      </c>
      <c r="AA2556">
        <v>0.85664499999999999</v>
      </c>
      <c r="AB2556">
        <v>26</v>
      </c>
      <c r="AC2556">
        <v>0.60349999999999604</v>
      </c>
      <c r="AD2556">
        <v>-5.7098999999999997E-2</v>
      </c>
      <c r="AE2556">
        <v>-0.58740000000000203</v>
      </c>
      <c r="AF2556">
        <v>-0.53479843164138297</v>
      </c>
      <c r="AG2556">
        <v>-5.7098999999999997E-2</v>
      </c>
      <c r="AH2556">
        <v>0.64557396388699895</v>
      </c>
      <c r="AI2556">
        <v>93.896482296334497</v>
      </c>
      <c r="AJ2556">
        <v>129.63861165237</v>
      </c>
      <c r="AK2556">
        <v>0.84025912737432096</v>
      </c>
      <c r="AL2556">
        <v>90.1014977520027</v>
      </c>
      <c r="AM2556">
        <v>109.499141152121</v>
      </c>
      <c r="AN2556">
        <v>0.99999998345412799</v>
      </c>
    </row>
    <row r="2557" spans="1:40" x14ac:dyDescent="0.25">
      <c r="A2557" t="str">
        <f>"20190305135840746"</f>
        <v>20190305135840746</v>
      </c>
      <c r="B2557" t="str">
        <f>"1551765520741567"</f>
        <v>1551765520741567</v>
      </c>
      <c r="C2557" t="s">
        <v>40</v>
      </c>
      <c r="D2557">
        <v>4.0684420000000001</v>
      </c>
      <c r="E2557">
        <v>0.4195855</v>
      </c>
      <c r="F2557" t="s">
        <v>41</v>
      </c>
      <c r="G2557">
        <v>-490.85820000000001</v>
      </c>
      <c r="H2557">
        <v>1.057334</v>
      </c>
      <c r="I2557">
        <v>231.29220000000001</v>
      </c>
      <c r="J2557">
        <v>-491.45</v>
      </c>
      <c r="K2557">
        <v>1.1142540000000001</v>
      </c>
      <c r="L2557">
        <v>231.84639999999999</v>
      </c>
      <c r="M2557">
        <v>0.1125015</v>
      </c>
      <c r="N2557">
        <v>-1.8651959999999999E-2</v>
      </c>
      <c r="O2557">
        <v>-0.99347649999999998</v>
      </c>
      <c r="P2557">
        <v>0.44218380000000002</v>
      </c>
      <c r="Q2557">
        <v>-1.7944680000000001E-2</v>
      </c>
      <c r="R2557">
        <v>-0.89674509999999996</v>
      </c>
      <c r="S2557">
        <v>1.8739319999999999</v>
      </c>
      <c r="T2557">
        <v>-0.16971839999999999</v>
      </c>
      <c r="U2557">
        <v>-2.4256440000000001</v>
      </c>
      <c r="V2557">
        <v>-0.33845449999999999</v>
      </c>
      <c r="W2557">
        <v>-3.5501600000000001E-3</v>
      </c>
      <c r="X2557">
        <v>0.94097609999999998</v>
      </c>
      <c r="Y2557">
        <v>-0.51766239999999997</v>
      </c>
      <c r="Z2557">
        <v>3.874507E-2</v>
      </c>
      <c r="AA2557">
        <v>0.8547072</v>
      </c>
      <c r="AB2557">
        <v>25</v>
      </c>
      <c r="AC2557">
        <v>0.59179999999997701</v>
      </c>
      <c r="AD2557">
        <v>-5.6919999999999998E-2</v>
      </c>
      <c r="AE2557">
        <v>-0.55419999999998004</v>
      </c>
      <c r="AF2557">
        <v>-0.52310433008330104</v>
      </c>
      <c r="AG2557">
        <v>-5.6919999999999998E-2</v>
      </c>
      <c r="AH2557">
        <v>0.61424307766181896</v>
      </c>
      <c r="AI2557">
        <v>94.035529174035005</v>
      </c>
      <c r="AJ2557">
        <v>130.41852257111199</v>
      </c>
      <c r="AK2557">
        <v>0.80880936258636504</v>
      </c>
      <c r="AL2557">
        <v>90.203409604458898</v>
      </c>
      <c r="AM2557">
        <v>109.782870923884</v>
      </c>
      <c r="AN2557">
        <v>1.00000003648874</v>
      </c>
    </row>
    <row r="2558" spans="1:40" x14ac:dyDescent="0.25">
      <c r="A2558" t="str">
        <f>"20190305135840766"</f>
        <v>20190305135840766</v>
      </c>
      <c r="B2558" t="str">
        <f>"1551765520761595"</f>
        <v>1551765520761595</v>
      </c>
      <c r="C2558" t="s">
        <v>40</v>
      </c>
      <c r="D2558">
        <v>4.5917180000000002</v>
      </c>
      <c r="E2558">
        <v>0.44794709999999899</v>
      </c>
      <c r="F2558" t="s">
        <v>41</v>
      </c>
      <c r="G2558">
        <v>-490.83859999999999</v>
      </c>
      <c r="H2558">
        <v>1.057056</v>
      </c>
      <c r="I2558">
        <v>231.0694</v>
      </c>
      <c r="J2558">
        <v>-491.41969999999998</v>
      </c>
      <c r="K2558">
        <v>1.114433</v>
      </c>
      <c r="L2558">
        <v>231.62989999999999</v>
      </c>
      <c r="M2558">
        <v>0.1175673</v>
      </c>
      <c r="N2558">
        <v>-1.8820569999999998E-2</v>
      </c>
      <c r="O2558">
        <v>-0.99288659999999995</v>
      </c>
      <c r="P2558">
        <v>0.4501404</v>
      </c>
      <c r="Q2558">
        <v>-2.0397809999999999E-2</v>
      </c>
      <c r="R2558">
        <v>-0.89272459999999898</v>
      </c>
      <c r="S2558">
        <v>1.894501</v>
      </c>
      <c r="T2558">
        <v>-0.1772437</v>
      </c>
      <c r="U2558">
        <v>-2.4077609999999998</v>
      </c>
      <c r="V2558">
        <v>-0.3420011</v>
      </c>
      <c r="W2558">
        <v>-6.0506780000000003E-3</v>
      </c>
      <c r="X2558">
        <v>0.93967999999999996</v>
      </c>
      <c r="Y2558">
        <v>-0.52081049999999995</v>
      </c>
      <c r="Z2558">
        <v>4.1221569999999999E-2</v>
      </c>
      <c r="AA2558">
        <v>0.85267649999999995</v>
      </c>
      <c r="AB2558">
        <v>25</v>
      </c>
      <c r="AC2558">
        <v>0.58109999999999196</v>
      </c>
      <c r="AD2558">
        <v>-5.7376999999999997E-2</v>
      </c>
      <c r="AE2558">
        <v>-0.56049999999999001</v>
      </c>
      <c r="AF2558">
        <v>-0.50859179353815798</v>
      </c>
      <c r="AG2558">
        <v>-5.7376999999999997E-2</v>
      </c>
      <c r="AH2558">
        <v>0.621801539305467</v>
      </c>
      <c r="AI2558">
        <v>94.085467796434202</v>
      </c>
      <c r="AJ2558">
        <v>129.28085488420399</v>
      </c>
      <c r="AK2558">
        <v>0.80535388921020901</v>
      </c>
      <c r="AL2558">
        <v>90.346680451297303</v>
      </c>
      <c r="AM2558">
        <v>109.99922200587299</v>
      </c>
      <c r="AN2558">
        <v>0.99999993275273202</v>
      </c>
    </row>
    <row r="2559" spans="1:40" x14ac:dyDescent="0.25">
      <c r="A2559" t="str">
        <f>"20190305135840787"</f>
        <v>20190305135840787</v>
      </c>
      <c r="B2559" t="str">
        <f>"1551765520781115"</f>
        <v>1551765520781115</v>
      </c>
      <c r="C2559" t="s">
        <v>40</v>
      </c>
      <c r="D2559">
        <v>4.2945409999999997</v>
      </c>
      <c r="E2559">
        <v>0.51075700000000002</v>
      </c>
      <c r="F2559" t="s">
        <v>41</v>
      </c>
      <c r="G2559">
        <v>-490.87169999999998</v>
      </c>
      <c r="H2559">
        <v>1.0286900000000001</v>
      </c>
      <c r="I2559">
        <v>230.82990000000001</v>
      </c>
      <c r="J2559">
        <v>-491.38389999999998</v>
      </c>
      <c r="K2559">
        <v>1.1146739999999999</v>
      </c>
      <c r="L2559">
        <v>231.387</v>
      </c>
      <c r="M2559">
        <v>0.123671</v>
      </c>
      <c r="N2559">
        <v>-1.8996510000000001E-2</v>
      </c>
      <c r="O2559">
        <v>-0.99214139999999995</v>
      </c>
      <c r="P2559">
        <v>0.4572098</v>
      </c>
      <c r="Q2559">
        <v>-2.3301869999999999E-2</v>
      </c>
      <c r="R2559">
        <v>-0.88905369999999995</v>
      </c>
      <c r="S2559">
        <v>1.708313</v>
      </c>
      <c r="T2559">
        <v>-0.26719209999999999</v>
      </c>
      <c r="U2559">
        <v>-2.4930110000000001</v>
      </c>
      <c r="V2559">
        <v>-0.34365390000000001</v>
      </c>
      <c r="W2559">
        <v>-9.0134440000000007E-3</v>
      </c>
      <c r="X2559">
        <v>0.93905309999999997</v>
      </c>
      <c r="Y2559">
        <v>-0.4570128</v>
      </c>
      <c r="Z2559">
        <v>7.1813160000000001E-2</v>
      </c>
      <c r="AA2559">
        <v>0.88655629999999996</v>
      </c>
      <c r="AB2559">
        <v>25</v>
      </c>
      <c r="AC2559">
        <v>0.51220000000000698</v>
      </c>
      <c r="AD2559">
        <v>-8.5984000000000005E-2</v>
      </c>
      <c r="AE2559">
        <v>-0.55709999999999105</v>
      </c>
      <c r="AF2559">
        <v>-0.43375752054511901</v>
      </c>
      <c r="AG2559">
        <v>-8.5984000000000005E-2</v>
      </c>
      <c r="AH2559">
        <v>0.60832445355277498</v>
      </c>
      <c r="AI2559">
        <v>96.565038323669697</v>
      </c>
      <c r="AJ2559">
        <v>125.490254555037</v>
      </c>
      <c r="AK2559">
        <v>0.75206214881200595</v>
      </c>
      <c r="AL2559">
        <v>90.516439300817694</v>
      </c>
      <c r="AM2559">
        <v>110.10049853102601</v>
      </c>
      <c r="AN2559">
        <v>0.99999998488877995</v>
      </c>
    </row>
    <row r="2560" spans="1:40" x14ac:dyDescent="0.25">
      <c r="A2560" t="str">
        <f>"20190305135840810"</f>
        <v>20190305135840810</v>
      </c>
      <c r="B2560" t="str">
        <f>"1551765520801611"</f>
        <v>1551765520801611</v>
      </c>
      <c r="C2560" t="s">
        <v>40</v>
      </c>
      <c r="D2560">
        <v>4.2915359999999998</v>
      </c>
      <c r="E2560">
        <v>0.52295270000000005</v>
      </c>
      <c r="F2560" t="s">
        <v>58</v>
      </c>
      <c r="G2560">
        <v>-486.58159999999998</v>
      </c>
      <c r="H2560" s="1">
        <v>3.2937509999999998E-6</v>
      </c>
      <c r="I2560">
        <v>221.23400000000001</v>
      </c>
      <c r="J2560">
        <v>-491.3467</v>
      </c>
      <c r="K2560">
        <v>1.1149530000000001</v>
      </c>
      <c r="L2560">
        <v>231.148</v>
      </c>
      <c r="M2560">
        <v>0.13014110000000001</v>
      </c>
      <c r="N2560">
        <v>-1.915679E-2</v>
      </c>
      <c r="O2560">
        <v>-0.99131049999999998</v>
      </c>
      <c r="P2560">
        <v>0.46400449999999999</v>
      </c>
      <c r="Q2560">
        <v>-2.50166E-2</v>
      </c>
      <c r="R2560">
        <v>-0.88547969999999898</v>
      </c>
      <c r="S2560">
        <v>1.280823</v>
      </c>
      <c r="T2560">
        <v>-0.297294</v>
      </c>
      <c r="U2560">
        <v>-2.707916</v>
      </c>
      <c r="V2560">
        <v>-0.34470020000000001</v>
      </c>
      <c r="W2560">
        <v>-1.082236E-2</v>
      </c>
      <c r="X2560">
        <v>0.9386504</v>
      </c>
      <c r="Y2560">
        <v>-0.3045233</v>
      </c>
      <c r="Z2560">
        <v>8.1404299999999999E-2</v>
      </c>
      <c r="AA2560">
        <v>0.94901999999999997</v>
      </c>
      <c r="AB2560">
        <v>25</v>
      </c>
      <c r="AC2560">
        <v>4.7651000000000101</v>
      </c>
      <c r="AD2560">
        <v>-1.1149497062489999</v>
      </c>
      <c r="AE2560">
        <v>-9.9139999999999802</v>
      </c>
      <c r="AF2560">
        <v>-3.39918076600134</v>
      </c>
      <c r="AG2560">
        <v>-1.1149497062489999</v>
      </c>
      <c r="AH2560">
        <v>10.343631673459999</v>
      </c>
      <c r="AI2560">
        <v>95.846888512548801</v>
      </c>
      <c r="AJ2560">
        <v>108.191840022764</v>
      </c>
      <c r="AK2560">
        <v>10.944782269356599</v>
      </c>
      <c r="AL2560">
        <v>90.620087680566797</v>
      </c>
      <c r="AM2560">
        <v>110.164728942794</v>
      </c>
      <c r="AN2560">
        <v>0.99999996238808397</v>
      </c>
    </row>
    <row r="2561" spans="1:40" x14ac:dyDescent="0.25">
      <c r="A2561" t="str">
        <f>"20190305135840832"</f>
        <v>20190305135840832</v>
      </c>
      <c r="B2561" t="str">
        <f>"1551765520821134"</f>
        <v>1551765520821134</v>
      </c>
      <c r="C2561" t="s">
        <v>40</v>
      </c>
      <c r="D2561">
        <v>4.278111</v>
      </c>
      <c r="E2561">
        <v>0.52637080000000003</v>
      </c>
      <c r="F2561" t="s">
        <v>58</v>
      </c>
      <c r="G2561">
        <v>-486.76150000000001</v>
      </c>
      <c r="H2561" s="1">
        <v>3.230722E-6</v>
      </c>
      <c r="I2561">
        <v>220.80449999999999</v>
      </c>
      <c r="J2561">
        <v>-491.30610000000001</v>
      </c>
      <c r="K2561">
        <v>1.1152770000000001</v>
      </c>
      <c r="L2561">
        <v>230.9015</v>
      </c>
      <c r="M2561">
        <v>0.1373183</v>
      </c>
      <c r="N2561">
        <v>-1.930022E-2</v>
      </c>
      <c r="O2561">
        <v>-0.99033910000000003</v>
      </c>
      <c r="P2561">
        <v>0.47158470000000002</v>
      </c>
      <c r="Q2561">
        <v>-2.403516E-2</v>
      </c>
      <c r="R2561">
        <v>-0.88149369999999905</v>
      </c>
      <c r="S2561">
        <v>1.215759</v>
      </c>
      <c r="T2561">
        <v>-0.29562680000000002</v>
      </c>
      <c r="U2561">
        <v>-2.7425540000000002</v>
      </c>
      <c r="V2561">
        <v>-0.3459544</v>
      </c>
      <c r="W2561">
        <v>-9.9885789999999992E-3</v>
      </c>
      <c r="X2561">
        <v>0.93819810000000003</v>
      </c>
      <c r="Y2561">
        <v>-0.2742484</v>
      </c>
      <c r="Z2561">
        <v>8.0358879999999994E-2</v>
      </c>
      <c r="AA2561">
        <v>0.95829549999999997</v>
      </c>
      <c r="AB2561">
        <v>25</v>
      </c>
      <c r="AC2561">
        <v>4.5446</v>
      </c>
      <c r="AD2561">
        <v>-1.1152737692779999</v>
      </c>
      <c r="AE2561">
        <v>-10.097</v>
      </c>
      <c r="AF2561">
        <v>-3.0834890801115602</v>
      </c>
      <c r="AG2561">
        <v>-1.1152737692779999</v>
      </c>
      <c r="AH2561">
        <v>10.518772431733201</v>
      </c>
      <c r="AI2561">
        <v>95.809594332323996</v>
      </c>
      <c r="AJ2561">
        <v>106.338052351935</v>
      </c>
      <c r="AK2561">
        <v>11.0179995443001</v>
      </c>
      <c r="AL2561">
        <v>90.572312967571193</v>
      </c>
      <c r="AM2561">
        <v>110.241121883606</v>
      </c>
      <c r="AN2561">
        <v>0.999999946716703</v>
      </c>
    </row>
    <row r="2562" spans="1:40" x14ac:dyDescent="0.25">
      <c r="A2562" t="str">
        <f>"20190305135840855"</f>
        <v>20190305135840855</v>
      </c>
      <c r="B2562" t="str">
        <f>"1551765520850917"</f>
        <v>1551765520850917</v>
      </c>
      <c r="C2562" t="s">
        <v>40</v>
      </c>
      <c r="D2562">
        <v>4.269768</v>
      </c>
      <c r="E2562">
        <v>0.52766979999999997</v>
      </c>
      <c r="F2562" t="s">
        <v>58</v>
      </c>
      <c r="G2562">
        <v>-486.60340000000002</v>
      </c>
      <c r="H2562" s="1">
        <v>3.086815E-6</v>
      </c>
      <c r="I2562">
        <v>220.28049999999999</v>
      </c>
      <c r="J2562">
        <v>-491.26479999999998</v>
      </c>
      <c r="K2562">
        <v>1.1156079999999999</v>
      </c>
      <c r="L2562">
        <v>230.66480000000001</v>
      </c>
      <c r="M2562">
        <v>0.14471970000000001</v>
      </c>
      <c r="N2562">
        <v>-1.9402740000000002E-2</v>
      </c>
      <c r="O2562">
        <v>-0.98928249999999995</v>
      </c>
      <c r="P2562">
        <v>0.47926980000000002</v>
      </c>
      <c r="Q2562">
        <v>-2.168776E-2</v>
      </c>
      <c r="R2562">
        <v>-0.87739999999999996</v>
      </c>
      <c r="S2562">
        <v>1.2154849999999999</v>
      </c>
      <c r="T2562">
        <v>-0.28825770000000001</v>
      </c>
      <c r="U2562">
        <v>-2.7451479999999999</v>
      </c>
      <c r="V2562">
        <v>-0.34715079999999998</v>
      </c>
      <c r="W2562">
        <v>-7.8283680000000005E-3</v>
      </c>
      <c r="X2562">
        <v>0.93777670000000002</v>
      </c>
      <c r="Y2562">
        <v>-0.26673289999999999</v>
      </c>
      <c r="Z2562">
        <v>7.7709890000000004E-2</v>
      </c>
      <c r="AA2562">
        <v>0.96063240000000005</v>
      </c>
      <c r="AB2562">
        <v>25</v>
      </c>
      <c r="AC2562">
        <v>4.6613999999999498</v>
      </c>
      <c r="AD2562">
        <v>-1.1156049131850001</v>
      </c>
      <c r="AE2562">
        <v>-10.3843</v>
      </c>
      <c r="AF2562">
        <v>-3.07963088715668</v>
      </c>
      <c r="AG2562">
        <v>-1.1156049131850001</v>
      </c>
      <c r="AH2562">
        <v>10.8454817129031</v>
      </c>
      <c r="AI2562">
        <v>95.651114507431998</v>
      </c>
      <c r="AJ2562">
        <v>105.85217092936099</v>
      </c>
      <c r="AK2562">
        <v>11.3293059941184</v>
      </c>
      <c r="AL2562">
        <v>90.448537005757501</v>
      </c>
      <c r="AM2562">
        <v>110.31379286363401</v>
      </c>
      <c r="AN2562">
        <v>1.0000000501745301</v>
      </c>
    </row>
    <row r="2563" spans="1:40" x14ac:dyDescent="0.25">
      <c r="A2563" t="str">
        <f>"20190305135840876"</f>
        <v>20190305135840876</v>
      </c>
      <c r="B2563" t="str">
        <f>"1551765520871412"</f>
        <v>1551765520871412</v>
      </c>
      <c r="C2563" t="s">
        <v>40</v>
      </c>
      <c r="D2563">
        <v>4.2262490000000001</v>
      </c>
      <c r="E2563">
        <v>0.52789399999999997</v>
      </c>
      <c r="F2563" t="s">
        <v>58</v>
      </c>
      <c r="G2563">
        <v>-486.77359999999999</v>
      </c>
      <c r="H2563" s="1">
        <v>3.1980600000000001E-6</v>
      </c>
      <c r="I2563">
        <v>220.64709999999999</v>
      </c>
      <c r="J2563">
        <v>-491.2244</v>
      </c>
      <c r="K2563">
        <v>1.1158939999999999</v>
      </c>
      <c r="L2563">
        <v>230.44550000000001</v>
      </c>
      <c r="M2563">
        <v>0.1520436</v>
      </c>
      <c r="N2563">
        <v>-1.9461450000000002E-2</v>
      </c>
      <c r="O2563">
        <v>-0.98818240000000002</v>
      </c>
      <c r="P2563">
        <v>0.48738550000000003</v>
      </c>
      <c r="Q2563">
        <v>-1.9710769999999999E-2</v>
      </c>
      <c r="R2563">
        <v>-0.87296439999999997</v>
      </c>
      <c r="S2563">
        <v>1.2286680000000001</v>
      </c>
      <c r="T2563">
        <v>-0.3051933</v>
      </c>
      <c r="U2563">
        <v>-2.7405089999999999</v>
      </c>
      <c r="V2563">
        <v>-0.34891359999999999</v>
      </c>
      <c r="W2563">
        <v>-6.0698899999999997E-3</v>
      </c>
      <c r="X2563">
        <v>0.9371353</v>
      </c>
      <c r="Y2563">
        <v>-0.26385579999999997</v>
      </c>
      <c r="Z2563">
        <v>8.3239090000000002E-2</v>
      </c>
      <c r="AA2563">
        <v>0.96096380000000003</v>
      </c>
      <c r="AB2563">
        <v>25</v>
      </c>
      <c r="AC2563">
        <v>4.4508000000000099</v>
      </c>
      <c r="AD2563">
        <v>-1.11589080194</v>
      </c>
      <c r="AE2563">
        <v>-9.7984000000000098</v>
      </c>
      <c r="AF2563">
        <v>-2.8780255828511199</v>
      </c>
      <c r="AG2563">
        <v>-1.11589080194</v>
      </c>
      <c r="AH2563">
        <v>10.251068369482301</v>
      </c>
      <c r="AI2563">
        <v>95.982980848051795</v>
      </c>
      <c r="AJ2563">
        <v>105.6822840513</v>
      </c>
      <c r="AK2563">
        <v>10.7057295992941</v>
      </c>
      <c r="AL2563">
        <v>90.347781194832095</v>
      </c>
      <c r="AM2563">
        <v>110.42127219586899</v>
      </c>
      <c r="AN2563">
        <v>1.00000005716782</v>
      </c>
    </row>
    <row r="2564" spans="1:40" x14ac:dyDescent="0.25">
      <c r="A2564" t="str">
        <f>"20190305135840902"</f>
        <v>20190305135840902</v>
      </c>
      <c r="B2564" t="str">
        <f>"1551765520891909"</f>
        <v>1551765520891909</v>
      </c>
      <c r="C2564" t="s">
        <v>40</v>
      </c>
      <c r="D2564">
        <v>4.248456</v>
      </c>
      <c r="E2564">
        <v>0.52853969999999995</v>
      </c>
      <c r="F2564" t="s">
        <v>58</v>
      </c>
      <c r="G2564">
        <v>-486.69330000000002</v>
      </c>
      <c r="H2564" s="1">
        <v>3.164539E-6</v>
      </c>
      <c r="I2564">
        <v>220.5599</v>
      </c>
      <c r="J2564">
        <v>-491.17070000000001</v>
      </c>
      <c r="K2564">
        <v>1.1162099999999999</v>
      </c>
      <c r="L2564">
        <v>230.17230000000001</v>
      </c>
      <c r="M2564">
        <v>0.16180649999999999</v>
      </c>
      <c r="N2564">
        <v>-1.9495889999999998E-2</v>
      </c>
      <c r="O2564">
        <v>-0.98663009999999995</v>
      </c>
      <c r="P2564">
        <v>0.49802049999999998</v>
      </c>
      <c r="Q2564">
        <v>-1.8623689999999998E-2</v>
      </c>
      <c r="R2564">
        <v>-0.86696530000000005</v>
      </c>
      <c r="S2564">
        <v>1.2516480000000001</v>
      </c>
      <c r="T2564">
        <v>-0.3082511</v>
      </c>
      <c r="U2564">
        <v>-2.7307890000000001</v>
      </c>
      <c r="V2564">
        <v>-0.35110829999999998</v>
      </c>
      <c r="W2564">
        <v>-5.2749509999999999E-3</v>
      </c>
      <c r="X2564">
        <v>0.93632000000000004</v>
      </c>
      <c r="Y2564">
        <v>-0.26226569999999999</v>
      </c>
      <c r="Z2564">
        <v>8.4213070000000001E-2</v>
      </c>
      <c r="AA2564">
        <v>0.96131409999999995</v>
      </c>
      <c r="AB2564">
        <v>25</v>
      </c>
      <c r="AC2564">
        <v>4.4773999999999798</v>
      </c>
      <c r="AD2564">
        <v>-1.116206835461</v>
      </c>
      <c r="AE2564">
        <v>-9.6123999999999992</v>
      </c>
      <c r="AF2564">
        <v>-2.8313602954977899</v>
      </c>
      <c r="AG2564">
        <v>-1.116206835461</v>
      </c>
      <c r="AH2564">
        <v>10.098401833415201</v>
      </c>
      <c r="AI2564">
        <v>96.075057674485194</v>
      </c>
      <c r="AJ2564">
        <v>105.662278242811</v>
      </c>
      <c r="AK2564">
        <v>10.5470488010426</v>
      </c>
      <c r="AL2564">
        <v>90.302233830182104</v>
      </c>
      <c r="AM2564">
        <v>110.555417532644</v>
      </c>
      <c r="AN2564">
        <v>1.0000000029184699</v>
      </c>
    </row>
    <row r="2565" spans="1:40" x14ac:dyDescent="0.25">
      <c r="A2565" t="str">
        <f>"20190305135840924"</f>
        <v>20190305135840924</v>
      </c>
      <c r="B2565" t="str">
        <f>"1551765520911428"</f>
        <v>1551765520911428</v>
      </c>
      <c r="C2565" t="s">
        <v>40</v>
      </c>
      <c r="D2565">
        <v>4.3574460000000004</v>
      </c>
      <c r="E2565">
        <v>0.52935519999999903</v>
      </c>
      <c r="F2565" t="s">
        <v>58</v>
      </c>
      <c r="G2565">
        <v>-486.58229999999998</v>
      </c>
      <c r="H2565" s="1">
        <v>3.1150869999999999E-6</v>
      </c>
      <c r="I2565">
        <v>220.42529999999999</v>
      </c>
      <c r="J2565">
        <v>-491.12349999999998</v>
      </c>
      <c r="K2565">
        <v>1.116439</v>
      </c>
      <c r="L2565">
        <v>229.946</v>
      </c>
      <c r="M2565">
        <v>0.1703896</v>
      </c>
      <c r="N2565">
        <v>-1.950783E-2</v>
      </c>
      <c r="O2565">
        <v>-0.98518380000000005</v>
      </c>
      <c r="P2565">
        <v>0.50913790000000003</v>
      </c>
      <c r="Q2565">
        <v>-1.8425199999999999E-2</v>
      </c>
      <c r="R2565">
        <v>-0.86048809999999998</v>
      </c>
      <c r="S2565">
        <v>1.279785</v>
      </c>
      <c r="T2565">
        <v>-0.31132690000000002</v>
      </c>
      <c r="U2565">
        <v>-2.7185820000000001</v>
      </c>
      <c r="V2565">
        <v>-0.35500369999999998</v>
      </c>
      <c r="W2565">
        <v>-5.3574190000000004E-3</v>
      </c>
      <c r="X2565">
        <v>0.93484959999999995</v>
      </c>
      <c r="Y2565">
        <v>-0.26363629999999999</v>
      </c>
      <c r="Z2565">
        <v>8.5228600000000002E-2</v>
      </c>
      <c r="AA2565">
        <v>0.96084959999999997</v>
      </c>
      <c r="AB2565">
        <v>24</v>
      </c>
      <c r="AC2565">
        <v>4.5411999999999999</v>
      </c>
      <c r="AD2565">
        <v>-1.1164358849130001</v>
      </c>
      <c r="AE2565">
        <v>-9.5206999999999997</v>
      </c>
      <c r="AF2565">
        <v>-2.82063339580391</v>
      </c>
      <c r="AG2565">
        <v>-1.1164358849130001</v>
      </c>
      <c r="AH2565">
        <v>10.0428415463146</v>
      </c>
      <c r="AI2565">
        <v>96.1088956381316</v>
      </c>
      <c r="AJ2565">
        <v>105.68793321631399</v>
      </c>
      <c r="AK2565">
        <v>10.4909993881912</v>
      </c>
      <c r="AL2565">
        <v>90.306958950284994</v>
      </c>
      <c r="AM2565">
        <v>110.793982264905</v>
      </c>
      <c r="AN2565">
        <v>1.0000000517860901</v>
      </c>
    </row>
    <row r="2566" spans="1:40" x14ac:dyDescent="0.25">
      <c r="A2566" t="str">
        <f>"20190305135840955"</f>
        <v>20190305135840955</v>
      </c>
      <c r="B2566" t="str">
        <f>"1551765520950976"</f>
        <v>1551765520950976</v>
      </c>
      <c r="C2566" t="s">
        <v>40</v>
      </c>
      <c r="D2566">
        <v>4.1909549999999998</v>
      </c>
      <c r="E2566">
        <v>0.53022469999999999</v>
      </c>
      <c r="F2566" t="s">
        <v>58</v>
      </c>
      <c r="G2566">
        <v>-486.50459999999998</v>
      </c>
      <c r="H2566" s="1">
        <v>3.0927660000000002E-6</v>
      </c>
      <c r="I2566">
        <v>220.38669999999999</v>
      </c>
      <c r="J2566">
        <v>-491.05149999999998</v>
      </c>
      <c r="K2566">
        <v>1.1167</v>
      </c>
      <c r="L2566">
        <v>229.62090000000001</v>
      </c>
      <c r="M2566">
        <v>0.183365</v>
      </c>
      <c r="N2566">
        <v>-1.951454E-2</v>
      </c>
      <c r="O2566">
        <v>-0.98285109999999998</v>
      </c>
      <c r="P2566">
        <v>0.52525129999999998</v>
      </c>
      <c r="Q2566">
        <v>-1.8869259999999999E-2</v>
      </c>
      <c r="R2566">
        <v>-0.85073790000000005</v>
      </c>
      <c r="S2566">
        <v>1.3074950000000001</v>
      </c>
      <c r="T2566">
        <v>-0.316032599999999</v>
      </c>
      <c r="U2566">
        <v>-2.705994</v>
      </c>
      <c r="V2566">
        <v>-0.3602649</v>
      </c>
      <c r="W2566">
        <v>-6.1554950000000004E-3</v>
      </c>
      <c r="X2566">
        <v>0.93282969999999998</v>
      </c>
      <c r="Y2566">
        <v>-0.26059110000000002</v>
      </c>
      <c r="Z2566">
        <v>8.6741589999999993E-2</v>
      </c>
      <c r="AA2566">
        <v>0.96154470000000003</v>
      </c>
      <c r="AB2566">
        <v>24</v>
      </c>
      <c r="AC2566">
        <v>4.5468999999999902</v>
      </c>
      <c r="AD2566">
        <v>-1.1166969072340001</v>
      </c>
      <c r="AE2566">
        <v>-9.2342000000000102</v>
      </c>
      <c r="AF2566">
        <v>-2.7439283618719501</v>
      </c>
      <c r="AG2566">
        <v>-1.1166969072340001</v>
      </c>
      <c r="AH2566">
        <v>9.7961693986013092</v>
      </c>
      <c r="AI2566">
        <v>96.264190392457195</v>
      </c>
      <c r="AJ2566">
        <v>105.64767494373901</v>
      </c>
      <c r="AK2566">
        <v>10.234309440494901</v>
      </c>
      <c r="AL2566">
        <v>90.352686122580394</v>
      </c>
      <c r="AM2566">
        <v>111.11688523843399</v>
      </c>
      <c r="AN2566">
        <v>0.99999996874639696</v>
      </c>
    </row>
    <row r="2567" spans="1:40" x14ac:dyDescent="0.25">
      <c r="A2567" t="str">
        <f>"20190305135840977"</f>
        <v>20190305135840977</v>
      </c>
      <c r="B2567" t="str">
        <f>"1551765520971471"</f>
        <v>1551765520971471</v>
      </c>
      <c r="C2567" t="s">
        <v>40</v>
      </c>
      <c r="D2567">
        <v>4.1530559999999896</v>
      </c>
      <c r="E2567">
        <v>0.53083049999999998</v>
      </c>
      <c r="F2567" t="s">
        <v>58</v>
      </c>
      <c r="G2567">
        <v>-486.36329999999998</v>
      </c>
      <c r="H2567" s="1">
        <v>3.0502399999999999E-6</v>
      </c>
      <c r="I2567">
        <v>220.30770000000001</v>
      </c>
      <c r="J2567">
        <v>-490.99970000000002</v>
      </c>
      <c r="K2567">
        <v>1.1168610000000001</v>
      </c>
      <c r="L2567">
        <v>229.4007</v>
      </c>
      <c r="M2567">
        <v>0.1925772</v>
      </c>
      <c r="N2567">
        <v>-1.95135E-2</v>
      </c>
      <c r="O2567">
        <v>-0.98108799999999996</v>
      </c>
      <c r="P2567">
        <v>0.53523929999999997</v>
      </c>
      <c r="Q2567">
        <v>-1.8850800000000001E-2</v>
      </c>
      <c r="R2567">
        <v>-0.84449030000000003</v>
      </c>
      <c r="S2567">
        <v>1.351532</v>
      </c>
      <c r="T2567">
        <v>-0.32192369999999998</v>
      </c>
      <c r="U2567">
        <v>-2.6848299999999998</v>
      </c>
      <c r="V2567">
        <v>-0.36250179999999999</v>
      </c>
      <c r="W2567">
        <v>-6.3307320000000004E-3</v>
      </c>
      <c r="X2567">
        <v>0.93196159999999995</v>
      </c>
      <c r="Y2567">
        <v>-0.26706849999999999</v>
      </c>
      <c r="Z2567">
        <v>8.8755810000000004E-2</v>
      </c>
      <c r="AA2567">
        <v>0.95958160000000003</v>
      </c>
      <c r="AB2567">
        <v>24</v>
      </c>
      <c r="AC2567">
        <v>4.6364000000000303</v>
      </c>
      <c r="AD2567">
        <v>-1.11685794976</v>
      </c>
      <c r="AE2567">
        <v>-9.0929999999999893</v>
      </c>
      <c r="AF2567">
        <v>-2.7650373155897898</v>
      </c>
      <c r="AG2567">
        <v>-1.11685794976</v>
      </c>
      <c r="AH2567">
        <v>9.6996278389850801</v>
      </c>
      <c r="AI2567">
        <v>96.318793324822394</v>
      </c>
      <c r="AJ2567">
        <v>105.911066826232</v>
      </c>
      <c r="AK2567">
        <v>10.147688566927901</v>
      </c>
      <c r="AL2567">
        <v>90.362726637413004</v>
      </c>
      <c r="AM2567">
        <v>111.25436580629101</v>
      </c>
      <c r="AN2567">
        <v>1.00000002852272</v>
      </c>
    </row>
    <row r="2568" spans="1:40" x14ac:dyDescent="0.25">
      <c r="A2568" t="str">
        <f>"20190305135841002"</f>
        <v>20190305135841002</v>
      </c>
      <c r="B2568" t="str">
        <f>"1551765520990993"</f>
        <v>1551765520990993</v>
      </c>
      <c r="C2568" t="s">
        <v>40</v>
      </c>
      <c r="D2568">
        <v>4.1492420000000001</v>
      </c>
      <c r="E2568">
        <v>0.53141899999999997</v>
      </c>
      <c r="F2568" t="s">
        <v>58</v>
      </c>
      <c r="G2568">
        <v>-486.25959999999998</v>
      </c>
      <c r="H2568" s="1">
        <v>3.0113380000000001E-6</v>
      </c>
      <c r="I2568">
        <v>220.215</v>
      </c>
      <c r="J2568">
        <v>-490.93639999999999</v>
      </c>
      <c r="K2568">
        <v>1.1170500000000001</v>
      </c>
      <c r="L2568">
        <v>229.1463</v>
      </c>
      <c r="M2568">
        <v>0.2036724</v>
      </c>
      <c r="N2568">
        <v>-1.9532790000000001E-2</v>
      </c>
      <c r="O2568">
        <v>-0.9788443</v>
      </c>
      <c r="P2568">
        <v>0.5457303</v>
      </c>
      <c r="Q2568">
        <v>-1.8091079999999999E-2</v>
      </c>
      <c r="R2568">
        <v>-0.8377658</v>
      </c>
      <c r="S2568">
        <v>1.3785400000000001</v>
      </c>
      <c r="T2568">
        <v>-0.32480940000000003</v>
      </c>
      <c r="U2568">
        <v>-2.6714479999999998</v>
      </c>
      <c r="V2568">
        <v>-0.36357909999999999</v>
      </c>
      <c r="W2568">
        <v>-5.7403159999999996E-3</v>
      </c>
      <c r="X2568">
        <v>0.93154559999999997</v>
      </c>
      <c r="Y2568">
        <v>-0.26574320000000001</v>
      </c>
      <c r="Z2568">
        <v>8.9655620000000005E-2</v>
      </c>
      <c r="AA2568">
        <v>0.95986579999999999</v>
      </c>
      <c r="AB2568">
        <v>24</v>
      </c>
      <c r="AC2568">
        <v>4.6768000000000098</v>
      </c>
      <c r="AD2568">
        <v>-1.117046988662</v>
      </c>
      <c r="AE2568">
        <v>-8.9312999999999896</v>
      </c>
      <c r="AF2568">
        <v>-2.7258618213692598</v>
      </c>
      <c r="AG2568">
        <v>-1.117046988662</v>
      </c>
      <c r="AH2568">
        <v>9.57913786332713</v>
      </c>
      <c r="AI2568">
        <v>96.399534994984705</v>
      </c>
      <c r="AJ2568">
        <v>105.884356622639</v>
      </c>
      <c r="AK2568">
        <v>10.021876014434801</v>
      </c>
      <c r="AL2568">
        <v>90.328897699626395</v>
      </c>
      <c r="AM2568">
        <v>111.32053357486799</v>
      </c>
      <c r="AN2568">
        <v>0.99999995903197403</v>
      </c>
    </row>
    <row r="2569" spans="1:40" x14ac:dyDescent="0.25">
      <c r="A2569" t="str">
        <f>"20190305135841024"</f>
        <v>20190305135841024</v>
      </c>
      <c r="B2569" t="str">
        <f>"1551765521011487"</f>
        <v>1551765521011487</v>
      </c>
      <c r="C2569" t="s">
        <v>40</v>
      </c>
      <c r="D2569">
        <v>4.1093679999999999</v>
      </c>
      <c r="E2569">
        <v>0.5321053</v>
      </c>
      <c r="F2569" t="s">
        <v>58</v>
      </c>
      <c r="G2569">
        <v>-486.12689999999998</v>
      </c>
      <c r="H2569" s="1">
        <v>2.957413E-6</v>
      </c>
      <c r="I2569">
        <v>220.07749999999999</v>
      </c>
      <c r="J2569">
        <v>-490.87819999999999</v>
      </c>
      <c r="K2569">
        <v>1.1172169999999999</v>
      </c>
      <c r="L2569">
        <v>228.92420000000001</v>
      </c>
      <c r="M2569">
        <v>0.21372369999999999</v>
      </c>
      <c r="N2569">
        <v>-1.9572180000000002E-2</v>
      </c>
      <c r="O2569">
        <v>-0.97669819999999996</v>
      </c>
      <c r="P2569">
        <v>0.55432769999999898</v>
      </c>
      <c r="Q2569">
        <v>-1.8325609999999999E-2</v>
      </c>
      <c r="R2569">
        <v>-0.83209690000000003</v>
      </c>
      <c r="S2569">
        <v>1.408722</v>
      </c>
      <c r="T2569">
        <v>-0.32718659999999999</v>
      </c>
      <c r="U2569">
        <v>-2.6562649999999999</v>
      </c>
      <c r="V2569">
        <v>-0.36359079999999999</v>
      </c>
      <c r="W2569">
        <v>-6.0828490000000004E-3</v>
      </c>
      <c r="X2569">
        <v>0.93153889999999995</v>
      </c>
      <c r="Y2569">
        <v>-0.2665863</v>
      </c>
      <c r="Z2569">
        <v>9.038003E-2</v>
      </c>
      <c r="AA2569">
        <v>0.95956410000000003</v>
      </c>
      <c r="AB2569">
        <v>24</v>
      </c>
      <c r="AC2569">
        <v>4.7513000000000103</v>
      </c>
      <c r="AD2569">
        <v>-1.1172140425870001</v>
      </c>
      <c r="AE2569">
        <v>-8.8467000000000198</v>
      </c>
      <c r="AF2569">
        <v>-2.7167358895343701</v>
      </c>
      <c r="AG2569">
        <v>-1.1172140425870001</v>
      </c>
      <c r="AH2569">
        <v>9.5397882461936199</v>
      </c>
      <c r="AI2569">
        <v>96.426299924252802</v>
      </c>
      <c r="AJ2569">
        <v>105.89586529817601</v>
      </c>
      <c r="AK2569">
        <v>9.9818024871589</v>
      </c>
      <c r="AL2569">
        <v>90.348523725629306</v>
      </c>
      <c r="AM2569">
        <v>111.32129764448401</v>
      </c>
      <c r="AN2569">
        <v>0.99999999655490301</v>
      </c>
    </row>
    <row r="2570" spans="1:40" x14ac:dyDescent="0.25">
      <c r="A2570" t="str">
        <f>"20190305135841045"</f>
        <v>20190305135841045</v>
      </c>
      <c r="B2570" t="str">
        <f>"1551765521041744"</f>
        <v>1551765521041744</v>
      </c>
      <c r="C2570" t="s">
        <v>40</v>
      </c>
      <c r="D2570">
        <v>4.209352</v>
      </c>
      <c r="E2570">
        <v>0.5295069</v>
      </c>
      <c r="F2570" t="s">
        <v>58</v>
      </c>
      <c r="G2570">
        <v>-486.03680000000003</v>
      </c>
      <c r="H2570" s="1">
        <v>2.920798E-6</v>
      </c>
      <c r="I2570">
        <v>219.98419999999999</v>
      </c>
      <c r="J2570">
        <v>-490.81970000000001</v>
      </c>
      <c r="K2570">
        <v>1.117367</v>
      </c>
      <c r="L2570">
        <v>228.7116</v>
      </c>
      <c r="M2570">
        <v>0.22362799999999999</v>
      </c>
      <c r="N2570">
        <v>-1.9617849999999999E-2</v>
      </c>
      <c r="O2570">
        <v>-0.97447729999999999</v>
      </c>
      <c r="P2570">
        <v>0.56342449999999999</v>
      </c>
      <c r="Q2570">
        <v>-2.0788149999999998E-2</v>
      </c>
      <c r="R2570">
        <v>-0.82590609999999998</v>
      </c>
      <c r="S2570">
        <v>1.4319459999999999</v>
      </c>
      <c r="T2570">
        <v>-0.33044000000000001</v>
      </c>
      <c r="U2570">
        <v>-2.644196</v>
      </c>
      <c r="V2570">
        <v>-0.36432520000000002</v>
      </c>
      <c r="W2570">
        <v>-8.6508060000000005E-3</v>
      </c>
      <c r="X2570">
        <v>0.93123160000000005</v>
      </c>
      <c r="Y2570">
        <v>-0.26511079999999998</v>
      </c>
      <c r="Z2570">
        <v>9.1349769999999997E-2</v>
      </c>
      <c r="AA2570">
        <v>0.95988090000000004</v>
      </c>
      <c r="AB2570">
        <v>24</v>
      </c>
      <c r="AC2570">
        <v>4.7828999999999802</v>
      </c>
      <c r="AD2570">
        <v>-1.1173640792020001</v>
      </c>
      <c r="AE2570">
        <v>-8.72740000000001</v>
      </c>
      <c r="AF2570">
        <v>-2.6759258700269002</v>
      </c>
      <c r="AG2570">
        <v>-1.1173640792020001</v>
      </c>
      <c r="AH2570">
        <v>9.4568753821851903</v>
      </c>
      <c r="AI2570">
        <v>96.486099513762397</v>
      </c>
      <c r="AJ2570">
        <v>105.799438340085</v>
      </c>
      <c r="AK2570">
        <v>9.8914899657003392</v>
      </c>
      <c r="AL2570">
        <v>90.495660860365405</v>
      </c>
      <c r="AM2570">
        <v>111.366899253483</v>
      </c>
      <c r="AN2570">
        <v>0.99999999031902398</v>
      </c>
    </row>
    <row r="2571" spans="1:40" x14ac:dyDescent="0.25">
      <c r="A2571" t="str">
        <f>"20190305135841066"</f>
        <v>20190305135841066</v>
      </c>
      <c r="B2571" t="str">
        <f>"1551765521061772"</f>
        <v>1551765521061772</v>
      </c>
      <c r="C2571" t="s">
        <v>40</v>
      </c>
      <c r="D2571">
        <v>4.1638869999999999</v>
      </c>
      <c r="E2571">
        <v>0.4583045</v>
      </c>
      <c r="F2571" t="s">
        <v>58</v>
      </c>
      <c r="G2571">
        <v>-485.9479</v>
      </c>
      <c r="H2571" s="1">
        <v>2.9272440000000001E-6</v>
      </c>
      <c r="I2571">
        <v>220.0847</v>
      </c>
      <c r="J2571">
        <v>-490.7595</v>
      </c>
      <c r="K2571">
        <v>1.1174999999999999</v>
      </c>
      <c r="L2571">
        <v>228.50190000000001</v>
      </c>
      <c r="M2571">
        <v>0.23368140000000001</v>
      </c>
      <c r="N2571">
        <v>-1.9661979999999999E-2</v>
      </c>
      <c r="O2571">
        <v>-0.97211449999999999</v>
      </c>
      <c r="P2571">
        <v>0.57250199999999996</v>
      </c>
      <c r="Q2571">
        <v>-2.397767E-2</v>
      </c>
      <c r="R2571">
        <v>-0.81955250000000002</v>
      </c>
      <c r="S2571">
        <v>1.477325</v>
      </c>
      <c r="T2571">
        <v>-0.33882640000000003</v>
      </c>
      <c r="U2571">
        <v>-2.6159970000000001</v>
      </c>
      <c r="V2571">
        <v>-0.36494280000000001</v>
      </c>
      <c r="W2571">
        <v>-1.1938229999999999E-2</v>
      </c>
      <c r="X2571">
        <v>0.93095340000000004</v>
      </c>
      <c r="Y2571">
        <v>-0.27203630000000001</v>
      </c>
      <c r="Z2571">
        <v>9.4242300000000001E-2</v>
      </c>
      <c r="AA2571">
        <v>0.95766099999999998</v>
      </c>
      <c r="AB2571">
        <v>23</v>
      </c>
      <c r="AC2571">
        <v>4.8115999999999897</v>
      </c>
      <c r="AD2571">
        <v>-1.1174970727560001</v>
      </c>
      <c r="AE2571">
        <v>-8.4171999999999993</v>
      </c>
      <c r="AF2571">
        <v>-2.6754633451147201</v>
      </c>
      <c r="AG2571">
        <v>-1.1174970727560001</v>
      </c>
      <c r="AH2571">
        <v>9.1866180163116695</v>
      </c>
      <c r="AI2571">
        <v>96.661498197274199</v>
      </c>
      <c r="AJ2571">
        <v>106.237400650282</v>
      </c>
      <c r="AK2571">
        <v>9.6333200090255993</v>
      </c>
      <c r="AL2571">
        <v>90.684026442032902</v>
      </c>
      <c r="AM2571">
        <v>111.405663142392</v>
      </c>
      <c r="AN2571">
        <v>1.0000000007894601</v>
      </c>
    </row>
    <row r="2572" spans="1:40" x14ac:dyDescent="0.25">
      <c r="A2572" t="str">
        <f>"20190305135841090"</f>
        <v>20190305135841090</v>
      </c>
      <c r="B2572" t="str">
        <f>"1551765521081290"</f>
        <v>1551765521081290</v>
      </c>
      <c r="C2572" t="s">
        <v>40</v>
      </c>
      <c r="D2572">
        <v>4.054182</v>
      </c>
      <c r="E2572">
        <v>0.4615996</v>
      </c>
      <c r="F2572" t="s">
        <v>41</v>
      </c>
      <c r="G2572">
        <v>-490.13560000000001</v>
      </c>
      <c r="H2572">
        <v>1.02277</v>
      </c>
      <c r="I2572">
        <v>227.7843</v>
      </c>
      <c r="J2572">
        <v>-490.69119999999998</v>
      </c>
      <c r="K2572">
        <v>1.1176440000000001</v>
      </c>
      <c r="L2572">
        <v>228.27520000000001</v>
      </c>
      <c r="M2572">
        <v>0.2449017</v>
      </c>
      <c r="N2572">
        <v>-1.97097E-2</v>
      </c>
      <c r="O2572">
        <v>-0.96934770000000003</v>
      </c>
      <c r="P2572">
        <v>0.58133069999999998</v>
      </c>
      <c r="Q2572">
        <v>-2.7547530000000001E-2</v>
      </c>
      <c r="R2572">
        <v>-0.81320119999999996</v>
      </c>
      <c r="S2572">
        <v>1.9753419999999999</v>
      </c>
      <c r="T2572">
        <v>-0.29995100000000002</v>
      </c>
      <c r="U2572">
        <v>-2.2718660000000002</v>
      </c>
      <c r="V2572">
        <v>-0.36421120000000001</v>
      </c>
      <c r="W2572">
        <v>-1.5579239999999999E-2</v>
      </c>
      <c r="X2572">
        <v>0.93118610000000002</v>
      </c>
      <c r="Y2572">
        <v>-0.44850390000000001</v>
      </c>
      <c r="Z2572">
        <v>8.4014720000000001E-2</v>
      </c>
      <c r="AA2572">
        <v>0.88982349999999999</v>
      </c>
      <c r="AB2572">
        <v>23</v>
      </c>
      <c r="AC2572">
        <v>0.55559999999996901</v>
      </c>
      <c r="AD2572">
        <v>-9.4873999999999903E-2</v>
      </c>
      <c r="AE2572">
        <v>-0.49090000000001</v>
      </c>
      <c r="AF2572">
        <v>-0.411687064645331</v>
      </c>
      <c r="AG2572">
        <v>-9.4873999999999903E-2</v>
      </c>
      <c r="AH2572">
        <v>0.602178133177806</v>
      </c>
      <c r="AI2572">
        <v>97.410375337042396</v>
      </c>
      <c r="AJ2572">
        <v>124.358981600943</v>
      </c>
      <c r="AK2572">
        <v>0.73559895265681097</v>
      </c>
      <c r="AL2572">
        <v>90.8926607840678</v>
      </c>
      <c r="AM2572">
        <v>111.361765675965</v>
      </c>
      <c r="AN2572">
        <v>1.00000003187881</v>
      </c>
    </row>
    <row r="2573" spans="1:40" x14ac:dyDescent="0.25">
      <c r="A2573" t="str">
        <f>"20190305135841114"</f>
        <v>20190305135841114</v>
      </c>
      <c r="B2573" t="str">
        <f>"1551765521101787"</f>
        <v>1551765521101787</v>
      </c>
      <c r="C2573" t="s">
        <v>40</v>
      </c>
      <c r="D2573">
        <v>4.0165680000000004</v>
      </c>
      <c r="E2573">
        <v>0.46390599999999999</v>
      </c>
      <c r="F2573" t="s">
        <v>41</v>
      </c>
      <c r="G2573">
        <v>-490.05399999999997</v>
      </c>
      <c r="H2573">
        <v>1.0209649999999999</v>
      </c>
      <c r="I2573">
        <v>227.54580000000001</v>
      </c>
      <c r="J2573">
        <v>-490.61930000000001</v>
      </c>
      <c r="K2573">
        <v>1.1177999999999999</v>
      </c>
      <c r="L2573">
        <v>228.04750000000001</v>
      </c>
      <c r="M2573">
        <v>0.256573299999999</v>
      </c>
      <c r="N2573">
        <v>-1.9763320000000001E-2</v>
      </c>
      <c r="O2573">
        <v>-0.96632280000000004</v>
      </c>
      <c r="P2573">
        <v>0.58977419999999903</v>
      </c>
      <c r="Q2573">
        <v>-2.9806940000000001E-2</v>
      </c>
      <c r="R2573">
        <v>-0.80701789999999995</v>
      </c>
      <c r="S2573">
        <v>1.9786379999999999</v>
      </c>
      <c r="T2573">
        <v>-0.30011379999999999</v>
      </c>
      <c r="U2573">
        <v>-2.2644959999999998</v>
      </c>
      <c r="V2573">
        <v>-0.36266209999999999</v>
      </c>
      <c r="W2573">
        <v>-1.7888250000000001E-2</v>
      </c>
      <c r="X2573">
        <v>0.93174900000000005</v>
      </c>
      <c r="Y2573">
        <v>-0.43988460000000001</v>
      </c>
      <c r="Z2573">
        <v>8.4069389999999994E-2</v>
      </c>
      <c r="AA2573">
        <v>0.89411070000000004</v>
      </c>
      <c r="AB2573">
        <v>23</v>
      </c>
      <c r="AC2573">
        <v>0.56529999999997904</v>
      </c>
      <c r="AD2573">
        <v>-9.6835000000000004E-2</v>
      </c>
      <c r="AE2573">
        <v>-0.50169999999999904</v>
      </c>
      <c r="AF2573">
        <v>-0.41087667617167101</v>
      </c>
      <c r="AG2573">
        <v>-9.6835000000000004E-2</v>
      </c>
      <c r="AH2573">
        <v>0.61979444568657804</v>
      </c>
      <c r="AI2573">
        <v>97.419407433833697</v>
      </c>
      <c r="AJ2573">
        <v>123.54135725013199</v>
      </c>
      <c r="AK2573">
        <v>0.74989453601877498</v>
      </c>
      <c r="AL2573">
        <v>91.024975902944007</v>
      </c>
      <c r="AM2573">
        <v>111.26734342092</v>
      </c>
      <c r="AN2573">
        <v>0.99999999363273595</v>
      </c>
    </row>
    <row r="2574" spans="1:40" x14ac:dyDescent="0.25">
      <c r="A2574" t="str">
        <f>"20190305135841136"</f>
        <v>20190305135841136</v>
      </c>
      <c r="B2574" t="str">
        <f>"1551765521131067"</f>
        <v>1551765521131067</v>
      </c>
      <c r="C2574" t="s">
        <v>40</v>
      </c>
      <c r="D2574">
        <v>4.0322180000000003</v>
      </c>
      <c r="E2574">
        <v>0.46596219999999999</v>
      </c>
      <c r="F2574" t="s">
        <v>58</v>
      </c>
      <c r="G2574">
        <v>-483.36399999999998</v>
      </c>
      <c r="H2574" s="1">
        <v>2.41053E-6</v>
      </c>
      <c r="I2574">
        <v>219.82069999999999</v>
      </c>
      <c r="J2574">
        <v>-490.54719999999998</v>
      </c>
      <c r="K2574">
        <v>1.117966</v>
      </c>
      <c r="L2574">
        <v>227.8297</v>
      </c>
      <c r="M2574">
        <v>0.26815460000000002</v>
      </c>
      <c r="N2574">
        <v>-1.981548E-2</v>
      </c>
      <c r="O2574">
        <v>-0.96317209999999998</v>
      </c>
      <c r="P2574">
        <v>0.59831389999999995</v>
      </c>
      <c r="Q2574">
        <v>-3.0212960000000001E-2</v>
      </c>
      <c r="R2574">
        <v>-0.80069199999999996</v>
      </c>
      <c r="S2574">
        <v>1.9874270000000001</v>
      </c>
      <c r="T2574">
        <v>-0.30619299999999999</v>
      </c>
      <c r="U2574">
        <v>-2.2535400000000001</v>
      </c>
      <c r="V2574">
        <v>-0.36136580000000001</v>
      </c>
      <c r="W2574">
        <v>-1.8357430000000001E-2</v>
      </c>
      <c r="X2574">
        <v>0.93224340000000006</v>
      </c>
      <c r="Y2574">
        <v>-0.4330966</v>
      </c>
      <c r="Z2574">
        <v>8.6094589999999999E-2</v>
      </c>
      <c r="AA2574">
        <v>0.89722630000000003</v>
      </c>
      <c r="AB2574">
        <v>23</v>
      </c>
      <c r="AC2574">
        <v>7.1831999999999399</v>
      </c>
      <c r="AD2574">
        <v>-1.11796358947</v>
      </c>
      <c r="AE2574">
        <v>-8.0090000000000092</v>
      </c>
      <c r="AF2574">
        <v>-4.7209652467803096</v>
      </c>
      <c r="AG2574">
        <v>-1.11796358947</v>
      </c>
      <c r="AH2574">
        <v>9.5391382846824992</v>
      </c>
      <c r="AI2574">
        <v>95.996239218818602</v>
      </c>
      <c r="AJ2574">
        <v>116.331028377622</v>
      </c>
      <c r="AK2574">
        <v>10.7019864820968</v>
      </c>
      <c r="AL2574">
        <v>91.051862349539903</v>
      </c>
      <c r="AM2574">
        <v>111.187840791936</v>
      </c>
      <c r="AN2574">
        <v>0.99999999674470197</v>
      </c>
    </row>
    <row r="2575" spans="1:40" x14ac:dyDescent="0.25">
      <c r="A2575" t="str">
        <f>"20190305135841156"</f>
        <v>20190305135841156</v>
      </c>
      <c r="B2575" t="str">
        <f>"1551765521151563"</f>
        <v>1551765521151563</v>
      </c>
      <c r="C2575" t="s">
        <v>40</v>
      </c>
      <c r="D2575">
        <v>3.9910199999999998</v>
      </c>
      <c r="E2575">
        <v>0.46680149999999998</v>
      </c>
      <c r="F2575" t="s">
        <v>58</v>
      </c>
      <c r="G2575">
        <v>-483.32940000000002</v>
      </c>
      <c r="H2575" s="1">
        <v>2.38397E-6</v>
      </c>
      <c r="I2575">
        <v>219.72819999999999</v>
      </c>
      <c r="J2575">
        <v>-490.48329999999999</v>
      </c>
      <c r="K2575">
        <v>1.118128</v>
      </c>
      <c r="L2575">
        <v>227.64500000000001</v>
      </c>
      <c r="M2575">
        <v>0.27835989999999999</v>
      </c>
      <c r="N2575">
        <v>-1.9850920000000001E-2</v>
      </c>
      <c r="O2575">
        <v>-0.96027180000000001</v>
      </c>
      <c r="P2575">
        <v>0.60582609999999903</v>
      </c>
      <c r="Q2575">
        <v>-2.96183E-2</v>
      </c>
      <c r="R2575">
        <v>-0.79504589999999997</v>
      </c>
      <c r="S2575">
        <v>1.9977419999999999</v>
      </c>
      <c r="T2575">
        <v>-0.30942950000000002</v>
      </c>
      <c r="U2575">
        <v>-2.2423250000000001</v>
      </c>
      <c r="V2575">
        <v>-0.36024909999999999</v>
      </c>
      <c r="W2575">
        <v>-1.7842199999999999E-2</v>
      </c>
      <c r="X2575">
        <v>0.93268549999999995</v>
      </c>
      <c r="Y2575">
        <v>-0.4279984</v>
      </c>
      <c r="Z2575">
        <v>8.715059E-2</v>
      </c>
      <c r="AA2575">
        <v>0.89956769999999997</v>
      </c>
      <c r="AB2575">
        <v>23</v>
      </c>
      <c r="AC2575">
        <v>7.1538999999999602</v>
      </c>
      <c r="AD2575">
        <v>-1.1181256160299999</v>
      </c>
      <c r="AE2575">
        <v>-7.9168000000000198</v>
      </c>
      <c r="AF2575">
        <v>-4.6161984365026303</v>
      </c>
      <c r="AG2575">
        <v>-1.1181256160299999</v>
      </c>
      <c r="AH2575">
        <v>9.4913065215600199</v>
      </c>
      <c r="AI2575">
        <v>96.047349660011704</v>
      </c>
      <c r="AJ2575">
        <v>115.93646719143</v>
      </c>
      <c r="AK2575">
        <v>10.613406257399101</v>
      </c>
      <c r="AL2575">
        <v>91.022337004582397</v>
      </c>
      <c r="AM2575">
        <v>111.119017679633</v>
      </c>
      <c r="AN2575">
        <v>1.0000000000309499</v>
      </c>
    </row>
    <row r="2576" spans="1:40" x14ac:dyDescent="0.25">
      <c r="A2576" t="str">
        <f>"20190305135841179"</f>
        <v>20190305135841179</v>
      </c>
      <c r="B2576" t="str">
        <f>"1551765521171083"</f>
        <v>1551765521171083</v>
      </c>
      <c r="C2576" t="s">
        <v>40</v>
      </c>
      <c r="D2576">
        <v>4.0008920000000003</v>
      </c>
      <c r="E2576">
        <v>0.46733839999999999</v>
      </c>
      <c r="F2576" t="s">
        <v>58</v>
      </c>
      <c r="G2576">
        <v>-483.23610000000002</v>
      </c>
      <c r="H2576" s="1">
        <v>2.3447749999999999E-6</v>
      </c>
      <c r="I2576">
        <v>219.6259</v>
      </c>
      <c r="J2576">
        <v>-490.40260000000001</v>
      </c>
      <c r="K2576">
        <v>1.118339</v>
      </c>
      <c r="L2576">
        <v>227.422</v>
      </c>
      <c r="M2576">
        <v>0.29113830000000002</v>
      </c>
      <c r="N2576">
        <v>-1.9887200000000001E-2</v>
      </c>
      <c r="O2576">
        <v>-0.95647439999999995</v>
      </c>
      <c r="P2576">
        <v>0.61465780000000003</v>
      </c>
      <c r="Q2576">
        <v>-2.9173000000000001E-2</v>
      </c>
      <c r="R2576">
        <v>-0.78825440000000002</v>
      </c>
      <c r="S2576">
        <v>2.013245</v>
      </c>
      <c r="T2576">
        <v>-0.3106102</v>
      </c>
      <c r="U2576">
        <v>-2.2276609999999999</v>
      </c>
      <c r="V2576">
        <v>-0.35821439999999999</v>
      </c>
      <c r="W2576">
        <v>-1.749966E-2</v>
      </c>
      <c r="X2576">
        <v>0.93347530000000001</v>
      </c>
      <c r="Y2576">
        <v>-0.4223247</v>
      </c>
      <c r="Z2576">
        <v>8.7456030000000004E-2</v>
      </c>
      <c r="AA2576">
        <v>0.90221580000000001</v>
      </c>
      <c r="AB2576">
        <v>23</v>
      </c>
      <c r="AC2576">
        <v>7.1664999999999797</v>
      </c>
      <c r="AD2576">
        <v>-1.118336655225</v>
      </c>
      <c r="AE2576">
        <v>-7.7960999999999903</v>
      </c>
      <c r="AF2576">
        <v>-4.5351560338801402</v>
      </c>
      <c r="AG2576">
        <v>-1.118336655225</v>
      </c>
      <c r="AH2576">
        <v>9.4398165357366395</v>
      </c>
      <c r="AI2576">
        <v>96.095273434018196</v>
      </c>
      <c r="AJ2576">
        <v>115.660952094408</v>
      </c>
      <c r="AK2576">
        <v>10.5322577519934</v>
      </c>
      <c r="AL2576">
        <v>91.002707878255293</v>
      </c>
      <c r="AM2576">
        <v>110.99394423307901</v>
      </c>
      <c r="AN2576">
        <v>0.99999996508878197</v>
      </c>
    </row>
    <row r="2577" spans="1:40" x14ac:dyDescent="0.25">
      <c r="A2577" t="str">
        <f>"20190305135841213"</f>
        <v>20190305135841213</v>
      </c>
      <c r="B2577" t="str">
        <f>"1551765521201339"</f>
        <v>1551765521201339</v>
      </c>
      <c r="C2577" t="s">
        <v>40</v>
      </c>
      <c r="D2577">
        <v>4.0248480000000004</v>
      </c>
      <c r="E2577">
        <v>0.46754040000000002</v>
      </c>
      <c r="F2577" t="s">
        <v>41</v>
      </c>
      <c r="G2577">
        <v>-489.70870000000002</v>
      </c>
      <c r="H2577">
        <v>1.011857</v>
      </c>
      <c r="I2577">
        <v>226.66909999999999</v>
      </c>
      <c r="J2577">
        <v>-490.2867</v>
      </c>
      <c r="K2577">
        <v>1.118638</v>
      </c>
      <c r="L2577">
        <v>227.1208</v>
      </c>
      <c r="M2577">
        <v>0.30928860000000002</v>
      </c>
      <c r="N2577">
        <v>-1.9944610000000002E-2</v>
      </c>
      <c r="O2577">
        <v>-0.95075920000000003</v>
      </c>
      <c r="P2577">
        <v>0.62674700000000005</v>
      </c>
      <c r="Q2577">
        <v>-2.9557569999999998E-2</v>
      </c>
      <c r="R2577">
        <v>-0.77866230000000003</v>
      </c>
      <c r="S2577">
        <v>2.0345759999999999</v>
      </c>
      <c r="T2577">
        <v>-0.31223859999999998</v>
      </c>
      <c r="U2577">
        <v>-2.2078549999999999</v>
      </c>
      <c r="V2577">
        <v>-0.35483629999999999</v>
      </c>
      <c r="W2577">
        <v>-1.7998750000000001E-2</v>
      </c>
      <c r="X2577">
        <v>0.93475509999999995</v>
      </c>
      <c r="Y2577">
        <v>-0.41379759999999999</v>
      </c>
      <c r="Z2577">
        <v>8.7793720000000006E-2</v>
      </c>
      <c r="AA2577">
        <v>0.90612570000000003</v>
      </c>
      <c r="AB2577">
        <v>23</v>
      </c>
      <c r="AC2577">
        <v>0.57799999999997398</v>
      </c>
      <c r="AD2577">
        <v>-0.106781</v>
      </c>
      <c r="AE2577">
        <v>-0.45170000000001598</v>
      </c>
      <c r="AF2577">
        <v>-0.40140916074713601</v>
      </c>
      <c r="AG2577">
        <v>-0.106781</v>
      </c>
      <c r="AH2577">
        <v>0.59572482525451498</v>
      </c>
      <c r="AI2577">
        <v>98.455044040744397</v>
      </c>
      <c r="AJ2577">
        <v>123.972736223206</v>
      </c>
      <c r="AK2577">
        <v>0.72623657558487298</v>
      </c>
      <c r="AL2577">
        <v>91.0313081759667</v>
      </c>
      <c r="AM2577">
        <v>110.78693673694301</v>
      </c>
      <c r="AN2577">
        <v>0.99999992588762798</v>
      </c>
    </row>
    <row r="2578" spans="1:40" x14ac:dyDescent="0.25">
      <c r="A2578" t="str">
        <f>"20190305135841235"</f>
        <v>20190305135841235</v>
      </c>
      <c r="B2578" t="str">
        <f>"1551765521231595"</f>
        <v>1551765521231595</v>
      </c>
      <c r="C2578" t="s">
        <v>40</v>
      </c>
      <c r="D2578">
        <v>3.983921</v>
      </c>
      <c r="E2578">
        <v>0.46752850000000001</v>
      </c>
      <c r="F2578" t="s">
        <v>58</v>
      </c>
      <c r="G2578">
        <v>-482.97629999999998</v>
      </c>
      <c r="H2578" s="1">
        <v>2.2881510000000001E-6</v>
      </c>
      <c r="I2578">
        <v>219.42330000000001</v>
      </c>
      <c r="J2578">
        <v>-490.20280000000002</v>
      </c>
      <c r="K2578">
        <v>1.118816</v>
      </c>
      <c r="L2578">
        <v>226.91380000000001</v>
      </c>
      <c r="M2578">
        <v>0.32226890000000002</v>
      </c>
      <c r="N2578">
        <v>-1.9988189999999999E-2</v>
      </c>
      <c r="O2578">
        <v>-0.94643739999999998</v>
      </c>
      <c r="P2578">
        <v>0.63572700000000004</v>
      </c>
      <c r="Q2578">
        <v>-2.9709470000000002E-2</v>
      </c>
      <c r="R2578">
        <v>-0.77134230000000004</v>
      </c>
      <c r="S2578">
        <v>2.0673219999999999</v>
      </c>
      <c r="T2578">
        <v>-0.31634200000000001</v>
      </c>
      <c r="U2578">
        <v>-2.1767880000000002</v>
      </c>
      <c r="V2578">
        <v>-0.35286849999999997</v>
      </c>
      <c r="W2578">
        <v>-1.821012E-2</v>
      </c>
      <c r="X2578">
        <v>0.93549570000000004</v>
      </c>
      <c r="Y2578">
        <v>-0.41488029999999998</v>
      </c>
      <c r="Z2578">
        <v>8.9151339999999996E-2</v>
      </c>
      <c r="AA2578">
        <v>0.90549780000000002</v>
      </c>
      <c r="AB2578">
        <v>23</v>
      </c>
      <c r="AC2578">
        <v>7.2265000000000397</v>
      </c>
      <c r="AD2578">
        <v>-1.118813711849</v>
      </c>
      <c r="AE2578">
        <v>-7.4904999999999902</v>
      </c>
      <c r="AF2578">
        <v>-4.37579582468517</v>
      </c>
      <c r="AG2578">
        <v>-1.118813711849</v>
      </c>
      <c r="AH2578">
        <v>9.3124404753795194</v>
      </c>
      <c r="AI2578">
        <v>96.205728994612599</v>
      </c>
      <c r="AJ2578">
        <v>115.16822688098399</v>
      </c>
      <c r="AK2578">
        <v>10.349921778865699</v>
      </c>
      <c r="AL2578">
        <v>91.043420698147401</v>
      </c>
      <c r="AM2578">
        <v>110.666449794347</v>
      </c>
      <c r="AN2578">
        <v>0.99999999574057696</v>
      </c>
    </row>
    <row r="2579" spans="1:40" x14ac:dyDescent="0.25">
      <c r="A2579" t="str">
        <f>"20190305135841256"</f>
        <v>20190305135841256</v>
      </c>
      <c r="B2579" t="str">
        <f>"1551765521251115"</f>
        <v>1551765521251115</v>
      </c>
      <c r="C2579" t="s">
        <v>40</v>
      </c>
      <c r="D2579">
        <v>3.9513240000000001</v>
      </c>
      <c r="E2579">
        <v>0.46937319999999999</v>
      </c>
      <c r="F2579" t="s">
        <v>58</v>
      </c>
      <c r="G2579">
        <v>-482.7722</v>
      </c>
      <c r="H2579" s="1">
        <v>2.2455010000000002E-6</v>
      </c>
      <c r="I2579">
        <v>219.27590000000001</v>
      </c>
      <c r="J2579">
        <v>-490.12180000000001</v>
      </c>
      <c r="K2579">
        <v>1.1189770000000001</v>
      </c>
      <c r="L2579">
        <v>226.72290000000001</v>
      </c>
      <c r="M2579">
        <v>0.33469260000000001</v>
      </c>
      <c r="N2579">
        <v>-2.002278E-2</v>
      </c>
      <c r="O2579">
        <v>-0.94211489999999998</v>
      </c>
      <c r="P2579">
        <v>0.64518209999999998</v>
      </c>
      <c r="Q2579">
        <v>-2.91382E-2</v>
      </c>
      <c r="R2579">
        <v>-0.76347319999999996</v>
      </c>
      <c r="S2579">
        <v>2.0934140000000001</v>
      </c>
      <c r="T2579">
        <v>-0.3152027</v>
      </c>
      <c r="U2579">
        <v>-2.1518099999999998</v>
      </c>
      <c r="V2579">
        <v>-0.35208499999999998</v>
      </c>
      <c r="W2579">
        <v>-1.77234E-2</v>
      </c>
      <c r="X2579">
        <v>0.93580019999999997</v>
      </c>
      <c r="Y2579">
        <v>-0.4138444</v>
      </c>
      <c r="Z2579">
        <v>8.8686260000000003E-2</v>
      </c>
      <c r="AA2579">
        <v>0.90601739999999997</v>
      </c>
      <c r="AB2579">
        <v>22</v>
      </c>
      <c r="AC2579">
        <v>7.3495999999999997</v>
      </c>
      <c r="AD2579">
        <v>-1.1189747544990001</v>
      </c>
      <c r="AE2579">
        <v>-7.4470000000000001</v>
      </c>
      <c r="AF2579">
        <v>-4.3824751370713297</v>
      </c>
      <c r="AG2579">
        <v>-1.1189747544990001</v>
      </c>
      <c r="AH2579">
        <v>9.3705095066494994</v>
      </c>
      <c r="AI2579">
        <v>96.173625648551194</v>
      </c>
      <c r="AJ2579">
        <v>115.064929282016</v>
      </c>
      <c r="AK2579">
        <v>10.4050296127624</v>
      </c>
      <c r="AL2579">
        <v>91.015529199434496</v>
      </c>
      <c r="AM2579">
        <v>110.618282328272</v>
      </c>
      <c r="AN2579">
        <v>0.99999999022629904</v>
      </c>
    </row>
    <row r="2580" spans="1:40" x14ac:dyDescent="0.25">
      <c r="A2580" t="str">
        <f>"20190305135841281"</f>
        <v>20190305135841281</v>
      </c>
      <c r="B2580" t="str">
        <f>"1551765521271611"</f>
        <v>1551765521271611</v>
      </c>
      <c r="C2580" t="s">
        <v>40</v>
      </c>
      <c r="D2580">
        <v>4.0492720000000002</v>
      </c>
      <c r="E2580">
        <v>0.46900249999999999</v>
      </c>
      <c r="F2580" t="s">
        <v>58</v>
      </c>
      <c r="G2580">
        <v>-479.29719999999998</v>
      </c>
      <c r="H2580" s="1">
        <v>1.8871549999999999E-6</v>
      </c>
      <c r="I2580">
        <v>215.79750000000001</v>
      </c>
      <c r="J2580">
        <v>-490.02809999999999</v>
      </c>
      <c r="K2580">
        <v>1.1191690000000001</v>
      </c>
      <c r="L2580">
        <v>226.51220000000001</v>
      </c>
      <c r="M2580">
        <v>0.34895730000000003</v>
      </c>
      <c r="N2580">
        <v>-2.0058200000000002E-2</v>
      </c>
      <c r="O2580">
        <v>-0.93692399999999998</v>
      </c>
      <c r="P2580">
        <v>0.65682600000000002</v>
      </c>
      <c r="Q2580">
        <v>-2.6837880000000001E-2</v>
      </c>
      <c r="R2580">
        <v>-0.75356449999999997</v>
      </c>
      <c r="S2580">
        <v>2.114471</v>
      </c>
      <c r="T2580">
        <v>-0.2185793</v>
      </c>
      <c r="U2580">
        <v>-2.1341549999999998</v>
      </c>
      <c r="V2580">
        <v>-0.35225440000000002</v>
      </c>
      <c r="W2580">
        <v>-1.555404E-2</v>
      </c>
      <c r="X2580">
        <v>0.93577500000000002</v>
      </c>
      <c r="Y2580">
        <v>-0.41013690000000003</v>
      </c>
      <c r="Z2580">
        <v>5.6191680000000001E-2</v>
      </c>
      <c r="AA2580">
        <v>0.91029130000000003</v>
      </c>
      <c r="AB2580">
        <v>22</v>
      </c>
      <c r="AC2580">
        <v>10.7309</v>
      </c>
      <c r="AD2580">
        <v>-1.119167112845</v>
      </c>
      <c r="AE2580">
        <v>-10.714699999999899</v>
      </c>
      <c r="AF2580">
        <v>-6.2821177976999198</v>
      </c>
      <c r="AG2580">
        <v>-1.119167112845</v>
      </c>
      <c r="AH2580">
        <v>13.711573804494099</v>
      </c>
      <c r="AI2580">
        <v>94.243831429919496</v>
      </c>
      <c r="AJ2580">
        <v>114.615436988463</v>
      </c>
      <c r="AK2580">
        <v>15.123650195860201</v>
      </c>
      <c r="AL2580">
        <v>90.891216810160302</v>
      </c>
      <c r="AM2580">
        <v>110.627876143102</v>
      </c>
      <c r="AN2580">
        <v>0.99999997055234002</v>
      </c>
    </row>
    <row r="2581" spans="1:40" x14ac:dyDescent="0.25">
      <c r="A2581" t="str">
        <f>"20190305135841302"</f>
        <v>20190305135841302</v>
      </c>
      <c r="B2581" t="str">
        <f>"1551765521291134"</f>
        <v>1551765521291134</v>
      </c>
      <c r="C2581" t="s">
        <v>40</v>
      </c>
      <c r="D2581">
        <v>3.9414530000000001</v>
      </c>
      <c r="E2581">
        <v>0.4680068</v>
      </c>
      <c r="F2581" t="s">
        <v>41</v>
      </c>
      <c r="G2581">
        <v>-489.25470000000001</v>
      </c>
      <c r="H2581">
        <v>1.0446409999999999</v>
      </c>
      <c r="I2581">
        <v>225.75649999999999</v>
      </c>
      <c r="J2581">
        <v>-489.94069999999999</v>
      </c>
      <c r="K2581">
        <v>1.1193409999999999</v>
      </c>
      <c r="L2581">
        <v>226.32429999999999</v>
      </c>
      <c r="M2581">
        <v>0.36211209999999999</v>
      </c>
      <c r="N2581">
        <v>-2.0095720000000001E-2</v>
      </c>
      <c r="O2581">
        <v>-0.93191780000000002</v>
      </c>
      <c r="P2581">
        <v>0.66743719999999995</v>
      </c>
      <c r="Q2581">
        <v>-2.471249E-2</v>
      </c>
      <c r="R2581">
        <v>-0.74425600000000003</v>
      </c>
      <c r="S2581">
        <v>2.1498719999999998</v>
      </c>
      <c r="T2581">
        <v>-0.2070845</v>
      </c>
      <c r="U2581">
        <v>-2.099777</v>
      </c>
      <c r="V2581">
        <v>-0.35235349999999999</v>
      </c>
      <c r="W2581">
        <v>-1.35362E-2</v>
      </c>
      <c r="X2581">
        <v>0.93576910000000002</v>
      </c>
      <c r="Y2581">
        <v>-0.41241559999999999</v>
      </c>
      <c r="Z2581">
        <v>5.2338549999999998E-2</v>
      </c>
      <c r="AA2581">
        <v>0.9094911</v>
      </c>
      <c r="AB2581">
        <v>22</v>
      </c>
      <c r="AC2581">
        <v>0.68599999999997796</v>
      </c>
      <c r="AD2581">
        <v>-7.4699999999999905E-2</v>
      </c>
      <c r="AE2581">
        <v>-0.56780000000000497</v>
      </c>
      <c r="AF2581">
        <v>-0.430744957639694</v>
      </c>
      <c r="AG2581">
        <v>-7.4699999999999905E-2</v>
      </c>
      <c r="AH2581">
        <v>0.77227465512094795</v>
      </c>
      <c r="AI2581">
        <v>94.8286312419269</v>
      </c>
      <c r="AJ2581">
        <v>119.15108931979699</v>
      </c>
      <c r="AK2581">
        <v>0.88742856133561598</v>
      </c>
      <c r="AL2581">
        <v>90.775590806802896</v>
      </c>
      <c r="AM2581">
        <v>110.633309717581</v>
      </c>
      <c r="AN2581">
        <v>1.0000000130937501</v>
      </c>
    </row>
    <row r="2582" spans="1:40" x14ac:dyDescent="0.25">
      <c r="A2582" t="str">
        <f>"20190305135841327"</f>
        <v>20190305135841327</v>
      </c>
      <c r="B2582" t="str">
        <f>"1551765521321387"</f>
        <v>1551765521321387</v>
      </c>
      <c r="C2582" t="s">
        <v>40</v>
      </c>
      <c r="D2582">
        <v>3.9764550000000001</v>
      </c>
      <c r="E2582">
        <v>0.46762860000000001</v>
      </c>
      <c r="F2582" t="s">
        <v>58</v>
      </c>
      <c r="G2582">
        <v>-477.92680000000001</v>
      </c>
      <c r="H2582" s="1">
        <v>2.4589490000000002E-6</v>
      </c>
      <c r="I2582">
        <v>214.97630000000001</v>
      </c>
      <c r="J2582">
        <v>-489.84179999999998</v>
      </c>
      <c r="K2582">
        <v>1.1194770000000001</v>
      </c>
      <c r="L2582">
        <v>226.1208</v>
      </c>
      <c r="M2582">
        <v>0.37675380000000003</v>
      </c>
      <c r="N2582">
        <v>-2.0140499999999999E-2</v>
      </c>
      <c r="O2582">
        <v>-0.92609439999999998</v>
      </c>
      <c r="P2582">
        <v>0.6789288</v>
      </c>
      <c r="Q2582">
        <v>-2.4616699999999998E-2</v>
      </c>
      <c r="R2582">
        <v>-0.73379139999999998</v>
      </c>
      <c r="S2582">
        <v>2.1853639999999999</v>
      </c>
      <c r="T2582">
        <v>-0.2036123</v>
      </c>
      <c r="U2582">
        <v>-2.0642399999999999</v>
      </c>
      <c r="V2582">
        <v>-0.35215279999999999</v>
      </c>
      <c r="W2582">
        <v>-1.3520819999999999E-2</v>
      </c>
      <c r="X2582">
        <v>0.93584480000000003</v>
      </c>
      <c r="Y2582">
        <v>-0.41330719999999999</v>
      </c>
      <c r="Z2582">
        <v>5.113554E-2</v>
      </c>
      <c r="AA2582">
        <v>0.90915469999999998</v>
      </c>
      <c r="AB2582">
        <v>22</v>
      </c>
      <c r="AC2582">
        <v>11.9149999999999</v>
      </c>
      <c r="AD2582">
        <v>-1.1194745410510001</v>
      </c>
      <c r="AE2582">
        <v>-11.144499999999899</v>
      </c>
      <c r="AF2582">
        <v>-6.8050283688230397</v>
      </c>
      <c r="AG2582">
        <v>-1.1194745410510001</v>
      </c>
      <c r="AH2582">
        <v>14.743467679973101</v>
      </c>
      <c r="AI2582">
        <v>93.943783512752901</v>
      </c>
      <c r="AJ2582">
        <v>114.776264997415</v>
      </c>
      <c r="AK2582">
        <v>16.276715687722799</v>
      </c>
      <c r="AL2582">
        <v>90.774709567193398</v>
      </c>
      <c r="AM2582">
        <v>110.621018553045</v>
      </c>
      <c r="AN2582">
        <v>0.99999994840417405</v>
      </c>
    </row>
    <row r="2583" spans="1:40" x14ac:dyDescent="0.25">
      <c r="A2583" t="str">
        <f>"20190305135841347"</f>
        <v>20190305135841347</v>
      </c>
      <c r="B2583" t="str">
        <f>"1551765521341883"</f>
        <v>1551765521341883</v>
      </c>
      <c r="C2583" t="s">
        <v>40</v>
      </c>
      <c r="D2583">
        <v>3.9491399999999999</v>
      </c>
      <c r="E2583">
        <v>0.46808699999999998</v>
      </c>
      <c r="F2583" t="s">
        <v>58</v>
      </c>
      <c r="G2583">
        <v>-477.4896</v>
      </c>
      <c r="H2583" s="1">
        <v>2.6467840000000002E-6</v>
      </c>
      <c r="I2583">
        <v>214.8374</v>
      </c>
      <c r="J2583">
        <v>-489.7518</v>
      </c>
      <c r="K2583">
        <v>1.1195660000000001</v>
      </c>
      <c r="L2583">
        <v>225.94319999999999</v>
      </c>
      <c r="M2583">
        <v>0.3898567</v>
      </c>
      <c r="N2583">
        <v>-2.0176240000000002E-2</v>
      </c>
      <c r="O2583">
        <v>-0.92065459999999999</v>
      </c>
      <c r="P2583">
        <v>0.68952959999999996</v>
      </c>
      <c r="Q2583">
        <v>-2.6953319999999999E-2</v>
      </c>
      <c r="R2583">
        <v>-0.72375599999999995</v>
      </c>
      <c r="S2583">
        <v>2.219849</v>
      </c>
      <c r="T2583">
        <v>-0.2011838</v>
      </c>
      <c r="U2583">
        <v>-2.0277859999999999</v>
      </c>
      <c r="V2583">
        <v>-0.352462</v>
      </c>
      <c r="W2583">
        <v>-1.5921999999999999E-2</v>
      </c>
      <c r="X2583">
        <v>0.93569060000000004</v>
      </c>
      <c r="Y2583">
        <v>-0.4155954</v>
      </c>
      <c r="Z2583">
        <v>5.0323380000000001E-2</v>
      </c>
      <c r="AA2583">
        <v>0.90815639999999997</v>
      </c>
      <c r="AB2583">
        <v>22</v>
      </c>
      <c r="AC2583">
        <v>12.2622</v>
      </c>
      <c r="AD2583">
        <v>-1.1195633532160001</v>
      </c>
      <c r="AE2583">
        <v>-11.105799999999901</v>
      </c>
      <c r="AF2583">
        <v>-6.9292636690357403</v>
      </c>
      <c r="AG2583">
        <v>-1.1195633532160001</v>
      </c>
      <c r="AH2583">
        <v>14.9397429371369</v>
      </c>
      <c r="AI2583">
        <v>93.889110289002303</v>
      </c>
      <c r="AJ2583">
        <v>114.882535919376</v>
      </c>
      <c r="AK2583">
        <v>16.5064846688995</v>
      </c>
      <c r="AL2583">
        <v>90.912302009563405</v>
      </c>
      <c r="AM2583">
        <v>110.640713416426</v>
      </c>
      <c r="AN2583">
        <v>0.99999993522817798</v>
      </c>
    </row>
    <row r="2584" spans="1:40" x14ac:dyDescent="0.25">
      <c r="A2584" t="str">
        <f>"20190305135841370"</f>
        <v>20190305135841370</v>
      </c>
      <c r="B2584" t="str">
        <f>"1551765521361403"</f>
        <v>1551765521361403</v>
      </c>
      <c r="C2584" t="s">
        <v>40</v>
      </c>
      <c r="D2584">
        <v>3.9779659999999999</v>
      </c>
      <c r="E2584">
        <v>0.4687846</v>
      </c>
      <c r="F2584" t="s">
        <v>58</v>
      </c>
      <c r="G2584">
        <v>-477.96699999999998</v>
      </c>
      <c r="H2584" s="1">
        <v>2.4624669999999999E-6</v>
      </c>
      <c r="I2584">
        <v>215.46440000000001</v>
      </c>
      <c r="J2584">
        <v>-489.65190000000001</v>
      </c>
      <c r="K2584">
        <v>1.119631</v>
      </c>
      <c r="L2584">
        <v>225.75389999999999</v>
      </c>
      <c r="M2584">
        <v>0.40412730000000002</v>
      </c>
      <c r="N2584">
        <v>-2.0208549999999999E-2</v>
      </c>
      <c r="O2584">
        <v>-0.91447940000000005</v>
      </c>
      <c r="P2584">
        <v>0.70239609999999997</v>
      </c>
      <c r="Q2584">
        <v>-2.8179989999999999E-2</v>
      </c>
      <c r="R2584">
        <v>-0.71122830000000004</v>
      </c>
      <c r="S2584">
        <v>2.246124</v>
      </c>
      <c r="T2584">
        <v>-0.2133843</v>
      </c>
      <c r="U2584">
        <v>-1.997223</v>
      </c>
      <c r="V2584">
        <v>-0.35467520000000002</v>
      </c>
      <c r="W2584">
        <v>-1.724972E-2</v>
      </c>
      <c r="X2584">
        <v>0.93483039999999995</v>
      </c>
      <c r="Y2584">
        <v>-0.41344550000000002</v>
      </c>
      <c r="Z2584">
        <v>5.4303659999999997E-2</v>
      </c>
      <c r="AA2584">
        <v>0.9089081</v>
      </c>
      <c r="AB2584">
        <v>22</v>
      </c>
      <c r="AC2584">
        <v>11.684900000000001</v>
      </c>
      <c r="AD2584">
        <v>-1.119628537533</v>
      </c>
      <c r="AE2584">
        <v>-10.289499999999901</v>
      </c>
      <c r="AF2584">
        <v>-6.4950785534401998</v>
      </c>
      <c r="AG2584">
        <v>-1.119628537533</v>
      </c>
      <c r="AH2584">
        <v>14.0618928690016</v>
      </c>
      <c r="AI2584">
        <v>94.134339057957007</v>
      </c>
      <c r="AJ2584">
        <v>114.79184656257701</v>
      </c>
      <c r="AK2584">
        <v>15.529856552354101</v>
      </c>
      <c r="AL2584">
        <v>90.988385210081901</v>
      </c>
      <c r="AM2584">
        <v>110.776774565151</v>
      </c>
      <c r="AN2584">
        <v>0.99999996354963805</v>
      </c>
    </row>
    <row r="2585" spans="1:40" x14ac:dyDescent="0.25">
      <c r="A2585" t="str">
        <f>"20190305135841392"</f>
        <v>20190305135841392</v>
      </c>
      <c r="B2585" t="str">
        <f>"1551765521380926"</f>
        <v>1551765521380926</v>
      </c>
      <c r="C2585" t="s">
        <v>40</v>
      </c>
      <c r="D2585">
        <v>3.9842409999999999</v>
      </c>
      <c r="E2585">
        <v>0.46926820000000002</v>
      </c>
      <c r="F2585" t="s">
        <v>58</v>
      </c>
      <c r="G2585">
        <v>-478.36610000000002</v>
      </c>
      <c r="H2585" s="1">
        <v>2.3104029999999998E-6</v>
      </c>
      <c r="I2585">
        <v>216.0341</v>
      </c>
      <c r="J2585">
        <v>-489.55290000000002</v>
      </c>
      <c r="K2585">
        <v>1.119659</v>
      </c>
      <c r="L2585">
        <v>225.57400000000001</v>
      </c>
      <c r="M2585">
        <v>0.41795739999999998</v>
      </c>
      <c r="N2585">
        <v>-2.0235550000000001E-2</v>
      </c>
      <c r="O2585">
        <v>-0.90824130000000003</v>
      </c>
      <c r="P2585">
        <v>0.71603260000000002</v>
      </c>
      <c r="Q2585">
        <v>-2.8264089999999999E-2</v>
      </c>
      <c r="R2585">
        <v>-0.69749450000000002</v>
      </c>
      <c r="S2585">
        <v>2.2766109999999999</v>
      </c>
      <c r="T2585">
        <v>-0.2258561</v>
      </c>
      <c r="U2585">
        <v>-1.9607239999999999</v>
      </c>
      <c r="V2585">
        <v>-0.35857879999999998</v>
      </c>
      <c r="W2585">
        <v>-1.7456490000000002E-2</v>
      </c>
      <c r="X2585">
        <v>0.93333630000000001</v>
      </c>
      <c r="Y2585">
        <v>-0.41380899999999998</v>
      </c>
      <c r="Z2585">
        <v>5.839519E-2</v>
      </c>
      <c r="AA2585">
        <v>0.90848890000000004</v>
      </c>
      <c r="AB2585">
        <v>22</v>
      </c>
      <c r="AC2585">
        <v>11.1868</v>
      </c>
      <c r="AD2585">
        <v>-1.1196566895969999</v>
      </c>
      <c r="AE2585">
        <v>-9.53990000000001</v>
      </c>
      <c r="AF2585">
        <v>-6.1387031544300097</v>
      </c>
      <c r="AG2585">
        <v>-1.1196566895969999</v>
      </c>
      <c r="AH2585">
        <v>13.2659297545017</v>
      </c>
      <c r="AI2585">
        <v>94.380160074516596</v>
      </c>
      <c r="AJ2585">
        <v>114.831963587961</v>
      </c>
      <c r="AK2585">
        <v>14.6602250928198</v>
      </c>
      <c r="AL2585">
        <v>91.000233939660106</v>
      </c>
      <c r="AM2585">
        <v>111.01629356101699</v>
      </c>
      <c r="AN2585">
        <v>1.0000000668751201</v>
      </c>
    </row>
    <row r="2586" spans="1:40" x14ac:dyDescent="0.25">
      <c r="A2586" t="str">
        <f>"20190305135841415"</f>
        <v>20190305135841415</v>
      </c>
      <c r="B2586" t="str">
        <f>"1551765521401419"</f>
        <v>1551765521401419</v>
      </c>
      <c r="C2586" t="s">
        <v>40</v>
      </c>
      <c r="D2586">
        <v>4.01058</v>
      </c>
      <c r="E2586">
        <v>0.46962120000000002</v>
      </c>
      <c r="F2586" t="s">
        <v>58</v>
      </c>
      <c r="G2586">
        <v>-478.40949999999998</v>
      </c>
      <c r="H2586" s="1">
        <v>2.3034339999999999E-6</v>
      </c>
      <c r="I2586">
        <v>216.31460000000001</v>
      </c>
      <c r="J2586">
        <v>-489.4511</v>
      </c>
      <c r="K2586">
        <v>1.119653</v>
      </c>
      <c r="L2586">
        <v>225.39570000000001</v>
      </c>
      <c r="M2586">
        <v>0.4318593</v>
      </c>
      <c r="N2586">
        <v>-2.0258399999999999E-2</v>
      </c>
      <c r="O2586">
        <v>-0.90171349999999995</v>
      </c>
      <c r="P2586">
        <v>0.72891419999999996</v>
      </c>
      <c r="Q2586">
        <v>-2.779382E-2</v>
      </c>
      <c r="R2586">
        <v>-0.6840406</v>
      </c>
      <c r="S2586">
        <v>2.310486</v>
      </c>
      <c r="T2586">
        <v>-0.23214969999999999</v>
      </c>
      <c r="U2586">
        <v>-1.9198299999999999</v>
      </c>
      <c r="V2586">
        <v>-0.36164479999999999</v>
      </c>
      <c r="W2586">
        <v>-1.705344E-2</v>
      </c>
      <c r="X2586">
        <v>0.93215999999999999</v>
      </c>
      <c r="Y2586">
        <v>-0.41577399999999998</v>
      </c>
      <c r="Z2586">
        <v>6.0440729999999998E-2</v>
      </c>
      <c r="AA2586">
        <v>0.90745739999999997</v>
      </c>
      <c r="AB2586">
        <v>21</v>
      </c>
      <c r="AC2586">
        <v>11.041600000000001</v>
      </c>
      <c r="AD2586">
        <v>-1.119650696566</v>
      </c>
      <c r="AE2586">
        <v>-9.0810999999999904</v>
      </c>
      <c r="AF2586">
        <v>-5.9990446002480402</v>
      </c>
      <c r="AG2586">
        <v>-1.119650696566</v>
      </c>
      <c r="AH2586">
        <v>12.8806217577153</v>
      </c>
      <c r="AI2586">
        <v>94.505486562551397</v>
      </c>
      <c r="AJ2586">
        <v>114.973365917913</v>
      </c>
      <c r="AK2586">
        <v>14.253160023777699</v>
      </c>
      <c r="AL2586">
        <v>90.977137481048601</v>
      </c>
      <c r="AM2586">
        <v>111.204475186248</v>
      </c>
      <c r="AN2586">
        <v>1.0000000233914299</v>
      </c>
    </row>
    <row r="2587" spans="1:40" x14ac:dyDescent="0.25">
      <c r="A2587" t="str">
        <f>"20190305135841436"</f>
        <v>20190305135841436</v>
      </c>
      <c r="B2587" t="str">
        <f>"1551765521431675"</f>
        <v>1551765521431675</v>
      </c>
      <c r="C2587" t="s">
        <v>40</v>
      </c>
      <c r="D2587">
        <v>4.0076769999999904</v>
      </c>
      <c r="E2587">
        <v>0.47012019999999999</v>
      </c>
      <c r="F2587" t="s">
        <v>58</v>
      </c>
      <c r="G2587">
        <v>-478.28500000000003</v>
      </c>
      <c r="H2587" s="1">
        <v>2.364208E-6</v>
      </c>
      <c r="I2587">
        <v>216.4425</v>
      </c>
      <c r="J2587">
        <v>-489.35039999999998</v>
      </c>
      <c r="K2587">
        <v>1.1196140000000001</v>
      </c>
      <c r="L2587">
        <v>225.22559999999999</v>
      </c>
      <c r="M2587">
        <v>0.44525510000000001</v>
      </c>
      <c r="N2587">
        <v>-2.0273369999999999E-2</v>
      </c>
      <c r="O2587">
        <v>-0.89517429999999998</v>
      </c>
      <c r="P2587">
        <v>0.73893109999999995</v>
      </c>
      <c r="Q2587">
        <v>-2.826617E-2</v>
      </c>
      <c r="R2587">
        <v>-0.67318769999999895</v>
      </c>
      <c r="S2587">
        <v>2.343445</v>
      </c>
      <c r="T2587">
        <v>-0.23498279999999999</v>
      </c>
      <c r="U2587">
        <v>-1.879013</v>
      </c>
      <c r="V2587">
        <v>-0.36150569999999999</v>
      </c>
      <c r="W2587">
        <v>-1.7471190000000001E-2</v>
      </c>
      <c r="X2587">
        <v>0.93220619999999998</v>
      </c>
      <c r="Y2587">
        <v>-0.41801359999999899</v>
      </c>
      <c r="Z2587">
        <v>6.1335769999999998E-2</v>
      </c>
      <c r="AA2587">
        <v>0.90636779999999995</v>
      </c>
      <c r="AB2587">
        <v>21</v>
      </c>
      <c r="AC2587">
        <v>11.065399999999901</v>
      </c>
      <c r="AD2587">
        <v>-1.1196116357919901</v>
      </c>
      <c r="AE2587">
        <v>-8.7830999999999904</v>
      </c>
      <c r="AF2587">
        <v>-5.9585499421777097</v>
      </c>
      <c r="AG2587">
        <v>-1.1196116357919901</v>
      </c>
      <c r="AH2587">
        <v>12.712118928331</v>
      </c>
      <c r="AI2587">
        <v>94.559592796666095</v>
      </c>
      <c r="AJ2587">
        <v>115.113889617174</v>
      </c>
      <c r="AK2587">
        <v>14.0838849497026</v>
      </c>
      <c r="AL2587">
        <v>91.001076376509602</v>
      </c>
      <c r="AM2587">
        <v>111.196086220212</v>
      </c>
      <c r="AN2587">
        <v>1.0000000064654699</v>
      </c>
    </row>
    <row r="2588" spans="1:40" x14ac:dyDescent="0.25">
      <c r="A2588" t="str">
        <f>"20190305135841459"</f>
        <v>20190305135841459</v>
      </c>
      <c r="B2588" t="str">
        <f>"1551765521451195"</f>
        <v>1551765521451195</v>
      </c>
      <c r="C2588" t="s">
        <v>40</v>
      </c>
      <c r="D2588">
        <v>4.0046249999999999</v>
      </c>
      <c r="E2588">
        <v>0.47061449999999999</v>
      </c>
      <c r="F2588" t="s">
        <v>58</v>
      </c>
      <c r="G2588">
        <v>-478.22620000000001</v>
      </c>
      <c r="H2588" s="1">
        <v>2.3950739999999999E-6</v>
      </c>
      <c r="I2588">
        <v>216.55189999999999</v>
      </c>
      <c r="J2588">
        <v>-489.2407</v>
      </c>
      <c r="K2588">
        <v>1.1195329999999999</v>
      </c>
      <c r="L2588">
        <v>225.0472</v>
      </c>
      <c r="M2588">
        <v>0.45940740000000002</v>
      </c>
      <c r="N2588">
        <v>-2.0278589999999999E-2</v>
      </c>
      <c r="O2588">
        <v>-0.88799430000000001</v>
      </c>
      <c r="P2588">
        <v>0.74804559999999998</v>
      </c>
      <c r="Q2588">
        <v>-2.9155150000000001E-2</v>
      </c>
      <c r="R2588">
        <v>-0.66300700000000001</v>
      </c>
      <c r="S2588">
        <v>2.368439</v>
      </c>
      <c r="T2588">
        <v>-0.23837539999999999</v>
      </c>
      <c r="U2588">
        <v>-1.8467249999999999</v>
      </c>
      <c r="V2588">
        <v>-0.35942770000000002</v>
      </c>
      <c r="W2588">
        <v>-1.8223099999999999E-2</v>
      </c>
      <c r="X2588">
        <v>0.93299500000000002</v>
      </c>
      <c r="Y2588">
        <v>-0.41586339999999999</v>
      </c>
      <c r="Z2588">
        <v>6.228645E-2</v>
      </c>
      <c r="AA2588">
        <v>0.90729159999999998</v>
      </c>
      <c r="AB2588">
        <v>21</v>
      </c>
      <c r="AC2588">
        <v>11.0144999999999</v>
      </c>
      <c r="AD2588">
        <v>-1.1195306049260001</v>
      </c>
      <c r="AE2588">
        <v>-8.4953000000000092</v>
      </c>
      <c r="AF2588">
        <v>-5.8413795408388998</v>
      </c>
      <c r="AG2588">
        <v>-1.1195306049260001</v>
      </c>
      <c r="AH2588">
        <v>12.5253769324628</v>
      </c>
      <c r="AI2588">
        <v>94.631130091176203</v>
      </c>
      <c r="AJ2588">
        <v>115.00263143577401</v>
      </c>
      <c r="AK2588">
        <v>13.865789952821601</v>
      </c>
      <c r="AL2588">
        <v>91.044164504377207</v>
      </c>
      <c r="AM2588">
        <v>111.06871825509801</v>
      </c>
      <c r="AN2588">
        <v>1.0000000114629499</v>
      </c>
    </row>
    <row r="2589" spans="1:40" x14ac:dyDescent="0.25">
      <c r="A2589" t="str">
        <f>"20190305135841482"</f>
        <v>20190305135841482</v>
      </c>
      <c r="B2589" t="str">
        <f>"1551765521471691"</f>
        <v>1551765521471691</v>
      </c>
      <c r="C2589" t="s">
        <v>40</v>
      </c>
      <c r="D2589">
        <v>4.1087800000000003</v>
      </c>
      <c r="E2589">
        <v>0.48310110000000001</v>
      </c>
      <c r="F2589" t="s">
        <v>41</v>
      </c>
      <c r="G2589">
        <v>-488.38150000000002</v>
      </c>
      <c r="H2589">
        <v>1.033229</v>
      </c>
      <c r="I2589">
        <v>224.39429999999999</v>
      </c>
      <c r="J2589">
        <v>-489.12909999999999</v>
      </c>
      <c r="K2589">
        <v>1.119434</v>
      </c>
      <c r="L2589">
        <v>224.8724</v>
      </c>
      <c r="M2589">
        <v>0.4733405</v>
      </c>
      <c r="N2589">
        <v>-2.0272849999999999E-2</v>
      </c>
      <c r="O2589">
        <v>-0.88064629999999999</v>
      </c>
      <c r="P2589">
        <v>0.7575366</v>
      </c>
      <c r="Q2589">
        <v>-2.860762E-2</v>
      </c>
      <c r="R2589">
        <v>-0.65216580000000002</v>
      </c>
      <c r="S2589">
        <v>2.3908999999999998</v>
      </c>
      <c r="T2589">
        <v>-0.24015890000000001</v>
      </c>
      <c r="U2589">
        <v>-1.8167880000000001</v>
      </c>
      <c r="V2589">
        <v>-0.35820030000000003</v>
      </c>
      <c r="W2589">
        <v>-1.7547480000000001E-2</v>
      </c>
      <c r="X2589">
        <v>0.93347979999999997</v>
      </c>
      <c r="Y2589">
        <v>-0.41282039999999998</v>
      </c>
      <c r="Z2589">
        <v>6.2670569999999995E-2</v>
      </c>
      <c r="AA2589">
        <v>0.90865379999999996</v>
      </c>
      <c r="AB2589">
        <v>21</v>
      </c>
      <c r="AC2589">
        <v>0.74759999999997695</v>
      </c>
      <c r="AD2589">
        <v>-8.6204999999999796E-2</v>
      </c>
      <c r="AE2589">
        <v>-0.47810000000001202</v>
      </c>
      <c r="AF2589">
        <v>-0.42811584696329602</v>
      </c>
      <c r="AG2589">
        <v>-8.6204999999999796E-2</v>
      </c>
      <c r="AH2589">
        <v>0.767819870354157</v>
      </c>
      <c r="AI2589">
        <v>95.600498754862002</v>
      </c>
      <c r="AJ2589">
        <v>119.142869886757</v>
      </c>
      <c r="AK2589">
        <v>0.88332430836968101</v>
      </c>
      <c r="AL2589">
        <v>91.005448195464794</v>
      </c>
      <c r="AM2589">
        <v>110.993097487065</v>
      </c>
      <c r="AN2589">
        <v>0.99999995299123901</v>
      </c>
    </row>
    <row r="2590" spans="1:40" x14ac:dyDescent="0.25">
      <c r="A2590" t="str">
        <f>"20190305135841505"</f>
        <v>20190305135841505</v>
      </c>
      <c r="B2590" t="str">
        <f>"1551765521491215"</f>
        <v>1551765521491215</v>
      </c>
      <c r="C2590" t="s">
        <v>40</v>
      </c>
      <c r="D2590">
        <v>4.066891</v>
      </c>
      <c r="E2590">
        <v>0.4763771</v>
      </c>
      <c r="F2590" t="s">
        <v>58</v>
      </c>
      <c r="G2590">
        <v>-480.6037</v>
      </c>
      <c r="H2590" s="1">
        <v>1.810368E-6</v>
      </c>
      <c r="I2590">
        <v>218.12110000000001</v>
      </c>
      <c r="J2590">
        <v>-489.01429999999999</v>
      </c>
      <c r="K2590">
        <v>1.119326</v>
      </c>
      <c r="L2590">
        <v>224.69890000000001</v>
      </c>
      <c r="M2590">
        <v>0.48719580000000001</v>
      </c>
      <c r="N2590">
        <v>-2.025938E-2</v>
      </c>
      <c r="O2590">
        <v>-0.87305779999999999</v>
      </c>
      <c r="P2590">
        <v>0.76805239999999997</v>
      </c>
      <c r="Q2590">
        <v>-2.671171E-2</v>
      </c>
      <c r="R2590">
        <v>-0.63982989999999995</v>
      </c>
      <c r="S2590">
        <v>2.3479000000000001</v>
      </c>
      <c r="T2590">
        <v>-0.30829309999999899</v>
      </c>
      <c r="U2590">
        <v>-1.8593139999999999</v>
      </c>
      <c r="V2590">
        <v>-0.35865269999999999</v>
      </c>
      <c r="W2590">
        <v>-1.55633E-2</v>
      </c>
      <c r="X2590">
        <v>0.93334130000000004</v>
      </c>
      <c r="Y2590">
        <v>-0.378606</v>
      </c>
      <c r="Z2590">
        <v>8.362907E-2</v>
      </c>
      <c r="AA2590">
        <v>0.92177200000000004</v>
      </c>
      <c r="AB2590">
        <v>21</v>
      </c>
      <c r="AC2590">
        <v>8.4105999999999792</v>
      </c>
      <c r="AD2590">
        <v>-1.1193241896320001</v>
      </c>
      <c r="AE2590">
        <v>-6.5777999999999901</v>
      </c>
      <c r="AF2590">
        <v>-4.0941195852909997</v>
      </c>
      <c r="AG2590">
        <v>-1.1193241896320001</v>
      </c>
      <c r="AH2590">
        <v>9.7354386747192194</v>
      </c>
      <c r="AI2590">
        <v>96.049839464592097</v>
      </c>
      <c r="AJ2590">
        <v>112.80859200627199</v>
      </c>
      <c r="AK2590">
        <v>10.620426922180499</v>
      </c>
      <c r="AL2590">
        <v>90.891747425873703</v>
      </c>
      <c r="AM2590">
        <v>111.020143781977</v>
      </c>
      <c r="AN2590">
        <v>0.99999997890493397</v>
      </c>
    </row>
    <row r="2591" spans="1:40" x14ac:dyDescent="0.25">
      <c r="A2591" t="str">
        <f>"20190305135841529"</f>
        <v>20190305135841529</v>
      </c>
      <c r="B2591" t="str">
        <f>"1551765521521467"</f>
        <v>1551765521521467</v>
      </c>
      <c r="C2591" t="s">
        <v>40</v>
      </c>
      <c r="D2591">
        <v>4.0765690000000001</v>
      </c>
      <c r="E2591">
        <v>0.47732950000000002</v>
      </c>
      <c r="F2591" t="s">
        <v>58</v>
      </c>
      <c r="G2591">
        <v>-476.4316</v>
      </c>
      <c r="H2591" s="1">
        <v>3.1424019999999998E-6</v>
      </c>
      <c r="I2591">
        <v>215.44200000000001</v>
      </c>
      <c r="J2591">
        <v>-488.89499999999998</v>
      </c>
      <c r="K2591">
        <v>1.1192040000000001</v>
      </c>
      <c r="L2591">
        <v>224.52449999999999</v>
      </c>
      <c r="M2591">
        <v>0.5011274</v>
      </c>
      <c r="N2591">
        <v>-2.0239739999999999E-2</v>
      </c>
      <c r="O2591">
        <v>-0.86513680000000004</v>
      </c>
      <c r="P2591">
        <v>0.77883659999999999</v>
      </c>
      <c r="Q2591">
        <v>-2.488108E-2</v>
      </c>
      <c r="R2591">
        <v>-0.62673319999999999</v>
      </c>
      <c r="S2591">
        <v>2.4171749999999999</v>
      </c>
      <c r="T2591">
        <v>-0.21502450000000001</v>
      </c>
      <c r="U2591">
        <v>-1.7782750000000001</v>
      </c>
      <c r="V2591">
        <v>-0.35959180000000002</v>
      </c>
      <c r="W2591">
        <v>-1.3653510000000001E-2</v>
      </c>
      <c r="X2591">
        <v>0.9330098</v>
      </c>
      <c r="Y2591">
        <v>-0.39837240000000002</v>
      </c>
      <c r="Z2591">
        <v>5.3941759999999998E-2</v>
      </c>
      <c r="AA2591">
        <v>0.91563620000000001</v>
      </c>
      <c r="AB2591">
        <v>21</v>
      </c>
      <c r="AC2591">
        <v>12.463399999999901</v>
      </c>
      <c r="AD2591">
        <v>-1.1192008575979999</v>
      </c>
      <c r="AE2591">
        <v>-9.08249999999998</v>
      </c>
      <c r="AF2591">
        <v>-6.1996801136130699</v>
      </c>
      <c r="AG2591">
        <v>-1.1192008575979999</v>
      </c>
      <c r="AH2591">
        <v>14.0323392604516</v>
      </c>
      <c r="AI2591">
        <v>94.172647269107401</v>
      </c>
      <c r="AJ2591">
        <v>113.836499699805</v>
      </c>
      <c r="AK2591">
        <v>15.3816510554357</v>
      </c>
      <c r="AL2591">
        <v>90.782312818638502</v>
      </c>
      <c r="AM2591">
        <v>111.07718790483</v>
      </c>
      <c r="AN2591">
        <v>0.99999998392929901</v>
      </c>
    </row>
    <row r="2592" spans="1:40" x14ac:dyDescent="0.25">
      <c r="A2592" t="str">
        <f>"20190305135841550"</f>
        <v>20190305135841550</v>
      </c>
      <c r="B2592" t="str">
        <f>"1551765521540987"</f>
        <v>1551765521540987</v>
      </c>
      <c r="C2592" t="s">
        <v>40</v>
      </c>
      <c r="D2592">
        <v>4.1863429999999999</v>
      </c>
      <c r="E2592">
        <v>0.47722439999999999</v>
      </c>
      <c r="F2592" t="s">
        <v>58</v>
      </c>
      <c r="G2592">
        <v>-476.053</v>
      </c>
      <c r="H2592" s="1">
        <v>3.3064030000000001E-6</v>
      </c>
      <c r="I2592">
        <v>215.35339999999999</v>
      </c>
      <c r="J2592">
        <v>-488.77870000000001</v>
      </c>
      <c r="K2592">
        <v>1.11907</v>
      </c>
      <c r="L2592">
        <v>224.35990000000001</v>
      </c>
      <c r="M2592">
        <v>0.51425650000000001</v>
      </c>
      <c r="N2592">
        <v>-2.021595E-2</v>
      </c>
      <c r="O2592">
        <v>-0.85739829999999995</v>
      </c>
      <c r="P2592">
        <v>0.7886801</v>
      </c>
      <c r="Q2592">
        <v>-2.5901750000000001E-2</v>
      </c>
      <c r="R2592">
        <v>-0.61425819999999998</v>
      </c>
      <c r="S2592">
        <v>2.4418030000000002</v>
      </c>
      <c r="T2592">
        <v>-0.21280679999999999</v>
      </c>
      <c r="U2592">
        <v>-1.7438049999999901</v>
      </c>
      <c r="V2592">
        <v>-0.36017379999999999</v>
      </c>
      <c r="W2592">
        <v>-1.4592590000000001E-2</v>
      </c>
      <c r="X2592">
        <v>0.93277109999999996</v>
      </c>
      <c r="Y2592">
        <v>-0.39736320000000003</v>
      </c>
      <c r="Z2592">
        <v>5.3084659999999999E-2</v>
      </c>
      <c r="AA2592">
        <v>0.91612470000000001</v>
      </c>
      <c r="AB2592">
        <v>21</v>
      </c>
      <c r="AC2592">
        <v>12.7256999999999</v>
      </c>
      <c r="AD2592">
        <v>-1.119066693597</v>
      </c>
      <c r="AE2592">
        <v>-9.0065000000000097</v>
      </c>
      <c r="AF2592">
        <v>-6.2484315069124099</v>
      </c>
      <c r="AG2592">
        <v>-1.119066693597</v>
      </c>
      <c r="AH2592">
        <v>14.196203382135099</v>
      </c>
      <c r="AI2592">
        <v>94.126685767748796</v>
      </c>
      <c r="AJ2592">
        <v>113.756601790343</v>
      </c>
      <c r="AK2592">
        <v>15.5508005269258</v>
      </c>
      <c r="AL2592">
        <v>90.836123480906494</v>
      </c>
      <c r="AM2592">
        <v>111.11322534017</v>
      </c>
      <c r="AN2592">
        <v>1.0000000174422701</v>
      </c>
    </row>
    <row r="2593" spans="1:40" x14ac:dyDescent="0.25">
      <c r="A2593" t="str">
        <f>"20190305135841572"</f>
        <v>20190305135841572</v>
      </c>
      <c r="B2593" t="str">
        <f>"1551765521561483"</f>
        <v>1551765521561483</v>
      </c>
      <c r="C2593" t="s">
        <v>40</v>
      </c>
      <c r="D2593">
        <v>4.1825590000000004</v>
      </c>
      <c r="E2593">
        <v>0.45128859999999899</v>
      </c>
      <c r="F2593" t="s">
        <v>58</v>
      </c>
      <c r="G2593">
        <v>-476.22809999999998</v>
      </c>
      <c r="H2593" s="1">
        <v>3.243831E-6</v>
      </c>
      <c r="I2593">
        <v>215.6977</v>
      </c>
      <c r="J2593">
        <v>-488.67059999999998</v>
      </c>
      <c r="K2593">
        <v>1.118938</v>
      </c>
      <c r="L2593">
        <v>224.2115</v>
      </c>
      <c r="M2593">
        <v>0.52607009999999998</v>
      </c>
      <c r="N2593">
        <v>-2.0189829999999999E-2</v>
      </c>
      <c r="O2593">
        <v>-0.8502016</v>
      </c>
      <c r="P2593">
        <v>0.79735210000000001</v>
      </c>
      <c r="Q2593">
        <v>-2.6696080000000001E-2</v>
      </c>
      <c r="R2593">
        <v>-0.60292389999999996</v>
      </c>
      <c r="S2593">
        <v>2.4692690000000002</v>
      </c>
      <c r="T2593">
        <v>-0.2201697</v>
      </c>
      <c r="U2593">
        <v>-1.7042389999999901</v>
      </c>
      <c r="V2593">
        <v>-0.36056440000000001</v>
      </c>
      <c r="W2593">
        <v>-1.5309629999999999E-2</v>
      </c>
      <c r="X2593">
        <v>0.93260869999999996</v>
      </c>
      <c r="Y2593">
        <v>-0.39924749999999998</v>
      </c>
      <c r="Z2593">
        <v>5.5364080000000003E-2</v>
      </c>
      <c r="AA2593">
        <v>0.91517009999999999</v>
      </c>
      <c r="AB2593">
        <v>21</v>
      </c>
      <c r="AC2593">
        <v>12.4424999999999</v>
      </c>
      <c r="AD2593">
        <v>-1.118934756169</v>
      </c>
      <c r="AE2593">
        <v>-8.5137999999999998</v>
      </c>
      <c r="AF2593">
        <v>-6.0675994736757302</v>
      </c>
      <c r="AG2593">
        <v>-1.118934756169</v>
      </c>
      <c r="AH2593">
        <v>13.711358118184201</v>
      </c>
      <c r="AI2593">
        <v>94.267843240420802</v>
      </c>
      <c r="AJ2593">
        <v>113.87052053825801</v>
      </c>
      <c r="AK2593">
        <v>15.0355950931983</v>
      </c>
      <c r="AL2593">
        <v>90.8772114289646</v>
      </c>
      <c r="AM2593">
        <v>111.13745728396199</v>
      </c>
      <c r="AN2593">
        <v>1.00000002931689</v>
      </c>
    </row>
    <row r="2594" spans="1:40" x14ac:dyDescent="0.25">
      <c r="A2594" t="str">
        <f>"20190305135841595"</f>
        <v>20190305135841595</v>
      </c>
      <c r="B2594" t="str">
        <f>"1551765521591740"</f>
        <v>1551765521591740</v>
      </c>
      <c r="C2594" t="s">
        <v>40</v>
      </c>
      <c r="D2594">
        <v>4.2562069999999999</v>
      </c>
      <c r="E2594">
        <v>0.45250360000000001</v>
      </c>
      <c r="F2594" t="s">
        <v>41</v>
      </c>
      <c r="G2594">
        <v>-487.88060000000002</v>
      </c>
      <c r="H2594">
        <v>1.02573799999999</v>
      </c>
      <c r="I2594">
        <v>223.7561</v>
      </c>
      <c r="J2594">
        <v>-488.548</v>
      </c>
      <c r="K2594">
        <v>1.118787</v>
      </c>
      <c r="L2594">
        <v>224.04820000000001</v>
      </c>
      <c r="M2594">
        <v>0.53902720000000004</v>
      </c>
      <c r="N2594">
        <v>-2.0155679999999999E-2</v>
      </c>
      <c r="O2594">
        <v>-0.8420474</v>
      </c>
      <c r="P2594">
        <v>0.80756899999999998</v>
      </c>
      <c r="Q2594">
        <v>-2.4560950000000002E-2</v>
      </c>
      <c r="R2594">
        <v>-0.58926179999999995</v>
      </c>
      <c r="S2594">
        <v>2.6133419999999998</v>
      </c>
      <c r="T2594">
        <v>-0.30821340000000003</v>
      </c>
      <c r="U2594">
        <v>-1.5060119999999999</v>
      </c>
      <c r="V2594">
        <v>-0.36226540000000002</v>
      </c>
      <c r="W2594">
        <v>-1.3121249999999999E-2</v>
      </c>
      <c r="X2594">
        <v>0.93198259999999999</v>
      </c>
      <c r="Y2594">
        <v>-0.45654899999999998</v>
      </c>
      <c r="Z2594">
        <v>8.4681129999999993E-2</v>
      </c>
      <c r="AA2594">
        <v>0.88565919999999898</v>
      </c>
      <c r="AB2594">
        <v>21</v>
      </c>
      <c r="AC2594">
        <v>0.667399999999986</v>
      </c>
      <c r="AD2594">
        <v>-9.3049000000000104E-2</v>
      </c>
      <c r="AE2594">
        <v>-0.29210000000000402</v>
      </c>
      <c r="AF2594">
        <v>-0.39812011884415999</v>
      </c>
      <c r="AG2594">
        <v>-9.3049000000000104E-2</v>
      </c>
      <c r="AH2594">
        <v>0.596107372179279</v>
      </c>
      <c r="AI2594">
        <v>97.396005710369394</v>
      </c>
      <c r="AJ2594">
        <v>123.737632442955</v>
      </c>
      <c r="AK2594">
        <v>0.72284282150130896</v>
      </c>
      <c r="AL2594">
        <v>90.751813838250101</v>
      </c>
      <c r="AM2594">
        <v>111.24130509285099</v>
      </c>
      <c r="AN2594">
        <v>0.99999997697074094</v>
      </c>
    </row>
    <row r="2595" spans="1:40" x14ac:dyDescent="0.25">
      <c r="A2595" t="str">
        <f>"20190305135841617"</f>
        <v>20190305135841617</v>
      </c>
      <c r="B2595" t="str">
        <f>"1551765521611260"</f>
        <v>1551765521611260</v>
      </c>
      <c r="C2595" t="s">
        <v>40</v>
      </c>
      <c r="D2595">
        <v>4.2068820000000002</v>
      </c>
      <c r="E2595">
        <v>0.45334150000000001</v>
      </c>
      <c r="F2595" t="s">
        <v>41</v>
      </c>
      <c r="G2595">
        <v>-487.74220000000003</v>
      </c>
      <c r="H2595">
        <v>1.0302199999999999</v>
      </c>
      <c r="I2595">
        <v>223.5984</v>
      </c>
      <c r="J2595">
        <v>-488.4298</v>
      </c>
      <c r="K2595">
        <v>1.1186370000000001</v>
      </c>
      <c r="L2595">
        <v>223.8955</v>
      </c>
      <c r="M2595">
        <v>0.55109659999999905</v>
      </c>
      <c r="N2595">
        <v>-2.0117980000000001E-2</v>
      </c>
      <c r="O2595">
        <v>-0.83419900000000002</v>
      </c>
      <c r="P2595">
        <v>0.81725000000000003</v>
      </c>
      <c r="Q2595">
        <v>-2.2398189999999998E-2</v>
      </c>
      <c r="R2595">
        <v>-0.57584789999999997</v>
      </c>
      <c r="S2595">
        <v>2.6336360000000001</v>
      </c>
      <c r="T2595">
        <v>-0.28939199999999998</v>
      </c>
      <c r="U2595">
        <v>-1.469681</v>
      </c>
      <c r="V2595">
        <v>-0.36432999999999999</v>
      </c>
      <c r="W2595">
        <v>-1.0914760000000001E-2</v>
      </c>
      <c r="X2595">
        <v>0.93120590000000003</v>
      </c>
      <c r="Y2595">
        <v>-0.45649450000000003</v>
      </c>
      <c r="Z2595">
        <v>7.8453770000000006E-2</v>
      </c>
      <c r="AA2595">
        <v>0.88626059999999995</v>
      </c>
      <c r="AB2595">
        <v>20</v>
      </c>
      <c r="AC2595">
        <v>0.68759999999997401</v>
      </c>
      <c r="AD2595">
        <v>-8.8416999999999898E-2</v>
      </c>
      <c r="AE2595">
        <v>-0.29709999999999998</v>
      </c>
      <c r="AF2595">
        <v>-0.40431385476245502</v>
      </c>
      <c r="AG2595">
        <v>-8.8416999999999898E-2</v>
      </c>
      <c r="AH2595">
        <v>0.61828646806397203</v>
      </c>
      <c r="AI2595">
        <v>96.824981319393899</v>
      </c>
      <c r="AJ2595">
        <v>123.181733043119</v>
      </c>
      <c r="AK2595">
        <v>0.74401976830786998</v>
      </c>
      <c r="AL2595">
        <v>90.625382128416703</v>
      </c>
      <c r="AM2595">
        <v>111.36769190689201</v>
      </c>
      <c r="AN2595">
        <v>0.99999995454033197</v>
      </c>
    </row>
    <row r="2596" spans="1:40" x14ac:dyDescent="0.25">
      <c r="A2596" t="str">
        <f>"20190305135841639"</f>
        <v>20190305135841639</v>
      </c>
      <c r="B2596" t="str">
        <f>"1551765521631755"</f>
        <v>1551765521631755</v>
      </c>
      <c r="C2596" t="s">
        <v>40</v>
      </c>
      <c r="D2596">
        <v>4.2988400000000002</v>
      </c>
      <c r="E2596">
        <v>0.45567960000000002</v>
      </c>
      <c r="F2596" t="s">
        <v>41</v>
      </c>
      <c r="G2596">
        <v>-487.61430000000001</v>
      </c>
      <c r="H2596">
        <v>1.033269</v>
      </c>
      <c r="I2596">
        <v>223.4555</v>
      </c>
      <c r="J2596">
        <v>-488.3082</v>
      </c>
      <c r="K2596">
        <v>1.118455</v>
      </c>
      <c r="L2596">
        <v>223.74289999999999</v>
      </c>
      <c r="M2596">
        <v>0.56307669999999999</v>
      </c>
      <c r="N2596">
        <v>-2.0065949999999999E-2</v>
      </c>
      <c r="O2596">
        <v>-0.82616100000000003</v>
      </c>
      <c r="P2596">
        <v>0.82575109999999996</v>
      </c>
      <c r="Q2596">
        <v>-2.2258429999999999E-2</v>
      </c>
      <c r="R2596">
        <v>-0.56359550000000003</v>
      </c>
      <c r="S2596">
        <v>2.6543269999999999</v>
      </c>
      <c r="T2596">
        <v>-0.2777925</v>
      </c>
      <c r="U2596">
        <v>-1.431808</v>
      </c>
      <c r="V2596">
        <v>-0.36479050000000002</v>
      </c>
      <c r="W2596">
        <v>-1.068591E-2</v>
      </c>
      <c r="X2596">
        <v>0.93102830000000003</v>
      </c>
      <c r="Y2596">
        <v>-0.45665879999999998</v>
      </c>
      <c r="Z2596">
        <v>7.4559719999999996E-2</v>
      </c>
      <c r="AA2596">
        <v>0.88651199999999997</v>
      </c>
      <c r="AB2596">
        <v>20</v>
      </c>
      <c r="AC2596">
        <v>0.69389999999998497</v>
      </c>
      <c r="AD2596">
        <v>-8.5185999999999901E-2</v>
      </c>
      <c r="AE2596">
        <v>-0.287399999999991</v>
      </c>
      <c r="AF2596">
        <v>-0.40630098457032998</v>
      </c>
      <c r="AG2596">
        <v>-8.5185999999999901E-2</v>
      </c>
      <c r="AH2596">
        <v>0.62030435824087804</v>
      </c>
      <c r="AI2596">
        <v>96.553388570057706</v>
      </c>
      <c r="AJ2596">
        <v>123.22490415360799</v>
      </c>
      <c r="AK2596">
        <v>0.74640112641357104</v>
      </c>
      <c r="AL2596">
        <v>90.612269198155502</v>
      </c>
      <c r="AM2596">
        <v>111.395972126808</v>
      </c>
      <c r="AN2596">
        <v>0.99999999648183402</v>
      </c>
    </row>
    <row r="2597" spans="1:40" x14ac:dyDescent="0.25">
      <c r="A2597" t="str">
        <f>"20190305135841661"</f>
        <v>20190305135841661</v>
      </c>
      <c r="B2597" t="str">
        <f>"1551765521651275"</f>
        <v>1551765521651275</v>
      </c>
      <c r="C2597" t="s">
        <v>40</v>
      </c>
      <c r="D2597">
        <v>4.2226419999999996</v>
      </c>
      <c r="E2597">
        <v>0.45669140000000003</v>
      </c>
      <c r="F2597" t="s">
        <v>41</v>
      </c>
      <c r="G2597">
        <v>-487.42329999999998</v>
      </c>
      <c r="H2597">
        <v>1.024338</v>
      </c>
      <c r="I2597">
        <v>223.27529999999999</v>
      </c>
      <c r="J2597">
        <v>-488.18900000000002</v>
      </c>
      <c r="K2597">
        <v>1.1182700000000001</v>
      </c>
      <c r="L2597">
        <v>223.59739999999999</v>
      </c>
      <c r="M2597">
        <v>0.57440789999999997</v>
      </c>
      <c r="N2597">
        <v>-2.000006E-2</v>
      </c>
      <c r="O2597">
        <v>-0.81832499999999997</v>
      </c>
      <c r="P2597">
        <v>0.8327618</v>
      </c>
      <c r="Q2597">
        <v>-2.4333130000000001E-2</v>
      </c>
      <c r="R2597">
        <v>-0.55309680000000006</v>
      </c>
      <c r="S2597">
        <v>2.6645810000000001</v>
      </c>
      <c r="T2597">
        <v>-0.28337180000000001</v>
      </c>
      <c r="U2597">
        <v>-1.4078059999999999</v>
      </c>
      <c r="V2597">
        <v>-0.3636645</v>
      </c>
      <c r="W2597">
        <v>-1.2632610000000001E-2</v>
      </c>
      <c r="X2597">
        <v>0.9314443</v>
      </c>
      <c r="Y2597">
        <v>-0.4519241</v>
      </c>
      <c r="Z2597">
        <v>7.5989180000000003E-2</v>
      </c>
      <c r="AA2597">
        <v>0.88881399999999999</v>
      </c>
      <c r="AB2597">
        <v>20</v>
      </c>
      <c r="AC2597">
        <v>0.76570000000003802</v>
      </c>
      <c r="AD2597">
        <v>-9.3932000000000099E-2</v>
      </c>
      <c r="AE2597">
        <v>-0.32210000000000599</v>
      </c>
      <c r="AF2597">
        <v>-0.43608695453959301</v>
      </c>
      <c r="AG2597">
        <v>-9.3932000000000099E-2</v>
      </c>
      <c r="AH2597">
        <v>0.69466495548074603</v>
      </c>
      <c r="AI2597">
        <v>96.5332224422758</v>
      </c>
      <c r="AJ2597">
        <v>122.119199715739</v>
      </c>
      <c r="AK2597">
        <v>0.82556311261870496</v>
      </c>
      <c r="AL2597">
        <v>90.723814512881106</v>
      </c>
      <c r="AM2597">
        <v>111.32720256131</v>
      </c>
      <c r="AN2597">
        <v>0.99999996769907495</v>
      </c>
    </row>
    <row r="2598" spans="1:40" x14ac:dyDescent="0.25">
      <c r="A2598" t="str">
        <f>"20190305135841684"</f>
        <v>20190305135841684</v>
      </c>
      <c r="B2598" t="str">
        <f>"1551765521681532"</f>
        <v>1551765521681532</v>
      </c>
      <c r="C2598" t="s">
        <v>40</v>
      </c>
      <c r="D2598">
        <v>4.1958270000000004</v>
      </c>
      <c r="E2598">
        <v>0.45904010000000001</v>
      </c>
      <c r="F2598" t="s">
        <v>41</v>
      </c>
      <c r="G2598">
        <v>-487.31330000000003</v>
      </c>
      <c r="H2598">
        <v>1.0251220000000001</v>
      </c>
      <c r="I2598">
        <v>223.14619999999999</v>
      </c>
      <c r="J2598">
        <v>-488.05950000000001</v>
      </c>
      <c r="K2598">
        <v>1.118069</v>
      </c>
      <c r="L2598">
        <v>223.44390000000001</v>
      </c>
      <c r="M2598">
        <v>0.58626369999999906</v>
      </c>
      <c r="N2598">
        <v>-1.99223E-2</v>
      </c>
      <c r="O2598">
        <v>-0.80987549999999997</v>
      </c>
      <c r="P2598">
        <v>0.8397654</v>
      </c>
      <c r="Q2598">
        <v>-2.4699059999999998E-2</v>
      </c>
      <c r="R2598">
        <v>-0.54238769999999903</v>
      </c>
      <c r="S2598">
        <v>2.6775509999999998</v>
      </c>
      <c r="T2598">
        <v>-0.28485389999999999</v>
      </c>
      <c r="U2598">
        <v>-1.37999</v>
      </c>
      <c r="V2598">
        <v>-0.36201909999999998</v>
      </c>
      <c r="W2598">
        <v>-1.285115E-2</v>
      </c>
      <c r="X2598">
        <v>0.93208210000000002</v>
      </c>
      <c r="Y2598">
        <v>-0.44796619999999998</v>
      </c>
      <c r="Z2598">
        <v>7.6089050000000005E-2</v>
      </c>
      <c r="AA2598">
        <v>0.89080680000000001</v>
      </c>
      <c r="AB2598">
        <v>20</v>
      </c>
      <c r="AC2598">
        <v>0.74619999999998698</v>
      </c>
      <c r="AD2598">
        <v>-9.2947000000000099E-2</v>
      </c>
      <c r="AE2598">
        <v>-0.29770000000002</v>
      </c>
      <c r="AF2598">
        <v>-0.42420568815728399</v>
      </c>
      <c r="AG2598">
        <v>-9.2947000000000099E-2</v>
      </c>
      <c r="AH2598">
        <v>0.66974008963995202</v>
      </c>
      <c r="AI2598">
        <v>96.686925165186096</v>
      </c>
      <c r="AJ2598">
        <v>122.34970044108201</v>
      </c>
      <c r="AK2598">
        <v>0.79821137447729096</v>
      </c>
      <c r="AL2598">
        <v>90.736336917678202</v>
      </c>
      <c r="AM2598">
        <v>111.22608518348299</v>
      </c>
      <c r="AN2598">
        <v>1.0000000109807701</v>
      </c>
    </row>
    <row r="2599" spans="1:40" x14ac:dyDescent="0.25">
      <c r="A2599" t="str">
        <f>"20190305135841706"</f>
        <v>20190305135841706</v>
      </c>
      <c r="B2599" t="str">
        <f>"1551765521701052"</f>
        <v>1551765521701052</v>
      </c>
      <c r="C2599" t="s">
        <v>40</v>
      </c>
      <c r="D2599">
        <v>4.2247490000000001</v>
      </c>
      <c r="E2599">
        <v>0.46002749999999998</v>
      </c>
      <c r="F2599" t="s">
        <v>41</v>
      </c>
      <c r="G2599">
        <v>-487.20690000000002</v>
      </c>
      <c r="H2599">
        <v>1.0285359999999999</v>
      </c>
      <c r="I2599">
        <v>223.01169999999999</v>
      </c>
      <c r="J2599">
        <v>-487.93380000000002</v>
      </c>
      <c r="K2599">
        <v>1.1178889999999999</v>
      </c>
      <c r="L2599">
        <v>223.2987</v>
      </c>
      <c r="M2599">
        <v>0.59735740000000004</v>
      </c>
      <c r="N2599">
        <v>-1.9843840000000001E-2</v>
      </c>
      <c r="O2599">
        <v>-0.80172949999999998</v>
      </c>
      <c r="P2599">
        <v>0.84698180000000001</v>
      </c>
      <c r="Q2599">
        <v>-2.1621390000000001E-2</v>
      </c>
      <c r="R2599">
        <v>-0.53118160000000003</v>
      </c>
      <c r="S2599">
        <v>2.6852719999999999</v>
      </c>
      <c r="T2599">
        <v>-0.28191359999999999</v>
      </c>
      <c r="U2599">
        <v>-1.360733</v>
      </c>
      <c r="V2599">
        <v>-0.36170099999999999</v>
      </c>
      <c r="W2599">
        <v>-9.6627740000000007E-3</v>
      </c>
      <c r="X2599">
        <v>0.93224410000000002</v>
      </c>
      <c r="Y2599">
        <v>-0.4418723</v>
      </c>
      <c r="Z2599">
        <v>7.4735480000000007E-2</v>
      </c>
      <c r="AA2599">
        <v>0.89395939999999996</v>
      </c>
      <c r="AB2599">
        <v>20</v>
      </c>
      <c r="AC2599">
        <v>0.72689999999999999</v>
      </c>
      <c r="AD2599">
        <v>-8.9352999999999794E-2</v>
      </c>
      <c r="AE2599">
        <v>-0.28700000000000597</v>
      </c>
      <c r="AF2599">
        <v>-0.40610787020780797</v>
      </c>
      <c r="AG2599">
        <v>-8.9352999999999794E-2</v>
      </c>
      <c r="AH2599">
        <v>0.65587256974138197</v>
      </c>
      <c r="AI2599">
        <v>96.607064465220901</v>
      </c>
      <c r="AJ2599">
        <v>121.76525956789</v>
      </c>
      <c r="AK2599">
        <v>0.77657993058853003</v>
      </c>
      <c r="AL2599">
        <v>90.553644772035398</v>
      </c>
      <c r="AM2599">
        <v>111.205734391931</v>
      </c>
      <c r="AN2599">
        <v>1.0000000222935901</v>
      </c>
    </row>
    <row r="2600" spans="1:40" x14ac:dyDescent="0.25">
      <c r="A2600" t="str">
        <f>"20190305135841730"</f>
        <v>20190305135841730</v>
      </c>
      <c r="B2600" t="str">
        <f>"1551765521721547"</f>
        <v>1551765521721547</v>
      </c>
      <c r="C2600" t="s">
        <v>40</v>
      </c>
      <c r="D2600">
        <v>4.2137640000000003</v>
      </c>
      <c r="E2600">
        <v>0.46134629999999999</v>
      </c>
      <c r="F2600" t="s">
        <v>41</v>
      </c>
      <c r="G2600">
        <v>-487.0625</v>
      </c>
      <c r="H2600">
        <v>1.030834</v>
      </c>
      <c r="I2600">
        <v>222.86869999999999</v>
      </c>
      <c r="J2600">
        <v>-487.80160000000001</v>
      </c>
      <c r="K2600">
        <v>1.1176919999999999</v>
      </c>
      <c r="L2600">
        <v>223.1499</v>
      </c>
      <c r="M2600">
        <v>0.60857410000000001</v>
      </c>
      <c r="N2600">
        <v>-1.974973E-2</v>
      </c>
      <c r="O2600">
        <v>-0.79325140000000005</v>
      </c>
      <c r="P2600">
        <v>0.85396749999999899</v>
      </c>
      <c r="Q2600">
        <v>-1.8011260000000001E-2</v>
      </c>
      <c r="R2600">
        <v>-0.52001489999999995</v>
      </c>
      <c r="S2600">
        <v>2.699646</v>
      </c>
      <c r="T2600">
        <v>-0.26969179999999998</v>
      </c>
      <c r="U2600">
        <v>-1.3321989999999999</v>
      </c>
      <c r="V2600">
        <v>-0.36096549999999999</v>
      </c>
      <c r="W2600">
        <v>-5.9306360000000004E-3</v>
      </c>
      <c r="X2600">
        <v>0.93256030000000001</v>
      </c>
      <c r="Y2600">
        <v>-0.43908049999999998</v>
      </c>
      <c r="Z2600">
        <v>7.0593219999999998E-2</v>
      </c>
      <c r="AA2600">
        <v>0.89567009999999903</v>
      </c>
      <c r="AB2600">
        <v>20</v>
      </c>
      <c r="AC2600">
        <v>0.73910000000000697</v>
      </c>
      <c r="AD2600">
        <v>-8.6857999999999796E-2</v>
      </c>
      <c r="AE2600">
        <v>-0.281200000000012</v>
      </c>
      <c r="AF2600">
        <v>-0.410292123061959</v>
      </c>
      <c r="AG2600">
        <v>-8.6857999999999796E-2</v>
      </c>
      <c r="AH2600">
        <v>0.66496821193302902</v>
      </c>
      <c r="AI2600">
        <v>96.343110857086103</v>
      </c>
      <c r="AJ2600">
        <v>121.675006194285</v>
      </c>
      <c r="AK2600">
        <v>0.78617215754063696</v>
      </c>
      <c r="AL2600">
        <v>90.339802408371995</v>
      </c>
      <c r="AM2600">
        <v>111.159892789848</v>
      </c>
      <c r="AN2600">
        <v>0.99999998888485198</v>
      </c>
    </row>
    <row r="2601" spans="1:40" x14ac:dyDescent="0.25">
      <c r="A2601" t="str">
        <f>"20190305135841752"</f>
        <v>20190305135841752</v>
      </c>
      <c r="B2601" t="str">
        <f>"1551765521741067"</f>
        <v>1551765521741067</v>
      </c>
      <c r="C2601" t="s">
        <v>40</v>
      </c>
      <c r="D2601">
        <v>4.2466989999999996</v>
      </c>
      <c r="E2601">
        <v>0.46247280000000002</v>
      </c>
      <c r="F2601" t="s">
        <v>41</v>
      </c>
      <c r="G2601">
        <v>-486.904</v>
      </c>
      <c r="H2601">
        <v>1.031676</v>
      </c>
      <c r="I2601">
        <v>222.71719999999999</v>
      </c>
      <c r="J2601">
        <v>-487.6687</v>
      </c>
      <c r="K2601">
        <v>1.1174649999999999</v>
      </c>
      <c r="L2601">
        <v>223.00380000000001</v>
      </c>
      <c r="M2601">
        <v>0.61937030000000004</v>
      </c>
      <c r="N2601">
        <v>-1.964281E-2</v>
      </c>
      <c r="O2601">
        <v>-0.78485329999999998</v>
      </c>
      <c r="P2601">
        <v>0.85939569999999998</v>
      </c>
      <c r="Q2601">
        <v>-1.6950819999999998E-2</v>
      </c>
      <c r="R2601">
        <v>-0.51102999999999998</v>
      </c>
      <c r="S2601">
        <v>2.711884</v>
      </c>
      <c r="T2601">
        <v>-0.25977470000000003</v>
      </c>
      <c r="U2601">
        <v>-1.306656</v>
      </c>
      <c r="V2601">
        <v>-0.35802410000000001</v>
      </c>
      <c r="W2601">
        <v>-4.691583E-3</v>
      </c>
      <c r="X2601">
        <v>0.93370059999999999</v>
      </c>
      <c r="Y2601">
        <v>-0.43548019999999998</v>
      </c>
      <c r="Z2601">
        <v>6.7182549999999994E-2</v>
      </c>
      <c r="AA2601">
        <v>0.89768789999999998</v>
      </c>
      <c r="AB2601">
        <v>20</v>
      </c>
      <c r="AC2601">
        <v>0.76470000000000404</v>
      </c>
      <c r="AD2601">
        <v>-8.5788999999999893E-2</v>
      </c>
      <c r="AE2601">
        <v>-0.286600000000021</v>
      </c>
      <c r="AF2601">
        <v>-0.41813295289554397</v>
      </c>
      <c r="AG2601">
        <v>-8.5788999999999893E-2</v>
      </c>
      <c r="AH2601">
        <v>0.69107966376638397</v>
      </c>
      <c r="AI2601">
        <v>96.062662805038201</v>
      </c>
      <c r="AJ2601">
        <v>121.175744153705</v>
      </c>
      <c r="AK2601">
        <v>0.81227213450271996</v>
      </c>
      <c r="AL2601">
        <v>90.268808880838506</v>
      </c>
      <c r="AM2601">
        <v>110.979139664486</v>
      </c>
      <c r="AN2601">
        <v>1.0000000387861001</v>
      </c>
    </row>
    <row r="2602" spans="1:40" x14ac:dyDescent="0.25">
      <c r="A2602" t="str">
        <f>"20190305135841774"</f>
        <v>20190305135841774</v>
      </c>
      <c r="B2602" t="str">
        <f>"1551765521761563"</f>
        <v>1551765521761563</v>
      </c>
      <c r="C2602" t="s">
        <v>40</v>
      </c>
      <c r="D2602">
        <v>4.468159</v>
      </c>
      <c r="E2602">
        <v>0.46361849999999999</v>
      </c>
      <c r="F2602" t="s">
        <v>58</v>
      </c>
      <c r="G2602">
        <v>-475.85550000000001</v>
      </c>
      <c r="H2602" s="1">
        <v>3.4843959999999999E-6</v>
      </c>
      <c r="I2602">
        <v>217.42160000000001</v>
      </c>
      <c r="J2602">
        <v>-487.54489999999998</v>
      </c>
      <c r="K2602">
        <v>1.1172249999999999</v>
      </c>
      <c r="L2602">
        <v>222.87100000000001</v>
      </c>
      <c r="M2602">
        <v>0.62897559999999997</v>
      </c>
      <c r="N2602">
        <v>-1.953102E-2</v>
      </c>
      <c r="O2602">
        <v>-0.77717990000000003</v>
      </c>
      <c r="P2602">
        <v>0.86323619999999901</v>
      </c>
      <c r="Q2602">
        <v>-1.8500160000000002E-2</v>
      </c>
      <c r="R2602">
        <v>-0.5044611</v>
      </c>
      <c r="S2602">
        <v>2.7211609999999999</v>
      </c>
      <c r="T2602">
        <v>-0.25740619999999997</v>
      </c>
      <c r="U2602">
        <v>-1.285873</v>
      </c>
      <c r="V2602">
        <v>-0.35361199999999998</v>
      </c>
      <c r="W2602">
        <v>-6.0313279999999999E-3</v>
      </c>
      <c r="X2602">
        <v>0.9353728</v>
      </c>
      <c r="Y2602">
        <v>-0.43127260000000001</v>
      </c>
      <c r="Z2602">
        <v>6.6110100000000005E-2</v>
      </c>
      <c r="AA2602">
        <v>0.89979629999999999</v>
      </c>
      <c r="AB2602">
        <v>20</v>
      </c>
      <c r="AC2602">
        <v>11.6893999999999</v>
      </c>
      <c r="AD2602">
        <v>-1.117221515604</v>
      </c>
      <c r="AE2602">
        <v>-5.4493999999999598</v>
      </c>
      <c r="AF2602">
        <v>-5.6161622562697797</v>
      </c>
      <c r="AG2602">
        <v>-1.117221515604</v>
      </c>
      <c r="AH2602">
        <v>11.503399785371199</v>
      </c>
      <c r="AI2602">
        <v>94.9878551907847</v>
      </c>
      <c r="AJ2602">
        <v>116.022444690851</v>
      </c>
      <c r="AK2602">
        <v>12.8498120229736</v>
      </c>
      <c r="AL2602">
        <v>90.345571717410195</v>
      </c>
      <c r="AM2602">
        <v>110.708793931515</v>
      </c>
      <c r="AN2602">
        <v>1.00000004922064</v>
      </c>
    </row>
    <row r="2603" spans="1:40" x14ac:dyDescent="0.25">
      <c r="A2603" t="str">
        <f>"20190305135841797"</f>
        <v>20190305135841797</v>
      </c>
      <c r="B2603" t="str">
        <f>"1551765521790844"</f>
        <v>1551765521790844</v>
      </c>
      <c r="C2603" t="s">
        <v>40</v>
      </c>
      <c r="D2603">
        <v>4.2355839999999896</v>
      </c>
      <c r="E2603">
        <v>0.46498800000000001</v>
      </c>
      <c r="F2603" t="s">
        <v>58</v>
      </c>
      <c r="G2603">
        <v>-475.85809999999998</v>
      </c>
      <c r="H2603" s="1">
        <v>3.4830520000000001E-6</v>
      </c>
      <c r="I2603">
        <v>217.41739999999999</v>
      </c>
      <c r="J2603">
        <v>-487.4119</v>
      </c>
      <c r="K2603">
        <v>1.1169469999999999</v>
      </c>
      <c r="L2603">
        <v>222.7312</v>
      </c>
      <c r="M2603">
        <v>0.63884160000000001</v>
      </c>
      <c r="N2603">
        <v>-1.9399019999999999E-2</v>
      </c>
      <c r="O2603">
        <v>-0.76909369999999999</v>
      </c>
      <c r="P2603">
        <v>0.86802119999999905</v>
      </c>
      <c r="Q2603">
        <v>-1.7933270000000001E-2</v>
      </c>
      <c r="R2603">
        <v>-0.4962028</v>
      </c>
      <c r="S2603">
        <v>2.7262569999999999</v>
      </c>
      <c r="T2603">
        <v>-0.2606214</v>
      </c>
      <c r="U2603">
        <v>-1.2722020000000001</v>
      </c>
      <c r="V2603">
        <v>-0.35062120000000002</v>
      </c>
      <c r="W2603">
        <v>-5.2777780000000003E-3</v>
      </c>
      <c r="X2603">
        <v>0.93650250000000002</v>
      </c>
      <c r="Y2603">
        <v>-0.42405350000000003</v>
      </c>
      <c r="Z2603">
        <v>6.661309E-2</v>
      </c>
      <c r="AA2603">
        <v>0.90318399999999999</v>
      </c>
      <c r="AB2603">
        <v>20</v>
      </c>
      <c r="AC2603">
        <v>11.553800000000001</v>
      </c>
      <c r="AD2603">
        <v>-1.116943516948</v>
      </c>
      <c r="AE2603">
        <v>-5.3138000000000103</v>
      </c>
      <c r="AF2603">
        <v>-5.4502682914752496</v>
      </c>
      <c r="AG2603">
        <v>-1.116943516948</v>
      </c>
      <c r="AH2603">
        <v>11.3822138372001</v>
      </c>
      <c r="AI2603">
        <v>95.057897350977399</v>
      </c>
      <c r="AJ2603">
        <v>115.587000833354</v>
      </c>
      <c r="AK2603">
        <v>12.6691664723794</v>
      </c>
      <c r="AL2603">
        <v>90.302395806471097</v>
      </c>
      <c r="AM2603">
        <v>110.52561380155601</v>
      </c>
      <c r="AN2603">
        <v>1.00000000666815</v>
      </c>
    </row>
    <row r="2604" spans="1:40" x14ac:dyDescent="0.25">
      <c r="A2604" t="str">
        <f>"20190305135841818"</f>
        <v>20190305135841818</v>
      </c>
      <c r="B2604" t="str">
        <f>"1551765521811339"</f>
        <v>1551765521811339</v>
      </c>
      <c r="C2604" t="s">
        <v>40</v>
      </c>
      <c r="D2604">
        <v>4.2240479999999998</v>
      </c>
      <c r="E2604">
        <v>0.46571430000000003</v>
      </c>
      <c r="F2604" t="s">
        <v>58</v>
      </c>
      <c r="G2604">
        <v>-475.57639999999998</v>
      </c>
      <c r="H2604" s="1">
        <v>3.6026E-6</v>
      </c>
      <c r="I2604">
        <v>217.29480000000001</v>
      </c>
      <c r="J2604">
        <v>-487.2885</v>
      </c>
      <c r="K2604">
        <v>1.1166910000000001</v>
      </c>
      <c r="L2604">
        <v>222.60429999999999</v>
      </c>
      <c r="M2604">
        <v>0.64755149999999995</v>
      </c>
      <c r="N2604">
        <v>-1.9271989999999999E-2</v>
      </c>
      <c r="O2604">
        <v>-0.76177819999999996</v>
      </c>
      <c r="P2604">
        <v>0.87305219999999994</v>
      </c>
      <c r="Q2604">
        <v>-1.517053E-2</v>
      </c>
      <c r="R2604">
        <v>-0.48739070000000001</v>
      </c>
      <c r="S2604">
        <v>2.7331240000000001</v>
      </c>
      <c r="T2604">
        <v>-0.2579322</v>
      </c>
      <c r="U2604">
        <v>-1.255417</v>
      </c>
      <c r="V2604">
        <v>-0.34953020000000001</v>
      </c>
      <c r="W2604">
        <v>-2.3771920000000002E-3</v>
      </c>
      <c r="X2604">
        <v>0.93692209999999998</v>
      </c>
      <c r="Y2604">
        <v>-0.41927300000000001</v>
      </c>
      <c r="Z2604">
        <v>6.5436040000000001E-2</v>
      </c>
      <c r="AA2604">
        <v>0.9054989</v>
      </c>
      <c r="AB2604">
        <v>19</v>
      </c>
      <c r="AC2604">
        <v>11.7121</v>
      </c>
      <c r="AD2604">
        <v>-1.11668739739999</v>
      </c>
      <c r="AE2604">
        <v>-5.3094999999999803</v>
      </c>
      <c r="AF2604">
        <v>-5.4438142303693402</v>
      </c>
      <c r="AG2604">
        <v>-1.11668739739999</v>
      </c>
      <c r="AH2604">
        <v>11.5439556059666</v>
      </c>
      <c r="AI2604">
        <v>95.000251134735507</v>
      </c>
      <c r="AJ2604">
        <v>115.247284936916</v>
      </c>
      <c r="AK2604">
        <v>12.8119091142113</v>
      </c>
      <c r="AL2604">
        <v>90.136203194711598</v>
      </c>
      <c r="AM2604">
        <v>110.45864278719399</v>
      </c>
      <c r="AN2604">
        <v>1.00000001661112</v>
      </c>
    </row>
    <row r="2605" spans="1:40" x14ac:dyDescent="0.25">
      <c r="A2605" t="str">
        <f>"20190305135841840"</f>
        <v>20190305135841840</v>
      </c>
      <c r="B2605" t="str">
        <f>"1551765521830859"</f>
        <v>1551765521830859</v>
      </c>
      <c r="C2605" t="s">
        <v>40</v>
      </c>
      <c r="D2605">
        <v>4.2043970000000002</v>
      </c>
      <c r="E2605">
        <v>0.46669240000000001</v>
      </c>
      <c r="F2605" t="s">
        <v>58</v>
      </c>
      <c r="G2605">
        <v>-475.24040000000002</v>
      </c>
      <c r="H2605" s="1">
        <v>3.7467879999999999E-6</v>
      </c>
      <c r="I2605">
        <v>217.1842</v>
      </c>
      <c r="J2605">
        <v>-487.1574</v>
      </c>
      <c r="K2605">
        <v>1.116411</v>
      </c>
      <c r="L2605">
        <v>222.47190000000001</v>
      </c>
      <c r="M2605">
        <v>0.65635959999999904</v>
      </c>
      <c r="N2605">
        <v>-1.9130500000000002E-2</v>
      </c>
      <c r="O2605">
        <v>-0.75420569999999998</v>
      </c>
      <c r="P2605">
        <v>0.87899400000000005</v>
      </c>
      <c r="Q2605">
        <v>-1.244523E-2</v>
      </c>
      <c r="R2605">
        <v>-0.47667029999999999</v>
      </c>
      <c r="S2605">
        <v>2.74295</v>
      </c>
      <c r="T2605">
        <v>-0.25423230000000002</v>
      </c>
      <c r="U2605">
        <v>-1.2339629999999999</v>
      </c>
      <c r="V2605">
        <v>-0.3501821</v>
      </c>
      <c r="W2605">
        <v>4.4519269999999998E-4</v>
      </c>
      <c r="X2605">
        <v>0.9366816</v>
      </c>
      <c r="Y2605">
        <v>-0.41593550000000001</v>
      </c>
      <c r="Z2605">
        <v>6.3993659999999994E-2</v>
      </c>
      <c r="AA2605">
        <v>0.90713969999999999</v>
      </c>
      <c r="AB2605">
        <v>19</v>
      </c>
      <c r="AC2605">
        <v>11.9169999999999</v>
      </c>
      <c r="AD2605">
        <v>-1.116407253212</v>
      </c>
      <c r="AE2605">
        <v>-5.2877000000000001</v>
      </c>
      <c r="AF2605">
        <v>-5.4780773146922801</v>
      </c>
      <c r="AG2605">
        <v>-1.116407253212</v>
      </c>
      <c r="AH2605">
        <v>11.7260287728213</v>
      </c>
      <c r="AI2605">
        <v>94.930062503056007</v>
      </c>
      <c r="AJ2605">
        <v>115.040684588441</v>
      </c>
      <c r="AK2605">
        <v>12.990590710271899</v>
      </c>
      <c r="AL2605">
        <v>89.9744923379223</v>
      </c>
      <c r="AM2605">
        <v>110.498454390864</v>
      </c>
      <c r="AN2605">
        <v>1.0000000605677499</v>
      </c>
    </row>
    <row r="2606" spans="1:40" x14ac:dyDescent="0.25">
      <c r="A2606" t="str">
        <f>"20190305135841862"</f>
        <v>20190305135841862</v>
      </c>
      <c r="B2606" t="str">
        <f>"1551765521851356"</f>
        <v>1551765521851356</v>
      </c>
      <c r="C2606" t="s">
        <v>40</v>
      </c>
      <c r="D2606">
        <v>4.1813940000000001</v>
      </c>
      <c r="E2606">
        <v>0.4676013</v>
      </c>
      <c r="F2606" t="s">
        <v>41</v>
      </c>
      <c r="G2606">
        <v>-486.17450000000002</v>
      </c>
      <c r="H2606">
        <v>1.028843</v>
      </c>
      <c r="I2606">
        <v>222.04079999999999</v>
      </c>
      <c r="J2606">
        <v>-487.02379999999999</v>
      </c>
      <c r="K2606">
        <v>1.1161319999999999</v>
      </c>
      <c r="L2606">
        <v>222.33969999999999</v>
      </c>
      <c r="M2606">
        <v>0.6648847</v>
      </c>
      <c r="N2606">
        <v>-1.89771E-2</v>
      </c>
      <c r="O2606">
        <v>-0.74670499999999995</v>
      </c>
      <c r="P2606">
        <v>0.88387749999999998</v>
      </c>
      <c r="Q2606">
        <v>-1.2941680000000001E-2</v>
      </c>
      <c r="R2606">
        <v>-0.46753980000000001</v>
      </c>
      <c r="S2606">
        <v>2.754578</v>
      </c>
      <c r="T2606">
        <v>-0.2453572</v>
      </c>
      <c r="U2606">
        <v>-1.2077789999999999</v>
      </c>
      <c r="V2606">
        <v>-0.3492323</v>
      </c>
      <c r="W2606" s="1">
        <v>5.7312660000000002E-5</v>
      </c>
      <c r="X2606">
        <v>0.93703619999999999</v>
      </c>
      <c r="Y2606">
        <v>-0.414464</v>
      </c>
      <c r="Z2606">
        <v>6.111871E-2</v>
      </c>
      <c r="AA2606">
        <v>0.90801109999999896</v>
      </c>
      <c r="AB2606">
        <v>19</v>
      </c>
      <c r="AC2606">
        <v>0.84929999999997097</v>
      </c>
      <c r="AD2606">
        <v>-8.7288999999999894E-2</v>
      </c>
      <c r="AE2606">
        <v>-0.298900000000003</v>
      </c>
      <c r="AF2606">
        <v>-0.43146554237168599</v>
      </c>
      <c r="AG2606">
        <v>-8.7288999999999894E-2</v>
      </c>
      <c r="AH2606">
        <v>0.78068087617111503</v>
      </c>
      <c r="AI2606">
        <v>95.589169339020003</v>
      </c>
      <c r="AJ2606">
        <v>118.928485599994</v>
      </c>
      <c r="AK2606">
        <v>0.89623909432382698</v>
      </c>
      <c r="AL2606">
        <v>89.9967162265377</v>
      </c>
      <c r="AM2606">
        <v>110.44036592715899</v>
      </c>
      <c r="AN2606">
        <v>1.0000000213792299</v>
      </c>
    </row>
    <row r="2607" spans="1:40" x14ac:dyDescent="0.25">
      <c r="A2607" t="str">
        <f>"20190305135841885"</f>
        <v>20190305135841885</v>
      </c>
      <c r="B2607" t="str">
        <f>"1551765521881612"</f>
        <v>1551765521881612</v>
      </c>
      <c r="C2607" t="s">
        <v>40</v>
      </c>
      <c r="D2607">
        <v>4.2105800000000002</v>
      </c>
      <c r="E2607">
        <v>0.4815159</v>
      </c>
      <c r="F2607" t="s">
        <v>58</v>
      </c>
      <c r="G2607">
        <v>-474.42020000000002</v>
      </c>
      <c r="H2607" s="1">
        <v>4.0996179999999998E-6</v>
      </c>
      <c r="I2607">
        <v>216.9349</v>
      </c>
      <c r="J2607">
        <v>-486.88459999999998</v>
      </c>
      <c r="K2607">
        <v>1.115864</v>
      </c>
      <c r="L2607">
        <v>222.20439999999999</v>
      </c>
      <c r="M2607">
        <v>0.67336169999999995</v>
      </c>
      <c r="N2607">
        <v>-1.8791579999999999E-2</v>
      </c>
      <c r="O2607">
        <v>-0.73907449999999997</v>
      </c>
      <c r="P2607">
        <v>0.88840799999999998</v>
      </c>
      <c r="Q2607">
        <v>-1.551465E-2</v>
      </c>
      <c r="R2607">
        <v>-0.45879249999999999</v>
      </c>
      <c r="S2607">
        <v>2.7636409999999998</v>
      </c>
      <c r="T2607">
        <v>-0.24473700000000001</v>
      </c>
      <c r="U2607">
        <v>-1.18512</v>
      </c>
      <c r="V2607">
        <v>-0.34772560000000002</v>
      </c>
      <c r="W2607">
        <v>-2.4603070000000001E-3</v>
      </c>
      <c r="X2607">
        <v>0.93759320000000002</v>
      </c>
      <c r="Y2607">
        <v>-0.41147679999999998</v>
      </c>
      <c r="Z2607">
        <v>6.065719E-2</v>
      </c>
      <c r="AA2607">
        <v>0.90939959999999997</v>
      </c>
      <c r="AB2607">
        <v>19</v>
      </c>
      <c r="AC2607">
        <v>12.4643999999999</v>
      </c>
      <c r="AD2607">
        <v>-1.115859900382</v>
      </c>
      <c r="AE2607">
        <v>-5.2694999999999901</v>
      </c>
      <c r="AF2607">
        <v>-5.6265837043934797</v>
      </c>
      <c r="AG2607">
        <v>-1.115859900382</v>
      </c>
      <c r="AH2607">
        <v>12.2067742130547</v>
      </c>
      <c r="AI2607">
        <v>94.745718756741098</v>
      </c>
      <c r="AJ2607">
        <v>114.746840021829</v>
      </c>
      <c r="AK2607">
        <v>13.4873616466796</v>
      </c>
      <c r="AL2607">
        <v>90.140965338716697</v>
      </c>
      <c r="AM2607">
        <v>110.348328265587</v>
      </c>
      <c r="AN2607">
        <v>1.00000007734606</v>
      </c>
    </row>
    <row r="2608" spans="1:40" x14ac:dyDescent="0.25">
      <c r="A2608" t="str">
        <f>"20190305135841906"</f>
        <v>20190305135841906</v>
      </c>
      <c r="B2608" t="str">
        <f>"1551765521901132"</f>
        <v>1551765521901132</v>
      </c>
      <c r="C2608" t="s">
        <v>40</v>
      </c>
      <c r="D2608">
        <v>4.1414179999999998</v>
      </c>
      <c r="E2608">
        <v>0.45146380000000003</v>
      </c>
      <c r="F2608" t="s">
        <v>58</v>
      </c>
      <c r="G2608">
        <v>-472.6336</v>
      </c>
      <c r="H2608" s="1">
        <v>4.8356480000000004E-6</v>
      </c>
      <c r="I2608">
        <v>215.64769999999999</v>
      </c>
      <c r="J2608">
        <v>-486.75700000000001</v>
      </c>
      <c r="K2608">
        <v>1.115648</v>
      </c>
      <c r="L2608">
        <v>222.08260000000001</v>
      </c>
      <c r="M2608">
        <v>0.68077989999999999</v>
      </c>
      <c r="N2608">
        <v>-1.8603209999999998E-2</v>
      </c>
      <c r="O2608">
        <v>-0.73225200000000001</v>
      </c>
      <c r="P2608">
        <v>0.89302800000000004</v>
      </c>
      <c r="Q2608">
        <v>-1.6841060000000001E-2</v>
      </c>
      <c r="R2608">
        <v>-0.44968629999999998</v>
      </c>
      <c r="S2608">
        <v>2.7255250000000002</v>
      </c>
      <c r="T2608">
        <v>-0.21340980000000001</v>
      </c>
      <c r="U2608">
        <v>-1.2539830000000001</v>
      </c>
      <c r="V2608">
        <v>-0.34782419999999997</v>
      </c>
      <c r="W2608">
        <v>-3.8112580000000001E-3</v>
      </c>
      <c r="X2608">
        <v>0.93755200000000005</v>
      </c>
      <c r="Y2608">
        <v>-0.37899260000000001</v>
      </c>
      <c r="Z2608">
        <v>5.0407510000000003E-2</v>
      </c>
      <c r="AA2608">
        <v>0.92402580000000001</v>
      </c>
      <c r="AB2608">
        <v>19</v>
      </c>
      <c r="AC2608">
        <v>14.123399999999901</v>
      </c>
      <c r="AD2608">
        <v>-1.1156431643519999</v>
      </c>
      <c r="AE2608">
        <v>-6.4349000000000203</v>
      </c>
      <c r="AF2608">
        <v>-5.93151890460289</v>
      </c>
      <c r="AG2608">
        <v>-1.1156431643519999</v>
      </c>
      <c r="AH2608">
        <v>14.2557108467755</v>
      </c>
      <c r="AI2608">
        <v>94.132694181200407</v>
      </c>
      <c r="AJ2608">
        <v>112.591227246315</v>
      </c>
      <c r="AK2608">
        <v>15.4807256914106</v>
      </c>
      <c r="AL2608">
        <v>90.2183695318855</v>
      </c>
      <c r="AM2608">
        <v>110.35444596958099</v>
      </c>
      <c r="AN2608">
        <v>0.99999997624859105</v>
      </c>
    </row>
    <row r="2609" spans="1:40" x14ac:dyDescent="0.25">
      <c r="A2609" t="str">
        <f>"20190305135841931"</f>
        <v>20190305135841931</v>
      </c>
      <c r="B2609" t="str">
        <f>"1551765521921627"</f>
        <v>1551765521921627</v>
      </c>
      <c r="C2609" t="s">
        <v>40</v>
      </c>
      <c r="D2609">
        <v>4.1646199999999904</v>
      </c>
      <c r="E2609">
        <v>0.45389819999999997</v>
      </c>
      <c r="F2609" t="s">
        <v>41</v>
      </c>
      <c r="G2609">
        <v>-485.8759</v>
      </c>
      <c r="H2609">
        <v>1.0389790000000001</v>
      </c>
      <c r="I2609">
        <v>221.7688</v>
      </c>
      <c r="J2609">
        <v>-486.61360000000002</v>
      </c>
      <c r="K2609">
        <v>1.1154139999999999</v>
      </c>
      <c r="L2609">
        <v>221.94810000000001</v>
      </c>
      <c r="M2609">
        <v>0.68873070000000003</v>
      </c>
      <c r="N2609">
        <v>-1.8363000000000001E-2</v>
      </c>
      <c r="O2609">
        <v>-0.7247846</v>
      </c>
      <c r="P2609">
        <v>0.89871049999999997</v>
      </c>
      <c r="Q2609">
        <v>-1.6467590000000001E-2</v>
      </c>
      <c r="R2609">
        <v>-0.43823319999999999</v>
      </c>
      <c r="S2609">
        <v>2.8446039999999999</v>
      </c>
      <c r="T2609">
        <v>-0.24751219999999999</v>
      </c>
      <c r="U2609">
        <v>-1.0129699999999999</v>
      </c>
      <c r="V2609">
        <v>-0.34958850000000002</v>
      </c>
      <c r="W2609">
        <v>-3.5312339999999998E-3</v>
      </c>
      <c r="X2609">
        <v>0.93689670000000003</v>
      </c>
      <c r="Y2609">
        <v>-0.449133</v>
      </c>
      <c r="Z2609">
        <v>6.2365690000000001E-2</v>
      </c>
      <c r="AA2609">
        <v>0.89128560000000001</v>
      </c>
      <c r="AB2609">
        <v>19</v>
      </c>
      <c r="AC2609">
        <v>0.73770000000001701</v>
      </c>
      <c r="AD2609">
        <v>-7.6434999999999795E-2</v>
      </c>
      <c r="AE2609">
        <v>-0.17930000000001201</v>
      </c>
      <c r="AF2609">
        <v>-0.407126612428376</v>
      </c>
      <c r="AG2609">
        <v>-7.6434999999999795E-2</v>
      </c>
      <c r="AH2609">
        <v>0.63173442026006299</v>
      </c>
      <c r="AI2609">
        <v>95.807127066465299</v>
      </c>
      <c r="AJ2609">
        <v>122.800099993229</v>
      </c>
      <c r="AK2609">
        <v>0.75543548070879196</v>
      </c>
      <c r="AL2609">
        <v>90.202325223601207</v>
      </c>
      <c r="AM2609">
        <v>110.46228113791101</v>
      </c>
      <c r="AN2609">
        <v>1.00000000770835</v>
      </c>
    </row>
    <row r="2610" spans="1:40" x14ac:dyDescent="0.25">
      <c r="A2610" t="str">
        <f>"20190305135841954"</f>
        <v>20190305135841954</v>
      </c>
      <c r="B2610" t="str">
        <f>"1551765521950908"</f>
        <v>1551765521950908</v>
      </c>
      <c r="C2610" t="s">
        <v>40</v>
      </c>
      <c r="D2610">
        <v>4.1202569999999996</v>
      </c>
      <c r="E2610">
        <v>0.45529560000000002</v>
      </c>
      <c r="F2610" t="s">
        <v>41</v>
      </c>
      <c r="G2610">
        <v>-485.7038</v>
      </c>
      <c r="H2610">
        <v>1.035909</v>
      </c>
      <c r="I2610">
        <v>221.63030000000001</v>
      </c>
      <c r="J2610">
        <v>-486.46980000000002</v>
      </c>
      <c r="K2610">
        <v>1.1151580000000001</v>
      </c>
      <c r="L2610">
        <v>221.81540000000001</v>
      </c>
      <c r="M2610">
        <v>0.69630939999999997</v>
      </c>
      <c r="N2610">
        <v>-1.8082419999999998E-2</v>
      </c>
      <c r="O2610">
        <v>-0.71751399999999999</v>
      </c>
      <c r="P2610">
        <v>0.90391310000000002</v>
      </c>
      <c r="Q2610">
        <v>-1.6105350000000001E-2</v>
      </c>
      <c r="R2610">
        <v>-0.42741230000000002</v>
      </c>
      <c r="S2610">
        <v>2.8484500000000001</v>
      </c>
      <c r="T2610">
        <v>-0.24892249999999999</v>
      </c>
      <c r="U2610">
        <v>-0.99475100000000005</v>
      </c>
      <c r="V2610">
        <v>-0.35100239999999999</v>
      </c>
      <c r="W2610">
        <v>-3.2796280000000001E-3</v>
      </c>
      <c r="X2610">
        <v>0.9363688</v>
      </c>
      <c r="Y2610">
        <v>-0.44517810000000002</v>
      </c>
      <c r="Z2610">
        <v>6.254477E-2</v>
      </c>
      <c r="AA2610">
        <v>0.89325509999999997</v>
      </c>
      <c r="AB2610">
        <v>19</v>
      </c>
      <c r="AC2610">
        <v>0.766000000000019</v>
      </c>
      <c r="AD2610">
        <v>-7.9249000000000097E-2</v>
      </c>
      <c r="AE2610">
        <v>-0.18510000000000501</v>
      </c>
      <c r="AF2610">
        <v>-0.416584681035229</v>
      </c>
      <c r="AG2610">
        <v>-7.9249000000000097E-2</v>
      </c>
      <c r="AH2610">
        <v>0.65962293090594804</v>
      </c>
      <c r="AI2610">
        <v>95.800256213209593</v>
      </c>
      <c r="AJ2610">
        <v>122.27444743575499</v>
      </c>
      <c r="AK2610">
        <v>0.78417192722717199</v>
      </c>
      <c r="AL2610">
        <v>90.187909182414202</v>
      </c>
      <c r="AM2610">
        <v>110.548754456442</v>
      </c>
      <c r="AN2610">
        <v>0.99999998518950906</v>
      </c>
    </row>
    <row r="2611" spans="1:40" x14ac:dyDescent="0.25">
      <c r="A2611" t="str">
        <f>"20190305135841978"</f>
        <v>20190305135841978</v>
      </c>
      <c r="B2611" t="str">
        <f>"1551765521971405"</f>
        <v>1551765521971405</v>
      </c>
      <c r="C2611" t="s">
        <v>40</v>
      </c>
      <c r="D2611">
        <v>4.1279969999999997</v>
      </c>
      <c r="E2611">
        <v>0.45689439999999998</v>
      </c>
      <c r="F2611" t="s">
        <v>58</v>
      </c>
      <c r="G2611">
        <v>-472.91329999999999</v>
      </c>
      <c r="H2611" s="1">
        <v>4.7799120000000001E-6</v>
      </c>
      <c r="I2611">
        <v>217.2107</v>
      </c>
      <c r="J2611">
        <v>-486.33199999999999</v>
      </c>
      <c r="K2611">
        <v>1.114876</v>
      </c>
      <c r="L2611">
        <v>221.69040000000001</v>
      </c>
      <c r="M2611">
        <v>0.70320479999999996</v>
      </c>
      <c r="N2611">
        <v>-1.7782269999999999E-2</v>
      </c>
      <c r="O2611">
        <v>-0.71076490000000003</v>
      </c>
      <c r="P2611">
        <v>0.90742630000000002</v>
      </c>
      <c r="Q2611">
        <v>-1.861645E-2</v>
      </c>
      <c r="R2611">
        <v>-0.41979880000000003</v>
      </c>
      <c r="S2611">
        <v>2.8560180000000002</v>
      </c>
      <c r="T2611">
        <v>-0.23493620000000001</v>
      </c>
      <c r="U2611">
        <v>-0.97010799999999997</v>
      </c>
      <c r="V2611">
        <v>-0.34977449999999999</v>
      </c>
      <c r="W2611">
        <v>-5.8558539999999997E-3</v>
      </c>
      <c r="X2611">
        <v>0.93681559999999997</v>
      </c>
      <c r="Y2611">
        <v>-0.44449480000000002</v>
      </c>
      <c r="Z2611">
        <v>5.8391680000000001E-2</v>
      </c>
      <c r="AA2611">
        <v>0.89387629999999996</v>
      </c>
      <c r="AB2611">
        <v>19</v>
      </c>
      <c r="AC2611">
        <v>13.418699999999999</v>
      </c>
      <c r="AD2611">
        <v>-1.114871220088</v>
      </c>
      <c r="AE2611">
        <v>-4.4797000000000002</v>
      </c>
      <c r="AF2611">
        <v>-6.3489733004238103</v>
      </c>
      <c r="AG2611">
        <v>-1.114871220088</v>
      </c>
      <c r="AH2611">
        <v>12.5441959604739</v>
      </c>
      <c r="AI2611">
        <v>94.533913033320502</v>
      </c>
      <c r="AJ2611">
        <v>116.845265262889</v>
      </c>
      <c r="AK2611">
        <v>14.103519138911601</v>
      </c>
      <c r="AL2611">
        <v>90.335517643867604</v>
      </c>
      <c r="AM2611">
        <v>110.47389036032401</v>
      </c>
      <c r="AN2611">
        <v>0.99999998013983904</v>
      </c>
    </row>
    <row r="2612" spans="1:40" x14ac:dyDescent="0.25">
      <c r="A2612" t="str">
        <f>"20190305135842000"</f>
        <v>20190305135842000</v>
      </c>
      <c r="B2612" t="str">
        <f>"1551765521991900"</f>
        <v>1551765521991900</v>
      </c>
      <c r="C2612" t="s">
        <v>40</v>
      </c>
      <c r="D2612">
        <v>4.1146279999999997</v>
      </c>
      <c r="E2612">
        <v>0.45839570000000002</v>
      </c>
      <c r="F2612" t="s">
        <v>58</v>
      </c>
      <c r="G2612">
        <v>-472.99579999999997</v>
      </c>
      <c r="H2612" s="1">
        <v>4.7439919999999996E-6</v>
      </c>
      <c r="I2612">
        <v>217.22569999999999</v>
      </c>
      <c r="J2612">
        <v>-486.19409999999999</v>
      </c>
      <c r="K2612">
        <v>1.11456</v>
      </c>
      <c r="L2612">
        <v>221.56710000000001</v>
      </c>
      <c r="M2612">
        <v>0.709727</v>
      </c>
      <c r="N2612">
        <v>-1.7465990000000001E-2</v>
      </c>
      <c r="O2612">
        <v>-0.70426029999999995</v>
      </c>
      <c r="P2612">
        <v>0.90984849999999995</v>
      </c>
      <c r="Q2612">
        <v>-2.237714E-2</v>
      </c>
      <c r="R2612">
        <v>-0.41433710000000001</v>
      </c>
      <c r="S2612">
        <v>2.8583980000000002</v>
      </c>
      <c r="T2612">
        <v>-0.238955</v>
      </c>
      <c r="U2612">
        <v>-0.95693969999999995</v>
      </c>
      <c r="V2612">
        <v>-0.34667439999999999</v>
      </c>
      <c r="W2612">
        <v>-9.6439430000000003E-3</v>
      </c>
      <c r="X2612">
        <v>0.93793590000000004</v>
      </c>
      <c r="Y2612">
        <v>-0.44008599999999998</v>
      </c>
      <c r="Z2612">
        <v>5.9338700000000001E-2</v>
      </c>
      <c r="AA2612">
        <v>0.89599289999999998</v>
      </c>
      <c r="AB2612">
        <v>19</v>
      </c>
      <c r="AC2612">
        <v>13.1983</v>
      </c>
      <c r="AD2612">
        <v>-1.1145552560079901</v>
      </c>
      <c r="AE2612">
        <v>-4.3414000000000197</v>
      </c>
      <c r="AF2612">
        <v>-6.1750413221025697</v>
      </c>
      <c r="AG2612">
        <v>-1.1145552560079901</v>
      </c>
      <c r="AH2612">
        <v>12.3471070267227</v>
      </c>
      <c r="AI2612">
        <v>94.615748597688693</v>
      </c>
      <c r="AJ2612">
        <v>116.570574158458</v>
      </c>
      <c r="AK2612">
        <v>13.8500693383721</v>
      </c>
      <c r="AL2612">
        <v>90.552565825527196</v>
      </c>
      <c r="AM2612">
        <v>110.285026831116</v>
      </c>
      <c r="AN2612">
        <v>0.99999994888037702</v>
      </c>
    </row>
    <row r="2613" spans="1:40" x14ac:dyDescent="0.25">
      <c r="A2613" t="str">
        <f>"20190305135842031"</f>
        <v>20190305135842031</v>
      </c>
      <c r="B2613" t="str">
        <f>"1551765522021180"</f>
        <v>1551765522021180</v>
      </c>
      <c r="C2613" t="s">
        <v>40</v>
      </c>
      <c r="D2613">
        <v>4.1003379999999998</v>
      </c>
      <c r="E2613">
        <v>0.47639989999999999</v>
      </c>
      <c r="F2613" t="s">
        <v>41</v>
      </c>
      <c r="G2613">
        <v>-485.26220000000001</v>
      </c>
      <c r="H2613">
        <v>1.0341819999999999</v>
      </c>
      <c r="I2613">
        <v>221.25720000000001</v>
      </c>
      <c r="J2613">
        <v>-485.99970000000002</v>
      </c>
      <c r="K2613">
        <v>1.114163</v>
      </c>
      <c r="L2613">
        <v>221.39590000000001</v>
      </c>
      <c r="M2613">
        <v>0.71831489999999998</v>
      </c>
      <c r="N2613">
        <v>-1.7032930000000002E-2</v>
      </c>
      <c r="O2613">
        <v>-0.69550970000000001</v>
      </c>
      <c r="P2613">
        <v>0.91366250000000004</v>
      </c>
      <c r="Q2613">
        <v>-2.181522E-2</v>
      </c>
      <c r="R2613">
        <v>-0.40588800000000003</v>
      </c>
      <c r="S2613">
        <v>2.8586119999999999</v>
      </c>
      <c r="T2613">
        <v>-0.24649070000000001</v>
      </c>
      <c r="U2613">
        <v>-0.94990540000000001</v>
      </c>
      <c r="V2613">
        <v>-0.34388370000000001</v>
      </c>
      <c r="W2613">
        <v>-9.1431659999999994E-3</v>
      </c>
      <c r="X2613">
        <v>0.93896780000000002</v>
      </c>
      <c r="Y2613">
        <v>-0.43091620000000003</v>
      </c>
      <c r="Z2613">
        <v>6.1030729999999998E-2</v>
      </c>
      <c r="AA2613">
        <v>0.90032579999999995</v>
      </c>
      <c r="AB2613">
        <v>19</v>
      </c>
      <c r="AC2613">
        <v>0.73750000000001104</v>
      </c>
      <c r="AD2613">
        <v>-7.9980999999999997E-2</v>
      </c>
      <c r="AE2613">
        <v>-0.13869999999999999</v>
      </c>
      <c r="AF2613">
        <v>-0.40872520113056998</v>
      </c>
      <c r="AG2613">
        <v>-7.9980999999999997E-2</v>
      </c>
      <c r="AH2613">
        <v>0.619280606893156</v>
      </c>
      <c r="AI2613">
        <v>96.152217164371805</v>
      </c>
      <c r="AJ2613">
        <v>123.424811220053</v>
      </c>
      <c r="AK2613">
        <v>0.74629868047195502</v>
      </c>
      <c r="AL2613">
        <v>90.523872089408499</v>
      </c>
      <c r="AM2613">
        <v>110.11454334657699</v>
      </c>
      <c r="AN2613">
        <v>1.00000006302351</v>
      </c>
    </row>
    <row r="2614" spans="1:40" x14ac:dyDescent="0.25">
      <c r="A2614" t="str">
        <f>"20190305135842054"</f>
        <v>20190305135842054</v>
      </c>
      <c r="B2614" t="str">
        <f>"1551765522051436"</f>
        <v>1551765522051436</v>
      </c>
      <c r="C2614" t="s">
        <v>40</v>
      </c>
      <c r="D2614">
        <v>4.0745589999999998</v>
      </c>
      <c r="E2614">
        <v>0.4680744</v>
      </c>
      <c r="F2614" t="s">
        <v>58</v>
      </c>
      <c r="G2614">
        <v>-474.1891</v>
      </c>
      <c r="H2614" s="1">
        <v>4.2028940000000003E-6</v>
      </c>
      <c r="I2614">
        <v>216.95349999999999</v>
      </c>
      <c r="J2614">
        <v>-485.85930000000002</v>
      </c>
      <c r="K2614">
        <v>1.1139520000000001</v>
      </c>
      <c r="L2614">
        <v>221.274</v>
      </c>
      <c r="M2614">
        <v>0.72415319999999905</v>
      </c>
      <c r="N2614">
        <v>-1.673784E-2</v>
      </c>
      <c r="O2614">
        <v>-0.6894361</v>
      </c>
      <c r="P2614">
        <v>0.91639349999999997</v>
      </c>
      <c r="Q2614">
        <v>-1.897223E-2</v>
      </c>
      <c r="R2614">
        <v>-0.39982869999999998</v>
      </c>
      <c r="S2614">
        <v>2.8079830000000001</v>
      </c>
      <c r="T2614">
        <v>-0.2648935</v>
      </c>
      <c r="U2614">
        <v>-1.0561830000000001</v>
      </c>
      <c r="V2614">
        <v>-0.3422616</v>
      </c>
      <c r="W2614">
        <v>-6.379844E-3</v>
      </c>
      <c r="X2614">
        <v>0.9395831</v>
      </c>
      <c r="Y2614">
        <v>-0.38747039999999999</v>
      </c>
      <c r="Z2614">
        <v>6.4515690000000001E-2</v>
      </c>
      <c r="AA2614">
        <v>0.91962189999999999</v>
      </c>
      <c r="AB2614">
        <v>19</v>
      </c>
      <c r="AC2614">
        <v>11.670199999999999</v>
      </c>
      <c r="AD2614">
        <v>-1.1139477971059999</v>
      </c>
      <c r="AE2614">
        <v>-4.3205000000000098</v>
      </c>
      <c r="AF2614">
        <v>-4.8787489192929501</v>
      </c>
      <c r="AG2614">
        <v>-1.1139477971059999</v>
      </c>
      <c r="AH2614">
        <v>11.3404519963587</v>
      </c>
      <c r="AI2614">
        <v>95.155953793604795</v>
      </c>
      <c r="AJ2614">
        <v>113.277743747836</v>
      </c>
      <c r="AK2614">
        <v>12.3955202470044</v>
      </c>
      <c r="AL2614">
        <v>90.365540595345294</v>
      </c>
      <c r="AM2614">
        <v>110.015146640022</v>
      </c>
      <c r="AN2614">
        <v>1.0000000535248099</v>
      </c>
    </row>
    <row r="2615" spans="1:40" x14ac:dyDescent="0.25">
      <c r="A2615" t="str">
        <f>"20190305135842075"</f>
        <v>20190305135842075</v>
      </c>
      <c r="B2615" t="str">
        <f>"1551765522070956"</f>
        <v>1551765522070956</v>
      </c>
      <c r="C2615" t="s">
        <v>40</v>
      </c>
      <c r="D2615">
        <v>4.10053</v>
      </c>
      <c r="E2615">
        <v>0.46919240000000001</v>
      </c>
      <c r="F2615" t="s">
        <v>58</v>
      </c>
      <c r="G2615">
        <v>-470.09859999999998</v>
      </c>
      <c r="H2615" s="1">
        <v>5.9699140000000002E-6</v>
      </c>
      <c r="I2615">
        <v>215.87909999999999</v>
      </c>
      <c r="J2615">
        <v>-485.72519999999997</v>
      </c>
      <c r="K2615">
        <v>1.1137809999999999</v>
      </c>
      <c r="L2615">
        <v>221.15899999999999</v>
      </c>
      <c r="M2615">
        <v>0.72942969999999996</v>
      </c>
      <c r="N2615">
        <v>-1.646096E-2</v>
      </c>
      <c r="O2615">
        <v>-0.68385759999999995</v>
      </c>
      <c r="P2615">
        <v>0.91844709999999996</v>
      </c>
      <c r="Q2615">
        <v>-1.8480139999999999E-2</v>
      </c>
      <c r="R2615">
        <v>-0.39511170000000001</v>
      </c>
      <c r="S2615">
        <v>2.8446959999999999</v>
      </c>
      <c r="T2615">
        <v>-0.20106009999999999</v>
      </c>
      <c r="U2615">
        <v>-0.97373960000000004</v>
      </c>
      <c r="V2615">
        <v>-0.33988770000000001</v>
      </c>
      <c r="W2615">
        <v>-5.9832990000000001E-3</v>
      </c>
      <c r="X2615">
        <v>0.94044700000000003</v>
      </c>
      <c r="Y2615">
        <v>-0.40916079999999999</v>
      </c>
      <c r="Z2615">
        <v>4.7415119999999998E-2</v>
      </c>
      <c r="AA2615">
        <v>0.91122959999999997</v>
      </c>
      <c r="AB2615">
        <v>19</v>
      </c>
      <c r="AC2615">
        <v>15.6265999999999</v>
      </c>
      <c r="AD2615">
        <v>-1.1137750300860001</v>
      </c>
      <c r="AE2615">
        <v>-5.27990000000002</v>
      </c>
      <c r="AF2615">
        <v>-6.8049527596069597</v>
      </c>
      <c r="AG2615">
        <v>-1.1137750300860001</v>
      </c>
      <c r="AH2615">
        <v>14.9431076227371</v>
      </c>
      <c r="AI2615">
        <v>93.880541234284394</v>
      </c>
      <c r="AJ2615">
        <v>114.484080007163</v>
      </c>
      <c r="AK2615">
        <v>16.4573491882146</v>
      </c>
      <c r="AL2615">
        <v>90.342819824348993</v>
      </c>
      <c r="AM2615">
        <v>109.870402873888</v>
      </c>
      <c r="AN2615">
        <v>1.0000000041435999</v>
      </c>
    </row>
    <row r="2616" spans="1:40" x14ac:dyDescent="0.25">
      <c r="A2616" t="str">
        <f>"20190305135842098"</f>
        <v>20190305135842098</v>
      </c>
      <c r="B2616" t="str">
        <f>"1551765522091452"</f>
        <v>1551765522091452</v>
      </c>
      <c r="C2616" t="s">
        <v>40</v>
      </c>
      <c r="D2616">
        <v>4.1080930000000002</v>
      </c>
      <c r="E2616">
        <v>0.46977099999999999</v>
      </c>
      <c r="F2616" t="s">
        <v>59</v>
      </c>
      <c r="G2616">
        <v>-469.82670000000002</v>
      </c>
      <c r="H2616" s="1">
        <v>3.642734E-6</v>
      </c>
      <c r="I2616">
        <v>215.75479999999999</v>
      </c>
      <c r="J2616">
        <v>-485.5872</v>
      </c>
      <c r="K2616">
        <v>1.1136140000000001</v>
      </c>
      <c r="L2616">
        <v>221.0421</v>
      </c>
      <c r="M2616">
        <v>0.73456840000000001</v>
      </c>
      <c r="N2616">
        <v>-1.617797E-2</v>
      </c>
      <c r="O2616">
        <v>-0.67834169999999905</v>
      </c>
      <c r="P2616">
        <v>0.92034570000000004</v>
      </c>
      <c r="Q2616">
        <v>-1.9720709999999999E-2</v>
      </c>
      <c r="R2616">
        <v>-0.39060830000000002</v>
      </c>
      <c r="S2616">
        <v>2.8460999999999999</v>
      </c>
      <c r="T2616">
        <v>-0.19938549999999999</v>
      </c>
      <c r="U2616">
        <v>-0.96745300000000001</v>
      </c>
      <c r="V2616">
        <v>-0.33737489999999998</v>
      </c>
      <c r="W2616">
        <v>-7.3439200000000003E-3</v>
      </c>
      <c r="X2616">
        <v>0.94134180000000001</v>
      </c>
      <c r="Y2616">
        <v>-0.4042579</v>
      </c>
      <c r="Z2616">
        <v>4.6755789999999998E-2</v>
      </c>
      <c r="AA2616">
        <v>0.91344919999999996</v>
      </c>
      <c r="AB2616">
        <v>19</v>
      </c>
      <c r="AC2616">
        <v>15.760499999999899</v>
      </c>
      <c r="AD2616">
        <v>-1.1136103572660001</v>
      </c>
      <c r="AE2616">
        <v>-5.2873000000000099</v>
      </c>
      <c r="AF2616">
        <v>-6.7775973309830801</v>
      </c>
      <c r="AG2616">
        <v>-1.1136103572660001</v>
      </c>
      <c r="AH2616">
        <v>15.0979937725283</v>
      </c>
      <c r="AI2616">
        <v>93.849615717685197</v>
      </c>
      <c r="AJ2616">
        <v>114.1756526898</v>
      </c>
      <c r="AK2616">
        <v>16.586903555638798</v>
      </c>
      <c r="AL2616">
        <v>90.420779373856305</v>
      </c>
      <c r="AM2616">
        <v>109.717571574337</v>
      </c>
      <c r="AN2616">
        <v>1.0000000703691001</v>
      </c>
    </row>
    <row r="2617" spans="1:40" x14ac:dyDescent="0.25">
      <c r="A2617" t="str">
        <f>"20190305135842119"</f>
        <v>20190305135842119</v>
      </c>
      <c r="B2617" t="str">
        <f>"1551765522110973"</f>
        <v>1551765522110973</v>
      </c>
      <c r="C2617" t="s">
        <v>40</v>
      </c>
      <c r="D2617">
        <v>4.1151280000000003</v>
      </c>
      <c r="E2617">
        <v>0.47014879999999998</v>
      </c>
      <c r="F2617" t="s">
        <v>59</v>
      </c>
      <c r="G2617">
        <v>-469.78100000000001</v>
      </c>
      <c r="H2617" s="1">
        <v>3.619347E-6</v>
      </c>
      <c r="I2617">
        <v>215.733</v>
      </c>
      <c r="J2617">
        <v>-485.45179999999999</v>
      </c>
      <c r="K2617">
        <v>1.1134820000000001</v>
      </c>
      <c r="L2617">
        <v>220.9288</v>
      </c>
      <c r="M2617">
        <v>0.73935869999999904</v>
      </c>
      <c r="N2617">
        <v>-1.5908120000000001E-2</v>
      </c>
      <c r="O2617">
        <v>-0.6731239</v>
      </c>
      <c r="P2617">
        <v>0.92235719999999999</v>
      </c>
      <c r="Q2617">
        <v>-2.1161510000000001E-2</v>
      </c>
      <c r="R2617">
        <v>-0.3857585</v>
      </c>
      <c r="S2617">
        <v>2.8491819999999999</v>
      </c>
      <c r="T2617">
        <v>-0.2007362</v>
      </c>
      <c r="U2617">
        <v>-0.95700070000000004</v>
      </c>
      <c r="V2617">
        <v>-0.33562750000000002</v>
      </c>
      <c r="W2617">
        <v>-8.9209449999999996E-3</v>
      </c>
      <c r="X2617">
        <v>0.94195249999999997</v>
      </c>
      <c r="Y2617">
        <v>-0.40106900000000001</v>
      </c>
      <c r="Z2617">
        <v>4.6985310000000002E-2</v>
      </c>
      <c r="AA2617">
        <v>0.91484209999999999</v>
      </c>
      <c r="AB2617">
        <v>19</v>
      </c>
      <c r="AC2617">
        <v>15.6707999999999</v>
      </c>
      <c r="AD2617">
        <v>-1.11347838065299</v>
      </c>
      <c r="AE2617">
        <v>-5.1957999999999904</v>
      </c>
      <c r="AF2617">
        <v>-6.6773055109195099</v>
      </c>
      <c r="AG2617">
        <v>-1.11347838065299</v>
      </c>
      <c r="AH2617">
        <v>15.017358288552</v>
      </c>
      <c r="AI2617">
        <v>93.875903525571104</v>
      </c>
      <c r="AJ2617">
        <v>113.971804249671</v>
      </c>
      <c r="AK2617">
        <v>16.472622528215702</v>
      </c>
      <c r="AL2617">
        <v>90.511139299519499</v>
      </c>
      <c r="AM2617">
        <v>109.611513643414</v>
      </c>
      <c r="AN2617">
        <v>0.99999995713609502</v>
      </c>
    </row>
    <row r="2618" spans="1:40" x14ac:dyDescent="0.25">
      <c r="A2618" t="str">
        <f>"20190305135842143"</f>
        <v>20190305135842143</v>
      </c>
      <c r="B2618" t="str">
        <f>"1551765522131468"</f>
        <v>1551765522131468</v>
      </c>
      <c r="C2618" t="s">
        <v>40</v>
      </c>
      <c r="D2618">
        <v>4.0864260000000003</v>
      </c>
      <c r="E2618">
        <v>0.47066269999999999</v>
      </c>
      <c r="F2618" t="s">
        <v>59</v>
      </c>
      <c r="G2618">
        <v>-469.803</v>
      </c>
      <c r="H2618" s="1">
        <v>3.6304110000000001E-6</v>
      </c>
      <c r="I2618">
        <v>215.7482</v>
      </c>
      <c r="J2618">
        <v>-485.30040000000002</v>
      </c>
      <c r="K2618">
        <v>1.1133569999999999</v>
      </c>
      <c r="L2618">
        <v>220.80369999999999</v>
      </c>
      <c r="M2618">
        <v>0.74448990000000004</v>
      </c>
      <c r="N2618">
        <v>-1.5630910000000001E-2</v>
      </c>
      <c r="O2618">
        <v>-0.66745069999999995</v>
      </c>
      <c r="P2618">
        <v>0.92497879999999999</v>
      </c>
      <c r="Q2618">
        <v>-2.1649330000000001E-2</v>
      </c>
      <c r="R2618">
        <v>-0.37940170000000001</v>
      </c>
      <c r="S2618">
        <v>2.852875</v>
      </c>
      <c r="T2618">
        <v>-0.2029946</v>
      </c>
      <c r="U2618">
        <v>-0.94444269999999997</v>
      </c>
      <c r="V2618">
        <v>-0.33489279999999999</v>
      </c>
      <c r="W2618">
        <v>-9.5749619999999994E-3</v>
      </c>
      <c r="X2618">
        <v>0.94220760000000003</v>
      </c>
      <c r="Y2618">
        <v>-0.39800819999999998</v>
      </c>
      <c r="Z2618">
        <v>4.7444930000000003E-2</v>
      </c>
      <c r="AA2618">
        <v>0.91615420000000003</v>
      </c>
      <c r="AB2618">
        <v>19</v>
      </c>
      <c r="AC2618">
        <v>15.497399999999899</v>
      </c>
      <c r="AD2618">
        <v>-1.1133533695890001</v>
      </c>
      <c r="AE2618">
        <v>-5.0554999999999897</v>
      </c>
      <c r="AF2618">
        <v>-6.5502305788515001</v>
      </c>
      <c r="AG2618">
        <v>-1.1133533695890001</v>
      </c>
      <c r="AH2618">
        <v>14.844530789420601</v>
      </c>
      <c r="AI2618">
        <v>93.925349840425895</v>
      </c>
      <c r="AJ2618">
        <v>113.809732830291</v>
      </c>
      <c r="AK2618">
        <v>16.263614933948499</v>
      </c>
      <c r="AL2618">
        <v>90.548613286693495</v>
      </c>
      <c r="AM2618">
        <v>109.566952551257</v>
      </c>
      <c r="AN2618">
        <v>1.00000001444345</v>
      </c>
    </row>
    <row r="2619" spans="1:40" x14ac:dyDescent="0.25">
      <c r="A2619" t="str">
        <f>"20190305135842166"</f>
        <v>20190305135842166</v>
      </c>
      <c r="B2619" t="str">
        <f>"1551765522161724"</f>
        <v>1551765522161724</v>
      </c>
      <c r="C2619" t="s">
        <v>40</v>
      </c>
      <c r="D2619">
        <v>4.0724400000000003</v>
      </c>
      <c r="E2619">
        <v>0.47197519999999998</v>
      </c>
      <c r="F2619" t="s">
        <v>59</v>
      </c>
      <c r="G2619">
        <v>-469.67849999999999</v>
      </c>
      <c r="H2619" s="1">
        <v>3.565008E-6</v>
      </c>
      <c r="I2619">
        <v>215.72880000000001</v>
      </c>
      <c r="J2619">
        <v>-485.1506</v>
      </c>
      <c r="K2619">
        <v>1.1132759999999999</v>
      </c>
      <c r="L2619">
        <v>220.6814</v>
      </c>
      <c r="M2619">
        <v>0.74941829999999998</v>
      </c>
      <c r="N2619">
        <v>-1.538965E-2</v>
      </c>
      <c r="O2619">
        <v>-0.66191789999999995</v>
      </c>
      <c r="P2619">
        <v>0.92740420000000001</v>
      </c>
      <c r="Q2619">
        <v>-2.197969E-2</v>
      </c>
      <c r="R2619">
        <v>-0.37341469999999999</v>
      </c>
      <c r="S2619">
        <v>2.8577880000000002</v>
      </c>
      <c r="T2619">
        <v>-0.20367150000000001</v>
      </c>
      <c r="U2619">
        <v>-0.92837519999999996</v>
      </c>
      <c r="V2619">
        <v>-0.3339934</v>
      </c>
      <c r="W2619">
        <v>-1.0068479999999999E-2</v>
      </c>
      <c r="X2619">
        <v>0.94252159999999996</v>
      </c>
      <c r="Y2619">
        <v>-0.39632489999999998</v>
      </c>
      <c r="Z2619">
        <v>4.7495509999999998E-2</v>
      </c>
      <c r="AA2619">
        <v>0.91688099999999995</v>
      </c>
      <c r="AB2619">
        <v>19</v>
      </c>
      <c r="AC2619">
        <v>15.472099999999999</v>
      </c>
      <c r="AD2619">
        <v>-1.113272434992</v>
      </c>
      <c r="AE2619">
        <v>-4.9525999999999897</v>
      </c>
      <c r="AF2619">
        <v>-6.4999398902138301</v>
      </c>
      <c r="AG2619">
        <v>-1.113272434992</v>
      </c>
      <c r="AH2619">
        <v>14.805522877764901</v>
      </c>
      <c r="AI2619">
        <v>93.938607210342795</v>
      </c>
      <c r="AJ2619">
        <v>113.70249746979999</v>
      </c>
      <c r="AK2619">
        <v>16.207779051274301</v>
      </c>
      <c r="AL2619">
        <v>90.576891176995403</v>
      </c>
      <c r="AM2619">
        <v>109.51236858237201</v>
      </c>
      <c r="AN2619">
        <v>0.999999965999814</v>
      </c>
    </row>
    <row r="2620" spans="1:40" x14ac:dyDescent="0.25">
      <c r="A2620" t="str">
        <f>"20190305135842188"</f>
        <v>20190305135842188</v>
      </c>
      <c r="B2620" t="str">
        <f>"1551765522181244"</f>
        <v>1551765522181244</v>
      </c>
      <c r="C2620" t="s">
        <v>40</v>
      </c>
      <c r="D2620">
        <v>4.0912899999999999</v>
      </c>
      <c r="E2620">
        <v>0.47229260000000001</v>
      </c>
      <c r="F2620" t="s">
        <v>59</v>
      </c>
      <c r="G2620">
        <v>-469.42189999999999</v>
      </c>
      <c r="H2620" s="1">
        <v>3.432947E-6</v>
      </c>
      <c r="I2620">
        <v>215.62610000000001</v>
      </c>
      <c r="J2620">
        <v>-485.01949999999999</v>
      </c>
      <c r="K2620">
        <v>1.113237</v>
      </c>
      <c r="L2620">
        <v>220.57579999999999</v>
      </c>
      <c r="M2620">
        <v>0.75364019999999898</v>
      </c>
      <c r="N2620">
        <v>-1.52046E-2</v>
      </c>
      <c r="O2620">
        <v>-0.65711129999999995</v>
      </c>
      <c r="P2620">
        <v>0.92910289999999995</v>
      </c>
      <c r="Q2620">
        <v>-2.3096510000000001E-2</v>
      </c>
      <c r="R2620">
        <v>-0.36909930000000002</v>
      </c>
      <c r="S2620">
        <v>2.8598940000000002</v>
      </c>
      <c r="T2620">
        <v>-0.20242299999999999</v>
      </c>
      <c r="U2620">
        <v>-0.91918949999999999</v>
      </c>
      <c r="V2620">
        <v>-0.33231690000000003</v>
      </c>
      <c r="W2620">
        <v>-1.1323929999999999E-2</v>
      </c>
      <c r="X2620">
        <v>0.94309980000000004</v>
      </c>
      <c r="Y2620">
        <v>-0.39334530000000001</v>
      </c>
      <c r="Z2620">
        <v>4.6982660000000002E-2</v>
      </c>
      <c r="AA2620">
        <v>0.91818960000000005</v>
      </c>
      <c r="AB2620">
        <v>19</v>
      </c>
      <c r="AC2620">
        <v>15.5976</v>
      </c>
      <c r="AD2620">
        <v>-1.113233567053</v>
      </c>
      <c r="AE2620">
        <v>-4.9496999999999698</v>
      </c>
      <c r="AF2620">
        <v>-6.4897857296108903</v>
      </c>
      <c r="AG2620">
        <v>-1.113233567053</v>
      </c>
      <c r="AH2620">
        <v>14.9400756208356</v>
      </c>
      <c r="AI2620">
        <v>93.909727756149707</v>
      </c>
      <c r="AJ2620">
        <v>113.479535634775</v>
      </c>
      <c r="AK2620">
        <v>16.326740867281501</v>
      </c>
      <c r="AL2620">
        <v>90.648827268160602</v>
      </c>
      <c r="AM2620">
        <v>109.410756978465</v>
      </c>
      <c r="AN2620">
        <v>0.99999999308814702</v>
      </c>
    </row>
    <row r="2621" spans="1:40" x14ac:dyDescent="0.25">
      <c r="A2621" t="str">
        <f>"20190305135842208"</f>
        <v>20190305135842208</v>
      </c>
      <c r="B2621" t="str">
        <f>"1551765522201740"</f>
        <v>1551765522201740</v>
      </c>
      <c r="C2621" t="s">
        <v>40</v>
      </c>
      <c r="D2621">
        <v>4.1069060000000004</v>
      </c>
      <c r="E2621">
        <v>0.47305049999999998</v>
      </c>
      <c r="F2621" t="s">
        <v>59</v>
      </c>
      <c r="G2621">
        <v>-469.4624</v>
      </c>
      <c r="H2621" s="1">
        <v>3.4537449999999998E-6</v>
      </c>
      <c r="I2621">
        <v>215.6431</v>
      </c>
      <c r="J2621">
        <v>-484.88420000000002</v>
      </c>
      <c r="K2621">
        <v>1.1132299999999999</v>
      </c>
      <c r="L2621">
        <v>220.46809999999999</v>
      </c>
      <c r="M2621">
        <v>0.75793089999999996</v>
      </c>
      <c r="N2621">
        <v>-1.5036239999999999E-2</v>
      </c>
      <c r="O2621">
        <v>-0.65216180000000001</v>
      </c>
      <c r="P2621">
        <v>0.93053569999999997</v>
      </c>
      <c r="Q2621">
        <v>-2.538518E-2</v>
      </c>
      <c r="R2621">
        <v>-0.36532049999999999</v>
      </c>
      <c r="S2621">
        <v>2.8632200000000001</v>
      </c>
      <c r="T2621">
        <v>-0.2048856</v>
      </c>
      <c r="U2621">
        <v>-0.90783689999999995</v>
      </c>
      <c r="V2621">
        <v>-0.3299125</v>
      </c>
      <c r="W2621">
        <v>-1.3755420000000001E-2</v>
      </c>
      <c r="X2621">
        <v>0.94391130000000001</v>
      </c>
      <c r="Y2621">
        <v>-0.39090009999999997</v>
      </c>
      <c r="Z2621">
        <v>4.7458500000000001E-2</v>
      </c>
      <c r="AA2621">
        <v>0.91920880000000005</v>
      </c>
      <c r="AB2621">
        <v>19</v>
      </c>
      <c r="AC2621">
        <v>15.421799999999999</v>
      </c>
      <c r="AD2621">
        <v>-1.1132265462549999</v>
      </c>
      <c r="AE2621">
        <v>-4.8249999999999797</v>
      </c>
      <c r="AF2621">
        <v>-6.3709773233558904</v>
      </c>
      <c r="AG2621">
        <v>-1.1132265462549999</v>
      </c>
      <c r="AH2621">
        <v>14.7669284464393</v>
      </c>
      <c r="AI2621">
        <v>93.959647165278597</v>
      </c>
      <c r="AJ2621">
        <v>113.337082706038</v>
      </c>
      <c r="AK2621">
        <v>16.121129028087999</v>
      </c>
      <c r="AL2621">
        <v>90.788152362821293</v>
      </c>
      <c r="AM2621">
        <v>109.265359207204</v>
      </c>
      <c r="AN2621">
        <v>1.00000000575165</v>
      </c>
    </row>
    <row r="2622" spans="1:40" x14ac:dyDescent="0.25">
      <c r="A2622" t="str">
        <f>"20190305135842231"</f>
        <v>20190305135842231</v>
      </c>
      <c r="B2622" t="str">
        <f>"1551765522221260"</f>
        <v>1551765522221260</v>
      </c>
      <c r="C2622" t="s">
        <v>40</v>
      </c>
      <c r="D2622">
        <v>4.1111440000000004</v>
      </c>
      <c r="E2622">
        <v>0.47371239999999998</v>
      </c>
      <c r="F2622" t="s">
        <v>59</v>
      </c>
      <c r="G2622">
        <v>-469.63959999999997</v>
      </c>
      <c r="H2622" s="1">
        <v>3.5468079999999999E-6</v>
      </c>
      <c r="I2622">
        <v>215.67140000000001</v>
      </c>
      <c r="J2622">
        <v>-484.73500000000001</v>
      </c>
      <c r="K2622">
        <v>1.1132599999999999</v>
      </c>
      <c r="L2622">
        <v>220.351</v>
      </c>
      <c r="M2622">
        <v>0.76260240000000001</v>
      </c>
      <c r="N2622">
        <v>-1.4874119999999999E-2</v>
      </c>
      <c r="O2622">
        <v>-0.64669670000000001</v>
      </c>
      <c r="P2622">
        <v>0.93235650000000003</v>
      </c>
      <c r="Q2622">
        <v>-2.8392420000000002E-2</v>
      </c>
      <c r="R2622">
        <v>-0.36042459999999998</v>
      </c>
      <c r="S2622">
        <v>2.8643800000000001</v>
      </c>
      <c r="T2622">
        <v>-0.20916999999999999</v>
      </c>
      <c r="U2622">
        <v>-0.90126039999999996</v>
      </c>
      <c r="V2622">
        <v>-0.32800459999999998</v>
      </c>
      <c r="W2622">
        <v>-1.6931430000000001E-2</v>
      </c>
      <c r="X2622">
        <v>0.94452440000000004</v>
      </c>
      <c r="Y2622">
        <v>-0.38623869999999999</v>
      </c>
      <c r="Z2622">
        <v>4.8313250000000002E-2</v>
      </c>
      <c r="AA2622">
        <v>0.92113270000000003</v>
      </c>
      <c r="AB2622">
        <v>18</v>
      </c>
      <c r="AC2622">
        <v>15.0954</v>
      </c>
      <c r="AD2622">
        <v>-1.113256453192</v>
      </c>
      <c r="AE2622">
        <v>-4.67959999999999</v>
      </c>
      <c r="AF2622">
        <v>-6.1635723237728302</v>
      </c>
      <c r="AG2622">
        <v>-1.113256453192</v>
      </c>
      <c r="AH2622">
        <v>14.467887921852</v>
      </c>
      <c r="AI2622">
        <v>94.049241220324205</v>
      </c>
      <c r="AJ2622">
        <v>113.07484948229499</v>
      </c>
      <c r="AK2622">
        <v>15.7654287807286</v>
      </c>
      <c r="AL2622">
        <v>90.970145820298796</v>
      </c>
      <c r="AM2622">
        <v>109.150559333846</v>
      </c>
      <c r="AN2622">
        <v>1.00000001656918</v>
      </c>
    </row>
    <row r="2623" spans="1:40" x14ac:dyDescent="0.25">
      <c r="A2623" t="str">
        <f>"20190305135842254"</f>
        <v>20190305135842254</v>
      </c>
      <c r="B2623" t="str">
        <f>"1551765522241756"</f>
        <v>1551765522241756</v>
      </c>
      <c r="C2623" t="s">
        <v>40</v>
      </c>
      <c r="D2623">
        <v>4.0022060000000002</v>
      </c>
      <c r="E2623">
        <v>0.47405900000000001</v>
      </c>
      <c r="F2623" t="s">
        <v>58</v>
      </c>
      <c r="G2623">
        <v>-469.97739999999999</v>
      </c>
      <c r="H2623" s="1">
        <v>6.0187450000000003E-6</v>
      </c>
      <c r="I2623">
        <v>215.7664</v>
      </c>
      <c r="J2623">
        <v>-484.59370000000001</v>
      </c>
      <c r="K2623">
        <v>1.113313</v>
      </c>
      <c r="L2623">
        <v>220.24180000000001</v>
      </c>
      <c r="M2623">
        <v>0.76699910000000004</v>
      </c>
      <c r="N2623">
        <v>-1.4742160000000001E-2</v>
      </c>
      <c r="O2623">
        <v>-0.64147880000000002</v>
      </c>
      <c r="P2623">
        <v>0.93429870000000004</v>
      </c>
      <c r="Q2623">
        <v>-2.969842E-2</v>
      </c>
      <c r="R2623">
        <v>-0.35525230000000002</v>
      </c>
      <c r="S2623">
        <v>2.8667910000000001</v>
      </c>
      <c r="T2623">
        <v>-0.21625849999999999</v>
      </c>
      <c r="U2623">
        <v>-0.89060969999999995</v>
      </c>
      <c r="V2623">
        <v>-0.32675320000000002</v>
      </c>
      <c r="W2623">
        <v>-1.8395169999999999E-2</v>
      </c>
      <c r="X2623">
        <v>0.94493070000000001</v>
      </c>
      <c r="Y2623">
        <v>-0.38315939999999998</v>
      </c>
      <c r="Z2623">
        <v>4.9938740000000002E-2</v>
      </c>
      <c r="AA2623">
        <v>0.92233129999999997</v>
      </c>
      <c r="AB2623">
        <v>18</v>
      </c>
      <c r="AC2623">
        <v>14.616300000000001</v>
      </c>
      <c r="AD2623">
        <v>-1.1133069812549901</v>
      </c>
      <c r="AE2623">
        <v>-4.4753999999999996</v>
      </c>
      <c r="AF2623">
        <v>-5.9127014873569799</v>
      </c>
      <c r="AG2623">
        <v>-1.1133069812549901</v>
      </c>
      <c r="AH2623">
        <v>14.008785534116701</v>
      </c>
      <c r="AI2623">
        <v>94.187585143436706</v>
      </c>
      <c r="AJ2623">
        <v>112.883195585756</v>
      </c>
      <c r="AK2623">
        <v>15.2461655328145</v>
      </c>
      <c r="AL2623">
        <v>91.054025020402804</v>
      </c>
      <c r="AM2623">
        <v>109.075177706148</v>
      </c>
      <c r="AN2623">
        <v>1.00000003189602</v>
      </c>
    </row>
    <row r="2624" spans="1:40" x14ac:dyDescent="0.25">
      <c r="A2624" t="str">
        <f>"20190305135842278"</f>
        <v>20190305135842278</v>
      </c>
      <c r="B2624" t="str">
        <f>"1551765522271036"</f>
        <v>1551765522271036</v>
      </c>
      <c r="C2624" t="s">
        <v>40</v>
      </c>
      <c r="D2624">
        <v>4.109172</v>
      </c>
      <c r="E2624">
        <v>0.474939</v>
      </c>
      <c r="F2624" t="s">
        <v>58</v>
      </c>
      <c r="G2624">
        <v>-469.9871</v>
      </c>
      <c r="H2624" s="1">
        <v>6.0149749999999898E-6</v>
      </c>
      <c r="I2624">
        <v>215.7783</v>
      </c>
      <c r="J2624">
        <v>-484.43990000000002</v>
      </c>
      <c r="K2624">
        <v>1.113378</v>
      </c>
      <c r="L2624">
        <v>220.12459999999999</v>
      </c>
      <c r="M2624">
        <v>0.77178199999999997</v>
      </c>
      <c r="N2624">
        <v>-1.4620340000000001E-2</v>
      </c>
      <c r="O2624">
        <v>-0.63571919999999904</v>
      </c>
      <c r="P2624">
        <v>0.93643080000000001</v>
      </c>
      <c r="Q2624">
        <v>-2.974069E-2</v>
      </c>
      <c r="R2624">
        <v>-0.34959000000000001</v>
      </c>
      <c r="S2624">
        <v>2.870422</v>
      </c>
      <c r="T2624">
        <v>-0.21878149999999999</v>
      </c>
      <c r="U2624">
        <v>-0.87713619999999903</v>
      </c>
      <c r="V2624">
        <v>-0.32539269999999998</v>
      </c>
      <c r="W2624">
        <v>-1.8594550000000001E-2</v>
      </c>
      <c r="X2624">
        <v>0.94539609999999996</v>
      </c>
      <c r="Y2624">
        <v>-0.38049149999999998</v>
      </c>
      <c r="Z2624">
        <v>5.0319759999999998E-2</v>
      </c>
      <c r="AA2624">
        <v>0.92341439999999997</v>
      </c>
      <c r="AB2624">
        <v>18</v>
      </c>
      <c r="AC2624">
        <v>14.4528</v>
      </c>
      <c r="AD2624">
        <v>-1.1133719850249999</v>
      </c>
      <c r="AE2624">
        <v>-4.3462999999999798</v>
      </c>
      <c r="AF2624">
        <v>-5.8025706687065703</v>
      </c>
      <c r="AG2624">
        <v>-1.1133719850249999</v>
      </c>
      <c r="AH2624">
        <v>13.843584198667999</v>
      </c>
      <c r="AI2624">
        <v>94.242029231150596</v>
      </c>
      <c r="AJ2624">
        <v>112.741108374877</v>
      </c>
      <c r="AK2624">
        <v>15.0517190715208</v>
      </c>
      <c r="AL2624">
        <v>91.065450666210097</v>
      </c>
      <c r="AM2624">
        <v>108.992778262966</v>
      </c>
      <c r="AN2624">
        <v>0.99999997619910097</v>
      </c>
    </row>
    <row r="2625" spans="1:40" x14ac:dyDescent="0.25">
      <c r="A2625" t="str">
        <f>"20190305135842299"</f>
        <v>20190305135842299</v>
      </c>
      <c r="B2625" t="str">
        <f>"1551765522291531"</f>
        <v>1551765522291531</v>
      </c>
      <c r="C2625" t="s">
        <v>40</v>
      </c>
      <c r="D2625">
        <v>4.1387269999999896</v>
      </c>
      <c r="E2625">
        <v>0.4744931</v>
      </c>
      <c r="F2625" t="s">
        <v>58</v>
      </c>
      <c r="G2625">
        <v>-470.12869999999998</v>
      </c>
      <c r="H2625" s="1">
        <v>5.9534849999999996E-6</v>
      </c>
      <c r="I2625">
        <v>215.80850000000001</v>
      </c>
      <c r="J2625">
        <v>-484.30450000000002</v>
      </c>
      <c r="K2625">
        <v>1.113442</v>
      </c>
      <c r="L2625">
        <v>220.0232</v>
      </c>
      <c r="M2625">
        <v>0.77601129999999996</v>
      </c>
      <c r="N2625">
        <v>-1.4532120000000001E-2</v>
      </c>
      <c r="O2625">
        <v>-0.63055150000000004</v>
      </c>
      <c r="P2625">
        <v>0.93814379999999997</v>
      </c>
      <c r="Q2625">
        <v>-2.9569620000000001E-2</v>
      </c>
      <c r="R2625">
        <v>-0.34498099999999998</v>
      </c>
      <c r="S2625">
        <v>2.873138</v>
      </c>
      <c r="T2625">
        <v>-0.22352240000000001</v>
      </c>
      <c r="U2625">
        <v>-0.86651610000000001</v>
      </c>
      <c r="V2625">
        <v>-0.32372859999999998</v>
      </c>
      <c r="W2625">
        <v>-1.85436E-2</v>
      </c>
      <c r="X2625">
        <v>0.94596829999999998</v>
      </c>
      <c r="Y2625">
        <v>-0.3776043</v>
      </c>
      <c r="Z2625">
        <v>5.126505E-2</v>
      </c>
      <c r="AA2625">
        <v>0.9245468</v>
      </c>
      <c r="AB2625">
        <v>18</v>
      </c>
      <c r="AC2625">
        <v>14.175800000000001</v>
      </c>
      <c r="AD2625">
        <v>-1.1134360465149999</v>
      </c>
      <c r="AE2625">
        <v>-4.2146999999999899</v>
      </c>
      <c r="AF2625">
        <v>-5.6365665517716197</v>
      </c>
      <c r="AG2625">
        <v>-1.1134360465149999</v>
      </c>
      <c r="AH2625">
        <v>13.5826198795137</v>
      </c>
      <c r="AI2625">
        <v>94.329856823305207</v>
      </c>
      <c r="AJ2625">
        <v>112.53765584162301</v>
      </c>
      <c r="AK2625">
        <v>14.747819673212399</v>
      </c>
      <c r="AL2625">
        <v>91.062530866368505</v>
      </c>
      <c r="AM2625">
        <v>108.891935909295</v>
      </c>
      <c r="AN2625">
        <v>1.0000000480819</v>
      </c>
    </row>
    <row r="2626" spans="1:40" x14ac:dyDescent="0.25">
      <c r="A2626" t="str">
        <f>"20190305135842320"</f>
        <v>20190305135842320</v>
      </c>
      <c r="B2626" t="str">
        <f>"1551765522311053"</f>
        <v>1551765522311053</v>
      </c>
      <c r="C2626" t="s">
        <v>40</v>
      </c>
      <c r="D2626">
        <v>4.0587330000000001</v>
      </c>
      <c r="E2626">
        <v>0.4282415</v>
      </c>
      <c r="F2626" t="s">
        <v>59</v>
      </c>
      <c r="G2626">
        <v>-469.90809999999999</v>
      </c>
      <c r="H2626" s="1">
        <v>3.6849239999999999E-6</v>
      </c>
      <c r="I2626">
        <v>215.78059999999999</v>
      </c>
      <c r="J2626">
        <v>-484.16149999999999</v>
      </c>
      <c r="K2626">
        <v>1.113521</v>
      </c>
      <c r="L2626">
        <v>219.9179</v>
      </c>
      <c r="M2626">
        <v>0.780506699999999</v>
      </c>
      <c r="N2626">
        <v>-1.44554E-2</v>
      </c>
      <c r="O2626">
        <v>-0.62498030000000004</v>
      </c>
      <c r="P2626">
        <v>0.93990169999999995</v>
      </c>
      <c r="Q2626">
        <v>-2.959823E-2</v>
      </c>
      <c r="R2626">
        <v>-0.3401594</v>
      </c>
      <c r="S2626">
        <v>2.8788149999999999</v>
      </c>
      <c r="T2626">
        <v>-0.22265170000000001</v>
      </c>
      <c r="U2626">
        <v>-0.848388699999999</v>
      </c>
      <c r="V2626">
        <v>-0.32180779999999998</v>
      </c>
      <c r="W2626">
        <v>-1.868854E-2</v>
      </c>
      <c r="X2626">
        <v>0.94662060000000003</v>
      </c>
      <c r="Y2626">
        <v>-0.37685459999999998</v>
      </c>
      <c r="Z2626">
        <v>5.0787829999999999E-2</v>
      </c>
      <c r="AA2626">
        <v>0.92487900000000001</v>
      </c>
      <c r="AB2626">
        <v>18</v>
      </c>
      <c r="AC2626">
        <v>14.253399999999999</v>
      </c>
      <c r="AD2626">
        <v>-1.113517315076</v>
      </c>
      <c r="AE2626">
        <v>-4.1372999999999998</v>
      </c>
      <c r="AF2626">
        <v>-5.6477066207319799</v>
      </c>
      <c r="AG2626">
        <v>-1.113517315076</v>
      </c>
      <c r="AH2626">
        <v>13.635285599121801</v>
      </c>
      <c r="AI2626">
        <v>94.314704674440705</v>
      </c>
      <c r="AJ2626">
        <v>112.49923388266301</v>
      </c>
      <c r="AK2626">
        <v>14.8005920237824</v>
      </c>
      <c r="AL2626">
        <v>91.070836763197903</v>
      </c>
      <c r="AM2626">
        <v>108.775689165415</v>
      </c>
      <c r="AN2626">
        <v>1.0000000410062599</v>
      </c>
    </row>
    <row r="2627" spans="1:40" x14ac:dyDescent="0.25">
      <c r="A2627" t="str">
        <f>"20190305135842345"</f>
        <v>20190305135842345</v>
      </c>
      <c r="B2627" t="str">
        <f>"1551765522341308"</f>
        <v>1551765522341308</v>
      </c>
      <c r="C2627" t="s">
        <v>40</v>
      </c>
      <c r="D2627">
        <v>4.0596410000000001</v>
      </c>
      <c r="E2627">
        <v>0.42327930000000002</v>
      </c>
      <c r="F2627" t="s">
        <v>59</v>
      </c>
      <c r="G2627">
        <v>-452.88740000000001</v>
      </c>
      <c r="H2627" s="1">
        <v>-1.316386E-8</v>
      </c>
      <c r="I2627">
        <v>214.91130000000001</v>
      </c>
      <c r="J2627">
        <v>-484.00880000000001</v>
      </c>
      <c r="K2627">
        <v>1.113605</v>
      </c>
      <c r="L2627">
        <v>219.8073</v>
      </c>
      <c r="M2627">
        <v>0.78532109999999899</v>
      </c>
      <c r="N2627">
        <v>-1.4388049999999999E-2</v>
      </c>
      <c r="O2627">
        <v>-0.61892150000000001</v>
      </c>
      <c r="P2627">
        <v>0.94189829999999997</v>
      </c>
      <c r="Q2627">
        <v>-2.969606E-2</v>
      </c>
      <c r="R2627">
        <v>-0.33458300000000002</v>
      </c>
      <c r="S2627">
        <v>3.0138850000000001</v>
      </c>
      <c r="T2627">
        <v>-0.1073098</v>
      </c>
      <c r="U2627">
        <v>-0.48248289999999999</v>
      </c>
      <c r="V2627">
        <v>-0.32008490000000001</v>
      </c>
      <c r="W2627">
        <v>-1.8900219999999999E-2</v>
      </c>
      <c r="X2627">
        <v>0.94720040000000005</v>
      </c>
      <c r="Y2627">
        <v>-0.48656129999999997</v>
      </c>
      <c r="Z2627">
        <v>2.295343E-2</v>
      </c>
      <c r="AA2627">
        <v>0.87334480000000003</v>
      </c>
      <c r="AB2627">
        <v>18</v>
      </c>
      <c r="AC2627">
        <v>31.121399999999898</v>
      </c>
      <c r="AD2627">
        <v>-1.11360501316386</v>
      </c>
      <c r="AE2627">
        <v>-4.8959999999999804</v>
      </c>
      <c r="AF2627">
        <v>-15.3991261646091</v>
      </c>
      <c r="AG2627">
        <v>-1.11360501316386</v>
      </c>
      <c r="AH2627">
        <v>27.4390902876493</v>
      </c>
      <c r="AI2627">
        <v>92.026968107953394</v>
      </c>
      <c r="AJ2627">
        <v>119.30163060531299</v>
      </c>
      <c r="AK2627">
        <v>31.4845498391301</v>
      </c>
      <c r="AL2627">
        <v>91.082967234096003</v>
      </c>
      <c r="AM2627">
        <v>108.671516281086</v>
      </c>
      <c r="AN2627">
        <v>1.0000000796421</v>
      </c>
    </row>
    <row r="2628" spans="1:40" x14ac:dyDescent="0.25">
      <c r="A2628" t="str">
        <f>"20190305135842369"</f>
        <v>20190305135842369</v>
      </c>
      <c r="B2628" t="str">
        <f>"1551765522361804"</f>
        <v>1551765522361804</v>
      </c>
      <c r="C2628" t="s">
        <v>40</v>
      </c>
      <c r="D2628">
        <v>4.0373710000000003</v>
      </c>
      <c r="E2628">
        <v>0.42329080000000002</v>
      </c>
      <c r="F2628" t="s">
        <v>61</v>
      </c>
      <c r="G2628">
        <v>-426.80419999999998</v>
      </c>
      <c r="H2628" s="1">
        <v>3.0061880000000002E-6</v>
      </c>
      <c r="I2628">
        <v>211.77330000000001</v>
      </c>
      <c r="J2628">
        <v>-483.84769999999997</v>
      </c>
      <c r="K2628">
        <v>1.1136980000000001</v>
      </c>
      <c r="L2628">
        <v>219.6927</v>
      </c>
      <c r="M2628">
        <v>0.79041090000000003</v>
      </c>
      <c r="N2628">
        <v>-1.432985E-2</v>
      </c>
      <c r="O2628">
        <v>-0.61240939999999999</v>
      </c>
      <c r="P2628">
        <v>0.94401780000000002</v>
      </c>
      <c r="Q2628">
        <v>-2.9514990000000001E-2</v>
      </c>
      <c r="R2628">
        <v>-0.32857140000000001</v>
      </c>
      <c r="S2628">
        <v>3.031952</v>
      </c>
      <c r="T2628">
        <v>-5.9023020000000002E-2</v>
      </c>
      <c r="U2628">
        <v>-0.42581180000000002</v>
      </c>
      <c r="V2628">
        <v>-0.31829390000000002</v>
      </c>
      <c r="W2628">
        <v>-1.88252E-2</v>
      </c>
      <c r="X2628">
        <v>0.94780520000000001</v>
      </c>
      <c r="Y2628">
        <v>-0.4964324</v>
      </c>
      <c r="Z2628">
        <v>1.0089290000000001E-2</v>
      </c>
      <c r="AA2628">
        <v>0.86801679999999903</v>
      </c>
      <c r="AB2628">
        <v>18</v>
      </c>
      <c r="AC2628">
        <v>57.043500000000002</v>
      </c>
      <c r="AD2628">
        <v>-1.11369499381199</v>
      </c>
      <c r="AE2628">
        <v>-7.9193999999999898</v>
      </c>
      <c r="AF2628">
        <v>-28.6666196527278</v>
      </c>
      <c r="AG2628">
        <v>-1.11369499381199</v>
      </c>
      <c r="AH2628">
        <v>49.924177149186001</v>
      </c>
      <c r="AI2628">
        <v>91.108269726343806</v>
      </c>
      <c r="AJ2628">
        <v>119.864578111375</v>
      </c>
      <c r="AK2628">
        <v>57.579847714948897</v>
      </c>
      <c r="AL2628">
        <v>91.078668176427797</v>
      </c>
      <c r="AM2628">
        <v>108.56318733018701</v>
      </c>
      <c r="AN2628">
        <v>1.0000000460396401</v>
      </c>
    </row>
    <row r="2629" spans="1:40" x14ac:dyDescent="0.25">
      <c r="A2629" t="str">
        <f>"20190305135842391"</f>
        <v>20190305135842391</v>
      </c>
      <c r="B2629" t="str">
        <f>"1551765522381323"</f>
        <v>1551765522381323</v>
      </c>
      <c r="C2629" t="s">
        <v>40</v>
      </c>
      <c r="D2629">
        <v>3.9996130000000001</v>
      </c>
      <c r="E2629">
        <v>0.42358620000000002</v>
      </c>
      <c r="F2629" t="s">
        <v>61</v>
      </c>
      <c r="G2629">
        <v>-423.17829999999998</v>
      </c>
      <c r="H2629" s="1">
        <v>3.6676670000000002E-6</v>
      </c>
      <c r="I2629">
        <v>211.56389999999999</v>
      </c>
      <c r="J2629">
        <v>-483.70389999999998</v>
      </c>
      <c r="K2629">
        <v>1.113791</v>
      </c>
      <c r="L2629">
        <v>219.5924</v>
      </c>
      <c r="M2629">
        <v>0.79497930000000006</v>
      </c>
      <c r="N2629">
        <v>-1.428652E-2</v>
      </c>
      <c r="O2629">
        <v>-0.60646869999999997</v>
      </c>
      <c r="P2629">
        <v>0.94606979999999996</v>
      </c>
      <c r="Q2629">
        <v>-2.8857569999999999E-2</v>
      </c>
      <c r="R2629">
        <v>-0.32267580000000001</v>
      </c>
      <c r="S2629">
        <v>3.0346679999999999</v>
      </c>
      <c r="T2629">
        <v>-5.5706739999999998E-2</v>
      </c>
      <c r="U2629">
        <v>-0.40660099999999999</v>
      </c>
      <c r="V2629">
        <v>-0.31711739999999999</v>
      </c>
      <c r="W2629">
        <v>-1.8262589999999999E-2</v>
      </c>
      <c r="X2629">
        <v>0.94821040000000001</v>
      </c>
      <c r="Y2629">
        <v>-0.49544159999999998</v>
      </c>
      <c r="Z2629">
        <v>9.2160650000000007E-3</v>
      </c>
      <c r="AA2629">
        <v>0.86859240000000004</v>
      </c>
      <c r="AB2629">
        <v>18</v>
      </c>
      <c r="AC2629">
        <v>60.525599999999997</v>
      </c>
      <c r="AD2629">
        <v>-1.1137873323330001</v>
      </c>
      <c r="AE2629">
        <v>-8.0284999999999993</v>
      </c>
      <c r="AF2629">
        <v>-30.317389680511599</v>
      </c>
      <c r="AG2629">
        <v>-1.1137873323330001</v>
      </c>
      <c r="AH2629">
        <v>52.9734003441692</v>
      </c>
      <c r="AI2629">
        <v>91.045429157426099</v>
      </c>
      <c r="AJ2629">
        <v>119.78308672271901</v>
      </c>
      <c r="AK2629">
        <v>61.0456041274496</v>
      </c>
      <c r="AL2629">
        <v>91.046427539776005</v>
      </c>
      <c r="AM2629">
        <v>108.49188308418</v>
      </c>
      <c r="AN2629">
        <v>0.99999996512221301</v>
      </c>
    </row>
    <row r="2630" spans="1:40" x14ac:dyDescent="0.25">
      <c r="A2630" t="str">
        <f>"20190305135842410"</f>
        <v>20190305135842410</v>
      </c>
      <c r="B2630" t="str">
        <f>"1551765522401821"</f>
        <v>1551765522401821</v>
      </c>
      <c r="C2630" t="s">
        <v>40</v>
      </c>
      <c r="D2630">
        <v>4.0261570000000004</v>
      </c>
      <c r="E2630">
        <v>0.42380479999999998</v>
      </c>
      <c r="F2630" t="s">
        <v>61</v>
      </c>
      <c r="G2630">
        <v>-415.96409999999997</v>
      </c>
      <c r="H2630" s="1">
        <v>3.588827E-6</v>
      </c>
      <c r="I2630">
        <v>210.89709999999999</v>
      </c>
      <c r="J2630">
        <v>-483.57330000000002</v>
      </c>
      <c r="K2630">
        <v>1.1138870000000001</v>
      </c>
      <c r="L2630">
        <v>219.50290000000001</v>
      </c>
      <c r="M2630">
        <v>0.79916580000000004</v>
      </c>
      <c r="N2630">
        <v>-1.4253200000000001E-2</v>
      </c>
      <c r="O2630">
        <v>-0.60094219999999998</v>
      </c>
      <c r="P2630">
        <v>0.9478974</v>
      </c>
      <c r="Q2630">
        <v>-2.738293E-2</v>
      </c>
      <c r="R2630">
        <v>-0.3173974</v>
      </c>
      <c r="S2630">
        <v>3.036591</v>
      </c>
      <c r="T2630">
        <v>-4.9928069999999998E-2</v>
      </c>
      <c r="U2630">
        <v>-0.38978580000000002</v>
      </c>
      <c r="V2630">
        <v>-0.31586419999999998</v>
      </c>
      <c r="W2630">
        <v>-1.6872290000000002E-2</v>
      </c>
      <c r="X2630">
        <v>0.94865440000000001</v>
      </c>
      <c r="Y2630">
        <v>-0.49424210000000002</v>
      </c>
      <c r="Z2630">
        <v>7.6927180000000003E-3</v>
      </c>
      <c r="AA2630">
        <v>0.86929029999999996</v>
      </c>
      <c r="AB2630">
        <v>18</v>
      </c>
      <c r="AC2630">
        <v>67.609200000000001</v>
      </c>
      <c r="AD2630">
        <v>-1.113883411173</v>
      </c>
      <c r="AE2630">
        <v>-8.6058000000000092</v>
      </c>
      <c r="AF2630">
        <v>-33.746164280999999</v>
      </c>
      <c r="AG2630">
        <v>-1.113883411173</v>
      </c>
      <c r="AH2630">
        <v>59.192732965898898</v>
      </c>
      <c r="AI2630">
        <v>90.936577747148405</v>
      </c>
      <c r="AJ2630">
        <v>119.687747399377</v>
      </c>
      <c r="AK2630">
        <v>68.145608632590196</v>
      </c>
      <c r="AL2630">
        <v>90.966756861671598</v>
      </c>
      <c r="AM2630">
        <v>108.415707843354</v>
      </c>
      <c r="AN2630">
        <v>1.0000000188254199</v>
      </c>
    </row>
    <row r="2631" spans="1:40" x14ac:dyDescent="0.25">
      <c r="A2631" t="str">
        <f>"20190305135842433"</f>
        <v>20190305135842433</v>
      </c>
      <c r="B2631" t="str">
        <f>"1551765522421340"</f>
        <v>1551765522421340</v>
      </c>
      <c r="C2631" t="s">
        <v>40</v>
      </c>
      <c r="D2631">
        <v>4.0011330000000003</v>
      </c>
      <c r="E2631">
        <v>0.42419010000000001</v>
      </c>
      <c r="F2631" t="s">
        <v>61</v>
      </c>
      <c r="G2631">
        <v>-409.08100000000002</v>
      </c>
      <c r="H2631" s="1">
        <v>5.2634789999999997E-6</v>
      </c>
      <c r="I2631">
        <v>210.3176</v>
      </c>
      <c r="J2631">
        <v>-483.42649999999998</v>
      </c>
      <c r="K2631">
        <v>1.1140129999999999</v>
      </c>
      <c r="L2631">
        <v>219.404</v>
      </c>
      <c r="M2631">
        <v>0.80391669999999904</v>
      </c>
      <c r="N2631">
        <v>-1.4223980000000001E-2</v>
      </c>
      <c r="O2631">
        <v>-0.59457190000000004</v>
      </c>
      <c r="P2631">
        <v>0.94974440000000004</v>
      </c>
      <c r="Q2631">
        <v>-2.576823E-2</v>
      </c>
      <c r="R2631">
        <v>-0.31196469999999998</v>
      </c>
      <c r="S2631">
        <v>3.038116</v>
      </c>
      <c r="T2631">
        <v>-4.5428870000000003E-2</v>
      </c>
      <c r="U2631">
        <v>-0.37461850000000002</v>
      </c>
      <c r="V2631">
        <v>-0.31379400000000002</v>
      </c>
      <c r="W2631">
        <v>-1.5345060000000001E-2</v>
      </c>
      <c r="X2631">
        <v>0.94936710000000002</v>
      </c>
      <c r="Y2631">
        <v>-0.4916741</v>
      </c>
      <c r="Z2631">
        <v>6.5077090000000004E-3</v>
      </c>
      <c r="AA2631">
        <v>0.87075499999999995</v>
      </c>
      <c r="AB2631">
        <v>18</v>
      </c>
      <c r="AC2631">
        <v>74.345500000000001</v>
      </c>
      <c r="AD2631">
        <v>-1.1140077365209999</v>
      </c>
      <c r="AE2631">
        <v>-9.0864000000000207</v>
      </c>
      <c r="AF2631">
        <v>-36.894605569581302</v>
      </c>
      <c r="AG2631">
        <v>-1.1140077365209999</v>
      </c>
      <c r="AH2631">
        <v>65.162281359505798</v>
      </c>
      <c r="AI2631">
        <v>90.852315836803996</v>
      </c>
      <c r="AJ2631">
        <v>119.518353970275</v>
      </c>
      <c r="AK2631">
        <v>74.890425591976694</v>
      </c>
      <c r="AL2631">
        <v>90.879241666875998</v>
      </c>
      <c r="AM2631">
        <v>108.290253469991</v>
      </c>
      <c r="AN2631">
        <v>1.0000000179324</v>
      </c>
    </row>
    <row r="2632" spans="1:40" x14ac:dyDescent="0.25">
      <c r="A2632" t="str">
        <f>"20190305135842456"</f>
        <v>20190305135842456</v>
      </c>
      <c r="B2632" t="str">
        <f>"1551765522451597"</f>
        <v>1551765522451597</v>
      </c>
      <c r="C2632" t="s">
        <v>40</v>
      </c>
      <c r="D2632">
        <v>4.0125580000000003</v>
      </c>
      <c r="E2632">
        <v>0.42469790000000002</v>
      </c>
      <c r="F2632" t="s">
        <v>61</v>
      </c>
      <c r="G2632">
        <v>-400.82279999999997</v>
      </c>
      <c r="H2632">
        <v>1.7355010000000001E-2</v>
      </c>
      <c r="I2632">
        <v>209.6163</v>
      </c>
      <c r="J2632">
        <v>-483.2697</v>
      </c>
      <c r="K2632">
        <v>1.114155</v>
      </c>
      <c r="L2632">
        <v>219.30070000000001</v>
      </c>
      <c r="M2632">
        <v>0.80903979999999998</v>
      </c>
      <c r="N2632">
        <v>-1.420357E-2</v>
      </c>
      <c r="O2632">
        <v>-0.5875823</v>
      </c>
      <c r="P2632">
        <v>0.95189140000000005</v>
      </c>
      <c r="Q2632">
        <v>-2.4393399999999999E-2</v>
      </c>
      <c r="R2632">
        <v>-0.3054635</v>
      </c>
      <c r="S2632">
        <v>3.0393979999999998</v>
      </c>
      <c r="T2632">
        <v>-4.035151E-2</v>
      </c>
      <c r="U2632">
        <v>-0.36013790000000001</v>
      </c>
      <c r="V2632">
        <v>-0.31208730000000001</v>
      </c>
      <c r="W2632">
        <v>-1.406928E-2</v>
      </c>
      <c r="X2632">
        <v>0.9499493</v>
      </c>
      <c r="Y2632">
        <v>-0.48827219999999999</v>
      </c>
      <c r="Z2632">
        <v>5.1783630000000001E-3</v>
      </c>
      <c r="AA2632">
        <v>0.87267600000000001</v>
      </c>
      <c r="AB2632">
        <v>18</v>
      </c>
      <c r="AC2632">
        <v>82.446899999999999</v>
      </c>
      <c r="AD2632">
        <v>-1.0967999900000001</v>
      </c>
      <c r="AE2632">
        <v>-9.6844000000000001</v>
      </c>
      <c r="AF2632">
        <v>-40.606280592061403</v>
      </c>
      <c r="AG2632">
        <v>-1.0967999900000001</v>
      </c>
      <c r="AH2632">
        <v>72.387869072465804</v>
      </c>
      <c r="AI2632">
        <v>90.757095533528997</v>
      </c>
      <c r="AJ2632">
        <v>119.290429948973</v>
      </c>
      <c r="AK2632">
        <v>83.006485183940498</v>
      </c>
      <c r="AL2632">
        <v>90.806136921038998</v>
      </c>
      <c r="AM2632">
        <v>108.186928131632</v>
      </c>
      <c r="AN2632">
        <v>1.00000005001574</v>
      </c>
    </row>
    <row r="2633" spans="1:40" x14ac:dyDescent="0.25">
      <c r="A2633" t="str">
        <f>"20190305135842477"</f>
        <v>20190305135842477</v>
      </c>
      <c r="B2633" t="str">
        <f>"1551765522471117"</f>
        <v>1551765522471117</v>
      </c>
      <c r="C2633" t="s">
        <v>40</v>
      </c>
      <c r="D2633">
        <v>4.0144609999999998</v>
      </c>
      <c r="E2633">
        <v>0.42532959999999898</v>
      </c>
      <c r="F2633" t="s">
        <v>59</v>
      </c>
      <c r="G2633">
        <v>-397.48610000000002</v>
      </c>
      <c r="H2633">
        <v>7.2814129999999996E-3</v>
      </c>
      <c r="I2633">
        <v>209.6163</v>
      </c>
      <c r="J2633">
        <v>-483.12869999999998</v>
      </c>
      <c r="K2633">
        <v>1.114285</v>
      </c>
      <c r="L2633">
        <v>219.2097</v>
      </c>
      <c r="M2633">
        <v>0.81370120000000001</v>
      </c>
      <c r="N2633">
        <v>-1.419393E-2</v>
      </c>
      <c r="O2633">
        <v>-0.58111040000000003</v>
      </c>
      <c r="P2633">
        <v>0.9536521</v>
      </c>
      <c r="Q2633">
        <v>-2.3947400000000001E-2</v>
      </c>
      <c r="R2633">
        <v>-0.29995759999999899</v>
      </c>
      <c r="S2633">
        <v>3.0404659999999999</v>
      </c>
      <c r="T2633">
        <v>-3.9231420000000003E-2</v>
      </c>
      <c r="U2633">
        <v>-0.34324650000000001</v>
      </c>
      <c r="V2633">
        <v>-0.3100058</v>
      </c>
      <c r="W2633">
        <v>-1.369948E-2</v>
      </c>
      <c r="X2633">
        <v>0.95063600000000004</v>
      </c>
      <c r="Y2633">
        <v>-0.48613269999999997</v>
      </c>
      <c r="Z2633">
        <v>4.9056859999999898E-3</v>
      </c>
      <c r="AA2633">
        <v>0.87387130000000002</v>
      </c>
      <c r="AB2633">
        <v>18</v>
      </c>
      <c r="AC2633">
        <v>85.642599999999902</v>
      </c>
      <c r="AD2633">
        <v>-1.1070035869999999</v>
      </c>
      <c r="AE2633">
        <v>-9.5934000000000008</v>
      </c>
      <c r="AF2633">
        <v>-41.958939967361403</v>
      </c>
      <c r="AG2633">
        <v>-1.1070035869999999</v>
      </c>
      <c r="AH2633">
        <v>75.257460146793804</v>
      </c>
      <c r="AI2633">
        <v>90.736074589963593</v>
      </c>
      <c r="AJ2633">
        <v>119.141354470281</v>
      </c>
      <c r="AK2633">
        <v>86.171128621322694</v>
      </c>
      <c r="AL2633">
        <v>90.784946909473604</v>
      </c>
      <c r="AM2633">
        <v>108.06133268729501</v>
      </c>
      <c r="AN2633">
        <v>1.00000003814095</v>
      </c>
    </row>
    <row r="2634" spans="1:40" x14ac:dyDescent="0.25">
      <c r="A2634" t="str">
        <f>"20190305135842499"</f>
        <v>20190305135842499</v>
      </c>
      <c r="B2634" t="str">
        <f>"1551765522491612"</f>
        <v>1551765522491612</v>
      </c>
      <c r="C2634" t="s">
        <v>40</v>
      </c>
      <c r="D2634">
        <v>4.0320410000000004</v>
      </c>
      <c r="E2634">
        <v>0.4260833</v>
      </c>
      <c r="F2634" t="s">
        <v>61</v>
      </c>
      <c r="G2634">
        <v>-400.21499999999997</v>
      </c>
      <c r="H2634" s="1">
        <v>9.2199010000000007E-6</v>
      </c>
      <c r="I2634">
        <v>210.1978</v>
      </c>
      <c r="J2634">
        <v>-482.98649999999998</v>
      </c>
      <c r="K2634">
        <v>1.114411</v>
      </c>
      <c r="L2634">
        <v>219.12</v>
      </c>
      <c r="M2634">
        <v>0.818457199999999</v>
      </c>
      <c r="N2634">
        <v>-1.419049E-2</v>
      </c>
      <c r="O2634">
        <v>-0.57439249999999997</v>
      </c>
      <c r="P2634">
        <v>0.95560290000000003</v>
      </c>
      <c r="Q2634">
        <v>-2.3261980000000002E-2</v>
      </c>
      <c r="R2634">
        <v>-0.29373830000000001</v>
      </c>
      <c r="S2634">
        <v>3.0408019999999998</v>
      </c>
      <c r="T2634">
        <v>-4.08653E-2</v>
      </c>
      <c r="U2634">
        <v>-0.3305054</v>
      </c>
      <c r="V2634">
        <v>-0.30838690000000002</v>
      </c>
      <c r="W2634">
        <v>-1.3091490000000001E-2</v>
      </c>
      <c r="X2634">
        <v>0.95117090000000004</v>
      </c>
      <c r="Y2634">
        <v>-0.48255940000000003</v>
      </c>
      <c r="Z2634">
        <v>5.3241240000000004E-3</v>
      </c>
      <c r="AA2634">
        <v>0.87584709999999999</v>
      </c>
      <c r="AB2634">
        <v>18</v>
      </c>
      <c r="AC2634">
        <v>82.771500000000003</v>
      </c>
      <c r="AD2634">
        <v>-1.114401780099</v>
      </c>
      <c r="AE2634">
        <v>-8.9222000000000001</v>
      </c>
      <c r="AF2634">
        <v>-40.237726116520903</v>
      </c>
      <c r="AG2634">
        <v>-1.114401780099</v>
      </c>
      <c r="AH2634">
        <v>72.864045638690399</v>
      </c>
      <c r="AI2634">
        <v>90.767055702717201</v>
      </c>
      <c r="AJ2634">
        <v>118.908805568335</v>
      </c>
      <c r="AK2634">
        <v>83.243532128284897</v>
      </c>
      <c r="AL2634">
        <v>90.750108571493399</v>
      </c>
      <c r="AM2634">
        <v>107.963636871584</v>
      </c>
      <c r="AN2634">
        <v>0.99999997410441899</v>
      </c>
    </row>
    <row r="2635" spans="1:40" x14ac:dyDescent="0.25">
      <c r="A2635" t="str">
        <f>"20190305135842520"</f>
        <v>20190305135842520</v>
      </c>
      <c r="B2635" t="str">
        <f>"1551765522511132"</f>
        <v>1551765522511132</v>
      </c>
      <c r="C2635" t="s">
        <v>40</v>
      </c>
      <c r="D2635">
        <v>4.0375110000000003</v>
      </c>
      <c r="E2635">
        <v>0.42673650000000002</v>
      </c>
      <c r="F2635" t="s">
        <v>61</v>
      </c>
      <c r="G2635">
        <v>-407.28129999999999</v>
      </c>
      <c r="H2635" s="1">
        <v>5.8719240000000003E-6</v>
      </c>
      <c r="I2635">
        <v>211.2354</v>
      </c>
      <c r="J2635">
        <v>-482.83499999999998</v>
      </c>
      <c r="K2635">
        <v>1.1145499999999999</v>
      </c>
      <c r="L2635">
        <v>219.0266</v>
      </c>
      <c r="M2635">
        <v>0.82359059999999995</v>
      </c>
      <c r="N2635">
        <v>-1.419316E-2</v>
      </c>
      <c r="O2635">
        <v>-0.56700740000000005</v>
      </c>
      <c r="P2635">
        <v>0.95764369999999999</v>
      </c>
      <c r="Q2635">
        <v>-2.288519E-2</v>
      </c>
      <c r="R2635">
        <v>-0.2870452</v>
      </c>
      <c r="S2635">
        <v>3.0409549999999999</v>
      </c>
      <c r="T2635">
        <v>-4.4763799999999999E-2</v>
      </c>
      <c r="U2635">
        <v>-0.31671139999999998</v>
      </c>
      <c r="V2635">
        <v>-0.30649120000000002</v>
      </c>
      <c r="W2635">
        <v>-1.2783289999999999E-2</v>
      </c>
      <c r="X2635">
        <v>0.95178770000000001</v>
      </c>
      <c r="Y2635">
        <v>-0.47859869999999999</v>
      </c>
      <c r="Z2635">
        <v>6.3061109999999997E-3</v>
      </c>
      <c r="AA2635">
        <v>0.87801109999999905</v>
      </c>
      <c r="AB2635">
        <v>18</v>
      </c>
      <c r="AC2635">
        <v>75.553699999999907</v>
      </c>
      <c r="AD2635">
        <v>-1.114544128076</v>
      </c>
      <c r="AE2635">
        <v>-7.7911999999999999</v>
      </c>
      <c r="AF2635">
        <v>-36.418569623500801</v>
      </c>
      <c r="AG2635">
        <v>-1.114544128076</v>
      </c>
      <c r="AH2635">
        <v>66.635340118265702</v>
      </c>
      <c r="AI2635">
        <v>90.840871299385498</v>
      </c>
      <c r="AJ2635">
        <v>118.658164489276</v>
      </c>
      <c r="AK2635">
        <v>75.946184727819997</v>
      </c>
      <c r="AL2635">
        <v>90.732448480310396</v>
      </c>
      <c r="AM2635">
        <v>107.849407265148</v>
      </c>
      <c r="AN2635">
        <v>1.00000004702597</v>
      </c>
    </row>
    <row r="2636" spans="1:40" x14ac:dyDescent="0.25">
      <c r="A2636" t="str">
        <f>"20190305135842545"</f>
        <v>20190305135842545</v>
      </c>
      <c r="B2636" t="str">
        <f>"1551765522541388"</f>
        <v>1551765522541388</v>
      </c>
      <c r="C2636" t="s">
        <v>40</v>
      </c>
      <c r="D2636">
        <v>4.0042609999999996</v>
      </c>
      <c r="E2636">
        <v>0.4274636</v>
      </c>
      <c r="F2636" t="s">
        <v>61</v>
      </c>
      <c r="G2636">
        <v>-413.0675</v>
      </c>
      <c r="H2636" s="1">
        <v>2.9673130000000001E-6</v>
      </c>
      <c r="I2636">
        <v>212.12909999999999</v>
      </c>
      <c r="J2636">
        <v>-482.6789</v>
      </c>
      <c r="K2636">
        <v>1.1146590000000001</v>
      </c>
      <c r="L2636">
        <v>218.93279999999999</v>
      </c>
      <c r="M2636">
        <v>0.82890769999999903</v>
      </c>
      <c r="N2636">
        <v>-1.419989E-2</v>
      </c>
      <c r="O2636">
        <v>-0.55920530000000002</v>
      </c>
      <c r="P2636">
        <v>0.95978220000000003</v>
      </c>
      <c r="Q2636">
        <v>-2.254161E-2</v>
      </c>
      <c r="R2636">
        <v>-0.27983970000000002</v>
      </c>
      <c r="S2636">
        <v>3.0414119999999998</v>
      </c>
      <c r="T2636">
        <v>-4.8587079999999998E-2</v>
      </c>
      <c r="U2636">
        <v>-0.3006897</v>
      </c>
      <c r="V2636">
        <v>-0.30466270000000001</v>
      </c>
      <c r="W2636">
        <v>-1.2488300000000001E-2</v>
      </c>
      <c r="X2636">
        <v>0.95237850000000002</v>
      </c>
      <c r="Y2636">
        <v>-0.47488350000000001</v>
      </c>
      <c r="Z2636">
        <v>7.2512840000000002E-3</v>
      </c>
      <c r="AA2636">
        <v>0.88001879999999999</v>
      </c>
      <c r="AB2636">
        <v>18</v>
      </c>
      <c r="AC2636">
        <v>69.611400000000003</v>
      </c>
      <c r="AD2636">
        <v>-1.1146560326870001</v>
      </c>
      <c r="AE2636">
        <v>-6.8036999999999903</v>
      </c>
      <c r="AF2636">
        <v>-33.2823251083448</v>
      </c>
      <c r="AG2636">
        <v>-1.1146560326870001</v>
      </c>
      <c r="AH2636">
        <v>61.496668277489803</v>
      </c>
      <c r="AI2636">
        <v>90.913255142284896</v>
      </c>
      <c r="AJ2636">
        <v>118.422488493079</v>
      </c>
      <c r="AK2636">
        <v>69.934225039821399</v>
      </c>
      <c r="AL2636">
        <v>90.715545438281794</v>
      </c>
      <c r="AM2636">
        <v>107.739300438554</v>
      </c>
      <c r="AN2636">
        <v>1.0000000628352099</v>
      </c>
    </row>
    <row r="2637" spans="1:40" x14ac:dyDescent="0.25">
      <c r="A2637" t="str">
        <f>"20190305135842570"</f>
        <v>20190305135842570</v>
      </c>
      <c r="B2637" t="str">
        <f>"1551765522561884"</f>
        <v>1551765522561884</v>
      </c>
      <c r="C2637" t="s">
        <v>40</v>
      </c>
      <c r="D2637">
        <v>3.959171</v>
      </c>
      <c r="E2637">
        <v>0.43701259999999997</v>
      </c>
      <c r="F2637" t="s">
        <v>61</v>
      </c>
      <c r="G2637">
        <v>-418.17880000000002</v>
      </c>
      <c r="H2637" s="1">
        <v>3.8046809999999999E-6</v>
      </c>
      <c r="I2637">
        <v>212.92179999999999</v>
      </c>
      <c r="J2637">
        <v>-482.50310000000002</v>
      </c>
      <c r="K2637">
        <v>1.1147579999999999</v>
      </c>
      <c r="L2637">
        <v>218.82980000000001</v>
      </c>
      <c r="M2637">
        <v>0.83491299999999902</v>
      </c>
      <c r="N2637">
        <v>-1.4209329999999999E-2</v>
      </c>
      <c r="O2637">
        <v>-0.55019869999999904</v>
      </c>
      <c r="P2637">
        <v>0.96236619999999995</v>
      </c>
      <c r="Q2637">
        <v>-2.1808839999999999E-2</v>
      </c>
      <c r="R2637">
        <v>-0.27088000000000001</v>
      </c>
      <c r="S2637">
        <v>3.0418090000000002</v>
      </c>
      <c r="T2637">
        <v>-5.2566889999999998E-2</v>
      </c>
      <c r="U2637">
        <v>-0.2834778</v>
      </c>
      <c r="V2637">
        <v>-0.3032454</v>
      </c>
      <c r="W2637">
        <v>-1.179648E-2</v>
      </c>
      <c r="X2637">
        <v>0.95283949999999995</v>
      </c>
      <c r="Y2637">
        <v>-0.47028130000000001</v>
      </c>
      <c r="Z2637">
        <v>8.2020069999999903E-3</v>
      </c>
      <c r="AA2637">
        <v>0.88247849999999906</v>
      </c>
      <c r="AB2637">
        <v>18</v>
      </c>
      <c r="AC2637">
        <v>64.324299999999994</v>
      </c>
      <c r="AD2637">
        <v>-1.1147541953190001</v>
      </c>
      <c r="AE2637">
        <v>-5.9080000000000101</v>
      </c>
      <c r="AF2637">
        <v>-30.452482542393099</v>
      </c>
      <c r="AG2637">
        <v>-1.1147541953190001</v>
      </c>
      <c r="AH2637">
        <v>56.944552834488398</v>
      </c>
      <c r="AI2637">
        <v>90.988982762439804</v>
      </c>
      <c r="AJ2637">
        <v>118.136725652115</v>
      </c>
      <c r="AK2637">
        <v>64.585435412564806</v>
      </c>
      <c r="AL2637">
        <v>90.675904179551793</v>
      </c>
      <c r="AM2637">
        <v>107.653902459447</v>
      </c>
      <c r="AN2637">
        <v>1.0000000211608999</v>
      </c>
    </row>
    <row r="2638" spans="1:40" x14ac:dyDescent="0.25">
      <c r="A2638" t="str">
        <f>"20190305135842593"</f>
        <v>20190305135842593</v>
      </c>
      <c r="B2638" t="str">
        <f>"1551765522581405"</f>
        <v>1551765522581405</v>
      </c>
      <c r="C2638" t="s">
        <v>40</v>
      </c>
      <c r="D2638">
        <v>4.0424220000000002</v>
      </c>
      <c r="E2638">
        <v>0.43906810000000002</v>
      </c>
      <c r="F2638" t="s">
        <v>41</v>
      </c>
      <c r="G2638">
        <v>-481.54050000000001</v>
      </c>
      <c r="H2638">
        <v>1.072654</v>
      </c>
      <c r="I2638">
        <v>218.7244</v>
      </c>
      <c r="J2638">
        <v>-482.34820000000002</v>
      </c>
      <c r="K2638">
        <v>1.114825</v>
      </c>
      <c r="L2638">
        <v>218.7413</v>
      </c>
      <c r="M2638">
        <v>0.84021380000000001</v>
      </c>
      <c r="N2638">
        <v>-1.4219280000000001E-2</v>
      </c>
      <c r="O2638">
        <v>-0.54206899999999902</v>
      </c>
      <c r="P2638">
        <v>0.96462519999999996</v>
      </c>
      <c r="Q2638">
        <v>-2.0928619999999998E-2</v>
      </c>
      <c r="R2638">
        <v>-0.2627932</v>
      </c>
      <c r="S2638">
        <v>3.0213930000000002</v>
      </c>
      <c r="T2638">
        <v>-0.13211789999999901</v>
      </c>
      <c r="U2638">
        <v>-0.33030700000000002</v>
      </c>
      <c r="V2638">
        <v>-0.30201309999999998</v>
      </c>
      <c r="W2638">
        <v>-1.0940190000000001E-2</v>
      </c>
      <c r="X2638">
        <v>0.953241</v>
      </c>
      <c r="Y2638">
        <v>-0.44686599999999999</v>
      </c>
      <c r="Z2638">
        <v>2.7277280000000001E-2</v>
      </c>
      <c r="AA2638">
        <v>0.89418489999999995</v>
      </c>
      <c r="AB2638">
        <v>18</v>
      </c>
      <c r="AC2638">
        <v>0.80770000000001096</v>
      </c>
      <c r="AD2638">
        <v>-4.2170999999999903E-2</v>
      </c>
      <c r="AE2638">
        <v>-1.6899999999992501E-2</v>
      </c>
      <c r="AF2638">
        <v>-0.42252101171790502</v>
      </c>
      <c r="AG2638">
        <v>-4.2170999999999903E-2</v>
      </c>
      <c r="AH2638">
        <v>0.68600188989074995</v>
      </c>
      <c r="AI2638">
        <v>92.996242964224507</v>
      </c>
      <c r="AJ2638">
        <v>121.62966934148101</v>
      </c>
      <c r="AK2638">
        <v>0.80678435254893399</v>
      </c>
      <c r="AL2638">
        <v>90.626839217276398</v>
      </c>
      <c r="AM2638">
        <v>107.57964110044701</v>
      </c>
      <c r="AN2638">
        <v>1.00000000220492</v>
      </c>
    </row>
    <row r="2639" spans="1:40" x14ac:dyDescent="0.25">
      <c r="A2639" t="str">
        <f>"20190305135842611"</f>
        <v>20190305135842611</v>
      </c>
      <c r="B2639" t="str">
        <f>"1551765522601900"</f>
        <v>1551765522601900</v>
      </c>
      <c r="C2639" t="s">
        <v>40</v>
      </c>
      <c r="D2639">
        <v>4.0405249999999997</v>
      </c>
      <c r="E2639">
        <v>0.4410693</v>
      </c>
      <c r="F2639" t="s">
        <v>59</v>
      </c>
      <c r="G2639">
        <v>-456.6703</v>
      </c>
      <c r="H2639" s="1">
        <v>1.9518090000000001E-6</v>
      </c>
      <c r="I2639">
        <v>216.0119</v>
      </c>
      <c r="J2639">
        <v>-482.2217</v>
      </c>
      <c r="K2639">
        <v>1.114878</v>
      </c>
      <c r="L2639">
        <v>218.67080000000001</v>
      </c>
      <c r="M2639">
        <v>0.84454569999999995</v>
      </c>
      <c r="N2639">
        <v>-1.4229769999999999E-2</v>
      </c>
      <c r="O2639">
        <v>-0.53529450000000001</v>
      </c>
      <c r="P2639">
        <v>0.96638239999999997</v>
      </c>
      <c r="Q2639">
        <v>-2.0968000000000001E-2</v>
      </c>
      <c r="R2639">
        <v>-0.25625239999999999</v>
      </c>
      <c r="S2639">
        <v>3.0197750000000001</v>
      </c>
      <c r="T2639">
        <v>-0.13110550000000001</v>
      </c>
      <c r="U2639">
        <v>-0.32098389999999999</v>
      </c>
      <c r="V2639">
        <v>-0.30080309999999999</v>
      </c>
      <c r="W2639">
        <v>-1.099194E-2</v>
      </c>
      <c r="X2639">
        <v>0.95362290000000005</v>
      </c>
      <c r="Y2639">
        <v>-0.44236249999999999</v>
      </c>
      <c r="Z2639">
        <v>2.6788940000000001E-2</v>
      </c>
      <c r="AA2639">
        <v>0.89643609999999896</v>
      </c>
      <c r="AB2639">
        <v>18</v>
      </c>
      <c r="AC2639">
        <v>25.551400000000001</v>
      </c>
      <c r="AD2639">
        <v>-1.1148760481910001</v>
      </c>
      <c r="AE2639">
        <v>-2.6589000000000098</v>
      </c>
      <c r="AF2639">
        <v>-11.4116253444409</v>
      </c>
      <c r="AG2639">
        <v>-1.1148760481910001</v>
      </c>
      <c r="AH2639">
        <v>22.961700858930101</v>
      </c>
      <c r="AI2639">
        <v>92.489656752921704</v>
      </c>
      <c r="AJ2639">
        <v>116.42669604925</v>
      </c>
      <c r="AK2639">
        <v>25.6653043609404</v>
      </c>
      <c r="AL2639">
        <v>90.629804465160007</v>
      </c>
      <c r="AM2639">
        <v>107.506937719924</v>
      </c>
      <c r="AN2639">
        <v>0.99999998155949099</v>
      </c>
    </row>
    <row r="2640" spans="1:40" x14ac:dyDescent="0.25">
      <c r="A2640" t="str">
        <f>"20190305135842634"</f>
        <v>20190305135842634</v>
      </c>
      <c r="B2640" t="str">
        <f>"1551765522631181"</f>
        <v>1551765522631181</v>
      </c>
      <c r="C2640" t="s">
        <v>40</v>
      </c>
      <c r="D2640">
        <v>4.0373780000000004</v>
      </c>
      <c r="E2640">
        <v>0.45391809999999999</v>
      </c>
      <c r="F2640" t="s">
        <v>59</v>
      </c>
      <c r="G2640">
        <v>-458.24110000000002</v>
      </c>
      <c r="H2640" s="1">
        <v>2.781254E-6</v>
      </c>
      <c r="I2640">
        <v>216.15960000000001</v>
      </c>
      <c r="J2640">
        <v>-482.07150000000001</v>
      </c>
      <c r="K2640">
        <v>1.1149389999999999</v>
      </c>
      <c r="L2640">
        <v>218.5891</v>
      </c>
      <c r="M2640">
        <v>0.84967119999999996</v>
      </c>
      <c r="N2640">
        <v>-1.4245010000000001E-2</v>
      </c>
      <c r="O2640">
        <v>-0.52712040000000004</v>
      </c>
      <c r="P2640">
        <v>0.96853880000000003</v>
      </c>
      <c r="Q2640">
        <v>-2.0980229999999999E-2</v>
      </c>
      <c r="R2640">
        <v>-0.247977</v>
      </c>
      <c r="S2640">
        <v>3.017487</v>
      </c>
      <c r="T2640">
        <v>-0.140285299999999</v>
      </c>
      <c r="U2640">
        <v>-0.31599429999999901</v>
      </c>
      <c r="V2640">
        <v>-0.29975659999999998</v>
      </c>
      <c r="W2640">
        <v>-1.1022560000000001E-2</v>
      </c>
      <c r="X2640">
        <v>0.95395209999999997</v>
      </c>
      <c r="Y2640">
        <v>-0.43499189999999999</v>
      </c>
      <c r="Z2640">
        <v>2.861474E-2</v>
      </c>
      <c r="AA2640">
        <v>0.89997959999999999</v>
      </c>
      <c r="AB2640">
        <v>18</v>
      </c>
      <c r="AC2640">
        <v>23.830400000000001</v>
      </c>
      <c r="AD2640">
        <v>-1.1149362187459999</v>
      </c>
      <c r="AE2640">
        <v>-2.4294999999999898</v>
      </c>
      <c r="AF2640">
        <v>-10.4755843630514</v>
      </c>
      <c r="AG2640">
        <v>-1.1149362187459999</v>
      </c>
      <c r="AH2640">
        <v>21.484283954523502</v>
      </c>
      <c r="AI2640">
        <v>92.670675802140494</v>
      </c>
      <c r="AJ2640">
        <v>115.99353421559999</v>
      </c>
      <c r="AK2640">
        <v>23.928130047245102</v>
      </c>
      <c r="AL2640">
        <v>90.631558917078294</v>
      </c>
      <c r="AM2640">
        <v>107.44407715404201</v>
      </c>
      <c r="AN2640">
        <v>1.00000006258345</v>
      </c>
    </row>
    <row r="2641" spans="1:40" x14ac:dyDescent="0.25">
      <c r="A2641" t="str">
        <f>"20190305135842656"</f>
        <v>20190305135842656</v>
      </c>
      <c r="B2641" t="str">
        <f>"1551765522651677"</f>
        <v>1551765522651677</v>
      </c>
      <c r="C2641" t="s">
        <v>40</v>
      </c>
      <c r="D2641">
        <v>4.023263</v>
      </c>
      <c r="E2641">
        <v>0.45241979999999998</v>
      </c>
      <c r="F2641" t="s">
        <v>59</v>
      </c>
      <c r="G2641">
        <v>-468.28570000000002</v>
      </c>
      <c r="H2641" s="1">
        <v>2.7776930000000001E-6</v>
      </c>
      <c r="I2641">
        <v>216.7842</v>
      </c>
      <c r="J2641">
        <v>-481.91590000000002</v>
      </c>
      <c r="K2641">
        <v>1.115002</v>
      </c>
      <c r="L2641">
        <v>218.50649999999999</v>
      </c>
      <c r="M2641">
        <v>0.85495270000000001</v>
      </c>
      <c r="N2641">
        <v>-1.426235E-2</v>
      </c>
      <c r="O2641">
        <v>-0.51850989999999997</v>
      </c>
      <c r="P2641">
        <v>0.97073670000000001</v>
      </c>
      <c r="Q2641">
        <v>-2.146727E-2</v>
      </c>
      <c r="R2641">
        <v>-0.23918500000000001</v>
      </c>
      <c r="S2641">
        <v>2.9918819999999999</v>
      </c>
      <c r="T2641">
        <v>-0.24197109999999999</v>
      </c>
      <c r="U2641">
        <v>-0.39170840000000001</v>
      </c>
      <c r="V2641">
        <v>-0.29875620000000003</v>
      </c>
      <c r="W2641">
        <v>-1.1526E-2</v>
      </c>
      <c r="X2641">
        <v>0.95425990000000005</v>
      </c>
      <c r="Y2641">
        <v>-0.4007232</v>
      </c>
      <c r="Z2641">
        <v>5.0994619999999997E-2</v>
      </c>
      <c r="AA2641">
        <v>0.91477889999999995</v>
      </c>
      <c r="AB2641">
        <v>18</v>
      </c>
      <c r="AC2641">
        <v>13.6302</v>
      </c>
      <c r="AD2641">
        <v>-1.114999222307</v>
      </c>
      <c r="AE2641">
        <v>-1.72229999999999</v>
      </c>
      <c r="AF2641">
        <v>-5.5588632521570602</v>
      </c>
      <c r="AG2641">
        <v>-1.114999222307</v>
      </c>
      <c r="AH2641">
        <v>12.465376617906401</v>
      </c>
      <c r="AI2641">
        <v>94.670281750083007</v>
      </c>
      <c r="AJ2641">
        <v>114.034207971318</v>
      </c>
      <c r="AK2641">
        <v>13.694151968930999</v>
      </c>
      <c r="AL2641">
        <v>90.660405753628694</v>
      </c>
      <c r="AM2641">
        <v>107.38410383012</v>
      </c>
      <c r="AN2641">
        <v>1.00000003623122</v>
      </c>
    </row>
    <row r="2642" spans="1:40" x14ac:dyDescent="0.25">
      <c r="A2642" t="str">
        <f>"20190305135842679"</f>
        <v>20190305135842679</v>
      </c>
      <c r="B2642" t="str">
        <f>"1551765522671196"</f>
        <v>1551765522671196</v>
      </c>
      <c r="C2642" t="s">
        <v>40</v>
      </c>
      <c r="D2642">
        <v>4.0571840000000003</v>
      </c>
      <c r="E2642">
        <v>0.45247599999999999</v>
      </c>
      <c r="F2642" t="s">
        <v>59</v>
      </c>
      <c r="G2642">
        <v>-466.23970000000003</v>
      </c>
      <c r="H2642" s="1">
        <v>1.694145E-6</v>
      </c>
      <c r="I2642">
        <v>216.66419999999999</v>
      </c>
      <c r="J2642">
        <v>-481.7586</v>
      </c>
      <c r="K2642">
        <v>1.1150500000000001</v>
      </c>
      <c r="L2642">
        <v>218.4254</v>
      </c>
      <c r="M2642">
        <v>0.86024489999999998</v>
      </c>
      <c r="N2642">
        <v>-1.427866E-2</v>
      </c>
      <c r="O2642">
        <v>-0.50968119999999995</v>
      </c>
      <c r="P2642">
        <v>0.97302540000000004</v>
      </c>
      <c r="Q2642">
        <v>-2.2369179999999999E-2</v>
      </c>
      <c r="R2642">
        <v>-0.22961110000000001</v>
      </c>
      <c r="S2642">
        <v>2.9988100000000002</v>
      </c>
      <c r="T2642">
        <v>-0.21329590000000001</v>
      </c>
      <c r="U2642">
        <v>-0.35243229999999998</v>
      </c>
      <c r="V2642">
        <v>-0.29831020000000003</v>
      </c>
      <c r="W2642">
        <v>-1.244659E-2</v>
      </c>
      <c r="X2642">
        <v>0.95438780000000001</v>
      </c>
      <c r="Y2642">
        <v>-0.40394809999999998</v>
      </c>
      <c r="Z2642">
        <v>4.4087479999999998E-2</v>
      </c>
      <c r="AA2642">
        <v>0.9137189</v>
      </c>
      <c r="AB2642">
        <v>18</v>
      </c>
      <c r="AC2642">
        <v>15.518899999999901</v>
      </c>
      <c r="AD2642">
        <v>-1.115048305855</v>
      </c>
      <c r="AE2642">
        <v>-1.7612000000000001</v>
      </c>
      <c r="AF2642">
        <v>-6.3628489975732103</v>
      </c>
      <c r="AG2642">
        <v>-1.115048305855</v>
      </c>
      <c r="AH2642">
        <v>14.176898566085001</v>
      </c>
      <c r="AI2642">
        <v>94.104315294741099</v>
      </c>
      <c r="AJ2642">
        <v>114.171407244896</v>
      </c>
      <c r="AK2642">
        <v>15.5792693359917</v>
      </c>
      <c r="AL2642">
        <v>90.713155502717896</v>
      </c>
      <c r="AM2642">
        <v>107.35752560227</v>
      </c>
      <c r="AN2642">
        <v>0.99999998290775405</v>
      </c>
    </row>
    <row r="2643" spans="1:40" x14ac:dyDescent="0.25">
      <c r="A2643" t="str">
        <f>"20190305135842700"</f>
        <v>20190305135842700</v>
      </c>
      <c r="B2643" t="str">
        <f>"1551765522691692"</f>
        <v>1551765522691692</v>
      </c>
      <c r="C2643" t="s">
        <v>40</v>
      </c>
      <c r="D2643">
        <v>4.0510359999999999</v>
      </c>
      <c r="E2643">
        <v>0.45305479999999998</v>
      </c>
      <c r="F2643" t="s">
        <v>59</v>
      </c>
      <c r="G2643">
        <v>-465.5394</v>
      </c>
      <c r="H2643" s="1">
        <v>1.320796E-6</v>
      </c>
      <c r="I2643">
        <v>216.68039999999999</v>
      </c>
      <c r="J2643">
        <v>-481.60829999999999</v>
      </c>
      <c r="K2643">
        <v>1.1150719999999901</v>
      </c>
      <c r="L2643">
        <v>218.3501</v>
      </c>
      <c r="M2643">
        <v>0.86525260000000004</v>
      </c>
      <c r="N2643">
        <v>-1.429188E-2</v>
      </c>
      <c r="O2643">
        <v>-0.50113260000000004</v>
      </c>
      <c r="P2643">
        <v>0.97520779999999996</v>
      </c>
      <c r="Q2643">
        <v>-2.3299340000000002E-2</v>
      </c>
      <c r="R2643">
        <v>-0.22006200000000001</v>
      </c>
      <c r="S2643">
        <v>3.0021969999999998</v>
      </c>
      <c r="T2643">
        <v>-0.20639740000000001</v>
      </c>
      <c r="U2643">
        <v>-0.32299800000000001</v>
      </c>
      <c r="V2643">
        <v>-0.2981859</v>
      </c>
      <c r="W2643">
        <v>-1.338778E-2</v>
      </c>
      <c r="X2643">
        <v>0.95441399999999998</v>
      </c>
      <c r="Y2643">
        <v>-0.40399160000000001</v>
      </c>
      <c r="Z2643">
        <v>4.2135949999999998E-2</v>
      </c>
      <c r="AA2643">
        <v>0.91379180000000004</v>
      </c>
      <c r="AB2643">
        <v>18</v>
      </c>
      <c r="AC2643">
        <v>16.0688999999999</v>
      </c>
      <c r="AD2643">
        <v>-1.1150706792039999</v>
      </c>
      <c r="AE2643">
        <v>-1.6697</v>
      </c>
      <c r="AF2643">
        <v>-6.57727774670962</v>
      </c>
      <c r="AG2643">
        <v>-1.1150706792039999</v>
      </c>
      <c r="AH2643">
        <v>14.672005847478999</v>
      </c>
      <c r="AI2643">
        <v>93.9671274855734</v>
      </c>
      <c r="AJ2643">
        <v>114.146100197091</v>
      </c>
      <c r="AK2643">
        <v>16.117435303590899</v>
      </c>
      <c r="AL2643">
        <v>90.767086150308799</v>
      </c>
      <c r="AM2643">
        <v>107.350279562396</v>
      </c>
      <c r="AN2643">
        <v>1.0000000735040599</v>
      </c>
    </row>
    <row r="2644" spans="1:40" x14ac:dyDescent="0.25">
      <c r="A2644" t="str">
        <f>"20190305135842721"</f>
        <v>20190305135842721</v>
      </c>
      <c r="B2644" t="str">
        <f>"1551765522711213"</f>
        <v>1551765522711213</v>
      </c>
      <c r="C2644" t="s">
        <v>40</v>
      </c>
      <c r="D2644">
        <v>4.0418560000000001</v>
      </c>
      <c r="E2644">
        <v>0.45443260000000002</v>
      </c>
      <c r="F2644" t="s">
        <v>59</v>
      </c>
      <c r="G2644">
        <v>-464.77789999999999</v>
      </c>
      <c r="H2644" s="1">
        <v>9.1548339999999999E-7</v>
      </c>
      <c r="I2644">
        <v>216.68170000000001</v>
      </c>
      <c r="J2644">
        <v>-481.45729999999998</v>
      </c>
      <c r="K2644">
        <v>1.1150789999999999</v>
      </c>
      <c r="L2644">
        <v>218.2764</v>
      </c>
      <c r="M2644">
        <v>0.87021610000000005</v>
      </c>
      <c r="N2644">
        <v>-1.430235E-2</v>
      </c>
      <c r="O2644">
        <v>-0.49246259999999997</v>
      </c>
      <c r="P2644">
        <v>0.97728349999999997</v>
      </c>
      <c r="Q2644">
        <v>-2.314853E-2</v>
      </c>
      <c r="R2644">
        <v>-0.21066750000000001</v>
      </c>
      <c r="S2644">
        <v>3.0043030000000002</v>
      </c>
      <c r="T2644">
        <v>-0.19904530000000001</v>
      </c>
      <c r="U2644">
        <v>-0.29780580000000001</v>
      </c>
      <c r="V2644">
        <v>-0.29783799999999999</v>
      </c>
      <c r="W2644">
        <v>-1.3228500000000001E-2</v>
      </c>
      <c r="X2644">
        <v>0.95452479999999995</v>
      </c>
      <c r="Y2644">
        <v>-0.40264729999999999</v>
      </c>
      <c r="Z2644">
        <v>4.0063979999999999E-2</v>
      </c>
      <c r="AA2644">
        <v>0.91447800000000001</v>
      </c>
      <c r="AB2644">
        <v>18</v>
      </c>
      <c r="AC2644">
        <v>16.679399999999902</v>
      </c>
      <c r="AD2644">
        <v>-1.1150780845166</v>
      </c>
      <c r="AE2644">
        <v>-1.59469999999998</v>
      </c>
      <c r="AF2644">
        <v>-6.7968425867396496</v>
      </c>
      <c r="AG2644">
        <v>-1.1150780845166</v>
      </c>
      <c r="AH2644">
        <v>15.234106759378101</v>
      </c>
      <c r="AI2644">
        <v>93.824240193311397</v>
      </c>
      <c r="AJ2644">
        <v>114.044496983988</v>
      </c>
      <c r="AK2644">
        <v>16.7188060889412</v>
      </c>
      <c r="AL2644">
        <v>90.757959303452594</v>
      </c>
      <c r="AM2644">
        <v>107.32935833680099</v>
      </c>
      <c r="AN2644">
        <v>1.00000003063564</v>
      </c>
    </row>
    <row r="2645" spans="1:40" x14ac:dyDescent="0.25">
      <c r="A2645" t="str">
        <f>"20190305135842745"</f>
        <v>20190305135842745</v>
      </c>
      <c r="B2645" t="str">
        <f>"1551765522741468"</f>
        <v>1551765522741468</v>
      </c>
      <c r="C2645" t="s">
        <v>40</v>
      </c>
      <c r="D2645">
        <v>4.123812</v>
      </c>
      <c r="E2645">
        <v>0.45682669999999997</v>
      </c>
      <c r="F2645" t="s">
        <v>59</v>
      </c>
      <c r="G2645">
        <v>-464.66469999999998</v>
      </c>
      <c r="H2645" s="1">
        <v>8.5389659999999899E-7</v>
      </c>
      <c r="I2645">
        <v>216.71299999999999</v>
      </c>
      <c r="J2645">
        <v>-481.29419999999999</v>
      </c>
      <c r="K2645">
        <v>1.1150629999999999</v>
      </c>
      <c r="L2645">
        <v>218.19900000000001</v>
      </c>
      <c r="M2645">
        <v>0.87548440000000005</v>
      </c>
      <c r="N2645">
        <v>-1.4310669999999999E-2</v>
      </c>
      <c r="O2645">
        <v>-0.48303479999999999</v>
      </c>
      <c r="P2645">
        <v>0.97949960000000003</v>
      </c>
      <c r="Q2645">
        <v>-2.2462159999999998E-2</v>
      </c>
      <c r="R2645">
        <v>-0.2001906</v>
      </c>
      <c r="S2645">
        <v>3.0047299999999999</v>
      </c>
      <c r="T2645">
        <v>-0.19952339999999999</v>
      </c>
      <c r="U2645">
        <v>-0.27973940000000003</v>
      </c>
      <c r="V2645">
        <v>-0.29776599999999998</v>
      </c>
      <c r="W2645">
        <v>-1.252239E-2</v>
      </c>
      <c r="X2645">
        <v>0.95455679999999998</v>
      </c>
      <c r="Y2645">
        <v>-0.39823330000000001</v>
      </c>
      <c r="Z2645">
        <v>3.9611790000000001E-2</v>
      </c>
      <c r="AA2645">
        <v>0.91642849999999998</v>
      </c>
      <c r="AB2645">
        <v>18</v>
      </c>
      <c r="AC2645">
        <v>16.6295</v>
      </c>
      <c r="AD2645">
        <v>-1.1150621461033901</v>
      </c>
      <c r="AE2645">
        <v>-1.48600000000001</v>
      </c>
      <c r="AF2645">
        <v>-6.7024492081682601</v>
      </c>
      <c r="AG2645">
        <v>-1.1150621461033901</v>
      </c>
      <c r="AH2645">
        <v>15.210373217944699</v>
      </c>
      <c r="AI2645">
        <v>93.837939295625006</v>
      </c>
      <c r="AJ2645">
        <v>113.78068311667801</v>
      </c>
      <c r="AK2645">
        <v>16.6589808333799</v>
      </c>
      <c r="AL2645">
        <v>90.717498818461607</v>
      </c>
      <c r="AM2645">
        <v>107.324873820146</v>
      </c>
      <c r="AN2645">
        <v>1.0000000427167699</v>
      </c>
    </row>
    <row r="2646" spans="1:40" x14ac:dyDescent="0.25">
      <c r="A2646" t="str">
        <f>"20190305135842770"</f>
        <v>20190305135842770</v>
      </c>
      <c r="B2646" t="str">
        <f>"1551765522761495"</f>
        <v>1551765522761495</v>
      </c>
      <c r="C2646" t="s">
        <v>40</v>
      </c>
      <c r="D2646">
        <v>4.0358479999999997</v>
      </c>
      <c r="E2646">
        <v>0.45719389999999999</v>
      </c>
      <c r="F2646" t="s">
        <v>59</v>
      </c>
      <c r="G2646">
        <v>-464.70580000000001</v>
      </c>
      <c r="H2646" s="1">
        <v>8.7511860000000002E-7</v>
      </c>
      <c r="I2646">
        <v>216.72720000000001</v>
      </c>
      <c r="J2646">
        <v>-481.11919999999998</v>
      </c>
      <c r="K2646">
        <v>1.115024</v>
      </c>
      <c r="L2646">
        <v>218.11840000000001</v>
      </c>
      <c r="M2646">
        <v>0.88101659999999904</v>
      </c>
      <c r="N2646">
        <v>-1.4315929999999999E-2</v>
      </c>
      <c r="O2646">
        <v>-0.47286899999999998</v>
      </c>
      <c r="P2646">
        <v>0.98169790000000001</v>
      </c>
      <c r="Q2646">
        <v>-2.2107060000000001E-2</v>
      </c>
      <c r="R2646">
        <v>-0.18915760000000001</v>
      </c>
      <c r="S2646">
        <v>3.0036930000000002</v>
      </c>
      <c r="T2646">
        <v>-0.20190620000000001</v>
      </c>
      <c r="U2646">
        <v>-0.26649479999999998</v>
      </c>
      <c r="V2646">
        <v>-0.29746610000000001</v>
      </c>
      <c r="W2646">
        <v>-1.2131110000000001E-2</v>
      </c>
      <c r="X2646">
        <v>0.95465529999999998</v>
      </c>
      <c r="Y2646">
        <v>-0.3915748</v>
      </c>
      <c r="Z2646">
        <v>3.9455179999999999E-2</v>
      </c>
      <c r="AA2646">
        <v>0.91930000000000001</v>
      </c>
      <c r="AB2646">
        <v>18</v>
      </c>
      <c r="AC2646">
        <v>16.4133999999999</v>
      </c>
      <c r="AD2646">
        <v>-1.11502312488139</v>
      </c>
      <c r="AE2646">
        <v>-1.39119999999999</v>
      </c>
      <c r="AF2646">
        <v>-6.5065730784974702</v>
      </c>
      <c r="AG2646">
        <v>-1.11502312488139</v>
      </c>
      <c r="AH2646">
        <v>15.050916156806201</v>
      </c>
      <c r="AI2646">
        <v>93.890190179073102</v>
      </c>
      <c r="AJ2646">
        <v>113.379027237297</v>
      </c>
      <c r="AK2646">
        <v>16.4349884987504</v>
      </c>
      <c r="AL2646">
        <v>90.695078457683493</v>
      </c>
      <c r="AM2646">
        <v>107.306788435768</v>
      </c>
      <c r="AN2646">
        <v>0.99999999314856602</v>
      </c>
    </row>
    <row r="2647" spans="1:40" x14ac:dyDescent="0.25">
      <c r="A2647" t="str">
        <f>"20190305135842790"</f>
        <v>20190305135842790</v>
      </c>
      <c r="B2647" t="str">
        <f>"1551765522781991"</f>
        <v>1551765522781991</v>
      </c>
      <c r="C2647" t="s">
        <v>40</v>
      </c>
      <c r="D2647">
        <v>4.0185839999999997</v>
      </c>
      <c r="E2647">
        <v>0.45787719999999998</v>
      </c>
      <c r="F2647" t="s">
        <v>59</v>
      </c>
      <c r="G2647">
        <v>-463.82499999999999</v>
      </c>
      <c r="H2647" s="1">
        <v>4.0478619999999999E-7</v>
      </c>
      <c r="I2647">
        <v>216.7645</v>
      </c>
      <c r="J2647">
        <v>-480.97550000000001</v>
      </c>
      <c r="K2647">
        <v>1.11497</v>
      </c>
      <c r="L2647">
        <v>218.054</v>
      </c>
      <c r="M2647">
        <v>0.88545689999999999</v>
      </c>
      <c r="N2647">
        <v>-1.4317430000000001E-2</v>
      </c>
      <c r="O2647">
        <v>-0.4645011</v>
      </c>
      <c r="P2647">
        <v>0.98339799999999999</v>
      </c>
      <c r="Q2647">
        <v>-2.301578E-2</v>
      </c>
      <c r="R2647">
        <v>-0.17999479999999901</v>
      </c>
      <c r="S2647">
        <v>3.006256</v>
      </c>
      <c r="T2647">
        <v>-0.19382479999999999</v>
      </c>
      <c r="U2647">
        <v>-0.23535159999999999</v>
      </c>
      <c r="V2647">
        <v>-0.29730479999999998</v>
      </c>
      <c r="W2647">
        <v>-1.30078E-2</v>
      </c>
      <c r="X2647">
        <v>0.95469400000000004</v>
      </c>
      <c r="Y2647">
        <v>-0.39252799999999999</v>
      </c>
      <c r="Z2647">
        <v>3.7402810000000002E-2</v>
      </c>
      <c r="AA2647">
        <v>0.9189792</v>
      </c>
      <c r="AB2647">
        <v>18</v>
      </c>
      <c r="AC2647">
        <v>17.150500000000001</v>
      </c>
      <c r="AD2647">
        <v>-1.1149695952137999</v>
      </c>
      <c r="AE2647">
        <v>-1.2895000000000001</v>
      </c>
      <c r="AF2647">
        <v>-6.7967639255007599</v>
      </c>
      <c r="AG2647">
        <v>-1.1149695952137999</v>
      </c>
      <c r="AH2647">
        <v>15.7205512809421</v>
      </c>
      <c r="AI2647">
        <v>93.724720894773199</v>
      </c>
      <c r="AJ2647">
        <v>113.38119154352999</v>
      </c>
      <c r="AK2647">
        <v>17.163184134477198</v>
      </c>
      <c r="AL2647">
        <v>90.745313067171594</v>
      </c>
      <c r="AM2647">
        <v>107.29730460774999</v>
      </c>
      <c r="AN2647">
        <v>0.99999999029994002</v>
      </c>
    </row>
    <row r="2648" spans="1:40" x14ac:dyDescent="0.25">
      <c r="A2648" t="str">
        <f>"20190305135842812"</f>
        <v>20190305135842812</v>
      </c>
      <c r="B2648" t="str">
        <f>"1551765522801512"</f>
        <v>1551765522801512</v>
      </c>
      <c r="C2648" t="s">
        <v>40</v>
      </c>
      <c r="D2648">
        <v>4.0403070000000003</v>
      </c>
      <c r="E2648">
        <v>0.4586249</v>
      </c>
      <c r="F2648" t="s">
        <v>59</v>
      </c>
      <c r="G2648">
        <v>-463.34539999999998</v>
      </c>
      <c r="H2648" s="1">
        <v>1.4761129999999999E-7</v>
      </c>
      <c r="I2648">
        <v>216.80940000000001</v>
      </c>
      <c r="J2648">
        <v>-480.82589999999999</v>
      </c>
      <c r="K2648">
        <v>1.1149070000000001</v>
      </c>
      <c r="L2648">
        <v>217.98869999999999</v>
      </c>
      <c r="M2648">
        <v>0.88997130000000002</v>
      </c>
      <c r="N2648">
        <v>-1.4316509999999999E-2</v>
      </c>
      <c r="O2648">
        <v>-0.45579219999999998</v>
      </c>
      <c r="P2648">
        <v>0.98501050000000001</v>
      </c>
      <c r="Q2648">
        <v>-2.377195E-2</v>
      </c>
      <c r="R2648">
        <v>-0.17084929999999901</v>
      </c>
      <c r="S2648">
        <v>3.0072939999999999</v>
      </c>
      <c r="T2648">
        <v>-0.19018840000000001</v>
      </c>
      <c r="U2648">
        <v>-0.2122955</v>
      </c>
      <c r="V2648">
        <v>-0.296794</v>
      </c>
      <c r="W2648">
        <v>-1.372425E-2</v>
      </c>
      <c r="X2648">
        <v>0.95484290000000005</v>
      </c>
      <c r="Y2648">
        <v>-0.39060990000000001</v>
      </c>
      <c r="Z2648">
        <v>3.620835E-2</v>
      </c>
      <c r="AA2648">
        <v>0.91984399999999999</v>
      </c>
      <c r="AB2648">
        <v>18</v>
      </c>
      <c r="AC2648">
        <v>17.480499999999999</v>
      </c>
      <c r="AD2648">
        <v>-1.11490685238869</v>
      </c>
      <c r="AE2648">
        <v>-1.17929999999998</v>
      </c>
      <c r="AF2648">
        <v>-6.8907362830342498</v>
      </c>
      <c r="AG2648">
        <v>-1.11490685238869</v>
      </c>
      <c r="AH2648">
        <v>16.0313869384516</v>
      </c>
      <c r="AI2648">
        <v>93.655834000706705</v>
      </c>
      <c r="AJ2648">
        <v>113.259379088839</v>
      </c>
      <c r="AK2648">
        <v>17.485154588455401</v>
      </c>
      <c r="AL2648">
        <v>90.786366290427495</v>
      </c>
      <c r="AM2648">
        <v>107.266822019746</v>
      </c>
      <c r="AN2648">
        <v>0.99999999857723598</v>
      </c>
    </row>
    <row r="2649" spans="1:40" x14ac:dyDescent="0.25">
      <c r="A2649" t="str">
        <f>"20190305135842834"</f>
        <v>20190305135842834</v>
      </c>
      <c r="B2649" t="str">
        <f>"1551765522831767"</f>
        <v>1551765522831767</v>
      </c>
      <c r="C2649" t="s">
        <v>40</v>
      </c>
      <c r="D2649">
        <v>4.0315629999999896</v>
      </c>
      <c r="E2649">
        <v>0.45975270000000001</v>
      </c>
      <c r="F2649" t="s">
        <v>59</v>
      </c>
      <c r="G2649">
        <v>-462.93740000000003</v>
      </c>
      <c r="H2649" s="1">
        <v>-7.1606300000000002E-8</v>
      </c>
      <c r="I2649">
        <v>216.85740000000001</v>
      </c>
      <c r="J2649">
        <v>-480.66609999999997</v>
      </c>
      <c r="K2649">
        <v>1.114851</v>
      </c>
      <c r="L2649">
        <v>217.92080000000001</v>
      </c>
      <c r="M2649">
        <v>0.89466889999999999</v>
      </c>
      <c r="N2649">
        <v>-1.43132E-2</v>
      </c>
      <c r="O2649">
        <v>-0.44650059999999903</v>
      </c>
      <c r="P2649">
        <v>0.98662119999999998</v>
      </c>
      <c r="Q2649">
        <v>-2.5206369999999999E-2</v>
      </c>
      <c r="R2649">
        <v>-0.16106909999999999</v>
      </c>
      <c r="S2649">
        <v>3.0081180000000001</v>
      </c>
      <c r="T2649">
        <v>-0.18748200000000001</v>
      </c>
      <c r="U2649">
        <v>-0.19024659999999999</v>
      </c>
      <c r="V2649">
        <v>-0.29629299999999997</v>
      </c>
      <c r="W2649">
        <v>-1.511902E-2</v>
      </c>
      <c r="X2649">
        <v>0.95497739999999998</v>
      </c>
      <c r="Y2649">
        <v>-0.38781320000000002</v>
      </c>
      <c r="Z2649">
        <v>3.5168159999999997E-2</v>
      </c>
      <c r="AA2649">
        <v>0.92106690000000002</v>
      </c>
      <c r="AB2649">
        <v>18</v>
      </c>
      <c r="AC2649">
        <v>17.7286999999999</v>
      </c>
      <c r="AD2649">
        <v>-1.1148510716063</v>
      </c>
      <c r="AE2649">
        <v>-1.0633999999999999</v>
      </c>
      <c r="AF2649">
        <v>-6.9378607776981402</v>
      </c>
      <c r="AG2649">
        <v>-1.1148510716063</v>
      </c>
      <c r="AH2649">
        <v>16.273676298080801</v>
      </c>
      <c r="AI2649">
        <v>93.605924859761998</v>
      </c>
      <c r="AJ2649">
        <v>113.089721115486</v>
      </c>
      <c r="AK2649">
        <v>17.725951182864701</v>
      </c>
      <c r="AL2649">
        <v>90.866289058764096</v>
      </c>
      <c r="AM2649">
        <v>107.23711970478701</v>
      </c>
      <c r="AN2649">
        <v>0.99999998056275996</v>
      </c>
    </row>
    <row r="2650" spans="1:40" x14ac:dyDescent="0.25">
      <c r="A2650" t="str">
        <f>"20190305135842857"</f>
        <v>20190305135842857</v>
      </c>
      <c r="B2650" t="str">
        <f>"1551765522851288"</f>
        <v>1551765522851288</v>
      </c>
      <c r="C2650" t="s">
        <v>40</v>
      </c>
      <c r="D2650">
        <v>4.0322760000000004</v>
      </c>
      <c r="E2650">
        <v>0.46052310000000002</v>
      </c>
      <c r="F2650" t="s">
        <v>59</v>
      </c>
      <c r="G2650">
        <v>-462.67750000000001</v>
      </c>
      <c r="H2650" s="1">
        <v>-2.1222489999999999E-7</v>
      </c>
      <c r="I2650">
        <v>216.90989999999999</v>
      </c>
      <c r="J2650">
        <v>-480.50380000000001</v>
      </c>
      <c r="K2650">
        <v>1.1148020000000001</v>
      </c>
      <c r="L2650">
        <v>217.85390000000001</v>
      </c>
      <c r="M2650">
        <v>0.89930929999999998</v>
      </c>
      <c r="N2650">
        <v>-1.430787E-2</v>
      </c>
      <c r="O2650">
        <v>-0.437079</v>
      </c>
      <c r="P2650">
        <v>0.98807999999999996</v>
      </c>
      <c r="Q2650">
        <v>-2.5972229999999999E-2</v>
      </c>
      <c r="R2650">
        <v>-0.1517346</v>
      </c>
      <c r="S2650">
        <v>3.008362</v>
      </c>
      <c r="T2650">
        <v>-0.18644379999999999</v>
      </c>
      <c r="U2650">
        <v>-0.16906740000000001</v>
      </c>
      <c r="V2650">
        <v>-0.29527500000000001</v>
      </c>
      <c r="W2650">
        <v>-1.583965E-2</v>
      </c>
      <c r="X2650">
        <v>0.95528100000000005</v>
      </c>
      <c r="Y2650">
        <v>-0.38463009999999997</v>
      </c>
      <c r="Z2650">
        <v>3.4468029999999997E-2</v>
      </c>
      <c r="AA2650">
        <v>0.922427</v>
      </c>
      <c r="AB2650">
        <v>18</v>
      </c>
      <c r="AC2650">
        <v>17.8263</v>
      </c>
      <c r="AD2650">
        <v>-1.1148022122248999</v>
      </c>
      <c r="AE2650">
        <v>-0.94400000000001605</v>
      </c>
      <c r="AF2650">
        <v>-6.91629111899426</v>
      </c>
      <c r="AG2650">
        <v>-1.1148022122248999</v>
      </c>
      <c r="AH2650">
        <v>16.381755766104099</v>
      </c>
      <c r="AI2650">
        <v>93.587348424490898</v>
      </c>
      <c r="AJ2650">
        <v>112.889215273516</v>
      </c>
      <c r="AK2650">
        <v>17.8168400339495</v>
      </c>
      <c r="AL2650">
        <v>90.907583043801196</v>
      </c>
      <c r="AM2650">
        <v>107.17625001752199</v>
      </c>
      <c r="AN2650">
        <v>1.00000000454906</v>
      </c>
    </row>
    <row r="2651" spans="1:40" x14ac:dyDescent="0.25">
      <c r="A2651" t="str">
        <f>"20190305135842879"</f>
        <v>20190305135842879</v>
      </c>
      <c r="B2651" t="str">
        <f>"1551765522871314"</f>
        <v>1551765522871314</v>
      </c>
      <c r="C2651" t="s">
        <v>40</v>
      </c>
      <c r="D2651">
        <v>4.0490769999999996</v>
      </c>
      <c r="E2651">
        <v>0.46124480000000001</v>
      </c>
      <c r="F2651" t="s">
        <v>59</v>
      </c>
      <c r="G2651">
        <v>-462.35890000000001</v>
      </c>
      <c r="H2651" s="1">
        <v>-3.843889E-7</v>
      </c>
      <c r="I2651">
        <v>216.97</v>
      </c>
      <c r="J2651">
        <v>-480.35579999999999</v>
      </c>
      <c r="K2651">
        <v>1.114765</v>
      </c>
      <c r="L2651">
        <v>217.7945</v>
      </c>
      <c r="M2651">
        <v>0.90343130000000005</v>
      </c>
      <c r="N2651">
        <v>-1.43021E-2</v>
      </c>
      <c r="O2651">
        <v>-0.4284945</v>
      </c>
      <c r="P2651">
        <v>0.98931740000000001</v>
      </c>
      <c r="Q2651">
        <v>-2.6093669999999999E-2</v>
      </c>
      <c r="R2651">
        <v>-0.14342439999999901</v>
      </c>
      <c r="S2651">
        <v>3.0088499999999998</v>
      </c>
      <c r="T2651">
        <v>-0.18485989999999999</v>
      </c>
      <c r="U2651">
        <v>-0.14656069999999999</v>
      </c>
      <c r="V2651">
        <v>-0.29420489999999999</v>
      </c>
      <c r="W2651">
        <v>-1.5921129999999999E-2</v>
      </c>
      <c r="X2651">
        <v>0.95560970000000001</v>
      </c>
      <c r="Y2651">
        <v>-0.3827661</v>
      </c>
      <c r="Z2651">
        <v>3.3741819999999999E-2</v>
      </c>
      <c r="AA2651">
        <v>0.92322890000000002</v>
      </c>
      <c r="AB2651">
        <v>18</v>
      </c>
      <c r="AC2651">
        <v>17.996899999999901</v>
      </c>
      <c r="AD2651">
        <v>-1.1147653843889</v>
      </c>
      <c r="AE2651">
        <v>-0.82450000000000001</v>
      </c>
      <c r="AF2651">
        <v>-6.9408305428058004</v>
      </c>
      <c r="AG2651">
        <v>-1.1147653843889</v>
      </c>
      <c r="AH2651">
        <v>16.550585461037901</v>
      </c>
      <c r="AI2651">
        <v>93.554308887738102</v>
      </c>
      <c r="AJ2651">
        <v>112.75174900934699</v>
      </c>
      <c r="AK2651">
        <v>17.9816492455308</v>
      </c>
      <c r="AL2651">
        <v>90.912252140475204</v>
      </c>
      <c r="AM2651">
        <v>107.11210248099199</v>
      </c>
      <c r="AN2651">
        <v>0.99999995214928705</v>
      </c>
    </row>
    <row r="2652" spans="1:40" x14ac:dyDescent="0.25">
      <c r="A2652" t="str">
        <f>"20190305135842902"</f>
        <v>20190305135842902</v>
      </c>
      <c r="B2652" t="str">
        <f>"1551765522891810"</f>
        <v>1551765522891810</v>
      </c>
      <c r="C2652" t="s">
        <v>40</v>
      </c>
      <c r="D2652">
        <v>4.0406019999999998</v>
      </c>
      <c r="E2652">
        <v>0.46205940000000001</v>
      </c>
      <c r="F2652" t="s">
        <v>59</v>
      </c>
      <c r="G2652">
        <v>-461.97980000000001</v>
      </c>
      <c r="H2652" s="1">
        <v>-5.8829259999999999E-7</v>
      </c>
      <c r="I2652">
        <v>217.01920000000001</v>
      </c>
      <c r="J2652">
        <v>-480.18369999999999</v>
      </c>
      <c r="K2652">
        <v>1.1147229999999999</v>
      </c>
      <c r="L2652">
        <v>217.7277</v>
      </c>
      <c r="M2652">
        <v>0.90808929999999999</v>
      </c>
      <c r="N2652">
        <v>-1.4294650000000001E-2</v>
      </c>
      <c r="O2652">
        <v>-0.41853279999999898</v>
      </c>
      <c r="P2652">
        <v>0.99065099999999995</v>
      </c>
      <c r="Q2652">
        <v>-2.554321E-2</v>
      </c>
      <c r="R2652">
        <v>-0.13400999999999999</v>
      </c>
      <c r="S2652">
        <v>3.0091549999999998</v>
      </c>
      <c r="T2652">
        <v>-0.18254770000000001</v>
      </c>
      <c r="U2652">
        <v>-0.12695310000000001</v>
      </c>
      <c r="V2652">
        <v>-0.29279699999999997</v>
      </c>
      <c r="W2652">
        <v>-1.532653E-2</v>
      </c>
      <c r="X2652">
        <v>0.95605180000000001</v>
      </c>
      <c r="Y2652">
        <v>-0.37866490000000003</v>
      </c>
      <c r="Z2652">
        <v>3.2736950000000001E-2</v>
      </c>
      <c r="AA2652">
        <v>0.92495470000000002</v>
      </c>
      <c r="AB2652">
        <v>18</v>
      </c>
      <c r="AC2652">
        <v>18.203899999999901</v>
      </c>
      <c r="AD2652">
        <v>-1.1147235882926001</v>
      </c>
      <c r="AE2652">
        <v>-0.70849999999998603</v>
      </c>
      <c r="AF2652">
        <v>-6.9502375710660296</v>
      </c>
      <c r="AG2652">
        <v>-1.1147235882926001</v>
      </c>
      <c r="AH2652">
        <v>16.766240360689402</v>
      </c>
      <c r="AI2652">
        <v>93.514588774761904</v>
      </c>
      <c r="AJ2652">
        <v>112.515846794941</v>
      </c>
      <c r="AK2652">
        <v>18.183927705668101</v>
      </c>
      <c r="AL2652">
        <v>90.878179853800106</v>
      </c>
      <c r="AM2652">
        <v>107.027543544483</v>
      </c>
      <c r="AN2652">
        <v>1.0000000150070401</v>
      </c>
    </row>
    <row r="2653" spans="1:40" x14ac:dyDescent="0.25">
      <c r="A2653" t="str">
        <f>"20190305135842924"</f>
        <v>20190305135842924</v>
      </c>
      <c r="B2653" t="str">
        <f>"1551765522911334"</f>
        <v>1551765522911334</v>
      </c>
      <c r="C2653" t="s">
        <v>40</v>
      </c>
      <c r="D2653">
        <v>4.1477959999999996</v>
      </c>
      <c r="E2653">
        <v>0.46223449999999999</v>
      </c>
      <c r="F2653" t="s">
        <v>59</v>
      </c>
      <c r="G2653">
        <v>-461.27550000000002</v>
      </c>
      <c r="H2653" s="1">
        <v>-9.6524260000000004E-7</v>
      </c>
      <c r="I2653">
        <v>217.0693</v>
      </c>
      <c r="J2653">
        <v>-480.03320000000002</v>
      </c>
      <c r="K2653">
        <v>1.1147</v>
      </c>
      <c r="L2653">
        <v>217.67089999999999</v>
      </c>
      <c r="M2653">
        <v>0.91205760000000002</v>
      </c>
      <c r="N2653">
        <v>-1.42883E-2</v>
      </c>
      <c r="O2653">
        <v>-0.4098135</v>
      </c>
      <c r="P2653">
        <v>0.99166350000000003</v>
      </c>
      <c r="Q2653">
        <v>-2.5418699999999999E-2</v>
      </c>
      <c r="R2653">
        <v>-0.12632499999999999</v>
      </c>
      <c r="S2653">
        <v>3.0095209999999999</v>
      </c>
      <c r="T2653">
        <v>-0.17742469999999999</v>
      </c>
      <c r="U2653">
        <v>-0.1047974</v>
      </c>
      <c r="V2653">
        <v>-0.29105399999999998</v>
      </c>
      <c r="W2653">
        <v>-1.515883E-2</v>
      </c>
      <c r="X2653">
        <v>0.95658650000000001</v>
      </c>
      <c r="Y2653">
        <v>-0.37668770000000001</v>
      </c>
      <c r="Z2653">
        <v>3.1325150000000003E-2</v>
      </c>
      <c r="AA2653">
        <v>0.92581049999999998</v>
      </c>
      <c r="AB2653">
        <v>17</v>
      </c>
      <c r="AC2653">
        <v>18.7577</v>
      </c>
      <c r="AD2653">
        <v>-1.1147009652426001</v>
      </c>
      <c r="AE2653">
        <v>-0.60159999999999003</v>
      </c>
      <c r="AF2653">
        <v>-7.1140949466352001</v>
      </c>
      <c r="AG2653">
        <v>-1.1147009652426001</v>
      </c>
      <c r="AH2653">
        <v>17.295399896401999</v>
      </c>
      <c r="AI2653">
        <v>93.411097078871904</v>
      </c>
      <c r="AJ2653">
        <v>112.358773700968</v>
      </c>
      <c r="AK2653">
        <v>18.734560649455201</v>
      </c>
      <c r="AL2653">
        <v>90.868570268735596</v>
      </c>
      <c r="AM2653">
        <v>106.923071478664</v>
      </c>
      <c r="AN2653">
        <v>0.99999997651260897</v>
      </c>
    </row>
    <row r="2654" spans="1:40" x14ac:dyDescent="0.25">
      <c r="A2654" t="str">
        <f>"20190305135842947"</f>
        <v>20190305135842947</v>
      </c>
      <c r="B2654" t="str">
        <f>"1551765522941587"</f>
        <v>1551765522941587</v>
      </c>
      <c r="C2654" t="s">
        <v>40</v>
      </c>
      <c r="D2654">
        <v>4.1729779999999996</v>
      </c>
      <c r="E2654">
        <v>0.49578230000000001</v>
      </c>
      <c r="F2654" t="s">
        <v>59</v>
      </c>
      <c r="G2654">
        <v>-461.2672</v>
      </c>
      <c r="H2654" s="1">
        <v>-9.734057E-7</v>
      </c>
      <c r="I2654">
        <v>217.15430000000001</v>
      </c>
      <c r="J2654">
        <v>-479.86649999999997</v>
      </c>
      <c r="K2654">
        <v>1.114681</v>
      </c>
      <c r="L2654">
        <v>217.60990000000001</v>
      </c>
      <c r="M2654">
        <v>0.9163346</v>
      </c>
      <c r="N2654">
        <v>-1.42813E-2</v>
      </c>
      <c r="O2654">
        <v>-0.40015899999999999</v>
      </c>
      <c r="P2654">
        <v>0.99256719999999998</v>
      </c>
      <c r="Q2654">
        <v>-2.543252E-2</v>
      </c>
      <c r="R2654">
        <v>-0.1190118</v>
      </c>
      <c r="S2654">
        <v>3.0101010000000001</v>
      </c>
      <c r="T2654">
        <v>-0.17879999999999999</v>
      </c>
      <c r="U2654">
        <v>-8.2870479999999996E-2</v>
      </c>
      <c r="V2654">
        <v>-0.28800340000000002</v>
      </c>
      <c r="W2654">
        <v>-1.511025E-2</v>
      </c>
      <c r="X2654">
        <v>0.95751019999999998</v>
      </c>
      <c r="Y2654">
        <v>-0.37364550000000002</v>
      </c>
      <c r="Z2654">
        <v>3.110783E-2</v>
      </c>
      <c r="AA2654">
        <v>0.92704980000000003</v>
      </c>
      <c r="AB2654">
        <v>17</v>
      </c>
      <c r="AC2654">
        <v>18.5992999999999</v>
      </c>
      <c r="AD2654">
        <v>-1.1146819734056901</v>
      </c>
      <c r="AE2654">
        <v>-0.455600000000003</v>
      </c>
      <c r="AF2654">
        <v>-7.0007806557061603</v>
      </c>
      <c r="AG2654">
        <v>-1.1146819734056901</v>
      </c>
      <c r="AH2654">
        <v>17.165630980966998</v>
      </c>
      <c r="AI2654">
        <v>93.440965710535906</v>
      </c>
      <c r="AJ2654">
        <v>112.18745611478801</v>
      </c>
      <c r="AK2654">
        <v>18.571815545764</v>
      </c>
      <c r="AL2654">
        <v>90.865786474049202</v>
      </c>
      <c r="AM2654">
        <v>106.74042714971699</v>
      </c>
      <c r="AN2654">
        <v>1.00000003058533</v>
      </c>
    </row>
    <row r="2655" spans="1:40" x14ac:dyDescent="0.25">
      <c r="A2655" t="str">
        <f>"20190305135842970"</f>
        <v>20190305135842970</v>
      </c>
      <c r="B2655" t="str">
        <f>"1551765522961613"</f>
        <v>1551765522961613</v>
      </c>
      <c r="C2655" t="s">
        <v>40</v>
      </c>
      <c r="D2655">
        <v>4.158493</v>
      </c>
      <c r="E2655">
        <v>0.4980369</v>
      </c>
      <c r="F2655" t="s">
        <v>59</v>
      </c>
      <c r="G2655">
        <v>-464.20949999999999</v>
      </c>
      <c r="H2655" s="1">
        <v>6.4767500000000001E-7</v>
      </c>
      <c r="I2655">
        <v>215.88890000000001</v>
      </c>
      <c r="J2655">
        <v>-479.69749999999999</v>
      </c>
      <c r="K2655">
        <v>1.1146529999999999</v>
      </c>
      <c r="L2655">
        <v>217.55009999999999</v>
      </c>
      <c r="M2655">
        <v>0.92054219999999998</v>
      </c>
      <c r="N2655">
        <v>-1.4273910000000001E-2</v>
      </c>
      <c r="O2655">
        <v>-0.39038260000000002</v>
      </c>
      <c r="P2655">
        <v>0.99337889999999995</v>
      </c>
      <c r="Q2655">
        <v>-2.382215E-2</v>
      </c>
      <c r="R2655">
        <v>-0.112388</v>
      </c>
      <c r="S2655">
        <v>2.977814</v>
      </c>
      <c r="T2655">
        <v>-0.21200250000000001</v>
      </c>
      <c r="U2655">
        <v>-0.3273163</v>
      </c>
      <c r="V2655">
        <v>-0.28423310000000002</v>
      </c>
      <c r="W2655">
        <v>-1.342576E-2</v>
      </c>
      <c r="X2655">
        <v>0.95866119999999999</v>
      </c>
      <c r="Y2655">
        <v>-0.2860741</v>
      </c>
      <c r="Z2655">
        <v>3.3452320000000001E-2</v>
      </c>
      <c r="AA2655">
        <v>0.95762340000000001</v>
      </c>
      <c r="AB2655">
        <v>17</v>
      </c>
      <c r="AC2655">
        <v>15.488</v>
      </c>
      <c r="AD2655">
        <v>-1.114652352325</v>
      </c>
      <c r="AE2655">
        <v>-1.66119999999997</v>
      </c>
      <c r="AF2655">
        <v>-4.4944861987451796</v>
      </c>
      <c r="AG2655">
        <v>-1.114652352325</v>
      </c>
      <c r="AH2655">
        <v>14.831432172491199</v>
      </c>
      <c r="AI2655">
        <v>94.113901179435004</v>
      </c>
      <c r="AJ2655">
        <v>106.858797925285</v>
      </c>
      <c r="AK2655">
        <v>15.537510622505099</v>
      </c>
      <c r="AL2655">
        <v>90.769262495013706</v>
      </c>
      <c r="AM2655">
        <v>106.514543805465</v>
      </c>
      <c r="AN2655">
        <v>1.0000000012763099</v>
      </c>
    </row>
    <row r="2656" spans="1:40" x14ac:dyDescent="0.25">
      <c r="A2656" t="str">
        <f>"20190305135842994"</f>
        <v>20190305135842994</v>
      </c>
      <c r="B2656" t="str">
        <f>"1551765522991870"</f>
        <v>1551765522991870</v>
      </c>
      <c r="C2656" t="s">
        <v>40</v>
      </c>
      <c r="D2656">
        <v>4.1339680000000003</v>
      </c>
      <c r="E2656">
        <v>0.49964530000000001</v>
      </c>
      <c r="F2656" t="s">
        <v>59</v>
      </c>
      <c r="G2656">
        <v>-465.52789999999999</v>
      </c>
      <c r="H2656" s="1">
        <v>1.3444589999999999E-6</v>
      </c>
      <c r="I2656">
        <v>215.99870000000001</v>
      </c>
      <c r="J2656">
        <v>-479.52550000000002</v>
      </c>
      <c r="K2656">
        <v>1.1146199999999999</v>
      </c>
      <c r="L2656">
        <v>217.49119999999999</v>
      </c>
      <c r="M2656">
        <v>0.9246934</v>
      </c>
      <c r="N2656">
        <v>-1.426466E-2</v>
      </c>
      <c r="O2656">
        <v>-0.3804457</v>
      </c>
      <c r="P2656">
        <v>0.99409369999999997</v>
      </c>
      <c r="Q2656">
        <v>-2.2322720000000001E-2</v>
      </c>
      <c r="R2656">
        <v>-0.1062063</v>
      </c>
      <c r="S2656">
        <v>2.977509</v>
      </c>
      <c r="T2656">
        <v>-0.23422560000000001</v>
      </c>
      <c r="U2656">
        <v>-0.32600400000000002</v>
      </c>
      <c r="V2656">
        <v>-0.27990140000000002</v>
      </c>
      <c r="W2656">
        <v>-1.183943E-2</v>
      </c>
      <c r="X2656">
        <v>0.95995580000000003</v>
      </c>
      <c r="Y2656">
        <v>-0.27586699999999997</v>
      </c>
      <c r="Z2656">
        <v>3.6297870000000003E-2</v>
      </c>
      <c r="AA2656">
        <v>0.96051019999999998</v>
      </c>
      <c r="AB2656">
        <v>17</v>
      </c>
      <c r="AC2656">
        <v>13.9976</v>
      </c>
      <c r="AD2656">
        <v>-1.114618655541</v>
      </c>
      <c r="AE2656">
        <v>-1.49249999999997</v>
      </c>
      <c r="AF2656">
        <v>-3.9210395745565898</v>
      </c>
      <c r="AG2656">
        <v>-1.114618655541</v>
      </c>
      <c r="AH2656">
        <v>13.4284859427767</v>
      </c>
      <c r="AI2656">
        <v>94.555524295564396</v>
      </c>
      <c r="AJ2656">
        <v>106.277496474491</v>
      </c>
      <c r="AK2656">
        <v>14.0335726316526</v>
      </c>
      <c r="AL2656">
        <v>90.678365184248406</v>
      </c>
      <c r="AM2656">
        <v>106.25549008137099</v>
      </c>
      <c r="AN2656">
        <v>1.0000000518891601</v>
      </c>
    </row>
    <row r="2657" spans="1:40" x14ac:dyDescent="0.25">
      <c r="A2657" t="str">
        <f>"20190305135843013"</f>
        <v>20190305135843013</v>
      </c>
      <c r="B2657" t="str">
        <f>"1551765523001630"</f>
        <v>1551765523001630</v>
      </c>
      <c r="C2657" t="s">
        <v>40</v>
      </c>
      <c r="D2657">
        <v>4.1966900000000003</v>
      </c>
      <c r="E2657">
        <v>0.49964530000000001</v>
      </c>
      <c r="F2657" t="s">
        <v>59</v>
      </c>
      <c r="G2657">
        <v>-465.90429999999998</v>
      </c>
      <c r="H2657" s="1">
        <v>1.543679E-6</v>
      </c>
      <c r="I2657">
        <v>216.02379999999999</v>
      </c>
      <c r="J2657">
        <v>-479.39</v>
      </c>
      <c r="K2657">
        <v>1.114565</v>
      </c>
      <c r="L2657">
        <v>217.44630000000001</v>
      </c>
      <c r="M2657">
        <v>0.92785649999999997</v>
      </c>
      <c r="N2657">
        <v>-1.425472E-2</v>
      </c>
      <c r="O2657">
        <v>-0.37266500000000002</v>
      </c>
      <c r="P2657">
        <v>0.99457759999999995</v>
      </c>
      <c r="Q2657">
        <v>-2.1036369999999999E-2</v>
      </c>
      <c r="R2657">
        <v>-0.10184890000000001</v>
      </c>
      <c r="S2657">
        <v>2.978119</v>
      </c>
      <c r="T2657">
        <v>-0.2437</v>
      </c>
      <c r="U2657">
        <v>-0.32083129999999999</v>
      </c>
      <c r="V2657">
        <v>-0.27607019999999999</v>
      </c>
      <c r="W2657">
        <v>-1.047082E-2</v>
      </c>
      <c r="X2657">
        <v>0.96108039999999995</v>
      </c>
      <c r="Y2657">
        <v>-0.26935100000000001</v>
      </c>
      <c r="Z2657">
        <v>3.7122960000000003E-2</v>
      </c>
      <c r="AA2657">
        <v>0.96232629999999997</v>
      </c>
      <c r="AB2657">
        <v>17</v>
      </c>
      <c r="AC2657">
        <v>13.4857</v>
      </c>
      <c r="AD2657">
        <v>-1.1145634563210001</v>
      </c>
      <c r="AE2657">
        <v>-1.4225000000000101</v>
      </c>
      <c r="AF2657">
        <v>-3.6812800559418299</v>
      </c>
      <c r="AG2657">
        <v>-1.1145634563210001</v>
      </c>
      <c r="AH2657">
        <v>12.956706205531599</v>
      </c>
      <c r="AI2657">
        <v>94.730280757577503</v>
      </c>
      <c r="AJ2657">
        <v>105.860993219169</v>
      </c>
      <c r="AK2657">
        <v>13.515558081148599</v>
      </c>
      <c r="AL2657">
        <v>90.599944778579101</v>
      </c>
      <c r="AM2657">
        <v>106.02670407602901</v>
      </c>
      <c r="AN2657">
        <v>0.99999996433183502</v>
      </c>
    </row>
    <row r="2658" spans="1:40" x14ac:dyDescent="0.25">
      <c r="A2658" t="str">
        <f>"20190305135843037"</f>
        <v>20190305135843037</v>
      </c>
      <c r="B2658" t="str">
        <f>"1551765523031886"</f>
        <v>1551765523031886</v>
      </c>
      <c r="C2658" t="s">
        <v>40</v>
      </c>
      <c r="D2658">
        <v>4.1212549999999997</v>
      </c>
      <c r="E2658">
        <v>0.50061670000000003</v>
      </c>
      <c r="F2658" t="s">
        <v>59</v>
      </c>
      <c r="G2658">
        <v>-465.54129999999998</v>
      </c>
      <c r="H2658" s="1">
        <v>1.350928E-6</v>
      </c>
      <c r="I2658">
        <v>216.01390000000001</v>
      </c>
      <c r="J2658">
        <v>-479.2192</v>
      </c>
      <c r="K2658">
        <v>1.1144590000000001</v>
      </c>
      <c r="L2658">
        <v>217.3912</v>
      </c>
      <c r="M2658">
        <v>0.93170450000000005</v>
      </c>
      <c r="N2658">
        <v>-1.4237430000000001E-2</v>
      </c>
      <c r="O2658">
        <v>-0.36293829999999999</v>
      </c>
      <c r="P2658">
        <v>0.99525490000000005</v>
      </c>
      <c r="Q2658">
        <v>-2.2214899999999999E-2</v>
      </c>
      <c r="R2658">
        <v>-9.4733410000000004E-2</v>
      </c>
      <c r="S2658">
        <v>2.9797669999999998</v>
      </c>
      <c r="T2658">
        <v>-0.23981640000000001</v>
      </c>
      <c r="U2658">
        <v>-0.308197</v>
      </c>
      <c r="V2658">
        <v>-0.27286840000000001</v>
      </c>
      <c r="W2658">
        <v>-1.155948E-2</v>
      </c>
      <c r="X2658">
        <v>0.96198189999999995</v>
      </c>
      <c r="Y2658">
        <v>-0.26346779999999997</v>
      </c>
      <c r="Z2658">
        <v>3.5615710000000002E-2</v>
      </c>
      <c r="AA2658">
        <v>0.96401049999999999</v>
      </c>
      <c r="AB2658">
        <v>17</v>
      </c>
      <c r="AC2658">
        <v>13.677899999999999</v>
      </c>
      <c r="AD2658">
        <v>-1.114457649072</v>
      </c>
      <c r="AE2658">
        <v>-1.37729999999999</v>
      </c>
      <c r="AF2658">
        <v>-3.6573334374183601</v>
      </c>
      <c r="AG2658">
        <v>-1.114457649072</v>
      </c>
      <c r="AH2658">
        <v>13.158497611817401</v>
      </c>
      <c r="AI2658">
        <v>94.665087640172402</v>
      </c>
      <c r="AJ2658">
        <v>105.532984470598</v>
      </c>
      <c r="AK2658">
        <v>13.702706416042</v>
      </c>
      <c r="AL2658">
        <v>90.662324180899404</v>
      </c>
      <c r="AM2658">
        <v>105.83611107346</v>
      </c>
      <c r="AN2658">
        <v>0.99999998061202</v>
      </c>
    </row>
    <row r="2659" spans="1:40" x14ac:dyDescent="0.25">
      <c r="A2659" t="str">
        <f>"20190305135843080"</f>
        <v>20190305135843080</v>
      </c>
      <c r="B2659" t="str">
        <f>"1551765523071901"</f>
        <v>1551765523071901</v>
      </c>
      <c r="C2659" t="s">
        <v>40</v>
      </c>
      <c r="D2659">
        <v>4.5596389999999998</v>
      </c>
      <c r="E2659">
        <v>0.50146029999999997</v>
      </c>
      <c r="F2659" t="s">
        <v>59</v>
      </c>
      <c r="G2659">
        <v>-466.0804</v>
      </c>
      <c r="H2659" s="1">
        <v>1.6345819999999999E-6</v>
      </c>
      <c r="I2659">
        <v>216.0874</v>
      </c>
      <c r="J2659">
        <v>-478.90730000000002</v>
      </c>
      <c r="K2659">
        <v>1.114141</v>
      </c>
      <c r="L2659">
        <v>217.29519999999999</v>
      </c>
      <c r="M2659">
        <v>0.93827329999999998</v>
      </c>
      <c r="N2659">
        <v>-1.4188640000000001E-2</v>
      </c>
      <c r="O2659">
        <v>-0.34560400000000002</v>
      </c>
      <c r="P2659">
        <v>0.9960502</v>
      </c>
      <c r="Q2659">
        <v>-2.864011E-2</v>
      </c>
      <c r="R2659">
        <v>-8.4047189999999994E-2</v>
      </c>
      <c r="S2659">
        <v>2.980499</v>
      </c>
      <c r="T2659">
        <v>-0.252810799999999</v>
      </c>
      <c r="U2659">
        <v>-0.29577639999999999</v>
      </c>
      <c r="V2659">
        <v>-0.26523419999999998</v>
      </c>
      <c r="W2659">
        <v>-1.7757510000000001E-2</v>
      </c>
      <c r="X2659">
        <v>0.96402049999999995</v>
      </c>
      <c r="Y2659">
        <v>-0.24945490000000001</v>
      </c>
      <c r="Z2659">
        <v>3.59318E-2</v>
      </c>
      <c r="AA2659">
        <v>0.96771960000000001</v>
      </c>
      <c r="AB2659">
        <v>17</v>
      </c>
      <c r="AC2659">
        <v>12.8269</v>
      </c>
      <c r="AD2659">
        <v>-1.1141393654180001</v>
      </c>
      <c r="AE2659">
        <v>-1.20779999999999</v>
      </c>
      <c r="AF2659">
        <v>-3.2756172847878</v>
      </c>
      <c r="AG2659">
        <v>-1.1141393654180001</v>
      </c>
      <c r="AH2659">
        <v>12.361368703554099</v>
      </c>
      <c r="AI2659">
        <v>94.979251503846498</v>
      </c>
      <c r="AJ2659">
        <v>104.841597245339</v>
      </c>
      <c r="AK2659">
        <v>12.8364485488465</v>
      </c>
      <c r="AL2659">
        <v>91.017483838643003</v>
      </c>
      <c r="AM2659">
        <v>105.383354791191</v>
      </c>
      <c r="AN2659">
        <v>1.00000001721564</v>
      </c>
    </row>
    <row r="2660" spans="1:40" x14ac:dyDescent="0.25">
      <c r="A2660" t="str">
        <f>"20190305135843103"</f>
        <v>20190305135843103</v>
      </c>
      <c r="B2660" t="str">
        <f>"1551765523091421"</f>
        <v>1551765523091421</v>
      </c>
      <c r="C2660" t="s">
        <v>40</v>
      </c>
      <c r="D2660">
        <v>4.151643</v>
      </c>
      <c r="E2660">
        <v>0.50216159999999999</v>
      </c>
      <c r="F2660" t="s">
        <v>59</v>
      </c>
      <c r="G2660">
        <v>-466.92329999999998</v>
      </c>
      <c r="H2660" s="1">
        <v>2.0780019999999999E-6</v>
      </c>
      <c r="I2660">
        <v>216.2046</v>
      </c>
      <c r="J2660">
        <v>-478.7414</v>
      </c>
      <c r="K2660">
        <v>1.113982</v>
      </c>
      <c r="L2660">
        <v>217.24639999999999</v>
      </c>
      <c r="M2660">
        <v>0.94152579999999997</v>
      </c>
      <c r="N2660">
        <v>-1.415753E-2</v>
      </c>
      <c r="O2660">
        <v>-0.33664349999999998</v>
      </c>
      <c r="P2660">
        <v>0.99646630000000003</v>
      </c>
      <c r="Q2660">
        <v>-2.996834E-2</v>
      </c>
      <c r="R2660">
        <v>-7.8464859999999997E-2</v>
      </c>
      <c r="S2660">
        <v>2.9810789999999998</v>
      </c>
      <c r="T2660">
        <v>-0.2771478</v>
      </c>
      <c r="U2660">
        <v>-0.27130130000000002</v>
      </c>
      <c r="V2660">
        <v>-0.26142379999999998</v>
      </c>
      <c r="W2660">
        <v>-1.896958E-2</v>
      </c>
      <c r="X2660">
        <v>0.9650377</v>
      </c>
      <c r="Y2660">
        <v>-0.24775839999999999</v>
      </c>
      <c r="Z2660">
        <v>3.8971579999999999E-2</v>
      </c>
      <c r="AA2660">
        <v>0.9680377</v>
      </c>
      <c r="AB2660">
        <v>17</v>
      </c>
      <c r="AC2660">
        <v>11.818099999999999</v>
      </c>
      <c r="AD2660">
        <v>-1.113979921998</v>
      </c>
      <c r="AE2660">
        <v>-1.0417999999999901</v>
      </c>
      <c r="AF2660">
        <v>-2.9717051362656202</v>
      </c>
      <c r="AG2660">
        <v>-1.113979921998</v>
      </c>
      <c r="AH2660">
        <v>11.3785913850912</v>
      </c>
      <c r="AI2660">
        <v>95.411151635899898</v>
      </c>
      <c r="AJ2660">
        <v>104.636793669086</v>
      </c>
      <c r="AK2660">
        <v>11.812888071610301</v>
      </c>
      <c r="AL2660">
        <v>91.086942062464104</v>
      </c>
      <c r="AM2660">
        <v>105.157354930908</v>
      </c>
      <c r="AN2660">
        <v>1.0000000052965501</v>
      </c>
    </row>
    <row r="2661" spans="1:40" x14ac:dyDescent="0.25">
      <c r="A2661" t="str">
        <f>"20190305135843125"</f>
        <v>20190305135843125</v>
      </c>
      <c r="B2661" t="str">
        <f>"1551765523121677"</f>
        <v>1551765523121677</v>
      </c>
      <c r="C2661" t="s">
        <v>40</v>
      </c>
      <c r="D2661">
        <v>3.9895489999999998</v>
      </c>
      <c r="E2661">
        <v>0.50242529999999996</v>
      </c>
      <c r="F2661" t="s">
        <v>59</v>
      </c>
      <c r="G2661">
        <v>-466.96949999999998</v>
      </c>
      <c r="H2661" s="1">
        <v>2.102016E-6</v>
      </c>
      <c r="I2661">
        <v>216.21789999999999</v>
      </c>
      <c r="J2661">
        <v>-478.58280000000002</v>
      </c>
      <c r="K2661">
        <v>1.1138629999999901</v>
      </c>
      <c r="L2661">
        <v>217.2011</v>
      </c>
      <c r="M2661">
        <v>0.94449510000000003</v>
      </c>
      <c r="N2661">
        <v>-1.4128959999999999E-2</v>
      </c>
      <c r="O2661">
        <v>-0.32822190000000001</v>
      </c>
      <c r="P2661">
        <v>0.99682999999999999</v>
      </c>
      <c r="Q2661">
        <v>-3.0720440000000002E-2</v>
      </c>
      <c r="R2661">
        <v>-7.3391940000000003E-2</v>
      </c>
      <c r="S2661">
        <v>2.981598</v>
      </c>
      <c r="T2661">
        <v>-0.28214899999999998</v>
      </c>
      <c r="U2661">
        <v>-0.26049800000000001</v>
      </c>
      <c r="V2661">
        <v>-0.25770739999999998</v>
      </c>
      <c r="W2661">
        <v>-1.9624249999999999E-2</v>
      </c>
      <c r="X2661">
        <v>0.96602370000000004</v>
      </c>
      <c r="Y2661">
        <v>-0.24256720000000001</v>
      </c>
      <c r="Z2661">
        <v>3.8829259999999997E-2</v>
      </c>
      <c r="AA2661">
        <v>0.96935729999999998</v>
      </c>
      <c r="AB2661">
        <v>17</v>
      </c>
      <c r="AC2661">
        <v>11.613300000000001</v>
      </c>
      <c r="AD2661">
        <v>-1.1138608979839999</v>
      </c>
      <c r="AE2661">
        <v>-0.98320000000000995</v>
      </c>
      <c r="AF2661">
        <v>-2.85730142141455</v>
      </c>
      <c r="AG2661">
        <v>-1.1138608979839999</v>
      </c>
      <c r="AH2661">
        <v>11.190328972207</v>
      </c>
      <c r="AI2661">
        <v>95.508770672958306</v>
      </c>
      <c r="AJ2661">
        <v>104.32366283187</v>
      </c>
      <c r="AK2661">
        <v>11.602944454710199</v>
      </c>
      <c r="AL2661">
        <v>91.124458880260704</v>
      </c>
      <c r="AM2661">
        <v>104.937014164454</v>
      </c>
      <c r="AN2661">
        <v>1.0000000020822499</v>
      </c>
    </row>
    <row r="2662" spans="1:40" x14ac:dyDescent="0.25">
      <c r="A2662" t="str">
        <f>"20190305135843146"</f>
        <v>20190305135843146</v>
      </c>
      <c r="B2662" t="str">
        <f>"1551765523141197"</f>
        <v>1551765523141197</v>
      </c>
      <c r="C2662" t="s">
        <v>40</v>
      </c>
      <c r="D2662">
        <v>4.114147</v>
      </c>
      <c r="E2662">
        <v>0.50267759999999995</v>
      </c>
      <c r="F2662" t="s">
        <v>59</v>
      </c>
      <c r="G2662">
        <v>-467.24349999999998</v>
      </c>
      <c r="H2662" s="1">
        <v>2.246031E-6</v>
      </c>
      <c r="I2662">
        <v>216.25909999999999</v>
      </c>
      <c r="J2662">
        <v>-478.43029999999999</v>
      </c>
      <c r="K2662">
        <v>1.113767</v>
      </c>
      <c r="L2662">
        <v>217.15870000000001</v>
      </c>
      <c r="M2662">
        <v>0.94721120000000003</v>
      </c>
      <c r="N2662">
        <v>-1.410114E-2</v>
      </c>
      <c r="O2662">
        <v>-0.32029999999999997</v>
      </c>
      <c r="P2662">
        <v>0.99704110000000001</v>
      </c>
      <c r="Q2662">
        <v>-3.178193E-2</v>
      </c>
      <c r="R2662">
        <v>-6.9993E-2</v>
      </c>
      <c r="S2662">
        <v>2.9822389999999999</v>
      </c>
      <c r="T2662">
        <v>-0.29294480000000001</v>
      </c>
      <c r="U2662">
        <v>-0.24774170000000001</v>
      </c>
      <c r="V2662">
        <v>-0.25289260000000002</v>
      </c>
      <c r="W2662">
        <v>-2.058188E-2</v>
      </c>
      <c r="X2662">
        <v>0.96727540000000001</v>
      </c>
      <c r="Y2662">
        <v>-0.2384423</v>
      </c>
      <c r="Z2662">
        <v>3.9581860000000003E-2</v>
      </c>
      <c r="AA2662">
        <v>0.97034969999999998</v>
      </c>
      <c r="AB2662">
        <v>17</v>
      </c>
      <c r="AC2662">
        <v>11.1868</v>
      </c>
      <c r="AD2662">
        <v>-1.1137647539690001</v>
      </c>
      <c r="AE2662">
        <v>-0.89960000000002005</v>
      </c>
      <c r="AF2662">
        <v>-2.7046552753546802</v>
      </c>
      <c r="AG2662">
        <v>-1.1137647539690001</v>
      </c>
      <c r="AH2662">
        <v>10.7793249233673</v>
      </c>
      <c r="AI2662">
        <v>95.7229390712765</v>
      </c>
      <c r="AJ2662">
        <v>104.085379402936</v>
      </c>
      <c r="AK2662">
        <v>11.169130578931201</v>
      </c>
      <c r="AL2662">
        <v>91.179338144002301</v>
      </c>
      <c r="AM2662">
        <v>104.65192091602999</v>
      </c>
      <c r="AN2662">
        <v>0.99999999018212704</v>
      </c>
    </row>
    <row r="2663" spans="1:40" x14ac:dyDescent="0.25">
      <c r="A2663" t="str">
        <f>"20190305135843172"</f>
        <v>20190305135843172</v>
      </c>
      <c r="B2663" t="str">
        <f>"1551765523161693"</f>
        <v>1551765523161693</v>
      </c>
      <c r="C2663" t="s">
        <v>40</v>
      </c>
      <c r="D2663">
        <v>4.0790199999999999</v>
      </c>
      <c r="E2663">
        <v>0.502969</v>
      </c>
      <c r="F2663" t="s">
        <v>59</v>
      </c>
      <c r="G2663">
        <v>-467.2559</v>
      </c>
      <c r="H2663" s="1">
        <v>2.252521E-6</v>
      </c>
      <c r="I2663">
        <v>216.262</v>
      </c>
      <c r="J2663">
        <v>-478.24099999999999</v>
      </c>
      <c r="K2663">
        <v>1.1136469999999901</v>
      </c>
      <c r="L2663">
        <v>217.10769999999999</v>
      </c>
      <c r="M2663">
        <v>0.95039090000000004</v>
      </c>
      <c r="N2663">
        <v>-1.4063249999999999E-2</v>
      </c>
      <c r="O2663">
        <v>-0.31074030000000002</v>
      </c>
      <c r="P2663">
        <v>0.99734469999999997</v>
      </c>
      <c r="Q2663">
        <v>-3.1899719999999999E-2</v>
      </c>
      <c r="R2663">
        <v>-6.5466170000000004E-2</v>
      </c>
      <c r="S2663">
        <v>2.982605</v>
      </c>
      <c r="T2663">
        <v>-0.29728100000000002</v>
      </c>
      <c r="U2663">
        <v>-0.23933409999999999</v>
      </c>
      <c r="V2663">
        <v>-0.24754029999999999</v>
      </c>
      <c r="W2663">
        <v>-2.058229E-2</v>
      </c>
      <c r="X2663">
        <v>0.96865900000000005</v>
      </c>
      <c r="Y2663">
        <v>-0.23137840000000001</v>
      </c>
      <c r="Z2663">
        <v>3.9054030000000003E-2</v>
      </c>
      <c r="AA2663">
        <v>0.97207960000000004</v>
      </c>
      <c r="AB2663">
        <v>17</v>
      </c>
      <c r="AC2663">
        <v>10.9850999999999</v>
      </c>
      <c r="AD2663">
        <v>-1.1136447474790001</v>
      </c>
      <c r="AE2663">
        <v>-0.84569999999999301</v>
      </c>
      <c r="AF2663">
        <v>-2.5836289086005202</v>
      </c>
      <c r="AG2663">
        <v>-1.1136447474790001</v>
      </c>
      <c r="AH2663">
        <v>10.595734270621801</v>
      </c>
      <c r="AI2663">
        <v>95.830342508101893</v>
      </c>
      <c r="AJ2663">
        <v>103.703406020795</v>
      </c>
      <c r="AK2663">
        <v>10.9628886564889</v>
      </c>
      <c r="AL2663">
        <v>91.179361576140593</v>
      </c>
      <c r="AM2663">
        <v>104.33510844775</v>
      </c>
      <c r="AN2663">
        <v>1.0000000445333601</v>
      </c>
    </row>
    <row r="2664" spans="1:40" x14ac:dyDescent="0.25">
      <c r="A2664" t="str">
        <f>"20190305135843193"</f>
        <v>20190305135843193</v>
      </c>
      <c r="B2664" t="str">
        <f>"1551765523181213"</f>
        <v>1551765523181213</v>
      </c>
      <c r="C2664" t="s">
        <v>40</v>
      </c>
      <c r="D2664">
        <v>4.1083790000000002</v>
      </c>
      <c r="E2664">
        <v>0.50319499999999995</v>
      </c>
      <c r="F2664" t="s">
        <v>59</v>
      </c>
      <c r="G2664">
        <v>-467.0992</v>
      </c>
      <c r="H2664" s="1">
        <v>2.1693670000000001E-6</v>
      </c>
      <c r="I2664">
        <v>216.25649999999999</v>
      </c>
      <c r="J2664">
        <v>-478.08690000000001</v>
      </c>
      <c r="K2664">
        <v>1.1135429999999999</v>
      </c>
      <c r="L2664">
        <v>217.06739999999999</v>
      </c>
      <c r="M2664">
        <v>0.95283370000000001</v>
      </c>
      <c r="N2664">
        <v>-1.4029069999999999E-2</v>
      </c>
      <c r="O2664">
        <v>-0.30316900000000002</v>
      </c>
      <c r="P2664">
        <v>0.9975041</v>
      </c>
      <c r="Q2664">
        <v>-3.0837710000000001E-2</v>
      </c>
      <c r="R2664">
        <v>-6.3519309999999995E-2</v>
      </c>
      <c r="S2664">
        <v>2.9834900000000002</v>
      </c>
      <c r="T2664">
        <v>-0.2982069</v>
      </c>
      <c r="U2664">
        <v>-0.22793579999999999</v>
      </c>
      <c r="V2664">
        <v>-0.24174760000000001</v>
      </c>
      <c r="W2664">
        <v>-1.9407460000000001E-2</v>
      </c>
      <c r="X2664">
        <v>0.97014500000000004</v>
      </c>
      <c r="Y2664">
        <v>-0.22738530000000001</v>
      </c>
      <c r="Z2664">
        <v>3.835189E-2</v>
      </c>
      <c r="AA2664">
        <v>0.97304930000000001</v>
      </c>
      <c r="AB2664">
        <v>17</v>
      </c>
      <c r="AC2664">
        <v>10.9877</v>
      </c>
      <c r="AD2664">
        <v>-1.1135408306329999</v>
      </c>
      <c r="AE2664">
        <v>-0.81090000000000295</v>
      </c>
      <c r="AF2664">
        <v>-2.5328553802309002</v>
      </c>
      <c r="AG2664">
        <v>-1.1135408306329999</v>
      </c>
      <c r="AH2664">
        <v>10.6079826279635</v>
      </c>
      <c r="AI2664">
        <v>95.829803946565207</v>
      </c>
      <c r="AJ2664">
        <v>103.42901456065501</v>
      </c>
      <c r="AK2664">
        <v>10.962874850778199</v>
      </c>
      <c r="AL2664">
        <v>91.112035435274507</v>
      </c>
      <c r="AM2664">
        <v>103.992398036823</v>
      </c>
      <c r="AN2664">
        <v>0.99999993631720296</v>
      </c>
    </row>
    <row r="2665" spans="1:40" x14ac:dyDescent="0.25">
      <c r="A2665" t="str">
        <f>"20190305135843215"</f>
        <v>20190305135843215</v>
      </c>
      <c r="B2665" t="str">
        <f>"1551765523211470"</f>
        <v>1551765523211470</v>
      </c>
      <c r="C2665" t="s">
        <v>40</v>
      </c>
      <c r="D2665">
        <v>4.028537</v>
      </c>
      <c r="E2665">
        <v>0.50371840000000001</v>
      </c>
      <c r="F2665" t="s">
        <v>59</v>
      </c>
      <c r="G2665">
        <v>-466.86759999999998</v>
      </c>
      <c r="H2665" s="1">
        <v>2.047405E-6</v>
      </c>
      <c r="I2665">
        <v>216.22669999999999</v>
      </c>
      <c r="J2665">
        <v>-477.92779999999999</v>
      </c>
      <c r="K2665">
        <v>1.1134299999999999</v>
      </c>
      <c r="L2665">
        <v>217.02690000000001</v>
      </c>
      <c r="M2665">
        <v>0.95523230000000003</v>
      </c>
      <c r="N2665">
        <v>-1.3993500000000001E-2</v>
      </c>
      <c r="O2665">
        <v>-0.29552610000000001</v>
      </c>
      <c r="P2665">
        <v>0.99763100000000005</v>
      </c>
      <c r="Q2665">
        <v>-2.9303920000000001E-2</v>
      </c>
      <c r="R2665">
        <v>-6.223857E-2</v>
      </c>
      <c r="S2665">
        <v>2.98407</v>
      </c>
      <c r="T2665">
        <v>-0.29617559999999998</v>
      </c>
      <c r="U2665">
        <v>-0.2236023</v>
      </c>
      <c r="V2665">
        <v>-0.2352513</v>
      </c>
      <c r="W2665">
        <v>-1.7752730000000001E-2</v>
      </c>
      <c r="X2665">
        <v>0.97177239999999998</v>
      </c>
      <c r="Y2665">
        <v>-0.22109480000000001</v>
      </c>
      <c r="Z2665">
        <v>3.7108099999999998E-2</v>
      </c>
      <c r="AA2665">
        <v>0.97454609999999997</v>
      </c>
      <c r="AB2665">
        <v>17</v>
      </c>
      <c r="AC2665">
        <v>11.0602</v>
      </c>
      <c r="AD2665">
        <v>-1.1134279525949999</v>
      </c>
      <c r="AE2665">
        <v>-0.80020000000001701</v>
      </c>
      <c r="AF2665">
        <v>-2.47944890731379</v>
      </c>
      <c r="AG2665">
        <v>-1.1134279525949999</v>
      </c>
      <c r="AH2665">
        <v>10.6947758791847</v>
      </c>
      <c r="AI2665">
        <v>95.791114051097694</v>
      </c>
      <c r="AJ2665">
        <v>103.052709661246</v>
      </c>
      <c r="AK2665">
        <v>11.034746023157499</v>
      </c>
      <c r="AL2665">
        <v>91.017209974266294</v>
      </c>
      <c r="AM2665">
        <v>103.60862284679899</v>
      </c>
      <c r="AN2665">
        <v>0.99999996548795</v>
      </c>
    </row>
    <row r="2666" spans="1:40" x14ac:dyDescent="0.25">
      <c r="A2666" t="str">
        <f>"20190305135843236"</f>
        <v>20190305135843236</v>
      </c>
      <c r="B2666" t="str">
        <f>"1551765523231965"</f>
        <v>1551765523231965</v>
      </c>
      <c r="C2666" t="s">
        <v>40</v>
      </c>
      <c r="D2666">
        <v>4.2545710000000003</v>
      </c>
      <c r="E2666">
        <v>0.50453139999999996</v>
      </c>
      <c r="F2666" t="s">
        <v>59</v>
      </c>
      <c r="G2666">
        <v>-466.42540000000002</v>
      </c>
      <c r="H2666" s="1">
        <v>1.814733E-6</v>
      </c>
      <c r="I2666">
        <v>216.16569999999999</v>
      </c>
      <c r="J2666">
        <v>-477.76889999999997</v>
      </c>
      <c r="K2666">
        <v>1.1133189999999999</v>
      </c>
      <c r="L2666">
        <v>216.98759999999999</v>
      </c>
      <c r="M2666">
        <v>0.95751140000000001</v>
      </c>
      <c r="N2666">
        <v>-1.396039E-2</v>
      </c>
      <c r="O2666">
        <v>-0.28805740000000002</v>
      </c>
      <c r="P2666">
        <v>0.99764200000000003</v>
      </c>
      <c r="Q2666">
        <v>-2.859627E-2</v>
      </c>
      <c r="R2666">
        <v>-6.2391759999999997E-2</v>
      </c>
      <c r="S2666">
        <v>2.9847109999999999</v>
      </c>
      <c r="T2666">
        <v>-0.2889177</v>
      </c>
      <c r="U2666">
        <v>-0.223465</v>
      </c>
      <c r="V2666">
        <v>-0.22752559999999999</v>
      </c>
      <c r="W2666">
        <v>-1.6916319999999999E-2</v>
      </c>
      <c r="X2666">
        <v>0.97362519999999997</v>
      </c>
      <c r="Y2666">
        <v>-0.2137115</v>
      </c>
      <c r="Z2666">
        <v>3.5145139999999998E-2</v>
      </c>
      <c r="AA2666">
        <v>0.97626440000000003</v>
      </c>
      <c r="AB2666">
        <v>17</v>
      </c>
      <c r="AC2666">
        <v>11.343499999999899</v>
      </c>
      <c r="AD2666">
        <v>-1.1133171852670001</v>
      </c>
      <c r="AE2666">
        <v>-0.82189999999999896</v>
      </c>
      <c r="AF2666">
        <v>-2.4572956695518799</v>
      </c>
      <c r="AG2666">
        <v>-1.1133171852670001</v>
      </c>
      <c r="AH2666">
        <v>10.994018408095901</v>
      </c>
      <c r="AI2666">
        <v>95.644055207699694</v>
      </c>
      <c r="AJ2666">
        <v>102.599212789123</v>
      </c>
      <c r="AK2666">
        <v>11.320168634793401</v>
      </c>
      <c r="AL2666">
        <v>90.969279929219596</v>
      </c>
      <c r="AM2666">
        <v>103.153352405657</v>
      </c>
      <c r="AN2666">
        <v>1.00000004530637</v>
      </c>
    </row>
    <row r="2667" spans="1:40" x14ac:dyDescent="0.25">
      <c r="A2667" t="str">
        <f>"20190305135843258"</f>
        <v>20190305135843258</v>
      </c>
      <c r="B2667" t="str">
        <f>"1551765523251485"</f>
        <v>1551765523251485</v>
      </c>
      <c r="C2667" t="s">
        <v>40</v>
      </c>
      <c r="D2667">
        <v>4.0469280000000003</v>
      </c>
      <c r="E2667">
        <v>0.50492809999999999</v>
      </c>
      <c r="F2667" t="s">
        <v>59</v>
      </c>
      <c r="G2667">
        <v>-465.92570000000001</v>
      </c>
      <c r="H2667" s="1">
        <v>1.552746E-6</v>
      </c>
      <c r="I2667">
        <v>216.07640000000001</v>
      </c>
      <c r="J2667">
        <v>-477.61630000000002</v>
      </c>
      <c r="K2667">
        <v>1.1132150000000001</v>
      </c>
      <c r="L2667">
        <v>216.95079999999999</v>
      </c>
      <c r="M2667">
        <v>0.95959620000000001</v>
      </c>
      <c r="N2667">
        <v>-1.393104E-2</v>
      </c>
      <c r="O2667">
        <v>-0.28103590000000001</v>
      </c>
      <c r="P2667">
        <v>0.99761180000000005</v>
      </c>
      <c r="Q2667">
        <v>-2.863125E-2</v>
      </c>
      <c r="R2667">
        <v>-6.2857930000000006E-2</v>
      </c>
      <c r="S2667">
        <v>2.98468</v>
      </c>
      <c r="T2667">
        <v>-0.28057470000000001</v>
      </c>
      <c r="U2667">
        <v>-0.22964480000000001</v>
      </c>
      <c r="V2667">
        <v>-0.2199381</v>
      </c>
      <c r="W2667">
        <v>-1.6837270000000001E-2</v>
      </c>
      <c r="X2667">
        <v>0.97536849999999997</v>
      </c>
      <c r="Y2667">
        <v>-0.20472679999999999</v>
      </c>
      <c r="Z2667">
        <v>3.3046440000000003E-2</v>
      </c>
      <c r="AA2667">
        <v>0.97826109999999999</v>
      </c>
      <c r="AB2667">
        <v>17</v>
      </c>
      <c r="AC2667">
        <v>11.6906</v>
      </c>
      <c r="AD2667">
        <v>-1.1132134472540001</v>
      </c>
      <c r="AE2667">
        <v>-0.87439999999997997</v>
      </c>
      <c r="AF2667">
        <v>-2.4247804917777902</v>
      </c>
      <c r="AG2667">
        <v>-1.1132134472540001</v>
      </c>
      <c r="AH2667">
        <v>11.362648417659299</v>
      </c>
      <c r="AI2667">
        <v>95.473027258946999</v>
      </c>
      <c r="AJ2667">
        <v>102.04618667453001</v>
      </c>
      <c r="AK2667">
        <v>11.6717001193394</v>
      </c>
      <c r="AL2667">
        <v>90.964750109977302</v>
      </c>
      <c r="AM2667">
        <v>102.707228973949</v>
      </c>
      <c r="AN2667">
        <v>0.999999986142456</v>
      </c>
    </row>
    <row r="2668" spans="1:40" x14ac:dyDescent="0.25">
      <c r="A2668" t="str">
        <f>"20190305135843282"</f>
        <v>20190305135843282</v>
      </c>
      <c r="B2668" t="str">
        <f>"1551765523271006"</f>
        <v>1551765523271006</v>
      </c>
      <c r="C2668" t="s">
        <v>40</v>
      </c>
      <c r="D2668">
        <v>4.0283559999999996</v>
      </c>
      <c r="E2668">
        <v>0.51953850000000001</v>
      </c>
      <c r="F2668" t="s">
        <v>59</v>
      </c>
      <c r="G2668">
        <v>-465.56119999999999</v>
      </c>
      <c r="H2668" s="1">
        <v>1.3619269999999999E-6</v>
      </c>
      <c r="I2668">
        <v>216.0052</v>
      </c>
      <c r="J2668">
        <v>-477.44</v>
      </c>
      <c r="K2668">
        <v>1.1131089999999999</v>
      </c>
      <c r="L2668">
        <v>216.90969999999999</v>
      </c>
      <c r="M2668">
        <v>0.96188119999999999</v>
      </c>
      <c r="N2668">
        <v>-1.3895319999999999E-2</v>
      </c>
      <c r="O2668">
        <v>-0.27311429999999998</v>
      </c>
      <c r="P2668">
        <v>0.99770270000000005</v>
      </c>
      <c r="Q2668">
        <v>-2.9982399999999999E-2</v>
      </c>
      <c r="R2668">
        <v>-6.0747519999999999E-2</v>
      </c>
      <c r="S2668">
        <v>2.9844970000000002</v>
      </c>
      <c r="T2668">
        <v>-0.27560059999999997</v>
      </c>
      <c r="U2668">
        <v>-0.23410030000000001</v>
      </c>
      <c r="V2668">
        <v>-0.21393889999999999</v>
      </c>
      <c r="W2668">
        <v>-1.8106730000000001E-2</v>
      </c>
      <c r="X2668">
        <v>0.97667919999999997</v>
      </c>
      <c r="Y2668">
        <v>-0.19532930000000001</v>
      </c>
      <c r="Z2668">
        <v>3.1336900000000001E-2</v>
      </c>
      <c r="AA2668">
        <v>0.98023689999999997</v>
      </c>
      <c r="AB2668">
        <v>17</v>
      </c>
      <c r="AC2668">
        <v>11.8788</v>
      </c>
      <c r="AD2668">
        <v>-1.1131076380729901</v>
      </c>
      <c r="AE2668">
        <v>-0.90449999999998398</v>
      </c>
      <c r="AF2668">
        <v>-2.3539279214201998</v>
      </c>
      <c r="AG2668">
        <v>-1.1131076380729901</v>
      </c>
      <c r="AH2668">
        <v>11.5731193768623</v>
      </c>
      <c r="AI2668">
        <v>95.384257034342099</v>
      </c>
      <c r="AJ2668">
        <v>101.496910698223</v>
      </c>
      <c r="AK2668">
        <v>11.8624229137341</v>
      </c>
      <c r="AL2668">
        <v>91.037495923665006</v>
      </c>
      <c r="AM2668">
        <v>102.355340086209</v>
      </c>
      <c r="AN2668">
        <v>0.99999998315857097</v>
      </c>
    </row>
    <row r="2669" spans="1:40" x14ac:dyDescent="0.25">
      <c r="A2669" t="str">
        <f>"20190305135843304"</f>
        <v>20190305135843304</v>
      </c>
      <c r="B2669" t="str">
        <f>"1551765523301262"</f>
        <v>1551765523301262</v>
      </c>
      <c r="C2669" t="s">
        <v>40</v>
      </c>
      <c r="D2669">
        <v>4.0751749999999998</v>
      </c>
      <c r="E2669">
        <v>0.54795039999999995</v>
      </c>
      <c r="F2669" t="s">
        <v>59</v>
      </c>
      <c r="G2669">
        <v>-460.94569999999999</v>
      </c>
      <c r="H2669" s="1">
        <v>-1.0511399999999901E-6</v>
      </c>
      <c r="I2669">
        <v>215.0188</v>
      </c>
      <c r="J2669">
        <v>-477.27800000000002</v>
      </c>
      <c r="K2669">
        <v>1.1130119999999999</v>
      </c>
      <c r="L2669">
        <v>216.87299999999999</v>
      </c>
      <c r="M2669">
        <v>0.9638795</v>
      </c>
      <c r="N2669">
        <v>-1.383933E-2</v>
      </c>
      <c r="O2669">
        <v>-0.26597880000000002</v>
      </c>
      <c r="P2669">
        <v>0.99772629999999995</v>
      </c>
      <c r="Q2669">
        <v>-3.2575809999999997E-2</v>
      </c>
      <c r="R2669">
        <v>-5.8999679999999999E-2</v>
      </c>
      <c r="S2669">
        <v>2.9800719999999998</v>
      </c>
      <c r="T2669">
        <v>-0.2011086</v>
      </c>
      <c r="U2669">
        <v>-0.34162900000000002</v>
      </c>
      <c r="V2669">
        <v>-0.20837149999999999</v>
      </c>
      <c r="W2669">
        <v>-2.0660999999999999E-2</v>
      </c>
      <c r="X2669">
        <v>0.97783149999999996</v>
      </c>
      <c r="Y2669">
        <v>-0.1537096</v>
      </c>
      <c r="Z2669">
        <v>2.015809E-2</v>
      </c>
      <c r="AA2669">
        <v>0.98791039999999997</v>
      </c>
      <c r="AB2669">
        <v>17</v>
      </c>
      <c r="AC2669">
        <v>16.3323</v>
      </c>
      <c r="AD2669">
        <v>-1.1130130511399901</v>
      </c>
      <c r="AE2669">
        <v>-1.8541999999999901</v>
      </c>
      <c r="AF2669">
        <v>-2.54539439110007</v>
      </c>
      <c r="AG2669">
        <v>-1.1130130511399901</v>
      </c>
      <c r="AH2669">
        <v>16.162994415981402</v>
      </c>
      <c r="AI2669">
        <v>93.891462174106294</v>
      </c>
      <c r="AJ2669">
        <v>98.949599698421395</v>
      </c>
      <c r="AK2669">
        <v>16.400006681379701</v>
      </c>
      <c r="AL2669">
        <v>91.183872337887607</v>
      </c>
      <c r="AM2669">
        <v>102.029541266631</v>
      </c>
      <c r="AN2669">
        <v>1.0000000006627401</v>
      </c>
    </row>
    <row r="2670" spans="1:40" x14ac:dyDescent="0.25">
      <c r="A2670" t="str">
        <f>"20190305135843326"</f>
        <v>20190305135843326</v>
      </c>
      <c r="B2670" t="str">
        <f>"1551765523321758"</f>
        <v>1551765523321758</v>
      </c>
      <c r="C2670" t="s">
        <v>40</v>
      </c>
      <c r="D2670">
        <v>3.959454</v>
      </c>
      <c r="E2670">
        <v>0.54951490000000003</v>
      </c>
      <c r="F2670" t="s">
        <v>59</v>
      </c>
      <c r="G2670">
        <v>-452.1028</v>
      </c>
      <c r="H2670" s="1">
        <v>-3.0880000000000001E-7</v>
      </c>
      <c r="I2670">
        <v>212.12270000000001</v>
      </c>
      <c r="J2670">
        <v>-477.11930000000001</v>
      </c>
      <c r="K2670">
        <v>1.1129279999999999</v>
      </c>
      <c r="L2670">
        <v>216.8381</v>
      </c>
      <c r="M2670">
        <v>0.96575429999999995</v>
      </c>
      <c r="N2670">
        <v>-1.3747280000000001E-2</v>
      </c>
      <c r="O2670">
        <v>-0.25909460000000001</v>
      </c>
      <c r="P2670">
        <v>0.99780360000000001</v>
      </c>
      <c r="Q2670">
        <v>-3.49374E-2</v>
      </c>
      <c r="R2670">
        <v>-5.6281169999999998E-2</v>
      </c>
      <c r="S2670">
        <v>2.969452</v>
      </c>
      <c r="T2670">
        <v>-0.13128139999999999</v>
      </c>
      <c r="U2670">
        <v>-0.56030269999999904</v>
      </c>
      <c r="V2670">
        <v>-0.20402110000000001</v>
      </c>
      <c r="W2670">
        <v>-2.3044350000000002E-2</v>
      </c>
      <c r="X2670">
        <v>0.97869519999999999</v>
      </c>
      <c r="Y2670">
        <v>-7.5339610000000001E-2</v>
      </c>
      <c r="Z2670">
        <v>9.7730530000000003E-3</v>
      </c>
      <c r="AA2670">
        <v>0.9971101</v>
      </c>
      <c r="AB2670">
        <v>17</v>
      </c>
      <c r="AC2670">
        <v>25.016500000000001</v>
      </c>
      <c r="AD2670">
        <v>-1.1129283087999999</v>
      </c>
      <c r="AE2670">
        <v>-4.7153999999999803</v>
      </c>
      <c r="AF2670">
        <v>-1.9242263739402701</v>
      </c>
      <c r="AG2670">
        <v>-1.1129283087999999</v>
      </c>
      <c r="AH2670">
        <v>25.335498559863801</v>
      </c>
      <c r="AI2670">
        <v>92.508036592191701</v>
      </c>
      <c r="AJ2670">
        <v>94.343265345134796</v>
      </c>
      <c r="AK2670">
        <v>25.432828073880401</v>
      </c>
      <c r="AL2670">
        <v>91.320460920038599</v>
      </c>
      <c r="AM2670">
        <v>101.775373293477</v>
      </c>
      <c r="AN2670">
        <v>0.99999997290758502</v>
      </c>
    </row>
    <row r="2671" spans="1:40" x14ac:dyDescent="0.25">
      <c r="A2671" t="str">
        <f>"20190305135843347"</f>
        <v>20190305135843347</v>
      </c>
      <c r="B2671" t="str">
        <f>"1551765523341278"</f>
        <v>1551765523341278</v>
      </c>
      <c r="C2671" t="s">
        <v>40</v>
      </c>
      <c r="D2671">
        <v>4.0480839999999896</v>
      </c>
      <c r="E2671">
        <v>0.56808510000000001</v>
      </c>
      <c r="F2671" t="s">
        <v>59</v>
      </c>
      <c r="G2671">
        <v>-457.33170000000001</v>
      </c>
      <c r="H2671" s="1">
        <v>2.432601E-6</v>
      </c>
      <c r="I2671">
        <v>213.0642</v>
      </c>
      <c r="J2671">
        <v>-476.96609999999998</v>
      </c>
      <c r="K2671">
        <v>1.112833</v>
      </c>
      <c r="L2671">
        <v>216.80539999999999</v>
      </c>
      <c r="M2671">
        <v>0.96749160000000001</v>
      </c>
      <c r="N2671">
        <v>-1.3578979999999999E-2</v>
      </c>
      <c r="O2671">
        <v>-0.2525386</v>
      </c>
      <c r="P2671">
        <v>0.99780769999999996</v>
      </c>
      <c r="Q2671">
        <v>-3.7545740000000001E-2</v>
      </c>
      <c r="R2671">
        <v>-5.4500239999999998E-2</v>
      </c>
      <c r="S2671">
        <v>2.9688110000000001</v>
      </c>
      <c r="T2671">
        <v>-0.1669766</v>
      </c>
      <c r="U2671">
        <v>-0.56620789999999999</v>
      </c>
      <c r="V2671">
        <v>-0.1990857</v>
      </c>
      <c r="W2671">
        <v>-2.5750789999999999E-2</v>
      </c>
      <c r="X2671">
        <v>0.97964370000000001</v>
      </c>
      <c r="Y2671">
        <v>-6.6485329999999995E-2</v>
      </c>
      <c r="Z2671">
        <v>1.2729000000000001E-2</v>
      </c>
      <c r="AA2671">
        <v>0.99770619999999999</v>
      </c>
      <c r="AB2671">
        <v>17</v>
      </c>
      <c r="AC2671">
        <v>19.6343999999999</v>
      </c>
      <c r="AD2671">
        <v>-1.112830567399</v>
      </c>
      <c r="AE2671">
        <v>-3.7411999999999899</v>
      </c>
      <c r="AF2671">
        <v>-1.33484990432184</v>
      </c>
      <c r="AG2671">
        <v>-1.112830567399</v>
      </c>
      <c r="AH2671">
        <v>19.881124256422499</v>
      </c>
      <c r="AI2671">
        <v>93.1965619177912</v>
      </c>
      <c r="AJ2671">
        <v>93.841163561114399</v>
      </c>
      <c r="AK2671">
        <v>19.956936584508998</v>
      </c>
      <c r="AL2671">
        <v>91.475574694573695</v>
      </c>
      <c r="AM2671">
        <v>101.487359500946</v>
      </c>
      <c r="AN2671">
        <v>0.999999999039902</v>
      </c>
    </row>
    <row r="2672" spans="1:40" x14ac:dyDescent="0.25">
      <c r="A2672" t="str">
        <f>"20190305135843373"</f>
        <v>20190305135843373</v>
      </c>
      <c r="B2672" t="str">
        <f>"1551765523361773"</f>
        <v>1551765523361773</v>
      </c>
      <c r="C2672" t="s">
        <v>40</v>
      </c>
      <c r="D2672">
        <v>3.9365619999999999</v>
      </c>
      <c r="E2672">
        <v>0.56473169999999995</v>
      </c>
      <c r="F2672" t="s">
        <v>59</v>
      </c>
      <c r="G2672">
        <v>-464.04570000000001</v>
      </c>
      <c r="H2672" s="1">
        <v>6.56512E-7</v>
      </c>
      <c r="I2672">
        <v>213.69280000000001</v>
      </c>
      <c r="J2672">
        <v>-476.77449999999999</v>
      </c>
      <c r="K2672">
        <v>1.1126910000000001</v>
      </c>
      <c r="L2672">
        <v>216.76570000000001</v>
      </c>
      <c r="M2672">
        <v>0.96956690000000001</v>
      </c>
      <c r="N2672">
        <v>-1.3231949999999999E-2</v>
      </c>
      <c r="O2672">
        <v>-0.24446850000000001</v>
      </c>
      <c r="P2672">
        <v>0.9979133</v>
      </c>
      <c r="Q2672">
        <v>-3.9261709999999998E-2</v>
      </c>
      <c r="R2672">
        <v>-5.125971E-2</v>
      </c>
      <c r="S2672">
        <v>2.9580690000000001</v>
      </c>
      <c r="T2672">
        <v>-0.254778</v>
      </c>
      <c r="U2672">
        <v>-0.71261600000000003</v>
      </c>
      <c r="V2672">
        <v>-0.194074</v>
      </c>
      <c r="W2672">
        <v>-2.7735840000000001E-2</v>
      </c>
      <c r="X2672">
        <v>0.98059470000000004</v>
      </c>
      <c r="Y2672">
        <v>-9.964199E-3</v>
      </c>
      <c r="Z2672">
        <v>1.767057E-2</v>
      </c>
      <c r="AA2672">
        <v>0.99979419999999997</v>
      </c>
      <c r="AB2672">
        <v>17</v>
      </c>
      <c r="AC2672">
        <v>12.7287999999999</v>
      </c>
      <c r="AD2672">
        <v>-1.11269034348799</v>
      </c>
      <c r="AE2672">
        <v>-3.0729000000000002</v>
      </c>
      <c r="AF2672">
        <v>-0.13147081736500801</v>
      </c>
      <c r="AG2672">
        <v>-1.11269034348799</v>
      </c>
      <c r="AH2672">
        <v>12.9999301076357</v>
      </c>
      <c r="AI2672">
        <v>94.891889509081693</v>
      </c>
      <c r="AJ2672">
        <v>90.579423589988707</v>
      </c>
      <c r="AK2672">
        <v>13.0481242782142</v>
      </c>
      <c r="AL2672">
        <v>91.589350424575599</v>
      </c>
      <c r="AM2672">
        <v>101.194997039146</v>
      </c>
      <c r="AN2672">
        <v>0.99999997998229695</v>
      </c>
    </row>
    <row r="2673" spans="1:40" x14ac:dyDescent="0.25">
      <c r="A2673" t="str">
        <f>"20190305135843394"</f>
        <v>20190305135843394</v>
      </c>
      <c r="B2673" t="str">
        <f>"1551765523391053"</f>
        <v>1551765523391053</v>
      </c>
      <c r="C2673" t="s">
        <v>40</v>
      </c>
      <c r="D2673">
        <v>4.0714990000000002</v>
      </c>
      <c r="E2673">
        <v>0.5598786</v>
      </c>
      <c r="F2673" t="s">
        <v>59</v>
      </c>
      <c r="G2673">
        <v>-461.14229999999998</v>
      </c>
      <c r="H2673" s="1">
        <v>-8.6740320000000001E-7</v>
      </c>
      <c r="I2673">
        <v>213.2089</v>
      </c>
      <c r="J2673">
        <v>-476.61399999999998</v>
      </c>
      <c r="K2673">
        <v>1.112549</v>
      </c>
      <c r="L2673">
        <v>216.7336</v>
      </c>
      <c r="M2673">
        <v>0.97121639999999998</v>
      </c>
      <c r="N2673">
        <v>-1.285612E-2</v>
      </c>
      <c r="O2673">
        <v>-0.23785149999999999</v>
      </c>
      <c r="P2673">
        <v>0.99786799999999998</v>
      </c>
      <c r="Q2673">
        <v>-4.1787199999999997E-2</v>
      </c>
      <c r="R2673">
        <v>-5.0132459999999997E-2</v>
      </c>
      <c r="S2673">
        <v>2.9633479999999999</v>
      </c>
      <c r="T2673">
        <v>-0.21092939999999999</v>
      </c>
      <c r="U2673">
        <v>-0.67425539999999995</v>
      </c>
      <c r="V2673">
        <v>-0.18845190000000001</v>
      </c>
      <c r="W2673">
        <v>-3.0550529999999999E-2</v>
      </c>
      <c r="X2673">
        <v>0.98160709999999995</v>
      </c>
      <c r="Y2673">
        <v>-1.6036000000000002E-2</v>
      </c>
      <c r="Z2673">
        <v>1.4072670000000001E-2</v>
      </c>
      <c r="AA2673">
        <v>0.99977240000000001</v>
      </c>
      <c r="AB2673">
        <v>17</v>
      </c>
      <c r="AC2673">
        <v>15.4717</v>
      </c>
      <c r="AD2673">
        <v>-1.1125498674031999</v>
      </c>
      <c r="AE2673">
        <v>-3.52469999999999</v>
      </c>
      <c r="AF2673">
        <v>-0.25548593584865498</v>
      </c>
      <c r="AG2673">
        <v>-1.1125498674031999</v>
      </c>
      <c r="AH2673">
        <v>15.7884241834607</v>
      </c>
      <c r="AI2673">
        <v>94.030225828521793</v>
      </c>
      <c r="AJ2673">
        <v>90.927070883816398</v>
      </c>
      <c r="AK2673">
        <v>15.8296360813432</v>
      </c>
      <c r="AL2673">
        <v>91.750688874560396</v>
      </c>
      <c r="AM2673">
        <v>100.8675872968</v>
      </c>
      <c r="AN2673">
        <v>0.99999997613364999</v>
      </c>
    </row>
    <row r="2674" spans="1:40" x14ac:dyDescent="0.25">
      <c r="A2674" t="str">
        <f>"20190305135843414"</f>
        <v>20190305135843414</v>
      </c>
      <c r="B2674" t="str">
        <f>"1551765523411550"</f>
        <v>1551765523411550</v>
      </c>
      <c r="C2674" t="s">
        <v>40</v>
      </c>
      <c r="D2674">
        <v>4.1169379999999904</v>
      </c>
      <c r="E2674">
        <v>0.55679699999999999</v>
      </c>
      <c r="F2674" t="s">
        <v>59</v>
      </c>
      <c r="G2674">
        <v>-462.8562</v>
      </c>
      <c r="H2674" s="1">
        <v>1.8884140000000001E-8</v>
      </c>
      <c r="I2674">
        <v>213.79839999999999</v>
      </c>
      <c r="J2674">
        <v>-476.4667</v>
      </c>
      <c r="K2674">
        <v>1.1124050000000001</v>
      </c>
      <c r="L2674">
        <v>216.70490000000001</v>
      </c>
      <c r="M2674">
        <v>0.9726534</v>
      </c>
      <c r="N2674">
        <v>-1.247847E-2</v>
      </c>
      <c r="O2674">
        <v>-0.23192570000000001</v>
      </c>
      <c r="P2674">
        <v>0.99786450000000004</v>
      </c>
      <c r="Q2674">
        <v>-4.2291700000000002E-2</v>
      </c>
      <c r="R2674">
        <v>-4.9777660000000001E-2</v>
      </c>
      <c r="S2674">
        <v>2.964569</v>
      </c>
      <c r="T2674">
        <v>-0.23973539999999999</v>
      </c>
      <c r="U2674">
        <v>-0.63247679999999995</v>
      </c>
      <c r="V2674">
        <v>-0.18280879999999999</v>
      </c>
      <c r="W2674">
        <v>-3.1339619999999999E-2</v>
      </c>
      <c r="X2674">
        <v>0.98264879999999999</v>
      </c>
      <c r="Y2674">
        <v>-2.3296239999999999E-2</v>
      </c>
      <c r="Z2674">
        <v>1.6458520000000001E-2</v>
      </c>
      <c r="AA2674">
        <v>0.99959310000000001</v>
      </c>
      <c r="AB2674">
        <v>17</v>
      </c>
      <c r="AC2674">
        <v>13.6105</v>
      </c>
      <c r="AD2674">
        <v>-1.1124049811158501</v>
      </c>
      <c r="AE2674">
        <v>-2.9065000000000198</v>
      </c>
      <c r="AF2674">
        <v>-0.32754076560026202</v>
      </c>
      <c r="AG2674">
        <v>-1.1124049811158501</v>
      </c>
      <c r="AH2674">
        <v>13.8251508614818</v>
      </c>
      <c r="AI2674">
        <v>94.598961080127694</v>
      </c>
      <c r="AJ2674">
        <v>91.357178206600693</v>
      </c>
      <c r="AK2674">
        <v>13.8736990070374</v>
      </c>
      <c r="AL2674">
        <v>91.795922119245702</v>
      </c>
      <c r="AM2674">
        <v>100.538643750999</v>
      </c>
      <c r="AN2674">
        <v>0.99999994664031</v>
      </c>
    </row>
    <row r="2675" spans="1:40" x14ac:dyDescent="0.25">
      <c r="A2675" t="str">
        <f>"20190305135843437"</f>
        <v>20190305135843437</v>
      </c>
      <c r="B2675" t="str">
        <f>"1551765523431070"</f>
        <v>1551765523431070</v>
      </c>
      <c r="C2675" t="s">
        <v>40</v>
      </c>
      <c r="D2675">
        <v>4.0357909999999997</v>
      </c>
      <c r="E2675">
        <v>0.55420819999999904</v>
      </c>
      <c r="F2675" t="s">
        <v>59</v>
      </c>
      <c r="G2675">
        <v>-463.10149999999999</v>
      </c>
      <c r="H2675" s="1">
        <v>1.4191600000000001E-7</v>
      </c>
      <c r="I2675">
        <v>213.9699</v>
      </c>
      <c r="J2675">
        <v>-476.29309999999998</v>
      </c>
      <c r="K2675">
        <v>1.1122179999999999</v>
      </c>
      <c r="L2675">
        <v>216.67189999999999</v>
      </c>
      <c r="M2675">
        <v>0.97425539999999999</v>
      </c>
      <c r="N2675">
        <v>-1.201735E-2</v>
      </c>
      <c r="O2675">
        <v>-0.2251264</v>
      </c>
      <c r="P2675">
        <v>0.99804459999999995</v>
      </c>
      <c r="Q2675">
        <v>-4.0676169999999998E-2</v>
      </c>
      <c r="R2675">
        <v>-4.74609E-2</v>
      </c>
      <c r="S2675">
        <v>2.9657290000000001</v>
      </c>
      <c r="T2675">
        <v>-0.2468407</v>
      </c>
      <c r="U2675">
        <v>-0.60690310000000003</v>
      </c>
      <c r="V2675">
        <v>-0.1782569</v>
      </c>
      <c r="W2675">
        <v>-3.0087949999999999E-2</v>
      </c>
      <c r="X2675">
        <v>0.98352379999999995</v>
      </c>
      <c r="Y2675">
        <v>-2.4612829999999999E-2</v>
      </c>
      <c r="Z2675">
        <v>1.67442999999999E-2</v>
      </c>
      <c r="AA2675">
        <v>0.99955680000000002</v>
      </c>
      <c r="AB2675">
        <v>17</v>
      </c>
      <c r="AC2675">
        <v>13.1915999999999</v>
      </c>
      <c r="AD2675">
        <v>-1.1122178580840001</v>
      </c>
      <c r="AE2675">
        <v>-2.7019999999999902</v>
      </c>
      <c r="AF2675">
        <v>-0.335077677681758</v>
      </c>
      <c r="AG2675">
        <v>-1.1122178580840001</v>
      </c>
      <c r="AH2675">
        <v>13.3700362928136</v>
      </c>
      <c r="AI2675">
        <v>94.753849058630806</v>
      </c>
      <c r="AJ2675">
        <v>91.435636996624496</v>
      </c>
      <c r="AK2675">
        <v>13.420401487476999</v>
      </c>
      <c r="AL2675">
        <v>91.7241728706272</v>
      </c>
      <c r="AM2675">
        <v>100.272947737376</v>
      </c>
      <c r="AN2675">
        <v>0.99999993614962401</v>
      </c>
    </row>
    <row r="2676" spans="1:40" x14ac:dyDescent="0.25">
      <c r="A2676" t="str">
        <f>"20190305135843459"</f>
        <v>20190305135843459</v>
      </c>
      <c r="B2676" t="str">
        <f>"1551765523451566"</f>
        <v>1551765523451566</v>
      </c>
      <c r="C2676" t="s">
        <v>40</v>
      </c>
      <c r="D2676">
        <v>4.0659369999999999</v>
      </c>
      <c r="E2676">
        <v>0.55115400000000003</v>
      </c>
      <c r="F2676" t="s">
        <v>59</v>
      </c>
      <c r="G2676">
        <v>-462.50319999999999</v>
      </c>
      <c r="H2676" s="1">
        <v>-1.769605E-7</v>
      </c>
      <c r="I2676">
        <v>213.9813</v>
      </c>
      <c r="J2676">
        <v>-476.12849999999997</v>
      </c>
      <c r="K2676">
        <v>1.112052</v>
      </c>
      <c r="L2676">
        <v>216.64150000000001</v>
      </c>
      <c r="M2676">
        <v>0.97567269999999995</v>
      </c>
      <c r="N2676">
        <v>-1.158083E-2</v>
      </c>
      <c r="O2676">
        <v>-0.2189267</v>
      </c>
      <c r="P2676">
        <v>0.99818119999999999</v>
      </c>
      <c r="Q2676">
        <v>-4.0097319999999999E-2</v>
      </c>
      <c r="R2676">
        <v>-4.502163E-2</v>
      </c>
      <c r="S2676">
        <v>2.9685359999999998</v>
      </c>
      <c r="T2676">
        <v>-0.23942640000000001</v>
      </c>
      <c r="U2676">
        <v>-0.57920839999999996</v>
      </c>
      <c r="V2676">
        <v>-0.17442009999999999</v>
      </c>
      <c r="W2676">
        <v>-2.9856839999999999E-2</v>
      </c>
      <c r="X2676">
        <v>0.98421860000000005</v>
      </c>
      <c r="Y2676">
        <v>-2.7446229999999999E-2</v>
      </c>
      <c r="Z2676">
        <v>1.598434E-2</v>
      </c>
      <c r="AA2676">
        <v>0.99949540000000003</v>
      </c>
      <c r="AB2676">
        <v>17</v>
      </c>
      <c r="AC2676">
        <v>13.6252999999999</v>
      </c>
      <c r="AD2676">
        <v>-1.1120521769605001</v>
      </c>
      <c r="AE2676">
        <v>-2.6602000000000001</v>
      </c>
      <c r="AF2676">
        <v>-0.385012879198535</v>
      </c>
      <c r="AG2676">
        <v>-1.1120521769605001</v>
      </c>
      <c r="AH2676">
        <v>13.7886733544065</v>
      </c>
      <c r="AI2676">
        <v>94.609118213439402</v>
      </c>
      <c r="AJ2676">
        <v>91.599420201393599</v>
      </c>
      <c r="AK2676">
        <v>13.838800809172501</v>
      </c>
      <c r="AL2676">
        <v>91.710925134227097</v>
      </c>
      <c r="AM2676">
        <v>100.049439681062</v>
      </c>
      <c r="AN2676">
        <v>1.0000000273823699</v>
      </c>
    </row>
    <row r="2677" spans="1:40" x14ac:dyDescent="0.25">
      <c r="A2677" t="str">
        <f>"20190305135843481"</f>
        <v>20190305135843481</v>
      </c>
      <c r="B2677" t="str">
        <f>"1551765523471086"</f>
        <v>1551765523471086</v>
      </c>
      <c r="C2677" t="s">
        <v>40</v>
      </c>
      <c r="D2677">
        <v>4.0929419999999999</v>
      </c>
      <c r="E2677">
        <v>0.5483479</v>
      </c>
      <c r="F2677" t="s">
        <v>59</v>
      </c>
      <c r="G2677">
        <v>-462.73410000000001</v>
      </c>
      <c r="H2677" s="1">
        <v>-6.2396300000000001E-8</v>
      </c>
      <c r="I2677">
        <v>214.172</v>
      </c>
      <c r="J2677">
        <v>-475.9572</v>
      </c>
      <c r="K2677">
        <v>1.111893</v>
      </c>
      <c r="L2677">
        <v>216.61070000000001</v>
      </c>
      <c r="M2677">
        <v>0.97704480000000005</v>
      </c>
      <c r="N2677">
        <v>-1.1144909999999999E-2</v>
      </c>
      <c r="O2677">
        <v>-0.21274280000000001</v>
      </c>
      <c r="P2677">
        <v>0.998228</v>
      </c>
      <c r="Q2677">
        <v>-4.0813500000000003E-2</v>
      </c>
      <c r="R2677">
        <v>-4.3307650000000003E-2</v>
      </c>
      <c r="S2677">
        <v>2.9708559999999999</v>
      </c>
      <c r="T2677">
        <v>-0.2466518</v>
      </c>
      <c r="U2677">
        <v>-0.54774480000000003</v>
      </c>
      <c r="V2677">
        <v>-0.16986979999999999</v>
      </c>
      <c r="W2677">
        <v>-3.0916610000000001E-2</v>
      </c>
      <c r="X2677">
        <v>0.98498140000000001</v>
      </c>
      <c r="Y2677">
        <v>-3.143021E-2</v>
      </c>
      <c r="Z2677">
        <v>1.6395759999999999E-2</v>
      </c>
      <c r="AA2677">
        <v>0.99937149999999997</v>
      </c>
      <c r="AB2677">
        <v>17</v>
      </c>
      <c r="AC2677">
        <v>13.223099999999899</v>
      </c>
      <c r="AD2677">
        <v>-1.1118930623962999</v>
      </c>
      <c r="AE2677">
        <v>-2.4387000000000101</v>
      </c>
      <c r="AF2677">
        <v>-0.42750354599510498</v>
      </c>
      <c r="AG2677">
        <v>-1.1118930623962999</v>
      </c>
      <c r="AH2677">
        <v>13.3479358782704</v>
      </c>
      <c r="AI2677">
        <v>94.759358476697003</v>
      </c>
      <c r="AJ2677">
        <v>91.834424374063303</v>
      </c>
      <c r="AK2677">
        <v>13.400987190295499</v>
      </c>
      <c r="AL2677">
        <v>91.771673634345007</v>
      </c>
      <c r="AM2677">
        <v>99.784972833440904</v>
      </c>
      <c r="AN2677">
        <v>0.99999997203594504</v>
      </c>
    </row>
    <row r="2678" spans="1:40" x14ac:dyDescent="0.25">
      <c r="A2678" t="str">
        <f>"20190305135843504"</f>
        <v>20190305135843504</v>
      </c>
      <c r="B2678" t="str">
        <f>"1551765523501342"</f>
        <v>1551765523501342</v>
      </c>
      <c r="C2678" t="s">
        <v>40</v>
      </c>
      <c r="D2678">
        <v>4.0284019999999998</v>
      </c>
      <c r="E2678">
        <v>0.54630219999999996</v>
      </c>
      <c r="F2678" t="s">
        <v>59</v>
      </c>
      <c r="G2678">
        <v>-463.173</v>
      </c>
      <c r="H2678" s="1">
        <v>1.6248559999999999E-7</v>
      </c>
      <c r="I2678">
        <v>214.3707</v>
      </c>
      <c r="J2678">
        <v>-475.78809999999999</v>
      </c>
      <c r="K2678">
        <v>1.1117699999999999</v>
      </c>
      <c r="L2678">
        <v>216.58109999999999</v>
      </c>
      <c r="M2678">
        <v>0.97831049999999997</v>
      </c>
      <c r="N2678">
        <v>-1.0745620000000001E-2</v>
      </c>
      <c r="O2678">
        <v>-0.2068654</v>
      </c>
      <c r="P2678">
        <v>0.99825929999999996</v>
      </c>
      <c r="Q2678">
        <v>-4.0433160000000003E-2</v>
      </c>
      <c r="R2678">
        <v>-4.2936299999999997E-2</v>
      </c>
      <c r="S2678">
        <v>2.9721679999999999</v>
      </c>
      <c r="T2678">
        <v>-0.25850200000000001</v>
      </c>
      <c r="U2678">
        <v>-0.52078250000000004</v>
      </c>
      <c r="V2678">
        <v>-0.16432389999999999</v>
      </c>
      <c r="W2678">
        <v>-3.0849399999999999E-2</v>
      </c>
      <c r="X2678">
        <v>0.98592389999999996</v>
      </c>
      <c r="Y2678">
        <v>-3.4209070000000001E-2</v>
      </c>
      <c r="Z2678">
        <v>1.7080640000000001E-2</v>
      </c>
      <c r="AA2678">
        <v>0.99926870000000001</v>
      </c>
      <c r="AB2678">
        <v>17</v>
      </c>
      <c r="AC2678">
        <v>12.615099999999901</v>
      </c>
      <c r="AD2678">
        <v>-1.1117698375143901</v>
      </c>
      <c r="AE2678">
        <v>-2.2103999999999902</v>
      </c>
      <c r="AF2678">
        <v>-0.443851286280454</v>
      </c>
      <c r="AG2678">
        <v>-1.1117698375143901</v>
      </c>
      <c r="AH2678">
        <v>12.703747963145201</v>
      </c>
      <c r="AI2678">
        <v>94.998469040321496</v>
      </c>
      <c r="AJ2678">
        <v>92.001020898111904</v>
      </c>
      <c r="AK2678">
        <v>12.7600254093421</v>
      </c>
      <c r="AL2678">
        <v>91.767820927637402</v>
      </c>
      <c r="AM2678">
        <v>99.462505973171304</v>
      </c>
      <c r="AN2678">
        <v>0.99999998309138904</v>
      </c>
    </row>
    <row r="2679" spans="1:40" x14ac:dyDescent="0.25">
      <c r="A2679" t="str">
        <f>"20190305135843526"</f>
        <v>20190305135843526</v>
      </c>
      <c r="B2679" t="str">
        <f>"1551765523521837"</f>
        <v>1551765523521837</v>
      </c>
      <c r="C2679" t="s">
        <v>40</v>
      </c>
      <c r="D2679">
        <v>4.4195019999999996</v>
      </c>
      <c r="E2679">
        <v>0.54522819999999905</v>
      </c>
      <c r="F2679" t="s">
        <v>59</v>
      </c>
      <c r="G2679">
        <v>-463.23540000000003</v>
      </c>
      <c r="H2679" s="1">
        <v>1.9192310000000001E-7</v>
      </c>
      <c r="I2679">
        <v>214.4563</v>
      </c>
      <c r="J2679">
        <v>-475.61880000000002</v>
      </c>
      <c r="K2679">
        <v>1.1116790000000001</v>
      </c>
      <c r="L2679">
        <v>216.5522</v>
      </c>
      <c r="M2679">
        <v>0.97949439999999999</v>
      </c>
      <c r="N2679">
        <v>-1.0381039999999999E-2</v>
      </c>
      <c r="O2679">
        <v>-0.20120489999999999</v>
      </c>
      <c r="P2679">
        <v>0.99827719999999998</v>
      </c>
      <c r="Q2679">
        <v>-3.9807170000000003E-2</v>
      </c>
      <c r="R2679">
        <v>-4.310874E-2</v>
      </c>
      <c r="S2679">
        <v>2.9729610000000002</v>
      </c>
      <c r="T2679">
        <v>-0.26330949999999997</v>
      </c>
      <c r="U2679">
        <v>-0.50323490000000004</v>
      </c>
      <c r="V2679">
        <v>-0.15846260000000001</v>
      </c>
      <c r="W2679">
        <v>-3.051187E-2</v>
      </c>
      <c r="X2679">
        <v>0.98689340000000003</v>
      </c>
      <c r="Y2679">
        <v>-3.4183520000000002E-2</v>
      </c>
      <c r="Z2679">
        <v>1.7084459999999999E-2</v>
      </c>
      <c r="AA2679">
        <v>0.99926950000000003</v>
      </c>
      <c r="AB2679">
        <v>18</v>
      </c>
      <c r="AC2679">
        <v>12.3833999999999</v>
      </c>
      <c r="AD2679">
        <v>-1.1116788080769</v>
      </c>
      <c r="AE2679">
        <v>-2.0958999999999999</v>
      </c>
      <c r="AF2679">
        <v>-0.43529167858115603</v>
      </c>
      <c r="AG2679">
        <v>-1.1116788080769</v>
      </c>
      <c r="AH2679">
        <v>12.4542763716743</v>
      </c>
      <c r="AI2679">
        <v>95.097653431678495</v>
      </c>
      <c r="AJ2679">
        <v>92.001740377005007</v>
      </c>
      <c r="AK2679">
        <v>12.511367173886899</v>
      </c>
      <c r="AL2679">
        <v>91.748472786120203</v>
      </c>
      <c r="AM2679">
        <v>99.121954871296694</v>
      </c>
      <c r="AN2679">
        <v>0.99999997638660798</v>
      </c>
    </row>
    <row r="2680" spans="1:40" x14ac:dyDescent="0.25">
      <c r="A2680" t="str">
        <f>"20190305135843549"</f>
        <v>20190305135843549</v>
      </c>
      <c r="B2680" t="str">
        <f>"1551765523541358"</f>
        <v>1551765523541358</v>
      </c>
      <c r="C2680" t="s">
        <v>40</v>
      </c>
      <c r="D2680">
        <v>4.457395</v>
      </c>
      <c r="E2680">
        <v>0.54607019999999995</v>
      </c>
      <c r="F2680" t="s">
        <v>59</v>
      </c>
      <c r="G2680">
        <v>-462.85050000000001</v>
      </c>
      <c r="H2680" s="1">
        <v>-1.160835E-8</v>
      </c>
      <c r="I2680">
        <v>214.42689999999999</v>
      </c>
      <c r="J2680">
        <v>-475.44310000000002</v>
      </c>
      <c r="K2680">
        <v>1.1115980000000001</v>
      </c>
      <c r="L2680">
        <v>216.523</v>
      </c>
      <c r="M2680">
        <v>0.98064090000000004</v>
      </c>
      <c r="N2680">
        <v>-1.003356E-2</v>
      </c>
      <c r="O2680">
        <v>-0.19555739999999999</v>
      </c>
      <c r="P2680">
        <v>0.99822080000000002</v>
      </c>
      <c r="Q2680">
        <v>-3.9977220000000001E-2</v>
      </c>
      <c r="R2680">
        <v>-4.4239430000000003E-2</v>
      </c>
      <c r="S2680">
        <v>2.9735109999999998</v>
      </c>
      <c r="T2680">
        <v>-0.25889000000000001</v>
      </c>
      <c r="U2680">
        <v>-0.49493409999999899</v>
      </c>
      <c r="V2680">
        <v>-0.15165590000000001</v>
      </c>
      <c r="W2680">
        <v>-3.095359E-2</v>
      </c>
      <c r="X2680">
        <v>0.98794850000000001</v>
      </c>
      <c r="Y2680">
        <v>-3.121645E-2</v>
      </c>
      <c r="Z2680">
        <v>1.6270779999999999E-2</v>
      </c>
      <c r="AA2680">
        <v>0.99938020000000005</v>
      </c>
      <c r="AB2680">
        <v>18</v>
      </c>
      <c r="AC2680">
        <v>12.592599999999999</v>
      </c>
      <c r="AD2680">
        <v>-1.1115980116083499</v>
      </c>
      <c r="AE2680">
        <v>-2.0960999999999999</v>
      </c>
      <c r="AF2680">
        <v>-0.40401192768083399</v>
      </c>
      <c r="AG2680">
        <v>-1.1115980116083499</v>
      </c>
      <c r="AH2680">
        <v>12.663353008441099</v>
      </c>
      <c r="AI2680">
        <v>95.014066862797307</v>
      </c>
      <c r="AJ2680">
        <v>91.827346136998699</v>
      </c>
      <c r="AK2680">
        <v>12.7184663066548</v>
      </c>
      <c r="AL2680">
        <v>91.773793507815498</v>
      </c>
      <c r="AM2680">
        <v>98.727115594191602</v>
      </c>
      <c r="AN2680">
        <v>0.99999993769547202</v>
      </c>
    </row>
    <row r="2681" spans="1:40" x14ac:dyDescent="0.25">
      <c r="A2681" t="str">
        <f>"20190305135843572"</f>
        <v>20190305135843572</v>
      </c>
      <c r="B2681" t="str">
        <f>"1551765523561854"</f>
        <v>1551765523561854</v>
      </c>
      <c r="C2681" t="s">
        <v>40</v>
      </c>
      <c r="D2681">
        <v>4.2252989999999997</v>
      </c>
      <c r="E2681">
        <v>0.60960789999999998</v>
      </c>
      <c r="F2681" t="s">
        <v>59</v>
      </c>
      <c r="G2681">
        <v>-462.851</v>
      </c>
      <c r="H2681" s="1">
        <v>-9.4837219999999998E-9</v>
      </c>
      <c r="I2681">
        <v>214.3837</v>
      </c>
      <c r="J2681">
        <v>-475.2645</v>
      </c>
      <c r="K2681">
        <v>1.111518</v>
      </c>
      <c r="L2681">
        <v>216.49420000000001</v>
      </c>
      <c r="M2681">
        <v>0.98172820000000005</v>
      </c>
      <c r="N2681">
        <v>-9.7026430000000004E-3</v>
      </c>
      <c r="O2681">
        <v>-0.1900413</v>
      </c>
      <c r="P2681">
        <v>0.99818580000000001</v>
      </c>
      <c r="Q2681">
        <v>-4.0284279999999999E-2</v>
      </c>
      <c r="R2681">
        <v>-4.475266E-2</v>
      </c>
      <c r="S2681">
        <v>2.9724430000000002</v>
      </c>
      <c r="T2681">
        <v>-0.26239790000000002</v>
      </c>
      <c r="U2681">
        <v>-0.50498959999999904</v>
      </c>
      <c r="V2681">
        <v>-0.14559079999999999</v>
      </c>
      <c r="W2681">
        <v>-3.1523889999999999E-2</v>
      </c>
      <c r="X2681">
        <v>0.98884249999999996</v>
      </c>
      <c r="Y2681">
        <v>-2.2277760000000001E-2</v>
      </c>
      <c r="Z2681">
        <v>1.572262E-2</v>
      </c>
      <c r="AA2681">
        <v>0.99962819999999997</v>
      </c>
      <c r="AB2681">
        <v>18</v>
      </c>
      <c r="AC2681">
        <v>12.413500000000001</v>
      </c>
      <c r="AD2681">
        <v>-1.11151800948372</v>
      </c>
      <c r="AE2681">
        <v>-2.1105</v>
      </c>
      <c r="AF2681">
        <v>-0.28493351023895003</v>
      </c>
      <c r="AG2681">
        <v>-1.11151800948372</v>
      </c>
      <c r="AH2681">
        <v>12.4910225912871</v>
      </c>
      <c r="AI2681">
        <v>95.083775713908295</v>
      </c>
      <c r="AJ2681">
        <v>91.306751045915306</v>
      </c>
      <c r="AK2681">
        <v>12.5436160961147</v>
      </c>
      <c r="AL2681">
        <v>91.806485202338706</v>
      </c>
      <c r="AM2681">
        <v>98.375685519711595</v>
      </c>
      <c r="AN2681">
        <v>0.99999996324580998</v>
      </c>
    </row>
    <row r="2682" spans="1:40" x14ac:dyDescent="0.25">
      <c r="A2682" t="str">
        <f>"20190305135843596"</f>
        <v>20190305135843596</v>
      </c>
      <c r="B2682" t="str">
        <f>"1551765523591134"</f>
        <v>1551765523591134</v>
      </c>
      <c r="C2682" t="s">
        <v>40</v>
      </c>
      <c r="D2682">
        <v>4.1295440000000001</v>
      </c>
      <c r="E2682">
        <v>0.6108555</v>
      </c>
      <c r="F2682" t="s">
        <v>41</v>
      </c>
      <c r="G2682">
        <v>-474.5718</v>
      </c>
      <c r="H2682">
        <v>0.9421446</v>
      </c>
      <c r="I2682">
        <v>216.25069999999999</v>
      </c>
      <c r="J2682">
        <v>-475.08589999999998</v>
      </c>
      <c r="K2682">
        <v>1.1114219999999999</v>
      </c>
      <c r="L2682">
        <v>216.46610000000001</v>
      </c>
      <c r="M2682">
        <v>0.98274209999999995</v>
      </c>
      <c r="N2682">
        <v>-9.3835229999999995E-3</v>
      </c>
      <c r="O2682">
        <v>-0.1847433</v>
      </c>
      <c r="P2682">
        <v>0.99817719999999999</v>
      </c>
      <c r="Q2682">
        <v>-4.0225799999999999E-2</v>
      </c>
      <c r="R2682">
        <v>-4.4991719999999999E-2</v>
      </c>
      <c r="S2682">
        <v>2.9303279999999998</v>
      </c>
      <c r="T2682">
        <v>-0.71734750000000003</v>
      </c>
      <c r="U2682">
        <v>-1.0288539999999999</v>
      </c>
      <c r="V2682">
        <v>-0.14002329999999999</v>
      </c>
      <c r="W2682">
        <v>-3.1719379999999998E-2</v>
      </c>
      <c r="X2682">
        <v>0.98963999999999996</v>
      </c>
      <c r="Y2682">
        <v>0.15153989999999901</v>
      </c>
      <c r="Z2682">
        <v>2.2609580000000001E-2</v>
      </c>
      <c r="AA2682">
        <v>0.98819250000000003</v>
      </c>
      <c r="AB2682">
        <v>18</v>
      </c>
      <c r="AC2682">
        <v>0.51409999999998401</v>
      </c>
      <c r="AD2682">
        <v>-0.169277399999999</v>
      </c>
      <c r="AE2682">
        <v>-0.215400000000016</v>
      </c>
      <c r="AF2682">
        <v>0.10685612924818801</v>
      </c>
      <c r="AG2682">
        <v>-0.169277399999999</v>
      </c>
      <c r="AH2682">
        <v>0.49902164888478601</v>
      </c>
      <c r="AI2682">
        <v>108.35064203399</v>
      </c>
      <c r="AJ2682">
        <v>77.913704821585696</v>
      </c>
      <c r="AK2682">
        <v>0.53767618188306998</v>
      </c>
      <c r="AL2682">
        <v>91.817691516406299</v>
      </c>
      <c r="AM2682">
        <v>98.053273801783007</v>
      </c>
      <c r="AN2682">
        <v>0.99999998660523703</v>
      </c>
    </row>
    <row r="2683" spans="1:40" x14ac:dyDescent="0.25">
      <c r="A2683" t="str">
        <f>"20190305135843617"</f>
        <v>20190305135843617</v>
      </c>
      <c r="B2683" t="str">
        <f>"1551765523611631"</f>
        <v>1551765523611631</v>
      </c>
      <c r="C2683" t="s">
        <v>40</v>
      </c>
      <c r="D2683">
        <v>4.1299199999999896</v>
      </c>
      <c r="E2683">
        <v>0.60908219999999902</v>
      </c>
      <c r="F2683" t="s">
        <v>41</v>
      </c>
      <c r="G2683">
        <v>-474.4162</v>
      </c>
      <c r="H2683">
        <v>0.93815000000000004</v>
      </c>
      <c r="I2683">
        <v>216.22800000000001</v>
      </c>
      <c r="J2683">
        <v>-474.9083</v>
      </c>
      <c r="K2683">
        <v>1.1113040000000001</v>
      </c>
      <c r="L2683">
        <v>216.43889999999999</v>
      </c>
      <c r="M2683">
        <v>0.98368359999999999</v>
      </c>
      <c r="N2683">
        <v>-9.0721570000000008E-3</v>
      </c>
      <c r="O2683">
        <v>-0.17967929999999999</v>
      </c>
      <c r="P2683">
        <v>0.99816839999999996</v>
      </c>
      <c r="Q2683">
        <v>-4.0152430000000003E-2</v>
      </c>
      <c r="R2683">
        <v>-4.5254509999999998E-2</v>
      </c>
      <c r="S2683">
        <v>2.9280400000000002</v>
      </c>
      <c r="T2683">
        <v>-0.75796960000000002</v>
      </c>
      <c r="U2683">
        <v>-1.040573</v>
      </c>
      <c r="V2683">
        <v>-0.1346707</v>
      </c>
      <c r="W2683">
        <v>-3.1891429999999998E-2</v>
      </c>
      <c r="X2683">
        <v>0.99037710000000001</v>
      </c>
      <c r="Y2683">
        <v>0.16007750000000001</v>
      </c>
      <c r="Z2683">
        <v>2.1798629999999999E-2</v>
      </c>
      <c r="AA2683">
        <v>0.98686370000000001</v>
      </c>
      <c r="AB2683">
        <v>18</v>
      </c>
      <c r="AC2683">
        <v>0.49209999999999299</v>
      </c>
      <c r="AD2683">
        <v>-0.173154</v>
      </c>
      <c r="AE2683">
        <v>-0.210900000000009</v>
      </c>
      <c r="AF2683">
        <v>0.107770868100471</v>
      </c>
      <c r="AG2683">
        <v>-0.173154</v>
      </c>
      <c r="AH2683">
        <v>0.47255752848091298</v>
      </c>
      <c r="AI2683">
        <v>109.659080561222</v>
      </c>
      <c r="AJ2683">
        <v>77.152918689483798</v>
      </c>
      <c r="AK2683">
        <v>0.51469164113196697</v>
      </c>
      <c r="AL2683">
        <v>91.827554164964496</v>
      </c>
      <c r="AM2683">
        <v>97.7435412423836</v>
      </c>
      <c r="AN2683">
        <v>1.0000000304751699</v>
      </c>
    </row>
    <row r="2684" spans="1:40" x14ac:dyDescent="0.25">
      <c r="A2684" t="str">
        <f>"20190305135843637"</f>
        <v>20190305135843637</v>
      </c>
      <c r="B2684" t="str">
        <f>"1551765523631150"</f>
        <v>1551765523631150</v>
      </c>
      <c r="C2684" t="s">
        <v>40</v>
      </c>
      <c r="D2684">
        <v>4.1276760000000001</v>
      </c>
      <c r="E2684">
        <v>0.60684740000000004</v>
      </c>
      <c r="F2684" t="s">
        <v>41</v>
      </c>
      <c r="G2684">
        <v>-474.25540000000001</v>
      </c>
      <c r="H2684">
        <v>0.94223760000000001</v>
      </c>
      <c r="I2684">
        <v>216.21</v>
      </c>
      <c r="J2684">
        <v>-474.7525</v>
      </c>
      <c r="K2684">
        <v>1.111192</v>
      </c>
      <c r="L2684">
        <v>216.41560000000001</v>
      </c>
      <c r="M2684">
        <v>0.98445369999999999</v>
      </c>
      <c r="N2684">
        <v>-8.8068680000000007E-3</v>
      </c>
      <c r="O2684">
        <v>-0.17542389999999999</v>
      </c>
      <c r="P2684">
        <v>0.99829069999999998</v>
      </c>
      <c r="Q2684">
        <v>-3.7445819999999998E-2</v>
      </c>
      <c r="R2684">
        <v>-4.4875199999999997E-2</v>
      </c>
      <c r="S2684">
        <v>2.9284669999999999</v>
      </c>
      <c r="T2684">
        <v>-0.75896169999999996</v>
      </c>
      <c r="U2684">
        <v>-1.0257419999999999</v>
      </c>
      <c r="V2684">
        <v>-0.13080159999999999</v>
      </c>
      <c r="W2684">
        <v>-2.9395319999999999E-2</v>
      </c>
      <c r="X2684">
        <v>0.99097270000000004</v>
      </c>
      <c r="Y2684">
        <v>0.1597693</v>
      </c>
      <c r="Z2684">
        <v>2.096727E-2</v>
      </c>
      <c r="AA2684">
        <v>0.98693169999999997</v>
      </c>
      <c r="AB2684">
        <v>18</v>
      </c>
      <c r="AC2684">
        <v>0.497099999999989</v>
      </c>
      <c r="AD2684">
        <v>-0.16895439999999901</v>
      </c>
      <c r="AE2684">
        <v>-0.205600000000003</v>
      </c>
      <c r="AF2684">
        <v>0.104861003764409</v>
      </c>
      <c r="AG2684">
        <v>-0.16895439999999901</v>
      </c>
      <c r="AH2684">
        <v>0.47827994941962998</v>
      </c>
      <c r="AI2684">
        <v>109.03741723820001</v>
      </c>
      <c r="AJ2684">
        <v>77.633790263319099</v>
      </c>
      <c r="AK2684">
        <v>0.51797020127289395</v>
      </c>
      <c r="AL2684">
        <v>91.684470390466004</v>
      </c>
      <c r="AM2684">
        <v>97.519184102057196</v>
      </c>
      <c r="AN2684">
        <v>1.0000000177728701</v>
      </c>
    </row>
    <row r="2685" spans="1:40" x14ac:dyDescent="0.25">
      <c r="A2685" t="str">
        <f>"20190305135843662"</f>
        <v>20190305135843662</v>
      </c>
      <c r="B2685" t="str">
        <f>"1551765523651646"</f>
        <v>1551765523651646</v>
      </c>
      <c r="C2685" t="s">
        <v>40</v>
      </c>
      <c r="D2685">
        <v>4.086849</v>
      </c>
      <c r="E2685">
        <v>0.60439900000000002</v>
      </c>
      <c r="F2685" t="s">
        <v>41</v>
      </c>
      <c r="G2685">
        <v>-474.09570000000002</v>
      </c>
      <c r="H2685">
        <v>0.94229030000000003</v>
      </c>
      <c r="I2685">
        <v>216.19030000000001</v>
      </c>
      <c r="J2685">
        <v>-474.55779999999999</v>
      </c>
      <c r="K2685">
        <v>1.1110580000000001</v>
      </c>
      <c r="L2685">
        <v>216.38720000000001</v>
      </c>
      <c r="M2685">
        <v>0.98534489999999997</v>
      </c>
      <c r="N2685">
        <v>-8.4881690000000003E-3</v>
      </c>
      <c r="O2685">
        <v>-0.17036229999999999</v>
      </c>
      <c r="P2685">
        <v>0.99850830000000002</v>
      </c>
      <c r="Q2685">
        <v>-3.404074E-2</v>
      </c>
      <c r="R2685">
        <v>-4.2690649999999997E-2</v>
      </c>
      <c r="S2685">
        <v>2.93161</v>
      </c>
      <c r="T2685">
        <v>-0.75433280000000003</v>
      </c>
      <c r="U2685">
        <v>-1.0046999999999999</v>
      </c>
      <c r="V2685">
        <v>-0.12792120000000001</v>
      </c>
      <c r="W2685">
        <v>-2.6251739999999999E-2</v>
      </c>
      <c r="X2685">
        <v>0.99143680000000001</v>
      </c>
      <c r="Y2685">
        <v>0.15811939999999999</v>
      </c>
      <c r="Z2685">
        <v>1.995591E-2</v>
      </c>
      <c r="AA2685">
        <v>0.98721829999999999</v>
      </c>
      <c r="AB2685">
        <v>18</v>
      </c>
      <c r="AC2685">
        <v>0.46209999999996398</v>
      </c>
      <c r="AD2685">
        <v>-0.16876769999999999</v>
      </c>
      <c r="AE2685">
        <v>-0.19689999999999899</v>
      </c>
      <c r="AF2685">
        <v>0.10359897955038801</v>
      </c>
      <c r="AG2685">
        <v>-0.16876769999999999</v>
      </c>
      <c r="AH2685">
        <v>0.43929799760844501</v>
      </c>
      <c r="AI2685">
        <v>110.501715845956</v>
      </c>
      <c r="AJ2685">
        <v>76.730472895224295</v>
      </c>
      <c r="AK2685">
        <v>0.48186929330469003</v>
      </c>
      <c r="AL2685">
        <v>91.504286784908402</v>
      </c>
      <c r="AM2685">
        <v>97.352030959472799</v>
      </c>
      <c r="AN2685">
        <v>0.99999995782835205</v>
      </c>
    </row>
    <row r="2686" spans="1:40" x14ac:dyDescent="0.25">
      <c r="A2686" t="str">
        <f>"20190305135843682"</f>
        <v>20190305135843682</v>
      </c>
      <c r="B2686" t="str">
        <f>"1551765523672142"</f>
        <v>1551765523672142</v>
      </c>
      <c r="C2686" t="s">
        <v>40</v>
      </c>
      <c r="D2686">
        <v>4.0079399999999996</v>
      </c>
      <c r="E2686">
        <v>0.60157299999999903</v>
      </c>
      <c r="F2686" t="s">
        <v>41</v>
      </c>
      <c r="G2686">
        <v>-473.78730000000002</v>
      </c>
      <c r="H2686">
        <v>0.91804180000000002</v>
      </c>
      <c r="I2686">
        <v>216.13040000000001</v>
      </c>
      <c r="J2686">
        <v>-474.38780000000003</v>
      </c>
      <c r="K2686">
        <v>1.1109450000000001</v>
      </c>
      <c r="L2686">
        <v>216.3629</v>
      </c>
      <c r="M2686">
        <v>0.98606340000000003</v>
      </c>
      <c r="N2686">
        <v>-8.2290039999999998E-3</v>
      </c>
      <c r="O2686">
        <v>-0.1661667</v>
      </c>
      <c r="P2686">
        <v>0.99874130000000005</v>
      </c>
      <c r="Q2686">
        <v>-3.017158E-2</v>
      </c>
      <c r="R2686">
        <v>-4.0068390000000002E-2</v>
      </c>
      <c r="S2686">
        <v>2.9375610000000001</v>
      </c>
      <c r="T2686">
        <v>-0.7362438</v>
      </c>
      <c r="U2686">
        <v>-0.97821040000000004</v>
      </c>
      <c r="V2686">
        <v>-0.12634819999999999</v>
      </c>
      <c r="W2686">
        <v>-2.25991E-2</v>
      </c>
      <c r="X2686">
        <v>0.99172850000000001</v>
      </c>
      <c r="Y2686">
        <v>0.15374499999999999</v>
      </c>
      <c r="Z2686">
        <v>1.9094880000000002E-2</v>
      </c>
      <c r="AA2686">
        <v>0.98792610000000003</v>
      </c>
      <c r="AB2686">
        <v>18</v>
      </c>
      <c r="AC2686">
        <v>0.60050000000001003</v>
      </c>
      <c r="AD2686">
        <v>-0.1929032</v>
      </c>
      <c r="AE2686">
        <v>-0.23249999999998699</v>
      </c>
      <c r="AF2686">
        <v>0.118818165360844</v>
      </c>
      <c r="AG2686">
        <v>-0.1929032</v>
      </c>
      <c r="AH2686">
        <v>0.57884048782158404</v>
      </c>
      <c r="AI2686">
        <v>108.079340388278</v>
      </c>
      <c r="AJ2686">
        <v>78.400068646780497</v>
      </c>
      <c r="AK2686">
        <v>0.62159931735120699</v>
      </c>
      <c r="AL2686">
        <v>91.294943289146403</v>
      </c>
      <c r="AM2686">
        <v>97.260483532007299</v>
      </c>
      <c r="AN2686">
        <v>1.0000000023381499</v>
      </c>
    </row>
    <row r="2687" spans="1:40" x14ac:dyDescent="0.25">
      <c r="A2687" t="str">
        <f>"20190305135843706"</f>
        <v>20190305135843706</v>
      </c>
      <c r="B2687" t="str">
        <f>"1551765523701422"</f>
        <v>1551765523701422</v>
      </c>
      <c r="C2687" t="s">
        <v>40</v>
      </c>
      <c r="D2687">
        <v>4.1374610000000001</v>
      </c>
      <c r="E2687">
        <v>0.59872049999999999</v>
      </c>
      <c r="F2687" t="s">
        <v>41</v>
      </c>
      <c r="G2687">
        <v>-473.62110000000001</v>
      </c>
      <c r="H2687">
        <v>0.9249868</v>
      </c>
      <c r="I2687">
        <v>216.1156</v>
      </c>
      <c r="J2687">
        <v>-474.19720000000001</v>
      </c>
      <c r="K2687">
        <v>1.1108290000000001</v>
      </c>
      <c r="L2687">
        <v>216.33629999999999</v>
      </c>
      <c r="M2687">
        <v>0.98681039999999998</v>
      </c>
      <c r="N2687">
        <v>-7.9680129999999995E-3</v>
      </c>
      <c r="O2687">
        <v>-0.161684299999999</v>
      </c>
      <c r="P2687">
        <v>0.99890769999999995</v>
      </c>
      <c r="Q2687">
        <v>-2.76099E-2</v>
      </c>
      <c r="R2687">
        <v>-3.769877E-2</v>
      </c>
      <c r="S2687">
        <v>2.944153</v>
      </c>
      <c r="T2687">
        <v>-0.71478009999999903</v>
      </c>
      <c r="U2687">
        <v>-0.94825740000000003</v>
      </c>
      <c r="V2687">
        <v>-0.1242214</v>
      </c>
      <c r="W2687">
        <v>-2.0256840000000002E-2</v>
      </c>
      <c r="X2687">
        <v>0.99204769999999998</v>
      </c>
      <c r="Y2687">
        <v>0.14853250000000001</v>
      </c>
      <c r="Z2687">
        <v>1.819643E-2</v>
      </c>
      <c r="AA2687">
        <v>0.98874010000000001</v>
      </c>
      <c r="AB2687">
        <v>18</v>
      </c>
      <c r="AC2687">
        <v>0.57609999999999595</v>
      </c>
      <c r="AD2687">
        <v>-0.18584220000000001</v>
      </c>
      <c r="AE2687">
        <v>-0.22069999999999301</v>
      </c>
      <c r="AF2687">
        <v>0.114276702391893</v>
      </c>
      <c r="AG2687">
        <v>-0.18584220000000001</v>
      </c>
      <c r="AH2687">
        <v>0.55393757707818403</v>
      </c>
      <c r="AI2687">
        <v>108.18917662842399</v>
      </c>
      <c r="AJ2687">
        <v>78.343473032400794</v>
      </c>
      <c r="AK2687">
        <v>0.59535143176921501</v>
      </c>
      <c r="AL2687">
        <v>91.160710866241999</v>
      </c>
      <c r="AM2687">
        <v>97.137267203395595</v>
      </c>
      <c r="AN2687">
        <v>0.99999996743001696</v>
      </c>
    </row>
    <row r="2688" spans="1:40" x14ac:dyDescent="0.25">
      <c r="A2688" t="str">
        <f>"20190305135843727"</f>
        <v>20190305135843727</v>
      </c>
      <c r="B2688" t="str">
        <f>"1551765523721918"</f>
        <v>1551765523721918</v>
      </c>
      <c r="C2688" t="s">
        <v>40</v>
      </c>
      <c r="D2688">
        <v>4.1296499999999998</v>
      </c>
      <c r="E2688">
        <v>0.59701839999999995</v>
      </c>
      <c r="F2688" t="s">
        <v>41</v>
      </c>
      <c r="G2688">
        <v>-473.45269999999999</v>
      </c>
      <c r="H2688">
        <v>0.93404050000000005</v>
      </c>
      <c r="I2688">
        <v>216.1044</v>
      </c>
      <c r="J2688">
        <v>-474.02420000000001</v>
      </c>
      <c r="K2688">
        <v>1.110744</v>
      </c>
      <c r="L2688">
        <v>216.3126</v>
      </c>
      <c r="M2688">
        <v>0.98743760000000003</v>
      </c>
      <c r="N2688">
        <v>-7.7554709999999999E-3</v>
      </c>
      <c r="O2688">
        <v>-0.1578193</v>
      </c>
      <c r="P2688">
        <v>0.99895849999999997</v>
      </c>
      <c r="Q2688">
        <v>-2.6433740000000001E-2</v>
      </c>
      <c r="R2688">
        <v>-3.7193400000000001E-2</v>
      </c>
      <c r="S2688">
        <v>2.9492189999999998</v>
      </c>
      <c r="T2688">
        <v>-0.70043180000000005</v>
      </c>
      <c r="U2688">
        <v>-0.91850279999999995</v>
      </c>
      <c r="V2688">
        <v>-0.12085170000000001</v>
      </c>
      <c r="W2688">
        <v>-1.9252180000000001E-2</v>
      </c>
      <c r="X2688">
        <v>0.99248389999999997</v>
      </c>
      <c r="Y2688">
        <v>0.14290220000000001</v>
      </c>
      <c r="Z2688">
        <v>1.7687479999999998E-2</v>
      </c>
      <c r="AA2688">
        <v>0.98957879999999998</v>
      </c>
      <c r="AB2688">
        <v>18</v>
      </c>
      <c r="AC2688">
        <v>0.571500000000014</v>
      </c>
      <c r="AD2688">
        <v>-0.17670349999999899</v>
      </c>
      <c r="AE2688">
        <v>-0.20820000000000499</v>
      </c>
      <c r="AF2688">
        <v>0.106413107710562</v>
      </c>
      <c r="AG2688">
        <v>-0.17670349999999899</v>
      </c>
      <c r="AH2688">
        <v>0.55071668667200202</v>
      </c>
      <c r="AI2688">
        <v>107.48618649358301</v>
      </c>
      <c r="AJ2688">
        <v>79.063710258142294</v>
      </c>
      <c r="AK2688">
        <v>0.58807885983417096</v>
      </c>
      <c r="AL2688">
        <v>91.103136773715093</v>
      </c>
      <c r="AM2688">
        <v>96.942551960169098</v>
      </c>
      <c r="AN2688">
        <v>1.00000003579342</v>
      </c>
    </row>
    <row r="2689" spans="1:40" x14ac:dyDescent="0.25">
      <c r="A2689" t="str">
        <f>"20190305135843750"</f>
        <v>20190305135843750</v>
      </c>
      <c r="B2689" t="str">
        <f>"1551765523741438"</f>
        <v>1551765523741438</v>
      </c>
      <c r="C2689" t="s">
        <v>40</v>
      </c>
      <c r="D2689">
        <v>4.1411860000000003</v>
      </c>
      <c r="E2689">
        <v>0.59540109999999902</v>
      </c>
      <c r="F2689" t="s">
        <v>41</v>
      </c>
      <c r="G2689">
        <v>-473.2867</v>
      </c>
      <c r="H2689">
        <v>0.93732329999999997</v>
      </c>
      <c r="I2689">
        <v>216.08680000000001</v>
      </c>
      <c r="J2689">
        <v>-473.8365</v>
      </c>
      <c r="K2689">
        <v>1.110649</v>
      </c>
      <c r="L2689">
        <v>216.28739999999999</v>
      </c>
      <c r="M2689">
        <v>0.98806289999999997</v>
      </c>
      <c r="N2689">
        <v>-7.5433779999999999E-3</v>
      </c>
      <c r="O2689">
        <v>-0.15386639999999999</v>
      </c>
      <c r="P2689">
        <v>0.99901419999999996</v>
      </c>
      <c r="Q2689">
        <v>-2.5266429999999999E-2</v>
      </c>
      <c r="R2689">
        <v>-3.6501100000000002E-2</v>
      </c>
      <c r="S2689">
        <v>2.9511720000000001</v>
      </c>
      <c r="T2689">
        <v>-0.69437159999999998</v>
      </c>
      <c r="U2689">
        <v>-0.9020996</v>
      </c>
      <c r="V2689">
        <v>-0.1175797</v>
      </c>
      <c r="W2689">
        <v>-1.8255070000000002E-2</v>
      </c>
      <c r="X2689">
        <v>0.99289570000000005</v>
      </c>
      <c r="Y2689">
        <v>0.1416055</v>
      </c>
      <c r="Z2689">
        <v>1.6880309999999999E-2</v>
      </c>
      <c r="AA2689">
        <v>0.98977919999999997</v>
      </c>
      <c r="AB2689">
        <v>19</v>
      </c>
      <c r="AC2689">
        <v>0.54980000000000395</v>
      </c>
      <c r="AD2689">
        <v>-0.1733257</v>
      </c>
      <c r="AE2689">
        <v>-0.20059999999997999</v>
      </c>
      <c r="AF2689">
        <v>0.104451648738077</v>
      </c>
      <c r="AG2689">
        <v>-0.1733257</v>
      </c>
      <c r="AH2689">
        <v>0.52782444243940596</v>
      </c>
      <c r="AI2689">
        <v>107.855342199324</v>
      </c>
      <c r="AJ2689">
        <v>78.806309797866504</v>
      </c>
      <c r="AK2689">
        <v>0.56528805687106298</v>
      </c>
      <c r="AL2689">
        <v>91.045996512507799</v>
      </c>
      <c r="AM2689">
        <v>96.753570965510804</v>
      </c>
      <c r="AN2689">
        <v>1.00000005225564</v>
      </c>
    </row>
    <row r="2690" spans="1:40" x14ac:dyDescent="0.25">
      <c r="A2690" t="str">
        <f>"20190305135843772"</f>
        <v>20190305135843772</v>
      </c>
      <c r="B2690" t="str">
        <f>"1551765523761934"</f>
        <v>1551765523761934</v>
      </c>
      <c r="C2690" t="s">
        <v>40</v>
      </c>
      <c r="D2690">
        <v>4.0344989999999896</v>
      </c>
      <c r="E2690">
        <v>0.59394840000000004</v>
      </c>
      <c r="F2690" t="s">
        <v>41</v>
      </c>
      <c r="G2690">
        <v>-473.11860000000001</v>
      </c>
      <c r="H2690">
        <v>0.94267959999999995</v>
      </c>
      <c r="I2690">
        <v>216.07159999999999</v>
      </c>
      <c r="J2690">
        <v>-473.6567</v>
      </c>
      <c r="K2690">
        <v>1.1105419999999999</v>
      </c>
      <c r="L2690">
        <v>216.2636</v>
      </c>
      <c r="M2690">
        <v>0.98860749999999997</v>
      </c>
      <c r="N2690">
        <v>-7.3543169999999904E-3</v>
      </c>
      <c r="O2690">
        <v>-0.150337</v>
      </c>
      <c r="P2690">
        <v>0.99906019999999895</v>
      </c>
      <c r="Q2690">
        <v>-2.4667270000000002E-2</v>
      </c>
      <c r="R2690">
        <v>-3.5644490000000001E-2</v>
      </c>
      <c r="S2690">
        <v>2.9530639999999999</v>
      </c>
      <c r="T2690">
        <v>-0.6911813</v>
      </c>
      <c r="U2690">
        <v>-0.88673400000000002</v>
      </c>
      <c r="V2690">
        <v>-0.11489340000000001</v>
      </c>
      <c r="W2690">
        <v>-1.7803670000000001E-2</v>
      </c>
      <c r="X2690">
        <v>0.99321820000000005</v>
      </c>
      <c r="Y2690">
        <v>0.14020940000000001</v>
      </c>
      <c r="Z2690">
        <v>1.6250750000000001E-2</v>
      </c>
      <c r="AA2690">
        <v>0.98998850000000005</v>
      </c>
      <c r="AB2690">
        <v>19</v>
      </c>
      <c r="AC2690">
        <v>0.53809999999998503</v>
      </c>
      <c r="AD2690">
        <v>-0.167862399999999</v>
      </c>
      <c r="AE2690">
        <v>-0.192000000000007</v>
      </c>
      <c r="AF2690">
        <v>0.10026396702507701</v>
      </c>
      <c r="AG2690">
        <v>-0.167862399999999</v>
      </c>
      <c r="AH2690">
        <v>0.51628159979886101</v>
      </c>
      <c r="AI2690">
        <v>107.701738131591</v>
      </c>
      <c r="AJ2690">
        <v>79.009732677436901</v>
      </c>
      <c r="AK2690">
        <v>0.55206642599259503</v>
      </c>
      <c r="AL2690">
        <v>91.020129120543302</v>
      </c>
      <c r="AM2690">
        <v>96.598527538943202</v>
      </c>
      <c r="AN2690">
        <v>0.99999992842013197</v>
      </c>
    </row>
    <row r="2691" spans="1:40" x14ac:dyDescent="0.25">
      <c r="A2691" t="str">
        <f>"20190305135843797"</f>
        <v>20190305135843797</v>
      </c>
      <c r="B2691" t="str">
        <f>"1551765523791213"</f>
        <v>1551765523791213</v>
      </c>
      <c r="C2691" t="s">
        <v>40</v>
      </c>
      <c r="D2691">
        <v>4.160355</v>
      </c>
      <c r="E2691">
        <v>0.57651479999999999</v>
      </c>
      <c r="F2691" t="s">
        <v>41</v>
      </c>
      <c r="G2691">
        <v>-472.9502</v>
      </c>
      <c r="H2691">
        <v>0.94656309999999999</v>
      </c>
      <c r="I2691">
        <v>216.05459999999999</v>
      </c>
      <c r="J2691">
        <v>-473.4556</v>
      </c>
      <c r="K2691">
        <v>1.110387</v>
      </c>
      <c r="L2691">
        <v>216.23750000000001</v>
      </c>
      <c r="M2691">
        <v>0.98915759999999997</v>
      </c>
      <c r="N2691">
        <v>-7.1555799999999999E-3</v>
      </c>
      <c r="O2691">
        <v>-0.14668410000000001</v>
      </c>
      <c r="P2691">
        <v>0.99911890000000003</v>
      </c>
      <c r="Q2691">
        <v>-2.41491E-2</v>
      </c>
      <c r="R2691">
        <v>-3.4325979999999999E-2</v>
      </c>
      <c r="S2691">
        <v>2.954742</v>
      </c>
      <c r="T2691">
        <v>-0.68632130000000002</v>
      </c>
      <c r="U2691">
        <v>-0.87287899999999996</v>
      </c>
      <c r="V2691">
        <v>-0.1125433</v>
      </c>
      <c r="W2691">
        <v>-1.7436009999999998E-2</v>
      </c>
      <c r="X2691">
        <v>0.99349390000000004</v>
      </c>
      <c r="Y2691">
        <v>0.13939480000000001</v>
      </c>
      <c r="Z2691">
        <v>1.5491319999999999E-2</v>
      </c>
      <c r="AA2691">
        <v>0.99011570000000004</v>
      </c>
      <c r="AB2691">
        <v>19</v>
      </c>
      <c r="AC2691">
        <v>0.50540000000000795</v>
      </c>
      <c r="AD2691">
        <v>-0.16382389999999999</v>
      </c>
      <c r="AE2691">
        <v>-0.18290000000001699</v>
      </c>
      <c r="AF2691">
        <v>9.7708032168256201E-2</v>
      </c>
      <c r="AG2691">
        <v>-0.16382389999999999</v>
      </c>
      <c r="AH2691">
        <v>0.48198394550358697</v>
      </c>
      <c r="AI2691">
        <v>108.423894855163</v>
      </c>
      <c r="AJ2691">
        <v>78.540267536305095</v>
      </c>
      <c r="AK2691">
        <v>0.51835668557915604</v>
      </c>
      <c r="AL2691">
        <v>90.999060341354394</v>
      </c>
      <c r="AM2691">
        <v>96.462932766905794</v>
      </c>
      <c r="AN2691">
        <v>1.0000000690783999</v>
      </c>
    </row>
    <row r="2692" spans="1:40" x14ac:dyDescent="0.25">
      <c r="A2692" t="str">
        <f>"20190305135843820"</f>
        <v>20190305135843820</v>
      </c>
      <c r="B2692" t="str">
        <f>"1551765523811710"</f>
        <v>1551765523811710</v>
      </c>
      <c r="C2692" t="s">
        <v>40</v>
      </c>
      <c r="D2692">
        <v>4.1171170000000004</v>
      </c>
      <c r="E2692">
        <v>0.57312869999999905</v>
      </c>
      <c r="F2692" t="s">
        <v>41</v>
      </c>
      <c r="G2692">
        <v>-472.77229999999997</v>
      </c>
      <c r="H2692">
        <v>0.95951039999999999</v>
      </c>
      <c r="I2692">
        <v>216.06899999999999</v>
      </c>
      <c r="J2692">
        <v>-473.25830000000002</v>
      </c>
      <c r="K2692">
        <v>1.1102099999999999</v>
      </c>
      <c r="L2692">
        <v>216.2123</v>
      </c>
      <c r="M2692">
        <v>0.98963570000000001</v>
      </c>
      <c r="N2692">
        <v>-6.9668300000000002E-3</v>
      </c>
      <c r="O2692">
        <v>-0.1434328</v>
      </c>
      <c r="P2692">
        <v>0.9990848</v>
      </c>
      <c r="Q2692">
        <v>-2.634266E-2</v>
      </c>
      <c r="R2692">
        <v>-3.3704419999999999E-2</v>
      </c>
      <c r="S2692">
        <v>2.9617610000000001</v>
      </c>
      <c r="T2692">
        <v>-0.65437339999999999</v>
      </c>
      <c r="U2692">
        <v>-0.72933959999999998</v>
      </c>
      <c r="V2692">
        <v>-0.1098876</v>
      </c>
      <c r="W2692">
        <v>-1.9766140000000001E-2</v>
      </c>
      <c r="X2692">
        <v>0.99374750000000001</v>
      </c>
      <c r="Y2692">
        <v>9.8088930000000005E-2</v>
      </c>
      <c r="Z2692">
        <v>1.8768799999999999E-2</v>
      </c>
      <c r="AA2692">
        <v>0.99500069999999996</v>
      </c>
      <c r="AB2692">
        <v>19</v>
      </c>
      <c r="AC2692">
        <v>0.48600000000004601</v>
      </c>
      <c r="AD2692">
        <v>-0.15069959999999999</v>
      </c>
      <c r="AE2692">
        <v>-0.143299999999982</v>
      </c>
      <c r="AF2692">
        <v>6.62479144371175E-2</v>
      </c>
      <c r="AG2692">
        <v>-0.15069959999999999</v>
      </c>
      <c r="AH2692">
        <v>0.46076938211823698</v>
      </c>
      <c r="AI2692">
        <v>107.93841938852999</v>
      </c>
      <c r="AJ2692">
        <v>81.818269687656596</v>
      </c>
      <c r="AK2692">
        <v>0.48929293792681</v>
      </c>
      <c r="AL2692">
        <v>91.1325901134188</v>
      </c>
      <c r="AM2692">
        <v>96.3100737967643</v>
      </c>
      <c r="AN2692">
        <v>1.0000000393402499</v>
      </c>
    </row>
    <row r="2693" spans="1:40" x14ac:dyDescent="0.25">
      <c r="A2693" t="str">
        <f>"20190305135843839"</f>
        <v>20190305135843839</v>
      </c>
      <c r="B2693" t="str">
        <f>"1551765523831230"</f>
        <v>1551765523831230</v>
      </c>
      <c r="C2693" t="s">
        <v>40</v>
      </c>
      <c r="D2693">
        <v>4.1328430000000003</v>
      </c>
      <c r="E2693">
        <v>0.57064040000000005</v>
      </c>
      <c r="F2693" t="s">
        <v>41</v>
      </c>
      <c r="G2693">
        <v>-472.45209999999997</v>
      </c>
      <c r="H2693">
        <v>0.92689310000000003</v>
      </c>
      <c r="I2693">
        <v>216.0214</v>
      </c>
      <c r="J2693">
        <v>-473.09699999999998</v>
      </c>
      <c r="K2693">
        <v>1.1100479999999999</v>
      </c>
      <c r="L2693">
        <v>216.1918</v>
      </c>
      <c r="M2693">
        <v>0.989985</v>
      </c>
      <c r="N2693">
        <v>-6.808766E-3</v>
      </c>
      <c r="O2693">
        <v>-0.14100889999999999</v>
      </c>
      <c r="P2693">
        <v>0.99903839999999999</v>
      </c>
      <c r="Q2693">
        <v>-2.7842019999999999E-2</v>
      </c>
      <c r="R2693">
        <v>-3.386865E-2</v>
      </c>
      <c r="S2693">
        <v>2.9613339999999999</v>
      </c>
      <c r="T2693">
        <v>-0.67345500000000003</v>
      </c>
      <c r="U2693">
        <v>-0.70080569999999998</v>
      </c>
      <c r="V2693">
        <v>-0.10728600000000001</v>
      </c>
      <c r="W2693">
        <v>-2.1379160000000001E-2</v>
      </c>
      <c r="X2693">
        <v>0.9939983</v>
      </c>
      <c r="Y2693">
        <v>9.1663099999999997E-2</v>
      </c>
      <c r="Z2693">
        <v>1.962363E-2</v>
      </c>
      <c r="AA2693">
        <v>0.9955967</v>
      </c>
      <c r="AB2693">
        <v>19</v>
      </c>
      <c r="AC2693">
        <v>0.64490000000000602</v>
      </c>
      <c r="AD2693">
        <v>-0.18315489999999901</v>
      </c>
      <c r="AE2693">
        <v>-0.1704</v>
      </c>
      <c r="AF2693">
        <v>7.2307004468002797E-2</v>
      </c>
      <c r="AG2693">
        <v>-0.18315489999999901</v>
      </c>
      <c r="AH2693">
        <v>0.61603826049228505</v>
      </c>
      <c r="AI2693">
        <v>106.45101973431601</v>
      </c>
      <c r="AJ2693">
        <v>83.305583316451006</v>
      </c>
      <c r="AK2693">
        <v>0.64674350300525296</v>
      </c>
      <c r="AL2693">
        <v>91.225028985488805</v>
      </c>
      <c r="AM2693">
        <v>96.160302385665702</v>
      </c>
      <c r="AN2693">
        <v>0.99999998734059703</v>
      </c>
    </row>
    <row r="2694" spans="1:40" x14ac:dyDescent="0.25">
      <c r="A2694" t="str">
        <f>"20190305135843862"</f>
        <v>20190305135843862</v>
      </c>
      <c r="B2694" t="str">
        <f>"1551765523851726"</f>
        <v>1551765523851726</v>
      </c>
      <c r="C2694" t="s">
        <v>40</v>
      </c>
      <c r="D2694">
        <v>4.1211529999999996</v>
      </c>
      <c r="E2694">
        <v>0.56903669999999995</v>
      </c>
      <c r="F2694" t="s">
        <v>41</v>
      </c>
      <c r="G2694">
        <v>-472.28309999999999</v>
      </c>
      <c r="H2694">
        <v>0.92370189999999996</v>
      </c>
      <c r="I2694">
        <v>216.00399999999999</v>
      </c>
      <c r="J2694">
        <v>-472.90300000000002</v>
      </c>
      <c r="K2694">
        <v>1.1098870000000001</v>
      </c>
      <c r="L2694">
        <v>216.16749999999999</v>
      </c>
      <c r="M2694">
        <v>0.99036199999999996</v>
      </c>
      <c r="N2694">
        <v>-6.6181310000000002E-3</v>
      </c>
      <c r="O2694">
        <v>-0.13834549999999901</v>
      </c>
      <c r="P2694">
        <v>0.99904300000000001</v>
      </c>
      <c r="Q2694">
        <v>-2.8391929999999999E-2</v>
      </c>
      <c r="R2694">
        <v>-3.327505E-2</v>
      </c>
      <c r="S2694">
        <v>2.9609070000000002</v>
      </c>
      <c r="T2694">
        <v>-0.67834269999999997</v>
      </c>
      <c r="U2694">
        <v>-0.68151859999999997</v>
      </c>
      <c r="V2694">
        <v>-0.1052058</v>
      </c>
      <c r="W2694">
        <v>-2.2078230000000001E-2</v>
      </c>
      <c r="X2694">
        <v>0.99420540000000002</v>
      </c>
      <c r="Y2694">
        <v>8.8272799999999998E-2</v>
      </c>
      <c r="Z2694">
        <v>1.964954E-2</v>
      </c>
      <c r="AA2694">
        <v>0.99590250000000002</v>
      </c>
      <c r="AB2694">
        <v>19</v>
      </c>
      <c r="AC2694">
        <v>0.61990000000002898</v>
      </c>
      <c r="AD2694">
        <v>-0.18618509999999999</v>
      </c>
      <c r="AE2694">
        <v>-0.16349999999997</v>
      </c>
      <c r="AF2694">
        <v>7.0241248548152002E-2</v>
      </c>
      <c r="AG2694">
        <v>-0.18618509999999999</v>
      </c>
      <c r="AH2694">
        <v>0.58704661879284803</v>
      </c>
      <c r="AI2694">
        <v>107.47970269865</v>
      </c>
      <c r="AJ2694">
        <v>83.176888428642698</v>
      </c>
      <c r="AK2694">
        <v>0.61985680370205498</v>
      </c>
      <c r="AL2694">
        <v>91.265092135747295</v>
      </c>
      <c r="AM2694">
        <v>96.040501316184901</v>
      </c>
      <c r="AN2694">
        <v>1.00000004299136</v>
      </c>
    </row>
    <row r="2695" spans="1:40" x14ac:dyDescent="0.25">
      <c r="A2695" t="str">
        <f>"20190305135843883"</f>
        <v>20190305135843883</v>
      </c>
      <c r="B2695" t="str">
        <f>"1551765523871249"</f>
        <v>1551765523871249</v>
      </c>
      <c r="C2695" t="s">
        <v>40</v>
      </c>
      <c r="D2695">
        <v>3.9488970000000001</v>
      </c>
      <c r="E2695">
        <v>0.56796969999999902</v>
      </c>
      <c r="F2695" t="s">
        <v>41</v>
      </c>
      <c r="G2695">
        <v>-472.10939999999999</v>
      </c>
      <c r="H2695">
        <v>0.92750999999999995</v>
      </c>
      <c r="I2695">
        <v>215.98859999999999</v>
      </c>
      <c r="J2695">
        <v>-472.71730000000002</v>
      </c>
      <c r="K2695">
        <v>1.1097549999999901</v>
      </c>
      <c r="L2695">
        <v>216.14439999999999</v>
      </c>
      <c r="M2695">
        <v>0.99068480000000003</v>
      </c>
      <c r="N2695">
        <v>-6.4341650000000004E-3</v>
      </c>
      <c r="O2695">
        <v>-0.13602310000000001</v>
      </c>
      <c r="P2695">
        <v>0.99904890000000002</v>
      </c>
      <c r="Q2695">
        <v>-2.786508E-2</v>
      </c>
      <c r="R2695">
        <v>-3.3539480000000003E-2</v>
      </c>
      <c r="S2695">
        <v>2.9612729999999998</v>
      </c>
      <c r="T2695">
        <v>-0.68069269999999904</v>
      </c>
      <c r="U2695">
        <v>-0.66693119999999995</v>
      </c>
      <c r="V2695">
        <v>-0.1026193</v>
      </c>
      <c r="W2695">
        <v>-2.1701270000000002E-2</v>
      </c>
      <c r="X2695">
        <v>0.99448389999999998</v>
      </c>
      <c r="Y2695">
        <v>8.5938860000000006E-2</v>
      </c>
      <c r="Z2695">
        <v>1.9535139999999999E-2</v>
      </c>
      <c r="AA2695">
        <v>0.99610889999999996</v>
      </c>
      <c r="AB2695">
        <v>19</v>
      </c>
      <c r="AC2695">
        <v>0.60790000000002897</v>
      </c>
      <c r="AD2695">
        <v>-0.18224499999999899</v>
      </c>
      <c r="AE2695">
        <v>-0.15579999999999899</v>
      </c>
      <c r="AF2695">
        <v>6.6088065601815099E-2</v>
      </c>
      <c r="AG2695">
        <v>-0.18224499999999899</v>
      </c>
      <c r="AH2695">
        <v>0.57495281626656802</v>
      </c>
      <c r="AI2695">
        <v>107.479233994274</v>
      </c>
      <c r="AJ2695">
        <v>83.442902529477394</v>
      </c>
      <c r="AK2695">
        <v>0.60675498627769597</v>
      </c>
      <c r="AL2695">
        <v>91.243488863002895</v>
      </c>
      <c r="AM2695">
        <v>95.891414148767794</v>
      </c>
      <c r="AN2695">
        <v>0.99999994660565505</v>
      </c>
    </row>
    <row r="2696" spans="1:40" x14ac:dyDescent="0.25">
      <c r="A2696" t="str">
        <f>"20190305135843908"</f>
        <v>20190305135843908</v>
      </c>
      <c r="B2696" t="str">
        <f>"1551765523901503"</f>
        <v>1551765523901503</v>
      </c>
      <c r="C2696" t="s">
        <v>40</v>
      </c>
      <c r="D2696">
        <v>4.0753170000000001</v>
      </c>
      <c r="E2696">
        <v>0.56680339999999996</v>
      </c>
      <c r="F2696" t="s">
        <v>41</v>
      </c>
      <c r="G2696">
        <v>-471.93430000000001</v>
      </c>
      <c r="H2696">
        <v>0.93261810000000001</v>
      </c>
      <c r="I2696">
        <v>215.96979999999999</v>
      </c>
      <c r="J2696">
        <v>-472.5018</v>
      </c>
      <c r="K2696">
        <v>1.1096090000000001</v>
      </c>
      <c r="L2696">
        <v>216.11779999999999</v>
      </c>
      <c r="M2696">
        <v>0.99101689999999998</v>
      </c>
      <c r="N2696">
        <v>-6.2061989999999999E-3</v>
      </c>
      <c r="O2696">
        <v>-0.13359219999999999</v>
      </c>
      <c r="P2696">
        <v>0.9990329</v>
      </c>
      <c r="Q2696">
        <v>-2.8132540000000001E-2</v>
      </c>
      <c r="R2696">
        <v>-3.3787909999999997E-2</v>
      </c>
      <c r="S2696">
        <v>2.9619749999999998</v>
      </c>
      <c r="T2696">
        <v>-0.67043830000000004</v>
      </c>
      <c r="U2696">
        <v>-0.65939329999999996</v>
      </c>
      <c r="V2696">
        <v>-9.9935259999999998E-2</v>
      </c>
      <c r="W2696">
        <v>-2.216591E-2</v>
      </c>
      <c r="X2696">
        <v>0.99474700000000005</v>
      </c>
      <c r="Y2696">
        <v>8.5843630000000004E-2</v>
      </c>
      <c r="Z2696">
        <v>1.8769729999999998E-2</v>
      </c>
      <c r="AA2696">
        <v>0.99613180000000001</v>
      </c>
      <c r="AB2696">
        <v>19</v>
      </c>
      <c r="AC2696">
        <v>0.56749999999999501</v>
      </c>
      <c r="AD2696">
        <v>-0.17699090000000001</v>
      </c>
      <c r="AE2696">
        <v>-0.147999999999996</v>
      </c>
      <c r="AF2696">
        <v>6.4943630823217496E-2</v>
      </c>
      <c r="AG2696">
        <v>-0.17699090000000001</v>
      </c>
      <c r="AH2696">
        <v>0.53358898608426297</v>
      </c>
      <c r="AI2696">
        <v>108.22511581423799</v>
      </c>
      <c r="AJ2696">
        <v>83.060606726090299</v>
      </c>
      <c r="AK2696">
        <v>0.56591577106292401</v>
      </c>
      <c r="AL2696">
        <v>91.270117127929595</v>
      </c>
      <c r="AM2696">
        <v>95.736856776400899</v>
      </c>
      <c r="AN2696">
        <v>0.99999998888319697</v>
      </c>
    </row>
    <row r="2697" spans="1:40" x14ac:dyDescent="0.25">
      <c r="A2697" t="str">
        <f>"20190305135843927"</f>
        <v>20190305135843927</v>
      </c>
      <c r="B2697" t="str">
        <f>"1551765523921022"</f>
        <v>1551765523921022</v>
      </c>
      <c r="C2697" t="s">
        <v>40</v>
      </c>
      <c r="D2697">
        <v>4.0520319999999996</v>
      </c>
      <c r="E2697">
        <v>0.56619010000000003</v>
      </c>
      <c r="F2697" t="s">
        <v>41</v>
      </c>
      <c r="G2697">
        <v>-471.75650000000002</v>
      </c>
      <c r="H2697">
        <v>0.9401062</v>
      </c>
      <c r="I2697">
        <v>215.95400000000001</v>
      </c>
      <c r="J2697">
        <v>-472.33699999999999</v>
      </c>
      <c r="K2697">
        <v>1.1094999999999999</v>
      </c>
      <c r="L2697">
        <v>216.0976</v>
      </c>
      <c r="M2697">
        <v>0.99124409999999996</v>
      </c>
      <c r="N2697">
        <v>-6.0155599999999997E-3</v>
      </c>
      <c r="O2697">
        <v>-0.131905299999999</v>
      </c>
      <c r="P2697">
        <v>0.99896209999999996</v>
      </c>
      <c r="Q2697">
        <v>-2.950123E-2</v>
      </c>
      <c r="R2697">
        <v>-3.4707080000000001E-2</v>
      </c>
      <c r="S2697">
        <v>2.9619450000000001</v>
      </c>
      <c r="T2697">
        <v>-0.67378319999999903</v>
      </c>
      <c r="U2697">
        <v>-0.65039060000000004</v>
      </c>
      <c r="V2697">
        <v>-9.7321229999999995E-2</v>
      </c>
      <c r="W2697">
        <v>-2.3703769999999999E-2</v>
      </c>
      <c r="X2697">
        <v>0.99497069999999999</v>
      </c>
      <c r="Y2697">
        <v>8.4664310000000007E-2</v>
      </c>
      <c r="Z2697">
        <v>1.8682799999999999E-2</v>
      </c>
      <c r="AA2697">
        <v>0.99623439999999996</v>
      </c>
      <c r="AB2697">
        <v>19</v>
      </c>
      <c r="AC2697">
        <v>0.58049999999997204</v>
      </c>
      <c r="AD2697">
        <v>-0.16939379999999901</v>
      </c>
      <c r="AE2697">
        <v>-0.14359999999999201</v>
      </c>
      <c r="AF2697">
        <v>6.0887170037017803E-2</v>
      </c>
      <c r="AG2697">
        <v>-0.16939379999999901</v>
      </c>
      <c r="AH2697">
        <v>0.55021941113143102</v>
      </c>
      <c r="AI2697">
        <v>107.014008435996</v>
      </c>
      <c r="AJ2697">
        <v>83.685352390810195</v>
      </c>
      <c r="AK2697">
        <v>0.57891528511464896</v>
      </c>
      <c r="AL2697">
        <v>91.358253203742393</v>
      </c>
      <c r="AM2697">
        <v>95.586510422546894</v>
      </c>
      <c r="AN2697">
        <v>0.99999999218970703</v>
      </c>
    </row>
    <row r="2698" spans="1:40" x14ac:dyDescent="0.25">
      <c r="A2698" t="str">
        <f>"20190305135843952"</f>
        <v>20190305135843952</v>
      </c>
      <c r="B2698" t="str">
        <f>"1551765523941518"</f>
        <v>1551765523941518</v>
      </c>
      <c r="C2698" t="s">
        <v>40</v>
      </c>
      <c r="D2698">
        <v>4.0658750000000001</v>
      </c>
      <c r="E2698">
        <v>0.56585059999999998</v>
      </c>
      <c r="F2698" t="s">
        <v>41</v>
      </c>
      <c r="G2698">
        <v>-471.58339999999998</v>
      </c>
      <c r="H2698">
        <v>0.93668750000000001</v>
      </c>
      <c r="I2698">
        <v>215.93219999999999</v>
      </c>
      <c r="J2698">
        <v>-472.12020000000001</v>
      </c>
      <c r="K2698">
        <v>1.109378</v>
      </c>
      <c r="L2698">
        <v>216.07130000000001</v>
      </c>
      <c r="M2698">
        <v>0.9915138</v>
      </c>
      <c r="N2698">
        <v>-5.7459859999999998E-3</v>
      </c>
      <c r="O2698">
        <v>-0.1298755</v>
      </c>
      <c r="P2698">
        <v>0.99895319999999999</v>
      </c>
      <c r="Q2698">
        <v>-3.0363919999999999E-2</v>
      </c>
      <c r="R2698">
        <v>-3.4220790000000001E-2</v>
      </c>
      <c r="S2698">
        <v>2.9605410000000001</v>
      </c>
      <c r="T2698">
        <v>-0.67926529999999996</v>
      </c>
      <c r="U2698">
        <v>-0.64801030000000004</v>
      </c>
      <c r="V2698">
        <v>-9.5767140000000001E-2</v>
      </c>
      <c r="W2698">
        <v>-2.4815420000000001E-2</v>
      </c>
      <c r="X2698">
        <v>0.99509440000000005</v>
      </c>
      <c r="Y2698">
        <v>8.5986809999999997E-2</v>
      </c>
      <c r="Z2698">
        <v>1.8308169999999999E-2</v>
      </c>
      <c r="AA2698">
        <v>0.99612800000000001</v>
      </c>
      <c r="AB2698">
        <v>20</v>
      </c>
      <c r="AC2698">
        <v>0.53680000000002703</v>
      </c>
      <c r="AD2698">
        <v>-0.172690499999999</v>
      </c>
      <c r="AE2698">
        <v>-0.13910000000001299</v>
      </c>
      <c r="AF2698">
        <v>6.2173826549771903E-2</v>
      </c>
      <c r="AG2698">
        <v>-0.172690499999999</v>
      </c>
      <c r="AH2698">
        <v>0.50166703694012904</v>
      </c>
      <c r="AI2698">
        <v>108.861177952969</v>
      </c>
      <c r="AJ2698">
        <v>82.935103974786799</v>
      </c>
      <c r="AK2698">
        <v>0.53418855233932205</v>
      </c>
      <c r="AL2698">
        <v>91.421964789777803</v>
      </c>
      <c r="AM2698">
        <v>95.497173043085397</v>
      </c>
      <c r="AN2698">
        <v>1.00000000754245</v>
      </c>
    </row>
    <row r="2699" spans="1:40" x14ac:dyDescent="0.25">
      <c r="A2699" t="str">
        <f>"20190305135843972"</f>
        <v>20190305135843972</v>
      </c>
      <c r="B2699" t="str">
        <f>"1551765523962014"</f>
        <v>1551765523962014</v>
      </c>
      <c r="C2699" t="s">
        <v>40</v>
      </c>
      <c r="D2699">
        <v>4.1180309999999896</v>
      </c>
      <c r="E2699">
        <v>0.56533869999999997</v>
      </c>
      <c r="F2699" t="s">
        <v>41</v>
      </c>
      <c r="G2699">
        <v>-471.40309999999999</v>
      </c>
      <c r="H2699">
        <v>0.94428869999999998</v>
      </c>
      <c r="I2699">
        <v>215.9152</v>
      </c>
      <c r="J2699">
        <v>-471.93520000000001</v>
      </c>
      <c r="K2699">
        <v>1.1092820000000001</v>
      </c>
      <c r="L2699">
        <v>216.04900000000001</v>
      </c>
      <c r="M2699">
        <v>0.99172380000000004</v>
      </c>
      <c r="N2699">
        <v>-5.506833E-3</v>
      </c>
      <c r="O2699">
        <v>-0.12827189999999999</v>
      </c>
      <c r="P2699">
        <v>0.99890860000000004</v>
      </c>
      <c r="Q2699">
        <v>-3.1110809999999999E-2</v>
      </c>
      <c r="R2699">
        <v>-3.4842560000000002E-2</v>
      </c>
      <c r="S2699">
        <v>2.9603269999999999</v>
      </c>
      <c r="T2699">
        <v>-0.68156830000000002</v>
      </c>
      <c r="U2699">
        <v>-0.64410400000000001</v>
      </c>
      <c r="V2699">
        <v>-9.3536830000000001E-2</v>
      </c>
      <c r="W2699">
        <v>-2.578511E-2</v>
      </c>
      <c r="X2699">
        <v>0.99528190000000005</v>
      </c>
      <c r="Y2699">
        <v>8.6328279999999993E-2</v>
      </c>
      <c r="Z2699">
        <v>1.803132E-2</v>
      </c>
      <c r="AA2699">
        <v>0.99610359999999998</v>
      </c>
      <c r="AB2699">
        <v>20</v>
      </c>
      <c r="AC2699">
        <v>0.53210000000001401</v>
      </c>
      <c r="AD2699">
        <v>-0.16499330000000001</v>
      </c>
      <c r="AE2699">
        <v>-0.133800000000007</v>
      </c>
      <c r="AF2699">
        <v>5.9096011694244201E-2</v>
      </c>
      <c r="AG2699">
        <v>-0.16499330000000001</v>
      </c>
      <c r="AH2699">
        <v>0.49968049633074402</v>
      </c>
      <c r="AI2699">
        <v>108.154952091398</v>
      </c>
      <c r="AJ2699">
        <v>83.255096870770203</v>
      </c>
      <c r="AK2699">
        <v>0.52952405616401899</v>
      </c>
      <c r="AL2699">
        <v>91.477541685050397</v>
      </c>
      <c r="AM2699">
        <v>95.368901505472294</v>
      </c>
      <c r="AN2699">
        <v>1.00000003546588</v>
      </c>
    </row>
    <row r="2700" spans="1:40" x14ac:dyDescent="0.25">
      <c r="A2700" t="str">
        <f>"20190305135844000"</f>
        <v>20190305135844000</v>
      </c>
      <c r="B2700" t="str">
        <f>"1551765523991293"</f>
        <v>1551765523991293</v>
      </c>
      <c r="C2700" t="s">
        <v>40</v>
      </c>
      <c r="D2700">
        <v>4.1527029999999998</v>
      </c>
      <c r="E2700">
        <v>0.57018659999999999</v>
      </c>
      <c r="F2700" t="s">
        <v>41</v>
      </c>
      <c r="G2700">
        <v>-471.22500000000002</v>
      </c>
      <c r="H2700">
        <v>0.94555100000000003</v>
      </c>
      <c r="I2700">
        <v>215.8946</v>
      </c>
      <c r="J2700">
        <v>-471.7054</v>
      </c>
      <c r="K2700">
        <v>1.1092</v>
      </c>
      <c r="L2700">
        <v>216.0215</v>
      </c>
      <c r="M2700">
        <v>0.99196759999999995</v>
      </c>
      <c r="N2700">
        <v>-5.2081159999999996E-3</v>
      </c>
      <c r="O2700">
        <v>-0.12638540000000001</v>
      </c>
      <c r="P2700">
        <v>0.99888270000000001</v>
      </c>
      <c r="Q2700">
        <v>-3.1365280000000002E-2</v>
      </c>
      <c r="R2700">
        <v>-3.535054E-2</v>
      </c>
      <c r="S2700">
        <v>2.9595950000000002</v>
      </c>
      <c r="T2700">
        <v>-0.682486699999999</v>
      </c>
      <c r="U2700">
        <v>-0.64215089999999997</v>
      </c>
      <c r="V2700">
        <v>-9.1137650000000001E-2</v>
      </c>
      <c r="W2700">
        <v>-2.632462E-2</v>
      </c>
      <c r="X2700">
        <v>0.99549030000000005</v>
      </c>
      <c r="Y2700">
        <v>8.7584880000000004E-2</v>
      </c>
      <c r="Z2700">
        <v>1.7558870000000001E-2</v>
      </c>
      <c r="AA2700">
        <v>0.99600230000000001</v>
      </c>
      <c r="AB2700">
        <v>20</v>
      </c>
      <c r="AC2700">
        <v>0.48039999999997401</v>
      </c>
      <c r="AD2700">
        <v>-0.16364899999999899</v>
      </c>
      <c r="AE2700">
        <v>-0.12690000000000601</v>
      </c>
      <c r="AF2700">
        <v>5.8788930247473399E-2</v>
      </c>
      <c r="AG2700">
        <v>-0.16364899999999899</v>
      </c>
      <c r="AH2700">
        <v>0.44438212425248003</v>
      </c>
      <c r="AI2700">
        <v>110.056177036913</v>
      </c>
      <c r="AJ2700">
        <v>82.463893911938996</v>
      </c>
      <c r="AK2700">
        <v>0.47719242017847302</v>
      </c>
      <c r="AL2700">
        <v>91.508463885799003</v>
      </c>
      <c r="AM2700">
        <v>95.230876471797401</v>
      </c>
      <c r="AN2700">
        <v>0.99999999712987797</v>
      </c>
    </row>
    <row r="2701" spans="1:40" x14ac:dyDescent="0.25">
      <c r="A2701" t="str">
        <f>"20190305135844032"</f>
        <v>20190305135844032</v>
      </c>
      <c r="B2701" t="str">
        <f>"1551765524021550"</f>
        <v>1551765524021550</v>
      </c>
      <c r="C2701" t="s">
        <v>40</v>
      </c>
      <c r="D2701">
        <v>4.0612789999999999</v>
      </c>
      <c r="E2701">
        <v>0.57515289999999997</v>
      </c>
      <c r="F2701" t="s">
        <v>41</v>
      </c>
      <c r="G2701">
        <v>-470.88189999999997</v>
      </c>
      <c r="H2701">
        <v>0.91724850000000002</v>
      </c>
      <c r="I2701">
        <v>215.83109999999999</v>
      </c>
      <c r="J2701">
        <v>-471.40769999999998</v>
      </c>
      <c r="K2701">
        <v>1.1091610000000001</v>
      </c>
      <c r="L2701">
        <v>215.98650000000001</v>
      </c>
      <c r="M2701">
        <v>0.99226460000000005</v>
      </c>
      <c r="N2701">
        <v>-4.8373289999999996E-3</v>
      </c>
      <c r="O2701">
        <v>-0.12404610000000001</v>
      </c>
      <c r="P2701">
        <v>0.99884609999999996</v>
      </c>
      <c r="Q2701">
        <v>-3.0521619999999999E-2</v>
      </c>
      <c r="R2701">
        <v>-3.7080950000000001E-2</v>
      </c>
      <c r="S2701">
        <v>2.9575809999999998</v>
      </c>
      <c r="T2701">
        <v>-0.68974159999999995</v>
      </c>
      <c r="U2701">
        <v>-0.68235780000000001</v>
      </c>
      <c r="V2701">
        <v>-8.7068989999999999E-2</v>
      </c>
      <c r="W2701">
        <v>-2.5844490000000001E-2</v>
      </c>
      <c r="X2701">
        <v>0.99586699999999995</v>
      </c>
      <c r="Y2701">
        <v>0.102545</v>
      </c>
      <c r="Z2701">
        <v>1.554255E-2</v>
      </c>
      <c r="AA2701">
        <v>0.99460689999999996</v>
      </c>
      <c r="AB2701">
        <v>20</v>
      </c>
      <c r="AC2701">
        <v>0.52580000000000304</v>
      </c>
      <c r="AD2701">
        <v>-0.19191250000000001</v>
      </c>
      <c r="AE2701">
        <v>-0.155400000000014</v>
      </c>
      <c r="AF2701">
        <v>7.9264305456860806E-2</v>
      </c>
      <c r="AG2701">
        <v>-0.19191250000000001</v>
      </c>
      <c r="AH2701">
        <v>0.48196675923051302</v>
      </c>
      <c r="AI2701">
        <v>111.450265927296</v>
      </c>
      <c r="AJ2701">
        <v>80.660731179305003</v>
      </c>
      <c r="AK2701">
        <v>0.52479061994187004</v>
      </c>
      <c r="AL2701">
        <v>91.480945074033301</v>
      </c>
      <c r="AM2701">
        <v>94.996683652120893</v>
      </c>
      <c r="AN2701">
        <v>1.0000000141859899</v>
      </c>
    </row>
    <row r="2702" spans="1:40" x14ac:dyDescent="0.25">
      <c r="A2702" t="str">
        <f>"20190305135844075"</f>
        <v>20190305135844075</v>
      </c>
      <c r="B2702" t="str">
        <f>"1551765524071326"</f>
        <v>1551765524071326</v>
      </c>
      <c r="C2702" t="s">
        <v>40</v>
      </c>
      <c r="D2702">
        <v>4.0970149999999999</v>
      </c>
      <c r="E2702">
        <v>0.58083929999999995</v>
      </c>
      <c r="F2702" t="s">
        <v>41</v>
      </c>
      <c r="G2702">
        <v>-470.68939999999998</v>
      </c>
      <c r="H2702">
        <v>0.94063399999999997</v>
      </c>
      <c r="I2702">
        <v>215.80950000000001</v>
      </c>
      <c r="J2702">
        <v>-471.01639999999998</v>
      </c>
      <c r="K2702">
        <v>1.1091979999999999</v>
      </c>
      <c r="L2702">
        <v>215.94120000000001</v>
      </c>
      <c r="M2702">
        <v>0.99264319999999895</v>
      </c>
      <c r="N2702">
        <v>-4.383545E-3</v>
      </c>
      <c r="O2702">
        <v>-0.1209972</v>
      </c>
      <c r="P2702">
        <v>0.99893779999999999</v>
      </c>
      <c r="Q2702">
        <v>-2.6382719999999998E-2</v>
      </c>
      <c r="R2702">
        <v>-3.7780269999999998E-2</v>
      </c>
      <c r="S2702">
        <v>2.9552610000000001</v>
      </c>
      <c r="T2702">
        <v>-0.69361689999999998</v>
      </c>
      <c r="U2702">
        <v>-0.72671509999999995</v>
      </c>
      <c r="V2702">
        <v>-8.3327620000000005E-2</v>
      </c>
      <c r="W2702">
        <v>-2.2165879999999999E-2</v>
      </c>
      <c r="X2702">
        <v>0.99627569999999999</v>
      </c>
      <c r="Y2702">
        <v>0.1193926</v>
      </c>
      <c r="Z2702">
        <v>1.3055819999999999E-2</v>
      </c>
      <c r="AA2702">
        <v>0.99276129999999996</v>
      </c>
      <c r="AB2702">
        <v>20</v>
      </c>
      <c r="AC2702">
        <v>0.32699999999999801</v>
      </c>
      <c r="AD2702">
        <v>-0.16856399999999899</v>
      </c>
      <c r="AE2702">
        <v>-0.13169999999999499</v>
      </c>
      <c r="AF2702">
        <v>7.4200737229120906E-2</v>
      </c>
      <c r="AG2702">
        <v>-0.16856399999999899</v>
      </c>
      <c r="AH2702">
        <v>0.27716277853467097</v>
      </c>
      <c r="AI2702">
        <v>120.433729043941</v>
      </c>
      <c r="AJ2702">
        <v>75.012500062980294</v>
      </c>
      <c r="AK2702">
        <v>0.33277436395612597</v>
      </c>
      <c r="AL2702">
        <v>91.270115338045002</v>
      </c>
      <c r="AM2702">
        <v>94.781040544401193</v>
      </c>
      <c r="AN2702">
        <v>1.00000004445076</v>
      </c>
    </row>
    <row r="2703" spans="1:40" x14ac:dyDescent="0.25">
      <c r="A2703" t="str">
        <f>"20190305135844095"</f>
        <v>20190305135844095</v>
      </c>
      <c r="B2703" t="str">
        <f>"1551765524091822"</f>
        <v>1551765524091822</v>
      </c>
      <c r="C2703" t="s">
        <v>40</v>
      </c>
      <c r="D2703">
        <v>4.0905849999999999</v>
      </c>
      <c r="E2703">
        <v>0.58226809999999996</v>
      </c>
      <c r="F2703" t="s">
        <v>41</v>
      </c>
      <c r="G2703">
        <v>-470.32069999999999</v>
      </c>
      <c r="H2703">
        <v>0.94538259999999996</v>
      </c>
      <c r="I2703">
        <v>215.75919999999999</v>
      </c>
      <c r="J2703">
        <v>-470.8272</v>
      </c>
      <c r="K2703">
        <v>1.1092249999999999</v>
      </c>
      <c r="L2703">
        <v>215.91980000000001</v>
      </c>
      <c r="M2703">
        <v>0.99282539999999997</v>
      </c>
      <c r="N2703">
        <v>-4.1664079999999999E-3</v>
      </c>
      <c r="O2703">
        <v>-0.11950089999999999</v>
      </c>
      <c r="P2703">
        <v>0.99902420000000003</v>
      </c>
      <c r="Q2703">
        <v>-2.4944149999999998E-2</v>
      </c>
      <c r="R2703">
        <v>-3.6450370000000003E-2</v>
      </c>
      <c r="S2703">
        <v>2.955597</v>
      </c>
      <c r="T2703">
        <v>-0.69601499999999905</v>
      </c>
      <c r="U2703">
        <v>-0.77325440000000001</v>
      </c>
      <c r="V2703">
        <v>-8.3155919999999994E-2</v>
      </c>
      <c r="W2703">
        <v>-2.09534E-2</v>
      </c>
      <c r="X2703">
        <v>0.99631630000000004</v>
      </c>
      <c r="Y2703">
        <v>0.13509959999999999</v>
      </c>
      <c r="Z2703">
        <v>1.094825E-2</v>
      </c>
      <c r="AA2703">
        <v>0.99077150000000003</v>
      </c>
      <c r="AB2703">
        <v>21</v>
      </c>
      <c r="AC2703">
        <v>0.50650000000001605</v>
      </c>
      <c r="AD2703">
        <v>-0.163842399999999</v>
      </c>
      <c r="AE2703">
        <v>-0.16060000000001601</v>
      </c>
      <c r="AF2703">
        <v>9.0332597382730001E-2</v>
      </c>
      <c r="AG2703">
        <v>-0.163842399999999</v>
      </c>
      <c r="AH2703">
        <v>0.47673456471728498</v>
      </c>
      <c r="AI2703">
        <v>108.658184619948</v>
      </c>
      <c r="AJ2703">
        <v>79.270683239129099</v>
      </c>
      <c r="AK2703">
        <v>0.512132946981396</v>
      </c>
      <c r="AL2703">
        <v>91.200629179382105</v>
      </c>
      <c r="AM2703">
        <v>94.771041009478793</v>
      </c>
      <c r="AN2703">
        <v>1.0000000608241399</v>
      </c>
    </row>
    <row r="2704" spans="1:40" x14ac:dyDescent="0.25">
      <c r="A2704" t="str">
        <f>"20190305135844117"</f>
        <v>20190305135844117</v>
      </c>
      <c r="B2704" t="str">
        <f>"1551765524111342"</f>
        <v>1551765524111342</v>
      </c>
      <c r="C2704" t="s">
        <v>40</v>
      </c>
      <c r="D2704">
        <v>4.0582969999999996</v>
      </c>
      <c r="E2704">
        <v>0.58360119999999904</v>
      </c>
      <c r="F2704" t="s">
        <v>41</v>
      </c>
      <c r="G2704">
        <v>-470.1343</v>
      </c>
      <c r="H2704">
        <v>0.94677480000000003</v>
      </c>
      <c r="I2704">
        <v>215.7363</v>
      </c>
      <c r="J2704">
        <v>-470.61649999999997</v>
      </c>
      <c r="K2704">
        <v>1.109243</v>
      </c>
      <c r="L2704">
        <v>215.8963</v>
      </c>
      <c r="M2704">
        <v>0.99302999999999997</v>
      </c>
      <c r="N2704">
        <v>-3.9149789999999999E-3</v>
      </c>
      <c r="O2704">
        <v>-0.1177961</v>
      </c>
      <c r="P2704">
        <v>0.99914619999999998</v>
      </c>
      <c r="Q2704">
        <v>-2.4476620000000001E-2</v>
      </c>
      <c r="R2704">
        <v>-3.3282409999999998E-2</v>
      </c>
      <c r="S2704">
        <v>2.9571529999999999</v>
      </c>
      <c r="T2704">
        <v>-0.6935983</v>
      </c>
      <c r="U2704">
        <v>-0.78120419999999902</v>
      </c>
      <c r="V2704">
        <v>-8.4603289999999998E-2</v>
      </c>
      <c r="W2704">
        <v>-2.0751599999999999E-2</v>
      </c>
      <c r="X2704">
        <v>0.99619860000000005</v>
      </c>
      <c r="Y2704">
        <v>0.1390361</v>
      </c>
      <c r="Z2704">
        <v>1.0112350000000001E-2</v>
      </c>
      <c r="AA2704">
        <v>0.99023570000000005</v>
      </c>
      <c r="AB2704">
        <v>21</v>
      </c>
      <c r="AC2704">
        <v>0.48219999999997698</v>
      </c>
      <c r="AD2704">
        <v>-0.16246820000000001</v>
      </c>
      <c r="AE2704">
        <v>-0.15999999999999601</v>
      </c>
      <c r="AF2704">
        <v>9.2613351686112802E-2</v>
      </c>
      <c r="AG2704">
        <v>-0.16246820000000001</v>
      </c>
      <c r="AH2704">
        <v>0.45151665244766997</v>
      </c>
      <c r="AI2704">
        <v>109.416994925613</v>
      </c>
      <c r="AJ2704">
        <v>78.408488106594803</v>
      </c>
      <c r="AK2704">
        <v>0.48871304091391399</v>
      </c>
      <c r="AL2704">
        <v>91.189064451723993</v>
      </c>
      <c r="AM2704">
        <v>94.854260710313497</v>
      </c>
      <c r="AN2704">
        <v>0.99999999811167195</v>
      </c>
    </row>
    <row r="2705" spans="1:40" x14ac:dyDescent="0.25">
      <c r="A2705" t="str">
        <f>"20190305135844141"</f>
        <v>20190305135844141</v>
      </c>
      <c r="B2705" t="str">
        <f>"1551765524131837"</f>
        <v>1551765524131837</v>
      </c>
      <c r="C2705" t="s">
        <v>40</v>
      </c>
      <c r="D2705">
        <v>4.0802060000000004</v>
      </c>
      <c r="E2705">
        <v>0.58485189999999998</v>
      </c>
      <c r="F2705" t="s">
        <v>41</v>
      </c>
      <c r="G2705">
        <v>-469.94439999999997</v>
      </c>
      <c r="H2705">
        <v>0.95164990000000005</v>
      </c>
      <c r="I2705">
        <v>215.7183</v>
      </c>
      <c r="J2705">
        <v>-470.39449999999999</v>
      </c>
      <c r="K2705">
        <v>1.1092519999999999</v>
      </c>
      <c r="L2705">
        <v>215.87200000000001</v>
      </c>
      <c r="M2705">
        <v>0.99324939999999995</v>
      </c>
      <c r="N2705">
        <v>-3.6194560000000001E-3</v>
      </c>
      <c r="O2705">
        <v>-0.11594309999999999</v>
      </c>
      <c r="P2705">
        <v>0.99925920000000001</v>
      </c>
      <c r="Q2705">
        <v>-2.4382609999999999E-2</v>
      </c>
      <c r="R2705">
        <v>-2.9778260000000001E-2</v>
      </c>
      <c r="S2705">
        <v>2.959473</v>
      </c>
      <c r="T2705">
        <v>-0.69406449999999997</v>
      </c>
      <c r="U2705">
        <v>-0.7829895</v>
      </c>
      <c r="V2705">
        <v>-8.623401E-2</v>
      </c>
      <c r="W2705">
        <v>-2.0968549999999999E-2</v>
      </c>
      <c r="X2705">
        <v>0.9960542</v>
      </c>
      <c r="Y2705">
        <v>0.14116329999999999</v>
      </c>
      <c r="Z2705">
        <v>9.5097480000000002E-3</v>
      </c>
      <c r="AA2705">
        <v>0.98994059999999995</v>
      </c>
      <c r="AB2705">
        <v>21</v>
      </c>
      <c r="AC2705">
        <v>0.45010000000001998</v>
      </c>
      <c r="AD2705">
        <v>-0.15760209999999999</v>
      </c>
      <c r="AE2705">
        <v>-0.15370000000001399</v>
      </c>
      <c r="AF2705">
        <v>9.0536154963860499E-2</v>
      </c>
      <c r="AG2705">
        <v>-0.15760209999999999</v>
      </c>
      <c r="AH2705">
        <v>0.41889051990995402</v>
      </c>
      <c r="AI2705">
        <v>110.190778987013</v>
      </c>
      <c r="AJ2705">
        <v>77.804074555296793</v>
      </c>
      <c r="AK2705">
        <v>0.45662291329989302</v>
      </c>
      <c r="AL2705">
        <v>91.201497501926795</v>
      </c>
      <c r="AM2705">
        <v>94.948079742489199</v>
      </c>
      <c r="AN2705">
        <v>0.99999997695371101</v>
      </c>
    </row>
    <row r="2706" spans="1:40" x14ac:dyDescent="0.25">
      <c r="A2706" t="str">
        <f>"20190305135844163"</f>
        <v>20190305135844163</v>
      </c>
      <c r="B2706" t="str">
        <f>"1551765524151361"</f>
        <v>1551765524151361</v>
      </c>
      <c r="C2706" t="s">
        <v>40</v>
      </c>
      <c r="D2706">
        <v>4.0907010000000001</v>
      </c>
      <c r="E2706">
        <v>0.58603780000000005</v>
      </c>
      <c r="F2706" t="s">
        <v>41</v>
      </c>
      <c r="G2706">
        <v>-469.58120000000002</v>
      </c>
      <c r="H2706">
        <v>0.91823290000000002</v>
      </c>
      <c r="I2706">
        <v>215.6568</v>
      </c>
      <c r="J2706">
        <v>-470.1893</v>
      </c>
      <c r="K2706">
        <v>1.109248</v>
      </c>
      <c r="L2706">
        <v>215.84989999999999</v>
      </c>
      <c r="M2706">
        <v>0.99345470000000002</v>
      </c>
      <c r="N2706">
        <v>-3.3171170000000001E-3</v>
      </c>
      <c r="O2706">
        <v>-0.114179</v>
      </c>
      <c r="P2706">
        <v>0.99935200000000002</v>
      </c>
      <c r="Q2706">
        <v>-2.37991E-2</v>
      </c>
      <c r="R2706">
        <v>-2.7008839999999999E-2</v>
      </c>
      <c r="S2706">
        <v>2.961884</v>
      </c>
      <c r="T2706">
        <v>-0.69573560000000001</v>
      </c>
      <c r="U2706">
        <v>-0.7831726</v>
      </c>
      <c r="V2706">
        <v>-8.7225209999999997E-2</v>
      </c>
      <c r="W2706">
        <v>-2.0700070000000001E-2</v>
      </c>
      <c r="X2706">
        <v>0.99597349999999996</v>
      </c>
      <c r="Y2706">
        <v>0.14270669999999999</v>
      </c>
      <c r="Z2706">
        <v>9.0119910000000004E-3</v>
      </c>
      <c r="AA2706">
        <v>0.98972400000000005</v>
      </c>
      <c r="AB2706">
        <v>21</v>
      </c>
      <c r="AC2706">
        <v>0.60809999999997899</v>
      </c>
      <c r="AD2706">
        <v>-0.19101509999999999</v>
      </c>
      <c r="AE2706">
        <v>-0.19309999999998601</v>
      </c>
      <c r="AF2706">
        <v>0.11233565623992001</v>
      </c>
      <c r="AG2706">
        <v>-0.19101509999999999</v>
      </c>
      <c r="AH2706">
        <v>0.57466301588430102</v>
      </c>
      <c r="AI2706">
        <v>108.067388352405</v>
      </c>
      <c r="AJ2706">
        <v>78.939247979728094</v>
      </c>
      <c r="AK2706">
        <v>0.61590879999891501</v>
      </c>
      <c r="AL2706">
        <v>91.186111397519596</v>
      </c>
      <c r="AM2706">
        <v>95.005070708461403</v>
      </c>
      <c r="AN2706">
        <v>0.99999997142989905</v>
      </c>
    </row>
    <row r="2707" spans="1:40" x14ac:dyDescent="0.25">
      <c r="A2707" t="str">
        <f>"20190305135844187"</f>
        <v>20190305135844187</v>
      </c>
      <c r="B2707" t="str">
        <f>"1551765524181614"</f>
        <v>1551765524181614</v>
      </c>
      <c r="C2707" t="s">
        <v>40</v>
      </c>
      <c r="D2707">
        <v>4.0511189999999999</v>
      </c>
      <c r="E2707">
        <v>0.58735579999999998</v>
      </c>
      <c r="F2707" t="s">
        <v>41</v>
      </c>
      <c r="G2707">
        <v>-469.38749999999999</v>
      </c>
      <c r="H2707">
        <v>0.92075879999999999</v>
      </c>
      <c r="I2707">
        <v>215.63720000000001</v>
      </c>
      <c r="J2707">
        <v>-469.95650000000001</v>
      </c>
      <c r="K2707">
        <v>1.109246</v>
      </c>
      <c r="L2707">
        <v>215.8254</v>
      </c>
      <c r="M2707">
        <v>0.99368869999999998</v>
      </c>
      <c r="N2707">
        <v>-2.958773E-3</v>
      </c>
      <c r="O2707">
        <v>-0.1121337</v>
      </c>
      <c r="P2707">
        <v>0.99947370000000002</v>
      </c>
      <c r="Q2707">
        <v>-2.1528160000000001E-2</v>
      </c>
      <c r="R2707">
        <v>-2.4263670000000001E-2</v>
      </c>
      <c r="S2707">
        <v>2.9641109999999999</v>
      </c>
      <c r="T2707">
        <v>-0.6970539</v>
      </c>
      <c r="U2707">
        <v>-0.78471369999999996</v>
      </c>
      <c r="V2707">
        <v>-8.7918090000000004E-2</v>
      </c>
      <c r="W2707">
        <v>-1.879985E-2</v>
      </c>
      <c r="X2707">
        <v>0.99595029999999996</v>
      </c>
      <c r="Y2707">
        <v>0.1449462</v>
      </c>
      <c r="Z2707">
        <v>8.3743759999999993E-3</v>
      </c>
      <c r="AA2707">
        <v>0.98940410000000001</v>
      </c>
      <c r="AB2707">
        <v>22</v>
      </c>
      <c r="AC2707">
        <v>0.56900000000001605</v>
      </c>
      <c r="AD2707">
        <v>-0.18848719999999999</v>
      </c>
      <c r="AE2707">
        <v>-0.18819999999999401</v>
      </c>
      <c r="AF2707">
        <v>0.112118733181176</v>
      </c>
      <c r="AG2707">
        <v>-0.18848719999999999</v>
      </c>
      <c r="AH2707">
        <v>0.53372311268321804</v>
      </c>
      <c r="AI2707">
        <v>109.065761939656</v>
      </c>
      <c r="AJ2707">
        <v>78.136429093887998</v>
      </c>
      <c r="AK2707">
        <v>0.57702547249342095</v>
      </c>
      <c r="AL2707">
        <v>91.077215507541794</v>
      </c>
      <c r="AM2707">
        <v>95.044741418549094</v>
      </c>
      <c r="AN2707">
        <v>1.00000001248968</v>
      </c>
    </row>
    <row r="2708" spans="1:40" x14ac:dyDescent="0.25">
      <c r="A2708" t="str">
        <f>"20190305135844208"</f>
        <v>20190305135844208</v>
      </c>
      <c r="B2708" t="str">
        <f>"1551765524201135"</f>
        <v>1551765524201135</v>
      </c>
      <c r="C2708" t="s">
        <v>40</v>
      </c>
      <c r="D2708">
        <v>4.1066750000000001</v>
      </c>
      <c r="E2708">
        <v>0.58827130000000005</v>
      </c>
      <c r="F2708" t="s">
        <v>41</v>
      </c>
      <c r="G2708">
        <v>-469.18880000000001</v>
      </c>
      <c r="H2708">
        <v>0.92995700000000003</v>
      </c>
      <c r="I2708">
        <v>215.6216</v>
      </c>
      <c r="J2708">
        <v>-469.74029999999999</v>
      </c>
      <c r="K2708">
        <v>1.109251</v>
      </c>
      <c r="L2708">
        <v>215.803</v>
      </c>
      <c r="M2708">
        <v>0.99390630000000002</v>
      </c>
      <c r="N2708">
        <v>-2.6205809999999999E-3</v>
      </c>
      <c r="O2708">
        <v>-0.1101985</v>
      </c>
      <c r="P2708">
        <v>0.99958150000000001</v>
      </c>
      <c r="Q2708">
        <v>-1.8597570000000001E-2</v>
      </c>
      <c r="R2708">
        <v>-2.216568E-2</v>
      </c>
      <c r="S2708">
        <v>2.96759</v>
      </c>
      <c r="T2708">
        <v>-0.69305649999999996</v>
      </c>
      <c r="U2708">
        <v>-0.78665160000000001</v>
      </c>
      <c r="V2708">
        <v>-8.8080210000000006E-2</v>
      </c>
      <c r="W2708">
        <v>-1.6217180000000001E-2</v>
      </c>
      <c r="X2708">
        <v>0.99598129999999996</v>
      </c>
      <c r="Y2708">
        <v>0.14711359999999901</v>
      </c>
      <c r="Z2708">
        <v>7.6990299999999999E-3</v>
      </c>
      <c r="AA2708">
        <v>0.98908960000000001</v>
      </c>
      <c r="AB2708">
        <v>22</v>
      </c>
      <c r="AC2708">
        <v>0.55149999999997501</v>
      </c>
      <c r="AD2708">
        <v>-0.17929400000000001</v>
      </c>
      <c r="AE2708">
        <v>-0.18139999999999601</v>
      </c>
      <c r="AF2708">
        <v>0.10911396773211</v>
      </c>
      <c r="AG2708">
        <v>-0.17929400000000001</v>
      </c>
      <c r="AH2708">
        <v>0.51866447602922305</v>
      </c>
      <c r="AI2708">
        <v>108.68961441571</v>
      </c>
      <c r="AJ2708">
        <v>78.119651576913</v>
      </c>
      <c r="AK2708">
        <v>0.55952214887787299</v>
      </c>
      <c r="AL2708">
        <v>90.929216763107704</v>
      </c>
      <c r="AM2708">
        <v>95.053839240718304</v>
      </c>
      <c r="AN2708">
        <v>0.99999993513524099</v>
      </c>
    </row>
    <row r="2709" spans="1:40" x14ac:dyDescent="0.25">
      <c r="A2709" t="str">
        <f>"20190305135844231"</f>
        <v>20190305135844231</v>
      </c>
      <c r="B2709" t="str">
        <f>"1551765524221630"</f>
        <v>1551765524221630</v>
      </c>
      <c r="C2709" t="s">
        <v>40</v>
      </c>
      <c r="D2709">
        <v>4.0622030000000002</v>
      </c>
      <c r="E2709">
        <v>0.5891826</v>
      </c>
      <c r="F2709" t="s">
        <v>41</v>
      </c>
      <c r="G2709">
        <v>-468.98970000000003</v>
      </c>
      <c r="H2709">
        <v>0.93600439999999996</v>
      </c>
      <c r="I2709">
        <v>215.60380000000001</v>
      </c>
      <c r="J2709">
        <v>-469.5188</v>
      </c>
      <c r="K2709">
        <v>1.1092599999999999</v>
      </c>
      <c r="L2709">
        <v>215.78049999999999</v>
      </c>
      <c r="M2709">
        <v>0.99412780000000001</v>
      </c>
      <c r="N2709">
        <v>-2.2812710000000001E-3</v>
      </c>
      <c r="O2709">
        <v>-0.10818800000000001</v>
      </c>
      <c r="P2709">
        <v>0.99967079999999997</v>
      </c>
      <c r="Q2709">
        <v>-1.5812349999999999E-2</v>
      </c>
      <c r="R2709">
        <v>-2.021181E-2</v>
      </c>
      <c r="S2709">
        <v>2.9710079999999999</v>
      </c>
      <c r="T2709">
        <v>-0.68603149999999902</v>
      </c>
      <c r="U2709">
        <v>-0.78720089999999998</v>
      </c>
      <c r="V2709">
        <v>-8.8022149999999993E-2</v>
      </c>
      <c r="W2709">
        <v>-1.378046E-2</v>
      </c>
      <c r="X2709">
        <v>0.9960232</v>
      </c>
      <c r="Y2709">
        <v>0.14894499999999999</v>
      </c>
      <c r="Z2709">
        <v>7.0229250000000002E-3</v>
      </c>
      <c r="AA2709">
        <v>0.98882060000000005</v>
      </c>
      <c r="AB2709">
        <v>22</v>
      </c>
      <c r="AC2709">
        <v>0.52909999999997104</v>
      </c>
      <c r="AD2709">
        <v>-0.17325560000000001</v>
      </c>
      <c r="AE2709">
        <v>-0.17669999999998201</v>
      </c>
      <c r="AF2709">
        <v>0.10800184593531401</v>
      </c>
      <c r="AG2709">
        <v>-0.17325560000000001</v>
      </c>
      <c r="AH2709">
        <v>0.49715262110719599</v>
      </c>
      <c r="AI2709">
        <v>108.806403722483</v>
      </c>
      <c r="AJ2709">
        <v>77.743459247658706</v>
      </c>
      <c r="AK2709">
        <v>0.53744081565373403</v>
      </c>
      <c r="AL2709">
        <v>90.789587183784505</v>
      </c>
      <c r="AM2709">
        <v>95.050313764233493</v>
      </c>
      <c r="AN2709">
        <v>1.00000000745333</v>
      </c>
    </row>
    <row r="2710" spans="1:40" x14ac:dyDescent="0.25">
      <c r="A2710" t="str">
        <f>"20190305135844252"</f>
        <v>20190305135844252</v>
      </c>
      <c r="B2710" t="str">
        <f>"1551765524242127"</f>
        <v>1551765524242127</v>
      </c>
      <c r="C2710" t="s">
        <v>40</v>
      </c>
      <c r="D2710">
        <v>4.0884080000000003</v>
      </c>
      <c r="E2710">
        <v>0.58986870000000002</v>
      </c>
      <c r="F2710" t="s">
        <v>41</v>
      </c>
      <c r="G2710">
        <v>-468.78840000000002</v>
      </c>
      <c r="H2710">
        <v>0.94244479999999997</v>
      </c>
      <c r="I2710">
        <v>215.58680000000001</v>
      </c>
      <c r="J2710">
        <v>-469.30709999999999</v>
      </c>
      <c r="K2710">
        <v>1.109273</v>
      </c>
      <c r="L2710">
        <v>215.7595</v>
      </c>
      <c r="M2710">
        <v>0.99433760000000004</v>
      </c>
      <c r="N2710">
        <v>-1.9745940000000001E-3</v>
      </c>
      <c r="O2710">
        <v>-0.10624939999999999</v>
      </c>
      <c r="P2710">
        <v>0.99973619999999996</v>
      </c>
      <c r="Q2710">
        <v>-1.3270489999999999E-2</v>
      </c>
      <c r="R2710">
        <v>-1.874342E-2</v>
      </c>
      <c r="S2710">
        <v>2.9743650000000001</v>
      </c>
      <c r="T2710">
        <v>-0.67924149999999905</v>
      </c>
      <c r="U2710">
        <v>-0.78892519999999999</v>
      </c>
      <c r="V2710">
        <v>-8.7551580000000004E-2</v>
      </c>
      <c r="W2710">
        <v>-1.1552639999999999E-2</v>
      </c>
      <c r="X2710">
        <v>0.99609300000000001</v>
      </c>
      <c r="Y2710">
        <v>0.15107019999999999</v>
      </c>
      <c r="Z2710">
        <v>6.3393379999999999E-3</v>
      </c>
      <c r="AA2710">
        <v>0.98850269999999996</v>
      </c>
      <c r="AB2710">
        <v>22</v>
      </c>
      <c r="AC2710">
        <v>0.51869999999996697</v>
      </c>
      <c r="AD2710">
        <v>-0.16682819999999901</v>
      </c>
      <c r="AE2710">
        <v>-0.172699999999991</v>
      </c>
      <c r="AF2710">
        <v>0.106676865327251</v>
      </c>
      <c r="AG2710">
        <v>-0.16682819999999901</v>
      </c>
      <c r="AH2710">
        <v>0.488612896420757</v>
      </c>
      <c r="AI2710">
        <v>108.447392914625</v>
      </c>
      <c r="AJ2710">
        <v>77.6841025856465</v>
      </c>
      <c r="AK2710">
        <v>0.52721358523843997</v>
      </c>
      <c r="AL2710">
        <v>90.661932236338998</v>
      </c>
      <c r="AM2710">
        <v>95.023102888029598</v>
      </c>
      <c r="AN2710">
        <v>1.0000000036502299</v>
      </c>
    </row>
    <row r="2711" spans="1:40" x14ac:dyDescent="0.25">
      <c r="A2711" t="str">
        <f>"20190305135844276"</f>
        <v>20190305135844276</v>
      </c>
      <c r="B2711" t="str">
        <f>"1551765524271406"</f>
        <v>1551765524271406</v>
      </c>
      <c r="C2711" t="s">
        <v>40</v>
      </c>
      <c r="D2711">
        <v>3.8674909999999998</v>
      </c>
      <c r="E2711">
        <v>0.5361361</v>
      </c>
      <c r="F2711" t="s">
        <v>41</v>
      </c>
      <c r="G2711">
        <v>-468.5865</v>
      </c>
      <c r="H2711">
        <v>0.94608369999999997</v>
      </c>
      <c r="I2711">
        <v>215.56809999999999</v>
      </c>
      <c r="J2711">
        <v>-469.07319999999999</v>
      </c>
      <c r="K2711">
        <v>1.109289</v>
      </c>
      <c r="L2711">
        <v>215.73679999999999</v>
      </c>
      <c r="M2711">
        <v>0.99456560000000005</v>
      </c>
      <c r="N2711">
        <v>-1.6631279999999901E-3</v>
      </c>
      <c r="O2711">
        <v>-0.10409930000000001</v>
      </c>
      <c r="P2711">
        <v>0.9997897</v>
      </c>
      <c r="Q2711">
        <v>-1.180807E-2</v>
      </c>
      <c r="R2711">
        <v>-1.676559E-2</v>
      </c>
      <c r="S2711">
        <v>2.97702</v>
      </c>
      <c r="T2711">
        <v>-0.67435440000000002</v>
      </c>
      <c r="U2711">
        <v>-0.79011540000000002</v>
      </c>
      <c r="V2711">
        <v>-8.7372169999999999E-2</v>
      </c>
      <c r="W2711">
        <v>-1.041015E-2</v>
      </c>
      <c r="X2711">
        <v>0.99612129999999999</v>
      </c>
      <c r="Y2711">
        <v>0.15328549999999999</v>
      </c>
      <c r="Z2711">
        <v>5.6328480000000002E-3</v>
      </c>
      <c r="AA2711">
        <v>0.98816590000000004</v>
      </c>
      <c r="AB2711">
        <v>22</v>
      </c>
      <c r="AC2711">
        <v>0.48669999999998398</v>
      </c>
      <c r="AD2711">
        <v>-0.1632053</v>
      </c>
      <c r="AE2711">
        <v>-0.16870000000000099</v>
      </c>
      <c r="AF2711">
        <v>0.106433817907597</v>
      </c>
      <c r="AG2711">
        <v>-0.1632053</v>
      </c>
      <c r="AH2711">
        <v>0.45585591582683099</v>
      </c>
      <c r="AI2711">
        <v>109.22073681774199</v>
      </c>
      <c r="AJ2711">
        <v>76.857939492161606</v>
      </c>
      <c r="AK2711">
        <v>0.49575068687475998</v>
      </c>
      <c r="AL2711">
        <v>90.596468459121198</v>
      </c>
      <c r="AM2711">
        <v>95.012720395771296</v>
      </c>
      <c r="AN2711">
        <v>0.99999995581360901</v>
      </c>
    </row>
    <row r="2712" spans="1:40" x14ac:dyDescent="0.25">
      <c r="A2712" t="str">
        <f>"20190305135844297"</f>
        <v>20190305135844297</v>
      </c>
      <c r="B2712" t="str">
        <f>"1551765524291903"</f>
        <v>1551765524291903</v>
      </c>
      <c r="C2712" t="s">
        <v>40</v>
      </c>
      <c r="D2712">
        <v>3.924585</v>
      </c>
      <c r="E2712">
        <v>0.53121839999999998</v>
      </c>
      <c r="F2712" t="s">
        <v>41</v>
      </c>
      <c r="G2712">
        <v>-468.33359999999999</v>
      </c>
      <c r="H2712">
        <v>1.030518</v>
      </c>
      <c r="I2712">
        <v>215.65119999999999</v>
      </c>
      <c r="J2712">
        <v>-468.84730000000002</v>
      </c>
      <c r="K2712">
        <v>1.109299</v>
      </c>
      <c r="L2712">
        <v>215.71530000000001</v>
      </c>
      <c r="M2712">
        <v>0.99478140000000004</v>
      </c>
      <c r="N2712">
        <v>-1.3937629999999999E-3</v>
      </c>
      <c r="O2712">
        <v>-0.1020204</v>
      </c>
      <c r="P2712">
        <v>0.99984969999999995</v>
      </c>
      <c r="Q2712">
        <v>-1.0229449999999999E-2</v>
      </c>
      <c r="R2712">
        <v>-1.3997229999999999E-2</v>
      </c>
      <c r="S2712">
        <v>2.991028</v>
      </c>
      <c r="T2712">
        <v>-0.31863069999999999</v>
      </c>
      <c r="U2712">
        <v>-0.34611510000000001</v>
      </c>
      <c r="V2712">
        <v>-8.805346E-2</v>
      </c>
      <c r="W2712">
        <v>-9.1104580000000001E-3</v>
      </c>
      <c r="X2712">
        <v>0.99607409999999996</v>
      </c>
      <c r="Y2712">
        <v>1.3482279999999999E-2</v>
      </c>
      <c r="Z2712">
        <v>9.9068439999999997E-3</v>
      </c>
      <c r="AA2712">
        <v>0.99985999999999997</v>
      </c>
      <c r="AB2712">
        <v>23</v>
      </c>
      <c r="AC2712">
        <v>0.51370000000002802</v>
      </c>
      <c r="AD2712">
        <v>-7.8780999999999907E-2</v>
      </c>
      <c r="AE2712">
        <v>-6.4100000000024596E-2</v>
      </c>
      <c r="AF2712">
        <v>1.11005445153081E-2</v>
      </c>
      <c r="AG2712">
        <v>-7.8780999999999907E-2</v>
      </c>
      <c r="AH2712">
        <v>0.50584448762572098</v>
      </c>
      <c r="AI2712">
        <v>98.850121730422501</v>
      </c>
      <c r="AJ2712">
        <v>88.742869988548193</v>
      </c>
      <c r="AK2712">
        <v>0.51206280250655301</v>
      </c>
      <c r="AL2712">
        <v>90.521998007499107</v>
      </c>
      <c r="AM2712">
        <v>95.051844065915603</v>
      </c>
      <c r="AN2712">
        <v>1.00000001247687</v>
      </c>
    </row>
    <row r="2713" spans="1:40" x14ac:dyDescent="0.25">
      <c r="A2713" t="str">
        <f>"20190305135844320"</f>
        <v>20190305135844320</v>
      </c>
      <c r="B2713" t="str">
        <f>"1551765524311422"</f>
        <v>1551765524311422</v>
      </c>
      <c r="C2713" t="s">
        <v>40</v>
      </c>
      <c r="D2713">
        <v>3.9354879999999999</v>
      </c>
      <c r="E2713">
        <v>0.52956840000000005</v>
      </c>
      <c r="F2713" t="s">
        <v>59</v>
      </c>
      <c r="G2713">
        <v>-452.65230000000003</v>
      </c>
      <c r="H2713" s="1">
        <v>-1.034761E-7</v>
      </c>
      <c r="I2713">
        <v>214.11510000000001</v>
      </c>
      <c r="J2713">
        <v>-468.62189999999998</v>
      </c>
      <c r="K2713">
        <v>1.1093109999999999</v>
      </c>
      <c r="L2713">
        <v>215.69450000000001</v>
      </c>
      <c r="M2713">
        <v>0.99499190000000004</v>
      </c>
      <c r="N2713">
        <v>-1.157326E-3</v>
      </c>
      <c r="O2713">
        <v>-9.9948289999999995E-2</v>
      </c>
      <c r="P2713">
        <v>0.99989030000000001</v>
      </c>
      <c r="Q2713">
        <v>-9.7962850000000001E-3</v>
      </c>
      <c r="R2713">
        <v>-1.110714E-2</v>
      </c>
      <c r="S2713">
        <v>2.994202</v>
      </c>
      <c r="T2713">
        <v>-0.20509169999999999</v>
      </c>
      <c r="U2713">
        <v>-0.29586790000000002</v>
      </c>
      <c r="V2713">
        <v>-8.8858640000000003E-2</v>
      </c>
      <c r="W2713">
        <v>-8.9220410000000003E-3</v>
      </c>
      <c r="X2713">
        <v>0.99600429999999995</v>
      </c>
      <c r="Y2713">
        <v>-1.395351E-3</v>
      </c>
      <c r="Z2713">
        <v>6.7374619999999996E-3</v>
      </c>
      <c r="AA2713">
        <v>0.99997630000000004</v>
      </c>
      <c r="AB2713">
        <v>23</v>
      </c>
      <c r="AC2713">
        <v>15.9695999999999</v>
      </c>
      <c r="AD2713">
        <v>-1.1093111034761001</v>
      </c>
      <c r="AE2713">
        <v>-1.5793999999999899</v>
      </c>
      <c r="AF2713">
        <v>-2.45268217470044E-2</v>
      </c>
      <c r="AG2713">
        <v>-1.1093111034761001</v>
      </c>
      <c r="AH2713">
        <v>15.971174465888399</v>
      </c>
      <c r="AI2713">
        <v>93.973211619856002</v>
      </c>
      <c r="AJ2713">
        <v>90.087988661651494</v>
      </c>
      <c r="AK2713">
        <v>16.0096716552566</v>
      </c>
      <c r="AL2713">
        <v>90.511202069551203</v>
      </c>
      <c r="AM2713">
        <v>95.0981522826701</v>
      </c>
      <c r="AN2713">
        <v>1.00000001316837</v>
      </c>
    </row>
    <row r="2714" spans="1:40" x14ac:dyDescent="0.25">
      <c r="A2714" t="str">
        <f>"20190305135844341"</f>
        <v>20190305135844341</v>
      </c>
      <c r="B2714" t="str">
        <f>"1551765524331918"</f>
        <v>1551765524331918</v>
      </c>
      <c r="C2714" t="s">
        <v>40</v>
      </c>
      <c r="D2714">
        <v>3.914012</v>
      </c>
      <c r="E2714">
        <v>0.52697539999999998</v>
      </c>
      <c r="F2714" t="s">
        <v>59</v>
      </c>
      <c r="G2714">
        <v>-443.65010000000001</v>
      </c>
      <c r="H2714" s="1">
        <v>4.5773699999999999E-7</v>
      </c>
      <c r="I2714">
        <v>213.42449999999999</v>
      </c>
      <c r="J2714">
        <v>-468.39409999999998</v>
      </c>
      <c r="K2714">
        <v>1.109316</v>
      </c>
      <c r="L2714">
        <v>215.6739</v>
      </c>
      <c r="M2714">
        <v>0.99519999999999997</v>
      </c>
      <c r="N2714">
        <v>-9.4843399999999995E-4</v>
      </c>
      <c r="O2714">
        <v>-9.7858970000000003E-2</v>
      </c>
      <c r="P2714">
        <v>0.9999207</v>
      </c>
      <c r="Q2714">
        <v>-9.5800299999999998E-3</v>
      </c>
      <c r="R2714">
        <v>-8.1740330000000007E-3</v>
      </c>
      <c r="S2714">
        <v>2.9959720000000001</v>
      </c>
      <c r="T2714">
        <v>-0.13308889999999901</v>
      </c>
      <c r="U2714">
        <v>-0.27233889999999999</v>
      </c>
      <c r="V2714">
        <v>-8.9688309999999993E-2</v>
      </c>
      <c r="W2714">
        <v>-8.9215340000000001E-3</v>
      </c>
      <c r="X2714">
        <v>0.99592990000000003</v>
      </c>
      <c r="Y2714">
        <v>-7.2647780000000004E-3</v>
      </c>
      <c r="Z2714">
        <v>4.3976780000000004E-3</v>
      </c>
      <c r="AA2714">
        <v>0.99996390000000002</v>
      </c>
      <c r="AB2714">
        <v>23</v>
      </c>
      <c r="AC2714">
        <v>24.7439999999999</v>
      </c>
      <c r="AD2714">
        <v>-1.1093155422630001</v>
      </c>
      <c r="AE2714">
        <v>-2.2494000000000001</v>
      </c>
      <c r="AF2714">
        <v>-0.18245581807845099</v>
      </c>
      <c r="AG2714">
        <v>-1.1093155422630001</v>
      </c>
      <c r="AH2714">
        <v>24.7959316003022</v>
      </c>
      <c r="AI2714">
        <v>92.561510069884406</v>
      </c>
      <c r="AJ2714">
        <v>90.421591728168906</v>
      </c>
      <c r="AK2714">
        <v>24.8214039696533</v>
      </c>
      <c r="AL2714">
        <v>90.511173038324301</v>
      </c>
      <c r="AM2714">
        <v>95.145881522444299</v>
      </c>
      <c r="AN2714">
        <v>0.99999997621678904</v>
      </c>
    </row>
    <row r="2715" spans="1:40" x14ac:dyDescent="0.25">
      <c r="A2715" t="str">
        <f>"20190305135844364"</f>
        <v>20190305135844364</v>
      </c>
      <c r="B2715" t="str">
        <f>"1551765524351438"</f>
        <v>1551765524351438</v>
      </c>
      <c r="C2715" t="s">
        <v>40</v>
      </c>
      <c r="D2715">
        <v>3.9090889999999998</v>
      </c>
      <c r="E2715">
        <v>0.52604689999999998</v>
      </c>
      <c r="F2715" t="s">
        <v>59</v>
      </c>
      <c r="G2715">
        <v>-441.67020000000002</v>
      </c>
      <c r="H2715" s="1">
        <v>-5.9968479999999998E-7</v>
      </c>
      <c r="I2715">
        <v>213.51150000000001</v>
      </c>
      <c r="J2715">
        <v>-468.16250000000002</v>
      </c>
      <c r="K2715">
        <v>1.1093029999999999</v>
      </c>
      <c r="L2715">
        <v>215.6534</v>
      </c>
      <c r="M2715">
        <v>0.99540629999999997</v>
      </c>
      <c r="N2715">
        <v>-7.6303030000000004E-4</v>
      </c>
      <c r="O2715">
        <v>-9.5739939999999996E-2</v>
      </c>
      <c r="P2715">
        <v>0.99994079999999996</v>
      </c>
      <c r="Q2715">
        <v>-9.4500569999999996E-3</v>
      </c>
      <c r="R2715">
        <v>-5.4428039999999999E-3</v>
      </c>
      <c r="S2715">
        <v>2.9970699999999999</v>
      </c>
      <c r="T2715">
        <v>-0.124409199999999</v>
      </c>
      <c r="U2715">
        <v>-0.2425079</v>
      </c>
      <c r="V2715">
        <v>-9.0288049999999995E-2</v>
      </c>
      <c r="W2715">
        <v>-8.9819889999999993E-3</v>
      </c>
      <c r="X2715">
        <v>0.99587519999999996</v>
      </c>
      <c r="Y2715">
        <v>-1.505546E-2</v>
      </c>
      <c r="Z2715">
        <v>4.2021480000000002E-3</v>
      </c>
      <c r="AA2715">
        <v>0.99987780000000004</v>
      </c>
      <c r="AB2715">
        <v>23</v>
      </c>
      <c r="AC2715">
        <v>26.4923</v>
      </c>
      <c r="AD2715">
        <v>-1.1093035996848</v>
      </c>
      <c r="AE2715">
        <v>-2.1418999999999899</v>
      </c>
      <c r="AF2715">
        <v>-0.40360743336486699</v>
      </c>
      <c r="AG2715">
        <v>-1.1093035996848</v>
      </c>
      <c r="AH2715">
        <v>26.529457263973601</v>
      </c>
      <c r="AI2715">
        <v>92.394096089151802</v>
      </c>
      <c r="AJ2715">
        <v>90.871605416482893</v>
      </c>
      <c r="AK2715">
        <v>26.5557066589753</v>
      </c>
      <c r="AL2715">
        <v>90.514636975630495</v>
      </c>
      <c r="AM2715">
        <v>95.180388092119202</v>
      </c>
      <c r="AN2715">
        <v>1.0000000110371099</v>
      </c>
    </row>
    <row r="2716" spans="1:40" x14ac:dyDescent="0.25">
      <c r="A2716" t="str">
        <f>"20190305135844385"</f>
        <v>20190305135844385</v>
      </c>
      <c r="B2716" t="str">
        <f>"1551765524381694"</f>
        <v>1551765524381694</v>
      </c>
      <c r="C2716" t="s">
        <v>40</v>
      </c>
      <c r="D2716">
        <v>3.9053559999999998</v>
      </c>
      <c r="E2716">
        <v>0.52552209999999999</v>
      </c>
      <c r="F2716" t="s">
        <v>59</v>
      </c>
      <c r="G2716">
        <v>-442.66699999999997</v>
      </c>
      <c r="H2716" s="1">
        <v>-7.8442109999999997E-8</v>
      </c>
      <c r="I2716">
        <v>213.72120000000001</v>
      </c>
      <c r="J2716">
        <v>-467.93540000000002</v>
      </c>
      <c r="K2716">
        <v>1.1092930000000001</v>
      </c>
      <c r="L2716">
        <v>215.63380000000001</v>
      </c>
      <c r="M2716">
        <v>0.99560320000000002</v>
      </c>
      <c r="N2716">
        <v>-6.0515319999999897E-4</v>
      </c>
      <c r="O2716">
        <v>-9.3670470000000006E-2</v>
      </c>
      <c r="P2716">
        <v>0.99994369999999999</v>
      </c>
      <c r="Q2716">
        <v>-1.0258420000000001E-2</v>
      </c>
      <c r="R2716">
        <v>-2.7218640000000001E-3</v>
      </c>
      <c r="S2716">
        <v>2.9977109999999998</v>
      </c>
      <c r="T2716">
        <v>-0.13042960000000001</v>
      </c>
      <c r="U2716">
        <v>-0.2271881</v>
      </c>
      <c r="V2716">
        <v>-9.0923050000000005E-2</v>
      </c>
      <c r="W2716">
        <v>-9.9527009999999996E-3</v>
      </c>
      <c r="X2716">
        <v>0.99580820000000003</v>
      </c>
      <c r="Y2716">
        <v>-1.8061899999999999E-2</v>
      </c>
      <c r="Z2716">
        <v>4.400719E-3</v>
      </c>
      <c r="AA2716">
        <v>0.99982720000000003</v>
      </c>
      <c r="AB2716">
        <v>24</v>
      </c>
      <c r="AC2716">
        <v>25.2684</v>
      </c>
      <c r="AD2716">
        <v>-1.10929307844211</v>
      </c>
      <c r="AE2716">
        <v>-1.9125999999999901</v>
      </c>
      <c r="AF2716">
        <v>-0.461827265112221</v>
      </c>
      <c r="AG2716">
        <v>-1.10929307844211</v>
      </c>
      <c r="AH2716">
        <v>25.2879968893855</v>
      </c>
      <c r="AI2716">
        <v>92.511330397608504</v>
      </c>
      <c r="AJ2716">
        <v>91.046259696735902</v>
      </c>
      <c r="AK2716">
        <v>25.316528242123798</v>
      </c>
      <c r="AL2716">
        <v>90.570257168793404</v>
      </c>
      <c r="AM2716">
        <v>95.216970728680593</v>
      </c>
      <c r="AN2716">
        <v>1.00000001423286</v>
      </c>
    </row>
    <row r="2717" spans="1:40" x14ac:dyDescent="0.25">
      <c r="A2717" t="str">
        <f>"20190305135844409"</f>
        <v>20190305135844409</v>
      </c>
      <c r="B2717" t="str">
        <f>"1551765524401214"</f>
        <v>1551765524401214</v>
      </c>
      <c r="C2717" t="s">
        <v>40</v>
      </c>
      <c r="D2717">
        <v>3.8834499999999998</v>
      </c>
      <c r="E2717">
        <v>0.52566780000000002</v>
      </c>
      <c r="F2717" t="s">
        <v>59</v>
      </c>
      <c r="G2717">
        <v>-443.4966</v>
      </c>
      <c r="H2717" s="1">
        <v>3.5594559999999898E-7</v>
      </c>
      <c r="I2717">
        <v>213.8836</v>
      </c>
      <c r="J2717">
        <v>-467.67520000000002</v>
      </c>
      <c r="K2717">
        <v>1.1092770000000001</v>
      </c>
      <c r="L2717">
        <v>215.61189999999999</v>
      </c>
      <c r="M2717">
        <v>0.9958226</v>
      </c>
      <c r="N2717">
        <v>-4.5046039999999999E-4</v>
      </c>
      <c r="O2717">
        <v>-9.1308849999999997E-2</v>
      </c>
      <c r="P2717">
        <v>0.99992570000000003</v>
      </c>
      <c r="Q2717">
        <v>-1.218897E-2</v>
      </c>
      <c r="R2717">
        <v>3.1041640000000002E-4</v>
      </c>
      <c r="S2717">
        <v>2.9981689999999999</v>
      </c>
      <c r="T2717">
        <v>-0.13608879999999901</v>
      </c>
      <c r="U2717">
        <v>-0.21472169999999999</v>
      </c>
      <c r="V2717">
        <v>-9.1571929999999996E-2</v>
      </c>
      <c r="W2717">
        <v>-1.204273E-2</v>
      </c>
      <c r="X2717">
        <v>0.99572559999999999</v>
      </c>
      <c r="Y2717">
        <v>-1.9827529999999999E-2</v>
      </c>
      <c r="Z2717">
        <v>4.5419689999999999E-3</v>
      </c>
      <c r="AA2717">
        <v>0.99979309999999999</v>
      </c>
      <c r="AB2717">
        <v>24</v>
      </c>
      <c r="AC2717">
        <v>24.178599999999999</v>
      </c>
      <c r="AD2717">
        <v>-1.1092766440544</v>
      </c>
      <c r="AE2717">
        <v>-1.72829999999999</v>
      </c>
      <c r="AF2717">
        <v>-0.485623012817612</v>
      </c>
      <c r="AG2717">
        <v>-1.1092766440544</v>
      </c>
      <c r="AH2717">
        <v>24.1847598441671</v>
      </c>
      <c r="AI2717">
        <v>92.625602858643404</v>
      </c>
      <c r="AJ2717">
        <v>91.150328166779403</v>
      </c>
      <c r="AK2717">
        <v>24.215055917830501</v>
      </c>
      <c r="AL2717">
        <v>90.6900143109021</v>
      </c>
      <c r="AM2717">
        <v>95.254427851321594</v>
      </c>
      <c r="AN2717">
        <v>0.99999995810256803</v>
      </c>
    </row>
    <row r="2718" spans="1:40" x14ac:dyDescent="0.25">
      <c r="A2718" t="str">
        <f>"20190305135844433"</f>
        <v>20190305135844433</v>
      </c>
      <c r="B2718" t="str">
        <f>"1551765524421710"</f>
        <v>1551765524421710</v>
      </c>
      <c r="C2718" t="s">
        <v>40</v>
      </c>
      <c r="D2718">
        <v>3.873891</v>
      </c>
      <c r="E2718">
        <v>0.52590019999999904</v>
      </c>
      <c r="F2718" t="s">
        <v>59</v>
      </c>
      <c r="G2718">
        <v>-444.66899999999998</v>
      </c>
      <c r="H2718" s="1">
        <v>9.7366069999999899E-7</v>
      </c>
      <c r="I2718">
        <v>214.0247</v>
      </c>
      <c r="J2718">
        <v>-467.42540000000002</v>
      </c>
      <c r="K2718">
        <v>1.109256</v>
      </c>
      <c r="L2718">
        <v>215.59139999999999</v>
      </c>
      <c r="M2718">
        <v>0.9960272</v>
      </c>
      <c r="N2718">
        <v>-3.2467120000000002E-4</v>
      </c>
      <c r="O2718">
        <v>-8.9049349999999999E-2</v>
      </c>
      <c r="P2718">
        <v>0.99989490000000003</v>
      </c>
      <c r="Q2718">
        <v>-1.4327599999999999E-2</v>
      </c>
      <c r="R2718">
        <v>2.2949749999999999E-3</v>
      </c>
      <c r="S2718">
        <v>2.998535</v>
      </c>
      <c r="T2718">
        <v>-0.14457809999999999</v>
      </c>
      <c r="U2718">
        <v>-0.2068634</v>
      </c>
      <c r="V2718">
        <v>-9.1278629999999999E-2</v>
      </c>
      <c r="W2718">
        <v>-1.430909E-2</v>
      </c>
      <c r="X2718">
        <v>0.99572260000000001</v>
      </c>
      <c r="Y2718">
        <v>-2.0162409999999999E-2</v>
      </c>
      <c r="Z2718">
        <v>4.7380870000000002E-3</v>
      </c>
      <c r="AA2718">
        <v>0.99978549999999999</v>
      </c>
      <c r="AB2718">
        <v>24</v>
      </c>
      <c r="AC2718">
        <v>22.7563999999999</v>
      </c>
      <c r="AD2718">
        <v>-1.1092550263393</v>
      </c>
      <c r="AE2718">
        <v>-1.56669999999999</v>
      </c>
      <c r="AF2718">
        <v>-0.46486748313380899</v>
      </c>
      <c r="AG2718">
        <v>-1.1092550263393</v>
      </c>
      <c r="AH2718">
        <v>22.7517031590443</v>
      </c>
      <c r="AI2718">
        <v>92.790653249198598</v>
      </c>
      <c r="AJ2718">
        <v>91.170516294254995</v>
      </c>
      <c r="AK2718">
        <v>22.7834708753429</v>
      </c>
      <c r="AL2718">
        <v>90.8198784315111</v>
      </c>
      <c r="AM2718">
        <v>95.237707645073797</v>
      </c>
      <c r="AN2718">
        <v>1.0000000172510299</v>
      </c>
    </row>
    <row r="2719" spans="1:40" x14ac:dyDescent="0.25">
      <c r="A2719" t="str">
        <f>"20190305135844452"</f>
        <v>20190305135844452</v>
      </c>
      <c r="B2719" t="str">
        <f>"1551765524441234"</f>
        <v>1551765524441234</v>
      </c>
      <c r="C2719" t="s">
        <v>40</v>
      </c>
      <c r="D2719">
        <v>3.8572950000000001</v>
      </c>
      <c r="E2719">
        <v>0.52628540000000001</v>
      </c>
      <c r="F2719" t="s">
        <v>59</v>
      </c>
      <c r="G2719">
        <v>-446.17099999999999</v>
      </c>
      <c r="H2719" s="1">
        <v>1.7673899999999999E-6</v>
      </c>
      <c r="I2719">
        <v>214.15270000000001</v>
      </c>
      <c r="J2719">
        <v>-467.20310000000001</v>
      </c>
      <c r="K2719">
        <v>1.1092409999999999</v>
      </c>
      <c r="L2719">
        <v>215.5736</v>
      </c>
      <c r="M2719">
        <v>0.99620430000000004</v>
      </c>
      <c r="N2719">
        <v>-2.2959599999999999E-4</v>
      </c>
      <c r="O2719">
        <v>-8.7045059999999994E-2</v>
      </c>
      <c r="P2719">
        <v>0.99987020000000004</v>
      </c>
      <c r="Q2719">
        <v>-1.5842829999999999E-2</v>
      </c>
      <c r="R2719">
        <v>2.9619009999999999E-3</v>
      </c>
      <c r="S2719">
        <v>2.998535</v>
      </c>
      <c r="T2719">
        <v>-0.15649199999999999</v>
      </c>
      <c r="U2719">
        <v>-0.2029724</v>
      </c>
      <c r="V2719">
        <v>-8.9931250000000004E-2</v>
      </c>
      <c r="W2719">
        <v>-1.5917959999999998E-2</v>
      </c>
      <c r="X2719">
        <v>0.99582079999999995</v>
      </c>
      <c r="Y2719">
        <v>-1.9423820000000001E-2</v>
      </c>
      <c r="Z2719">
        <v>5.015116E-3</v>
      </c>
      <c r="AA2719">
        <v>0.99979879999999999</v>
      </c>
      <c r="AB2719">
        <v>24</v>
      </c>
      <c r="AC2719">
        <v>21.0321</v>
      </c>
      <c r="AD2719">
        <v>-1.10923923261</v>
      </c>
      <c r="AE2719">
        <v>-1.4208999999999801</v>
      </c>
      <c r="AF2719">
        <v>-0.41408718118167198</v>
      </c>
      <c r="AG2719">
        <v>-1.10923923261</v>
      </c>
      <c r="AH2719">
        <v>21.017756272697898</v>
      </c>
      <c r="AI2719">
        <v>93.020470887235902</v>
      </c>
      <c r="AJ2719">
        <v>91.128682742433398</v>
      </c>
      <c r="AK2719">
        <v>21.051079749203101</v>
      </c>
      <c r="AL2719">
        <v>90.9120704111116</v>
      </c>
      <c r="AM2719">
        <v>95.160307346230496</v>
      </c>
      <c r="AN2719">
        <v>1.0000000384448799</v>
      </c>
    </row>
    <row r="2720" spans="1:40" x14ac:dyDescent="0.25">
      <c r="A2720" t="str">
        <f>"20190305135844476"</f>
        <v>20190305135844476</v>
      </c>
      <c r="B2720" t="str">
        <f>"1551765524471487"</f>
        <v>1551765524471487</v>
      </c>
      <c r="C2720" t="s">
        <v>40</v>
      </c>
      <c r="D2720">
        <v>3.8431479999999998</v>
      </c>
      <c r="E2720">
        <v>0.52678719999999901</v>
      </c>
      <c r="F2720" t="s">
        <v>59</v>
      </c>
      <c r="G2720">
        <v>-446.5453</v>
      </c>
      <c r="H2720" s="1">
        <v>1.9659199999999998E-6</v>
      </c>
      <c r="I2720">
        <v>214.1679</v>
      </c>
      <c r="J2720">
        <v>-466.9554</v>
      </c>
      <c r="K2720">
        <v>1.109229</v>
      </c>
      <c r="L2720">
        <v>215.55430000000001</v>
      </c>
      <c r="M2720">
        <v>0.99639650000000002</v>
      </c>
      <c r="N2720">
        <v>-1.3967839999999999E-4</v>
      </c>
      <c r="O2720">
        <v>-8.4817489999999995E-2</v>
      </c>
      <c r="P2720">
        <v>0.99983690000000003</v>
      </c>
      <c r="Q2720">
        <v>-1.7823080000000002E-2</v>
      </c>
      <c r="R2720">
        <v>2.9498089999999999E-3</v>
      </c>
      <c r="S2720">
        <v>2.9984739999999999</v>
      </c>
      <c r="T2720">
        <v>-0.16100629999999999</v>
      </c>
      <c r="U2720">
        <v>-0.20404050000000001</v>
      </c>
      <c r="V2720">
        <v>-8.768194E-2</v>
      </c>
      <c r="W2720">
        <v>-1.798429E-2</v>
      </c>
      <c r="X2720">
        <v>0.99598620000000004</v>
      </c>
      <c r="Y2720">
        <v>-1.6830560000000001E-2</v>
      </c>
      <c r="Z2720">
        <v>4.9788260000000004E-3</v>
      </c>
      <c r="AA2720">
        <v>0.99984600000000001</v>
      </c>
      <c r="AB2720">
        <v>24</v>
      </c>
      <c r="AC2720">
        <v>20.4101</v>
      </c>
      <c r="AD2720">
        <v>-1.1092270340799999</v>
      </c>
      <c r="AE2720">
        <v>-1.3864000000000001</v>
      </c>
      <c r="AF2720">
        <v>-0.34870414678072398</v>
      </c>
      <c r="AG2720">
        <v>-1.1092270340799999</v>
      </c>
      <c r="AH2720">
        <v>20.394183800041102</v>
      </c>
      <c r="AI2720">
        <v>93.112760482846099</v>
      </c>
      <c r="AJ2720">
        <v>90.979560127190894</v>
      </c>
      <c r="AK2720">
        <v>20.427303103076898</v>
      </c>
      <c r="AL2720">
        <v>91.030479433453394</v>
      </c>
      <c r="AM2720">
        <v>95.031080351053205</v>
      </c>
      <c r="AN2720">
        <v>1.0000000339396999</v>
      </c>
    </row>
    <row r="2721" spans="1:40" x14ac:dyDescent="0.25">
      <c r="A2721" t="str">
        <f>"20190305135844498"</f>
        <v>20190305135844498</v>
      </c>
      <c r="B2721" t="str">
        <f>"1551765524491007"</f>
        <v>1551765524491007</v>
      </c>
      <c r="C2721" t="s">
        <v>40</v>
      </c>
      <c r="D2721">
        <v>3.882142</v>
      </c>
      <c r="E2721">
        <v>0.52711869999999905</v>
      </c>
      <c r="F2721" t="s">
        <v>59</v>
      </c>
      <c r="G2721">
        <v>-447.28100000000001</v>
      </c>
      <c r="H2721" s="1">
        <v>2.356524E-6</v>
      </c>
      <c r="I2721">
        <v>214.1885</v>
      </c>
      <c r="J2721">
        <v>-466.70819999999998</v>
      </c>
      <c r="K2721">
        <v>1.1092299999999999</v>
      </c>
      <c r="L2721">
        <v>215.53550000000001</v>
      </c>
      <c r="M2721">
        <v>0.99658259999999999</v>
      </c>
      <c r="N2721" s="1">
        <v>-6.4582800000000001E-5</v>
      </c>
      <c r="O2721">
        <v>-8.2603750000000004E-2</v>
      </c>
      <c r="P2721">
        <v>0.99979799999999996</v>
      </c>
      <c r="Q2721">
        <v>-1.9998220000000001E-2</v>
      </c>
      <c r="R2721">
        <v>2.095024E-3</v>
      </c>
      <c r="S2721">
        <v>2.9980470000000001</v>
      </c>
      <c r="T2721">
        <v>-0.16902799999999901</v>
      </c>
      <c r="U2721">
        <v>-0.20812990000000001</v>
      </c>
      <c r="V2721">
        <v>-8.4605609999999998E-2</v>
      </c>
      <c r="W2721">
        <v>-2.0227729999999999E-2</v>
      </c>
      <c r="X2721">
        <v>0.99620920000000002</v>
      </c>
      <c r="Y2721">
        <v>-1.32362E-2</v>
      </c>
      <c r="Z2721">
        <v>5.0080489999999997E-3</v>
      </c>
      <c r="AA2721">
        <v>0.99989989999999995</v>
      </c>
      <c r="AB2721">
        <v>25</v>
      </c>
      <c r="AC2721">
        <v>19.4271999999999</v>
      </c>
      <c r="AD2721">
        <v>-1.109227643476</v>
      </c>
      <c r="AE2721">
        <v>-1.347</v>
      </c>
      <c r="AF2721">
        <v>-0.26151431166227501</v>
      </c>
      <c r="AG2721">
        <v>-1.109227643476</v>
      </c>
      <c r="AH2721">
        <v>19.409102794131599</v>
      </c>
      <c r="AI2721">
        <v>93.270592032782702</v>
      </c>
      <c r="AJ2721">
        <v>90.771944992541805</v>
      </c>
      <c r="AK2721">
        <v>19.4425319074812</v>
      </c>
      <c r="AL2721">
        <v>91.159042583022895</v>
      </c>
      <c r="AM2721">
        <v>94.8543417826953</v>
      </c>
      <c r="AN2721">
        <v>1.0000000202345301</v>
      </c>
    </row>
    <row r="2722" spans="1:40" x14ac:dyDescent="0.25">
      <c r="A2722" t="str">
        <f>"20190305135844521"</f>
        <v>20190305135844521</v>
      </c>
      <c r="B2722" t="str">
        <f>"1551765524511503"</f>
        <v>1551765524511503</v>
      </c>
      <c r="C2722" t="s">
        <v>40</v>
      </c>
      <c r="D2722">
        <v>3.8895930000000001</v>
      </c>
      <c r="E2722">
        <v>0.52749429999999997</v>
      </c>
      <c r="F2722" t="s">
        <v>59</v>
      </c>
      <c r="G2722">
        <v>-447.87</v>
      </c>
      <c r="H2722" s="1">
        <v>2.6696860000000001E-6</v>
      </c>
      <c r="I2722">
        <v>214.1942</v>
      </c>
      <c r="J2722">
        <v>-466.4545</v>
      </c>
      <c r="K2722">
        <v>1.1092229999999901</v>
      </c>
      <c r="L2722">
        <v>215.51679999999999</v>
      </c>
      <c r="M2722">
        <v>0.99676659999999995</v>
      </c>
      <c r="N2722" s="1">
        <v>-1.712819E-6</v>
      </c>
      <c r="O2722">
        <v>-8.0351339999999993E-2</v>
      </c>
      <c r="P2722">
        <v>0.99974260000000004</v>
      </c>
      <c r="Q2722">
        <v>-2.2679210000000002E-2</v>
      </c>
      <c r="R2722">
        <v>4.7209930000000002E-4</v>
      </c>
      <c r="S2722">
        <v>2.997528</v>
      </c>
      <c r="T2722">
        <v>-0.17649999999999999</v>
      </c>
      <c r="U2722">
        <v>-0.21342469999999999</v>
      </c>
      <c r="V2722">
        <v>-8.0721119999999993E-2</v>
      </c>
      <c r="W2722">
        <v>-2.2960959999999999E-2</v>
      </c>
      <c r="X2722">
        <v>0.99647220000000003</v>
      </c>
      <c r="Y2722">
        <v>-9.2037590000000006E-3</v>
      </c>
      <c r="Z2722">
        <v>4.9842519999999998E-3</v>
      </c>
      <c r="AA2722">
        <v>0.99994519999999998</v>
      </c>
      <c r="AB2722">
        <v>25</v>
      </c>
      <c r="AC2722">
        <v>18.584499999999899</v>
      </c>
      <c r="AD2722">
        <v>-1.10922033031399</v>
      </c>
      <c r="AE2722">
        <v>-1.32259999999999</v>
      </c>
      <c r="AF2722">
        <v>-0.17434801868251601</v>
      </c>
      <c r="AG2722">
        <v>-1.10922033031399</v>
      </c>
      <c r="AH2722">
        <v>18.564880700480298</v>
      </c>
      <c r="AI2722">
        <v>93.419110940733205</v>
      </c>
      <c r="AJ2722">
        <v>90.538064969978294</v>
      </c>
      <c r="AK2722">
        <v>18.5988054023872</v>
      </c>
      <c r="AL2722">
        <v>91.315681757375401</v>
      </c>
      <c r="AM2722">
        <v>94.631240677756097</v>
      </c>
      <c r="AN2722">
        <v>0.99999997513550698</v>
      </c>
    </row>
    <row r="2723" spans="1:40" x14ac:dyDescent="0.25">
      <c r="A2723" t="str">
        <f>"20190305135844542"</f>
        <v>20190305135844542</v>
      </c>
      <c r="B2723" t="str">
        <f>"1551765524531999"</f>
        <v>1551765524531999</v>
      </c>
      <c r="C2723" t="s">
        <v>40</v>
      </c>
      <c r="D2723">
        <v>3.8720880000000002</v>
      </c>
      <c r="E2723">
        <v>0.52765150000000005</v>
      </c>
      <c r="F2723" t="s">
        <v>59</v>
      </c>
      <c r="G2723">
        <v>-448.46629999999999</v>
      </c>
      <c r="H2723" s="1">
        <v>2.987264E-6</v>
      </c>
      <c r="I2723">
        <v>214.1884</v>
      </c>
      <c r="J2723">
        <v>-466.20060000000001</v>
      </c>
      <c r="K2723">
        <v>1.1092150000000001</v>
      </c>
      <c r="L2723">
        <v>215.49870000000001</v>
      </c>
      <c r="M2723">
        <v>0.99694329999999998</v>
      </c>
      <c r="N2723" s="1">
        <v>4.9923429999999999E-5</v>
      </c>
      <c r="O2723">
        <v>-7.813059E-2</v>
      </c>
      <c r="P2723">
        <v>0.9997007</v>
      </c>
      <c r="Q2723">
        <v>-2.4469439999999999E-2</v>
      </c>
      <c r="R2723">
        <v>-5.0760430000000004E-4</v>
      </c>
      <c r="S2723">
        <v>2.9966430000000002</v>
      </c>
      <c r="T2723">
        <v>-0.1847848</v>
      </c>
      <c r="U2723">
        <v>-0.2212982</v>
      </c>
      <c r="V2723">
        <v>-7.7513830000000006E-2</v>
      </c>
      <c r="W2723">
        <v>-2.4792740000000001E-2</v>
      </c>
      <c r="X2723">
        <v>0.99668290000000004</v>
      </c>
      <c r="Y2723">
        <v>-4.339786E-3</v>
      </c>
      <c r="Z2723">
        <v>4.9368889999999999E-3</v>
      </c>
      <c r="AA2723">
        <v>0.99997840000000005</v>
      </c>
      <c r="AB2723">
        <v>25</v>
      </c>
      <c r="AC2723">
        <v>17.734300000000001</v>
      </c>
      <c r="AD2723">
        <v>-1.1092120127359999</v>
      </c>
      <c r="AE2723">
        <v>-1.31030000000001</v>
      </c>
      <c r="AF2723">
        <v>-7.8989173577677693E-2</v>
      </c>
      <c r="AG2723">
        <v>-1.1092120127359999</v>
      </c>
      <c r="AH2723">
        <v>17.713543622034301</v>
      </c>
      <c r="AI2723">
        <v>93.583115026667599</v>
      </c>
      <c r="AJ2723">
        <v>90.255494686556901</v>
      </c>
      <c r="AK2723">
        <v>17.748414527175498</v>
      </c>
      <c r="AL2723">
        <v>91.420665019721298</v>
      </c>
      <c r="AM2723">
        <v>94.447044798676004</v>
      </c>
      <c r="AN2723">
        <v>0.99999993847519097</v>
      </c>
    </row>
    <row r="2724" spans="1:40" x14ac:dyDescent="0.25">
      <c r="A2724" t="str">
        <f>"20190305135844565"</f>
        <v>20190305135844565</v>
      </c>
      <c r="B2724" t="str">
        <f>"1551765524561279"</f>
        <v>1551765524561279</v>
      </c>
      <c r="C2724" t="s">
        <v>40</v>
      </c>
      <c r="D2724">
        <v>3.8995389999999999</v>
      </c>
      <c r="E2724">
        <v>0.52771789999999996</v>
      </c>
      <c r="F2724" t="s">
        <v>41</v>
      </c>
      <c r="G2724">
        <v>-465.28699999999998</v>
      </c>
      <c r="H2724">
        <v>1.051234</v>
      </c>
      <c r="I2724">
        <v>215.4299</v>
      </c>
      <c r="J2724">
        <v>-465.94779999999997</v>
      </c>
      <c r="K2724">
        <v>1.109208</v>
      </c>
      <c r="L2724">
        <v>215.4812</v>
      </c>
      <c r="M2724">
        <v>0.99711119999999998</v>
      </c>
      <c r="N2724" s="1">
        <v>9.2120960000000005E-5</v>
      </c>
      <c r="O2724">
        <v>-7.5957239999999995E-2</v>
      </c>
      <c r="P2724">
        <v>0.99971860000000001</v>
      </c>
      <c r="Q2724">
        <v>-2.3721300000000001E-2</v>
      </c>
      <c r="R2724">
        <v>-4.4404159999999999E-4</v>
      </c>
      <c r="S2724">
        <v>2.9960939999999998</v>
      </c>
      <c r="T2724">
        <v>-0.1902248</v>
      </c>
      <c r="U2724">
        <v>-0.22549440000000001</v>
      </c>
      <c r="V2724">
        <v>-7.5408639999999999E-2</v>
      </c>
      <c r="W2724">
        <v>-2.4079389999999999E-2</v>
      </c>
      <c r="X2724">
        <v>0.99686189999999997</v>
      </c>
      <c r="Y2724">
        <v>-7.556962E-4</v>
      </c>
      <c r="Z2724">
        <v>4.8349409999999997E-3</v>
      </c>
      <c r="AA2724">
        <v>0.99998799999999999</v>
      </c>
      <c r="AB2724">
        <v>25</v>
      </c>
      <c r="AC2724">
        <v>0.66079999999999395</v>
      </c>
      <c r="AD2724">
        <v>-5.7973999999999901E-2</v>
      </c>
      <c r="AE2724">
        <v>-5.1299999999997598E-2</v>
      </c>
      <c r="AF2724">
        <v>9.5197669798671703E-4</v>
      </c>
      <c r="AG2724">
        <v>-5.7973999999999901E-2</v>
      </c>
      <c r="AH2724">
        <v>0.65775513629047899</v>
      </c>
      <c r="AI2724">
        <v>95.036981526698099</v>
      </c>
      <c r="AJ2724">
        <v>89.917075206417493</v>
      </c>
      <c r="AK2724">
        <v>0.66030577027021298</v>
      </c>
      <c r="AL2724">
        <v>91.379780828793102</v>
      </c>
      <c r="AM2724">
        <v>94.325959002460493</v>
      </c>
      <c r="AN2724">
        <v>0.99999996384051504</v>
      </c>
    </row>
    <row r="2725" spans="1:40" x14ac:dyDescent="0.25">
      <c r="A2725" t="str">
        <f>"20190305135844586"</f>
        <v>20190305135844586</v>
      </c>
      <c r="B2725" t="str">
        <f>"1551765524581774"</f>
        <v>1551765524581774</v>
      </c>
      <c r="C2725" t="s">
        <v>40</v>
      </c>
      <c r="D2725">
        <v>3.893513</v>
      </c>
      <c r="E2725">
        <v>0.52759129999999999</v>
      </c>
      <c r="F2725" t="s">
        <v>59</v>
      </c>
      <c r="G2725">
        <v>-448.26249999999999</v>
      </c>
      <c r="H2725" s="1">
        <v>2.8806279999999999E-6</v>
      </c>
      <c r="I2725">
        <v>214.1473</v>
      </c>
      <c r="J2725">
        <v>-465.70670000000001</v>
      </c>
      <c r="K2725">
        <v>1.1091869999999999</v>
      </c>
      <c r="L2725">
        <v>215.4649</v>
      </c>
      <c r="M2725">
        <v>0.99726300000000001</v>
      </c>
      <c r="N2725">
        <v>1.2488169999999999E-4</v>
      </c>
      <c r="O2725">
        <v>-7.3938309999999993E-2</v>
      </c>
      <c r="P2725">
        <v>0.99975199999999997</v>
      </c>
      <c r="Q2725">
        <v>-2.2222970000000002E-2</v>
      </c>
      <c r="R2725">
        <v>1.5505549999999999E-3</v>
      </c>
      <c r="S2725">
        <v>2.9962460000000002</v>
      </c>
      <c r="T2725">
        <v>-0.1879226</v>
      </c>
      <c r="U2725">
        <v>-0.22598270000000001</v>
      </c>
      <c r="V2725">
        <v>-7.5387460000000003E-2</v>
      </c>
      <c r="W2725">
        <v>-2.2611840000000001E-2</v>
      </c>
      <c r="X2725">
        <v>0.9968979</v>
      </c>
      <c r="Y2725">
        <v>1.41545E-3</v>
      </c>
      <c r="Z2725">
        <v>4.5849050000000002E-3</v>
      </c>
      <c r="AA2725">
        <v>0.99998849999999995</v>
      </c>
      <c r="AB2725">
        <v>26</v>
      </c>
      <c r="AC2725">
        <v>17.444199999999999</v>
      </c>
      <c r="AD2725">
        <v>-1.109184119372</v>
      </c>
      <c r="AE2725">
        <v>-1.3175999999999899</v>
      </c>
      <c r="AF2725">
        <v>2.41021644956829E-2</v>
      </c>
      <c r="AG2725">
        <v>-1.109184119372</v>
      </c>
      <c r="AH2725">
        <v>17.423827998183</v>
      </c>
      <c r="AI2725">
        <v>93.642475655712303</v>
      </c>
      <c r="AJ2725">
        <v>89.9207435115826</v>
      </c>
      <c r="AK2725">
        <v>17.459113735675899</v>
      </c>
      <c r="AL2725">
        <v>91.295673435108299</v>
      </c>
      <c r="AM2725">
        <v>94.324592999236401</v>
      </c>
      <c r="AN2725">
        <v>0.99999999372892301</v>
      </c>
    </row>
    <row r="2726" spans="1:40" x14ac:dyDescent="0.25">
      <c r="A2726" t="str">
        <f>"20190305135844611"</f>
        <v>20190305135844611</v>
      </c>
      <c r="B2726" t="str">
        <f>"1551765524601294"</f>
        <v>1551765524601294</v>
      </c>
      <c r="C2726" t="s">
        <v>40</v>
      </c>
      <c r="D2726">
        <v>3.9428770000000002</v>
      </c>
      <c r="E2726">
        <v>0.52765269999999898</v>
      </c>
      <c r="F2726" t="s">
        <v>59</v>
      </c>
      <c r="G2726">
        <v>-447.4898</v>
      </c>
      <c r="H2726" s="1">
        <v>2.4700800000000002E-6</v>
      </c>
      <c r="I2726">
        <v>214.1318</v>
      </c>
      <c r="J2726">
        <v>-465.41860000000003</v>
      </c>
      <c r="K2726">
        <v>1.109143</v>
      </c>
      <c r="L2726">
        <v>215.446</v>
      </c>
      <c r="M2726">
        <v>0.99743159999999997</v>
      </c>
      <c r="N2726">
        <v>1.5615099999999999E-4</v>
      </c>
      <c r="O2726">
        <v>-7.1626389999999998E-2</v>
      </c>
      <c r="P2726">
        <v>0.99973480000000003</v>
      </c>
      <c r="Q2726">
        <v>-2.2490159999999999E-2</v>
      </c>
      <c r="R2726">
        <v>4.9869299999999997E-3</v>
      </c>
      <c r="S2726">
        <v>2.9970400000000001</v>
      </c>
      <c r="T2726">
        <v>-0.18248239999999999</v>
      </c>
      <c r="U2726">
        <v>-0.2193146</v>
      </c>
      <c r="V2726">
        <v>-7.6503979999999999E-2</v>
      </c>
      <c r="W2726">
        <v>-2.2908029999999999E-2</v>
      </c>
      <c r="X2726">
        <v>0.99680610000000003</v>
      </c>
      <c r="Y2726">
        <v>1.488631E-3</v>
      </c>
      <c r="Z2726">
        <v>4.311751E-3</v>
      </c>
      <c r="AA2726">
        <v>0.99998960000000003</v>
      </c>
      <c r="AB2726">
        <v>26</v>
      </c>
      <c r="AC2726">
        <v>17.928799999999999</v>
      </c>
      <c r="AD2726">
        <v>-1.1091405299199999</v>
      </c>
      <c r="AE2726">
        <v>-1.31419999999999</v>
      </c>
      <c r="AF2726">
        <v>2.6548325565500099E-2</v>
      </c>
      <c r="AG2726">
        <v>-1.1091405299199999</v>
      </c>
      <c r="AH2726">
        <v>17.9087095745356</v>
      </c>
      <c r="AI2726">
        <v>93.543970390440293</v>
      </c>
      <c r="AJ2726">
        <v>89.9150633446</v>
      </c>
      <c r="AK2726">
        <v>17.9430425556472</v>
      </c>
      <c r="AL2726">
        <v>91.312648236345794</v>
      </c>
      <c r="AM2726">
        <v>94.388796227423896</v>
      </c>
      <c r="AN2726">
        <v>1.0000000188957601</v>
      </c>
    </row>
    <row r="2727" spans="1:40" x14ac:dyDescent="0.25">
      <c r="A2727" t="str">
        <f>"20190305135844634"</f>
        <v>20190305135844634</v>
      </c>
      <c r="B2727" t="str">
        <f>"1551765524621791"</f>
        <v>1551765524621791</v>
      </c>
      <c r="C2727" t="s">
        <v>40</v>
      </c>
      <c r="D2727">
        <v>3.899311</v>
      </c>
      <c r="E2727">
        <v>0.52766159999999995</v>
      </c>
      <c r="F2727" t="s">
        <v>59</v>
      </c>
      <c r="G2727">
        <v>-447.06810000000002</v>
      </c>
      <c r="H2727" s="1">
        <v>2.244329E-6</v>
      </c>
      <c r="I2727">
        <v>214.1627</v>
      </c>
      <c r="J2727">
        <v>-465.14789999999999</v>
      </c>
      <c r="K2727">
        <v>1.109064</v>
      </c>
      <c r="L2727">
        <v>215.42869999999999</v>
      </c>
      <c r="M2727">
        <v>0.99757560000000001</v>
      </c>
      <c r="N2727">
        <v>1.7575259999999901E-4</v>
      </c>
      <c r="O2727">
        <v>-6.9591730000000004E-2</v>
      </c>
      <c r="P2727">
        <v>0.99966719999999998</v>
      </c>
      <c r="Q2727">
        <v>-2.470257E-2</v>
      </c>
      <c r="R2727">
        <v>7.4597830000000002E-3</v>
      </c>
      <c r="S2727">
        <v>2.9977719999999999</v>
      </c>
      <c r="T2727">
        <v>-0.18119080000000001</v>
      </c>
      <c r="U2727">
        <v>-0.20964050000000001</v>
      </c>
      <c r="V2727">
        <v>-7.6928129999999997E-2</v>
      </c>
      <c r="W2727">
        <v>-2.5130840000000002E-2</v>
      </c>
      <c r="X2727">
        <v>0.99671989999999999</v>
      </c>
      <c r="Y2727">
        <v>2.9668899999999999E-4</v>
      </c>
      <c r="Z2727">
        <v>4.1955100000000004E-3</v>
      </c>
      <c r="AA2727">
        <v>0.99999119999999997</v>
      </c>
      <c r="AB2727">
        <v>26</v>
      </c>
      <c r="AC2727">
        <v>18.079799999999899</v>
      </c>
      <c r="AD2727">
        <v>-1.1090617556710001</v>
      </c>
      <c r="AE2727">
        <v>-1.26599999999999</v>
      </c>
      <c r="AF2727">
        <v>4.7085180459223103E-3</v>
      </c>
      <c r="AG2727">
        <v>-1.1090617556710001</v>
      </c>
      <c r="AH2727">
        <v>18.056456320398102</v>
      </c>
      <c r="AI2727">
        <v>93.514799609570602</v>
      </c>
      <c r="AJ2727">
        <v>89.985059183214503</v>
      </c>
      <c r="AK2727">
        <v>18.090485206275702</v>
      </c>
      <c r="AL2727">
        <v>91.440042633562399</v>
      </c>
      <c r="AM2727">
        <v>94.413412691455605</v>
      </c>
      <c r="AN2727">
        <v>1.0000000276801999</v>
      </c>
    </row>
    <row r="2728" spans="1:40" x14ac:dyDescent="0.25">
      <c r="A2728" t="str">
        <f>"20190305135844655"</f>
        <v>20190305135844655</v>
      </c>
      <c r="B2728" t="str">
        <f>"1551765524651071"</f>
        <v>1551765524651071</v>
      </c>
      <c r="C2728" t="s">
        <v>40</v>
      </c>
      <c r="D2728">
        <v>3.9591400000000001</v>
      </c>
      <c r="E2728">
        <v>0.52764789999999995</v>
      </c>
      <c r="F2728" t="s">
        <v>59</v>
      </c>
      <c r="G2728">
        <v>-447.34190000000001</v>
      </c>
      <c r="H2728" s="1">
        <v>2.3871699999999998E-6</v>
      </c>
      <c r="I2728">
        <v>214.22819999999999</v>
      </c>
      <c r="J2728">
        <v>-464.88720000000001</v>
      </c>
      <c r="K2728">
        <v>1.1089580000000001</v>
      </c>
      <c r="L2728">
        <v>215.41239999999999</v>
      </c>
      <c r="M2728">
        <v>0.99769909999999995</v>
      </c>
      <c r="N2728">
        <v>1.8131009999999999E-4</v>
      </c>
      <c r="O2728">
        <v>-6.7798700000000003E-2</v>
      </c>
      <c r="P2728">
        <v>0.99959920000000002</v>
      </c>
      <c r="Q2728">
        <v>-2.6698860000000001E-2</v>
      </c>
      <c r="R2728">
        <v>9.4268779999999996E-3</v>
      </c>
      <c r="S2728">
        <v>2.997925</v>
      </c>
      <c r="T2728">
        <v>-0.18672800000000001</v>
      </c>
      <c r="U2728">
        <v>-0.20211789999999999</v>
      </c>
      <c r="V2728">
        <v>-7.7093789999999995E-2</v>
      </c>
      <c r="W2728">
        <v>-2.7117749999999999E-2</v>
      </c>
      <c r="X2728">
        <v>0.99665499999999996</v>
      </c>
      <c r="Y2728">
        <v>-4.0132329999999997E-4</v>
      </c>
      <c r="Z2728">
        <v>4.233924E-3</v>
      </c>
      <c r="AA2728">
        <v>0.99999090000000002</v>
      </c>
      <c r="AB2728">
        <v>26</v>
      </c>
      <c r="AC2728">
        <v>17.545299999999902</v>
      </c>
      <c r="AD2728">
        <v>-1.10895561283</v>
      </c>
      <c r="AE2728">
        <v>-1.1841999999999999</v>
      </c>
      <c r="AF2728">
        <v>-8.0412777672191904E-3</v>
      </c>
      <c r="AG2728">
        <v>-1.10895561283</v>
      </c>
      <c r="AH2728">
        <v>17.515560120118199</v>
      </c>
      <c r="AI2728">
        <v>93.622708900248796</v>
      </c>
      <c r="AJ2728">
        <v>90.026304111454294</v>
      </c>
      <c r="AK2728">
        <v>17.550632283050401</v>
      </c>
      <c r="AL2728">
        <v>91.553923105846195</v>
      </c>
      <c r="AM2728">
        <v>94.423165899487799</v>
      </c>
      <c r="AN2728">
        <v>1.0000000069233099</v>
      </c>
    </row>
    <row r="2729" spans="1:40" x14ac:dyDescent="0.25">
      <c r="A2729" t="str">
        <f>"20190305135844676"</f>
        <v>20190305135844676</v>
      </c>
      <c r="B2729" t="str">
        <f>"1551765524670992"</f>
        <v>1551765524670992</v>
      </c>
      <c r="C2729" t="s">
        <v>40</v>
      </c>
      <c r="D2729">
        <v>3.9826869999999999</v>
      </c>
      <c r="E2729">
        <v>0.52762140000000002</v>
      </c>
      <c r="F2729" t="s">
        <v>59</v>
      </c>
      <c r="G2729">
        <v>-447.64749999999998</v>
      </c>
      <c r="H2729" s="1">
        <v>2.547395E-6</v>
      </c>
      <c r="I2729">
        <v>214.2826</v>
      </c>
      <c r="J2729">
        <v>-464.63729999999998</v>
      </c>
      <c r="K2729">
        <v>1.1088450000000001</v>
      </c>
      <c r="L2729">
        <v>215.39709999999999</v>
      </c>
      <c r="M2729">
        <v>0.99780199999999997</v>
      </c>
      <c r="N2729">
        <v>1.7491199999999999E-4</v>
      </c>
      <c r="O2729">
        <v>-6.6265829999999998E-2</v>
      </c>
      <c r="P2729">
        <v>0.99955320000000003</v>
      </c>
      <c r="Q2729">
        <v>-2.7707229999999999E-2</v>
      </c>
      <c r="R2729">
        <v>1.121075E-2</v>
      </c>
      <c r="S2729">
        <v>2.9978940000000001</v>
      </c>
      <c r="T2729">
        <v>-0.1928414</v>
      </c>
      <c r="U2729">
        <v>-0.19647220000000001</v>
      </c>
      <c r="V2729">
        <v>-7.7343079999999995E-2</v>
      </c>
      <c r="W2729">
        <v>-2.8100679999999999E-2</v>
      </c>
      <c r="X2729">
        <v>0.99660839999999995</v>
      </c>
      <c r="Y2729">
        <v>-7.3296959999999997E-4</v>
      </c>
      <c r="Z2729">
        <v>4.2840370000000001E-3</v>
      </c>
      <c r="AA2729">
        <v>0.99999059999999995</v>
      </c>
      <c r="AB2729">
        <v>26</v>
      </c>
      <c r="AC2729">
        <v>16.989799999999999</v>
      </c>
      <c r="AD2729">
        <v>-1.108842452605</v>
      </c>
      <c r="AE2729">
        <v>-1.1144999999999901</v>
      </c>
      <c r="AF2729">
        <v>-1.37346170488057E-2</v>
      </c>
      <c r="AG2729">
        <v>-1.108842452605</v>
      </c>
      <c r="AH2729">
        <v>16.954401165805098</v>
      </c>
      <c r="AI2729">
        <v>93.741896880436897</v>
      </c>
      <c r="AJ2729">
        <v>90.046414816441299</v>
      </c>
      <c r="AK2729">
        <v>16.990627978843499</v>
      </c>
      <c r="AL2729">
        <v>91.610262414309503</v>
      </c>
      <c r="AM2729">
        <v>94.437618246796902</v>
      </c>
      <c r="AN2729">
        <v>0.99999995159545296</v>
      </c>
    </row>
    <row r="2730" spans="1:40" x14ac:dyDescent="0.25">
      <c r="A2730" t="str">
        <f>"20190305135844699"</f>
        <v>20190305135844699</v>
      </c>
      <c r="B2730" t="str">
        <f>"1551765524691487"</f>
        <v>1551765524691487</v>
      </c>
      <c r="C2730" t="s">
        <v>40</v>
      </c>
      <c r="D2730">
        <v>3.9508700000000001</v>
      </c>
      <c r="E2730">
        <v>0.52757860000000001</v>
      </c>
      <c r="F2730" t="s">
        <v>59</v>
      </c>
      <c r="G2730">
        <v>-447.44400000000002</v>
      </c>
      <c r="H2730" s="1">
        <v>2.4382650000000001E-6</v>
      </c>
      <c r="I2730">
        <v>214.30260000000001</v>
      </c>
      <c r="J2730">
        <v>-464.37209999999999</v>
      </c>
      <c r="K2730">
        <v>1.1087049999999901</v>
      </c>
      <c r="L2730">
        <v>215.381</v>
      </c>
      <c r="M2730">
        <v>0.99789479999999997</v>
      </c>
      <c r="N2730">
        <v>1.5713669999999999E-4</v>
      </c>
      <c r="O2730">
        <v>-6.4852090000000001E-2</v>
      </c>
      <c r="P2730">
        <v>0.99953939999999997</v>
      </c>
      <c r="Q2730">
        <v>-2.7526539999999999E-2</v>
      </c>
      <c r="R2730">
        <v>1.277065E-2</v>
      </c>
      <c r="S2730">
        <v>2.9981080000000002</v>
      </c>
      <c r="T2730">
        <v>-0.19335620000000001</v>
      </c>
      <c r="U2730">
        <v>-0.1908569</v>
      </c>
      <c r="V2730">
        <v>-7.7496599999999999E-2</v>
      </c>
      <c r="W2730">
        <v>-2.7877590000000001E-2</v>
      </c>
      <c r="X2730">
        <v>0.99660280000000001</v>
      </c>
      <c r="Y2730">
        <v>-1.1872860000000001E-3</v>
      </c>
      <c r="Z2730">
        <v>4.2178830000000004E-3</v>
      </c>
      <c r="AA2730">
        <v>0.99999039999999995</v>
      </c>
      <c r="AB2730">
        <v>27</v>
      </c>
      <c r="AC2730">
        <v>16.928099999999901</v>
      </c>
      <c r="AD2730">
        <v>-1.1087025617349999</v>
      </c>
      <c r="AE2730">
        <v>-1.0783999999999501</v>
      </c>
      <c r="AF2730">
        <v>-2.16006314118188E-2</v>
      </c>
      <c r="AG2730">
        <v>-1.1087025617349999</v>
      </c>
      <c r="AH2730">
        <v>16.890241920394502</v>
      </c>
      <c r="AI2730">
        <v>93.755595890954893</v>
      </c>
      <c r="AJ2730">
        <v>90.073274518258501</v>
      </c>
      <c r="AK2730">
        <v>16.9266050963307</v>
      </c>
      <c r="AL2730">
        <v>91.5974751920442</v>
      </c>
      <c r="AM2730">
        <v>94.446416170895603</v>
      </c>
      <c r="AN2730">
        <v>1.0000000120018</v>
      </c>
    </row>
    <row r="2731" spans="1:40" x14ac:dyDescent="0.25">
      <c r="A2731" t="str">
        <f>"20190305135844721"</f>
        <v>20190305135844721</v>
      </c>
      <c r="B2731" t="str">
        <f>"1551765524711008"</f>
        <v>1551765524711008</v>
      </c>
      <c r="C2731" t="s">
        <v>40</v>
      </c>
      <c r="D2731">
        <v>3.9860419999999999</v>
      </c>
      <c r="E2731">
        <v>0.52757169999999998</v>
      </c>
      <c r="F2731" t="s">
        <v>41</v>
      </c>
      <c r="G2731">
        <v>-463.40660000000003</v>
      </c>
      <c r="H2731">
        <v>1.046241</v>
      </c>
      <c r="I2731">
        <v>215.3212</v>
      </c>
      <c r="J2731">
        <v>-464.09589999999997</v>
      </c>
      <c r="K2731">
        <v>1.108555</v>
      </c>
      <c r="L2731">
        <v>215.36449999999999</v>
      </c>
      <c r="M2731">
        <v>0.99797369999999996</v>
      </c>
      <c r="N2731">
        <v>1.28935E-4</v>
      </c>
      <c r="O2731">
        <v>-6.3627299999999998E-2</v>
      </c>
      <c r="P2731">
        <v>0.99952969999999997</v>
      </c>
      <c r="Q2731">
        <v>-2.7351779999999999E-2</v>
      </c>
      <c r="R2731">
        <v>1.387684E-2</v>
      </c>
      <c r="S2731">
        <v>2.9984130000000002</v>
      </c>
      <c r="T2731">
        <v>-0.19406989999999999</v>
      </c>
      <c r="U2731">
        <v>-0.1856537</v>
      </c>
      <c r="V2731">
        <v>-7.7387310000000001E-2</v>
      </c>
      <c r="W2731">
        <v>-2.7646469999999999E-2</v>
      </c>
      <c r="X2731">
        <v>0.99661770000000005</v>
      </c>
      <c r="Y2731">
        <v>-1.6955259999999999E-3</v>
      </c>
      <c r="Z2731">
        <v>4.1687419999999996E-3</v>
      </c>
      <c r="AA2731">
        <v>0.99998989999999999</v>
      </c>
      <c r="AB2731">
        <v>27</v>
      </c>
      <c r="AC2731">
        <v>0.68929999999994596</v>
      </c>
      <c r="AD2731">
        <v>-6.2313999999999897E-2</v>
      </c>
      <c r="AE2731">
        <v>-4.3299999999987897E-2</v>
      </c>
      <c r="AF2731">
        <v>-6.4082018389866003E-4</v>
      </c>
      <c r="AG2731">
        <v>-6.2313999999999897E-2</v>
      </c>
      <c r="AH2731">
        <v>0.68508153481108203</v>
      </c>
      <c r="AI2731">
        <v>95.197235292333701</v>
      </c>
      <c r="AJ2731">
        <v>90.053594031352603</v>
      </c>
      <c r="AK2731">
        <v>0.68790999017721499</v>
      </c>
      <c r="AL2731">
        <v>91.584227933907798</v>
      </c>
      <c r="AM2731">
        <v>94.440104563845196</v>
      </c>
      <c r="AN2731">
        <v>0.99999998150289304</v>
      </c>
    </row>
    <row r="2732" spans="1:40" x14ac:dyDescent="0.25">
      <c r="A2732" t="str">
        <f>"20190305135844743"</f>
        <v>20190305135844743</v>
      </c>
      <c r="B2732" t="str">
        <f>"1551765524741263"</f>
        <v>1551765524741263</v>
      </c>
      <c r="C2732" t="s">
        <v>40</v>
      </c>
      <c r="D2732">
        <v>4.0529320000000002</v>
      </c>
      <c r="E2732">
        <v>0.52801589999999998</v>
      </c>
      <c r="F2732" t="s">
        <v>41</v>
      </c>
      <c r="G2732">
        <v>-463.16050000000001</v>
      </c>
      <c r="H2732">
        <v>1.0476719999999999</v>
      </c>
      <c r="I2732">
        <v>215.3074</v>
      </c>
      <c r="J2732">
        <v>-463.82459999999998</v>
      </c>
      <c r="K2732">
        <v>1.1084229999999999</v>
      </c>
      <c r="L2732">
        <v>215.34829999999999</v>
      </c>
      <c r="M2732">
        <v>0.99803819999999999</v>
      </c>
      <c r="N2732" s="1">
        <v>9.5603810000000002E-5</v>
      </c>
      <c r="O2732">
        <v>-6.2609810000000002E-2</v>
      </c>
      <c r="P2732">
        <v>0.99952989999999997</v>
      </c>
      <c r="Q2732">
        <v>-2.7173070000000001E-2</v>
      </c>
      <c r="R2732">
        <v>1.420096E-2</v>
      </c>
      <c r="S2732">
        <v>2.998596</v>
      </c>
      <c r="T2732">
        <v>-0.19528619999999999</v>
      </c>
      <c r="U2732">
        <v>-0.1824646</v>
      </c>
      <c r="V2732">
        <v>-7.6703480000000004E-2</v>
      </c>
      <c r="W2732">
        <v>-2.7408559999999998E-2</v>
      </c>
      <c r="X2732">
        <v>0.99667720000000004</v>
      </c>
      <c r="Y2732">
        <v>-1.73977299999999E-3</v>
      </c>
      <c r="Z2732">
        <v>4.1279560000000003E-3</v>
      </c>
      <c r="AA2732">
        <v>0.99999000000000005</v>
      </c>
      <c r="AB2732">
        <v>27</v>
      </c>
      <c r="AC2732">
        <v>0.66409999999996205</v>
      </c>
      <c r="AD2732">
        <v>-6.0750999999999999E-2</v>
      </c>
      <c r="AE2732">
        <v>-4.0899999999993497E-2</v>
      </c>
      <c r="AF2732">
        <v>-7.5313367868124598E-4</v>
      </c>
      <c r="AG2732">
        <v>-6.0750999999999999E-2</v>
      </c>
      <c r="AH2732">
        <v>0.65985678299085304</v>
      </c>
      <c r="AI2732">
        <v>95.260215144051401</v>
      </c>
      <c r="AJ2732">
        <v>90.065395042639693</v>
      </c>
      <c r="AK2732">
        <v>0.66264788935782204</v>
      </c>
      <c r="AL2732">
        <v>91.570591424251504</v>
      </c>
      <c r="AM2732">
        <v>94.400762876157501</v>
      </c>
      <c r="AN2732">
        <v>1.00000004700261</v>
      </c>
    </row>
    <row r="2733" spans="1:40" x14ac:dyDescent="0.25">
      <c r="A2733" t="str">
        <f>"20190305135844765"</f>
        <v>20190305135844765</v>
      </c>
      <c r="B2733" t="str">
        <f>"1551765524761759"</f>
        <v>1551765524761759</v>
      </c>
      <c r="C2733" t="s">
        <v>40</v>
      </c>
      <c r="D2733">
        <v>4.0523020000000001</v>
      </c>
      <c r="E2733">
        <v>0.56294699999999998</v>
      </c>
      <c r="F2733" t="s">
        <v>41</v>
      </c>
      <c r="G2733">
        <v>-462.91300000000001</v>
      </c>
      <c r="H2733">
        <v>1.0490090000000001</v>
      </c>
      <c r="I2733">
        <v>215.29179999999999</v>
      </c>
      <c r="J2733">
        <v>-463.55799999999999</v>
      </c>
      <c r="K2733">
        <v>1.1083179999999999</v>
      </c>
      <c r="L2733">
        <v>215.33250000000001</v>
      </c>
      <c r="M2733">
        <v>0.99809049999999999</v>
      </c>
      <c r="N2733" s="1">
        <v>6.0289230000000001E-5</v>
      </c>
      <c r="O2733">
        <v>-6.1768740000000003E-2</v>
      </c>
      <c r="P2733">
        <v>0.99952510000000006</v>
      </c>
      <c r="Q2733">
        <v>-2.7341890000000001E-2</v>
      </c>
      <c r="R2733">
        <v>1.42156E-2</v>
      </c>
      <c r="S2733">
        <v>2.9987490000000001</v>
      </c>
      <c r="T2733">
        <v>-0.1954545</v>
      </c>
      <c r="U2733">
        <v>-0.18508910000000001</v>
      </c>
      <c r="V2733">
        <v>-7.5885300000000003E-2</v>
      </c>
      <c r="W2733">
        <v>-2.752015E-2</v>
      </c>
      <c r="X2733">
        <v>0.99673670000000003</v>
      </c>
      <c r="Y2733" s="1">
        <v>-3.3545060000000002E-5</v>
      </c>
      <c r="Z2733">
        <v>4.0189070000000004E-3</v>
      </c>
      <c r="AA2733">
        <v>0.99999199999999999</v>
      </c>
      <c r="AB2733">
        <v>27</v>
      </c>
      <c r="AC2733">
        <v>0.64500000000003799</v>
      </c>
      <c r="AD2733">
        <v>-5.9309000000000001E-2</v>
      </c>
      <c r="AE2733">
        <v>-4.0700000000015203E-2</v>
      </c>
      <c r="AF2733">
        <v>7.7491995447770401E-4</v>
      </c>
      <c r="AG2733">
        <v>-5.9309000000000001E-2</v>
      </c>
      <c r="AH2733">
        <v>0.64088505809411001</v>
      </c>
      <c r="AI2733">
        <v>95.287222301588201</v>
      </c>
      <c r="AJ2733">
        <v>89.930721397458697</v>
      </c>
      <c r="AK2733">
        <v>0.64362397070822797</v>
      </c>
      <c r="AL2733">
        <v>91.576987557443104</v>
      </c>
      <c r="AM2733">
        <v>94.353743422745296</v>
      </c>
      <c r="AN2733">
        <v>0.99999999326950095</v>
      </c>
    </row>
    <row r="2734" spans="1:40" x14ac:dyDescent="0.25">
      <c r="A2734" t="str">
        <f>"20190305135844787"</f>
        <v>20190305135844787</v>
      </c>
      <c r="B2734" t="str">
        <f>"1551765524781786"</f>
        <v>1551765524781786</v>
      </c>
      <c r="C2734" t="s">
        <v>40</v>
      </c>
      <c r="D2734">
        <v>4.056489</v>
      </c>
      <c r="E2734">
        <v>0.5643859</v>
      </c>
      <c r="F2734" t="s">
        <v>41</v>
      </c>
      <c r="G2734">
        <v>-462.67129999999997</v>
      </c>
      <c r="H2734">
        <v>1.05331</v>
      </c>
      <c r="I2734">
        <v>215.19540000000001</v>
      </c>
      <c r="J2734">
        <v>-463.28289999999998</v>
      </c>
      <c r="K2734">
        <v>1.1082270000000001</v>
      </c>
      <c r="L2734">
        <v>215.31630000000001</v>
      </c>
      <c r="M2734">
        <v>0.99813540000000001</v>
      </c>
      <c r="N2734" s="1">
        <v>2.1566460000000002E-5</v>
      </c>
      <c r="O2734">
        <v>-6.1037670000000002E-2</v>
      </c>
      <c r="P2734">
        <v>0.99949860000000001</v>
      </c>
      <c r="Q2734">
        <v>-2.8426570000000002E-2</v>
      </c>
      <c r="R2734">
        <v>1.395588E-2</v>
      </c>
      <c r="S2734">
        <v>3.0028990000000002</v>
      </c>
      <c r="T2734">
        <v>-0.18652779999999999</v>
      </c>
      <c r="U2734">
        <v>-0.46304319999999999</v>
      </c>
      <c r="V2734">
        <v>-7.4899270000000004E-2</v>
      </c>
      <c r="W2734">
        <v>-2.8547679999999999E-2</v>
      </c>
      <c r="X2734">
        <v>0.99678239999999996</v>
      </c>
      <c r="Y2734">
        <v>9.1731090000000001E-2</v>
      </c>
      <c r="Z2734">
        <v>9.3216519999999995E-4</v>
      </c>
      <c r="AA2734">
        <v>0.99578339999999999</v>
      </c>
      <c r="AB2734">
        <v>28</v>
      </c>
      <c r="AC2734">
        <v>0.61160000000000903</v>
      </c>
      <c r="AD2734">
        <v>-5.4917000000000098E-2</v>
      </c>
      <c r="AE2734">
        <v>-0.120900000000006</v>
      </c>
      <c r="AF2734">
        <v>8.27022122860612E-2</v>
      </c>
      <c r="AG2734">
        <v>-5.4917000000000098E-2</v>
      </c>
      <c r="AH2734">
        <v>0.61308192405995598</v>
      </c>
      <c r="AI2734">
        <v>95.072921277237</v>
      </c>
      <c r="AJ2734">
        <v>82.317412397177193</v>
      </c>
      <c r="AK2734">
        <v>0.62106761179042902</v>
      </c>
      <c r="AL2734">
        <v>91.635883810269405</v>
      </c>
      <c r="AM2734">
        <v>94.297189257422801</v>
      </c>
      <c r="AN2734">
        <v>1.00000001181483</v>
      </c>
    </row>
    <row r="2735" spans="1:40" x14ac:dyDescent="0.25">
      <c r="A2735" t="str">
        <f>"20190305135844812"</f>
        <v>20190305135844812</v>
      </c>
      <c r="B2735" t="str">
        <f>"1551765524801306"</f>
        <v>1551765524801306</v>
      </c>
      <c r="C2735" t="s">
        <v>40</v>
      </c>
      <c r="D2735">
        <v>4.0234670000000001</v>
      </c>
      <c r="E2735">
        <v>0.564388</v>
      </c>
      <c r="F2735" t="s">
        <v>41</v>
      </c>
      <c r="G2735">
        <v>-462.41829999999999</v>
      </c>
      <c r="H2735">
        <v>1.056486</v>
      </c>
      <c r="I2735">
        <v>215.17920000000001</v>
      </c>
      <c r="J2735">
        <v>-462.97890000000001</v>
      </c>
      <c r="K2735">
        <v>1.1081460000000001</v>
      </c>
      <c r="L2735">
        <v>215.29849999999999</v>
      </c>
      <c r="M2735">
        <v>0.9981776</v>
      </c>
      <c r="N2735" s="1">
        <v>-2.4798330000000001E-5</v>
      </c>
      <c r="O2735">
        <v>-6.0342769999999997E-2</v>
      </c>
      <c r="P2735">
        <v>0.99948210000000004</v>
      </c>
      <c r="Q2735">
        <v>-2.931549E-2</v>
      </c>
      <c r="R2735">
        <v>1.328054E-2</v>
      </c>
      <c r="S2735">
        <v>3.0030209999999999</v>
      </c>
      <c r="T2735">
        <v>-0.17989150000000001</v>
      </c>
      <c r="U2735">
        <v>-0.47483829999999999</v>
      </c>
      <c r="V2735">
        <v>-7.3534269999999999E-2</v>
      </c>
      <c r="W2735">
        <v>-2.9375080000000001E-2</v>
      </c>
      <c r="X2735">
        <v>0.99685999999999997</v>
      </c>
      <c r="Y2735">
        <v>9.6230070000000001E-2</v>
      </c>
      <c r="Z2735">
        <v>7.1875360000000002E-4</v>
      </c>
      <c r="AA2735">
        <v>0.99535890000000005</v>
      </c>
      <c r="AB2735">
        <v>28</v>
      </c>
      <c r="AC2735">
        <v>0.56060000000002197</v>
      </c>
      <c r="AD2735">
        <v>-5.1659999999999803E-2</v>
      </c>
      <c r="AE2735">
        <v>-0.119299999999981</v>
      </c>
      <c r="AF2735">
        <v>8.4567419445269507E-2</v>
      </c>
      <c r="AG2735">
        <v>-5.1659999999999803E-2</v>
      </c>
      <c r="AH2735">
        <v>0.56220995668523799</v>
      </c>
      <c r="AI2735">
        <v>95.191932995442599</v>
      </c>
      <c r="AJ2735">
        <v>81.445721299162898</v>
      </c>
      <c r="AK2735">
        <v>0.57087690391856705</v>
      </c>
      <c r="AL2735">
        <v>91.683310215964198</v>
      </c>
      <c r="AM2735">
        <v>94.2188333921696</v>
      </c>
      <c r="AN2735">
        <v>1.00000002189471</v>
      </c>
    </row>
    <row r="2736" spans="1:40" x14ac:dyDescent="0.25">
      <c r="A2736" t="str">
        <f>"20190305135844834"</f>
        <v>20190305135844834</v>
      </c>
      <c r="B2736" t="str">
        <f>"1551765524831562"</f>
        <v>1551765524831562</v>
      </c>
      <c r="C2736" t="s">
        <v>40</v>
      </c>
      <c r="D2736">
        <v>4.0315029999999998</v>
      </c>
      <c r="E2736">
        <v>0.56467330000000004</v>
      </c>
      <c r="F2736" t="s">
        <v>41</v>
      </c>
      <c r="G2736">
        <v>-462.1644</v>
      </c>
      <c r="H2736">
        <v>1.05837</v>
      </c>
      <c r="I2736">
        <v>215.1686</v>
      </c>
      <c r="J2736">
        <v>-462.6918</v>
      </c>
      <c r="K2736">
        <v>1.108088</v>
      </c>
      <c r="L2736">
        <v>215.2818</v>
      </c>
      <c r="M2736">
        <v>0.99821380000000004</v>
      </c>
      <c r="N2736" s="1">
        <v>-7.0693290000000002E-5</v>
      </c>
      <c r="O2736">
        <v>-5.9744970000000001E-2</v>
      </c>
      <c r="P2736">
        <v>0.99946310000000005</v>
      </c>
      <c r="Q2736">
        <v>-3.0327079999999999E-2</v>
      </c>
      <c r="R2736">
        <v>1.241428E-2</v>
      </c>
      <c r="S2736">
        <v>3.0024410000000001</v>
      </c>
      <c r="T2736">
        <v>-0.18370900000000001</v>
      </c>
      <c r="U2736">
        <v>-0.47689819999999999</v>
      </c>
      <c r="V2736">
        <v>-7.2073799999999993E-2</v>
      </c>
      <c r="W2736">
        <v>-3.0331899999999998E-2</v>
      </c>
      <c r="X2736">
        <v>0.99693799999999999</v>
      </c>
      <c r="Y2736">
        <v>9.751551E-2</v>
      </c>
      <c r="Z2736">
        <v>6.5390979999999999E-4</v>
      </c>
      <c r="AA2736">
        <v>0.99523379999999995</v>
      </c>
      <c r="AB2736">
        <v>28</v>
      </c>
      <c r="AC2736">
        <v>0.52739999999999998</v>
      </c>
      <c r="AD2736">
        <v>-4.9717999999999901E-2</v>
      </c>
      <c r="AE2736">
        <v>-0.113200000000006</v>
      </c>
      <c r="AF2736">
        <v>8.0801846416322307E-2</v>
      </c>
      <c r="AG2736">
        <v>-4.9717999999999901E-2</v>
      </c>
      <c r="AH2736">
        <v>0.52872922717603099</v>
      </c>
      <c r="AI2736">
        <v>95.310601115206595</v>
      </c>
      <c r="AJ2736">
        <v>81.311128344919595</v>
      </c>
      <c r="AK2736">
        <v>0.53717354139835405</v>
      </c>
      <c r="AL2736">
        <v>91.738156420059497</v>
      </c>
      <c r="AM2736">
        <v>94.135013998216905</v>
      </c>
      <c r="AN2736">
        <v>1.0000000163240199</v>
      </c>
    </row>
    <row r="2737" spans="1:40" x14ac:dyDescent="0.25">
      <c r="A2737" t="str">
        <f>"20190305135844856"</f>
        <v>20190305135844856</v>
      </c>
      <c r="B2737" t="str">
        <f>"1551765524851082"</f>
        <v>1551765524851082</v>
      </c>
      <c r="C2737" t="s">
        <v>40</v>
      </c>
      <c r="D2737">
        <v>4.0776079999999997</v>
      </c>
      <c r="E2737">
        <v>0.56482650000000001</v>
      </c>
      <c r="F2737" t="s">
        <v>41</v>
      </c>
      <c r="G2737">
        <v>-461.90969999999999</v>
      </c>
      <c r="H2737">
        <v>1.0595760000000001</v>
      </c>
      <c r="I2737">
        <v>215.15620000000001</v>
      </c>
      <c r="J2737">
        <v>-462.40839999999997</v>
      </c>
      <c r="K2737">
        <v>1.1080719999999999</v>
      </c>
      <c r="L2737">
        <v>215.2654</v>
      </c>
      <c r="M2737">
        <v>0.99824880000000005</v>
      </c>
      <c r="N2737">
        <v>-1.1621299999999999E-4</v>
      </c>
      <c r="O2737">
        <v>-5.9156399999999998E-2</v>
      </c>
      <c r="P2737">
        <v>0.99944619999999995</v>
      </c>
      <c r="Q2737">
        <v>-3.122863E-2</v>
      </c>
      <c r="R2737">
        <v>1.148335E-2</v>
      </c>
      <c r="S2737">
        <v>3.0019529999999999</v>
      </c>
      <c r="T2737">
        <v>-0.1862568</v>
      </c>
      <c r="U2737">
        <v>-0.48138429999999999</v>
      </c>
      <c r="V2737">
        <v>-7.0554930000000002E-2</v>
      </c>
      <c r="W2737">
        <v>-3.1185129999999998E-2</v>
      </c>
      <c r="X2737">
        <v>0.99702029999999997</v>
      </c>
      <c r="Y2737">
        <v>9.9570309999999995E-2</v>
      </c>
      <c r="Z2737">
        <v>5.5866499999999996E-4</v>
      </c>
      <c r="AA2737">
        <v>0.99503030000000003</v>
      </c>
      <c r="AB2737">
        <v>28</v>
      </c>
      <c r="AC2737">
        <v>0.49869999999998499</v>
      </c>
      <c r="AD2737">
        <v>-4.8495999999999803E-2</v>
      </c>
      <c r="AE2737">
        <v>-0.109199999999987</v>
      </c>
      <c r="AF2737">
        <v>7.8796416663354102E-2</v>
      </c>
      <c r="AG2737">
        <v>-4.8495999999999803E-2</v>
      </c>
      <c r="AH2737">
        <v>0.49977659206980202</v>
      </c>
      <c r="AI2737">
        <v>95.475150926179694</v>
      </c>
      <c r="AJ2737">
        <v>81.040312781681095</v>
      </c>
      <c r="AK2737">
        <v>0.50826900286746801</v>
      </c>
      <c r="AL2737">
        <v>91.787066079468502</v>
      </c>
      <c r="AM2737">
        <v>94.047833238703404</v>
      </c>
      <c r="AN2737">
        <v>0.99999999454625499</v>
      </c>
    </row>
    <row r="2738" spans="1:40" x14ac:dyDescent="0.25">
      <c r="A2738" t="str">
        <f>"20190305135844877"</f>
        <v>20190305135844877</v>
      </c>
      <c r="B2738" t="str">
        <f>"1551765524871109"</f>
        <v>1551765524871109</v>
      </c>
      <c r="C2738" t="s">
        <v>40</v>
      </c>
      <c r="D2738">
        <v>4.0410459999999997</v>
      </c>
      <c r="E2738">
        <v>0.56491269999999905</v>
      </c>
      <c r="F2738" t="s">
        <v>41</v>
      </c>
      <c r="G2738">
        <v>-461.65280000000001</v>
      </c>
      <c r="H2738">
        <v>1.0611120000000001</v>
      </c>
      <c r="I2738">
        <v>215.14279999999999</v>
      </c>
      <c r="J2738">
        <v>-462.13040000000001</v>
      </c>
      <c r="K2738">
        <v>1.1080909999999999</v>
      </c>
      <c r="L2738">
        <v>215.24950000000001</v>
      </c>
      <c r="M2738">
        <v>0.99828589999999995</v>
      </c>
      <c r="N2738">
        <v>-1.607507E-4</v>
      </c>
      <c r="O2738">
        <v>-5.8526990000000001E-2</v>
      </c>
      <c r="P2738">
        <v>0.99944469999999996</v>
      </c>
      <c r="Q2738">
        <v>-3.1320479999999998E-2</v>
      </c>
      <c r="R2738">
        <v>1.138513E-2</v>
      </c>
      <c r="S2738">
        <v>3.001404</v>
      </c>
      <c r="T2738">
        <v>-0.1868061</v>
      </c>
      <c r="U2738">
        <v>-0.48510740000000002</v>
      </c>
      <c r="V2738">
        <v>-6.9825979999999996E-2</v>
      </c>
      <c r="W2738">
        <v>-3.1236679999999999E-2</v>
      </c>
      <c r="X2738">
        <v>0.99707000000000001</v>
      </c>
      <c r="Y2738">
        <v>0.10142370000000001</v>
      </c>
      <c r="Z2738">
        <v>4.5946520000000001E-4</v>
      </c>
      <c r="AA2738">
        <v>0.99484320000000004</v>
      </c>
      <c r="AB2738">
        <v>28</v>
      </c>
      <c r="AC2738">
        <v>0.47759999999999497</v>
      </c>
      <c r="AD2738">
        <v>-4.6978999999999799E-2</v>
      </c>
      <c r="AE2738">
        <v>-0.106700000000017</v>
      </c>
      <c r="AF2738">
        <v>7.7847196406916605E-2</v>
      </c>
      <c r="AG2738">
        <v>-4.6978999999999799E-2</v>
      </c>
      <c r="AH2738">
        <v>0.478615385775844</v>
      </c>
      <c r="AI2738">
        <v>95.533710242354005</v>
      </c>
      <c r="AJ2738">
        <v>80.761693588128395</v>
      </c>
      <c r="AK2738">
        <v>0.48717543034391397</v>
      </c>
      <c r="AL2738">
        <v>91.790021122398997</v>
      </c>
      <c r="AM2738">
        <v>94.005950213957405</v>
      </c>
      <c r="AN2738">
        <v>0.99999999128019101</v>
      </c>
    </row>
    <row r="2739" spans="1:40" x14ac:dyDescent="0.25">
      <c r="A2739" t="str">
        <f>"20190305135844900"</f>
        <v>20190305135844900</v>
      </c>
      <c r="B2739" t="str">
        <f>"1551765524891606"</f>
        <v>1551765524891606</v>
      </c>
      <c r="C2739" t="s">
        <v>40</v>
      </c>
      <c r="D2739">
        <v>4.0472039999999998</v>
      </c>
      <c r="E2739">
        <v>0.56505569999999905</v>
      </c>
      <c r="F2739" t="s">
        <v>59</v>
      </c>
      <c r="G2739">
        <v>-444.15269999999998</v>
      </c>
      <c r="H2739" s="1">
        <v>7.7268800000000002E-7</v>
      </c>
      <c r="I2739">
        <v>212.3373</v>
      </c>
      <c r="J2739">
        <v>-461.84010000000001</v>
      </c>
      <c r="K2739">
        <v>1.10816</v>
      </c>
      <c r="L2739">
        <v>215.23320000000001</v>
      </c>
      <c r="M2739">
        <v>0.99833079999999996</v>
      </c>
      <c r="N2739">
        <v>-2.100781E-4</v>
      </c>
      <c r="O2739">
        <v>-5.7758509999999999E-2</v>
      </c>
      <c r="P2739">
        <v>0.9994343</v>
      </c>
      <c r="Q2739">
        <v>-3.1400780000000003E-2</v>
      </c>
      <c r="R2739">
        <v>1.205284E-2</v>
      </c>
      <c r="S2739">
        <v>3.0014340000000002</v>
      </c>
      <c r="T2739">
        <v>-0.1849991</v>
      </c>
      <c r="U2739">
        <v>-0.48619079999999898</v>
      </c>
      <c r="V2739">
        <v>-6.9718450000000001E-2</v>
      </c>
      <c r="W2739">
        <v>-3.1279590000000003E-2</v>
      </c>
      <c r="X2739">
        <v>0.99707619999999997</v>
      </c>
      <c r="Y2739">
        <v>0.1025355</v>
      </c>
      <c r="Z2739">
        <v>3.6862560000000002E-4</v>
      </c>
      <c r="AA2739">
        <v>0.99472930000000004</v>
      </c>
      <c r="AB2739">
        <v>29</v>
      </c>
      <c r="AC2739">
        <v>17.6874</v>
      </c>
      <c r="AD2739">
        <v>-1.108159227312</v>
      </c>
      <c r="AE2739">
        <v>-2.8959000000000099</v>
      </c>
      <c r="AF2739">
        <v>1.8623484036562199</v>
      </c>
      <c r="AG2739">
        <v>-1.108159227312</v>
      </c>
      <c r="AH2739">
        <v>17.7572518254306</v>
      </c>
      <c r="AI2739">
        <v>93.551541255678103</v>
      </c>
      <c r="AJ2739">
        <v>84.012810317207595</v>
      </c>
      <c r="AK2739">
        <v>17.889000834072199</v>
      </c>
      <c r="AL2739">
        <v>91.7924808494773</v>
      </c>
      <c r="AM2739">
        <v>93.999776413773503</v>
      </c>
      <c r="AN2739">
        <v>1.0000000118137</v>
      </c>
    </row>
    <row r="2740" spans="1:40" x14ac:dyDescent="0.25">
      <c r="A2740" t="str">
        <f>"20190305135844922"</f>
        <v>20190305135844922</v>
      </c>
      <c r="B2740" t="str">
        <f>"1551765524912102"</f>
        <v>1551765524912102</v>
      </c>
      <c r="C2740" t="s">
        <v>40</v>
      </c>
      <c r="D2740">
        <v>4.0739850000000004</v>
      </c>
      <c r="E2740">
        <v>0.565419</v>
      </c>
      <c r="F2740" t="s">
        <v>41</v>
      </c>
      <c r="G2740">
        <v>-460.8861</v>
      </c>
      <c r="H2740">
        <v>1.0505359999999999</v>
      </c>
      <c r="I2740">
        <v>215.07849999999999</v>
      </c>
      <c r="J2740">
        <v>-461.55360000000002</v>
      </c>
      <c r="K2740">
        <v>1.108252</v>
      </c>
      <c r="L2740">
        <v>215.2174</v>
      </c>
      <c r="M2740">
        <v>0.99838199999999999</v>
      </c>
      <c r="N2740">
        <v>-2.6113619999999999E-4</v>
      </c>
      <c r="O2740">
        <v>-5.6862059999999999E-2</v>
      </c>
      <c r="P2740">
        <v>0.99939630000000002</v>
      </c>
      <c r="Q2740">
        <v>-3.2255760000000001E-2</v>
      </c>
      <c r="R2740">
        <v>1.290468E-2</v>
      </c>
      <c r="S2740">
        <v>3.0018310000000001</v>
      </c>
      <c r="T2740">
        <v>-0.18164179999999999</v>
      </c>
      <c r="U2740">
        <v>-0.48522949999999998</v>
      </c>
      <c r="V2740">
        <v>-6.9663379999999997E-2</v>
      </c>
      <c r="W2740">
        <v>-3.2100320000000002E-2</v>
      </c>
      <c r="X2740">
        <v>0.997054</v>
      </c>
      <c r="Y2740">
        <v>0.1030976</v>
      </c>
      <c r="Z2740">
        <v>2.8555539999999997E-4</v>
      </c>
      <c r="AA2740">
        <v>0.99467119999999998</v>
      </c>
      <c r="AB2740">
        <v>29</v>
      </c>
      <c r="AC2740">
        <v>0.66750000000001797</v>
      </c>
      <c r="AD2740">
        <v>-5.7715999999999802E-2</v>
      </c>
      <c r="AE2740">
        <v>-0.13890000000000599</v>
      </c>
      <c r="AF2740">
        <v>0.100003210714376</v>
      </c>
      <c r="AG2740">
        <v>-5.7715999999999802E-2</v>
      </c>
      <c r="AH2740">
        <v>0.66952033552950896</v>
      </c>
      <c r="AI2740">
        <v>94.873205860463102</v>
      </c>
      <c r="AJ2740">
        <v>81.504794322164301</v>
      </c>
      <c r="AK2740">
        <v>0.67940360500716301</v>
      </c>
      <c r="AL2740">
        <v>91.839528778787695</v>
      </c>
      <c r="AM2740">
        <v>93.9967159663193</v>
      </c>
      <c r="AN2740">
        <v>1.0000000479865601</v>
      </c>
    </row>
    <row r="2741" spans="1:40" x14ac:dyDescent="0.25">
      <c r="A2741" t="str">
        <f>"20190305135844945"</f>
        <v>20190305135844945</v>
      </c>
      <c r="B2741" t="str">
        <f>"1551765524941381"</f>
        <v>1551765524941381</v>
      </c>
      <c r="C2741" t="s">
        <v>40</v>
      </c>
      <c r="D2741">
        <v>4.160107</v>
      </c>
      <c r="E2741">
        <v>0.55344099999999996</v>
      </c>
      <c r="F2741" t="s">
        <v>41</v>
      </c>
      <c r="G2741">
        <v>-460.62299999999999</v>
      </c>
      <c r="H2741">
        <v>1.051798</v>
      </c>
      <c r="I2741">
        <v>215.06659999999999</v>
      </c>
      <c r="J2741">
        <v>-461.25689999999997</v>
      </c>
      <c r="K2741">
        <v>1.108352</v>
      </c>
      <c r="L2741">
        <v>215.20140000000001</v>
      </c>
      <c r="M2741">
        <v>0.9984421</v>
      </c>
      <c r="N2741">
        <v>-3.1462230000000002E-4</v>
      </c>
      <c r="O2741">
        <v>-5.5797079999999999E-2</v>
      </c>
      <c r="P2741">
        <v>0.99936959999999997</v>
      </c>
      <c r="Q2741">
        <v>-3.277095E-2</v>
      </c>
      <c r="R2741">
        <v>1.3661589999999999E-2</v>
      </c>
      <c r="S2741">
        <v>3.002167</v>
      </c>
      <c r="T2741">
        <v>-0.18231530000000001</v>
      </c>
      <c r="U2741">
        <v>-0.48556519999999997</v>
      </c>
      <c r="V2741">
        <v>-6.9344719999999999E-2</v>
      </c>
      <c r="W2741">
        <v>-3.2580570000000003E-2</v>
      </c>
      <c r="X2741">
        <v>0.99706059999999996</v>
      </c>
      <c r="Y2741">
        <v>0.1042445</v>
      </c>
      <c r="Z2741">
        <v>1.8248289999999999E-4</v>
      </c>
      <c r="AA2741">
        <v>0.99455170000000004</v>
      </c>
      <c r="AB2741">
        <v>29</v>
      </c>
      <c r="AC2741">
        <v>0.63389999999992597</v>
      </c>
      <c r="AD2741">
        <v>-5.6553999999999903E-2</v>
      </c>
      <c r="AE2741">
        <v>-0.13480000000001199</v>
      </c>
      <c r="AF2741">
        <v>9.8470364729339496E-2</v>
      </c>
      <c r="AG2741">
        <v>-5.6553999999999903E-2</v>
      </c>
      <c r="AH2741">
        <v>0.63559378550523005</v>
      </c>
      <c r="AI2741">
        <v>95.025049450327899</v>
      </c>
      <c r="AJ2741">
        <v>81.193375614299896</v>
      </c>
      <c r="AK2741">
        <v>0.64565798052746004</v>
      </c>
      <c r="AL2741">
        <v>91.867059544242196</v>
      </c>
      <c r="AM2741">
        <v>93.978466450038397</v>
      </c>
      <c r="AN2741">
        <v>1.00000001190288</v>
      </c>
    </row>
    <row r="2742" spans="1:40" x14ac:dyDescent="0.25">
      <c r="A2742" t="str">
        <f>"20190305135844966"</f>
        <v>20190305135844966</v>
      </c>
      <c r="B2742" t="str">
        <f>"1551765524961878"</f>
        <v>1551765524961878</v>
      </c>
      <c r="C2742" t="s">
        <v>40</v>
      </c>
      <c r="D2742">
        <v>4.0119030000000002</v>
      </c>
      <c r="E2742">
        <v>0.48085030000000001</v>
      </c>
      <c r="F2742" t="s">
        <v>66</v>
      </c>
      <c r="G2742">
        <v>-258.66910000000001</v>
      </c>
      <c r="H2742">
        <v>0.89368300000000001</v>
      </c>
      <c r="I2742">
        <v>189.43620000000001</v>
      </c>
      <c r="J2742">
        <v>-460.97500000000002</v>
      </c>
      <c r="K2742">
        <v>1.1084529999999999</v>
      </c>
      <c r="L2742">
        <v>215.1867</v>
      </c>
      <c r="M2742">
        <v>0.9985058</v>
      </c>
      <c r="N2742">
        <v>-3.6493670000000003E-4</v>
      </c>
      <c r="O2742">
        <v>-5.4644760000000001E-2</v>
      </c>
      <c r="P2742">
        <v>0.99932460000000001</v>
      </c>
      <c r="Q2742">
        <v>-3.3723929999999999E-2</v>
      </c>
      <c r="R2742">
        <v>1.459762E-2</v>
      </c>
      <c r="S2742">
        <v>3.0069889999999999</v>
      </c>
      <c r="T2742">
        <v>-3.1863450000000001E-3</v>
      </c>
      <c r="U2742">
        <v>-0.38243100000000002</v>
      </c>
      <c r="V2742">
        <v>-6.9115350000000006E-2</v>
      </c>
      <c r="W2742">
        <v>-3.3502030000000002E-2</v>
      </c>
      <c r="X2742">
        <v>0.99704599999999999</v>
      </c>
      <c r="Y2742">
        <v>7.1767819999999996E-2</v>
      </c>
      <c r="Z2742" s="1">
        <v>-1.3305800000000001E-5</v>
      </c>
      <c r="AA2742">
        <v>0.99742140000000001</v>
      </c>
      <c r="AB2742">
        <v>29</v>
      </c>
      <c r="AC2742">
        <v>202.30590000000001</v>
      </c>
      <c r="AD2742">
        <v>-0.21476999999999999</v>
      </c>
      <c r="AE2742">
        <v>-25.750499999999899</v>
      </c>
      <c r="AF2742">
        <v>14.6570508570661</v>
      </c>
      <c r="AG2742">
        <v>-0.21476999999999999</v>
      </c>
      <c r="AH2742">
        <v>203.410530782162</v>
      </c>
      <c r="AI2742">
        <v>90.060339000804007</v>
      </c>
      <c r="AJ2742">
        <v>85.878589807861303</v>
      </c>
      <c r="AK2742">
        <v>203.93802808466199</v>
      </c>
      <c r="AL2742">
        <v>91.919884138256293</v>
      </c>
      <c r="AM2742">
        <v>93.965406894696201</v>
      </c>
      <c r="AN2742">
        <v>1.00000002186787</v>
      </c>
    </row>
    <row r="2743" spans="1:40" x14ac:dyDescent="0.25">
      <c r="A2743" t="str">
        <f>"20190305135844989"</f>
        <v>20190305135844989</v>
      </c>
      <c r="B2743" t="str">
        <f>"1551765524981905"</f>
        <v>1551765524981905</v>
      </c>
      <c r="C2743" t="s">
        <v>40</v>
      </c>
      <c r="D2743">
        <v>4.0650719999999998</v>
      </c>
      <c r="E2743">
        <v>0.46357080000000001</v>
      </c>
      <c r="F2743" t="s">
        <v>59</v>
      </c>
      <c r="G2743">
        <v>-387.1755</v>
      </c>
      <c r="H2743">
        <v>8.0000420000000003E-2</v>
      </c>
      <c r="I2743">
        <v>220.0735</v>
      </c>
      <c r="J2743">
        <v>-460.6628</v>
      </c>
      <c r="K2743">
        <v>1.1085750000000001</v>
      </c>
      <c r="L2743">
        <v>215.17089999999999</v>
      </c>
      <c r="M2743">
        <v>0.99858389999999997</v>
      </c>
      <c r="N2743">
        <v>-4.209231E-4</v>
      </c>
      <c r="O2743">
        <v>-5.319948E-2</v>
      </c>
      <c r="P2743">
        <v>0.99926479999999995</v>
      </c>
      <c r="Q2743">
        <v>-3.4789220000000003E-2</v>
      </c>
      <c r="R2743">
        <v>1.6114900000000001E-2</v>
      </c>
      <c r="S2743">
        <v>2.9977420000000001</v>
      </c>
      <c r="T2743">
        <v>-4.1775819999999998E-2</v>
      </c>
      <c r="U2743">
        <v>0.1985016</v>
      </c>
      <c r="V2743">
        <v>-6.917044E-2</v>
      </c>
      <c r="W2743">
        <v>-3.4533790000000002E-2</v>
      </c>
      <c r="X2743">
        <v>0.99700699999999998</v>
      </c>
      <c r="Y2743">
        <v>-0.11904530000000001</v>
      </c>
      <c r="Z2743">
        <v>1.5718570000000001E-3</v>
      </c>
      <c r="AA2743">
        <v>0.99288759999999998</v>
      </c>
      <c r="AB2743">
        <v>30</v>
      </c>
      <c r="AC2743">
        <v>73.487300000000005</v>
      </c>
      <c r="AD2743">
        <v>-1.0285745799999999</v>
      </c>
      <c r="AE2743">
        <v>4.9025999999999996</v>
      </c>
      <c r="AF2743">
        <v>-8.8034266194341697</v>
      </c>
      <c r="AG2743">
        <v>-1.0285745799999999</v>
      </c>
      <c r="AH2743">
        <v>73.108160388162801</v>
      </c>
      <c r="AI2743">
        <v>90.800273189572096</v>
      </c>
      <c r="AJ2743">
        <v>96.866295504467999</v>
      </c>
      <c r="AK2743">
        <v>73.6434749400904</v>
      </c>
      <c r="AL2743">
        <v>91.979033821282201</v>
      </c>
      <c r="AM2743">
        <v>93.968712261500301</v>
      </c>
      <c r="AN2743">
        <v>1.00000004523527</v>
      </c>
    </row>
    <row r="2744" spans="1:40" x14ac:dyDescent="0.25">
      <c r="A2744" t="str">
        <f>"20190305135845013"</f>
        <v>20190305135845013</v>
      </c>
      <c r="B2744" t="str">
        <f>"1551765525001425"</f>
        <v>1551765525001425</v>
      </c>
      <c r="C2744" t="s">
        <v>40</v>
      </c>
      <c r="D2744">
        <v>3.9120360000000001</v>
      </c>
      <c r="E2744">
        <v>0.46265620000000002</v>
      </c>
      <c r="F2744" t="s">
        <v>61</v>
      </c>
      <c r="G2744">
        <v>-409.34840000000003</v>
      </c>
      <c r="H2744">
        <v>2.2412359999999999E-2</v>
      </c>
      <c r="I2744">
        <v>221.00190000000001</v>
      </c>
      <c r="J2744">
        <v>-460.36380000000003</v>
      </c>
      <c r="K2744">
        <v>1.108708</v>
      </c>
      <c r="L2744">
        <v>215.15629999999999</v>
      </c>
      <c r="M2744">
        <v>0.99866460000000001</v>
      </c>
      <c r="N2744">
        <v>-4.760686E-4</v>
      </c>
      <c r="O2744">
        <v>-5.1662800000000002E-2</v>
      </c>
      <c r="P2744">
        <v>0.99921550000000003</v>
      </c>
      <c r="Q2744">
        <v>-3.5330880000000002E-2</v>
      </c>
      <c r="R2744">
        <v>1.7900360000000001E-2</v>
      </c>
      <c r="S2744">
        <v>2.994507</v>
      </c>
      <c r="T2744">
        <v>-6.3384179999999998E-2</v>
      </c>
      <c r="U2744">
        <v>0.34027099999999999</v>
      </c>
      <c r="V2744">
        <v>-6.9405019999999998E-2</v>
      </c>
      <c r="W2744">
        <v>-3.5042299999999998E-2</v>
      </c>
      <c r="X2744">
        <v>0.99697290000000005</v>
      </c>
      <c r="Y2744">
        <v>-0.16403870000000001</v>
      </c>
      <c r="Z2744">
        <v>2.8353440000000001E-3</v>
      </c>
      <c r="AA2744">
        <v>0.98644980000000004</v>
      </c>
      <c r="AB2744">
        <v>30</v>
      </c>
      <c r="AC2744">
        <v>51.0154</v>
      </c>
      <c r="AD2744">
        <v>-1.0862956399999999</v>
      </c>
      <c r="AE2744">
        <v>5.8456000000000099</v>
      </c>
      <c r="AF2744">
        <v>-8.4696016178837894</v>
      </c>
      <c r="AG2744">
        <v>-1.0862956399999999</v>
      </c>
      <c r="AH2744">
        <v>50.622617789925599</v>
      </c>
      <c r="AI2744">
        <v>91.212456958122203</v>
      </c>
      <c r="AJ2744">
        <v>99.498107033437293</v>
      </c>
      <c r="AK2744">
        <v>51.3377407146831</v>
      </c>
      <c r="AL2744">
        <v>92.008187051160604</v>
      </c>
      <c r="AM2744">
        <v>93.982264023411403</v>
      </c>
      <c r="AN2744">
        <v>0.99999999146245</v>
      </c>
    </row>
    <row r="2745" spans="1:40" x14ac:dyDescent="0.25">
      <c r="A2745" t="str">
        <f>"20190305135845037"</f>
        <v>20190305135845037</v>
      </c>
      <c r="B2745" t="str">
        <f>"1551765525031681"</f>
        <v>1551765525031681</v>
      </c>
      <c r="C2745" t="s">
        <v>40</v>
      </c>
      <c r="D2745">
        <v>3.8802759999999998</v>
      </c>
      <c r="E2745">
        <v>0.46402450000000001</v>
      </c>
      <c r="F2745" t="s">
        <v>61</v>
      </c>
      <c r="G2745">
        <v>-409.43549999999999</v>
      </c>
      <c r="H2745">
        <v>2.949405E-3</v>
      </c>
      <c r="I2745">
        <v>221.15899999999999</v>
      </c>
      <c r="J2745">
        <v>-460.02170000000001</v>
      </c>
      <c r="K2745">
        <v>1.1088530000000001</v>
      </c>
      <c r="L2745">
        <v>215.1404</v>
      </c>
      <c r="M2745">
        <v>0.99876089999999995</v>
      </c>
      <c r="N2745">
        <v>-5.3909680000000003E-4</v>
      </c>
      <c r="O2745">
        <v>-4.9763269999999998E-2</v>
      </c>
      <c r="P2745">
        <v>0.99917750000000005</v>
      </c>
      <c r="Q2745">
        <v>-3.4997479999999997E-2</v>
      </c>
      <c r="R2745">
        <v>2.0482549999999999E-2</v>
      </c>
      <c r="S2745">
        <v>2.993744</v>
      </c>
      <c r="T2745">
        <v>-6.5000409999999995E-2</v>
      </c>
      <c r="U2745">
        <v>0.35285949999999999</v>
      </c>
      <c r="V2745">
        <v>-7.0075739999999997E-2</v>
      </c>
      <c r="W2745">
        <v>-3.4670230000000003E-2</v>
      </c>
      <c r="X2745">
        <v>0.99693900000000002</v>
      </c>
      <c r="Y2745">
        <v>-0.16628080000000001</v>
      </c>
      <c r="Z2745">
        <v>2.8940419999999999E-3</v>
      </c>
      <c r="AA2745">
        <v>0.98607420000000001</v>
      </c>
      <c r="AB2745">
        <v>30</v>
      </c>
      <c r="AC2745">
        <v>50.586199999999998</v>
      </c>
      <c r="AD2745">
        <v>-1.105903595</v>
      </c>
      <c r="AE2745">
        <v>6.0186000000000197</v>
      </c>
      <c r="AF2745">
        <v>-8.5244609961057005</v>
      </c>
      <c r="AG2745">
        <v>-1.105903595</v>
      </c>
      <c r="AH2745">
        <v>50.2003627837815</v>
      </c>
      <c r="AI2745">
        <v>91.244204895487201</v>
      </c>
      <c r="AJ2745">
        <v>99.637395105567407</v>
      </c>
      <c r="AK2745">
        <v>50.930991367327898</v>
      </c>
      <c r="AL2745">
        <v>91.986856027232406</v>
      </c>
      <c r="AM2745">
        <v>94.020758700115906</v>
      </c>
      <c r="AN2745">
        <v>1.0000000019529001</v>
      </c>
    </row>
    <row r="2746" spans="1:40" x14ac:dyDescent="0.25">
      <c r="A2746" t="str">
        <f>"20190305135845061"</f>
        <v>20190305135845061</v>
      </c>
      <c r="B2746" t="str">
        <f>"1551765525052176"</f>
        <v>1551765525052176</v>
      </c>
      <c r="C2746" t="s">
        <v>40</v>
      </c>
      <c r="D2746">
        <v>3.8988070000000001</v>
      </c>
      <c r="E2746">
        <v>0.46478849999999999</v>
      </c>
      <c r="F2746" t="s">
        <v>61</v>
      </c>
      <c r="G2746">
        <v>-409.35980000000001</v>
      </c>
      <c r="H2746">
        <v>6.9372820000000002E-2</v>
      </c>
      <c r="I2746">
        <v>221.0625</v>
      </c>
      <c r="J2746">
        <v>-459.70609999999999</v>
      </c>
      <c r="K2746">
        <v>1.1089659999999999</v>
      </c>
      <c r="L2746">
        <v>215.12629999999999</v>
      </c>
      <c r="M2746">
        <v>0.99885139999999994</v>
      </c>
      <c r="N2746">
        <v>-5.9463370000000003E-4</v>
      </c>
      <c r="O2746">
        <v>-4.7911589999999997E-2</v>
      </c>
      <c r="P2746">
        <v>0.99916640000000001</v>
      </c>
      <c r="Q2746">
        <v>-3.3353840000000003E-2</v>
      </c>
      <c r="R2746">
        <v>2.354293E-2</v>
      </c>
      <c r="S2746">
        <v>2.993134</v>
      </c>
      <c r="T2746">
        <v>-6.1413049999999997E-2</v>
      </c>
      <c r="U2746">
        <v>0.34988399999999997</v>
      </c>
      <c r="V2746">
        <v>-7.128197E-2</v>
      </c>
      <c r="W2746">
        <v>-3.2991180000000002E-2</v>
      </c>
      <c r="X2746">
        <v>0.99691050000000003</v>
      </c>
      <c r="Y2746">
        <v>-0.16351489999999999</v>
      </c>
      <c r="Z2746">
        <v>2.6720530000000002E-3</v>
      </c>
      <c r="AA2746">
        <v>0.98653729999999995</v>
      </c>
      <c r="AB2746">
        <v>30</v>
      </c>
      <c r="AC2746">
        <v>50.3462999999999</v>
      </c>
      <c r="AD2746">
        <v>-1.03959317999999</v>
      </c>
      <c r="AE2746">
        <v>5.9362000000000101</v>
      </c>
      <c r="AF2746">
        <v>-8.3380480780203801</v>
      </c>
      <c r="AG2746">
        <v>-1.03959317999999</v>
      </c>
      <c r="AH2746">
        <v>49.983049157879897</v>
      </c>
      <c r="AI2746">
        <v>91.175282176944805</v>
      </c>
      <c r="AJ2746">
        <v>99.4707314095523</v>
      </c>
      <c r="AK2746">
        <v>50.684405913952702</v>
      </c>
      <c r="AL2746">
        <v>91.890598363449001</v>
      </c>
      <c r="AM2746">
        <v>94.089852607191602</v>
      </c>
      <c r="AN2746">
        <v>1.00000004110756</v>
      </c>
    </row>
    <row r="2747" spans="1:40" x14ac:dyDescent="0.25">
      <c r="A2747" t="str">
        <f>"20190305135845089"</f>
        <v>20190305135845089</v>
      </c>
      <c r="B2747" t="str">
        <f>"1551765525081998"</f>
        <v>1551765525081998</v>
      </c>
      <c r="C2747" t="s">
        <v>40</v>
      </c>
      <c r="D2747">
        <v>4.2065089999999996</v>
      </c>
      <c r="E2747">
        <v>0.4654664</v>
      </c>
      <c r="F2747" t="s">
        <v>61</v>
      </c>
      <c r="G2747">
        <v>-405.553</v>
      </c>
      <c r="H2747">
        <v>8.0000180000000004E-2</v>
      </c>
      <c r="I2747">
        <v>221.5145</v>
      </c>
      <c r="J2747">
        <v>-459.30290000000002</v>
      </c>
      <c r="K2747">
        <v>1.1090690000000001</v>
      </c>
      <c r="L2747">
        <v>215.10939999999999</v>
      </c>
      <c r="M2747">
        <v>0.99896470000000004</v>
      </c>
      <c r="N2747">
        <v>-6.608772E-4</v>
      </c>
      <c r="O2747">
        <v>-4.5490139999999998E-2</v>
      </c>
      <c r="P2747">
        <v>0.99909740000000002</v>
      </c>
      <c r="Q2747">
        <v>-3.0187140000000001E-2</v>
      </c>
      <c r="R2747">
        <v>2.9888729999999999E-2</v>
      </c>
      <c r="S2747">
        <v>2.9922789999999999</v>
      </c>
      <c r="T2747">
        <v>-5.685639E-2</v>
      </c>
      <c r="U2747">
        <v>0.35298160000000001</v>
      </c>
      <c r="V2747">
        <v>-7.5205980000000006E-2</v>
      </c>
      <c r="W2747">
        <v>-2.9785349999999999E-2</v>
      </c>
      <c r="X2747">
        <v>0.99672309999999997</v>
      </c>
      <c r="Y2747">
        <v>-0.16217000000000001</v>
      </c>
      <c r="Z2747">
        <v>2.4207209999999998E-3</v>
      </c>
      <c r="AA2747">
        <v>0.98675979999999996</v>
      </c>
      <c r="AB2747">
        <v>30</v>
      </c>
      <c r="AC2747">
        <v>53.749899999999897</v>
      </c>
      <c r="AD2747">
        <v>-1.02906882</v>
      </c>
      <c r="AE2747">
        <v>6.4051</v>
      </c>
      <c r="AF2747">
        <v>-8.8403649839946894</v>
      </c>
      <c r="AG2747">
        <v>-1.02906882</v>
      </c>
      <c r="AH2747">
        <v>53.383594721134202</v>
      </c>
      <c r="AI2747">
        <v>91.089512241949507</v>
      </c>
      <c r="AJ2747">
        <v>99.402891773510504</v>
      </c>
      <c r="AK2747">
        <v>54.120414087817601</v>
      </c>
      <c r="AL2747">
        <v>91.706827245228098</v>
      </c>
      <c r="AM2747">
        <v>94.314975520220401</v>
      </c>
      <c r="AN2747">
        <v>1.0000000222879899</v>
      </c>
    </row>
    <row r="2748" spans="1:40" x14ac:dyDescent="0.25">
      <c r="A2748" t="str">
        <f>"20190305135845112"</f>
        <v>20190305135845112</v>
      </c>
      <c r="B2748" t="str">
        <f>"1551765525101518"</f>
        <v>1551765525101518</v>
      </c>
      <c r="C2748" t="s">
        <v>40</v>
      </c>
      <c r="D2748">
        <v>3.8249279999999999</v>
      </c>
      <c r="E2748">
        <v>0.46607850000000001</v>
      </c>
      <c r="F2748" t="s">
        <v>59</v>
      </c>
      <c r="G2748">
        <v>-391.1499</v>
      </c>
      <c r="H2748">
        <v>8.0000360000000006E-2</v>
      </c>
      <c r="I2748">
        <v>223.46039999999999</v>
      </c>
      <c r="J2748">
        <v>-458.99990000000003</v>
      </c>
      <c r="K2748">
        <v>1.1091070000000001</v>
      </c>
      <c r="L2748">
        <v>215.09719999999999</v>
      </c>
      <c r="M2748">
        <v>0.99904599999999999</v>
      </c>
      <c r="N2748">
        <v>-7.07492E-4</v>
      </c>
      <c r="O2748">
        <v>-4.3665330000000002E-2</v>
      </c>
      <c r="P2748">
        <v>0.99899850000000001</v>
      </c>
      <c r="Q2748">
        <v>-2.91814E-2</v>
      </c>
      <c r="R2748">
        <v>3.3918619999999997E-2</v>
      </c>
      <c r="S2748">
        <v>2.9903870000000001</v>
      </c>
      <c r="T2748">
        <v>-4.5153020000000002E-2</v>
      </c>
      <c r="U2748">
        <v>0.36642459999999999</v>
      </c>
      <c r="V2748">
        <v>-7.7407729999999994E-2</v>
      </c>
      <c r="W2748">
        <v>-2.874703E-2</v>
      </c>
      <c r="X2748">
        <v>0.99658500000000005</v>
      </c>
      <c r="Y2748">
        <v>-0.16482579999999999</v>
      </c>
      <c r="Z2748">
        <v>1.924551E-3</v>
      </c>
      <c r="AA2748">
        <v>0.9863208</v>
      </c>
      <c r="AB2748">
        <v>31</v>
      </c>
      <c r="AC2748">
        <v>67.849999999999994</v>
      </c>
      <c r="AD2748">
        <v>-1.02910664</v>
      </c>
      <c r="AE2748">
        <v>8.3632000000000009</v>
      </c>
      <c r="AF2748">
        <v>-11.3153524417597</v>
      </c>
      <c r="AG2748">
        <v>-1.02910664</v>
      </c>
      <c r="AH2748">
        <v>67.404829294037697</v>
      </c>
      <c r="AI2748">
        <v>90.862629740666605</v>
      </c>
      <c r="AJ2748">
        <v>99.529477379288394</v>
      </c>
      <c r="AK2748">
        <v>68.355740603961607</v>
      </c>
      <c r="AL2748">
        <v>91.647310424218603</v>
      </c>
      <c r="AM2748">
        <v>94.441416620711394</v>
      </c>
      <c r="AN2748">
        <v>1.0000000053112801</v>
      </c>
    </row>
    <row r="2749" spans="1:40" x14ac:dyDescent="0.25">
      <c r="A2749" t="str">
        <f>"20190305135845134"</f>
        <v>20190305135845134</v>
      </c>
      <c r="B2749" t="str">
        <f>"1551765525131774"</f>
        <v>1551765525131774</v>
      </c>
      <c r="C2749" t="s">
        <v>40</v>
      </c>
      <c r="D2749">
        <v>3.8151199999999998</v>
      </c>
      <c r="E2749">
        <v>0.46677859999999999</v>
      </c>
      <c r="F2749" t="s">
        <v>43</v>
      </c>
      <c r="G2749">
        <v>-372.0806</v>
      </c>
      <c r="H2749">
        <v>-0.05</v>
      </c>
      <c r="I2749">
        <v>225.96879999999999</v>
      </c>
      <c r="J2749">
        <v>-458.69229999999999</v>
      </c>
      <c r="K2749">
        <v>1.109121</v>
      </c>
      <c r="L2749">
        <v>215.08539999999999</v>
      </c>
      <c r="M2749">
        <v>0.99912420000000002</v>
      </c>
      <c r="N2749">
        <v>-7.5241990000000003E-4</v>
      </c>
      <c r="O2749">
        <v>-4.1840099999999998E-2</v>
      </c>
      <c r="P2749">
        <v>0.99884379999999995</v>
      </c>
      <c r="Q2749">
        <v>-2.8540449999999998E-2</v>
      </c>
      <c r="R2749">
        <v>3.8686169999999999E-2</v>
      </c>
      <c r="S2749">
        <v>2.9891359999999998</v>
      </c>
      <c r="T2749">
        <v>-3.9861439999999998E-2</v>
      </c>
      <c r="U2749">
        <v>0.3738708</v>
      </c>
      <c r="V2749">
        <v>-8.0345700000000006E-2</v>
      </c>
      <c r="W2749">
        <v>-2.8074269999999998E-2</v>
      </c>
      <c r="X2749">
        <v>0.99637160000000002</v>
      </c>
      <c r="Y2749">
        <v>-0.1654989</v>
      </c>
      <c r="Z2749">
        <v>1.6863399999999999E-3</v>
      </c>
      <c r="AA2749">
        <v>0.98620859999999999</v>
      </c>
      <c r="AB2749">
        <v>31</v>
      </c>
      <c r="AC2749">
        <v>86.6116999999999</v>
      </c>
      <c r="AD2749">
        <v>-1.1591209999999901</v>
      </c>
      <c r="AE2749">
        <v>10.8833999999999</v>
      </c>
      <c r="AF2749">
        <v>-14.4951564598326</v>
      </c>
      <c r="AG2749">
        <v>-1.1591209999999901</v>
      </c>
      <c r="AH2749">
        <v>86.065318213501698</v>
      </c>
      <c r="AI2749">
        <v>90.760893650772204</v>
      </c>
      <c r="AJ2749">
        <v>99.560060857381799</v>
      </c>
      <c r="AK2749">
        <v>87.285119702495507</v>
      </c>
      <c r="AL2749">
        <v>91.608748588607398</v>
      </c>
      <c r="AM2749">
        <v>94.610258050524905</v>
      </c>
      <c r="AN2749">
        <v>0.99999998071554097</v>
      </c>
    </row>
    <row r="2750" spans="1:40" x14ac:dyDescent="0.25">
      <c r="A2750" t="str">
        <f>"20190305135845167"</f>
        <v>20190305135845167</v>
      </c>
      <c r="B2750" t="str">
        <f>"1551765525162030"</f>
        <v>1551765525162030</v>
      </c>
      <c r="C2750" t="s">
        <v>40</v>
      </c>
      <c r="D2750">
        <v>3.7716980000000002</v>
      </c>
      <c r="E2750">
        <v>0.4675127</v>
      </c>
      <c r="F2750" t="s">
        <v>43</v>
      </c>
      <c r="G2750">
        <v>-363.19420000000002</v>
      </c>
      <c r="H2750">
        <v>-0.05</v>
      </c>
      <c r="I2750">
        <v>227.31460000000001</v>
      </c>
      <c r="J2750">
        <v>-458.23450000000003</v>
      </c>
      <c r="K2750">
        <v>1.1090990000000001</v>
      </c>
      <c r="L2750">
        <v>215.06890000000001</v>
      </c>
      <c r="M2750">
        <v>0.99923019999999996</v>
      </c>
      <c r="N2750">
        <v>-8.1566910000000002E-4</v>
      </c>
      <c r="O2750">
        <v>-3.92232E-2</v>
      </c>
      <c r="P2750">
        <v>0.99865689999999996</v>
      </c>
      <c r="Q2750">
        <v>-2.8621199999999999E-2</v>
      </c>
      <c r="R2750">
        <v>4.31917E-2</v>
      </c>
      <c r="S2750">
        <v>2.9876100000000001</v>
      </c>
      <c r="T2750">
        <v>-3.6262509999999998E-2</v>
      </c>
      <c r="U2750">
        <v>0.38258360000000002</v>
      </c>
      <c r="V2750">
        <v>-8.2231219999999994E-2</v>
      </c>
      <c r="W2750">
        <v>-2.8096260000000001E-2</v>
      </c>
      <c r="X2750">
        <v>0.99621709999999997</v>
      </c>
      <c r="Y2750">
        <v>-0.16581199999999999</v>
      </c>
      <c r="Z2750">
        <v>1.512537E-3</v>
      </c>
      <c r="AA2750">
        <v>0.98615620000000004</v>
      </c>
      <c r="AB2750">
        <v>31</v>
      </c>
      <c r="AC2750">
        <v>95.040300000000002</v>
      </c>
      <c r="AD2750">
        <v>-1.1590989999999901</v>
      </c>
      <c r="AE2750">
        <v>12.245699999999999</v>
      </c>
      <c r="AF2750">
        <v>-15.9617269654659</v>
      </c>
      <c r="AG2750">
        <v>-1.1590989999999901</v>
      </c>
      <c r="AH2750">
        <v>94.473025956985296</v>
      </c>
      <c r="AI2750">
        <v>90.693110229302604</v>
      </c>
      <c r="AJ2750">
        <v>99.589864692901003</v>
      </c>
      <c r="AK2750">
        <v>95.818958832169997</v>
      </c>
      <c r="AL2750">
        <v>91.610009082613701</v>
      </c>
      <c r="AM2750">
        <v>94.718695246630105</v>
      </c>
      <c r="AN2750">
        <v>0.99999994185054097</v>
      </c>
    </row>
    <row r="2751" spans="1:40" x14ac:dyDescent="0.25">
      <c r="A2751" t="str">
        <f>"20190305135845189"</f>
        <v>20190305135845189</v>
      </c>
      <c r="B2751" t="str">
        <f>"1551765525182057"</f>
        <v>1551765525182057</v>
      </c>
      <c r="C2751" t="s">
        <v>40</v>
      </c>
      <c r="D2751">
        <v>3.7822659999999999</v>
      </c>
      <c r="E2751">
        <v>0.46803359999999999</v>
      </c>
      <c r="F2751" t="s">
        <v>43</v>
      </c>
      <c r="G2751">
        <v>-360.11720000000003</v>
      </c>
      <c r="H2751">
        <v>-0.05</v>
      </c>
      <c r="I2751">
        <v>227.8878</v>
      </c>
      <c r="J2751">
        <v>-457.91449999999998</v>
      </c>
      <c r="K2751">
        <v>1.109075</v>
      </c>
      <c r="L2751">
        <v>215.05789999999999</v>
      </c>
      <c r="M2751">
        <v>0.9992974</v>
      </c>
      <c r="N2751">
        <v>-8.5753979999999999E-4</v>
      </c>
      <c r="O2751">
        <v>-3.7473909999999999E-2</v>
      </c>
      <c r="P2751">
        <v>0.99855079999999996</v>
      </c>
      <c r="Q2751">
        <v>-2.9058199999999999E-2</v>
      </c>
      <c r="R2751">
        <v>4.5299150000000003E-2</v>
      </c>
      <c r="S2751">
        <v>2.986145</v>
      </c>
      <c r="T2751">
        <v>-3.527653E-2</v>
      </c>
      <c r="U2751">
        <v>0.3901367</v>
      </c>
      <c r="V2751">
        <v>-8.2589419999999997E-2</v>
      </c>
      <c r="W2751">
        <v>-2.8488630000000001E-2</v>
      </c>
      <c r="X2751">
        <v>0.99617639999999996</v>
      </c>
      <c r="Y2751">
        <v>-0.16660069999999999</v>
      </c>
      <c r="Z2751">
        <v>1.460615E-3</v>
      </c>
      <c r="AA2751">
        <v>0.98602339999999999</v>
      </c>
      <c r="AB2751">
        <v>31</v>
      </c>
      <c r="AC2751">
        <v>97.797299999999893</v>
      </c>
      <c r="AD2751">
        <v>-1.1590750000000001</v>
      </c>
      <c r="AE2751">
        <v>12.8299</v>
      </c>
      <c r="AF2751">
        <v>-16.483460148655102</v>
      </c>
      <c r="AG2751">
        <v>-1.1590750000000001</v>
      </c>
      <c r="AH2751">
        <v>97.234394169770397</v>
      </c>
      <c r="AI2751">
        <v>90.673351554385704</v>
      </c>
      <c r="AJ2751">
        <v>99.621477324064202</v>
      </c>
      <c r="AK2751">
        <v>98.628471157623693</v>
      </c>
      <c r="AL2751">
        <v>91.632499109215701</v>
      </c>
      <c r="AM2751">
        <v>94.739349250047496</v>
      </c>
      <c r="AN2751">
        <v>1.0000000171260801</v>
      </c>
    </row>
    <row r="2752" spans="1:40" x14ac:dyDescent="0.25">
      <c r="A2752" t="str">
        <f>"20190305135845212"</f>
        <v>20190305135845212</v>
      </c>
      <c r="B2752" t="str">
        <f>"1551765525201576"</f>
        <v>1551765525201576</v>
      </c>
      <c r="C2752" t="s">
        <v>40</v>
      </c>
      <c r="D2752">
        <v>3.7656450000000001</v>
      </c>
      <c r="E2752">
        <v>0.46844720000000001</v>
      </c>
      <c r="F2752" t="s">
        <v>43</v>
      </c>
      <c r="G2752">
        <v>-358.76589999999999</v>
      </c>
      <c r="H2752">
        <v>-0.05</v>
      </c>
      <c r="I2752">
        <v>228.08770000000001</v>
      </c>
      <c r="J2752">
        <v>-457.58760000000001</v>
      </c>
      <c r="K2752">
        <v>1.1090439999999999</v>
      </c>
      <c r="L2752">
        <v>215.04730000000001</v>
      </c>
      <c r="M2752">
        <v>0.99936020000000003</v>
      </c>
      <c r="N2752">
        <v>-8.9895839999999997E-4</v>
      </c>
      <c r="O2752">
        <v>-3.5754649999999999E-2</v>
      </c>
      <c r="P2752">
        <v>0.99847949999999996</v>
      </c>
      <c r="Q2752">
        <v>-2.913725E-2</v>
      </c>
      <c r="R2752">
        <v>4.6793979999999999E-2</v>
      </c>
      <c r="S2752">
        <v>2.985535</v>
      </c>
      <c r="T2752">
        <v>-3.4901740000000001E-2</v>
      </c>
      <c r="U2752">
        <v>0.39234920000000001</v>
      </c>
      <c r="V2752">
        <v>-8.2368460000000004E-2</v>
      </c>
      <c r="W2752">
        <v>-2.8520520000000001E-2</v>
      </c>
      <c r="X2752">
        <v>0.99619380000000002</v>
      </c>
      <c r="Y2752">
        <v>-0.16564889999999999</v>
      </c>
      <c r="Z2752">
        <v>1.4232069999999999E-3</v>
      </c>
      <c r="AA2752">
        <v>0.98618380000000005</v>
      </c>
      <c r="AB2752">
        <v>32</v>
      </c>
      <c r="AC2752">
        <v>98.821700000000007</v>
      </c>
      <c r="AD2752">
        <v>-1.159044</v>
      </c>
      <c r="AE2752">
        <v>13.0404</v>
      </c>
      <c r="AF2752">
        <v>-16.563159189913002</v>
      </c>
      <c r="AG2752">
        <v>-1.159044</v>
      </c>
      <c r="AH2752">
        <v>98.2789700776122</v>
      </c>
      <c r="AI2752">
        <v>90.666286020169593</v>
      </c>
      <c r="AJ2752">
        <v>99.566282267414906</v>
      </c>
      <c r="AK2752">
        <v>99.671648851920494</v>
      </c>
      <c r="AL2752">
        <v>91.634326984775498</v>
      </c>
      <c r="AM2752">
        <v>94.7266449225868</v>
      </c>
      <c r="AN2752">
        <v>1.00000003521114</v>
      </c>
    </row>
    <row r="2753" spans="1:40" x14ac:dyDescent="0.25">
      <c r="A2753" t="str">
        <f>"20190305135845237"</f>
        <v>20190305135845237</v>
      </c>
      <c r="B2753" t="str">
        <f>"1551765525231834"</f>
        <v>1551765525231834</v>
      </c>
      <c r="C2753" t="s">
        <v>40</v>
      </c>
      <c r="D2753">
        <v>3.7489949999999999</v>
      </c>
      <c r="E2753">
        <v>0.46932810000000003</v>
      </c>
      <c r="F2753" t="s">
        <v>43</v>
      </c>
      <c r="G2753">
        <v>-349.43239999999997</v>
      </c>
      <c r="H2753">
        <v>-0.05</v>
      </c>
      <c r="I2753">
        <v>229.3065</v>
      </c>
      <c r="J2753">
        <v>-457.23719999999997</v>
      </c>
      <c r="K2753">
        <v>1.1090100000000001</v>
      </c>
      <c r="L2753">
        <v>215.03639999999999</v>
      </c>
      <c r="M2753">
        <v>0.99942160000000002</v>
      </c>
      <c r="N2753">
        <v>-9.4217750000000005E-4</v>
      </c>
      <c r="O2753">
        <v>-3.3994959999999998E-2</v>
      </c>
      <c r="P2753">
        <v>0.9984035</v>
      </c>
      <c r="Q2753">
        <v>-2.9300690000000001E-2</v>
      </c>
      <c r="R2753">
        <v>4.8290890000000003E-2</v>
      </c>
      <c r="S2753">
        <v>2.9851990000000002</v>
      </c>
      <c r="T2753">
        <v>-3.1990890000000001E-2</v>
      </c>
      <c r="U2753">
        <v>0.39356989999999997</v>
      </c>
      <c r="V2753">
        <v>-8.2109790000000002E-2</v>
      </c>
      <c r="W2753">
        <v>-2.8633309999999999E-2</v>
      </c>
      <c r="X2753">
        <v>0.99621190000000004</v>
      </c>
      <c r="Y2753">
        <v>-0.16432539999999901</v>
      </c>
      <c r="Z2753">
        <v>1.285427E-3</v>
      </c>
      <c r="AA2753">
        <v>0.98640539999999999</v>
      </c>
      <c r="AB2753">
        <v>32</v>
      </c>
      <c r="AC2753">
        <v>107.8048</v>
      </c>
      <c r="AD2753">
        <v>-1.1590100000000001</v>
      </c>
      <c r="AE2753">
        <v>14.270099999999999</v>
      </c>
      <c r="AF2753">
        <v>-17.924637154801001</v>
      </c>
      <c r="AG2753">
        <v>-1.1590100000000001</v>
      </c>
      <c r="AH2753">
        <v>107.245195180306</v>
      </c>
      <c r="AI2753">
        <v>90.610706787202005</v>
      </c>
      <c r="AJ2753">
        <v>99.488538418238207</v>
      </c>
      <c r="AK2753">
        <v>108.73898937627401</v>
      </c>
      <c r="AL2753">
        <v>91.640792045951599</v>
      </c>
      <c r="AM2753">
        <v>94.711783077118795</v>
      </c>
      <c r="AN2753">
        <v>1.0000000168784999</v>
      </c>
    </row>
    <row r="2754" spans="1:40" x14ac:dyDescent="0.25">
      <c r="A2754" t="str">
        <f>"20190305135845259"</f>
        <v>20190305135845259</v>
      </c>
      <c r="B2754" t="str">
        <f>"1551765525251353"</f>
        <v>1551765525251353</v>
      </c>
      <c r="C2754" t="s">
        <v>40</v>
      </c>
      <c r="D2754">
        <v>3.7227640000000002</v>
      </c>
      <c r="E2754">
        <v>0.46966020000000003</v>
      </c>
      <c r="F2754" t="s">
        <v>67</v>
      </c>
      <c r="G2754">
        <v>-346.19260000000003</v>
      </c>
      <c r="H2754">
        <v>-1.4296049999999999E-2</v>
      </c>
      <c r="I2754">
        <v>229.5873</v>
      </c>
      <c r="J2754">
        <v>-456.9246</v>
      </c>
      <c r="K2754">
        <v>1.108986</v>
      </c>
      <c r="L2754">
        <v>215.02709999999999</v>
      </c>
      <c r="M2754">
        <v>0.9994712</v>
      </c>
      <c r="N2754">
        <v>-9.7969219999999996E-4</v>
      </c>
      <c r="O2754">
        <v>-3.2504690000000003E-2</v>
      </c>
      <c r="P2754">
        <v>0.99842589999999998</v>
      </c>
      <c r="Q2754">
        <v>-2.8228699999999999E-2</v>
      </c>
      <c r="R2754">
        <v>4.846814E-2</v>
      </c>
      <c r="S2754">
        <v>2.984985</v>
      </c>
      <c r="T2754">
        <v>-3.0194160000000001E-2</v>
      </c>
      <c r="U2754">
        <v>0.39114379999999999</v>
      </c>
      <c r="V2754">
        <v>-8.08083E-2</v>
      </c>
      <c r="W2754">
        <v>-2.751255E-2</v>
      </c>
      <c r="X2754">
        <v>0.99634990000000001</v>
      </c>
      <c r="Y2754">
        <v>-0.16207659999999999</v>
      </c>
      <c r="Z2754">
        <v>1.191777E-3</v>
      </c>
      <c r="AA2754">
        <v>0.98677749999999997</v>
      </c>
      <c r="AB2754">
        <v>32</v>
      </c>
      <c r="AC2754">
        <v>110.731999999999</v>
      </c>
      <c r="AD2754">
        <v>-1.12328205</v>
      </c>
      <c r="AE2754">
        <v>14.5602</v>
      </c>
      <c r="AF2754">
        <v>-18.1499808884228</v>
      </c>
      <c r="AG2754">
        <v>-1.12328205</v>
      </c>
      <c r="AH2754">
        <v>110.189066152276</v>
      </c>
      <c r="AI2754">
        <v>90.576295539891703</v>
      </c>
      <c r="AJ2754">
        <v>99.353583462006995</v>
      </c>
      <c r="AK2754">
        <v>111.679514094236</v>
      </c>
      <c r="AL2754">
        <v>91.576551898488205</v>
      </c>
      <c r="AM2754">
        <v>94.636787298676794</v>
      </c>
      <c r="AN2754">
        <v>1.0000000224932</v>
      </c>
    </row>
    <row r="2755" spans="1:40" x14ac:dyDescent="0.25">
      <c r="A2755" t="str">
        <f>"20190305135845279"</f>
        <v>20190305135845279</v>
      </c>
      <c r="B2755" t="str">
        <f>"1551765525271849"</f>
        <v>1551765525271849</v>
      </c>
      <c r="C2755" t="s">
        <v>40</v>
      </c>
      <c r="D2755">
        <v>3.7248320000000001</v>
      </c>
      <c r="E2755">
        <v>0.46998020000000001</v>
      </c>
      <c r="F2755" t="s">
        <v>67</v>
      </c>
      <c r="G2755">
        <v>-345.7475</v>
      </c>
      <c r="H2755">
        <v>0.1471953</v>
      </c>
      <c r="I2755">
        <v>229.51410000000001</v>
      </c>
      <c r="J2755">
        <v>-456.61880000000002</v>
      </c>
      <c r="K2755">
        <v>1.1089610000000001</v>
      </c>
      <c r="L2755">
        <v>215.01840000000001</v>
      </c>
      <c r="M2755">
        <v>0.99951520000000005</v>
      </c>
      <c r="N2755">
        <v>-1.0154649999999999E-3</v>
      </c>
      <c r="O2755">
        <v>-3.1117430000000001E-2</v>
      </c>
      <c r="P2755">
        <v>0.9984381</v>
      </c>
      <c r="Q2755">
        <v>-2.6454849999999999E-2</v>
      </c>
      <c r="R2755">
        <v>4.9210810000000001E-2</v>
      </c>
      <c r="S2755">
        <v>2.9851070000000002</v>
      </c>
      <c r="T2755">
        <v>-2.5821920000000002E-2</v>
      </c>
      <c r="U2755">
        <v>0.38897710000000002</v>
      </c>
      <c r="V2755">
        <v>-8.0176490000000003E-2</v>
      </c>
      <c r="W2755">
        <v>-2.5693529999999999E-2</v>
      </c>
      <c r="X2755">
        <v>0.99644949999999999</v>
      </c>
      <c r="Y2755">
        <v>-0.16</v>
      </c>
      <c r="Z2755">
        <v>1.007361E-3</v>
      </c>
      <c r="AA2755">
        <v>0.98711649999999995</v>
      </c>
      <c r="AB2755">
        <v>32</v>
      </c>
      <c r="AC2755">
        <v>110.87130000000001</v>
      </c>
      <c r="AD2755">
        <v>-0.96176569999999995</v>
      </c>
      <c r="AE2755">
        <v>14.495699999999999</v>
      </c>
      <c r="AF2755">
        <v>-17.937384919353899</v>
      </c>
      <c r="AG2755">
        <v>-0.96176569999999995</v>
      </c>
      <c r="AH2755">
        <v>110.35837495720899</v>
      </c>
      <c r="AI2755">
        <v>90.492848772662697</v>
      </c>
      <c r="AJ2755">
        <v>99.231984882662502</v>
      </c>
      <c r="AK2755">
        <v>111.810758400982</v>
      </c>
      <c r="AL2755">
        <v>91.472292826600693</v>
      </c>
      <c r="AM2755">
        <v>94.600232338475394</v>
      </c>
      <c r="AN2755">
        <v>1.00000001654141</v>
      </c>
    </row>
    <row r="2756" spans="1:40" x14ac:dyDescent="0.25">
      <c r="A2756" t="str">
        <f>"20190305135845301"</f>
        <v>20190305135845301</v>
      </c>
      <c r="B2756" t="str">
        <f>"1551765525291371"</f>
        <v>1551765525291371</v>
      </c>
      <c r="C2756" t="s">
        <v>40</v>
      </c>
      <c r="D2756">
        <v>3.7529149999999998</v>
      </c>
      <c r="E2756">
        <v>0.47036420000000001</v>
      </c>
      <c r="F2756" t="s">
        <v>67</v>
      </c>
      <c r="G2756">
        <v>-345.35849999999999</v>
      </c>
      <c r="H2756">
        <v>0.38705109999999998</v>
      </c>
      <c r="I2756">
        <v>229.51400000000001</v>
      </c>
      <c r="J2756">
        <v>-456.29860000000002</v>
      </c>
      <c r="K2756">
        <v>1.108943</v>
      </c>
      <c r="L2756">
        <v>215.00970000000001</v>
      </c>
      <c r="M2756">
        <v>0.99955760000000005</v>
      </c>
      <c r="N2756">
        <v>-1.0524740000000001E-3</v>
      </c>
      <c r="O2756">
        <v>-2.972385E-2</v>
      </c>
      <c r="P2756">
        <v>0.99843539999999997</v>
      </c>
      <c r="Q2756">
        <v>-2.4485750000000001E-2</v>
      </c>
      <c r="R2756">
        <v>5.0271639999999999E-2</v>
      </c>
      <c r="S2756">
        <v>2.984985</v>
      </c>
      <c r="T2756">
        <v>-1.9366499999999998E-2</v>
      </c>
      <c r="U2756">
        <v>0.38890079999999999</v>
      </c>
      <c r="V2756">
        <v>-7.9855449999999994E-2</v>
      </c>
      <c r="W2756">
        <v>-2.367936E-2</v>
      </c>
      <c r="X2756">
        <v>0.9965252</v>
      </c>
      <c r="Y2756">
        <v>-0.1586072</v>
      </c>
      <c r="Z2756">
        <v>7.5713189999999995E-4</v>
      </c>
      <c r="AA2756">
        <v>0.98734149999999998</v>
      </c>
      <c r="AB2756">
        <v>32</v>
      </c>
      <c r="AC2756">
        <v>110.9401</v>
      </c>
      <c r="AD2756">
        <v>-0.72189190000000003</v>
      </c>
      <c r="AE2756">
        <v>14.504300000000001</v>
      </c>
      <c r="AF2756">
        <v>-17.794719155609201</v>
      </c>
      <c r="AG2756">
        <v>-0.72189190000000003</v>
      </c>
      <c r="AH2756">
        <v>110.45535879224001</v>
      </c>
      <c r="AI2756">
        <v>90.369690238570797</v>
      </c>
      <c r="AJ2756">
        <v>99.151900983371704</v>
      </c>
      <c r="AK2756">
        <v>111.881899535469</v>
      </c>
      <c r="AL2756">
        <v>91.356854156726499</v>
      </c>
      <c r="AM2756">
        <v>94.581544254268394</v>
      </c>
      <c r="AN2756">
        <v>1.0000000396098701</v>
      </c>
    </row>
    <row r="2757" spans="1:40" x14ac:dyDescent="0.25">
      <c r="A2757" t="str">
        <f>"20190305135845324"</f>
        <v>20190305135845324</v>
      </c>
      <c r="B2757" t="str">
        <f>"1551765525321625"</f>
        <v>1551765525321625</v>
      </c>
      <c r="C2757" t="s">
        <v>40</v>
      </c>
      <c r="D2757">
        <v>3.7139980000000001</v>
      </c>
      <c r="E2757">
        <v>0.47081610000000002</v>
      </c>
      <c r="F2757" t="s">
        <v>67</v>
      </c>
      <c r="G2757">
        <v>-344.99209999999999</v>
      </c>
      <c r="H2757">
        <v>0.64748240000000001</v>
      </c>
      <c r="I2757">
        <v>229.51390000000001</v>
      </c>
      <c r="J2757">
        <v>-455.96100000000001</v>
      </c>
      <c r="K2757">
        <v>1.1089209999999901</v>
      </c>
      <c r="L2757">
        <v>215.001</v>
      </c>
      <c r="M2757">
        <v>0.9995984</v>
      </c>
      <c r="N2757">
        <v>-1.0911460000000001E-3</v>
      </c>
      <c r="O2757">
        <v>-2.8318490000000002E-2</v>
      </c>
      <c r="P2757">
        <v>0.99839520000000004</v>
      </c>
      <c r="Q2757">
        <v>-2.263865E-2</v>
      </c>
      <c r="R2757">
        <v>5.1912470000000002E-2</v>
      </c>
      <c r="S2757">
        <v>2.9848020000000002</v>
      </c>
      <c r="T2757">
        <v>-1.237333E-2</v>
      </c>
      <c r="U2757">
        <v>0.38894649999999997</v>
      </c>
      <c r="V2757">
        <v>-8.0100749999999998E-2</v>
      </c>
      <c r="W2757">
        <v>-2.1787339999999999E-2</v>
      </c>
      <c r="X2757">
        <v>0.99654869999999995</v>
      </c>
      <c r="Y2757">
        <v>-0.15724399999999999</v>
      </c>
      <c r="Z2757">
        <v>4.9688100000000002E-4</v>
      </c>
      <c r="AA2757">
        <v>0.98755970000000004</v>
      </c>
      <c r="AB2757">
        <v>33</v>
      </c>
      <c r="AC2757">
        <v>110.9689</v>
      </c>
      <c r="AD2757">
        <v>-0.46143859999999898</v>
      </c>
      <c r="AE2757">
        <v>14.5129</v>
      </c>
      <c r="AF2757">
        <v>-17.649252983026098</v>
      </c>
      <c r="AG2757">
        <v>-0.46143859999999898</v>
      </c>
      <c r="AH2757">
        <v>110.51153361734301</v>
      </c>
      <c r="AI2757">
        <v>90.236242181716605</v>
      </c>
      <c r="AJ2757">
        <v>99.073800105662002</v>
      </c>
      <c r="AK2757">
        <v>111.91294884372201</v>
      </c>
      <c r="AL2757">
        <v>91.248421329546304</v>
      </c>
      <c r="AM2757">
        <v>94.595449748004796</v>
      </c>
      <c r="AN2757">
        <v>1.0000000649032601</v>
      </c>
    </row>
    <row r="2758" spans="1:40" x14ac:dyDescent="0.25">
      <c r="A2758" t="str">
        <f>"20190305135845347"</f>
        <v>20190305135845347</v>
      </c>
      <c r="B2758" t="str">
        <f>"1551765525341145"</f>
        <v>1551765525341145</v>
      </c>
      <c r="C2758" t="s">
        <v>40</v>
      </c>
      <c r="D2758">
        <v>3.7930359999999999</v>
      </c>
      <c r="E2758">
        <v>0.47097070000000002</v>
      </c>
      <c r="F2758" t="s">
        <v>67</v>
      </c>
      <c r="G2758">
        <v>-345.02069999999998</v>
      </c>
      <c r="H2758">
        <v>0.90656999999999999</v>
      </c>
      <c r="I2758">
        <v>229.51390000000001</v>
      </c>
      <c r="J2758">
        <v>-455.64339999999999</v>
      </c>
      <c r="K2758">
        <v>1.108905</v>
      </c>
      <c r="L2758">
        <v>214.9931</v>
      </c>
      <c r="M2758">
        <v>0.99963340000000001</v>
      </c>
      <c r="N2758">
        <v>-1.127854E-3</v>
      </c>
      <c r="O2758">
        <v>-2.7056179999999999E-2</v>
      </c>
      <c r="P2758">
        <v>0.99833859999999996</v>
      </c>
      <c r="Q2758">
        <v>-2.0669799999999999E-2</v>
      </c>
      <c r="R2758">
        <v>5.3784079999999998E-2</v>
      </c>
      <c r="S2758">
        <v>2.9844059999999999</v>
      </c>
      <c r="T2758">
        <v>-5.4417850000000002E-3</v>
      </c>
      <c r="U2758">
        <v>0.39041140000000002</v>
      </c>
      <c r="V2758">
        <v>-8.0719490000000005E-2</v>
      </c>
      <c r="W2758">
        <v>-1.97769E-2</v>
      </c>
      <c r="X2758">
        <v>0.9965406</v>
      </c>
      <c r="Y2758">
        <v>-0.15649170000000001</v>
      </c>
      <c r="Z2758">
        <v>2.4946000000000001E-4</v>
      </c>
      <c r="AA2758">
        <v>0.98767919999999998</v>
      </c>
      <c r="AB2758">
        <v>33</v>
      </c>
      <c r="AC2758">
        <v>110.62269999999999</v>
      </c>
      <c r="AD2758">
        <v>-0.20233499999999999</v>
      </c>
      <c r="AE2758">
        <v>14.520799999999999</v>
      </c>
      <c r="AF2758">
        <v>-17.5084557823781</v>
      </c>
      <c r="AG2758">
        <v>-0.20233499999999999</v>
      </c>
      <c r="AH2758">
        <v>110.188962630319</v>
      </c>
      <c r="AI2758">
        <v>90.103906018172594</v>
      </c>
      <c r="AJ2758">
        <v>99.028524934688804</v>
      </c>
      <c r="AK2758">
        <v>111.571476860717</v>
      </c>
      <c r="AL2758">
        <v>91.133206821174298</v>
      </c>
      <c r="AM2758">
        <v>94.630831078407198</v>
      </c>
      <c r="AN2758">
        <v>0.99999996464391405</v>
      </c>
    </row>
    <row r="2759" spans="1:40" x14ac:dyDescent="0.25">
      <c r="A2759" t="str">
        <f>"20190305135845369"</f>
        <v>20190305135845369</v>
      </c>
      <c r="B2759" t="str">
        <f>"1551765525361641"</f>
        <v>1551765525361641</v>
      </c>
      <c r="C2759" t="s">
        <v>40</v>
      </c>
      <c r="D2759">
        <v>3.7558159999999998</v>
      </c>
      <c r="E2759">
        <v>0.47112730000000003</v>
      </c>
      <c r="F2759" t="s">
        <v>67</v>
      </c>
      <c r="G2759">
        <v>-345.94940000000003</v>
      </c>
      <c r="H2759">
        <v>1.0520640000000001</v>
      </c>
      <c r="I2759">
        <v>229.5138</v>
      </c>
      <c r="J2759">
        <v>-455.29360000000003</v>
      </c>
      <c r="K2759">
        <v>1.1088800000000001</v>
      </c>
      <c r="L2759">
        <v>214.98490000000001</v>
      </c>
      <c r="M2759">
        <v>0.99966809999999995</v>
      </c>
      <c r="N2759">
        <v>-1.1709699999999999E-3</v>
      </c>
      <c r="O2759">
        <v>-2.5738670000000002E-2</v>
      </c>
      <c r="P2759">
        <v>0.9982723</v>
      </c>
      <c r="Q2759">
        <v>-1.772162E-2</v>
      </c>
      <c r="R2759">
        <v>5.6021469999999997E-2</v>
      </c>
      <c r="S2759">
        <v>2.9836429999999998</v>
      </c>
      <c r="T2759">
        <v>-1.5441179999999999E-3</v>
      </c>
      <c r="U2759">
        <v>0.39495849999999999</v>
      </c>
      <c r="V2759">
        <v>-8.1651029999999999E-2</v>
      </c>
      <c r="W2759">
        <v>-1.6780150000000001E-2</v>
      </c>
      <c r="X2759">
        <v>0.99651970000000001</v>
      </c>
      <c r="Y2759">
        <v>-0.15670239999999999</v>
      </c>
      <c r="Z2759">
        <v>1.157874E-4</v>
      </c>
      <c r="AA2759">
        <v>0.98764589999999997</v>
      </c>
      <c r="AB2759">
        <v>33</v>
      </c>
      <c r="AC2759">
        <v>109.3442</v>
      </c>
      <c r="AD2759">
        <v>-5.6815999999999901E-2</v>
      </c>
      <c r="AE2759">
        <v>14.528899999999901</v>
      </c>
      <c r="AF2759">
        <v>-17.338458034205001</v>
      </c>
      <c r="AG2759">
        <v>-5.6815999999999901E-2</v>
      </c>
      <c r="AH2759">
        <v>108.933991140199</v>
      </c>
      <c r="AI2759">
        <v>90.0295119069674</v>
      </c>
      <c r="AJ2759">
        <v>99.043612460451996</v>
      </c>
      <c r="AK2759">
        <v>110.30521193848701</v>
      </c>
      <c r="AL2759">
        <v>90.961476910494994</v>
      </c>
      <c r="AM2759">
        <v>94.6841343481519</v>
      </c>
      <c r="AN2759">
        <v>0.99999998831108605</v>
      </c>
    </row>
    <row r="2760" spans="1:40" x14ac:dyDescent="0.25">
      <c r="A2760" t="str">
        <f>"20190305135845390"</f>
        <v>20190305135845390</v>
      </c>
      <c r="B2760" t="str">
        <f>"1551765525381161"</f>
        <v>1551765525381161</v>
      </c>
      <c r="C2760" t="s">
        <v>40</v>
      </c>
      <c r="D2760">
        <v>3.766286</v>
      </c>
      <c r="E2760">
        <v>0.47127200000000002</v>
      </c>
      <c r="F2760" t="s">
        <v>67</v>
      </c>
      <c r="G2760">
        <v>-346.19260000000003</v>
      </c>
      <c r="H2760">
        <v>1.3418369999999999</v>
      </c>
      <c r="I2760">
        <v>229.62289999999999</v>
      </c>
      <c r="J2760">
        <v>-454.97899999999998</v>
      </c>
      <c r="K2760">
        <v>1.1088559999999901</v>
      </c>
      <c r="L2760">
        <v>214.9778</v>
      </c>
      <c r="M2760">
        <v>0.99969609999999998</v>
      </c>
      <c r="N2760">
        <v>-1.2117180000000001E-3</v>
      </c>
      <c r="O2760">
        <v>-2.462133E-2</v>
      </c>
      <c r="P2760">
        <v>0.99823059999999997</v>
      </c>
      <c r="Q2760">
        <v>-1.492285E-2</v>
      </c>
      <c r="R2760">
        <v>5.756037E-2</v>
      </c>
      <c r="S2760">
        <v>2.9828489999999999</v>
      </c>
      <c r="T2760">
        <v>6.3705439999999997E-3</v>
      </c>
      <c r="U2760">
        <v>0.40020749999999999</v>
      </c>
      <c r="V2760">
        <v>-8.2084160000000003E-2</v>
      </c>
      <c r="W2760">
        <v>-1.393351E-2</v>
      </c>
      <c r="X2760">
        <v>0.99652799999999997</v>
      </c>
      <c r="Y2760">
        <v>-0.15734010000000001</v>
      </c>
      <c r="Z2760">
        <v>-1.5357500000000001E-4</v>
      </c>
      <c r="AA2760">
        <v>0.98754450000000005</v>
      </c>
      <c r="AB2760">
        <v>33</v>
      </c>
      <c r="AC2760">
        <v>108.7864</v>
      </c>
      <c r="AD2760">
        <v>0.23298099999999999</v>
      </c>
      <c r="AE2760">
        <v>14.6450999999999</v>
      </c>
      <c r="AF2760">
        <v>-17.319050156201101</v>
      </c>
      <c r="AG2760">
        <v>0.23298099999999999</v>
      </c>
      <c r="AH2760">
        <v>108.392350842196</v>
      </c>
      <c r="AI2760">
        <v>89.878389894732393</v>
      </c>
      <c r="AJ2760">
        <v>99.078048089849403</v>
      </c>
      <c r="AK2760">
        <v>109.76750657438301</v>
      </c>
      <c r="AL2760">
        <v>90.7983571480423</v>
      </c>
      <c r="AM2760">
        <v>94.708831546061901</v>
      </c>
      <c r="AN2760">
        <v>1.00000000340391</v>
      </c>
    </row>
    <row r="2761" spans="1:40" x14ac:dyDescent="0.25">
      <c r="A2761" t="str">
        <f>"20190305135845413"</f>
        <v>20190305135845413</v>
      </c>
      <c r="B2761" t="str">
        <f>"1551765525401660"</f>
        <v>1551765525401660</v>
      </c>
      <c r="C2761" t="s">
        <v>40</v>
      </c>
      <c r="D2761">
        <v>3.7612000000000001</v>
      </c>
      <c r="E2761">
        <v>0.47144910000000001</v>
      </c>
      <c r="F2761" t="s">
        <v>67</v>
      </c>
      <c r="G2761">
        <v>-346.19260000000003</v>
      </c>
      <c r="H2761">
        <v>1.5735239999999999</v>
      </c>
      <c r="I2761">
        <v>229.7028</v>
      </c>
      <c r="J2761">
        <v>-454.63799999999998</v>
      </c>
      <c r="K2761">
        <v>1.1088180000000001</v>
      </c>
      <c r="L2761">
        <v>214.97040000000001</v>
      </c>
      <c r="M2761">
        <v>0.99972340000000004</v>
      </c>
      <c r="N2761">
        <v>-1.2565149999999999E-3</v>
      </c>
      <c r="O2761">
        <v>-2.3486099999999999E-2</v>
      </c>
      <c r="P2761">
        <v>0.99818150000000005</v>
      </c>
      <c r="Q2761">
        <v>-1.095843E-2</v>
      </c>
      <c r="R2761">
        <v>5.9277209999999997E-2</v>
      </c>
      <c r="S2761">
        <v>2.9822690000000001</v>
      </c>
      <c r="T2761">
        <v>1.273966E-2</v>
      </c>
      <c r="U2761">
        <v>0.40367130000000001</v>
      </c>
      <c r="V2761">
        <v>-8.2679230000000006E-2</v>
      </c>
      <c r="W2761">
        <v>-9.9157859999999994E-3</v>
      </c>
      <c r="X2761">
        <v>0.99652689999999999</v>
      </c>
      <c r="Y2761">
        <v>-0.15736939999999999</v>
      </c>
      <c r="Z2761">
        <v>-3.6455219999999999E-4</v>
      </c>
      <c r="AA2761">
        <v>0.98753970000000002</v>
      </c>
      <c r="AB2761">
        <v>33</v>
      </c>
      <c r="AC2761">
        <v>108.44540000000001</v>
      </c>
      <c r="AD2761">
        <v>0.46470599999999901</v>
      </c>
      <c r="AE2761">
        <v>14.732399999999901</v>
      </c>
      <c r="AF2761">
        <v>-17.274986247823399</v>
      </c>
      <c r="AG2761">
        <v>0.46470599999999901</v>
      </c>
      <c r="AH2761">
        <v>108.06753143014301</v>
      </c>
      <c r="AI2761">
        <v>89.756710156971707</v>
      </c>
      <c r="AJ2761">
        <v>99.0820991992979</v>
      </c>
      <c r="AK2761">
        <v>109.440542994513</v>
      </c>
      <c r="AL2761">
        <v>90.5681419873831</v>
      </c>
      <c r="AM2761">
        <v>94.742818312331707</v>
      </c>
      <c r="AN2761">
        <v>1.0000000201545001</v>
      </c>
    </row>
    <row r="2762" spans="1:40" x14ac:dyDescent="0.25">
      <c r="A2762" t="str">
        <f>"20190305135845437"</f>
        <v>20190305135845437</v>
      </c>
      <c r="B2762" t="str">
        <f>"1551765525431913"</f>
        <v>1551765525431913</v>
      </c>
      <c r="C2762" t="s">
        <v>40</v>
      </c>
      <c r="D2762">
        <v>3.8070020000000002</v>
      </c>
      <c r="E2762">
        <v>0.47178930000000002</v>
      </c>
      <c r="F2762" t="s">
        <v>67</v>
      </c>
      <c r="G2762">
        <v>-346.19260000000003</v>
      </c>
      <c r="H2762">
        <v>1.937217</v>
      </c>
      <c r="I2762">
        <v>229.7876</v>
      </c>
      <c r="J2762">
        <v>-454.27420000000001</v>
      </c>
      <c r="K2762">
        <v>1.1087640000000001</v>
      </c>
      <c r="L2762">
        <v>214.96279999999999</v>
      </c>
      <c r="M2762">
        <v>0.9997492</v>
      </c>
      <c r="N2762">
        <v>-1.2993950000000001E-3</v>
      </c>
      <c r="O2762">
        <v>-2.236053E-2</v>
      </c>
      <c r="P2762">
        <v>0.99809479999999995</v>
      </c>
      <c r="Q2762">
        <v>-8.2964500000000004E-3</v>
      </c>
      <c r="R2762">
        <v>6.113996E-2</v>
      </c>
      <c r="S2762">
        <v>2.9815670000000001</v>
      </c>
      <c r="T2762">
        <v>2.2777080000000002E-2</v>
      </c>
      <c r="U2762">
        <v>0.4073792</v>
      </c>
      <c r="V2762">
        <v>-8.3425760000000002E-2</v>
      </c>
      <c r="W2762">
        <v>-7.2012219999999898E-3</v>
      </c>
      <c r="X2762">
        <v>0.99648800000000004</v>
      </c>
      <c r="Y2762">
        <v>-0.15749099999999999</v>
      </c>
      <c r="Z2762">
        <v>-6.9496580000000003E-4</v>
      </c>
      <c r="AA2762">
        <v>0.98752019999999996</v>
      </c>
      <c r="AB2762">
        <v>34</v>
      </c>
      <c r="AC2762">
        <v>108.081599999999</v>
      </c>
      <c r="AD2762">
        <v>0.828452999999999</v>
      </c>
      <c r="AE2762">
        <v>14.8248</v>
      </c>
      <c r="AF2762">
        <v>-17.236863084026101</v>
      </c>
      <c r="AG2762">
        <v>0.828452999999999</v>
      </c>
      <c r="AH2762">
        <v>107.71687404769099</v>
      </c>
      <c r="AI2762">
        <v>89.564880997919403</v>
      </c>
      <c r="AJ2762">
        <v>99.091398844978698</v>
      </c>
      <c r="AK2762">
        <v>109.090424593348</v>
      </c>
      <c r="AL2762">
        <v>90.412603183946104</v>
      </c>
      <c r="AM2762">
        <v>94.785630268429202</v>
      </c>
      <c r="AN2762">
        <v>1.00000002458693</v>
      </c>
    </row>
    <row r="2763" spans="1:40" x14ac:dyDescent="0.25">
      <c r="A2763" t="str">
        <f>"20190305135845458"</f>
        <v>20190305135845458</v>
      </c>
      <c r="B2763" t="str">
        <f>"1551765525451433"</f>
        <v>1551765525451433</v>
      </c>
      <c r="C2763" t="s">
        <v>40</v>
      </c>
      <c r="D2763">
        <v>3.8616199999999998</v>
      </c>
      <c r="E2763">
        <v>0.47205809999999998</v>
      </c>
      <c r="F2763" t="s">
        <v>67</v>
      </c>
      <c r="G2763">
        <v>-346.19260000000003</v>
      </c>
      <c r="H2763">
        <v>2.132962</v>
      </c>
      <c r="I2763">
        <v>229.8322</v>
      </c>
      <c r="J2763">
        <v>-453.96429999999998</v>
      </c>
      <c r="K2763">
        <v>1.108727</v>
      </c>
      <c r="L2763">
        <v>214.95670000000001</v>
      </c>
      <c r="M2763">
        <v>0.99976860000000001</v>
      </c>
      <c r="N2763">
        <v>-1.3295519999999999E-3</v>
      </c>
      <c r="O2763">
        <v>-2.14752E-2</v>
      </c>
      <c r="P2763">
        <v>0.99802480000000005</v>
      </c>
      <c r="Q2763">
        <v>-6.2467349999999998E-3</v>
      </c>
      <c r="R2763">
        <v>6.2513490000000005E-2</v>
      </c>
      <c r="S2763">
        <v>2.9807739999999998</v>
      </c>
      <c r="T2763">
        <v>2.8247709999999999E-2</v>
      </c>
      <c r="U2763">
        <v>0.41008</v>
      </c>
      <c r="V2763">
        <v>-8.3920529999999993E-2</v>
      </c>
      <c r="W2763">
        <v>-5.11248E-3</v>
      </c>
      <c r="X2763">
        <v>0.9964594</v>
      </c>
      <c r="Y2763">
        <v>-0.15752749999999999</v>
      </c>
      <c r="Z2763">
        <v>-8.6871279999999995E-4</v>
      </c>
      <c r="AA2763">
        <v>0.98751420000000001</v>
      </c>
      <c r="AB2763">
        <v>34</v>
      </c>
      <c r="AC2763">
        <v>107.771699999999</v>
      </c>
      <c r="AD2763">
        <v>1.024235</v>
      </c>
      <c r="AE2763">
        <v>14.875499999999899</v>
      </c>
      <c r="AF2763">
        <v>-17.184966897369399</v>
      </c>
      <c r="AG2763">
        <v>1.024235</v>
      </c>
      <c r="AH2763">
        <v>107.417870478403</v>
      </c>
      <c r="AI2763">
        <v>89.460557621945995</v>
      </c>
      <c r="AJ2763">
        <v>99.089292734249796</v>
      </c>
      <c r="AK2763">
        <v>108.78865309725001</v>
      </c>
      <c r="AL2763">
        <v>90.292924784062393</v>
      </c>
      <c r="AM2763">
        <v>94.814016754304504</v>
      </c>
      <c r="AN2763">
        <v>1.00000006432779</v>
      </c>
    </row>
    <row r="2764" spans="1:40" x14ac:dyDescent="0.25">
      <c r="A2764" t="str">
        <f>"20190305135845480"</f>
        <v>20190305135845480</v>
      </c>
      <c r="B2764" t="str">
        <f>"1551765525471929"</f>
        <v>1551765525471929</v>
      </c>
      <c r="C2764" t="s">
        <v>40</v>
      </c>
      <c r="D2764">
        <v>3.862215</v>
      </c>
      <c r="E2764">
        <v>0.4839077</v>
      </c>
      <c r="F2764" t="s">
        <v>67</v>
      </c>
      <c r="G2764">
        <v>-346.19260000000003</v>
      </c>
      <c r="H2764">
        <v>2.269174</v>
      </c>
      <c r="I2764">
        <v>229.84790000000001</v>
      </c>
      <c r="J2764">
        <v>-453.61900000000003</v>
      </c>
      <c r="K2764">
        <v>1.108676</v>
      </c>
      <c r="L2764">
        <v>214.95009999999999</v>
      </c>
      <c r="M2764">
        <v>0.9997876</v>
      </c>
      <c r="N2764">
        <v>-1.358831E-3</v>
      </c>
      <c r="O2764">
        <v>-2.0564249999999999E-2</v>
      </c>
      <c r="P2764">
        <v>0.99795909999999999</v>
      </c>
      <c r="Q2764">
        <v>-4.581183E-3</v>
      </c>
      <c r="R2764">
        <v>6.3690010000000005E-2</v>
      </c>
      <c r="S2764">
        <v>2.9803470000000001</v>
      </c>
      <c r="T2764">
        <v>3.2092809999999999E-2</v>
      </c>
      <c r="U2764">
        <v>0.41180420000000001</v>
      </c>
      <c r="V2764">
        <v>-8.4191509999999997E-2</v>
      </c>
      <c r="W2764">
        <v>-3.4072019999999998E-3</v>
      </c>
      <c r="X2764">
        <v>0.99644370000000004</v>
      </c>
      <c r="Y2764">
        <v>-0.15720529999999999</v>
      </c>
      <c r="Z2764">
        <v>-9.8331760000000003E-4</v>
      </c>
      <c r="AA2764">
        <v>0.98756549999999999</v>
      </c>
      <c r="AB2764">
        <v>34</v>
      </c>
      <c r="AC2764">
        <v>107.4264</v>
      </c>
      <c r="AD2764">
        <v>1.160498</v>
      </c>
      <c r="AE2764">
        <v>14.8978</v>
      </c>
      <c r="AF2764">
        <v>-17.101836908312599</v>
      </c>
      <c r="AG2764">
        <v>1.160498</v>
      </c>
      <c r="AH2764">
        <v>107.085059590369</v>
      </c>
      <c r="AI2764">
        <v>89.386869886607101</v>
      </c>
      <c r="AJ2764">
        <v>99.073700569561794</v>
      </c>
      <c r="AK2764">
        <v>108.448280616704</v>
      </c>
      <c r="AL2764">
        <v>90.195218685282299</v>
      </c>
      <c r="AM2764">
        <v>94.829563577078602</v>
      </c>
      <c r="AN2764">
        <v>0.99999993332561699</v>
      </c>
    </row>
    <row r="2765" spans="1:40" x14ac:dyDescent="0.25">
      <c r="A2765" t="str">
        <f>"20190305135845503"</f>
        <v>20190305135845503</v>
      </c>
      <c r="B2765" t="str">
        <f>"1551765525491449"</f>
        <v>1551765525491449</v>
      </c>
      <c r="C2765" t="s">
        <v>40</v>
      </c>
      <c r="D2765">
        <v>3.8496079999999999</v>
      </c>
      <c r="E2765">
        <v>0.48329430000000001</v>
      </c>
      <c r="F2765" t="s">
        <v>59</v>
      </c>
      <c r="G2765">
        <v>-365.19029999999998</v>
      </c>
      <c r="H2765">
        <v>8.0000080000000001E-2</v>
      </c>
      <c r="I2765">
        <v>224.38210000000001</v>
      </c>
      <c r="J2765">
        <v>-453.27420000000001</v>
      </c>
      <c r="K2765">
        <v>1.1086290000000001</v>
      </c>
      <c r="L2765">
        <v>214.94370000000001</v>
      </c>
      <c r="M2765">
        <v>0.99980449999999998</v>
      </c>
      <c r="N2765">
        <v>-1.3863020000000001E-3</v>
      </c>
      <c r="O2765">
        <v>-1.9725550000000001E-2</v>
      </c>
      <c r="P2765">
        <v>0.99796450000000003</v>
      </c>
      <c r="Q2765">
        <v>-3.4797140000000001E-3</v>
      </c>
      <c r="R2765">
        <v>6.3679139999999995E-2</v>
      </c>
      <c r="S2765">
        <v>2.9855960000000001</v>
      </c>
      <c r="T2765">
        <v>-3.4730909999999997E-2</v>
      </c>
      <c r="U2765">
        <v>0.31845089999999998</v>
      </c>
      <c r="V2765">
        <v>-8.3347879999999999E-2</v>
      </c>
      <c r="W2765">
        <v>-2.266007E-3</v>
      </c>
      <c r="X2765">
        <v>0.99651800000000001</v>
      </c>
      <c r="Y2765">
        <v>-0.12564400000000001</v>
      </c>
      <c r="Z2765">
        <v>1.0176409999999999E-3</v>
      </c>
      <c r="AA2765">
        <v>0.99207480000000003</v>
      </c>
      <c r="AB2765">
        <v>34</v>
      </c>
      <c r="AC2765">
        <v>88.0839</v>
      </c>
      <c r="AD2765">
        <v>-1.0286289200000001</v>
      </c>
      <c r="AE2765">
        <v>9.4383999999999997</v>
      </c>
      <c r="AF2765">
        <v>-11.1725622565408</v>
      </c>
      <c r="AG2765">
        <v>-1.0286289200000001</v>
      </c>
      <c r="AH2765">
        <v>87.868737098973796</v>
      </c>
      <c r="AI2765">
        <v>90.6653418697734</v>
      </c>
      <c r="AJ2765">
        <v>97.246308421110498</v>
      </c>
      <c r="AK2765">
        <v>88.582160643099698</v>
      </c>
      <c r="AL2765">
        <v>90.129832740234704</v>
      </c>
      <c r="AM2765">
        <v>94.781040215634107</v>
      </c>
      <c r="AN2765">
        <v>1.0000000641061</v>
      </c>
    </row>
    <row r="2766" spans="1:40" x14ac:dyDescent="0.25">
      <c r="A2766" t="str">
        <f>"20190305135845525"</f>
        <v>20190305135845525</v>
      </c>
      <c r="B2766" t="str">
        <f>"1551765525521704"</f>
        <v>1551765525521704</v>
      </c>
      <c r="C2766" t="s">
        <v>40</v>
      </c>
      <c r="D2766">
        <v>3.904118</v>
      </c>
      <c r="E2766">
        <v>0.48251230000000001</v>
      </c>
      <c r="F2766" t="s">
        <v>42</v>
      </c>
      <c r="G2766">
        <v>-311.82709999999997</v>
      </c>
      <c r="H2766">
        <v>7.9986710000000003E-2</v>
      </c>
      <c r="I2766">
        <v>230.27629999999999</v>
      </c>
      <c r="J2766">
        <v>-452.93389999999999</v>
      </c>
      <c r="K2766">
        <v>1.1085929999999999</v>
      </c>
      <c r="L2766">
        <v>214.93770000000001</v>
      </c>
      <c r="M2766">
        <v>0.99981929999999997</v>
      </c>
      <c r="N2766">
        <v>-1.412015E-3</v>
      </c>
      <c r="O2766">
        <v>-1.8953629999999999E-2</v>
      </c>
      <c r="P2766">
        <v>0.99798359999999997</v>
      </c>
      <c r="Q2766">
        <v>-2.1585039999999999E-3</v>
      </c>
      <c r="R2766">
        <v>6.3438209999999995E-2</v>
      </c>
      <c r="S2766">
        <v>2.985382</v>
      </c>
      <c r="T2766">
        <v>-2.1710520000000001E-2</v>
      </c>
      <c r="U2766">
        <v>0.32360840000000002</v>
      </c>
      <c r="V2766">
        <v>-8.2341129999999998E-2</v>
      </c>
      <c r="W2766">
        <v>-9.0799019999999997E-4</v>
      </c>
      <c r="X2766">
        <v>0.99660380000000004</v>
      </c>
      <c r="Y2766">
        <v>-0.126585999999999</v>
      </c>
      <c r="Z2766">
        <v>6.5934899999999896E-4</v>
      </c>
      <c r="AA2766">
        <v>0.99195540000000004</v>
      </c>
      <c r="AB2766">
        <v>34</v>
      </c>
      <c r="AC2766">
        <v>141.10679999999999</v>
      </c>
      <c r="AD2766">
        <v>-1.0286062899999999</v>
      </c>
      <c r="AE2766">
        <v>15.3385999999999</v>
      </c>
      <c r="AF2766">
        <v>-18.009387747887299</v>
      </c>
      <c r="AG2766">
        <v>-1.0286062899999999</v>
      </c>
      <c r="AH2766">
        <v>140.78333606655599</v>
      </c>
      <c r="AI2766">
        <v>90.415229564714195</v>
      </c>
      <c r="AJ2766">
        <v>97.289840011484301</v>
      </c>
      <c r="AK2766">
        <v>141.93429392498001</v>
      </c>
      <c r="AL2766">
        <v>90.052024012919404</v>
      </c>
      <c r="AM2766">
        <v>94.723148625784205</v>
      </c>
      <c r="AN2766">
        <v>1.00000001015516</v>
      </c>
    </row>
    <row r="2767" spans="1:40" x14ac:dyDescent="0.25">
      <c r="A2767" t="str">
        <f>"20190305135845546"</f>
        <v>20190305135845546</v>
      </c>
      <c r="B2767" t="str">
        <f>"1551765525541226"</f>
        <v>1551765525541226</v>
      </c>
      <c r="C2767" t="s">
        <v>40</v>
      </c>
      <c r="D2767">
        <v>3.908712</v>
      </c>
      <c r="E2767">
        <v>0.48222910000000002</v>
      </c>
      <c r="F2767" t="s">
        <v>68</v>
      </c>
      <c r="G2767">
        <v>-280.18</v>
      </c>
      <c r="H2767">
        <v>0.49530550000000001</v>
      </c>
      <c r="I2767">
        <v>234.00659999999999</v>
      </c>
      <c r="J2767">
        <v>-452.60849999999999</v>
      </c>
      <c r="K2767">
        <v>1.1085609999999999</v>
      </c>
      <c r="L2767">
        <v>214.93209999999999</v>
      </c>
      <c r="M2767">
        <v>0.99983219999999995</v>
      </c>
      <c r="N2767">
        <v>-1.4336450000000001E-3</v>
      </c>
      <c r="O2767">
        <v>-1.8265880000000002E-2</v>
      </c>
      <c r="P2767">
        <v>0.998004</v>
      </c>
      <c r="Q2767">
        <v>-5.8189029999999896E-4</v>
      </c>
      <c r="R2767">
        <v>6.3149499999999997E-2</v>
      </c>
      <c r="S2767">
        <v>2.985077</v>
      </c>
      <c r="T2767">
        <v>-1.059687E-2</v>
      </c>
      <c r="U2767">
        <v>0.32949830000000002</v>
      </c>
      <c r="V2767">
        <v>-8.1369739999999996E-2</v>
      </c>
      <c r="W2767">
        <v>6.9982219999999997E-4</v>
      </c>
      <c r="X2767">
        <v>0.99668369999999995</v>
      </c>
      <c r="Y2767">
        <v>-0.12785160000000001</v>
      </c>
      <c r="Z2767">
        <v>3.5672850000000001E-4</v>
      </c>
      <c r="AA2767">
        <v>0.99179320000000004</v>
      </c>
      <c r="AB2767">
        <v>35</v>
      </c>
      <c r="AC2767">
        <v>172.42850000000001</v>
      </c>
      <c r="AD2767">
        <v>-0.61325549999999995</v>
      </c>
      <c r="AE2767">
        <v>19.0745</v>
      </c>
      <c r="AF2767">
        <v>-22.220601349825898</v>
      </c>
      <c r="AG2767">
        <v>-0.61325549999999995</v>
      </c>
      <c r="AH2767">
        <v>172.04916997077899</v>
      </c>
      <c r="AI2767">
        <v>90.202543107102898</v>
      </c>
      <c r="AJ2767">
        <v>97.359162641382795</v>
      </c>
      <c r="AK2767">
        <v>173.47924398696901</v>
      </c>
      <c r="AL2767">
        <v>89.959903136697406</v>
      </c>
      <c r="AM2767">
        <v>94.667304099987504</v>
      </c>
      <c r="AN2767">
        <v>0.99999996109223299</v>
      </c>
    </row>
    <row r="2768" spans="1:40" x14ac:dyDescent="0.25">
      <c r="A2768" t="str">
        <f>"20190305135845569"</f>
        <v>20190305135845569</v>
      </c>
      <c r="B2768" t="str">
        <f>"1551765525561721"</f>
        <v>1551765525561721</v>
      </c>
      <c r="C2768" t="s">
        <v>40</v>
      </c>
      <c r="D2768">
        <v>3.8526159999999998</v>
      </c>
      <c r="E2768">
        <v>0.44837199999999999</v>
      </c>
      <c r="F2768" t="s">
        <v>68</v>
      </c>
      <c r="G2768">
        <v>-280.18</v>
      </c>
      <c r="H2768">
        <v>0.93754769999999998</v>
      </c>
      <c r="I2768">
        <v>234.05080000000001</v>
      </c>
      <c r="J2768">
        <v>-452.22919999999999</v>
      </c>
      <c r="K2768">
        <v>1.108517</v>
      </c>
      <c r="L2768">
        <v>214.92580000000001</v>
      </c>
      <c r="M2768">
        <v>0.99984530000000005</v>
      </c>
      <c r="N2768">
        <v>-1.45648E-3</v>
      </c>
      <c r="O2768">
        <v>-1.7531169999999999E-2</v>
      </c>
      <c r="P2768">
        <v>0.99797610000000003</v>
      </c>
      <c r="Q2768">
        <v>2.50943E-4</v>
      </c>
      <c r="R2768">
        <v>6.3590709999999995E-2</v>
      </c>
      <c r="S2768">
        <v>2.9850460000000001</v>
      </c>
      <c r="T2768">
        <v>-2.960205E-3</v>
      </c>
      <c r="U2768">
        <v>0.33097840000000001</v>
      </c>
      <c r="V2768">
        <v>-8.1079289999999998E-2</v>
      </c>
      <c r="W2768">
        <v>1.56575799999999E-3</v>
      </c>
      <c r="X2768">
        <v>0.99670639999999999</v>
      </c>
      <c r="Y2768">
        <v>-0.1276108</v>
      </c>
      <c r="Z2768">
        <v>1.481815E-4</v>
      </c>
      <c r="AA2768">
        <v>0.99182429999999999</v>
      </c>
      <c r="AB2768">
        <v>35</v>
      </c>
      <c r="AC2768">
        <v>172.04919999999899</v>
      </c>
      <c r="AD2768">
        <v>-0.17096929999999999</v>
      </c>
      <c r="AE2768">
        <v>19.125</v>
      </c>
      <c r="AF2768">
        <v>-22.1382660579382</v>
      </c>
      <c r="AG2768">
        <v>-0.17096929999999999</v>
      </c>
      <c r="AH2768">
        <v>171.68730751185501</v>
      </c>
      <c r="AI2768">
        <v>90.056587647585502</v>
      </c>
      <c r="AJ2768">
        <v>97.347476824823701</v>
      </c>
      <c r="AK2768">
        <v>173.10882015432901</v>
      </c>
      <c r="AL2768">
        <v>89.910288635992103</v>
      </c>
      <c r="AM2768">
        <v>94.6506118727455</v>
      </c>
      <c r="AN2768">
        <v>0.99999997533298801</v>
      </c>
    </row>
    <row r="2769" spans="1:40" x14ac:dyDescent="0.25">
      <c r="A2769" t="str">
        <f>"20190305135845591"</f>
        <v>20190305135845591</v>
      </c>
      <c r="B2769" t="str">
        <f>"1551765525582217"</f>
        <v>1551765525582217</v>
      </c>
      <c r="C2769" t="s">
        <v>40</v>
      </c>
      <c r="D2769">
        <v>3.8726099999999999</v>
      </c>
      <c r="E2769">
        <v>0.44484590000000002</v>
      </c>
      <c r="F2769" t="s">
        <v>69</v>
      </c>
      <c r="G2769">
        <v>-364.37459999999999</v>
      </c>
      <c r="H2769">
        <v>1.148981</v>
      </c>
      <c r="I2769">
        <v>232.75</v>
      </c>
      <c r="J2769">
        <v>-451.88139999999999</v>
      </c>
      <c r="K2769">
        <v>1.1084670000000001</v>
      </c>
      <c r="L2769">
        <v>214.9203</v>
      </c>
      <c r="M2769">
        <v>0.99985579999999996</v>
      </c>
      <c r="N2769">
        <v>-1.476761E-3</v>
      </c>
      <c r="O2769">
        <v>-1.692486E-2</v>
      </c>
      <c r="P2769">
        <v>0.99787959999999998</v>
      </c>
      <c r="Q2769">
        <v>4.300121E-4</v>
      </c>
      <c r="R2769">
        <v>6.5089789999999995E-2</v>
      </c>
      <c r="S2769">
        <v>2.9677120000000001</v>
      </c>
      <c r="T2769">
        <v>1.3693570000000001E-3</v>
      </c>
      <c r="U2769">
        <v>0.60209659999999998</v>
      </c>
      <c r="V2769">
        <v>-8.1972719999999999E-2</v>
      </c>
      <c r="W2769">
        <v>1.773181E-3</v>
      </c>
      <c r="X2769">
        <v>0.99663299999999999</v>
      </c>
      <c r="Y2769">
        <v>-0.2153901</v>
      </c>
      <c r="Z2769" s="1">
        <v>7.8986380000000005E-5</v>
      </c>
      <c r="AA2769">
        <v>0.97652810000000001</v>
      </c>
      <c r="AB2769">
        <v>35</v>
      </c>
      <c r="AC2769">
        <v>87.506799999999998</v>
      </c>
      <c r="AD2769">
        <v>4.0513999999999897E-2</v>
      </c>
      <c r="AE2769">
        <v>17.829699999999999</v>
      </c>
      <c r="AF2769">
        <v>-19.308183938734199</v>
      </c>
      <c r="AG2769">
        <v>4.0513999999999897E-2</v>
      </c>
      <c r="AH2769">
        <v>87.192482465810201</v>
      </c>
      <c r="AI2769">
        <v>89.974007188332493</v>
      </c>
      <c r="AJ2769">
        <v>102.48626747499701</v>
      </c>
      <c r="AK2769">
        <v>89.304740114659097</v>
      </c>
      <c r="AL2769">
        <v>89.898404159538302</v>
      </c>
      <c r="AM2769">
        <v>94.701974173851994</v>
      </c>
      <c r="AN2769">
        <v>1.00000000384202</v>
      </c>
    </row>
    <row r="2770" spans="1:40" x14ac:dyDescent="0.25">
      <c r="A2770" t="str">
        <f>"20190305135845613"</f>
        <v>20190305135845613</v>
      </c>
      <c r="B2770" t="str">
        <f>"1551765525601740"</f>
        <v>1551765525601740</v>
      </c>
      <c r="C2770" t="s">
        <v>40</v>
      </c>
      <c r="D2770">
        <v>3.8585769999999999</v>
      </c>
      <c r="E2770">
        <v>0.44359100000000001</v>
      </c>
      <c r="F2770" t="s">
        <v>69</v>
      </c>
      <c r="G2770">
        <v>-370.68049999999999</v>
      </c>
      <c r="H2770">
        <v>1.0823119999999999</v>
      </c>
      <c r="I2770">
        <v>232.2921</v>
      </c>
      <c r="J2770">
        <v>-451.54239999999999</v>
      </c>
      <c r="K2770">
        <v>1.1084099999999999</v>
      </c>
      <c r="L2770">
        <v>214.91499999999999</v>
      </c>
      <c r="M2770">
        <v>0.99986439999999999</v>
      </c>
      <c r="N2770">
        <v>-1.4968959999999999E-3</v>
      </c>
      <c r="O2770">
        <v>-1.640177E-2</v>
      </c>
      <c r="P2770">
        <v>0.99770990000000004</v>
      </c>
      <c r="Q2770">
        <v>-1.1202919999999999E-3</v>
      </c>
      <c r="R2770">
        <v>6.7629289999999995E-2</v>
      </c>
      <c r="S2770">
        <v>2.9650270000000001</v>
      </c>
      <c r="T2770">
        <v>-9.5248220000000001E-4</v>
      </c>
      <c r="U2770">
        <v>0.63432310000000003</v>
      </c>
      <c r="V2770">
        <v>-8.3984809999999993E-2</v>
      </c>
      <c r="W2770">
        <v>2.5111859999999998E-4</v>
      </c>
      <c r="X2770">
        <v>0.99646699999999999</v>
      </c>
      <c r="Y2770">
        <v>-0.22521179999999999</v>
      </c>
      <c r="Z2770">
        <v>1.8715889999999999E-4</v>
      </c>
      <c r="AA2770">
        <v>0.9743098</v>
      </c>
      <c r="AB2770">
        <v>35</v>
      </c>
      <c r="AC2770">
        <v>80.861899999999906</v>
      </c>
      <c r="AD2770">
        <v>-2.6097999999999899E-2</v>
      </c>
      <c r="AE2770">
        <v>17.377099999999999</v>
      </c>
      <c r="AF2770">
        <v>-18.701040319142201</v>
      </c>
      <c r="AG2770">
        <v>-2.6097999999999899E-2</v>
      </c>
      <c r="AH2770">
        <v>80.565999061581806</v>
      </c>
      <c r="AI2770">
        <v>90.018079335223902</v>
      </c>
      <c r="AJ2770">
        <v>103.068116143818</v>
      </c>
      <c r="AK2770">
        <v>82.707979028111794</v>
      </c>
      <c r="AL2770">
        <v>89.9856119638645</v>
      </c>
      <c r="AM2770">
        <v>94.817650191437707</v>
      </c>
      <c r="AN2770">
        <v>0.99999999673014295</v>
      </c>
    </row>
    <row r="2771" spans="1:40" x14ac:dyDescent="0.25">
      <c r="A2771" t="str">
        <f>"20190305135845637"</f>
        <v>20190305135845637</v>
      </c>
      <c r="B2771" t="str">
        <f>"1551765525631993"</f>
        <v>1551765525631993</v>
      </c>
      <c r="C2771" t="s">
        <v>40</v>
      </c>
      <c r="D2771">
        <v>3.8675410000000001</v>
      </c>
      <c r="E2771">
        <v>0.44404700000000003</v>
      </c>
      <c r="F2771" t="s">
        <v>69</v>
      </c>
      <c r="G2771">
        <v>-371.64409999999998</v>
      </c>
      <c r="H2771">
        <v>0.65854449999999998</v>
      </c>
      <c r="I2771">
        <v>232.4846</v>
      </c>
      <c r="J2771">
        <v>-451.16559999999998</v>
      </c>
      <c r="K2771">
        <v>1.1083289999999999</v>
      </c>
      <c r="L2771">
        <v>214.9093</v>
      </c>
      <c r="M2771">
        <v>0.99987239999999999</v>
      </c>
      <c r="N2771">
        <v>-1.5202939999999999E-3</v>
      </c>
      <c r="O2771">
        <v>-1.5903839999999999E-2</v>
      </c>
      <c r="P2771">
        <v>0.99745030000000001</v>
      </c>
      <c r="Q2771">
        <v>-2.6609820000000001E-3</v>
      </c>
      <c r="R2771">
        <v>7.1315630000000005E-2</v>
      </c>
      <c r="S2771">
        <v>2.9626769999999998</v>
      </c>
      <c r="T2771">
        <v>-1.667857E-2</v>
      </c>
      <c r="U2771">
        <v>0.65148930000000005</v>
      </c>
      <c r="V2771">
        <v>-8.7168309999999999E-2</v>
      </c>
      <c r="W2771">
        <v>-1.2575900000000001E-3</v>
      </c>
      <c r="X2771">
        <v>0.99619279999999999</v>
      </c>
      <c r="Y2771">
        <v>-0.23026859999999999</v>
      </c>
      <c r="Z2771">
        <v>8.8223139999999995E-4</v>
      </c>
      <c r="AA2771">
        <v>0.97312670000000001</v>
      </c>
      <c r="AB2771">
        <v>35</v>
      </c>
      <c r="AC2771">
        <v>79.521500000000003</v>
      </c>
      <c r="AD2771">
        <v>-0.44978449999999998</v>
      </c>
      <c r="AE2771">
        <v>17.575299999999999</v>
      </c>
      <c r="AF2771">
        <v>-18.837201240185301</v>
      </c>
      <c r="AG2771">
        <v>-0.44978449999999998</v>
      </c>
      <c r="AH2771">
        <v>79.2295108409444</v>
      </c>
      <c r="AI2771">
        <v>90.316442895947404</v>
      </c>
      <c r="AJ2771">
        <v>103.37404035529801</v>
      </c>
      <c r="AK2771">
        <v>81.439289318823299</v>
      </c>
      <c r="AL2771">
        <v>90.072054618690302</v>
      </c>
      <c r="AM2771">
        <v>95.000726789505407</v>
      </c>
      <c r="AN2771">
        <v>0.99999999528635197</v>
      </c>
    </row>
    <row r="2772" spans="1:40" x14ac:dyDescent="0.25">
      <c r="A2772" t="str">
        <f>"20190305135845661"</f>
        <v>20190305135845661</v>
      </c>
      <c r="B2772" t="str">
        <f>"1551765525651513"</f>
        <v>1551765525651513</v>
      </c>
      <c r="C2772" t="s">
        <v>40</v>
      </c>
      <c r="D2772">
        <v>3.8880840000000001</v>
      </c>
      <c r="E2772">
        <v>0.4439862</v>
      </c>
      <c r="F2772" t="s">
        <v>69</v>
      </c>
      <c r="G2772">
        <v>-371.64409999999998</v>
      </c>
      <c r="H2772">
        <v>0.38961220000000002</v>
      </c>
      <c r="I2772">
        <v>232.60159999999999</v>
      </c>
      <c r="J2772">
        <v>-450.80200000000002</v>
      </c>
      <c r="K2772">
        <v>1.1082430000000001</v>
      </c>
      <c r="L2772">
        <v>214.90389999999999</v>
      </c>
      <c r="M2772">
        <v>0.9998783</v>
      </c>
      <c r="N2772">
        <v>-1.5445350000000001E-3</v>
      </c>
      <c r="O2772">
        <v>-1.551954E-2</v>
      </c>
      <c r="P2772">
        <v>0.99718269999999998</v>
      </c>
      <c r="Q2772">
        <v>-4.4511459999999996E-3</v>
      </c>
      <c r="R2772">
        <v>7.487829E-2</v>
      </c>
      <c r="S2772">
        <v>2.9605410000000001</v>
      </c>
      <c r="T2772">
        <v>-2.6754739999999999E-2</v>
      </c>
      <c r="U2772">
        <v>0.65867609999999999</v>
      </c>
      <c r="V2772">
        <v>-9.0341619999999997E-2</v>
      </c>
      <c r="W2772">
        <v>-3.0126990000000002E-3</v>
      </c>
      <c r="X2772">
        <v>0.99590630000000002</v>
      </c>
      <c r="Y2772">
        <v>-0.23228689999999999</v>
      </c>
      <c r="Z2772">
        <v>1.333402E-3</v>
      </c>
      <c r="AA2772">
        <v>0.97264640000000002</v>
      </c>
      <c r="AB2772">
        <v>35</v>
      </c>
      <c r="AC2772">
        <v>79.157899999999898</v>
      </c>
      <c r="AD2772">
        <v>-0.71863080000000001</v>
      </c>
      <c r="AE2772">
        <v>17.697699999999902</v>
      </c>
      <c r="AF2772">
        <v>-18.922578995168301</v>
      </c>
      <c r="AG2772">
        <v>-0.71863080000000001</v>
      </c>
      <c r="AH2772">
        <v>78.867515385083706</v>
      </c>
      <c r="AI2772">
        <v>90.507650995411495</v>
      </c>
      <c r="AJ2772">
        <v>103.491869529081</v>
      </c>
      <c r="AK2772">
        <v>81.108972432595294</v>
      </c>
      <c r="AL2772">
        <v>90.172615195048806</v>
      </c>
      <c r="AM2772">
        <v>95.183284012339101</v>
      </c>
      <c r="AN2772">
        <v>1.0000000215195799</v>
      </c>
    </row>
    <row r="2773" spans="1:40" x14ac:dyDescent="0.25">
      <c r="A2773" t="str">
        <f>"20190305135845680"</f>
        <v>20190305135845680</v>
      </c>
      <c r="B2773" t="str">
        <f>"1551765525672010"</f>
        <v>1551765525672010</v>
      </c>
      <c r="C2773" t="s">
        <v>40</v>
      </c>
      <c r="D2773">
        <v>3.8932380000000002</v>
      </c>
      <c r="E2773">
        <v>0.44416800000000001</v>
      </c>
      <c r="F2773" t="s">
        <v>69</v>
      </c>
      <c r="G2773">
        <v>-371.95319999999998</v>
      </c>
      <c r="H2773">
        <v>0.11892129999999999</v>
      </c>
      <c r="I2773">
        <v>232.75</v>
      </c>
      <c r="J2773">
        <v>-450.46230000000003</v>
      </c>
      <c r="K2773">
        <v>1.10816</v>
      </c>
      <c r="L2773">
        <v>214.89879999999999</v>
      </c>
      <c r="M2773">
        <v>0.99988259999999995</v>
      </c>
      <c r="N2773">
        <v>-1.5682960000000001E-3</v>
      </c>
      <c r="O2773">
        <v>-1.5243380000000001E-2</v>
      </c>
      <c r="P2773">
        <v>0.99692029999999998</v>
      </c>
      <c r="Q2773">
        <v>-6.8437929999999999E-3</v>
      </c>
      <c r="R2773">
        <v>7.8121919999999997E-2</v>
      </c>
      <c r="S2773">
        <v>2.9580690000000001</v>
      </c>
      <c r="T2773">
        <v>-3.7112359999999997E-2</v>
      </c>
      <c r="U2773">
        <v>0.66950989999999999</v>
      </c>
      <c r="V2773">
        <v>-9.3304520000000002E-2</v>
      </c>
      <c r="W2773">
        <v>-5.3699119999999897E-3</v>
      </c>
      <c r="X2773">
        <v>0.99562309999999998</v>
      </c>
      <c r="Y2773">
        <v>-0.2355708</v>
      </c>
      <c r="Z2773">
        <v>1.811607E-3</v>
      </c>
      <c r="AA2773">
        <v>0.97185549999999998</v>
      </c>
      <c r="AB2773">
        <v>36</v>
      </c>
      <c r="AC2773">
        <v>78.509100000000004</v>
      </c>
      <c r="AD2773">
        <v>-0.98923869999999903</v>
      </c>
      <c r="AE2773">
        <v>17.851199999999999</v>
      </c>
      <c r="AF2773">
        <v>-19.042996627341601</v>
      </c>
      <c r="AG2773">
        <v>-0.98923869999999903</v>
      </c>
      <c r="AH2773">
        <v>78.216057561055806</v>
      </c>
      <c r="AI2773">
        <v>90.704046570541394</v>
      </c>
      <c r="AJ2773">
        <v>103.68338835006</v>
      </c>
      <c r="AK2773">
        <v>80.506931218056707</v>
      </c>
      <c r="AL2773">
        <v>90.307674783933706</v>
      </c>
      <c r="AM2773">
        <v>95.353820109234505</v>
      </c>
      <c r="AN2773">
        <v>0.99999996333046304</v>
      </c>
    </row>
    <row r="2774" spans="1:40" x14ac:dyDescent="0.25">
      <c r="A2774" t="str">
        <f>"20190305135845704"</f>
        <v>20190305135845704</v>
      </c>
      <c r="B2774" t="str">
        <f>"1551765525691529"</f>
        <v>1551765525691529</v>
      </c>
      <c r="C2774" t="s">
        <v>40</v>
      </c>
      <c r="D2774">
        <v>3.9301200000000001</v>
      </c>
      <c r="E2774">
        <v>0.44422919999999999</v>
      </c>
      <c r="F2774" t="s">
        <v>43</v>
      </c>
      <c r="G2774">
        <v>-377.91469999999998</v>
      </c>
      <c r="H2774">
        <v>-0.05</v>
      </c>
      <c r="I2774">
        <v>231.5256</v>
      </c>
      <c r="J2774">
        <v>-450.0908</v>
      </c>
      <c r="K2774">
        <v>1.10807099999999</v>
      </c>
      <c r="L2774">
        <v>214.89340000000001</v>
      </c>
      <c r="M2774">
        <v>0.99988589999999999</v>
      </c>
      <c r="N2774">
        <v>-1.5958729999999901E-3</v>
      </c>
      <c r="O2774">
        <v>-1.50197E-2</v>
      </c>
      <c r="P2774">
        <v>0.99655490000000002</v>
      </c>
      <c r="Q2774">
        <v>-8.8173379999999992E-3</v>
      </c>
      <c r="R2774">
        <v>8.2466330000000004E-2</v>
      </c>
      <c r="S2774">
        <v>2.955902</v>
      </c>
      <c r="T2774">
        <v>-4.7188399999999998E-2</v>
      </c>
      <c r="U2774">
        <v>0.67744450000000001</v>
      </c>
      <c r="V2774">
        <v>-9.741909E-2</v>
      </c>
      <c r="W2774">
        <v>-7.3038909999999999E-3</v>
      </c>
      <c r="X2774">
        <v>0.99521669999999995</v>
      </c>
      <c r="Y2774">
        <v>-0.2379735</v>
      </c>
      <c r="Z2774">
        <v>2.2805619999999999E-3</v>
      </c>
      <c r="AA2774">
        <v>0.97126900000000005</v>
      </c>
      <c r="AB2774">
        <v>36</v>
      </c>
      <c r="AC2774">
        <v>72.176100000000005</v>
      </c>
      <c r="AD2774">
        <v>-1.1580710000000001</v>
      </c>
      <c r="AE2774">
        <v>16.632199999999902</v>
      </c>
      <c r="AF2774">
        <v>-17.710059171743001</v>
      </c>
      <c r="AG2774">
        <v>-1.1580710000000001</v>
      </c>
      <c r="AH2774">
        <v>71.900570363171497</v>
      </c>
      <c r="AI2774">
        <v>90.895983265768905</v>
      </c>
      <c r="AJ2774">
        <v>103.83725904382401</v>
      </c>
      <c r="AK2774">
        <v>74.058620989436804</v>
      </c>
      <c r="AL2774">
        <v>90.418485827040101</v>
      </c>
      <c r="AM2774">
        <v>95.590718763338302</v>
      </c>
      <c r="AN2774">
        <v>1.0000000529395201</v>
      </c>
    </row>
    <row r="2775" spans="1:40" x14ac:dyDescent="0.25">
      <c r="A2775" t="str">
        <f>"20190305135845726"</f>
        <v>20190305135845726</v>
      </c>
      <c r="B2775" t="str">
        <f>"1551765525721785"</f>
        <v>1551765525721785</v>
      </c>
      <c r="C2775" t="s">
        <v>40</v>
      </c>
      <c r="D2775">
        <v>3.8882880000000002</v>
      </c>
      <c r="E2775">
        <v>0.44462489999999999</v>
      </c>
      <c r="F2775" t="s">
        <v>43</v>
      </c>
      <c r="G2775">
        <v>-388.11799999999999</v>
      </c>
      <c r="H2775">
        <v>-0.05</v>
      </c>
      <c r="I2775">
        <v>229.3741</v>
      </c>
      <c r="J2775">
        <v>-449.73419999999999</v>
      </c>
      <c r="K2775">
        <v>1.108001</v>
      </c>
      <c r="L2775">
        <v>214.88820000000001</v>
      </c>
      <c r="M2775">
        <v>0.99988809999999995</v>
      </c>
      <c r="N2775">
        <v>-1.62375E-3</v>
      </c>
      <c r="O2775">
        <v>-1.487196E-2</v>
      </c>
      <c r="P2775">
        <v>0.996058</v>
      </c>
      <c r="Q2775">
        <v>-8.1431300000000002E-3</v>
      </c>
      <c r="R2775">
        <v>8.8329379999999999E-2</v>
      </c>
      <c r="S2775">
        <v>2.9527890000000001</v>
      </c>
      <c r="T2775">
        <v>-5.5178049999999999E-2</v>
      </c>
      <c r="U2775">
        <v>0.68995669999999898</v>
      </c>
      <c r="V2775">
        <v>-0.10312880000000001</v>
      </c>
      <c r="W2775">
        <v>-6.591731E-3</v>
      </c>
      <c r="X2775">
        <v>0.99464620000000004</v>
      </c>
      <c r="Y2775">
        <v>-0.24194470000000001</v>
      </c>
      <c r="Z2775">
        <v>2.6798960000000002E-3</v>
      </c>
      <c r="AA2775">
        <v>0.97028630000000005</v>
      </c>
      <c r="AB2775">
        <v>36</v>
      </c>
      <c r="AC2775">
        <v>61.6161999999999</v>
      </c>
      <c r="AD2775">
        <v>-1.1580010000000001</v>
      </c>
      <c r="AE2775">
        <v>14.4858999999999</v>
      </c>
      <c r="AF2775">
        <v>-15.3954998347262</v>
      </c>
      <c r="AG2775">
        <v>-1.1580010000000001</v>
      </c>
      <c r="AH2775">
        <v>61.3734095463643</v>
      </c>
      <c r="AI2775">
        <v>91.048458902743405</v>
      </c>
      <c r="AJ2775">
        <v>104.082053394342</v>
      </c>
      <c r="AK2775">
        <v>63.285525839822299</v>
      </c>
      <c r="AL2775">
        <v>90.377681089129496</v>
      </c>
      <c r="AM2775">
        <v>95.919498279247193</v>
      </c>
      <c r="AN2775">
        <v>1.0000000317407201</v>
      </c>
    </row>
    <row r="2776" spans="1:40" x14ac:dyDescent="0.25">
      <c r="A2776" t="str">
        <f>"20190305135845747"</f>
        <v>20190305135845747</v>
      </c>
      <c r="B2776" t="str">
        <f>"1551765525741305"</f>
        <v>1551765525741305</v>
      </c>
      <c r="C2776" t="s">
        <v>40</v>
      </c>
      <c r="D2776">
        <v>3.9136410000000001</v>
      </c>
      <c r="E2776">
        <v>0.44500190000000001</v>
      </c>
      <c r="F2776" t="s">
        <v>43</v>
      </c>
      <c r="G2776">
        <v>-384.09980000000002</v>
      </c>
      <c r="H2776">
        <v>-0.05</v>
      </c>
      <c r="I2776">
        <v>230.5598</v>
      </c>
      <c r="J2776">
        <v>-449.38740000000001</v>
      </c>
      <c r="K2776">
        <v>1.107947</v>
      </c>
      <c r="L2776">
        <v>214.88310000000001</v>
      </c>
      <c r="M2776">
        <v>0.99988960000000005</v>
      </c>
      <c r="N2776">
        <v>-1.6521190000000001E-3</v>
      </c>
      <c r="O2776">
        <v>-1.477823E-2</v>
      </c>
      <c r="P2776">
        <v>0.99537830000000005</v>
      </c>
      <c r="Q2776">
        <v>-7.9348279999999997E-3</v>
      </c>
      <c r="R2776">
        <v>9.5703659999999996E-2</v>
      </c>
      <c r="S2776">
        <v>2.949036</v>
      </c>
      <c r="T2776">
        <v>-5.2030439999999997E-2</v>
      </c>
      <c r="U2776">
        <v>0.70414730000000003</v>
      </c>
      <c r="V2776">
        <v>-0.1104002</v>
      </c>
      <c r="W2776">
        <v>-6.3471179999999997E-3</v>
      </c>
      <c r="X2776">
        <v>0.9938669</v>
      </c>
      <c r="Y2776">
        <v>-0.24655060000000001</v>
      </c>
      <c r="Z2776">
        <v>2.5843120000000001E-3</v>
      </c>
      <c r="AA2776">
        <v>0.9691265</v>
      </c>
      <c r="AB2776">
        <v>36</v>
      </c>
      <c r="AC2776">
        <v>65.287599999999998</v>
      </c>
      <c r="AD2776">
        <v>-1.1579469999999901</v>
      </c>
      <c r="AE2776">
        <v>15.676699999999901</v>
      </c>
      <c r="AF2776">
        <v>-16.634876801934301</v>
      </c>
      <c r="AG2776">
        <v>-1.1579469999999901</v>
      </c>
      <c r="AH2776">
        <v>65.029455047945802</v>
      </c>
      <c r="AI2776">
        <v>90.9883126912992</v>
      </c>
      <c r="AJ2776">
        <v>104.348864656267</v>
      </c>
      <c r="AK2776">
        <v>67.133374645575103</v>
      </c>
      <c r="AL2776">
        <v>90.363665532542697</v>
      </c>
      <c r="AM2776">
        <v>96.338514355318097</v>
      </c>
      <c r="AN2776">
        <v>0.99999995249127605</v>
      </c>
    </row>
    <row r="2777" spans="1:40" x14ac:dyDescent="0.25">
      <c r="A2777" t="str">
        <f>"20190305135845770"</f>
        <v>20190305135845770</v>
      </c>
      <c r="B2777" t="str">
        <f>"1551765525761802"</f>
        <v>1551765525761802</v>
      </c>
      <c r="C2777" t="s">
        <v>40</v>
      </c>
      <c r="D2777">
        <v>3.8613659999999999</v>
      </c>
      <c r="E2777">
        <v>0.44550600000000001</v>
      </c>
      <c r="F2777" t="s">
        <v>43</v>
      </c>
      <c r="G2777">
        <v>-383.19619999999998</v>
      </c>
      <c r="H2777">
        <v>-0.05</v>
      </c>
      <c r="I2777">
        <v>231.13730000000001</v>
      </c>
      <c r="J2777">
        <v>-448.99990000000003</v>
      </c>
      <c r="K2777">
        <v>1.107888</v>
      </c>
      <c r="L2777">
        <v>214.8775</v>
      </c>
      <c r="M2777">
        <v>0.99989039999999996</v>
      </c>
      <c r="N2777">
        <v>-1.6851559999999999E-3</v>
      </c>
      <c r="O2777">
        <v>-1.471561E-2</v>
      </c>
      <c r="P2777">
        <v>0.99461580000000005</v>
      </c>
      <c r="Q2777">
        <v>-8.8616210000000001E-3</v>
      </c>
      <c r="R2777">
        <v>0.103253399999999</v>
      </c>
      <c r="S2777">
        <v>2.9439700000000002</v>
      </c>
      <c r="T2777">
        <v>-5.1501749999999999E-2</v>
      </c>
      <c r="U2777">
        <v>0.72293090000000004</v>
      </c>
      <c r="V2777">
        <v>-0.1178761</v>
      </c>
      <c r="W2777">
        <v>-7.2326550000000002E-3</v>
      </c>
      <c r="X2777">
        <v>0.99300200000000005</v>
      </c>
      <c r="Y2777">
        <v>-0.25270160000000003</v>
      </c>
      <c r="Z2777">
        <v>2.623252E-3</v>
      </c>
      <c r="AA2777">
        <v>0.96754070000000003</v>
      </c>
      <c r="AB2777">
        <v>37</v>
      </c>
      <c r="AC2777">
        <v>65.803700000000006</v>
      </c>
      <c r="AD2777">
        <v>-1.157888</v>
      </c>
      <c r="AE2777">
        <v>16.259799999999998</v>
      </c>
      <c r="AF2777">
        <v>-17.2213569464434</v>
      </c>
      <c r="AG2777">
        <v>-1.157888</v>
      </c>
      <c r="AH2777">
        <v>65.538177107943994</v>
      </c>
      <c r="AI2777">
        <v>90.978935609783093</v>
      </c>
      <c r="AJ2777">
        <v>104.722685713331</v>
      </c>
      <c r="AK2777">
        <v>67.772918620416505</v>
      </c>
      <c r="AL2777">
        <v>90.414404207160999</v>
      </c>
      <c r="AM2777">
        <v>96.769719774194499</v>
      </c>
      <c r="AN2777">
        <v>1.0000000291267701</v>
      </c>
    </row>
    <row r="2778" spans="1:40" x14ac:dyDescent="0.25">
      <c r="A2778" t="str">
        <f>"20190305135845792"</f>
        <v>20190305135845792</v>
      </c>
      <c r="B2778" t="str">
        <f>"1551765525781324"</f>
        <v>1551765525781324</v>
      </c>
      <c r="C2778" t="s">
        <v>40</v>
      </c>
      <c r="D2778">
        <v>3.857653</v>
      </c>
      <c r="E2778">
        <v>0.45488139999999999</v>
      </c>
      <c r="F2778" t="s">
        <v>43</v>
      </c>
      <c r="G2778">
        <v>-380.39659999999998</v>
      </c>
      <c r="H2778">
        <v>-0.05</v>
      </c>
      <c r="I2778">
        <v>232.18700000000001</v>
      </c>
      <c r="J2778">
        <v>-448.64150000000001</v>
      </c>
      <c r="K2778">
        <v>1.1078479999999999</v>
      </c>
      <c r="L2778">
        <v>214.8723</v>
      </c>
      <c r="M2778">
        <v>0.99989059999999996</v>
      </c>
      <c r="N2778">
        <v>-1.7166739999999901E-3</v>
      </c>
      <c r="O2778">
        <v>-1.4687199999999999E-2</v>
      </c>
      <c r="P2778">
        <v>0.99431270000000005</v>
      </c>
      <c r="Q2778">
        <v>-1.049748E-2</v>
      </c>
      <c r="R2778">
        <v>0.1059818</v>
      </c>
      <c r="S2778">
        <v>2.9388730000000001</v>
      </c>
      <c r="T2778">
        <v>-4.9602390000000003E-2</v>
      </c>
      <c r="U2778">
        <v>0.74151610000000001</v>
      </c>
      <c r="V2778">
        <v>-0.1205716</v>
      </c>
      <c r="W2778">
        <v>-8.8282800000000008E-3</v>
      </c>
      <c r="X2778">
        <v>0.99266540000000003</v>
      </c>
      <c r="Y2778">
        <v>-0.25882050000000001</v>
      </c>
      <c r="Z2778">
        <v>2.5952879999999998E-3</v>
      </c>
      <c r="AA2778">
        <v>0.9659219</v>
      </c>
      <c r="AB2778">
        <v>37</v>
      </c>
      <c r="AC2778">
        <v>68.244900000000001</v>
      </c>
      <c r="AD2778">
        <v>-1.157848</v>
      </c>
      <c r="AE2778">
        <v>17.314699999999998</v>
      </c>
      <c r="AF2778">
        <v>-18.3102086203446</v>
      </c>
      <c r="AG2778">
        <v>-1.157848</v>
      </c>
      <c r="AH2778">
        <v>67.964853679438207</v>
      </c>
      <c r="AI2778">
        <v>90.942401032571695</v>
      </c>
      <c r="AJ2778">
        <v>105.077903595481</v>
      </c>
      <c r="AK2778">
        <v>70.397625580548507</v>
      </c>
      <c r="AL2778">
        <v>90.505829743573102</v>
      </c>
      <c r="AM2778">
        <v>96.925363421060396</v>
      </c>
      <c r="AN2778">
        <v>1.00000002280573</v>
      </c>
    </row>
    <row r="2779" spans="1:40" x14ac:dyDescent="0.25">
      <c r="A2779" t="str">
        <f>"20190305135845814"</f>
        <v>20190305135845814</v>
      </c>
      <c r="B2779" t="str">
        <f>"1551765525811577"</f>
        <v>1551765525811577</v>
      </c>
      <c r="C2779" t="s">
        <v>40</v>
      </c>
      <c r="D2779">
        <v>3.8485659999999999</v>
      </c>
      <c r="E2779">
        <v>0.45573900000000001</v>
      </c>
      <c r="F2779" t="s">
        <v>69</v>
      </c>
      <c r="G2779">
        <v>-371.64409999999998</v>
      </c>
      <c r="H2779">
        <v>1.3330610000000001</v>
      </c>
      <c r="I2779">
        <v>232.5736</v>
      </c>
      <c r="J2779">
        <v>-448.27550000000002</v>
      </c>
      <c r="K2779">
        <v>1.107818</v>
      </c>
      <c r="L2779">
        <v>214.86699999999999</v>
      </c>
      <c r="M2779">
        <v>0.99989079999999997</v>
      </c>
      <c r="N2779">
        <v>-1.7500839999999901E-3</v>
      </c>
      <c r="O2779">
        <v>-1.467977E-2</v>
      </c>
      <c r="P2779">
        <v>0.99388670000000001</v>
      </c>
      <c r="Q2779">
        <v>-9.7380580000000008E-3</v>
      </c>
      <c r="R2779">
        <v>0.1099762</v>
      </c>
      <c r="S2779">
        <v>2.9450989999999999</v>
      </c>
      <c r="T2779">
        <v>8.6170429999999996E-3</v>
      </c>
      <c r="U2779">
        <v>0.67706299999999997</v>
      </c>
      <c r="V2779">
        <v>-0.1245527</v>
      </c>
      <c r="W2779">
        <v>-8.0283149999999994E-3</v>
      </c>
      <c r="X2779">
        <v>0.99218050000000002</v>
      </c>
      <c r="Y2779">
        <v>-0.2383323</v>
      </c>
      <c r="Z2779">
        <v>-2.0070630000000001E-4</v>
      </c>
      <c r="AA2779">
        <v>0.97118369999999998</v>
      </c>
      <c r="AB2779">
        <v>37</v>
      </c>
      <c r="AC2779">
        <v>76.631399999999999</v>
      </c>
      <c r="AD2779">
        <v>0.225243</v>
      </c>
      <c r="AE2779">
        <v>17.706599999999899</v>
      </c>
      <c r="AF2779">
        <v>-18.829470565438399</v>
      </c>
      <c r="AG2779">
        <v>0.225243</v>
      </c>
      <c r="AH2779">
        <v>76.3625871757596</v>
      </c>
      <c r="AI2779">
        <v>89.835912675854402</v>
      </c>
      <c r="AJ2779">
        <v>103.851659131277</v>
      </c>
      <c r="AK2779">
        <v>78.650139328288901</v>
      </c>
      <c r="AL2779">
        <v>90.459993513678398</v>
      </c>
      <c r="AM2779">
        <v>97.155157406647106</v>
      </c>
      <c r="AN2779">
        <v>0.99999998674963897</v>
      </c>
    </row>
    <row r="2780" spans="1:40" x14ac:dyDescent="0.25">
      <c r="A2780" t="str">
        <f>"20190305135845836"</f>
        <v>20190305135845836</v>
      </c>
      <c r="B2780" t="str">
        <f>"1551765525832073"</f>
        <v>1551765525832073</v>
      </c>
      <c r="C2780" t="s">
        <v>40</v>
      </c>
      <c r="D2780">
        <v>3.7965369999999998</v>
      </c>
      <c r="E2780">
        <v>0.45623859999999999</v>
      </c>
      <c r="F2780" t="s">
        <v>69</v>
      </c>
      <c r="G2780">
        <v>-371.64409999999998</v>
      </c>
      <c r="H2780">
        <v>1.5830040000000001</v>
      </c>
      <c r="I2780">
        <v>232.62860000000001</v>
      </c>
      <c r="J2780">
        <v>-447.9067</v>
      </c>
      <c r="K2780">
        <v>1.107807</v>
      </c>
      <c r="L2780">
        <v>214.86160000000001</v>
      </c>
      <c r="M2780">
        <v>0.99989059999999996</v>
      </c>
      <c r="N2780">
        <v>-1.7849329999999901E-3</v>
      </c>
      <c r="O2780">
        <v>-1.46876E-2</v>
      </c>
      <c r="P2780">
        <v>0.99361840000000001</v>
      </c>
      <c r="Q2780">
        <v>-8.0625139999999998E-3</v>
      </c>
      <c r="R2780">
        <v>0.1125068</v>
      </c>
      <c r="S2780">
        <v>2.9432070000000001</v>
      </c>
      <c r="T2780">
        <v>1.8253330000000002E-2</v>
      </c>
      <c r="U2780">
        <v>0.68217469999999902</v>
      </c>
      <c r="V2780">
        <v>-0.1270879</v>
      </c>
      <c r="W2780">
        <v>-6.3111209999999899E-3</v>
      </c>
      <c r="X2780">
        <v>0.99187139999999996</v>
      </c>
      <c r="Y2780">
        <v>-0.24007419999999999</v>
      </c>
      <c r="Z2780">
        <v>-6.334407E-4</v>
      </c>
      <c r="AA2780">
        <v>0.97075429999999996</v>
      </c>
      <c r="AB2780">
        <v>37</v>
      </c>
      <c r="AC2780">
        <v>76.262600000000006</v>
      </c>
      <c r="AD2780">
        <v>0.47519699999999998</v>
      </c>
      <c r="AE2780">
        <v>17.7669999999999</v>
      </c>
      <c r="AF2780">
        <v>-18.884504305872799</v>
      </c>
      <c r="AG2780">
        <v>0.47519699999999998</v>
      </c>
      <c r="AH2780">
        <v>75.990620114924695</v>
      </c>
      <c r="AI2780">
        <v>89.652289111883306</v>
      </c>
      <c r="AJ2780">
        <v>103.955919909988</v>
      </c>
      <c r="AK2780">
        <v>78.303414105121405</v>
      </c>
      <c r="AL2780">
        <v>90.361602990780199</v>
      </c>
      <c r="AM2780">
        <v>97.301491467839</v>
      </c>
      <c r="AN2780">
        <v>1.0000000193563201</v>
      </c>
    </row>
    <row r="2781" spans="1:40" x14ac:dyDescent="0.25">
      <c r="A2781" t="str">
        <f>"20190305135845861"</f>
        <v>20190305135845861</v>
      </c>
      <c r="B2781" t="str">
        <f>"1551765525851593"</f>
        <v>1551765525851593</v>
      </c>
      <c r="C2781" t="s">
        <v>40</v>
      </c>
      <c r="D2781">
        <v>3.8449689999999999</v>
      </c>
      <c r="E2781">
        <v>0.45733479999999999</v>
      </c>
      <c r="F2781" t="s">
        <v>69</v>
      </c>
      <c r="G2781">
        <v>-371.64409999999998</v>
      </c>
      <c r="H2781">
        <v>1.725881</v>
      </c>
      <c r="I2781">
        <v>232.6396</v>
      </c>
      <c r="J2781">
        <v>-447.50060000000002</v>
      </c>
      <c r="K2781">
        <v>1.1077980000000001</v>
      </c>
      <c r="L2781">
        <v>214.85560000000001</v>
      </c>
      <c r="M2781">
        <v>0.99989030000000001</v>
      </c>
      <c r="N2781">
        <v>-1.824312E-3</v>
      </c>
      <c r="O2781">
        <v>-1.470664E-2</v>
      </c>
      <c r="P2781">
        <v>0.99353990000000003</v>
      </c>
      <c r="Q2781">
        <v>-5.5274529999999999E-3</v>
      </c>
      <c r="R2781">
        <v>0.1133514</v>
      </c>
      <c r="S2781">
        <v>2.9417719999999998</v>
      </c>
      <c r="T2781">
        <v>2.3844480000000001E-2</v>
      </c>
      <c r="U2781">
        <v>0.68577580000000005</v>
      </c>
      <c r="V2781">
        <v>-0.1279507</v>
      </c>
      <c r="W2781">
        <v>-3.7296859999999999E-3</v>
      </c>
      <c r="X2781">
        <v>0.99177349999999997</v>
      </c>
      <c r="Y2781">
        <v>-0.24132100000000001</v>
      </c>
      <c r="Z2781">
        <v>-8.8615669999999897E-4</v>
      </c>
      <c r="AA2781">
        <v>0.97044490000000005</v>
      </c>
      <c r="AB2781">
        <v>37</v>
      </c>
      <c r="AC2781">
        <v>75.856499999999997</v>
      </c>
      <c r="AD2781">
        <v>0.61808300000000005</v>
      </c>
      <c r="AE2781">
        <v>17.783999999999899</v>
      </c>
      <c r="AF2781">
        <v>-18.896483458351501</v>
      </c>
      <c r="AG2781">
        <v>0.61808300000000005</v>
      </c>
      <c r="AH2781">
        <v>75.581996401837401</v>
      </c>
      <c r="AI2781">
        <v>89.545455758025795</v>
      </c>
      <c r="AJ2781">
        <v>104.03694577498101</v>
      </c>
      <c r="AK2781">
        <v>77.910829117485306</v>
      </c>
      <c r="AL2781">
        <v>90.213695765622404</v>
      </c>
      <c r="AM2781">
        <v>97.351238642195099</v>
      </c>
      <c r="AN2781">
        <v>0.99999998374519905</v>
      </c>
    </row>
    <row r="2782" spans="1:40" x14ac:dyDescent="0.25">
      <c r="A2782" t="str">
        <f>"20190305135845882"</f>
        <v>20190305135845882</v>
      </c>
      <c r="B2782" t="str">
        <f>"1551765525872090"</f>
        <v>1551765525872090</v>
      </c>
      <c r="C2782" t="s">
        <v>40</v>
      </c>
      <c r="D2782">
        <v>3.8244570000000002</v>
      </c>
      <c r="E2782">
        <v>0.45809339999999998</v>
      </c>
      <c r="F2782" t="s">
        <v>69</v>
      </c>
      <c r="G2782">
        <v>-371.64409999999998</v>
      </c>
      <c r="H2782">
        <v>1.9212</v>
      </c>
      <c r="I2782">
        <v>232.37219999999999</v>
      </c>
      <c r="J2782">
        <v>-447.13409999999999</v>
      </c>
      <c r="K2782">
        <v>1.107785</v>
      </c>
      <c r="L2782">
        <v>214.8503</v>
      </c>
      <c r="M2782">
        <v>0.99988969999999999</v>
      </c>
      <c r="N2782">
        <v>-1.8632189999999999E-3</v>
      </c>
      <c r="O2782">
        <v>-1.472912E-2</v>
      </c>
      <c r="P2782">
        <v>0.99346409999999996</v>
      </c>
      <c r="Q2782">
        <v>-4.911154E-3</v>
      </c>
      <c r="R2782">
        <v>0.11403919999999999</v>
      </c>
      <c r="S2782">
        <v>2.9421689999999998</v>
      </c>
      <c r="T2782">
        <v>3.1551360000000001E-2</v>
      </c>
      <c r="U2782">
        <v>0.67939759999999905</v>
      </c>
      <c r="V2782">
        <v>-0.12865989999999999</v>
      </c>
      <c r="W2782">
        <v>-3.069348E-3</v>
      </c>
      <c r="X2782">
        <v>0.99168400000000001</v>
      </c>
      <c r="Y2782">
        <v>-0.23931169999999999</v>
      </c>
      <c r="Z2782">
        <v>-1.2236599999999999E-3</v>
      </c>
      <c r="AA2782">
        <v>0.97094199999999997</v>
      </c>
      <c r="AB2782">
        <v>38</v>
      </c>
      <c r="AC2782">
        <v>75.489999999999995</v>
      </c>
      <c r="AD2782">
        <v>0.813415</v>
      </c>
      <c r="AE2782">
        <v>17.521899999999899</v>
      </c>
      <c r="AF2782">
        <v>-18.629850102665898</v>
      </c>
      <c r="AG2782">
        <v>0.813415</v>
      </c>
      <c r="AH2782">
        <v>75.215441868556297</v>
      </c>
      <c r="AI2782">
        <v>89.398573140095195</v>
      </c>
      <c r="AJ2782">
        <v>103.91141961460499</v>
      </c>
      <c r="AK2782">
        <v>77.4925522504724</v>
      </c>
      <c r="AL2782">
        <v>90.175860967079302</v>
      </c>
      <c r="AM2782">
        <v>97.392195142727701</v>
      </c>
      <c r="AN2782">
        <v>0.999999973310577</v>
      </c>
    </row>
    <row r="2783" spans="1:40" x14ac:dyDescent="0.25">
      <c r="A2783" t="str">
        <f>"20190305135845905"</f>
        <v>20190305135845905</v>
      </c>
      <c r="B2783" t="str">
        <f>"1551765525901370"</f>
        <v>1551765525901370</v>
      </c>
      <c r="C2783" t="s">
        <v>40</v>
      </c>
      <c r="D2783">
        <v>3.7942390000000001</v>
      </c>
      <c r="E2783">
        <v>0.45902860000000001</v>
      </c>
      <c r="F2783" t="s">
        <v>69</v>
      </c>
      <c r="G2783">
        <v>-371.1678</v>
      </c>
      <c r="H2783">
        <v>1.9856609999999999</v>
      </c>
      <c r="I2783">
        <v>232.292</v>
      </c>
      <c r="J2783">
        <v>-446.75389999999999</v>
      </c>
      <c r="K2783">
        <v>1.1077709999999901</v>
      </c>
      <c r="L2783">
        <v>214.84469999999999</v>
      </c>
      <c r="M2783">
        <v>0.99988940000000004</v>
      </c>
      <c r="N2783">
        <v>-1.907815E-3</v>
      </c>
      <c r="O2783">
        <v>-1.475626E-2</v>
      </c>
      <c r="P2783">
        <v>0.9934636</v>
      </c>
      <c r="Q2783">
        <v>-5.7923380000000002E-3</v>
      </c>
      <c r="R2783">
        <v>0.1140034</v>
      </c>
      <c r="S2783">
        <v>2.942383</v>
      </c>
      <c r="T2783">
        <v>3.4005279999999999E-2</v>
      </c>
      <c r="U2783">
        <v>0.67556759999999905</v>
      </c>
      <c r="V2783">
        <v>-0.12865099999999999</v>
      </c>
      <c r="W2783">
        <v>-3.9015320000000001E-3</v>
      </c>
      <c r="X2783">
        <v>0.99168219999999996</v>
      </c>
      <c r="Y2783">
        <v>-0.2381202</v>
      </c>
      <c r="Z2783">
        <v>-1.3243899999999999E-3</v>
      </c>
      <c r="AA2783">
        <v>0.97123479999999995</v>
      </c>
      <c r="AB2783">
        <v>38</v>
      </c>
      <c r="AC2783">
        <v>75.586099999999902</v>
      </c>
      <c r="AD2783">
        <v>0.87788999999999995</v>
      </c>
      <c r="AE2783">
        <v>17.447299999999998</v>
      </c>
      <c r="AF2783">
        <v>-18.5583936033794</v>
      </c>
      <c r="AG2783">
        <v>0.87788999999999995</v>
      </c>
      <c r="AH2783">
        <v>75.310767701023906</v>
      </c>
      <c r="AI2783">
        <v>89.351536196275902</v>
      </c>
      <c r="AJ2783">
        <v>103.84325374601001</v>
      </c>
      <c r="AK2783">
        <v>77.568656013286997</v>
      </c>
      <c r="AL2783">
        <v>90.2235418969303</v>
      </c>
      <c r="AM2783">
        <v>97.391702713784596</v>
      </c>
      <c r="AN2783">
        <v>0.99999994377489099</v>
      </c>
    </row>
    <row r="2784" spans="1:40" x14ac:dyDescent="0.25">
      <c r="A2784" t="str">
        <f>"20190305135845925"</f>
        <v>20190305135845925</v>
      </c>
      <c r="B2784" t="str">
        <f>"1551765525921866"</f>
        <v>1551765525921866</v>
      </c>
      <c r="C2784" t="s">
        <v>40</v>
      </c>
      <c r="D2784">
        <v>3.8802889999999999</v>
      </c>
      <c r="E2784">
        <v>0.4591885</v>
      </c>
      <c r="F2784" t="s">
        <v>69</v>
      </c>
      <c r="G2784">
        <v>-369.90969999999999</v>
      </c>
      <c r="H2784">
        <v>2.0075050000000001</v>
      </c>
      <c r="I2784">
        <v>232.2921</v>
      </c>
      <c r="J2784">
        <v>-446.39850000000001</v>
      </c>
      <c r="K2784">
        <v>1.1077509999999999</v>
      </c>
      <c r="L2784">
        <v>214.83940000000001</v>
      </c>
      <c r="M2784">
        <v>0.99988880000000002</v>
      </c>
      <c r="N2784">
        <v>-1.9539520000000001E-3</v>
      </c>
      <c r="O2784">
        <v>-1.478351E-2</v>
      </c>
      <c r="P2784">
        <v>0.99358329999999995</v>
      </c>
      <c r="Q2784">
        <v>-6.361579E-3</v>
      </c>
      <c r="R2784">
        <v>0.11292439999999999</v>
      </c>
      <c r="S2784">
        <v>2.9432369999999999</v>
      </c>
      <c r="T2784">
        <v>3.4463760000000003E-2</v>
      </c>
      <c r="U2784">
        <v>0.66825869999999998</v>
      </c>
      <c r="V2784">
        <v>-0.12760089999999999</v>
      </c>
      <c r="W2784">
        <v>-4.4211720000000001E-3</v>
      </c>
      <c r="X2784">
        <v>0.99181569999999997</v>
      </c>
      <c r="Y2784">
        <v>-0.2357919</v>
      </c>
      <c r="Z2784">
        <v>-1.329347E-3</v>
      </c>
      <c r="AA2784">
        <v>0.97180270000000002</v>
      </c>
      <c r="AB2784">
        <v>38</v>
      </c>
      <c r="AC2784">
        <v>76.488799999999998</v>
      </c>
      <c r="AD2784">
        <v>0.89975400000000005</v>
      </c>
      <c r="AE2784">
        <v>17.452699999999901</v>
      </c>
      <c r="AF2784">
        <v>-18.579124204526401</v>
      </c>
      <c r="AG2784">
        <v>0.89975400000000005</v>
      </c>
      <c r="AH2784">
        <v>76.212404576801802</v>
      </c>
      <c r="AI2784">
        <v>89.342848110035803</v>
      </c>
      <c r="AJ2784">
        <v>103.70038504085601</v>
      </c>
      <c r="AK2784">
        <v>78.449499838085998</v>
      </c>
      <c r="AL2784">
        <v>90.2533153315878</v>
      </c>
      <c r="AM2784">
        <v>97.331051745616193</v>
      </c>
      <c r="AN2784">
        <v>0.99999995960457599</v>
      </c>
    </row>
    <row r="2785" spans="1:40" x14ac:dyDescent="0.25">
      <c r="A2785" t="str">
        <f>"20190305135845950"</f>
        <v>20190305135845950</v>
      </c>
      <c r="B2785" t="str">
        <f>"1551765525941386"</f>
        <v>1551765525941386</v>
      </c>
      <c r="C2785" t="s">
        <v>40</v>
      </c>
      <c r="D2785">
        <v>3.954704</v>
      </c>
      <c r="E2785">
        <v>0.46219349999999998</v>
      </c>
      <c r="F2785" t="s">
        <v>69</v>
      </c>
      <c r="G2785">
        <v>-369.00799999999998</v>
      </c>
      <c r="H2785">
        <v>1.954418</v>
      </c>
      <c r="I2785">
        <v>232.292</v>
      </c>
      <c r="J2785">
        <v>-445.98239999999998</v>
      </c>
      <c r="K2785">
        <v>1.107734</v>
      </c>
      <c r="L2785">
        <v>214.83320000000001</v>
      </c>
      <c r="M2785">
        <v>0.99988840000000001</v>
      </c>
      <c r="N2785">
        <v>-2.0118559999999998E-3</v>
      </c>
      <c r="O2785">
        <v>-1.481733E-2</v>
      </c>
      <c r="P2785">
        <v>0.99387939999999997</v>
      </c>
      <c r="Q2785">
        <v>-6.9145209999999999E-3</v>
      </c>
      <c r="R2785">
        <v>0.1102556</v>
      </c>
      <c r="S2785">
        <v>2.9441220000000001</v>
      </c>
      <c r="T2785">
        <v>3.2212020000000001E-2</v>
      </c>
      <c r="U2785">
        <v>0.66394039999999999</v>
      </c>
      <c r="V2785">
        <v>-0.1249707</v>
      </c>
      <c r="W2785">
        <v>-4.9128380000000001E-3</v>
      </c>
      <c r="X2785">
        <v>0.99214829999999998</v>
      </c>
      <c r="Y2785">
        <v>-0.23440749999999999</v>
      </c>
      <c r="Z2785">
        <v>-1.217269E-3</v>
      </c>
      <c r="AA2785">
        <v>0.97213760000000005</v>
      </c>
      <c r="AB2785">
        <v>38</v>
      </c>
      <c r="AC2785">
        <v>76.974399999999903</v>
      </c>
      <c r="AD2785">
        <v>0.84668399999999999</v>
      </c>
      <c r="AE2785">
        <v>17.458799999999901</v>
      </c>
      <c r="AF2785">
        <v>-18.5953007085484</v>
      </c>
      <c r="AG2785">
        <v>0.84668399999999999</v>
      </c>
      <c r="AH2785">
        <v>76.698430519808994</v>
      </c>
      <c r="AI2785">
        <v>89.385335862566905</v>
      </c>
      <c r="AJ2785">
        <v>103.628223796334</v>
      </c>
      <c r="AK2785">
        <v>78.924972768060996</v>
      </c>
      <c r="AL2785">
        <v>90.281486006573104</v>
      </c>
      <c r="AM2785">
        <v>97.179150621653307</v>
      </c>
      <c r="AN2785">
        <v>1.00000003051429</v>
      </c>
    </row>
    <row r="2786" spans="1:40" x14ac:dyDescent="0.25">
      <c r="A2786" t="str">
        <f>"20190305135845971"</f>
        <v>20190305135845971</v>
      </c>
      <c r="B2786" t="str">
        <f>"1551765525961881"</f>
        <v>1551765525961881</v>
      </c>
      <c r="C2786" t="s">
        <v>40</v>
      </c>
      <c r="D2786">
        <v>3.9271720000000001</v>
      </c>
      <c r="E2786">
        <v>0.55572369999999904</v>
      </c>
      <c r="F2786" t="s">
        <v>69</v>
      </c>
      <c r="G2786">
        <v>-362.4187</v>
      </c>
      <c r="H2786">
        <v>1.9558580000000001</v>
      </c>
      <c r="I2786">
        <v>232.75</v>
      </c>
      <c r="J2786">
        <v>-445.6037</v>
      </c>
      <c r="K2786">
        <v>1.107726</v>
      </c>
      <c r="L2786">
        <v>214.82759999999999</v>
      </c>
      <c r="M2786">
        <v>0.99988750000000004</v>
      </c>
      <c r="N2786">
        <v>-2.066231E-3</v>
      </c>
      <c r="O2786">
        <v>-1.4849350000000001E-2</v>
      </c>
      <c r="P2786">
        <v>0.99419259999999998</v>
      </c>
      <c r="Q2786">
        <v>-7.9269430000000005E-3</v>
      </c>
      <c r="R2786">
        <v>0.1073225</v>
      </c>
      <c r="S2786">
        <v>2.9485169999999998</v>
      </c>
      <c r="T2786">
        <v>2.992821E-2</v>
      </c>
      <c r="U2786">
        <v>0.6321869</v>
      </c>
      <c r="V2786">
        <v>-0.12207419999999999</v>
      </c>
      <c r="W2786">
        <v>-5.8683590000000001E-3</v>
      </c>
      <c r="X2786">
        <v>0.99250360000000004</v>
      </c>
      <c r="Y2786">
        <v>-0.2241303</v>
      </c>
      <c r="Z2786">
        <v>-1.06993E-3</v>
      </c>
      <c r="AA2786">
        <v>0.97455860000000005</v>
      </c>
      <c r="AB2786">
        <v>38</v>
      </c>
      <c r="AC2786">
        <v>83.185000000000002</v>
      </c>
      <c r="AD2786">
        <v>0.848132</v>
      </c>
      <c r="AE2786">
        <v>17.9224</v>
      </c>
      <c r="AF2786">
        <v>-19.153767093232801</v>
      </c>
      <c r="AG2786">
        <v>0.848132</v>
      </c>
      <c r="AH2786">
        <v>82.9014560274329</v>
      </c>
      <c r="AI2786">
        <v>89.428893811555199</v>
      </c>
      <c r="AJ2786">
        <v>103.00948630112801</v>
      </c>
      <c r="AK2786">
        <v>85.089585339332999</v>
      </c>
      <c r="AL2786">
        <v>90.336234142660004</v>
      </c>
      <c r="AM2786">
        <v>97.011947256544502</v>
      </c>
      <c r="AN2786">
        <v>0.99999997197797597</v>
      </c>
    </row>
    <row r="2787" spans="1:40" x14ac:dyDescent="0.25">
      <c r="A2787" t="str">
        <f>"20190305135845995"</f>
        <v>20190305135845995</v>
      </c>
      <c r="B2787" t="str">
        <f>"1551765525991163"</f>
        <v>1551765525991163</v>
      </c>
      <c r="C2787" t="s">
        <v>40</v>
      </c>
      <c r="D2787">
        <v>3.5617000000000001</v>
      </c>
      <c r="E2787">
        <v>0.5700269</v>
      </c>
      <c r="F2787" t="s">
        <v>70</v>
      </c>
      <c r="G2787">
        <v>-168.41399999999999</v>
      </c>
      <c r="H2787">
        <v>8.4599440000000001</v>
      </c>
      <c r="I2787">
        <v>204.1696</v>
      </c>
      <c r="J2787">
        <v>-445.21350000000001</v>
      </c>
      <c r="K2787">
        <v>1.1077189999999999</v>
      </c>
      <c r="L2787">
        <v>214.8218</v>
      </c>
      <c r="M2787">
        <v>0.99988699999999997</v>
      </c>
      <c r="N2787">
        <v>-2.1225520000000002E-3</v>
      </c>
      <c r="O2787">
        <v>-1.48871E-2</v>
      </c>
      <c r="P2787">
        <v>0.99448899999999996</v>
      </c>
      <c r="Q2787">
        <v>-7.9351639999999998E-3</v>
      </c>
      <c r="R2787">
        <v>0.1045418</v>
      </c>
      <c r="S2787">
        <v>3.0307010000000001</v>
      </c>
      <c r="T2787">
        <v>8.0387120000000006E-2</v>
      </c>
      <c r="U2787">
        <v>-0.11653139999999899</v>
      </c>
      <c r="V2787">
        <v>-0.11933589999999999</v>
      </c>
      <c r="W2787">
        <v>-5.8178250000000004E-3</v>
      </c>
      <c r="X2787">
        <v>0.99283690000000002</v>
      </c>
      <c r="Y2787">
        <v>2.354001E-2</v>
      </c>
      <c r="Z2787">
        <v>-1.3917429999999999E-4</v>
      </c>
      <c r="AA2787">
        <v>0.99972289999999997</v>
      </c>
      <c r="AB2787">
        <v>38</v>
      </c>
      <c r="AC2787">
        <v>276.79950000000002</v>
      </c>
      <c r="AD2787">
        <v>7.3522249999999998</v>
      </c>
      <c r="AE2787">
        <v>-10.652199999999899</v>
      </c>
      <c r="AF2787">
        <v>6.5256715472408704</v>
      </c>
      <c r="AG2787">
        <v>7.3522249999999998</v>
      </c>
      <c r="AH2787">
        <v>276.73245542423399</v>
      </c>
      <c r="AI2787">
        <v>88.478547094221994</v>
      </c>
      <c r="AJ2787">
        <v>88.649149566057304</v>
      </c>
      <c r="AK2787">
        <v>276.90700873527697</v>
      </c>
      <c r="AL2787">
        <v>90.333338696534597</v>
      </c>
      <c r="AM2787">
        <v>96.853893544010006</v>
      </c>
      <c r="AN2787">
        <v>1.00000000705907</v>
      </c>
    </row>
    <row r="2788" spans="1:40" x14ac:dyDescent="0.25">
      <c r="A2788" t="str">
        <f>"20190305135846018"</f>
        <v>20190305135846018</v>
      </c>
      <c r="B2788" t="str">
        <f>"1551765526011658"</f>
        <v>1551765526011658</v>
      </c>
      <c r="C2788" t="s">
        <v>40</v>
      </c>
      <c r="D2788">
        <v>3.8674759999999999</v>
      </c>
      <c r="E2788">
        <v>0.56650279999999997</v>
      </c>
      <c r="F2788" t="s">
        <v>70</v>
      </c>
      <c r="G2788">
        <v>-168.41849999999999</v>
      </c>
      <c r="H2788">
        <v>10.89725</v>
      </c>
      <c r="I2788">
        <v>193.1909</v>
      </c>
      <c r="J2788">
        <v>-444.80689999999998</v>
      </c>
      <c r="K2788">
        <v>1.1077079999999999</v>
      </c>
      <c r="L2788">
        <v>214.81569999999999</v>
      </c>
      <c r="M2788">
        <v>0.99988619999999995</v>
      </c>
      <c r="N2788">
        <v>-2.1807369999999999E-3</v>
      </c>
      <c r="O2788">
        <v>-1.4936670000000001E-2</v>
      </c>
      <c r="P2788">
        <v>0.99476089999999995</v>
      </c>
      <c r="Q2788">
        <v>-8.2128800000000005E-3</v>
      </c>
      <c r="R2788">
        <v>0.1019008</v>
      </c>
      <c r="S2788">
        <v>3.0424799999999999</v>
      </c>
      <c r="T2788">
        <v>0.1076051</v>
      </c>
      <c r="U2788">
        <v>-0.23776249999999999</v>
      </c>
      <c r="V2788">
        <v>-0.11674859999999999</v>
      </c>
      <c r="W2788">
        <v>-6.0343430000000002E-3</v>
      </c>
      <c r="X2788">
        <v>0.99314309999999995</v>
      </c>
      <c r="Y2788">
        <v>6.2983800000000006E-2</v>
      </c>
      <c r="Z2788">
        <v>4.8321790000000001E-4</v>
      </c>
      <c r="AA2788">
        <v>0.99801450000000003</v>
      </c>
      <c r="AB2788">
        <v>39</v>
      </c>
      <c r="AC2788">
        <v>276.38839999999999</v>
      </c>
      <c r="AD2788">
        <v>9.7895420000000009</v>
      </c>
      <c r="AE2788">
        <v>-21.6248</v>
      </c>
      <c r="AF2788">
        <v>17.4722696625795</v>
      </c>
      <c r="AG2788">
        <v>9.7895420000000009</v>
      </c>
      <c r="AH2788">
        <v>276.33600390683</v>
      </c>
      <c r="AI2788">
        <v>87.975115357360806</v>
      </c>
      <c r="AJ2788">
        <v>86.3820984964742</v>
      </c>
      <c r="AK2788">
        <v>277.060827969108</v>
      </c>
      <c r="AL2788">
        <v>90.345744507508101</v>
      </c>
      <c r="AM2788">
        <v>96.704614994247393</v>
      </c>
      <c r="AN2788">
        <v>0.999999932987503</v>
      </c>
    </row>
    <row r="2789" spans="1:40" x14ac:dyDescent="0.25">
      <c r="A2789" t="str">
        <f>"20190305135846039"</f>
        <v>20190305135846039</v>
      </c>
      <c r="B2789" t="str">
        <f>"1551765526032154"</f>
        <v>1551765526032154</v>
      </c>
      <c r="C2789" t="s">
        <v>40</v>
      </c>
      <c r="D2789">
        <v>3.8453759999999999</v>
      </c>
      <c r="E2789">
        <v>0.56828330000000005</v>
      </c>
      <c r="F2789" t="s">
        <v>71</v>
      </c>
      <c r="G2789">
        <v>-236.12899999999999</v>
      </c>
      <c r="H2789">
        <v>5.5956130000000002</v>
      </c>
      <c r="I2789">
        <v>199.76669999999999</v>
      </c>
      <c r="J2789">
        <v>-444.43689999999998</v>
      </c>
      <c r="K2789">
        <v>1.1076900000000001</v>
      </c>
      <c r="L2789">
        <v>214.81020000000001</v>
      </c>
      <c r="M2789">
        <v>0.99988509999999997</v>
      </c>
      <c r="N2789">
        <v>-2.2330819999999999E-3</v>
      </c>
      <c r="O2789">
        <v>-1.4996850000000001E-2</v>
      </c>
      <c r="P2789">
        <v>0.99503249999999999</v>
      </c>
      <c r="Q2789">
        <v>-9.6475959999999996E-3</v>
      </c>
      <c r="R2789">
        <v>9.9082429999999999E-2</v>
      </c>
      <c r="S2789">
        <v>3.038818</v>
      </c>
      <c r="T2789">
        <v>6.5355300000000005E-2</v>
      </c>
      <c r="U2789">
        <v>-0.2191467</v>
      </c>
      <c r="V2789">
        <v>-0.1139952</v>
      </c>
      <c r="W2789">
        <v>-7.4131199999999996E-3</v>
      </c>
      <c r="X2789">
        <v>0.99345360000000005</v>
      </c>
      <c r="Y2789">
        <v>5.6955319999999997E-2</v>
      </c>
      <c r="Z2789">
        <v>1.9244349999999999E-4</v>
      </c>
      <c r="AA2789">
        <v>0.99837670000000001</v>
      </c>
      <c r="AB2789">
        <v>39</v>
      </c>
      <c r="AC2789">
        <v>208.30789999999999</v>
      </c>
      <c r="AD2789">
        <v>4.4879230000000003</v>
      </c>
      <c r="AE2789">
        <v>-15.0435</v>
      </c>
      <c r="AF2789">
        <v>11.912337568873999</v>
      </c>
      <c r="AG2789">
        <v>4.4879230000000003</v>
      </c>
      <c r="AH2789">
        <v>208.41384140029899</v>
      </c>
      <c r="AI2789">
        <v>88.768409514256106</v>
      </c>
      <c r="AJ2789">
        <v>86.728696816035196</v>
      </c>
      <c r="AK2789">
        <v>208.80223783867299</v>
      </c>
      <c r="AL2789">
        <v>90.424744397326094</v>
      </c>
      <c r="AM2789">
        <v>96.545854056575607</v>
      </c>
      <c r="AN2789">
        <v>0.99999995766206595</v>
      </c>
    </row>
    <row r="2790" spans="1:40" x14ac:dyDescent="0.25">
      <c r="A2790" t="str">
        <f>"20190305135846062"</f>
        <v>20190305135846062</v>
      </c>
      <c r="B2790" t="str">
        <f>"1551765526051674"</f>
        <v>1551765526051674</v>
      </c>
      <c r="C2790" t="s">
        <v>40</v>
      </c>
      <c r="D2790">
        <v>3.8230909999999998</v>
      </c>
      <c r="E2790">
        <v>0.5660193</v>
      </c>
      <c r="F2790" t="s">
        <v>71</v>
      </c>
      <c r="G2790">
        <v>-252.31229999999999</v>
      </c>
      <c r="H2790">
        <v>5.5421100000000001</v>
      </c>
      <c r="I2790">
        <v>199.5624</v>
      </c>
      <c r="J2790">
        <v>-444.0403</v>
      </c>
      <c r="K2790">
        <v>1.107664</v>
      </c>
      <c r="L2790">
        <v>214.80410000000001</v>
      </c>
      <c r="M2790">
        <v>0.99988370000000004</v>
      </c>
      <c r="N2790">
        <v>-2.2881210000000002E-3</v>
      </c>
      <c r="O2790">
        <v>-1.508076E-2</v>
      </c>
      <c r="P2790">
        <v>0.99522840000000001</v>
      </c>
      <c r="Q2790">
        <v>-1.227867E-2</v>
      </c>
      <c r="R2790">
        <v>9.6797759999999997E-2</v>
      </c>
      <c r="S2790">
        <v>3.0397029999999998</v>
      </c>
      <c r="T2790">
        <v>7.0160979999999998E-2</v>
      </c>
      <c r="U2790">
        <v>-0.2412415</v>
      </c>
      <c r="V2790">
        <v>-0.1117972</v>
      </c>
      <c r="W2790">
        <v>-9.9848739999999995E-3</v>
      </c>
      <c r="X2790">
        <v>0.99368089999999998</v>
      </c>
      <c r="Y2790">
        <v>6.4061759999999995E-2</v>
      </c>
      <c r="Z2790">
        <v>2.8276229999999998E-4</v>
      </c>
      <c r="AA2790">
        <v>0.99794590000000005</v>
      </c>
      <c r="AB2790">
        <v>39</v>
      </c>
      <c r="AC2790">
        <v>191.72799999999901</v>
      </c>
      <c r="AD2790">
        <v>4.4344460000000003</v>
      </c>
      <c r="AE2790">
        <v>-15.2417</v>
      </c>
      <c r="AF2790">
        <v>12.341994475172701</v>
      </c>
      <c r="AG2790">
        <v>4.4344460000000003</v>
      </c>
      <c r="AH2790">
        <v>191.834077499497</v>
      </c>
      <c r="AI2790">
        <v>88.678514932903198</v>
      </c>
      <c r="AJ2790">
        <v>86.318845208537297</v>
      </c>
      <c r="AK2790">
        <v>192.28183073040199</v>
      </c>
      <c r="AL2790">
        <v>90.572100633421996</v>
      </c>
      <c r="AM2790">
        <v>96.419247868590105</v>
      </c>
      <c r="AN2790">
        <v>1.0000000213307201</v>
      </c>
    </row>
    <row r="2791" spans="1:40" x14ac:dyDescent="0.25">
      <c r="A2791" t="str">
        <f>"20190305135846085"</f>
        <v>20190305135846085</v>
      </c>
      <c r="B2791" t="str">
        <f>"1551765526081930"</f>
        <v>1551765526081930</v>
      </c>
      <c r="C2791" t="s">
        <v>40</v>
      </c>
      <c r="D2791">
        <v>3.864897</v>
      </c>
      <c r="E2791">
        <v>0.56348219999999904</v>
      </c>
      <c r="F2791" t="s">
        <v>71</v>
      </c>
      <c r="G2791">
        <v>-235.92789999999999</v>
      </c>
      <c r="H2791">
        <v>4.9490559999999997</v>
      </c>
      <c r="I2791">
        <v>199.0138</v>
      </c>
      <c r="J2791">
        <v>-443.62520000000001</v>
      </c>
      <c r="K2791">
        <v>1.10764</v>
      </c>
      <c r="L2791">
        <v>214.7978</v>
      </c>
      <c r="M2791">
        <v>0.99988200000000005</v>
      </c>
      <c r="N2791">
        <v>-2.3446729999999998E-3</v>
      </c>
      <c r="O2791">
        <v>-1.518627E-2</v>
      </c>
      <c r="P2791">
        <v>0.99542710000000001</v>
      </c>
      <c r="Q2791">
        <v>-1.3380970000000001E-2</v>
      </c>
      <c r="R2791">
        <v>9.4584459999999995E-2</v>
      </c>
      <c r="S2791">
        <v>3.0375369999999999</v>
      </c>
      <c r="T2791">
        <v>5.6068899999999998E-2</v>
      </c>
      <c r="U2791">
        <v>-0.2304688</v>
      </c>
      <c r="V2791">
        <v>-0.109692899999999</v>
      </c>
      <c r="W2791">
        <v>-1.102618E-2</v>
      </c>
      <c r="X2791">
        <v>0.99390440000000002</v>
      </c>
      <c r="Y2791">
        <v>6.0498929999999999E-2</v>
      </c>
      <c r="Z2791">
        <v>1.710816E-4</v>
      </c>
      <c r="AA2791">
        <v>0.99816819999999895</v>
      </c>
      <c r="AB2791">
        <v>39</v>
      </c>
      <c r="AC2791">
        <v>207.69730000000001</v>
      </c>
      <c r="AD2791">
        <v>3.8414160000000002</v>
      </c>
      <c r="AE2791">
        <v>-15.783999999999899</v>
      </c>
      <c r="AF2791">
        <v>12.623730612589</v>
      </c>
      <c r="AG2791">
        <v>3.8414160000000002</v>
      </c>
      <c r="AH2791">
        <v>207.84235998615199</v>
      </c>
      <c r="AI2791">
        <v>88.943106891034304</v>
      </c>
      <c r="AJ2791">
        <v>86.524293456078595</v>
      </c>
      <c r="AK2791">
        <v>208.260802015352</v>
      </c>
      <c r="AL2791">
        <v>90.631766359305502</v>
      </c>
      <c r="AM2791">
        <v>96.297997108134098</v>
      </c>
      <c r="AN2791">
        <v>1.00000003264758</v>
      </c>
    </row>
    <row r="2792" spans="1:40" x14ac:dyDescent="0.25">
      <c r="A2792" t="str">
        <f>"20190305135846107"</f>
        <v>20190305135846107</v>
      </c>
      <c r="B2792" t="str">
        <f>"1551765526101450"</f>
        <v>1551765526101450</v>
      </c>
      <c r="C2792" t="s">
        <v>40</v>
      </c>
      <c r="D2792">
        <v>3.8441019999999999</v>
      </c>
      <c r="E2792">
        <v>0.56222329999999998</v>
      </c>
      <c r="F2792" t="s">
        <v>70</v>
      </c>
      <c r="G2792">
        <v>-168.4161</v>
      </c>
      <c r="H2792">
        <v>5.6485159999999999</v>
      </c>
      <c r="I2792">
        <v>195.1105</v>
      </c>
      <c r="J2792">
        <v>-443.25389999999999</v>
      </c>
      <c r="K2792">
        <v>1.1076280000000001</v>
      </c>
      <c r="L2792">
        <v>214.7921</v>
      </c>
      <c r="M2792">
        <v>0.9998802</v>
      </c>
      <c r="N2792">
        <v>-2.394116E-3</v>
      </c>
      <c r="O2792">
        <v>-1.5293309999999999E-2</v>
      </c>
      <c r="P2792">
        <v>0.99561909999999998</v>
      </c>
      <c r="Q2792">
        <v>-1.406113E-2</v>
      </c>
      <c r="R2792">
        <v>9.2440030000000006E-2</v>
      </c>
      <c r="S2792">
        <v>3.0350950000000001</v>
      </c>
      <c r="T2792">
        <v>5.0078629999999999E-2</v>
      </c>
      <c r="U2792">
        <v>-0.21711730000000001</v>
      </c>
      <c r="V2792">
        <v>-0.1076588</v>
      </c>
      <c r="W2792">
        <v>-1.1653409999999999E-2</v>
      </c>
      <c r="X2792">
        <v>0.99411959999999999</v>
      </c>
      <c r="Y2792">
        <v>5.6086770000000001E-2</v>
      </c>
      <c r="Z2792">
        <v>1.063342E-4</v>
      </c>
      <c r="AA2792">
        <v>0.99842589999999998</v>
      </c>
      <c r="AB2792">
        <v>39</v>
      </c>
      <c r="AC2792">
        <v>274.83780000000002</v>
      </c>
      <c r="AD2792">
        <v>4.5408879999999998</v>
      </c>
      <c r="AE2792">
        <v>-19.6816</v>
      </c>
      <c r="AF2792">
        <v>15.471904627847</v>
      </c>
      <c r="AG2792">
        <v>4.5408879999999998</v>
      </c>
      <c r="AH2792">
        <v>275.03196054436398</v>
      </c>
      <c r="AI2792">
        <v>89.055602514082693</v>
      </c>
      <c r="AJ2792">
        <v>86.780223330823503</v>
      </c>
      <c r="AK2792">
        <v>275.50422649665097</v>
      </c>
      <c r="AL2792">
        <v>90.6677063237276</v>
      </c>
      <c r="AM2792">
        <v>96.180794496972993</v>
      </c>
      <c r="AN2792">
        <v>0.99999999914311399</v>
      </c>
    </row>
    <row r="2793" spans="1:40" x14ac:dyDescent="0.25">
      <c r="A2793" t="str">
        <f>"20190305135846126"</f>
        <v>20190305135846126</v>
      </c>
      <c r="B2793" t="str">
        <f>"1551765526121946"</f>
        <v>1551765526121946</v>
      </c>
      <c r="C2793" t="s">
        <v>40</v>
      </c>
      <c r="D2793">
        <v>3.813218</v>
      </c>
      <c r="E2793">
        <v>0.56108000000000002</v>
      </c>
      <c r="F2793" t="s">
        <v>70</v>
      </c>
      <c r="G2793">
        <v>-168.41569999999999</v>
      </c>
      <c r="H2793">
        <v>4.6720889999999997</v>
      </c>
      <c r="I2793">
        <v>195.4135</v>
      </c>
      <c r="J2793">
        <v>-442.89359999999999</v>
      </c>
      <c r="K2793">
        <v>1.1076189999999999</v>
      </c>
      <c r="L2793">
        <v>214.78649999999999</v>
      </c>
      <c r="M2793">
        <v>0.9998783</v>
      </c>
      <c r="N2793">
        <v>-2.4413920000000001E-3</v>
      </c>
      <c r="O2793">
        <v>-1.5406899999999999E-2</v>
      </c>
      <c r="P2793">
        <v>0.99584870000000003</v>
      </c>
      <c r="Q2793">
        <v>-1.2885819999999999E-2</v>
      </c>
      <c r="R2793">
        <v>9.0108010000000002E-2</v>
      </c>
      <c r="S2793">
        <v>3.03363</v>
      </c>
      <c r="T2793">
        <v>3.934443E-2</v>
      </c>
      <c r="U2793">
        <v>-0.2138977</v>
      </c>
      <c r="V2793">
        <v>-0.1054433</v>
      </c>
      <c r="W2793">
        <v>-1.0428059999999999E-2</v>
      </c>
      <c r="X2793">
        <v>0.99437059999999999</v>
      </c>
      <c r="Y2793">
        <v>5.4955160000000003E-2</v>
      </c>
      <c r="Z2793" s="1">
        <v>5.1640959999999898E-5</v>
      </c>
      <c r="AA2793">
        <v>0.99848879999999995</v>
      </c>
      <c r="AB2793">
        <v>39</v>
      </c>
      <c r="AC2793">
        <v>274.47789999999998</v>
      </c>
      <c r="AD2793">
        <v>3.56447</v>
      </c>
      <c r="AE2793">
        <v>-19.372999999999902</v>
      </c>
      <c r="AF2793">
        <v>15.139293749517901</v>
      </c>
      <c r="AG2793">
        <v>3.56447</v>
      </c>
      <c r="AH2793">
        <v>274.69770294684599</v>
      </c>
      <c r="AI2793">
        <v>89.257699578783402</v>
      </c>
      <c r="AJ2793">
        <v>86.845474153534695</v>
      </c>
      <c r="AK2793">
        <v>275.13765948319099</v>
      </c>
      <c r="AL2793">
        <v>90.5974946785567</v>
      </c>
      <c r="AM2793">
        <v>96.053038149267806</v>
      </c>
      <c r="AN2793">
        <v>0.99999996204730601</v>
      </c>
    </row>
    <row r="2794" spans="1:40" x14ac:dyDescent="0.25">
      <c r="A2794" t="str">
        <f>"20190305135846150"</f>
        <v>20190305135846150</v>
      </c>
      <c r="B2794" t="str">
        <f>"1551765526141465"</f>
        <v>1551765526141465</v>
      </c>
      <c r="C2794" t="s">
        <v>40</v>
      </c>
      <c r="D2794">
        <v>3.854924</v>
      </c>
      <c r="E2794">
        <v>0.5600984</v>
      </c>
      <c r="F2794" t="s">
        <v>70</v>
      </c>
      <c r="G2794">
        <v>-168.4153</v>
      </c>
      <c r="H2794">
        <v>3.6116100000000002</v>
      </c>
      <c r="I2794">
        <v>195.5521</v>
      </c>
      <c r="J2794">
        <v>-442.47719999999998</v>
      </c>
      <c r="K2794">
        <v>1.1076079999999999</v>
      </c>
      <c r="L2794">
        <v>214.78</v>
      </c>
      <c r="M2794">
        <v>0.99987610000000005</v>
      </c>
      <c r="N2794">
        <v>-2.494867E-3</v>
      </c>
      <c r="O2794">
        <v>-1.554696E-2</v>
      </c>
      <c r="P2794">
        <v>0.99606930000000005</v>
      </c>
      <c r="Q2794">
        <v>-1.215157E-2</v>
      </c>
      <c r="R2794">
        <v>8.7742520000000004E-2</v>
      </c>
      <c r="S2794">
        <v>3.0321039999999999</v>
      </c>
      <c r="T2794">
        <v>2.7661439999999999E-2</v>
      </c>
      <c r="U2794">
        <v>-0.21247859999999999</v>
      </c>
      <c r="V2794">
        <v>-0.1032211</v>
      </c>
      <c r="W2794">
        <v>-9.6379359999999997E-3</v>
      </c>
      <c r="X2794">
        <v>0.99461169999999999</v>
      </c>
      <c r="Y2794">
        <v>5.4386869999999997E-2</v>
      </c>
      <c r="Z2794" s="1">
        <v>-5.3344409999999898E-7</v>
      </c>
      <c r="AA2794">
        <v>0.99851999999999996</v>
      </c>
      <c r="AB2794">
        <v>40</v>
      </c>
      <c r="AC2794">
        <v>274.06189999999998</v>
      </c>
      <c r="AD2794">
        <v>2.5040019999999998</v>
      </c>
      <c r="AE2794">
        <v>-19.227900000000002</v>
      </c>
      <c r="AF2794">
        <v>14.9634907306061</v>
      </c>
      <c r="AG2794">
        <v>2.5040019999999998</v>
      </c>
      <c r="AH2794">
        <v>274.30492636025701</v>
      </c>
      <c r="AI2794">
        <v>89.477764428708795</v>
      </c>
      <c r="AJ2794">
        <v>86.877577179352997</v>
      </c>
      <c r="AK2794">
        <v>274.724168405998</v>
      </c>
      <c r="AL2794">
        <v>90.552221627881195</v>
      </c>
      <c r="AM2794">
        <v>95.924962594372005</v>
      </c>
      <c r="AN2794">
        <v>0.99999995953621901</v>
      </c>
    </row>
    <row r="2795" spans="1:40" x14ac:dyDescent="0.25">
      <c r="A2795" t="str">
        <f>"20190305135846172"</f>
        <v>20190305135846172</v>
      </c>
      <c r="B2795" t="str">
        <f>"1551765526161961"</f>
        <v>1551765526161961</v>
      </c>
      <c r="C2795" t="s">
        <v>40</v>
      </c>
      <c r="D2795">
        <v>3.8182779999999998</v>
      </c>
      <c r="E2795">
        <v>0.55919989999999997</v>
      </c>
      <c r="F2795" t="s">
        <v>70</v>
      </c>
      <c r="G2795">
        <v>-168.41499999999999</v>
      </c>
      <c r="H2795">
        <v>2.8765869999999998</v>
      </c>
      <c r="I2795">
        <v>195.595</v>
      </c>
      <c r="J2795">
        <v>-442.0772</v>
      </c>
      <c r="K2795">
        <v>1.1076029999999999</v>
      </c>
      <c r="L2795">
        <v>214.77369999999999</v>
      </c>
      <c r="M2795">
        <v>0.99987389999999998</v>
      </c>
      <c r="N2795">
        <v>-2.5453170000000001E-3</v>
      </c>
      <c r="O2795">
        <v>-1.5687719999999999E-2</v>
      </c>
      <c r="P2795">
        <v>0.99624760000000001</v>
      </c>
      <c r="Q2795">
        <v>-1.196053E-2</v>
      </c>
      <c r="R2795">
        <v>8.5721660000000005E-2</v>
      </c>
      <c r="S2795">
        <v>3.0307309999999998</v>
      </c>
      <c r="T2795">
        <v>1.9562719999999999E-2</v>
      </c>
      <c r="U2795">
        <v>-0.21215819999999999</v>
      </c>
      <c r="V2795">
        <v>-0.101343</v>
      </c>
      <c r="W2795">
        <v>-9.3947130000000007E-3</v>
      </c>
      <c r="X2795">
        <v>0.9948072</v>
      </c>
      <c r="Y2795">
        <v>5.4173310000000002E-2</v>
      </c>
      <c r="Z2795" s="1">
        <v>-3.5412579999999999E-5</v>
      </c>
      <c r="AA2795">
        <v>0.99853150000000002</v>
      </c>
      <c r="AB2795">
        <v>40</v>
      </c>
      <c r="AC2795">
        <v>273.66219999999998</v>
      </c>
      <c r="AD2795">
        <v>1.7689839999999899</v>
      </c>
      <c r="AE2795">
        <v>-19.1786999999999</v>
      </c>
      <c r="AF2795">
        <v>14.8825720135303</v>
      </c>
      <c r="AG2795">
        <v>1.7689839999999899</v>
      </c>
      <c r="AH2795">
        <v>273.91800429022601</v>
      </c>
      <c r="AI2795">
        <v>89.630529416459893</v>
      </c>
      <c r="AJ2795">
        <v>86.890051139145996</v>
      </c>
      <c r="AK2795">
        <v>274.32771155767398</v>
      </c>
      <c r="AL2795">
        <v>90.538285315141195</v>
      </c>
      <c r="AM2795">
        <v>95.816769130960694</v>
      </c>
      <c r="AN2795">
        <v>1.0000000147265899</v>
      </c>
    </row>
    <row r="2796" spans="1:40" x14ac:dyDescent="0.25">
      <c r="A2796" t="str">
        <f>"20190305135846194"</f>
        <v>20190305135846194</v>
      </c>
      <c r="B2796" t="str">
        <f>"1551765526192218"</f>
        <v>1551765526192218</v>
      </c>
      <c r="C2796" t="s">
        <v>40</v>
      </c>
      <c r="D2796">
        <v>3.833288</v>
      </c>
      <c r="E2796">
        <v>0.5581199</v>
      </c>
      <c r="F2796" t="s">
        <v>70</v>
      </c>
      <c r="G2796">
        <v>-168.41480000000001</v>
      </c>
      <c r="H2796">
        <v>2.0681940000000001</v>
      </c>
      <c r="I2796">
        <v>195.65379999999999</v>
      </c>
      <c r="J2796">
        <v>-441.68040000000002</v>
      </c>
      <c r="K2796">
        <v>1.107594</v>
      </c>
      <c r="L2796">
        <v>214.76730000000001</v>
      </c>
      <c r="M2796">
        <v>0.99987139999999997</v>
      </c>
      <c r="N2796">
        <v>-2.5943580000000002E-3</v>
      </c>
      <c r="O2796">
        <v>-1.5830509999999999E-2</v>
      </c>
      <c r="P2796">
        <v>0.99635039999999997</v>
      </c>
      <c r="Q2796">
        <v>-1.1975390000000001E-2</v>
      </c>
      <c r="R2796">
        <v>8.4514759999999994E-2</v>
      </c>
      <c r="S2796">
        <v>3.029633</v>
      </c>
      <c r="T2796">
        <v>1.063478E-2</v>
      </c>
      <c r="U2796">
        <v>-0.21166989999999999</v>
      </c>
      <c r="V2796">
        <v>-0.10028090000000001</v>
      </c>
      <c r="W2796">
        <v>-9.359137E-3</v>
      </c>
      <c r="X2796">
        <v>0.99491510000000005</v>
      </c>
      <c r="Y2796">
        <v>5.3896039999999999E-2</v>
      </c>
      <c r="Z2796" s="1">
        <v>-7.2037859999999994E-5</v>
      </c>
      <c r="AA2796">
        <v>0.9985465</v>
      </c>
      <c r="AB2796">
        <v>40</v>
      </c>
      <c r="AC2796">
        <v>273.26560000000001</v>
      </c>
      <c r="AD2796">
        <v>0.96060000000000001</v>
      </c>
      <c r="AE2796">
        <v>-19.113499999999998</v>
      </c>
      <c r="AF2796">
        <v>14.7849750125774</v>
      </c>
      <c r="AG2796">
        <v>0.96060000000000001</v>
      </c>
      <c r="AH2796">
        <v>273.53057062933101</v>
      </c>
      <c r="AI2796">
        <v>89.799079588965697</v>
      </c>
      <c r="AJ2796">
        <v>86.906038273945995</v>
      </c>
      <c r="AK2796">
        <v>273.93154492918501</v>
      </c>
      <c r="AL2796">
        <v>90.536246903315998</v>
      </c>
      <c r="AM2796">
        <v>95.755599369232399</v>
      </c>
      <c r="AN2796">
        <v>0.99999995427910104</v>
      </c>
    </row>
    <row r="2797" spans="1:40" x14ac:dyDescent="0.25">
      <c r="A2797" t="str">
        <f>"20190305135846215"</f>
        <v>20190305135846215</v>
      </c>
      <c r="B2797" t="str">
        <f>"1551765526211738"</f>
        <v>1551765526211738</v>
      </c>
      <c r="C2797" t="s">
        <v>40</v>
      </c>
      <c r="D2797">
        <v>3.8146450000000001</v>
      </c>
      <c r="E2797">
        <v>0.55742130000000001</v>
      </c>
      <c r="F2797" t="s">
        <v>70</v>
      </c>
      <c r="G2797">
        <v>-168.41419999999999</v>
      </c>
      <c r="H2797">
        <v>0.90522190000000002</v>
      </c>
      <c r="I2797">
        <v>196.06200000000001</v>
      </c>
      <c r="J2797">
        <v>-441.29649999999998</v>
      </c>
      <c r="K2797">
        <v>1.1075900000000001</v>
      </c>
      <c r="L2797">
        <v>214.7611</v>
      </c>
      <c r="M2797">
        <v>0.99986900000000001</v>
      </c>
      <c r="N2797">
        <v>-2.641086E-3</v>
      </c>
      <c r="O2797">
        <v>-1.597032E-2</v>
      </c>
      <c r="P2797">
        <v>0.99640669999999998</v>
      </c>
      <c r="Q2797">
        <v>-1.1824049999999999E-2</v>
      </c>
      <c r="R2797">
        <v>8.3870730000000004E-2</v>
      </c>
      <c r="S2797">
        <v>3.0285340000000001</v>
      </c>
      <c r="T2797">
        <v>-2.2424459999999999E-3</v>
      </c>
      <c r="U2797">
        <v>-0.20730589999999999</v>
      </c>
      <c r="V2797">
        <v>-9.9776299999999998E-2</v>
      </c>
      <c r="W2797">
        <v>-9.1598760000000008E-3</v>
      </c>
      <c r="X2797">
        <v>0.99496779999999996</v>
      </c>
      <c r="Y2797">
        <v>5.2349279999999998E-2</v>
      </c>
      <c r="Z2797">
        <v>-1.188961E-4</v>
      </c>
      <c r="AA2797">
        <v>0.99862890000000004</v>
      </c>
      <c r="AB2797">
        <v>40</v>
      </c>
      <c r="AC2797">
        <v>272.88229999999999</v>
      </c>
      <c r="AD2797">
        <v>-0.202368099999999</v>
      </c>
      <c r="AE2797">
        <v>-18.699099999999898</v>
      </c>
      <c r="AF2797">
        <v>14.338674611618901</v>
      </c>
      <c r="AG2797">
        <v>-0.202368099999999</v>
      </c>
      <c r="AH2797">
        <v>273.14598019896499</v>
      </c>
      <c r="AI2797">
        <v>90.042390860162797</v>
      </c>
      <c r="AJ2797">
        <v>86.995042191197697</v>
      </c>
      <c r="AK2797">
        <v>273.52214725926501</v>
      </c>
      <c r="AL2797">
        <v>90.524829539199501</v>
      </c>
      <c r="AM2797">
        <v>95.726529640516006</v>
      </c>
      <c r="AN2797">
        <v>1.00000006820343</v>
      </c>
    </row>
    <row r="2798" spans="1:40" x14ac:dyDescent="0.25">
      <c r="A2798" t="str">
        <f>"20190305135846240"</f>
        <v>20190305135846240</v>
      </c>
      <c r="B2798" t="str">
        <f>"1551765526231258"</f>
        <v>1551765526231258</v>
      </c>
      <c r="C2798" t="s">
        <v>40</v>
      </c>
      <c r="D2798">
        <v>3.8077429999999999</v>
      </c>
      <c r="E2798">
        <v>0.5566875</v>
      </c>
      <c r="F2798" t="s">
        <v>72</v>
      </c>
      <c r="G2798">
        <v>-215.83869999999999</v>
      </c>
      <c r="H2798">
        <v>0.43180809999999997</v>
      </c>
      <c r="I2798">
        <v>199.57599999999999</v>
      </c>
      <c r="J2798">
        <v>-440.85210000000001</v>
      </c>
      <c r="K2798">
        <v>1.1075889999999999</v>
      </c>
      <c r="L2798">
        <v>214.75389999999999</v>
      </c>
      <c r="M2798">
        <v>0.99986629999999999</v>
      </c>
      <c r="N2798">
        <v>-2.6946629999999999E-3</v>
      </c>
      <c r="O2798">
        <v>-1.613063E-2</v>
      </c>
      <c r="P2798">
        <v>0.99647090000000005</v>
      </c>
      <c r="Q2798">
        <v>-1.123738E-2</v>
      </c>
      <c r="R2798">
        <v>8.3182699999999998E-2</v>
      </c>
      <c r="S2798">
        <v>3.027863</v>
      </c>
      <c r="T2798">
        <v>-9.0756420000000001E-3</v>
      </c>
      <c r="U2798">
        <v>-0.2039337</v>
      </c>
      <c r="V2798">
        <v>-9.9249270000000001E-2</v>
      </c>
      <c r="W2798">
        <v>-8.5186120000000001E-3</v>
      </c>
      <c r="X2798">
        <v>0.99502610000000002</v>
      </c>
      <c r="Y2798">
        <v>5.1096719999999998E-2</v>
      </c>
      <c r="Z2798">
        <v>-1.4055200000000001E-4</v>
      </c>
      <c r="AA2798">
        <v>0.99869370000000002</v>
      </c>
      <c r="AB2798">
        <v>40</v>
      </c>
      <c r="AC2798">
        <v>225.01339999999999</v>
      </c>
      <c r="AD2798">
        <v>-0.67578089999999902</v>
      </c>
      <c r="AE2798">
        <v>-15.1778999999999</v>
      </c>
      <c r="AF2798">
        <v>11.5462006216499</v>
      </c>
      <c r="AG2798">
        <v>-0.67578089999999902</v>
      </c>
      <c r="AH2798">
        <v>225.226931630802</v>
      </c>
      <c r="AI2798">
        <v>90.1716868350683</v>
      </c>
      <c r="AJ2798">
        <v>87.065315681619197</v>
      </c>
      <c r="AK2798">
        <v>225.52370642672199</v>
      </c>
      <c r="AL2798">
        <v>90.488086436712805</v>
      </c>
      <c r="AM2798">
        <v>95.696149336673102</v>
      </c>
      <c r="AN2798">
        <v>0.999999962013574</v>
      </c>
    </row>
    <row r="2799" spans="1:40" x14ac:dyDescent="0.25">
      <c r="A2799" t="str">
        <f>"20190305135846263"</f>
        <v>20190305135846263</v>
      </c>
      <c r="B2799" t="str">
        <f>"1551765526251754"</f>
        <v>1551765526251754</v>
      </c>
      <c r="C2799" t="s">
        <v>40</v>
      </c>
      <c r="D2799">
        <v>3.8210639999999998</v>
      </c>
      <c r="E2799">
        <v>0.55613119999999905</v>
      </c>
      <c r="F2799" t="s">
        <v>72</v>
      </c>
      <c r="G2799">
        <v>-211.76070000000001</v>
      </c>
      <c r="H2799">
        <v>0.1053823</v>
      </c>
      <c r="I2799">
        <v>199.57599999999999</v>
      </c>
      <c r="J2799">
        <v>-440.43970000000002</v>
      </c>
      <c r="K2799">
        <v>1.107586</v>
      </c>
      <c r="L2799">
        <v>214.74719999999999</v>
      </c>
      <c r="M2799">
        <v>0.99986399999999998</v>
      </c>
      <c r="N2799">
        <v>-2.7434339999999999E-3</v>
      </c>
      <c r="O2799">
        <v>-1.6274009999999998E-2</v>
      </c>
      <c r="P2799">
        <v>0.99651420000000002</v>
      </c>
      <c r="Q2799">
        <v>-1.20004E-2</v>
      </c>
      <c r="R2799">
        <v>8.2556180000000007E-2</v>
      </c>
      <c r="S2799">
        <v>3.0272220000000001</v>
      </c>
      <c r="T2799">
        <v>-1.32432E-2</v>
      </c>
      <c r="U2799">
        <v>-0.2005615</v>
      </c>
      <c r="V2799">
        <v>-9.8766099999999996E-2</v>
      </c>
      <c r="W2799">
        <v>-9.2327199999999998E-3</v>
      </c>
      <c r="X2799">
        <v>0.99506779999999995</v>
      </c>
      <c r="Y2799">
        <v>4.9859769999999998E-2</v>
      </c>
      <c r="Z2799">
        <v>-1.509115E-4</v>
      </c>
      <c r="AA2799">
        <v>0.99875619999999998</v>
      </c>
      <c r="AB2799">
        <v>41</v>
      </c>
      <c r="AC2799">
        <v>228.679</v>
      </c>
      <c r="AD2799">
        <v>-1.0022036999999999</v>
      </c>
      <c r="AE2799">
        <v>-15.171200000000001</v>
      </c>
      <c r="AF2799">
        <v>11.447434334015201</v>
      </c>
      <c r="AG2799">
        <v>-1.0022036999999999</v>
      </c>
      <c r="AH2799">
        <v>228.89123581018899</v>
      </c>
      <c r="AI2799">
        <v>90.250555672397496</v>
      </c>
      <c r="AJ2799">
        <v>87.1368775158397</v>
      </c>
      <c r="AK2799">
        <v>229.17950605541401</v>
      </c>
      <c r="AL2799">
        <v>90.529003428474894</v>
      </c>
      <c r="AM2799">
        <v>95.668364104865503</v>
      </c>
      <c r="AN2799">
        <v>0.99999995611232295</v>
      </c>
    </row>
    <row r="2800" spans="1:40" x14ac:dyDescent="0.25">
      <c r="A2800" t="str">
        <f>"20190305135846286"</f>
        <v>20190305135846286</v>
      </c>
      <c r="B2800" t="str">
        <f>"1551765526282010"</f>
        <v>1551765526282010</v>
      </c>
      <c r="C2800" t="s">
        <v>40</v>
      </c>
      <c r="D2800">
        <v>3.840544</v>
      </c>
      <c r="E2800">
        <v>0.55536719999999995</v>
      </c>
      <c r="F2800" t="s">
        <v>61</v>
      </c>
      <c r="G2800">
        <v>-289.92939999999999</v>
      </c>
      <c r="H2800">
        <v>7.8239520000000007E-2</v>
      </c>
      <c r="I2800">
        <v>204.8921</v>
      </c>
      <c r="J2800">
        <v>-440.00900000000001</v>
      </c>
      <c r="K2800">
        <v>1.107585</v>
      </c>
      <c r="L2800">
        <v>214.74010000000001</v>
      </c>
      <c r="M2800">
        <v>0.99986149999999996</v>
      </c>
      <c r="N2800">
        <v>-2.7935439999999998E-3</v>
      </c>
      <c r="O2800">
        <v>-1.6415699999999998E-2</v>
      </c>
      <c r="P2800">
        <v>0.99654730000000002</v>
      </c>
      <c r="Q2800">
        <v>-1.236746E-2</v>
      </c>
      <c r="R2800">
        <v>8.2101720000000003E-2</v>
      </c>
      <c r="S2800">
        <v>3.0267029999999999</v>
      </c>
      <c r="T2800">
        <v>-2.0699740000000001E-2</v>
      </c>
      <c r="U2800">
        <v>-0.1981812</v>
      </c>
      <c r="V2800">
        <v>-9.8453589999999994E-2</v>
      </c>
      <c r="W2800">
        <v>-9.5501070000000004E-3</v>
      </c>
      <c r="X2800">
        <v>0.99509579999999997</v>
      </c>
      <c r="Y2800">
        <v>4.8946700000000003E-2</v>
      </c>
      <c r="Z2800">
        <v>-1.6932399999999999E-4</v>
      </c>
      <c r="AA2800">
        <v>0.99880139999999995</v>
      </c>
      <c r="AB2800">
        <v>41</v>
      </c>
      <c r="AC2800">
        <v>150.0796</v>
      </c>
      <c r="AD2800">
        <v>-1.0293454799999999</v>
      </c>
      <c r="AE2800">
        <v>-9.8480000000000096</v>
      </c>
      <c r="AF2800">
        <v>7.3826562687543396</v>
      </c>
      <c r="AG2800">
        <v>-1.0293454799999999</v>
      </c>
      <c r="AH2800">
        <v>150.21400357896201</v>
      </c>
      <c r="AI2800">
        <v>90.392141411849806</v>
      </c>
      <c r="AJ2800">
        <v>87.186314531319496</v>
      </c>
      <c r="AK2800">
        <v>150.39883655441099</v>
      </c>
      <c r="AL2800">
        <v>90.547189152449903</v>
      </c>
      <c r="AM2800">
        <v>95.650386878260207</v>
      </c>
      <c r="AN2800">
        <v>0.99999998255261902</v>
      </c>
    </row>
    <row r="2801" spans="1:40" x14ac:dyDescent="0.25">
      <c r="A2801" t="str">
        <f>"20190305135846306"</f>
        <v>20190305135846306</v>
      </c>
      <c r="B2801" t="str">
        <f>"1551765526301529"</f>
        <v>1551765526301529</v>
      </c>
      <c r="C2801" t="s">
        <v>40</v>
      </c>
      <c r="D2801">
        <v>3.814209</v>
      </c>
      <c r="E2801">
        <v>0.55494100000000002</v>
      </c>
      <c r="F2801" t="s">
        <v>59</v>
      </c>
      <c r="G2801">
        <v>-334.28919999999999</v>
      </c>
      <c r="H2801">
        <v>8.0000500000000002E-2</v>
      </c>
      <c r="I2801">
        <v>207.97190000000001</v>
      </c>
      <c r="J2801">
        <v>-439.65019999999998</v>
      </c>
      <c r="K2801">
        <v>1.107583</v>
      </c>
      <c r="L2801">
        <v>214.73410000000001</v>
      </c>
      <c r="M2801">
        <v>0.99985950000000001</v>
      </c>
      <c r="N2801">
        <v>-2.834741E-3</v>
      </c>
      <c r="O2801">
        <v>-1.6523989999999999E-2</v>
      </c>
      <c r="P2801">
        <v>0.99653230000000004</v>
      </c>
      <c r="Q2801">
        <v>-1.353554E-2</v>
      </c>
      <c r="R2801">
        <v>8.2098770000000001E-2</v>
      </c>
      <c r="S2801">
        <v>3.0260009999999999</v>
      </c>
      <c r="T2801">
        <v>-2.941239E-2</v>
      </c>
      <c r="U2801">
        <v>-0.1937256</v>
      </c>
      <c r="V2801">
        <v>-9.8558750000000001E-2</v>
      </c>
      <c r="W2801">
        <v>-1.067803E-2</v>
      </c>
      <c r="X2801">
        <v>0.99507389999999996</v>
      </c>
      <c r="Y2801">
        <v>4.7388029999999998E-2</v>
      </c>
      <c r="Z2801">
        <v>-1.8368329999999999E-4</v>
      </c>
      <c r="AA2801">
        <v>0.99887649999999994</v>
      </c>
      <c r="AB2801">
        <v>41</v>
      </c>
      <c r="AC2801">
        <v>105.361</v>
      </c>
      <c r="AD2801">
        <v>-1.0275825000000001</v>
      </c>
      <c r="AE2801">
        <v>-6.7622</v>
      </c>
      <c r="AF2801">
        <v>5.0198101985938504</v>
      </c>
      <c r="AG2801">
        <v>-1.0275825000000001</v>
      </c>
      <c r="AH2801">
        <v>105.448364728276</v>
      </c>
      <c r="AI2801">
        <v>90.557691761034505</v>
      </c>
      <c r="AJ2801">
        <v>87.274524151090006</v>
      </c>
      <c r="AK2801">
        <v>105.572780791697</v>
      </c>
      <c r="AL2801">
        <v>90.611817705811106</v>
      </c>
      <c r="AM2801">
        <v>95.656506719239701</v>
      </c>
      <c r="AN2801">
        <v>0.99999995699372501</v>
      </c>
    </row>
    <row r="2802" spans="1:40" x14ac:dyDescent="0.25">
      <c r="A2802" t="str">
        <f>"20190305135846339"</f>
        <v>20190305135846339</v>
      </c>
      <c r="B2802" t="str">
        <f>"1551765526331786"</f>
        <v>1551765526331786</v>
      </c>
      <c r="C2802" t="s">
        <v>40</v>
      </c>
      <c r="D2802">
        <v>3.8322349999999998</v>
      </c>
      <c r="E2802">
        <v>0.55425570000000002</v>
      </c>
      <c r="F2802" t="s">
        <v>59</v>
      </c>
      <c r="G2802">
        <v>-357.11380000000003</v>
      </c>
      <c r="H2802">
        <v>8.0001059999999999E-2</v>
      </c>
      <c r="I2802">
        <v>209.53229999999999</v>
      </c>
      <c r="J2802">
        <v>-439.02550000000002</v>
      </c>
      <c r="K2802">
        <v>1.1076109999999999</v>
      </c>
      <c r="L2802">
        <v>214.7236</v>
      </c>
      <c r="M2802">
        <v>0.99985679999999999</v>
      </c>
      <c r="N2802">
        <v>-2.9058690000000002E-3</v>
      </c>
      <c r="O2802">
        <v>-1.6676509999999999E-2</v>
      </c>
      <c r="P2802">
        <v>0.9965041</v>
      </c>
      <c r="Q2802">
        <v>-1.277638E-2</v>
      </c>
      <c r="R2802">
        <v>8.2563919999999999E-2</v>
      </c>
      <c r="S2802">
        <v>3.0256349999999999</v>
      </c>
      <c r="T2802">
        <v>-3.7669300000000003E-2</v>
      </c>
      <c r="U2802">
        <v>-0.1906891</v>
      </c>
      <c r="V2802">
        <v>-9.9174029999999996E-2</v>
      </c>
      <c r="W2802">
        <v>-9.8520110000000008E-3</v>
      </c>
      <c r="X2802">
        <v>0.9950213</v>
      </c>
      <c r="Y2802">
        <v>4.624375E-2</v>
      </c>
      <c r="Z2802">
        <v>-1.9587439999999999E-4</v>
      </c>
      <c r="AA2802">
        <v>0.99893019999999999</v>
      </c>
      <c r="AB2802">
        <v>41</v>
      </c>
      <c r="AC2802">
        <v>81.911699999999996</v>
      </c>
      <c r="AD2802">
        <v>-1.0276099400000001</v>
      </c>
      <c r="AE2802">
        <v>-5.1913000000000098</v>
      </c>
      <c r="AF2802">
        <v>3.82397171300153</v>
      </c>
      <c r="AG2802">
        <v>-1.0276099400000001</v>
      </c>
      <c r="AH2802">
        <v>81.974032260411803</v>
      </c>
      <c r="AI2802">
        <v>90.717430628902505</v>
      </c>
      <c r="AJ2802">
        <v>87.329169786278797</v>
      </c>
      <c r="AK2802">
        <v>82.069608911470098</v>
      </c>
      <c r="AL2802">
        <v>90.564487799553703</v>
      </c>
      <c r="AM2802">
        <v>95.691886778062795</v>
      </c>
      <c r="AN2802">
        <v>0.99999996890043696</v>
      </c>
    </row>
    <row r="2803" spans="1:40" x14ac:dyDescent="0.25">
      <c r="A2803" t="str">
        <f>"20190305135846363"</f>
        <v>20190305135846363</v>
      </c>
      <c r="B2803" t="str">
        <f>"1551765526351309"</f>
        <v>1551765526351309</v>
      </c>
      <c r="C2803" t="s">
        <v>40</v>
      </c>
      <c r="D2803">
        <v>3.8405010000000002</v>
      </c>
      <c r="E2803">
        <v>0.55362210000000001</v>
      </c>
      <c r="F2803" t="s">
        <v>59</v>
      </c>
      <c r="G2803">
        <v>-357.40260000000001</v>
      </c>
      <c r="H2803" s="1">
        <v>2.6148689999999999E-6</v>
      </c>
      <c r="I2803">
        <v>209.7577</v>
      </c>
      <c r="J2803">
        <v>-438.5992</v>
      </c>
      <c r="K2803">
        <v>1.1076469999999901</v>
      </c>
      <c r="L2803">
        <v>214.7165</v>
      </c>
      <c r="M2803">
        <v>0.99985550000000001</v>
      </c>
      <c r="N2803">
        <v>-2.9569430000000001E-3</v>
      </c>
      <c r="O2803">
        <v>-1.6744709999999999E-2</v>
      </c>
      <c r="P2803">
        <v>0.99650380000000005</v>
      </c>
      <c r="Q2803">
        <v>-1.111619E-2</v>
      </c>
      <c r="R2803">
        <v>8.2804879999999997E-2</v>
      </c>
      <c r="S2803">
        <v>3.0252080000000001</v>
      </c>
      <c r="T2803">
        <v>-4.1051509999999999E-2</v>
      </c>
      <c r="U2803">
        <v>-0.18405150000000001</v>
      </c>
      <c r="V2803">
        <v>-9.9482070000000006E-2</v>
      </c>
      <c r="W2803">
        <v>-8.1453140000000007E-3</v>
      </c>
      <c r="X2803">
        <v>0.99500599999999995</v>
      </c>
      <c r="Y2803">
        <v>4.4000650000000002E-2</v>
      </c>
      <c r="Z2803">
        <v>-1.858768E-4</v>
      </c>
      <c r="AA2803">
        <v>0.99903149999999996</v>
      </c>
      <c r="AB2803">
        <v>41</v>
      </c>
      <c r="AC2803">
        <v>81.196599999999904</v>
      </c>
      <c r="AD2803">
        <v>-1.1076443851309901</v>
      </c>
      <c r="AE2803">
        <v>-4.9587999999999903</v>
      </c>
      <c r="AF2803">
        <v>3.5978183625795199</v>
      </c>
      <c r="AG2803">
        <v>-1.1076443851309901</v>
      </c>
      <c r="AH2803">
        <v>81.253185673421498</v>
      </c>
      <c r="AI2803">
        <v>90.780243946343603</v>
      </c>
      <c r="AJ2803">
        <v>87.464650250209303</v>
      </c>
      <c r="AK2803">
        <v>81.3403427281539</v>
      </c>
      <c r="AL2803">
        <v>90.466697283067106</v>
      </c>
      <c r="AM2803">
        <v>95.709536680611507</v>
      </c>
      <c r="AN2803">
        <v>0.99999998421382097</v>
      </c>
    </row>
    <row r="2804" spans="1:40" x14ac:dyDescent="0.25">
      <c r="A2804" t="str">
        <f>"20190305135846384"</f>
        <v>20190305135846384</v>
      </c>
      <c r="B2804" t="str">
        <f>"1551765526371805"</f>
        <v>1551765526371805</v>
      </c>
      <c r="C2804" t="s">
        <v>40</v>
      </c>
      <c r="D2804">
        <v>3.915375</v>
      </c>
      <c r="E2804">
        <v>0.55297369999999901</v>
      </c>
      <c r="F2804" t="s">
        <v>59</v>
      </c>
      <c r="G2804">
        <v>-352.11040000000003</v>
      </c>
      <c r="H2804">
        <v>1.304055E-2</v>
      </c>
      <c r="I2804">
        <v>209.6163</v>
      </c>
      <c r="J2804">
        <v>-438.2022</v>
      </c>
      <c r="K2804">
        <v>1.107677</v>
      </c>
      <c r="L2804">
        <v>214.7098</v>
      </c>
      <c r="M2804">
        <v>0.99985469999999999</v>
      </c>
      <c r="N2804">
        <v>-3.0068899999999999E-3</v>
      </c>
      <c r="O2804">
        <v>-1.6785479999999998E-2</v>
      </c>
      <c r="P2804">
        <v>0.99646219999999996</v>
      </c>
      <c r="Q2804">
        <v>-9.4742469999999999E-3</v>
      </c>
      <c r="R2804">
        <v>8.3507520000000002E-2</v>
      </c>
      <c r="S2804">
        <v>3.024902</v>
      </c>
      <c r="T2804">
        <v>-3.8283350000000001E-2</v>
      </c>
      <c r="U2804">
        <v>-0.17837520000000001</v>
      </c>
      <c r="V2804">
        <v>-0.1002234</v>
      </c>
      <c r="W2804">
        <v>-6.4581159999999999E-3</v>
      </c>
      <c r="X2804">
        <v>0.99494400000000005</v>
      </c>
      <c r="Y2804">
        <v>4.2098539999999997E-2</v>
      </c>
      <c r="Z2804">
        <v>-1.677335E-4</v>
      </c>
      <c r="AA2804">
        <v>0.99911340000000004</v>
      </c>
      <c r="AB2804">
        <v>42</v>
      </c>
      <c r="AC2804">
        <v>86.091799999999907</v>
      </c>
      <c r="AD2804">
        <v>-1.0946364500000001</v>
      </c>
      <c r="AE2804">
        <v>-5.0934999999999997</v>
      </c>
      <c r="AF2804">
        <v>3.64709627414714</v>
      </c>
      <c r="AG2804">
        <v>-1.0946364500000001</v>
      </c>
      <c r="AH2804">
        <v>86.151288901128297</v>
      </c>
      <c r="AI2804">
        <v>90.727308430949805</v>
      </c>
      <c r="AJ2804">
        <v>87.575909419889499</v>
      </c>
      <c r="AK2804">
        <v>86.235399457045702</v>
      </c>
      <c r="AL2804">
        <v>90.370025362503796</v>
      </c>
      <c r="AM2804">
        <v>95.752155341402698</v>
      </c>
      <c r="AN2804">
        <v>1.0000000001529099</v>
      </c>
    </row>
    <row r="2805" spans="1:40" x14ac:dyDescent="0.25">
      <c r="A2805" t="str">
        <f>"20190305135846406"</f>
        <v>20190305135846406</v>
      </c>
      <c r="B2805" t="str">
        <f>"1551765526402059"</f>
        <v>1551765526402059</v>
      </c>
      <c r="C2805" t="s">
        <v>40</v>
      </c>
      <c r="D2805">
        <v>3.8784049999999999</v>
      </c>
      <c r="E2805">
        <v>0.55205879999999996</v>
      </c>
      <c r="F2805" t="s">
        <v>59</v>
      </c>
      <c r="G2805">
        <v>-347.88440000000003</v>
      </c>
      <c r="H2805">
        <v>6.7767069999999999E-2</v>
      </c>
      <c r="I2805">
        <v>209.5986</v>
      </c>
      <c r="J2805">
        <v>-437.78309999999999</v>
      </c>
      <c r="K2805">
        <v>1.1077129999999999</v>
      </c>
      <c r="L2805">
        <v>214.70269999999999</v>
      </c>
      <c r="M2805">
        <v>0.99985460000000004</v>
      </c>
      <c r="N2805">
        <v>-3.0607870000000001E-3</v>
      </c>
      <c r="O2805">
        <v>-1.6783909999999999E-2</v>
      </c>
      <c r="P2805">
        <v>0.996421</v>
      </c>
      <c r="Q2805">
        <v>-8.3000230000000001E-3</v>
      </c>
      <c r="R2805">
        <v>8.4121000000000001E-2</v>
      </c>
      <c r="S2805">
        <v>3.0247190000000002</v>
      </c>
      <c r="T2805">
        <v>-3.4826280000000001E-2</v>
      </c>
      <c r="U2805">
        <v>-0.17117309999999999</v>
      </c>
      <c r="V2805">
        <v>-0.1008342</v>
      </c>
      <c r="W2805">
        <v>-5.2373659999999898E-3</v>
      </c>
      <c r="X2805">
        <v>0.99488940000000003</v>
      </c>
      <c r="Y2805">
        <v>3.973314E-2</v>
      </c>
      <c r="Z2805">
        <v>-1.4768990000000001E-4</v>
      </c>
      <c r="AA2805">
        <v>0.9992103</v>
      </c>
      <c r="AB2805">
        <v>42</v>
      </c>
      <c r="AC2805">
        <v>89.898699999999906</v>
      </c>
      <c r="AD2805">
        <v>-1.03994593</v>
      </c>
      <c r="AE2805">
        <v>-5.1040999999999803</v>
      </c>
      <c r="AF2805">
        <v>3.5940430892482498</v>
      </c>
      <c r="AG2805">
        <v>-1.03994593</v>
      </c>
      <c r="AH2805">
        <v>89.959704370310206</v>
      </c>
      <c r="AI2805">
        <v>90.661789294946004</v>
      </c>
      <c r="AJ2805">
        <v>87.712152948343302</v>
      </c>
      <c r="AK2805">
        <v>90.037475773470604</v>
      </c>
      <c r="AL2805">
        <v>90.300080356829497</v>
      </c>
      <c r="AM2805">
        <v>95.787289415027104</v>
      </c>
      <c r="AN2805">
        <v>0.99999994206230702</v>
      </c>
    </row>
    <row r="2806" spans="1:40" x14ac:dyDescent="0.25">
      <c r="A2806" t="str">
        <f>"20190305135846429"</f>
        <v>20190305135846429</v>
      </c>
      <c r="B2806" t="str">
        <f>"1551765526421578"</f>
        <v>1551765526421578</v>
      </c>
      <c r="C2806" t="s">
        <v>40</v>
      </c>
      <c r="D2806">
        <v>3.8491610000000001</v>
      </c>
      <c r="E2806">
        <v>0.55149309999999996</v>
      </c>
      <c r="F2806" t="s">
        <v>59</v>
      </c>
      <c r="G2806">
        <v>-342.55810000000002</v>
      </c>
      <c r="H2806">
        <v>6.0892750000000002E-2</v>
      </c>
      <c r="I2806">
        <v>209.6054</v>
      </c>
      <c r="J2806">
        <v>-437.35750000000002</v>
      </c>
      <c r="K2806">
        <v>1.1077619999999999</v>
      </c>
      <c r="L2806">
        <v>214.69560000000001</v>
      </c>
      <c r="M2806">
        <v>0.99985579999999996</v>
      </c>
      <c r="N2806">
        <v>-3.1156669999999999E-3</v>
      </c>
      <c r="O2806">
        <v>-1.669963E-2</v>
      </c>
      <c r="P2806">
        <v>0.99640079999999998</v>
      </c>
      <c r="Q2806">
        <v>-7.6992689999999999E-3</v>
      </c>
      <c r="R2806">
        <v>8.4416019999999994E-2</v>
      </c>
      <c r="S2806">
        <v>3.0241699999999998</v>
      </c>
      <c r="T2806">
        <v>-3.3245089999999998E-2</v>
      </c>
      <c r="U2806">
        <v>-0.16188050000000001</v>
      </c>
      <c r="V2806">
        <v>-0.1010438</v>
      </c>
      <c r="W2806">
        <v>-4.5946229999999999E-3</v>
      </c>
      <c r="X2806">
        <v>0.99487139999999996</v>
      </c>
      <c r="Y2806">
        <v>3.6766750000000001E-2</v>
      </c>
      <c r="Z2806">
        <v>-1.278424E-4</v>
      </c>
      <c r="AA2806">
        <v>0.99932379999999998</v>
      </c>
      <c r="AB2806">
        <v>42</v>
      </c>
      <c r="AC2806">
        <v>94.799400000000006</v>
      </c>
      <c r="AD2806">
        <v>-1.0468692500000001</v>
      </c>
      <c r="AE2806">
        <v>-5.0902000000000003</v>
      </c>
      <c r="AF2806">
        <v>3.5059414344764299</v>
      </c>
      <c r="AG2806">
        <v>-1.0468692500000001</v>
      </c>
      <c r="AH2806">
        <v>94.859650433299706</v>
      </c>
      <c r="AI2806">
        <v>90.631858062990602</v>
      </c>
      <c r="AJ2806">
        <v>87.883354440558904</v>
      </c>
      <c r="AK2806">
        <v>94.930189301909607</v>
      </c>
      <c r="AL2806">
        <v>90.263253424355</v>
      </c>
      <c r="AM2806">
        <v>95.799341521870701</v>
      </c>
      <c r="AN2806">
        <v>1.0000000313084501</v>
      </c>
    </row>
    <row r="2807" spans="1:40" x14ac:dyDescent="0.25">
      <c r="A2807" t="str">
        <f>"20190305135846451"</f>
        <v>20190305135846451</v>
      </c>
      <c r="B2807" t="str">
        <f>"1551765526442074"</f>
        <v>1551765526442074</v>
      </c>
      <c r="C2807" t="s">
        <v>40</v>
      </c>
      <c r="D2807">
        <v>3.8990710000000002</v>
      </c>
      <c r="E2807">
        <v>0.5509695</v>
      </c>
      <c r="F2807" t="s">
        <v>59</v>
      </c>
      <c r="G2807">
        <v>-339.34640000000002</v>
      </c>
      <c r="H2807">
        <v>1.5022270000000001E-2</v>
      </c>
      <c r="I2807">
        <v>209.6163</v>
      </c>
      <c r="J2807">
        <v>-436.94</v>
      </c>
      <c r="K2807">
        <v>1.1078440000000001</v>
      </c>
      <c r="L2807">
        <v>214.68879999999999</v>
      </c>
      <c r="M2807">
        <v>0.99985900000000005</v>
      </c>
      <c r="N2807">
        <v>-3.1695999999999998E-3</v>
      </c>
      <c r="O2807">
        <v>-1.6494599999999901E-2</v>
      </c>
      <c r="P2807">
        <v>0.99638579999999999</v>
      </c>
      <c r="Q2807">
        <v>-8.5954699999999992E-3</v>
      </c>
      <c r="R2807">
        <v>8.450763E-2</v>
      </c>
      <c r="S2807">
        <v>3.0238649999999998</v>
      </c>
      <c r="T2807">
        <v>-3.3713460000000001E-2</v>
      </c>
      <c r="U2807">
        <v>-0.15670780000000001</v>
      </c>
      <c r="V2807">
        <v>-0.1009304</v>
      </c>
      <c r="W2807">
        <v>-5.4572980000000002E-3</v>
      </c>
      <c r="X2807">
        <v>0.9948785</v>
      </c>
      <c r="Y2807">
        <v>3.5272320000000003E-2</v>
      </c>
      <c r="Z2807">
        <v>-1.209363E-4</v>
      </c>
      <c r="AA2807">
        <v>0.99937770000000004</v>
      </c>
      <c r="AB2807">
        <v>42</v>
      </c>
      <c r="AC2807">
        <v>97.593599999999896</v>
      </c>
      <c r="AD2807">
        <v>-1.09282173</v>
      </c>
      <c r="AE2807">
        <v>-5.07249999999999</v>
      </c>
      <c r="AF2807">
        <v>3.4616016605014899</v>
      </c>
      <c r="AG2807">
        <v>-1.09282173</v>
      </c>
      <c r="AH2807">
        <v>97.651780631175498</v>
      </c>
      <c r="AI2807">
        <v>90.640768254353404</v>
      </c>
      <c r="AJ2807">
        <v>87.969805041713599</v>
      </c>
      <c r="AK2807">
        <v>97.719226387793199</v>
      </c>
      <c r="AL2807">
        <v>90.312681701654597</v>
      </c>
      <c r="AM2807">
        <v>95.792836232633306</v>
      </c>
      <c r="AN2807">
        <v>0.99999997875393498</v>
      </c>
    </row>
    <row r="2808" spans="1:40" x14ac:dyDescent="0.25">
      <c r="A2808" t="str">
        <f>"20190305135846475"</f>
        <v>20190305135846475</v>
      </c>
      <c r="B2808" t="str">
        <f>"1551765526471354"</f>
        <v>1551765526471354</v>
      </c>
      <c r="C2808" t="s">
        <v>40</v>
      </c>
      <c r="D2808">
        <v>3.9033509999999998</v>
      </c>
      <c r="E2808">
        <v>0.55034139999999998</v>
      </c>
      <c r="F2808" t="s">
        <v>59</v>
      </c>
      <c r="G2808">
        <v>-348.99680000000001</v>
      </c>
      <c r="H2808" s="1">
        <v>3.2508770000000001E-6</v>
      </c>
      <c r="I2808">
        <v>210.2647</v>
      </c>
      <c r="J2808">
        <v>-436.49700000000001</v>
      </c>
      <c r="K2808">
        <v>1.107961</v>
      </c>
      <c r="L2808">
        <v>214.68170000000001</v>
      </c>
      <c r="M2808">
        <v>0.99986520000000001</v>
      </c>
      <c r="N2808">
        <v>-3.2270150000000002E-3</v>
      </c>
      <c r="O2808">
        <v>-1.6102519999999999E-2</v>
      </c>
      <c r="P2808">
        <v>0.9963708</v>
      </c>
      <c r="Q2808">
        <v>-9.2588779999999999E-3</v>
      </c>
      <c r="R2808">
        <v>8.4616579999999997E-2</v>
      </c>
      <c r="S2808">
        <v>3.0234990000000002</v>
      </c>
      <c r="T2808">
        <v>-3.808773E-2</v>
      </c>
      <c r="U2808">
        <v>-0.1520996</v>
      </c>
      <c r="V2808">
        <v>-0.1006473</v>
      </c>
      <c r="W2808">
        <v>-6.0943330000000004E-3</v>
      </c>
      <c r="X2808">
        <v>0.99490350000000005</v>
      </c>
      <c r="Y2808">
        <v>3.4150819999999998E-2</v>
      </c>
      <c r="Z2808">
        <v>-1.193507E-4</v>
      </c>
      <c r="AA2808">
        <v>0.99941670000000005</v>
      </c>
      <c r="AB2808">
        <v>42</v>
      </c>
      <c r="AC2808">
        <v>87.500199999999893</v>
      </c>
      <c r="AD2808">
        <v>-1.1079577491229999</v>
      </c>
      <c r="AE2808">
        <v>-4.4169999999999998</v>
      </c>
      <c r="AF2808">
        <v>3.0069654459240498</v>
      </c>
      <c r="AG2808">
        <v>-1.1079577491229999</v>
      </c>
      <c r="AH2808">
        <v>87.545979324811896</v>
      </c>
      <c r="AI2808">
        <v>90.724653582465606</v>
      </c>
      <c r="AJ2808">
        <v>88.032819694738194</v>
      </c>
      <c r="AK2808">
        <v>87.604611222852895</v>
      </c>
      <c r="AL2808">
        <v>90.349181722368797</v>
      </c>
      <c r="AM2808">
        <v>95.776553752814806</v>
      </c>
      <c r="AN2808">
        <v>0.99999999710212695</v>
      </c>
    </row>
    <row r="2809" spans="1:40" x14ac:dyDescent="0.25">
      <c r="A2809" t="str">
        <f>"20190305135846495"</f>
        <v>20190305135846495</v>
      </c>
      <c r="B2809" t="str">
        <f>"1551765526491850"</f>
        <v>1551765526491850</v>
      </c>
      <c r="C2809" t="s">
        <v>40</v>
      </c>
      <c r="D2809">
        <v>3.8522639999999999</v>
      </c>
      <c r="E2809">
        <v>0.55001339999999999</v>
      </c>
      <c r="F2809" t="s">
        <v>59</v>
      </c>
      <c r="G2809">
        <v>-357.06709999999998</v>
      </c>
      <c r="H2809" s="1">
        <v>2.3897799999999998E-6</v>
      </c>
      <c r="I2809">
        <v>210.82310000000001</v>
      </c>
      <c r="J2809">
        <v>-436.10219999999998</v>
      </c>
      <c r="K2809">
        <v>1.1081049999999999</v>
      </c>
      <c r="L2809">
        <v>214.67570000000001</v>
      </c>
      <c r="M2809">
        <v>0.99987369999999998</v>
      </c>
      <c r="N2809">
        <v>-3.2784250000000002E-3</v>
      </c>
      <c r="O2809">
        <v>-1.5561749999999999E-2</v>
      </c>
      <c r="P2809">
        <v>0.99632889999999996</v>
      </c>
      <c r="Q2809">
        <v>-1.039468E-2</v>
      </c>
      <c r="R2809">
        <v>8.4975499999999995E-2</v>
      </c>
      <c r="S2809">
        <v>3.02298</v>
      </c>
      <c r="T2809">
        <v>-4.216719E-2</v>
      </c>
      <c r="U2809">
        <v>-0.1468506</v>
      </c>
      <c r="V2809">
        <v>-0.1004644</v>
      </c>
      <c r="W2809">
        <v>-7.2146440000000001E-3</v>
      </c>
      <c r="X2809">
        <v>0.99491450000000003</v>
      </c>
      <c r="Y2809">
        <v>3.296843E-2</v>
      </c>
      <c r="Z2809">
        <v>-1.179563E-4</v>
      </c>
      <c r="AA2809">
        <v>0.99945640000000002</v>
      </c>
      <c r="AB2809">
        <v>42</v>
      </c>
      <c r="AC2809">
        <v>79.0351</v>
      </c>
      <c r="AD2809">
        <v>-1.10810261022</v>
      </c>
      <c r="AE2809">
        <v>-3.85259999999999</v>
      </c>
      <c r="AF2809">
        <v>2.6216884787552699</v>
      </c>
      <c r="AG2809">
        <v>-1.10810261022</v>
      </c>
      <c r="AH2809">
        <v>79.069976904637002</v>
      </c>
      <c r="AI2809">
        <v>90.802461137658099</v>
      </c>
      <c r="AJ2809">
        <v>88.100964718325699</v>
      </c>
      <c r="AK2809">
        <v>79.121187993951693</v>
      </c>
      <c r="AL2809">
        <v>90.413372236147595</v>
      </c>
      <c r="AM2809">
        <v>95.766063861824705</v>
      </c>
      <c r="AN2809">
        <v>1.0000000045328199</v>
      </c>
    </row>
    <row r="2810" spans="1:40" x14ac:dyDescent="0.25">
      <c r="A2810" t="str">
        <f>"20190305135846518"</f>
        <v>20190305135846518</v>
      </c>
      <c r="B2810" t="str">
        <f>"1551765526511370"</f>
        <v>1551765526511370</v>
      </c>
      <c r="C2810" t="s">
        <v>40</v>
      </c>
      <c r="D2810">
        <v>3.8382529999999999</v>
      </c>
      <c r="E2810">
        <v>0.54971020000000004</v>
      </c>
      <c r="F2810" t="s">
        <v>59</v>
      </c>
      <c r="G2810">
        <v>-363.726</v>
      </c>
      <c r="H2810" s="1">
        <v>4.4596959999999999E-7</v>
      </c>
      <c r="I2810">
        <v>211.24469999999999</v>
      </c>
      <c r="J2810">
        <v>-435.67790000000002</v>
      </c>
      <c r="K2810">
        <v>1.1082890000000001</v>
      </c>
      <c r="L2810">
        <v>214.6696</v>
      </c>
      <c r="M2810">
        <v>0.99988549999999998</v>
      </c>
      <c r="N2810">
        <v>-3.3343610000000001E-3</v>
      </c>
      <c r="O2810">
        <v>-1.4761649999999999E-2</v>
      </c>
      <c r="P2810">
        <v>0.9962432</v>
      </c>
      <c r="Q2810">
        <v>-1.1190749999999999E-2</v>
      </c>
      <c r="R2810">
        <v>8.5874480000000003E-2</v>
      </c>
      <c r="S2810">
        <v>3.0227970000000002</v>
      </c>
      <c r="T2810">
        <v>-4.628003E-2</v>
      </c>
      <c r="U2810">
        <v>-0.14329529999999999</v>
      </c>
      <c r="V2810">
        <v>-0.1005611</v>
      </c>
      <c r="W2810">
        <v>-8.000989E-3</v>
      </c>
      <c r="X2810">
        <v>0.99489870000000002</v>
      </c>
      <c r="Y2810">
        <v>3.2597790000000001E-2</v>
      </c>
      <c r="Z2810">
        <v>-1.2712450000000001E-4</v>
      </c>
      <c r="AA2810">
        <v>0.99946860000000004</v>
      </c>
      <c r="AB2810">
        <v>42</v>
      </c>
      <c r="AC2810">
        <v>71.951899999999995</v>
      </c>
      <c r="AD2810">
        <v>-1.1082885540303999</v>
      </c>
      <c r="AE2810">
        <v>-3.4249000000000001</v>
      </c>
      <c r="AF2810">
        <v>2.3618330752848</v>
      </c>
      <c r="AG2810">
        <v>-1.1082885540303999</v>
      </c>
      <c r="AH2810">
        <v>71.977578891832394</v>
      </c>
      <c r="AI2810">
        <v>90.881678565781201</v>
      </c>
      <c r="AJ2810">
        <v>88.120601830682304</v>
      </c>
      <c r="AK2810">
        <v>72.024845866717797</v>
      </c>
      <c r="AL2810">
        <v>90.458427798802902</v>
      </c>
      <c r="AM2810">
        <v>95.771667460474802</v>
      </c>
      <c r="AN2810">
        <v>0.99999998695993897</v>
      </c>
    </row>
    <row r="2811" spans="1:40" x14ac:dyDescent="0.25">
      <c r="A2811" t="str">
        <f>"20190305135846541"</f>
        <v>20190305135846541</v>
      </c>
      <c r="B2811" t="str">
        <f>"1551765526531866"</f>
        <v>1551765526531866</v>
      </c>
      <c r="C2811" t="s">
        <v>40</v>
      </c>
      <c r="D2811">
        <v>3.871766</v>
      </c>
      <c r="E2811">
        <v>0.54938120000000001</v>
      </c>
      <c r="F2811" t="s">
        <v>59</v>
      </c>
      <c r="G2811">
        <v>-367.13729999999998</v>
      </c>
      <c r="H2811" s="1">
        <v>2.261338E-6</v>
      </c>
      <c r="I2811">
        <v>211.53970000000001</v>
      </c>
      <c r="J2811">
        <v>-435.22210000000001</v>
      </c>
      <c r="K2811">
        <v>1.108517</v>
      </c>
      <c r="L2811">
        <v>214.66370000000001</v>
      </c>
      <c r="M2811">
        <v>0.99990179999999995</v>
      </c>
      <c r="N2811">
        <v>-3.3951960000000001E-3</v>
      </c>
      <c r="O2811">
        <v>-1.3602609999999999E-2</v>
      </c>
      <c r="P2811">
        <v>0.99612009999999995</v>
      </c>
      <c r="Q2811">
        <v>-1.198405E-2</v>
      </c>
      <c r="R2811">
        <v>8.7187680000000004E-2</v>
      </c>
      <c r="S2811">
        <v>3.022675</v>
      </c>
      <c r="T2811">
        <v>-4.8876049999999997E-2</v>
      </c>
      <c r="U2811">
        <v>-0.13803099999999999</v>
      </c>
      <c r="V2811">
        <v>-0.1007136</v>
      </c>
      <c r="W2811">
        <v>-8.7900949999999995E-3</v>
      </c>
      <c r="X2811">
        <v>0.9948766</v>
      </c>
      <c r="Y2811">
        <v>3.2020970000000003E-2</v>
      </c>
      <c r="Z2811">
        <v>-1.394876E-4</v>
      </c>
      <c r="AA2811">
        <v>0.99948720000000002</v>
      </c>
      <c r="AB2811">
        <v>43</v>
      </c>
      <c r="AC2811">
        <v>68.084800000000001</v>
      </c>
      <c r="AD2811">
        <v>-1.108514738662</v>
      </c>
      <c r="AE2811">
        <v>-3.1239999999999899</v>
      </c>
      <c r="AF2811">
        <v>2.1969935603418</v>
      </c>
      <c r="AG2811">
        <v>-1.108514738662</v>
      </c>
      <c r="AH2811">
        <v>68.102980487603006</v>
      </c>
      <c r="AI2811">
        <v>90.932038404433598</v>
      </c>
      <c r="AJ2811">
        <v>88.1522861737363</v>
      </c>
      <c r="AK2811">
        <v>68.147425020501402</v>
      </c>
      <c r="AL2811">
        <v>90.503641844919599</v>
      </c>
      <c r="AM2811">
        <v>95.780488451375106</v>
      </c>
      <c r="AN2811">
        <v>0.99999997211131397</v>
      </c>
    </row>
    <row r="2812" spans="1:40" x14ac:dyDescent="0.25">
      <c r="A2812" t="str">
        <f>"20190305135846564"</f>
        <v>20190305135846564</v>
      </c>
      <c r="B2812" t="str">
        <f>"1551765526551386"</f>
        <v>1551765526551386</v>
      </c>
      <c r="C2812" t="s">
        <v>40</v>
      </c>
      <c r="D2812">
        <v>3.857383</v>
      </c>
      <c r="E2812">
        <v>0.54911319999999997</v>
      </c>
      <c r="F2812" t="s">
        <v>59</v>
      </c>
      <c r="G2812">
        <v>-369.57740000000001</v>
      </c>
      <c r="H2812" s="1">
        <v>3.5598000000000002E-6</v>
      </c>
      <c r="I2812">
        <v>211.80969999999999</v>
      </c>
      <c r="J2812">
        <v>-434.7921</v>
      </c>
      <c r="K2812">
        <v>1.108743</v>
      </c>
      <c r="L2812">
        <v>214.65880000000001</v>
      </c>
      <c r="M2812">
        <v>0.99991909999999895</v>
      </c>
      <c r="N2812">
        <v>-3.4525889999999998E-3</v>
      </c>
      <c r="O2812">
        <v>-1.2249019999999999E-2</v>
      </c>
      <c r="P2812">
        <v>0.99600290000000002</v>
      </c>
      <c r="Q2812">
        <v>-1.138926E-2</v>
      </c>
      <c r="R2812">
        <v>8.8594060000000002E-2</v>
      </c>
      <c r="S2812">
        <v>3.022583</v>
      </c>
      <c r="T2812">
        <v>-5.1041009999999998E-2</v>
      </c>
      <c r="U2812">
        <v>-0.13140869999999999</v>
      </c>
      <c r="V2812">
        <v>-0.1007682</v>
      </c>
      <c r="W2812">
        <v>-8.1939730000000002E-3</v>
      </c>
      <c r="X2812">
        <v>0.99487619999999999</v>
      </c>
      <c r="Y2812">
        <v>3.1189560000000002E-2</v>
      </c>
      <c r="Z2812">
        <v>-1.5263000000000001E-4</v>
      </c>
      <c r="AA2812">
        <v>0.9995134</v>
      </c>
      <c r="AB2812">
        <v>43</v>
      </c>
      <c r="AC2812">
        <v>65.214699999999993</v>
      </c>
      <c r="AD2812">
        <v>-1.1087394401999999</v>
      </c>
      <c r="AE2812">
        <v>-2.8491000000000199</v>
      </c>
      <c r="AF2812">
        <v>2.04947412728679</v>
      </c>
      <c r="AG2812">
        <v>-1.1087394401999999</v>
      </c>
      <c r="AH2812">
        <v>65.225888878169002</v>
      </c>
      <c r="AI2812">
        <v>90.9733657446357</v>
      </c>
      <c r="AJ2812">
        <v>88.200291356372006</v>
      </c>
      <c r="AK2812">
        <v>65.267497479924302</v>
      </c>
      <c r="AL2812">
        <v>90.469485318291404</v>
      </c>
      <c r="AM2812">
        <v>95.783603306289507</v>
      </c>
      <c r="AN2812">
        <v>1.0000000123256001</v>
      </c>
    </row>
    <row r="2813" spans="1:40" x14ac:dyDescent="0.25">
      <c r="A2813" t="str">
        <f>"20190305135846584"</f>
        <v>20190305135846584</v>
      </c>
      <c r="B2813" t="str">
        <f>"1551765526571881"</f>
        <v>1551765526571881</v>
      </c>
      <c r="C2813" t="s">
        <v>40</v>
      </c>
      <c r="D2813">
        <v>3.881786</v>
      </c>
      <c r="E2813">
        <v>0.54887249999999999</v>
      </c>
      <c r="F2813" t="s">
        <v>59</v>
      </c>
      <c r="G2813">
        <v>-367.1284</v>
      </c>
      <c r="H2813" s="1">
        <v>2.2566199999999998E-6</v>
      </c>
      <c r="I2813">
        <v>211.8595</v>
      </c>
      <c r="J2813">
        <v>-434.39949999999999</v>
      </c>
      <c r="K2813">
        <v>1.1089450000000001</v>
      </c>
      <c r="L2813">
        <v>214.6549</v>
      </c>
      <c r="M2813">
        <v>0.99993540000000003</v>
      </c>
      <c r="N2813">
        <v>-3.5044020000000002E-3</v>
      </c>
      <c r="O2813">
        <v>-1.082644E-2</v>
      </c>
      <c r="P2813">
        <v>0.99597449999999998</v>
      </c>
      <c r="Q2813">
        <v>-1.005002E-2</v>
      </c>
      <c r="R2813">
        <v>8.9073940000000004E-2</v>
      </c>
      <c r="S2813">
        <v>3.022583</v>
      </c>
      <c r="T2813">
        <v>-4.9528240000000001E-2</v>
      </c>
      <c r="U2813">
        <v>-0.12504580000000001</v>
      </c>
      <c r="V2813">
        <v>-9.9832710000000005E-2</v>
      </c>
      <c r="W2813">
        <v>-6.8494100000000002E-3</v>
      </c>
      <c r="X2813">
        <v>0.99498059999999999</v>
      </c>
      <c r="Y2813">
        <v>3.0511400000000001E-2</v>
      </c>
      <c r="Z2813">
        <v>-1.63969E-4</v>
      </c>
      <c r="AA2813">
        <v>0.99953440000000005</v>
      </c>
      <c r="AB2813">
        <v>43</v>
      </c>
      <c r="AC2813">
        <v>67.271099999999905</v>
      </c>
      <c r="AD2813">
        <v>-1.1089427433800001</v>
      </c>
      <c r="AE2813">
        <v>-2.7953999999999999</v>
      </c>
      <c r="AF2813">
        <v>2.0663647184995901</v>
      </c>
      <c r="AG2813">
        <v>-1.1089427433800001</v>
      </c>
      <c r="AH2813">
        <v>67.279170518456596</v>
      </c>
      <c r="AI2813">
        <v>90.943858952772899</v>
      </c>
      <c r="AJ2813">
        <v>88.240811083281002</v>
      </c>
      <c r="AK2813">
        <v>67.320029729713596</v>
      </c>
      <c r="AL2813">
        <v>90.392445377539502</v>
      </c>
      <c r="AM2813">
        <v>95.729672462098904</v>
      </c>
      <c r="AN2813">
        <v>0.99999993938982401</v>
      </c>
    </row>
    <row r="2814" spans="1:40" x14ac:dyDescent="0.25">
      <c r="A2814" t="str">
        <f>"20190305135846607"</f>
        <v>20190305135846607</v>
      </c>
      <c r="B2814" t="str">
        <f>"1551765526601653"</f>
        <v>1551765526601653</v>
      </c>
      <c r="C2814" t="s">
        <v>40</v>
      </c>
      <c r="D2814">
        <v>3.8465099999999999</v>
      </c>
      <c r="E2814">
        <v>0.54846899999999998</v>
      </c>
      <c r="F2814" t="s">
        <v>59</v>
      </c>
      <c r="G2814">
        <v>-359.82029999999997</v>
      </c>
      <c r="H2814" s="1">
        <v>3.8186409999999998E-6</v>
      </c>
      <c r="I2814">
        <v>211.65190000000001</v>
      </c>
      <c r="J2814">
        <v>-433.95659999999998</v>
      </c>
      <c r="K2814">
        <v>1.1091719999999901</v>
      </c>
      <c r="L2814">
        <v>214.65119999999999</v>
      </c>
      <c r="M2814">
        <v>0.99995319999999999</v>
      </c>
      <c r="N2814">
        <v>-3.5615320000000001E-3</v>
      </c>
      <c r="O2814">
        <v>-9.016161E-3</v>
      </c>
      <c r="P2814">
        <v>0.99588529999999997</v>
      </c>
      <c r="Q2814">
        <v>-9.2332860000000003E-3</v>
      </c>
      <c r="R2814">
        <v>9.0151899999999993E-2</v>
      </c>
      <c r="S2814">
        <v>3.022583</v>
      </c>
      <c r="T2814">
        <v>-4.4943690000000001E-2</v>
      </c>
      <c r="U2814">
        <v>-0.1217041</v>
      </c>
      <c r="V2814">
        <v>-9.9107310000000004E-2</v>
      </c>
      <c r="W2814">
        <v>-6.0261890000000004E-3</v>
      </c>
      <c r="X2814">
        <v>0.99505849999999996</v>
      </c>
      <c r="Y2814">
        <v>3.121809E-2</v>
      </c>
      <c r="Z2814">
        <v>-1.857114E-4</v>
      </c>
      <c r="AA2814">
        <v>0.99951259999999997</v>
      </c>
      <c r="AB2814">
        <v>43</v>
      </c>
      <c r="AC2814">
        <v>74.136300000000006</v>
      </c>
      <c r="AD2814">
        <v>-1.10916818135899</v>
      </c>
      <c r="AE2814">
        <v>-2.9992999999999701</v>
      </c>
      <c r="AF2814">
        <v>2.3302284175549999</v>
      </c>
      <c r="AG2814">
        <v>-1.10916818135899</v>
      </c>
      <c r="AH2814">
        <v>74.143759886645597</v>
      </c>
      <c r="AI2814">
        <v>90.856640662510003</v>
      </c>
      <c r="AJ2814">
        <v>88.1998711573154</v>
      </c>
      <c r="AK2814">
        <v>74.188660512648894</v>
      </c>
      <c r="AL2814">
        <v>90.345277287391994</v>
      </c>
      <c r="AM2814">
        <v>95.687871388349805</v>
      </c>
      <c r="AN2814">
        <v>0.99999999613577395</v>
      </c>
    </row>
    <row r="2815" spans="1:40" x14ac:dyDescent="0.25">
      <c r="A2815" t="str">
        <f>"20190305135846629"</f>
        <v>20190305135846629</v>
      </c>
      <c r="B2815" t="str">
        <f>"1551765526621174"</f>
        <v>1551765526621174</v>
      </c>
      <c r="C2815" t="s">
        <v>40</v>
      </c>
      <c r="D2815">
        <v>3.8518349999999999</v>
      </c>
      <c r="E2815">
        <v>0.5482553</v>
      </c>
      <c r="F2815" t="s">
        <v>59</v>
      </c>
      <c r="G2815">
        <v>-355.30009999999999</v>
      </c>
      <c r="H2815" s="1">
        <v>1.413052E-6</v>
      </c>
      <c r="I2815">
        <v>211.65629999999999</v>
      </c>
      <c r="J2815">
        <v>-433.52019999999999</v>
      </c>
      <c r="K2815">
        <v>1.1093770000000001</v>
      </c>
      <c r="L2815">
        <v>214.64850000000001</v>
      </c>
      <c r="M2815">
        <v>0.99996870000000004</v>
      </c>
      <c r="N2815">
        <v>-3.6162550000000001E-3</v>
      </c>
      <c r="O2815">
        <v>-7.0500609999999998E-3</v>
      </c>
      <c r="P2815">
        <v>0.99580930000000001</v>
      </c>
      <c r="Q2815">
        <v>-9.1567409999999995E-3</v>
      </c>
      <c r="R2815">
        <v>9.0994989999999998E-2</v>
      </c>
      <c r="S2815">
        <v>3.0224000000000002</v>
      </c>
      <c r="T2815">
        <v>-4.2620180000000001E-2</v>
      </c>
      <c r="U2815">
        <v>-0.1150818</v>
      </c>
      <c r="V2815">
        <v>-9.7991320000000007E-2</v>
      </c>
      <c r="W2815">
        <v>-5.939845E-3</v>
      </c>
      <c r="X2815">
        <v>0.99516950000000004</v>
      </c>
      <c r="Y2815">
        <v>3.09993E-2</v>
      </c>
      <c r="Z2815">
        <v>-2.0066659999999999E-4</v>
      </c>
      <c r="AA2815">
        <v>0.99951939999999995</v>
      </c>
      <c r="AB2815">
        <v>43</v>
      </c>
      <c r="AC2815">
        <v>78.220100000000002</v>
      </c>
      <c r="AD2815">
        <v>-1.109375586948</v>
      </c>
      <c r="AE2815">
        <v>-2.99220000000002</v>
      </c>
      <c r="AF2815">
        <v>2.4401754801861202</v>
      </c>
      <c r="AG2815">
        <v>-1.109375586948</v>
      </c>
      <c r="AH2815">
        <v>78.223539689031796</v>
      </c>
      <c r="AI2815">
        <v>90.812126119782505</v>
      </c>
      <c r="AJ2815">
        <v>88.213243327844594</v>
      </c>
      <c r="AK2815">
        <v>78.269453377729405</v>
      </c>
      <c r="AL2815">
        <v>90.340330065308294</v>
      </c>
      <c r="AM2815">
        <v>95.623613215773105</v>
      </c>
      <c r="AN2815">
        <v>0.99999995714210699</v>
      </c>
    </row>
    <row r="2816" spans="1:40" x14ac:dyDescent="0.25">
      <c r="A2816" t="str">
        <f>"20190305135846652"</f>
        <v>20190305135846652</v>
      </c>
      <c r="B2816" t="str">
        <f>"1551765526641673"</f>
        <v>1551765526641673</v>
      </c>
      <c r="C2816" t="s">
        <v>40</v>
      </c>
      <c r="D2816">
        <v>3.8577710000000001</v>
      </c>
      <c r="E2816">
        <v>0.54808279999999998</v>
      </c>
      <c r="F2816" t="s">
        <v>59</v>
      </c>
      <c r="G2816">
        <v>-354.65280000000001</v>
      </c>
      <c r="H2816" s="1">
        <v>1.0644849999999999E-6</v>
      </c>
      <c r="I2816">
        <v>211.7499</v>
      </c>
      <c r="J2816">
        <v>-433.07960000000003</v>
      </c>
      <c r="K2816">
        <v>1.1095740000000001</v>
      </c>
      <c r="L2816">
        <v>214.64670000000001</v>
      </c>
      <c r="M2816">
        <v>0.99998120000000001</v>
      </c>
      <c r="N2816">
        <v>-3.6698619999999999E-3</v>
      </c>
      <c r="O2816">
        <v>-4.9196550000000002E-3</v>
      </c>
      <c r="P2816">
        <v>0.99565539999999997</v>
      </c>
      <c r="Q2816">
        <v>-9.4291510000000002E-3</v>
      </c>
      <c r="R2816">
        <v>9.2637380000000005E-2</v>
      </c>
      <c r="S2816">
        <v>3.0224000000000002</v>
      </c>
      <c r="T2816">
        <v>-4.2514089999999997E-2</v>
      </c>
      <c r="U2816">
        <v>-0.111084</v>
      </c>
      <c r="V2816">
        <v>-9.7508559999999994E-2</v>
      </c>
      <c r="W2816">
        <v>-6.2020929999999997E-3</v>
      </c>
      <c r="X2816">
        <v>0.99521539999999997</v>
      </c>
      <c r="Y2816">
        <v>3.1808259999999998E-2</v>
      </c>
      <c r="Z2816">
        <v>-2.308911E-4</v>
      </c>
      <c r="AA2816">
        <v>0.99949399999999999</v>
      </c>
      <c r="AB2816">
        <v>43</v>
      </c>
      <c r="AC2816">
        <v>78.4268</v>
      </c>
      <c r="AD2816">
        <v>-1.1095729355149999</v>
      </c>
      <c r="AE2816">
        <v>-2.89680000000001</v>
      </c>
      <c r="AF2816">
        <v>2.5104277515901998</v>
      </c>
      <c r="AG2816">
        <v>-1.1095729355149999</v>
      </c>
      <c r="AH2816">
        <v>78.424426009203799</v>
      </c>
      <c r="AI2816">
        <v>90.8101693287675</v>
      </c>
      <c r="AJ2816">
        <v>88.166542963798705</v>
      </c>
      <c r="AK2816">
        <v>78.472440987064203</v>
      </c>
      <c r="AL2816">
        <v>90.355356017464501</v>
      </c>
      <c r="AM2816">
        <v>95.595827986621103</v>
      </c>
      <c r="AN2816">
        <v>1.000000038814</v>
      </c>
    </row>
    <row r="2817" spans="1:40" x14ac:dyDescent="0.25">
      <c r="A2817" t="str">
        <f>"20190305135846676"</f>
        <v>20190305135846676</v>
      </c>
      <c r="B2817" t="str">
        <f>"1551765526671926"</f>
        <v>1551765526671926</v>
      </c>
      <c r="C2817" t="s">
        <v>40</v>
      </c>
      <c r="D2817">
        <v>4.0128459999999997</v>
      </c>
      <c r="E2817">
        <v>0.54796929999999999</v>
      </c>
      <c r="F2817" t="s">
        <v>59</v>
      </c>
      <c r="G2817">
        <v>-353.61020000000002</v>
      </c>
      <c r="H2817" s="1">
        <v>5.0328749999999999E-7</v>
      </c>
      <c r="I2817">
        <v>211.8965</v>
      </c>
      <c r="J2817">
        <v>-432.61660000000001</v>
      </c>
      <c r="K2817">
        <v>1.109756</v>
      </c>
      <c r="L2817">
        <v>214.64580000000001</v>
      </c>
      <c r="M2817">
        <v>0.99998989999999999</v>
      </c>
      <c r="N2817">
        <v>-3.7241280000000002E-3</v>
      </c>
      <c r="O2817">
        <v>-2.570564E-3</v>
      </c>
      <c r="P2817">
        <v>0.99543550000000003</v>
      </c>
      <c r="Q2817">
        <v>-9.1468020000000008E-3</v>
      </c>
      <c r="R2817">
        <v>9.4998410000000005E-2</v>
      </c>
      <c r="S2817">
        <v>3.0224000000000002</v>
      </c>
      <c r="T2817">
        <v>-4.2199609999999999E-2</v>
      </c>
      <c r="U2817">
        <v>-0.104599</v>
      </c>
      <c r="V2817">
        <v>-9.7530080000000005E-2</v>
      </c>
      <c r="W2817">
        <v>-5.9082249999999996E-3</v>
      </c>
      <c r="X2817">
        <v>0.99521510000000002</v>
      </c>
      <c r="Y2817">
        <v>3.2014250000000001E-2</v>
      </c>
      <c r="Z2817">
        <v>-2.5674470000000002E-4</v>
      </c>
      <c r="AA2817">
        <v>0.99948740000000003</v>
      </c>
      <c r="AB2817">
        <v>44</v>
      </c>
      <c r="AC2817">
        <v>79.0063999999999</v>
      </c>
      <c r="AD2817">
        <v>-1.1097554967125001</v>
      </c>
      <c r="AE2817">
        <v>-2.7492999999999999</v>
      </c>
      <c r="AF2817">
        <v>2.5456968666527402</v>
      </c>
      <c r="AG2817">
        <v>-1.1097554967125001</v>
      </c>
      <c r="AH2817">
        <v>78.997638776605001</v>
      </c>
      <c r="AI2817">
        <v>90.804418242319002</v>
      </c>
      <c r="AJ2817">
        <v>88.154283704120701</v>
      </c>
      <c r="AK2817">
        <v>79.046436112441697</v>
      </c>
      <c r="AL2817">
        <v>90.338518306258905</v>
      </c>
      <c r="AM2817">
        <v>95.597056813369093</v>
      </c>
      <c r="AN2817">
        <v>1.0000000594477301</v>
      </c>
    </row>
    <row r="2818" spans="1:40" x14ac:dyDescent="0.25">
      <c r="A2818" t="str">
        <f>"20190305135846696"</f>
        <v>20190305135846696</v>
      </c>
      <c r="B2818" t="str">
        <f>"1551765526691952"</f>
        <v>1551765526691952</v>
      </c>
      <c r="C2818" t="s">
        <v>40</v>
      </c>
      <c r="D2818">
        <v>3.841647</v>
      </c>
      <c r="E2818">
        <v>0.51432789999999995</v>
      </c>
      <c r="F2818" t="s">
        <v>59</v>
      </c>
      <c r="G2818">
        <v>-348.45339999999999</v>
      </c>
      <c r="H2818" s="1">
        <v>2.9617049999999999E-6</v>
      </c>
      <c r="I2818">
        <v>211.9589</v>
      </c>
      <c r="J2818">
        <v>-432.21230000000003</v>
      </c>
      <c r="K2818">
        <v>1.1098840000000001</v>
      </c>
      <c r="L2818">
        <v>214.64599999999999</v>
      </c>
      <c r="M2818">
        <v>0.99999289999999996</v>
      </c>
      <c r="N2818">
        <v>-3.769952E-3</v>
      </c>
      <c r="O2818">
        <v>-4.5262120000000002E-4</v>
      </c>
      <c r="P2818">
        <v>0.99525090000000005</v>
      </c>
      <c r="Q2818">
        <v>-8.9720659999999904E-3</v>
      </c>
      <c r="R2818">
        <v>9.6929070000000006E-2</v>
      </c>
      <c r="S2818">
        <v>3.0226139999999999</v>
      </c>
      <c r="T2818">
        <v>-3.9855359999999999E-2</v>
      </c>
      <c r="U2818">
        <v>-9.6496579999999998E-2</v>
      </c>
      <c r="V2818">
        <v>-9.7351279999999998E-2</v>
      </c>
      <c r="W2818">
        <v>-5.7191239999999999E-3</v>
      </c>
      <c r="X2818">
        <v>0.9952337</v>
      </c>
      <c r="Y2818">
        <v>3.145274E-2</v>
      </c>
      <c r="Z2818">
        <v>-2.623476E-4</v>
      </c>
      <c r="AA2818">
        <v>0.99950519999999998</v>
      </c>
      <c r="AB2818">
        <v>44</v>
      </c>
      <c r="AC2818">
        <v>83.758899999999997</v>
      </c>
      <c r="AD2818">
        <v>-1.109881038295</v>
      </c>
      <c r="AE2818">
        <v>-2.6870999999999801</v>
      </c>
      <c r="AF2818">
        <v>2.6487238038674898</v>
      </c>
      <c r="AG2818">
        <v>-1.109881038295</v>
      </c>
      <c r="AH2818">
        <v>83.745418227236499</v>
      </c>
      <c r="AI2818">
        <v>90.758919120099094</v>
      </c>
      <c r="AJ2818">
        <v>88.188436763433003</v>
      </c>
      <c r="AK2818">
        <v>83.794645698654904</v>
      </c>
      <c r="AL2818">
        <v>90.327683438051395</v>
      </c>
      <c r="AM2818">
        <v>95.586757061726402</v>
      </c>
      <c r="AN2818">
        <v>1.0000000488563201</v>
      </c>
    </row>
    <row r="2819" spans="1:40" x14ac:dyDescent="0.25">
      <c r="A2819" t="str">
        <f>"20190305135846720"</f>
        <v>20190305135846720</v>
      </c>
      <c r="B2819" t="str">
        <f>"1551765526711472"</f>
        <v>1551765526711472</v>
      </c>
      <c r="C2819" t="s">
        <v>40</v>
      </c>
      <c r="D2819">
        <v>3.826616</v>
      </c>
      <c r="E2819">
        <v>0.50590979999999997</v>
      </c>
      <c r="F2819" t="s">
        <v>73</v>
      </c>
      <c r="G2819">
        <v>-157.25</v>
      </c>
      <c r="H2819">
        <v>5.0528440000000003</v>
      </c>
      <c r="I2819">
        <v>231.09540000000001</v>
      </c>
      <c r="J2819">
        <v>-431.75850000000003</v>
      </c>
      <c r="K2819">
        <v>1.110009</v>
      </c>
      <c r="L2819">
        <v>214.6472</v>
      </c>
      <c r="M2819">
        <v>0.99999090000000002</v>
      </c>
      <c r="N2819">
        <v>-3.820071E-3</v>
      </c>
      <c r="O2819">
        <v>1.9708880000000001E-3</v>
      </c>
      <c r="P2819">
        <v>0.99504210000000004</v>
      </c>
      <c r="Q2819">
        <v>-8.8291889999999994E-3</v>
      </c>
      <c r="R2819">
        <v>9.9062319999999995E-2</v>
      </c>
      <c r="S2819">
        <v>2.997223</v>
      </c>
      <c r="T2819">
        <v>4.2980789999999998E-2</v>
      </c>
      <c r="U2819">
        <v>0.17930599999999999</v>
      </c>
      <c r="V2819">
        <v>-9.7072329999999998E-2</v>
      </c>
      <c r="W2819">
        <v>-5.5560969999999899E-3</v>
      </c>
      <c r="X2819">
        <v>0.99526179999999997</v>
      </c>
      <c r="Y2819">
        <v>-5.7745779999999997E-2</v>
      </c>
      <c r="Z2819">
        <v>-2.6749489999999999E-4</v>
      </c>
      <c r="AA2819">
        <v>0.99833130000000003</v>
      </c>
      <c r="AB2819">
        <v>44</v>
      </c>
      <c r="AC2819">
        <v>274.50850000000003</v>
      </c>
      <c r="AD2819">
        <v>3.9428350000000001</v>
      </c>
      <c r="AE2819">
        <v>16.4482</v>
      </c>
      <c r="AF2819">
        <v>-15.9038693937517</v>
      </c>
      <c r="AG2819">
        <v>3.9428350000000001</v>
      </c>
      <c r="AH2819">
        <v>274.483960337582</v>
      </c>
      <c r="AI2819">
        <v>89.178407020346796</v>
      </c>
      <c r="AJ2819">
        <v>93.316066024859694</v>
      </c>
      <c r="AK2819">
        <v>274.97258680118301</v>
      </c>
      <c r="AL2819">
        <v>90.318342553247803</v>
      </c>
      <c r="AM2819">
        <v>95.570693335084101</v>
      </c>
      <c r="AN2819">
        <v>0.99999997900237003</v>
      </c>
    </row>
    <row r="2820" spans="1:40" x14ac:dyDescent="0.25">
      <c r="A2820" t="str">
        <f>"20190305135846741"</f>
        <v>20190305135846741</v>
      </c>
      <c r="B2820" t="str">
        <f>"1551765526731968"</f>
        <v>1551765526731968</v>
      </c>
      <c r="C2820" t="s">
        <v>40</v>
      </c>
      <c r="D2820">
        <v>3.8006289999999998</v>
      </c>
      <c r="E2820">
        <v>0.50367519999999999</v>
      </c>
      <c r="F2820" t="s">
        <v>67</v>
      </c>
      <c r="G2820">
        <v>-256.82780000000002</v>
      </c>
      <c r="H2820">
        <v>4.4926550000000001</v>
      </c>
      <c r="I2820">
        <v>229.4427</v>
      </c>
      <c r="J2820">
        <v>-431.32119999999998</v>
      </c>
      <c r="K2820">
        <v>1.1101110000000001</v>
      </c>
      <c r="L2820">
        <v>214.64940000000001</v>
      </c>
      <c r="M2820">
        <v>0.99998310000000001</v>
      </c>
      <c r="N2820">
        <v>-3.8668790000000001E-3</v>
      </c>
      <c r="O2820">
        <v>4.3320679999999997E-3</v>
      </c>
      <c r="P2820">
        <v>0.99488290000000001</v>
      </c>
      <c r="Q2820">
        <v>-8.9776639999999998E-3</v>
      </c>
      <c r="R2820">
        <v>0.10063569999999999</v>
      </c>
      <c r="S2820">
        <v>2.990265</v>
      </c>
      <c r="T2820">
        <v>5.782342E-2</v>
      </c>
      <c r="U2820">
        <v>0.25291439999999998</v>
      </c>
      <c r="V2820">
        <v>-9.6293920000000005E-2</v>
      </c>
      <c r="W2820">
        <v>-5.6789839999999998E-3</v>
      </c>
      <c r="X2820">
        <v>0.99533680000000002</v>
      </c>
      <c r="Y2820">
        <v>-7.9950179999999996E-2</v>
      </c>
      <c r="Z2820">
        <v>-5.1636189999999999E-4</v>
      </c>
      <c r="AA2820">
        <v>0.99679879999999998</v>
      </c>
      <c r="AB2820">
        <v>44</v>
      </c>
      <c r="AC2820">
        <v>174.49339999999901</v>
      </c>
      <c r="AD2820">
        <v>3.3825440000000002</v>
      </c>
      <c r="AE2820">
        <v>14.793299999999901</v>
      </c>
      <c r="AF2820">
        <v>-14.032002969170501</v>
      </c>
      <c r="AG2820">
        <v>3.3825440000000002</v>
      </c>
      <c r="AH2820">
        <v>174.49074718541101</v>
      </c>
      <c r="AI2820">
        <v>88.893019682570298</v>
      </c>
      <c r="AJ2820">
        <v>94.597654528447706</v>
      </c>
      <c r="AK2820">
        <v>175.08672012623299</v>
      </c>
      <c r="AL2820">
        <v>90.325383545359301</v>
      </c>
      <c r="AM2820">
        <v>95.525886494551401</v>
      </c>
      <c r="AN2820">
        <v>1.00000005766123</v>
      </c>
    </row>
    <row r="2821" spans="1:40" x14ac:dyDescent="0.25">
      <c r="A2821" t="str">
        <f>"20190305135846763"</f>
        <v>20190305135846763</v>
      </c>
      <c r="B2821" t="str">
        <f>"1551765526751488"</f>
        <v>1551765526751488</v>
      </c>
      <c r="C2821" t="s">
        <v>40</v>
      </c>
      <c r="D2821">
        <v>3.7525499999999998</v>
      </c>
      <c r="E2821">
        <v>0.50261290000000003</v>
      </c>
      <c r="F2821" t="s">
        <v>67</v>
      </c>
      <c r="G2821">
        <v>-261.3999</v>
      </c>
      <c r="H2821">
        <v>4.6102869999999996</v>
      </c>
      <c r="I2821">
        <v>230.31469999999999</v>
      </c>
      <c r="J2821">
        <v>-430.89839999999998</v>
      </c>
      <c r="K2821">
        <v>1.110193</v>
      </c>
      <c r="L2821">
        <v>214.6525</v>
      </c>
      <c r="M2821">
        <v>0.99997040000000004</v>
      </c>
      <c r="N2821">
        <v>-3.9116759999999898E-3</v>
      </c>
      <c r="O2821">
        <v>6.6241260000000001E-3</v>
      </c>
      <c r="P2821">
        <v>0.99470329999999996</v>
      </c>
      <c r="Q2821">
        <v>-9.706948E-3</v>
      </c>
      <c r="R2821">
        <v>0.10232869999999999</v>
      </c>
      <c r="S2821">
        <v>2.988159</v>
      </c>
      <c r="T2821">
        <v>6.1552999999999997E-2</v>
      </c>
      <c r="U2821">
        <v>0.27548220000000001</v>
      </c>
      <c r="V2821">
        <v>-9.5701170000000002E-2</v>
      </c>
      <c r="W2821">
        <v>-6.3813359999999996E-3</v>
      </c>
      <c r="X2821">
        <v>0.99538959999999999</v>
      </c>
      <c r="Y2821">
        <v>-8.5191240000000001E-2</v>
      </c>
      <c r="Z2821">
        <v>-5.4649780000000001E-4</v>
      </c>
      <c r="AA2821">
        <v>0.99636449999999999</v>
      </c>
      <c r="AB2821">
        <v>44</v>
      </c>
      <c r="AC2821">
        <v>169.49849999999901</v>
      </c>
      <c r="AD2821">
        <v>3.5000939999999998</v>
      </c>
      <c r="AE2821">
        <v>15.662199999999901</v>
      </c>
      <c r="AF2821">
        <v>-14.532923823846399</v>
      </c>
      <c r="AG2821">
        <v>3.5000939999999998</v>
      </c>
      <c r="AH2821">
        <v>169.526854362938</v>
      </c>
      <c r="AI2821">
        <v>88.821546074902201</v>
      </c>
      <c r="AJ2821">
        <v>94.899780446797607</v>
      </c>
      <c r="AK2821">
        <v>170.18463762358601</v>
      </c>
      <c r="AL2821">
        <v>90.365626121848905</v>
      </c>
      <c r="AM2821">
        <v>95.491790237223</v>
      </c>
      <c r="AN2821">
        <v>0.99999994558833505</v>
      </c>
    </row>
    <row r="2822" spans="1:40" x14ac:dyDescent="0.25">
      <c r="A2822" t="str">
        <f>"20190305135846785"</f>
        <v>20190305135846785</v>
      </c>
      <c r="B2822" t="str">
        <f>"1551765526781275"</f>
        <v>1551765526781275</v>
      </c>
      <c r="C2822" t="s">
        <v>40</v>
      </c>
      <c r="D2822">
        <v>3.783156</v>
      </c>
      <c r="E2822">
        <v>0.50201459999999998</v>
      </c>
      <c r="F2822" t="s">
        <v>67</v>
      </c>
      <c r="G2822">
        <v>-274.99669999999998</v>
      </c>
      <c r="H2822">
        <v>4.3759199999999998</v>
      </c>
      <c r="I2822">
        <v>229.7398</v>
      </c>
      <c r="J2822">
        <v>-430.46559999999999</v>
      </c>
      <c r="K2822">
        <v>1.1102620000000001</v>
      </c>
      <c r="L2822">
        <v>214.6567</v>
      </c>
      <c r="M2822">
        <v>0.99995210000000001</v>
      </c>
      <c r="N2822">
        <v>-3.9571290000000002E-3</v>
      </c>
      <c r="O2822">
        <v>8.9681209999999904E-3</v>
      </c>
      <c r="P2822">
        <v>0.99447969999999997</v>
      </c>
      <c r="Q2822">
        <v>-1.2045800000000001E-2</v>
      </c>
      <c r="R2822">
        <v>0.1042375</v>
      </c>
      <c r="S2822">
        <v>2.9868160000000001</v>
      </c>
      <c r="T2822">
        <v>6.2566399999999994E-2</v>
      </c>
      <c r="U2822">
        <v>0.2890472</v>
      </c>
      <c r="V2822">
        <v>-9.5263319999999999E-2</v>
      </c>
      <c r="W2822">
        <v>-8.6905300000000001E-3</v>
      </c>
      <c r="X2822">
        <v>0.99541420000000003</v>
      </c>
      <c r="Y2822">
        <v>-8.7381379999999995E-2</v>
      </c>
      <c r="Z2822">
        <v>-5.1688609999999996E-4</v>
      </c>
      <c r="AA2822">
        <v>0.99617480000000003</v>
      </c>
      <c r="AB2822">
        <v>44</v>
      </c>
      <c r="AC2822">
        <v>155.46889999999999</v>
      </c>
      <c r="AD2822">
        <v>3.2656580000000002</v>
      </c>
      <c r="AE2822">
        <v>15.0831</v>
      </c>
      <c r="AF2822">
        <v>-13.682238235721901</v>
      </c>
      <c r="AG2822">
        <v>3.2656580000000002</v>
      </c>
      <c r="AH2822">
        <v>155.52993300884799</v>
      </c>
      <c r="AI2822">
        <v>88.801765034126007</v>
      </c>
      <c r="AJ2822">
        <v>95.027466624823703</v>
      </c>
      <c r="AK2822">
        <v>156.16474706875701</v>
      </c>
      <c r="AL2822">
        <v>90.497936944976999</v>
      </c>
      <c r="AM2822">
        <v>95.466682591726794</v>
      </c>
      <c r="AN2822">
        <v>1.00000002750537</v>
      </c>
    </row>
    <row r="2823" spans="1:40" x14ac:dyDescent="0.25">
      <c r="A2823" t="str">
        <f>"20190305135846808"</f>
        <v>20190305135846808</v>
      </c>
      <c r="B2823" t="str">
        <f>"1551765526801771"</f>
        <v>1551765526801771</v>
      </c>
      <c r="C2823" t="s">
        <v>40</v>
      </c>
      <c r="D2823">
        <v>3.7534689999999999</v>
      </c>
      <c r="E2823">
        <v>0.50184680000000004</v>
      </c>
      <c r="F2823" t="s">
        <v>67</v>
      </c>
      <c r="G2823">
        <v>-274.99669999999998</v>
      </c>
      <c r="H2823">
        <v>4.2017170000000004</v>
      </c>
      <c r="I2823">
        <v>230.26169999999999</v>
      </c>
      <c r="J2823">
        <v>-430.00940000000003</v>
      </c>
      <c r="K2823">
        <v>1.1103149999999999</v>
      </c>
      <c r="L2823">
        <v>214.66210000000001</v>
      </c>
      <c r="M2823">
        <v>0.9999268</v>
      </c>
      <c r="N2823">
        <v>-4.0045890000000002E-3</v>
      </c>
      <c r="O2823">
        <v>1.142087E-2</v>
      </c>
      <c r="P2823">
        <v>0.99421820000000005</v>
      </c>
      <c r="Q2823">
        <v>-1.4790050000000001E-2</v>
      </c>
      <c r="R2823">
        <v>0.1063566</v>
      </c>
      <c r="S2823">
        <v>2.9859619999999998</v>
      </c>
      <c r="T2823">
        <v>5.9375520000000001E-2</v>
      </c>
      <c r="U2823">
        <v>0.29971310000000001</v>
      </c>
      <c r="V2823">
        <v>-9.4925129999999996E-2</v>
      </c>
      <c r="W2823">
        <v>-1.140057E-2</v>
      </c>
      <c r="X2823">
        <v>0.9954191</v>
      </c>
      <c r="Y2823">
        <v>-8.8491280000000005E-2</v>
      </c>
      <c r="Z2823">
        <v>-4.2778599999999999E-4</v>
      </c>
      <c r="AA2823">
        <v>0.99607690000000004</v>
      </c>
      <c r="AB2823">
        <v>44</v>
      </c>
      <c r="AC2823">
        <v>155.0127</v>
      </c>
      <c r="AD2823">
        <v>3.0914019999999902</v>
      </c>
      <c r="AE2823">
        <v>15.599599999999899</v>
      </c>
      <c r="AF2823">
        <v>-13.8227460999292</v>
      </c>
      <c r="AG2823">
        <v>3.0914019999999902</v>
      </c>
      <c r="AH2823">
        <v>155.119676770989</v>
      </c>
      <c r="AI2823">
        <v>88.862800354698606</v>
      </c>
      <c r="AJ2823">
        <v>95.092188651926705</v>
      </c>
      <c r="AK2823">
        <v>155.765012751917</v>
      </c>
      <c r="AL2823">
        <v>90.653218715964499</v>
      </c>
      <c r="AM2823">
        <v>95.447365860125203</v>
      </c>
      <c r="AN2823">
        <v>0.99999996897332499</v>
      </c>
    </row>
    <row r="2824" spans="1:40" x14ac:dyDescent="0.25">
      <c r="A2824" t="str">
        <f>"20190305135846830"</f>
        <v>20190305135846830</v>
      </c>
      <c r="B2824" t="str">
        <f>"1551765526821291"</f>
        <v>1551765526821291</v>
      </c>
      <c r="C2824" t="s">
        <v>40</v>
      </c>
      <c r="D2824">
        <v>3.7795510000000001</v>
      </c>
      <c r="E2824">
        <v>0.50180159999999996</v>
      </c>
      <c r="F2824" t="s">
        <v>67</v>
      </c>
      <c r="G2824">
        <v>-274.99669999999998</v>
      </c>
      <c r="H2824">
        <v>3.7929140000000001</v>
      </c>
      <c r="I2824">
        <v>230.6345</v>
      </c>
      <c r="J2824">
        <v>-429.55650000000003</v>
      </c>
      <c r="K2824">
        <v>1.110357</v>
      </c>
      <c r="L2824">
        <v>214.6686</v>
      </c>
      <c r="M2824">
        <v>0.99989629999999996</v>
      </c>
      <c r="N2824">
        <v>-4.0510199999999998E-3</v>
      </c>
      <c r="O2824">
        <v>1.38227E-2</v>
      </c>
      <c r="P2824">
        <v>0.99396370000000001</v>
      </c>
      <c r="Q2824">
        <v>-1.574273E-2</v>
      </c>
      <c r="R2824">
        <v>0.1085749</v>
      </c>
      <c r="S2824">
        <v>2.9852910000000001</v>
      </c>
      <c r="T2824">
        <v>5.166304E-2</v>
      </c>
      <c r="U2824">
        <v>0.30760189999999998</v>
      </c>
      <c r="V2824">
        <v>-9.4748499999999999E-2</v>
      </c>
      <c r="W2824">
        <v>-1.231642E-2</v>
      </c>
      <c r="X2824">
        <v>0.995425</v>
      </c>
      <c r="Y2824">
        <v>-8.8729810000000006E-2</v>
      </c>
      <c r="Z2824">
        <v>-2.9110969999999998E-4</v>
      </c>
      <c r="AA2824">
        <v>0.99605569999999999</v>
      </c>
      <c r="AB2824">
        <v>45</v>
      </c>
      <c r="AC2824">
        <v>154.5598</v>
      </c>
      <c r="AD2824">
        <v>2.6825570000000001</v>
      </c>
      <c r="AE2824">
        <v>15.9659</v>
      </c>
      <c r="AF2824">
        <v>-13.82380319872</v>
      </c>
      <c r="AG2824">
        <v>2.6825570000000001</v>
      </c>
      <c r="AH2824">
        <v>154.71961224031301</v>
      </c>
      <c r="AI2824">
        <v>89.010635192208596</v>
      </c>
      <c r="AJ2824">
        <v>95.105674593374701</v>
      </c>
      <c r="AK2824">
        <v>155.35910677758201</v>
      </c>
      <c r="AL2824">
        <v>90.705696761361196</v>
      </c>
      <c r="AM2824">
        <v>95.437258552721204</v>
      </c>
      <c r="AN2824">
        <v>0.999999951539432</v>
      </c>
    </row>
    <row r="2825" spans="1:40" x14ac:dyDescent="0.25">
      <c r="A2825" t="str">
        <f>"20190305135846854"</f>
        <v>20190305135846854</v>
      </c>
      <c r="B2825" t="str">
        <f>"1551765526841787"</f>
        <v>1551765526841787</v>
      </c>
      <c r="C2825" t="s">
        <v>40</v>
      </c>
      <c r="D2825">
        <v>3.765574</v>
      </c>
      <c r="E2825">
        <v>0.50197460000000005</v>
      </c>
      <c r="F2825" t="s">
        <v>67</v>
      </c>
      <c r="G2825">
        <v>-274.99669999999998</v>
      </c>
      <c r="H2825">
        <v>3.7553640000000001</v>
      </c>
      <c r="I2825">
        <v>230.96889999999999</v>
      </c>
      <c r="J2825">
        <v>-429.0797</v>
      </c>
      <c r="K2825">
        <v>1.1103860000000001</v>
      </c>
      <c r="L2825">
        <v>214.6765</v>
      </c>
      <c r="M2825">
        <v>0.99985889999999999</v>
      </c>
      <c r="N2825">
        <v>-4.0991059999999999E-3</v>
      </c>
      <c r="O2825">
        <v>1.6296890000000001E-2</v>
      </c>
      <c r="P2825">
        <v>0.99366069999999995</v>
      </c>
      <c r="Q2825">
        <v>-1.4664419999999999E-2</v>
      </c>
      <c r="R2825">
        <v>0.1114605</v>
      </c>
      <c r="S2825">
        <v>2.98468</v>
      </c>
      <c r="T2825">
        <v>5.1077959999999999E-2</v>
      </c>
      <c r="U2825">
        <v>0.31477359999999999</v>
      </c>
      <c r="V2825">
        <v>-9.5181669999999996E-2</v>
      </c>
      <c r="W2825">
        <v>-1.119884E-2</v>
      </c>
      <c r="X2825">
        <v>0.99539690000000003</v>
      </c>
      <c r="Y2825">
        <v>-8.8654250000000004E-2</v>
      </c>
      <c r="Z2825">
        <v>-2.2955609999999999E-4</v>
      </c>
      <c r="AA2825">
        <v>0.99606249999999996</v>
      </c>
      <c r="AB2825">
        <v>45</v>
      </c>
      <c r="AC2825">
        <v>154.083</v>
      </c>
      <c r="AD2825">
        <v>2.6449780000000001</v>
      </c>
      <c r="AE2825">
        <v>16.292399999999901</v>
      </c>
      <c r="AF2825">
        <v>-13.775127524848701</v>
      </c>
      <c r="AG2825">
        <v>2.6449780000000001</v>
      </c>
      <c r="AH2825">
        <v>154.283094812337</v>
      </c>
      <c r="AI2825">
        <v>89.021727229520096</v>
      </c>
      <c r="AJ2825">
        <v>95.102110430714902</v>
      </c>
      <c r="AK2825">
        <v>154.91940934504899</v>
      </c>
      <c r="AL2825">
        <v>90.641659695232704</v>
      </c>
      <c r="AM2825">
        <v>95.462119812832697</v>
      </c>
      <c r="AN2825">
        <v>0.999999976425471</v>
      </c>
    </row>
    <row r="2826" spans="1:40" x14ac:dyDescent="0.25">
      <c r="A2826" t="str">
        <f>"20190305135846878"</f>
        <v>20190305135846878</v>
      </c>
      <c r="B2826" t="str">
        <f>"1551765526872043"</f>
        <v>1551765526872043</v>
      </c>
      <c r="C2826" t="s">
        <v>40</v>
      </c>
      <c r="D2826">
        <v>3.7562609999999999</v>
      </c>
      <c r="E2826">
        <v>0.50211969999999995</v>
      </c>
      <c r="F2826" t="s">
        <v>67</v>
      </c>
      <c r="G2826">
        <v>-274.99669999999998</v>
      </c>
      <c r="H2826">
        <v>4.0387789999999999</v>
      </c>
      <c r="I2826">
        <v>231.30690000000001</v>
      </c>
      <c r="J2826">
        <v>-428.60329999999999</v>
      </c>
      <c r="K2826">
        <v>1.11039</v>
      </c>
      <c r="L2826">
        <v>214.68559999999999</v>
      </c>
      <c r="M2826">
        <v>0.99981679999999995</v>
      </c>
      <c r="N2826">
        <v>-4.1464090000000002E-3</v>
      </c>
      <c r="O2826">
        <v>1.8691280000000001E-2</v>
      </c>
      <c r="P2826">
        <v>0.99338839999999995</v>
      </c>
      <c r="Q2826">
        <v>-1.434186E-2</v>
      </c>
      <c r="R2826">
        <v>0.1139038</v>
      </c>
      <c r="S2826">
        <v>2.9838559999999998</v>
      </c>
      <c r="T2826">
        <v>5.6709530000000001E-2</v>
      </c>
      <c r="U2826">
        <v>0.322052</v>
      </c>
      <c r="V2826">
        <v>-9.5248509999999995E-2</v>
      </c>
      <c r="W2826">
        <v>-1.082938E-2</v>
      </c>
      <c r="X2826">
        <v>0.99539460000000002</v>
      </c>
      <c r="Y2826">
        <v>-8.8698630000000001E-2</v>
      </c>
      <c r="Z2826">
        <v>-2.245631E-4</v>
      </c>
      <c r="AA2826">
        <v>0.99605849999999996</v>
      </c>
      <c r="AB2826">
        <v>45</v>
      </c>
      <c r="AC2826">
        <v>153.60659999999999</v>
      </c>
      <c r="AD2826">
        <v>2.9283890000000001</v>
      </c>
      <c r="AE2826">
        <v>16.621300000000002</v>
      </c>
      <c r="AF2826">
        <v>-13.7423311091394</v>
      </c>
      <c r="AG2826">
        <v>2.9283890000000001</v>
      </c>
      <c r="AH2826">
        <v>153.83517746645899</v>
      </c>
      <c r="AI2826">
        <v>88.913780176582407</v>
      </c>
      <c r="AJ2826">
        <v>95.104769283122906</v>
      </c>
      <c r="AK2826">
        <v>154.47552865287599</v>
      </c>
      <c r="AL2826">
        <v>90.620489908406896</v>
      </c>
      <c r="AM2826">
        <v>95.465944841851595</v>
      </c>
      <c r="AN2826">
        <v>0.99999998191878203</v>
      </c>
    </row>
    <row r="2827" spans="1:40" x14ac:dyDescent="0.25">
      <c r="A2827" t="str">
        <f>"20190305135846899"</f>
        <v>20190305135846899</v>
      </c>
      <c r="B2827" t="str">
        <f>"1551765526892070"</f>
        <v>1551765526892070</v>
      </c>
      <c r="C2827" t="s">
        <v>40</v>
      </c>
      <c r="D2827">
        <v>3.7735270000000001</v>
      </c>
      <c r="E2827">
        <v>0.5023358</v>
      </c>
      <c r="F2827" t="s">
        <v>67</v>
      </c>
      <c r="G2827">
        <v>-273.90989999999999</v>
      </c>
      <c r="H2827">
        <v>4.2251310000000002</v>
      </c>
      <c r="I2827">
        <v>231.72069999999999</v>
      </c>
      <c r="J2827">
        <v>-428.1848</v>
      </c>
      <c r="K2827">
        <v>1.110363</v>
      </c>
      <c r="L2827">
        <v>214.6944</v>
      </c>
      <c r="M2827">
        <v>0.99977700000000003</v>
      </c>
      <c r="N2827">
        <v>-4.1871349999999998E-3</v>
      </c>
      <c r="O2827">
        <v>2.0702760000000001E-2</v>
      </c>
      <c r="P2827">
        <v>0.99306499999999998</v>
      </c>
      <c r="Q2827">
        <v>-1.4121E-2</v>
      </c>
      <c r="R2827">
        <v>0.1167163</v>
      </c>
      <c r="S2827">
        <v>2.9831240000000001</v>
      </c>
      <c r="T2827">
        <v>6.0065510000000003E-2</v>
      </c>
      <c r="U2827">
        <v>0.32850649999999998</v>
      </c>
      <c r="V2827">
        <v>-9.6066079999999998E-2</v>
      </c>
      <c r="W2827">
        <v>-1.05676E-2</v>
      </c>
      <c r="X2827">
        <v>0.99531890000000001</v>
      </c>
      <c r="Y2827">
        <v>-8.8849940000000002E-2</v>
      </c>
      <c r="Z2827">
        <v>-2.032697E-4</v>
      </c>
      <c r="AA2827">
        <v>0.99604499999999996</v>
      </c>
      <c r="AB2827">
        <v>45</v>
      </c>
      <c r="AC2827">
        <v>154.2749</v>
      </c>
      <c r="AD2827">
        <v>3.1147680000000002</v>
      </c>
      <c r="AE2827">
        <v>17.0262999999999</v>
      </c>
      <c r="AF2827">
        <v>-13.823139989884901</v>
      </c>
      <c r="AG2827">
        <v>3.1147680000000002</v>
      </c>
      <c r="AH2827">
        <v>154.53209575405501</v>
      </c>
      <c r="AI2827">
        <v>88.849886507980003</v>
      </c>
      <c r="AJ2827">
        <v>95.111593307728697</v>
      </c>
      <c r="AK2827">
        <v>155.18037761590301</v>
      </c>
      <c r="AL2827">
        <v>90.605490125746002</v>
      </c>
      <c r="AM2827">
        <v>95.512990930465193</v>
      </c>
      <c r="AN2827">
        <v>1.0000000392967601</v>
      </c>
    </row>
    <row r="2828" spans="1:40" x14ac:dyDescent="0.25">
      <c r="A2828" t="str">
        <f>"20190305135846920"</f>
        <v>20190305135846920</v>
      </c>
      <c r="B2828" t="str">
        <f>"1551765526911590"</f>
        <v>1551765526911590</v>
      </c>
      <c r="C2828" t="s">
        <v>40</v>
      </c>
      <c r="D2828">
        <v>3.8237239999999999</v>
      </c>
      <c r="E2828">
        <v>0.50238039999999995</v>
      </c>
      <c r="F2828" t="s">
        <v>67</v>
      </c>
      <c r="G2828">
        <v>-273.90989999999999</v>
      </c>
      <c r="H2828">
        <v>4.3494120000000001</v>
      </c>
      <c r="I2828">
        <v>232.0361</v>
      </c>
      <c r="J2828">
        <v>-427.75069999999999</v>
      </c>
      <c r="K2828">
        <v>1.1103149999999999</v>
      </c>
      <c r="L2828">
        <v>214.70439999999999</v>
      </c>
      <c r="M2828">
        <v>0.99973389999999995</v>
      </c>
      <c r="N2828">
        <v>-4.22872E-3</v>
      </c>
      <c r="O2828">
        <v>2.2680550000000001E-2</v>
      </c>
      <c r="P2828">
        <v>0.99271889999999996</v>
      </c>
      <c r="Q2828">
        <v>-1.3885430000000001E-2</v>
      </c>
      <c r="R2828">
        <v>0.1196526</v>
      </c>
      <c r="S2828">
        <v>2.9824519999999999</v>
      </c>
      <c r="T2828">
        <v>6.2618019999999996E-2</v>
      </c>
      <c r="U2828">
        <v>0.33525090000000002</v>
      </c>
      <c r="V2828">
        <v>-9.7043519999999994E-2</v>
      </c>
      <c r="W2828">
        <v>-1.028545E-2</v>
      </c>
      <c r="X2828">
        <v>0.99522699999999997</v>
      </c>
      <c r="Y2828">
        <v>-8.9128429999999995E-2</v>
      </c>
      <c r="Z2828">
        <v>-1.7345549999999999E-4</v>
      </c>
      <c r="AA2828">
        <v>0.99602009999999996</v>
      </c>
      <c r="AB2828">
        <v>45</v>
      </c>
      <c r="AC2828">
        <v>153.8408</v>
      </c>
      <c r="AD2828">
        <v>3.2390970000000001</v>
      </c>
      <c r="AE2828">
        <v>17.331700000000001</v>
      </c>
      <c r="AF2828">
        <v>-13.83196173834</v>
      </c>
      <c r="AG2828">
        <v>3.2390970000000001</v>
      </c>
      <c r="AH2828">
        <v>154.12685254535799</v>
      </c>
      <c r="AI2828">
        <v>88.800879117384</v>
      </c>
      <c r="AJ2828">
        <v>95.128214907090396</v>
      </c>
      <c r="AK2828">
        <v>154.780171825867</v>
      </c>
      <c r="AL2828">
        <v>90.589323261556999</v>
      </c>
      <c r="AM2828">
        <v>95.569243917775395</v>
      </c>
      <c r="AN2828">
        <v>1.0000000083923399</v>
      </c>
    </row>
    <row r="2829" spans="1:40" x14ac:dyDescent="0.25">
      <c r="A2829" t="str">
        <f>"20190305135846943"</f>
        <v>20190305135846943</v>
      </c>
      <c r="B2829" t="str">
        <f>"1551765526932100"</f>
        <v>1551765526932100</v>
      </c>
      <c r="C2829" t="s">
        <v>40</v>
      </c>
      <c r="D2829">
        <v>3.7792840000000001</v>
      </c>
      <c r="E2829">
        <v>0.50252429999999904</v>
      </c>
      <c r="F2829" t="s">
        <v>67</v>
      </c>
      <c r="G2829">
        <v>-273.90989999999999</v>
      </c>
      <c r="H2829">
        <v>4.412922</v>
      </c>
      <c r="I2829">
        <v>232.452</v>
      </c>
      <c r="J2829">
        <v>-427.26920000000001</v>
      </c>
      <c r="K2829">
        <v>1.110247</v>
      </c>
      <c r="L2829">
        <v>214.7165</v>
      </c>
      <c r="M2829">
        <v>0.99968449999999998</v>
      </c>
      <c r="N2829">
        <v>-4.2748309999999998E-3</v>
      </c>
      <c r="O2829">
        <v>2.475517E-2</v>
      </c>
      <c r="P2829">
        <v>0.99238409999999999</v>
      </c>
      <c r="Q2829">
        <v>-1.4061840000000001E-2</v>
      </c>
      <c r="R2829">
        <v>0.1223775</v>
      </c>
      <c r="S2829">
        <v>2.9814449999999999</v>
      </c>
      <c r="T2829">
        <v>6.4005259999999994E-2</v>
      </c>
      <c r="U2829">
        <v>0.34394839999999999</v>
      </c>
      <c r="V2829">
        <v>-9.7711560000000003E-2</v>
      </c>
      <c r="W2829">
        <v>-1.0404160000000001E-2</v>
      </c>
      <c r="X2829">
        <v>0.99516039999999995</v>
      </c>
      <c r="Y2829">
        <v>-8.9967240000000004E-2</v>
      </c>
      <c r="Z2829">
        <v>-1.3454790000000001E-4</v>
      </c>
      <c r="AA2829">
        <v>0.99594470000000002</v>
      </c>
      <c r="AB2829">
        <v>45</v>
      </c>
      <c r="AC2829">
        <v>153.35929999999999</v>
      </c>
      <c r="AD2829">
        <v>3.3026749999999998</v>
      </c>
      <c r="AE2829">
        <v>17.735499999999998</v>
      </c>
      <c r="AF2829">
        <v>-13.927220969228101</v>
      </c>
      <c r="AG2829">
        <v>3.3026749999999998</v>
      </c>
      <c r="AH2829">
        <v>153.68101709490799</v>
      </c>
      <c r="AI2829">
        <v>88.773900111903799</v>
      </c>
      <c r="AJ2829">
        <v>95.178239884414893</v>
      </c>
      <c r="AK2829">
        <v>154.34613750077</v>
      </c>
      <c r="AL2829">
        <v>90.596125207321705</v>
      </c>
      <c r="AM2829">
        <v>95.607711526826094</v>
      </c>
      <c r="AN2829">
        <v>1.0000000086155401</v>
      </c>
    </row>
    <row r="2830" spans="1:40" x14ac:dyDescent="0.25">
      <c r="A2830" t="str">
        <f>"20190305135846965"</f>
        <v>20190305135846965</v>
      </c>
      <c r="B2830" t="str">
        <f>"1551765526951606"</f>
        <v>1551765526951606</v>
      </c>
      <c r="C2830" t="s">
        <v>40</v>
      </c>
      <c r="D2830">
        <v>3.7775829999999999</v>
      </c>
      <c r="E2830">
        <v>0.50263820000000003</v>
      </c>
      <c r="F2830" t="s">
        <v>67</v>
      </c>
      <c r="G2830">
        <v>-273.90989999999999</v>
      </c>
      <c r="H2830">
        <v>4.4814170000000004</v>
      </c>
      <c r="I2830">
        <v>232.79239999999999</v>
      </c>
      <c r="J2830">
        <v>-426.83769999999998</v>
      </c>
      <c r="K2830">
        <v>1.1101700000000001</v>
      </c>
      <c r="L2830">
        <v>214.72810000000001</v>
      </c>
      <c r="M2830">
        <v>0.99963930000000001</v>
      </c>
      <c r="N2830">
        <v>-4.3162920000000002E-3</v>
      </c>
      <c r="O2830">
        <v>2.6504989999999999E-2</v>
      </c>
      <c r="P2830">
        <v>0.99206039999999995</v>
      </c>
      <c r="Q2830">
        <v>-1.435908E-2</v>
      </c>
      <c r="R2830">
        <v>0.1249395</v>
      </c>
      <c r="S2830">
        <v>2.9806520000000001</v>
      </c>
      <c r="T2830">
        <v>6.5521720000000006E-2</v>
      </c>
      <c r="U2830">
        <v>0.35131839999999998</v>
      </c>
      <c r="V2830">
        <v>-9.8539340000000003E-2</v>
      </c>
      <c r="W2830">
        <v>-1.0648309999999999E-2</v>
      </c>
      <c r="X2830">
        <v>0.99507619999999997</v>
      </c>
      <c r="Y2830">
        <v>-9.0683559999999996E-2</v>
      </c>
      <c r="Z2830">
        <v>-1.024253E-4</v>
      </c>
      <c r="AA2830">
        <v>0.99587979999999998</v>
      </c>
      <c r="AB2830">
        <v>46</v>
      </c>
      <c r="AC2830">
        <v>152.92779999999999</v>
      </c>
      <c r="AD2830">
        <v>3.3712469999999901</v>
      </c>
      <c r="AE2830">
        <v>18.0642999999999</v>
      </c>
      <c r="AF2830">
        <v>-13.9978568185655</v>
      </c>
      <c r="AG2830">
        <v>3.3712469999999901</v>
      </c>
      <c r="AH2830">
        <v>153.27940719563</v>
      </c>
      <c r="AI2830">
        <v>88.745252023218598</v>
      </c>
      <c r="AJ2830">
        <v>95.217919790496595</v>
      </c>
      <c r="AK2830">
        <v>153.95415542326899</v>
      </c>
      <c r="AL2830">
        <v>90.610114742400597</v>
      </c>
      <c r="AM2830">
        <v>95.655386971079295</v>
      </c>
      <c r="AN2830">
        <v>1.00000001591996</v>
      </c>
    </row>
    <row r="2831" spans="1:40" x14ac:dyDescent="0.25">
      <c r="A2831" t="str">
        <f>"20190305135846987"</f>
        <v>20190305135846987</v>
      </c>
      <c r="B2831" t="str">
        <f>"1551765526981862"</f>
        <v>1551765526981862</v>
      </c>
      <c r="C2831" t="s">
        <v>40</v>
      </c>
      <c r="D2831">
        <v>3.7995079999999999</v>
      </c>
      <c r="E2831">
        <v>0.5029882</v>
      </c>
      <c r="F2831" t="s">
        <v>74</v>
      </c>
      <c r="G2831">
        <v>-277.67410000000001</v>
      </c>
      <c r="H2831">
        <v>4.4119729999999997</v>
      </c>
      <c r="I2831">
        <v>232.6585</v>
      </c>
      <c r="J2831">
        <v>-426.38279999999997</v>
      </c>
      <c r="K2831">
        <v>1.1100719999999999</v>
      </c>
      <c r="L2831">
        <v>214.74100000000001</v>
      </c>
      <c r="M2831">
        <v>0.99959240000000005</v>
      </c>
      <c r="N2831">
        <v>-4.360165E-3</v>
      </c>
      <c r="O2831">
        <v>2.8218030000000002E-2</v>
      </c>
      <c r="P2831">
        <v>0.99170270000000005</v>
      </c>
      <c r="Q2831">
        <v>-1.486328E-2</v>
      </c>
      <c r="R2831">
        <v>0.1276912</v>
      </c>
      <c r="S2831">
        <v>2.9798580000000001</v>
      </c>
      <c r="T2831">
        <v>6.5960409999999997E-2</v>
      </c>
      <c r="U2831">
        <v>0.35820010000000002</v>
      </c>
      <c r="V2831">
        <v>-9.9595009999999998E-2</v>
      </c>
      <c r="W2831">
        <v>-1.10936E-2</v>
      </c>
      <c r="X2831">
        <v>0.99496620000000002</v>
      </c>
      <c r="Y2831">
        <v>-9.1275910000000002E-2</v>
      </c>
      <c r="Z2831" s="1">
        <v>-6.2128299999999898E-5</v>
      </c>
      <c r="AA2831">
        <v>0.99582559999999998</v>
      </c>
      <c r="AB2831">
        <v>46</v>
      </c>
      <c r="AC2831">
        <v>148.708699999999</v>
      </c>
      <c r="AD2831">
        <v>3.301901</v>
      </c>
      <c r="AE2831">
        <v>17.9175</v>
      </c>
      <c r="AF2831">
        <v>-13.707397845022699</v>
      </c>
      <c r="AG2831">
        <v>3.301901</v>
      </c>
      <c r="AH2831">
        <v>149.082635776204</v>
      </c>
      <c r="AI2831">
        <v>88.7365408786237</v>
      </c>
      <c r="AJ2831">
        <v>95.253288162213593</v>
      </c>
      <c r="AK2831">
        <v>149.74788010478099</v>
      </c>
      <c r="AL2831">
        <v>90.635629506208403</v>
      </c>
      <c r="AM2831">
        <v>95.7162028375229</v>
      </c>
      <c r="AN2831">
        <v>0.99999998656014999</v>
      </c>
    </row>
    <row r="2832" spans="1:40" x14ac:dyDescent="0.25">
      <c r="A2832" t="str">
        <f>"20190305135847010"</f>
        <v>20190305135847010</v>
      </c>
      <c r="B2832" t="str">
        <f>"1551765527001383"</f>
        <v>1551765527001383</v>
      </c>
      <c r="C2832" t="s">
        <v>40</v>
      </c>
      <c r="D2832">
        <v>3.8067510000000002</v>
      </c>
      <c r="E2832">
        <v>0.50325569999999997</v>
      </c>
      <c r="F2832" t="s">
        <v>74</v>
      </c>
      <c r="G2832">
        <v>-277.30860000000001</v>
      </c>
      <c r="H2832">
        <v>4.4780410000000002</v>
      </c>
      <c r="I2832">
        <v>232.94970000000001</v>
      </c>
      <c r="J2832">
        <v>-425.92200000000003</v>
      </c>
      <c r="K2832">
        <v>1.1099570000000001</v>
      </c>
      <c r="L2832">
        <v>214.75470000000001</v>
      </c>
      <c r="M2832">
        <v>0.99954620000000005</v>
      </c>
      <c r="N2832">
        <v>-4.4045450000000002E-3</v>
      </c>
      <c r="O2832">
        <v>2.9800879999999998E-2</v>
      </c>
      <c r="P2832">
        <v>0.99143820000000005</v>
      </c>
      <c r="Q2832">
        <v>-1.537443E-2</v>
      </c>
      <c r="R2832">
        <v>0.12966859999999999</v>
      </c>
      <c r="S2832">
        <v>2.979279</v>
      </c>
      <c r="T2832">
        <v>6.7309499999999994E-2</v>
      </c>
      <c r="U2832">
        <v>0.36390689999999998</v>
      </c>
      <c r="V2832">
        <v>-0.10000390000000001</v>
      </c>
      <c r="W2832">
        <v>-1.153626E-2</v>
      </c>
      <c r="X2832">
        <v>0.99492009999999997</v>
      </c>
      <c r="Y2832">
        <v>-9.1601920000000003E-2</v>
      </c>
      <c r="Z2832" s="1">
        <v>-2.7147819999999999E-5</v>
      </c>
      <c r="AA2832">
        <v>0.99579569999999995</v>
      </c>
      <c r="AB2832">
        <v>46</v>
      </c>
      <c r="AC2832">
        <v>148.61339999999899</v>
      </c>
      <c r="AD2832">
        <v>3.3680840000000001</v>
      </c>
      <c r="AE2832">
        <v>18.195</v>
      </c>
      <c r="AF2832">
        <v>-13.7511071203566</v>
      </c>
      <c r="AG2832">
        <v>3.3680840000000001</v>
      </c>
      <c r="AH2832">
        <v>149.01421733487501</v>
      </c>
      <c r="AI2832">
        <v>88.710672650137496</v>
      </c>
      <c r="AJ2832">
        <v>95.272351355267105</v>
      </c>
      <c r="AK2832">
        <v>149.68524945629099</v>
      </c>
      <c r="AL2832">
        <v>90.660993714078501</v>
      </c>
      <c r="AM2832">
        <v>95.739778664444401</v>
      </c>
      <c r="AN2832">
        <v>0.99999993534700105</v>
      </c>
    </row>
    <row r="2833" spans="1:40" x14ac:dyDescent="0.25">
      <c r="A2833" t="str">
        <f>"20190305135847033"</f>
        <v>20190305135847033</v>
      </c>
      <c r="B2833" t="str">
        <f>"1551765527021879"</f>
        <v>1551765527021879</v>
      </c>
      <c r="C2833" t="s">
        <v>40</v>
      </c>
      <c r="D2833">
        <v>3.793879</v>
      </c>
      <c r="E2833">
        <v>0.50357229999999997</v>
      </c>
      <c r="F2833" t="s">
        <v>74</v>
      </c>
      <c r="G2833">
        <v>-277.06619999999998</v>
      </c>
      <c r="H2833">
        <v>4.4836589999999896</v>
      </c>
      <c r="I2833">
        <v>233.1369</v>
      </c>
      <c r="J2833">
        <v>-425.43900000000002</v>
      </c>
      <c r="K2833">
        <v>1.109828</v>
      </c>
      <c r="L2833">
        <v>214.76990000000001</v>
      </c>
      <c r="M2833">
        <v>0.99950059999999996</v>
      </c>
      <c r="N2833">
        <v>-4.4508849999999999E-3</v>
      </c>
      <c r="O2833">
        <v>3.1285460000000001E-2</v>
      </c>
      <c r="P2833">
        <v>0.9912128</v>
      </c>
      <c r="Q2833">
        <v>-1.528148E-2</v>
      </c>
      <c r="R2833">
        <v>0.13139229999999999</v>
      </c>
      <c r="S2833">
        <v>2.9788510000000001</v>
      </c>
      <c r="T2833">
        <v>6.7513229999999994E-2</v>
      </c>
      <c r="U2833">
        <v>0.36785889999999999</v>
      </c>
      <c r="V2833">
        <v>-0.1002608</v>
      </c>
      <c r="W2833">
        <v>-1.136565E-2</v>
      </c>
      <c r="X2833">
        <v>0.99489629999999996</v>
      </c>
      <c r="Y2833">
        <v>-9.1442109999999993E-2</v>
      </c>
      <c r="Z2833" s="1">
        <v>1.6758449999999999E-5</v>
      </c>
      <c r="AA2833">
        <v>0.99581039999999998</v>
      </c>
      <c r="AB2833">
        <v>46</v>
      </c>
      <c r="AC2833">
        <v>148.37280000000001</v>
      </c>
      <c r="AD2833">
        <v>3.3738309999999898</v>
      </c>
      <c r="AE2833">
        <v>18.366999999999901</v>
      </c>
      <c r="AF2833">
        <v>-13.7090704253017</v>
      </c>
      <c r="AG2833">
        <v>3.3738309999999898</v>
      </c>
      <c r="AH2833">
        <v>148.79901802079399</v>
      </c>
      <c r="AI2833">
        <v>88.706588556042107</v>
      </c>
      <c r="AJ2833">
        <v>95.263883604134904</v>
      </c>
      <c r="AK2833">
        <v>149.467284418681</v>
      </c>
      <c r="AL2833">
        <v>90.651217779929297</v>
      </c>
      <c r="AM2833">
        <v>95.754561486193097</v>
      </c>
      <c r="AN2833">
        <v>1.0000000268851199</v>
      </c>
    </row>
    <row r="2834" spans="1:40" x14ac:dyDescent="0.25">
      <c r="A2834" t="str">
        <f>"20190305135847055"</f>
        <v>20190305135847055</v>
      </c>
      <c r="B2834" t="str">
        <f>"1551765527052135"</f>
        <v>1551765527052135</v>
      </c>
      <c r="C2834" t="s">
        <v>40</v>
      </c>
      <c r="D2834">
        <v>3.8066849999999999</v>
      </c>
      <c r="E2834">
        <v>0.50411110000000003</v>
      </c>
      <c r="F2834" t="s">
        <v>74</v>
      </c>
      <c r="G2834">
        <v>-277.16640000000001</v>
      </c>
      <c r="H2834">
        <v>4.5503910000000003</v>
      </c>
      <c r="I2834">
        <v>233.21780000000001</v>
      </c>
      <c r="J2834">
        <v>-424.98469999999998</v>
      </c>
      <c r="K2834">
        <v>1.109685</v>
      </c>
      <c r="L2834">
        <v>214.78460000000001</v>
      </c>
      <c r="M2834">
        <v>0.9994615</v>
      </c>
      <c r="N2834">
        <v>-4.4943860000000004E-3</v>
      </c>
      <c r="O2834">
        <v>3.2507059999999997E-2</v>
      </c>
      <c r="P2834">
        <v>0.99106249999999996</v>
      </c>
      <c r="Q2834">
        <v>-1.449339E-2</v>
      </c>
      <c r="R2834">
        <v>0.13260939999999999</v>
      </c>
      <c r="S2834">
        <v>2.9785460000000001</v>
      </c>
      <c r="T2834">
        <v>6.9115040000000003E-2</v>
      </c>
      <c r="U2834">
        <v>0.37059019999999998</v>
      </c>
      <c r="V2834">
        <v>-0.1002736</v>
      </c>
      <c r="W2834">
        <v>-1.0498789999999999E-2</v>
      </c>
      <c r="X2834">
        <v>0.99490449999999997</v>
      </c>
      <c r="Y2834">
        <v>-9.1136800000000004E-2</v>
      </c>
      <c r="Z2834" s="1">
        <v>4.8867659999999997E-5</v>
      </c>
      <c r="AA2834">
        <v>0.99583840000000001</v>
      </c>
      <c r="AB2834">
        <v>46</v>
      </c>
      <c r="AC2834">
        <v>147.818299999999</v>
      </c>
      <c r="AD2834">
        <v>3.440706</v>
      </c>
      <c r="AE2834">
        <v>18.433199999999999</v>
      </c>
      <c r="AF2834">
        <v>-13.611010045195499</v>
      </c>
      <c r="AG2834">
        <v>3.440706</v>
      </c>
      <c r="AH2834">
        <v>148.260295093547</v>
      </c>
      <c r="AI2834">
        <v>88.676129316443493</v>
      </c>
      <c r="AJ2834">
        <v>95.245325742969001</v>
      </c>
      <c r="AK2834">
        <v>148.923514440986</v>
      </c>
      <c r="AL2834">
        <v>90.601547413167793</v>
      </c>
      <c r="AM2834">
        <v>95.755244105816999</v>
      </c>
      <c r="AN2834">
        <v>0.99999999178433696</v>
      </c>
    </row>
    <row r="2835" spans="1:40" x14ac:dyDescent="0.25">
      <c r="A2835" t="str">
        <f>"20190305135847076"</f>
        <v>20190305135847076</v>
      </c>
      <c r="B2835" t="str">
        <f>"1551765527071656"</f>
        <v>1551765527071656</v>
      </c>
      <c r="C2835" t="s">
        <v>40</v>
      </c>
      <c r="D2835">
        <v>3.7770709999999998</v>
      </c>
      <c r="E2835">
        <v>0.50445759999999995</v>
      </c>
      <c r="F2835" t="s">
        <v>74</v>
      </c>
      <c r="G2835">
        <v>-277.25009999999997</v>
      </c>
      <c r="H2835">
        <v>4.7824059999999999</v>
      </c>
      <c r="I2835">
        <v>233.1456</v>
      </c>
      <c r="J2835">
        <v>-424.54039999999998</v>
      </c>
      <c r="K2835">
        <v>1.109529</v>
      </c>
      <c r="L2835">
        <v>214.79949999999999</v>
      </c>
      <c r="M2835">
        <v>0.99942730000000002</v>
      </c>
      <c r="N2835">
        <v>-4.5369709999999999E-3</v>
      </c>
      <c r="O2835">
        <v>3.3533189999999997E-2</v>
      </c>
      <c r="P2835">
        <v>0.99088690000000001</v>
      </c>
      <c r="Q2835">
        <v>-1.42836E-2</v>
      </c>
      <c r="R2835">
        <v>0.1339379</v>
      </c>
      <c r="S2835">
        <v>2.9786069999999998</v>
      </c>
      <c r="T2835">
        <v>7.4048879999999997E-2</v>
      </c>
      <c r="U2835">
        <v>0.37019350000000001</v>
      </c>
      <c r="V2835">
        <v>-0.10059079999999999</v>
      </c>
      <c r="W2835">
        <v>-1.021007E-2</v>
      </c>
      <c r="X2835">
        <v>0.99487550000000002</v>
      </c>
      <c r="Y2835">
        <v>-8.9980290000000004E-2</v>
      </c>
      <c r="Z2835" s="1">
        <v>7.2322790000000004E-5</v>
      </c>
      <c r="AA2835">
        <v>0.99594349999999998</v>
      </c>
      <c r="AB2835">
        <v>46</v>
      </c>
      <c r="AC2835">
        <v>147.2903</v>
      </c>
      <c r="AD2835">
        <v>3.6728770000000002</v>
      </c>
      <c r="AE2835">
        <v>18.3461</v>
      </c>
      <c r="AF2835">
        <v>-13.388419545683099</v>
      </c>
      <c r="AG2835">
        <v>3.6728770000000002</v>
      </c>
      <c r="AH2835">
        <v>147.73221311165901</v>
      </c>
      <c r="AI2835">
        <v>88.581632036845406</v>
      </c>
      <c r="AJ2835">
        <v>95.178356920468701</v>
      </c>
      <c r="AK2835">
        <v>148.383107509773</v>
      </c>
      <c r="AL2835">
        <v>90.585004079434</v>
      </c>
      <c r="AM2835">
        <v>95.773494290082994</v>
      </c>
      <c r="AN2835">
        <v>1.00000000753714</v>
      </c>
    </row>
    <row r="2836" spans="1:40" x14ac:dyDescent="0.25">
      <c r="A2836" t="str">
        <f>"20190305135847100"</f>
        <v>20190305135847100</v>
      </c>
      <c r="B2836" t="str">
        <f>"1551765527092151"</f>
        <v>1551765527092151</v>
      </c>
      <c r="C2836" t="s">
        <v>40</v>
      </c>
      <c r="D2836">
        <v>3.7768549999999999</v>
      </c>
      <c r="E2836">
        <v>0.50461400000000001</v>
      </c>
      <c r="F2836" t="s">
        <v>74</v>
      </c>
      <c r="G2836">
        <v>-277.35120000000001</v>
      </c>
      <c r="H2836">
        <v>4.8789629999999997</v>
      </c>
      <c r="I2836">
        <v>233.16630000000001</v>
      </c>
      <c r="J2836">
        <v>-424.05110000000002</v>
      </c>
      <c r="K2836">
        <v>1.1093500000000001</v>
      </c>
      <c r="L2836">
        <v>214.81639999999999</v>
      </c>
      <c r="M2836">
        <v>0.99939540000000004</v>
      </c>
      <c r="N2836">
        <v>-4.5842419999999997E-3</v>
      </c>
      <c r="O2836">
        <v>3.4466940000000001E-2</v>
      </c>
      <c r="P2836">
        <v>0.9906682</v>
      </c>
      <c r="Q2836">
        <v>-1.482497E-2</v>
      </c>
      <c r="R2836">
        <v>0.1354882</v>
      </c>
      <c r="S2836">
        <v>2.978424</v>
      </c>
      <c r="T2836">
        <v>7.6275709999999997E-2</v>
      </c>
      <c r="U2836">
        <v>0.3716583</v>
      </c>
      <c r="V2836">
        <v>-0.1012213</v>
      </c>
      <c r="W2836">
        <v>-1.066249E-2</v>
      </c>
      <c r="X2836">
        <v>0.99480679999999999</v>
      </c>
      <c r="Y2836">
        <v>-8.9539439999999998E-2</v>
      </c>
      <c r="Z2836">
        <v>1.001427E-4</v>
      </c>
      <c r="AA2836">
        <v>0.99598330000000002</v>
      </c>
      <c r="AB2836">
        <v>46</v>
      </c>
      <c r="AC2836">
        <v>146.69990000000001</v>
      </c>
      <c r="AD2836">
        <v>3.7696130000000001</v>
      </c>
      <c r="AE2836">
        <v>18.349900000000002</v>
      </c>
      <c r="AF2836">
        <v>-13.274017904232799</v>
      </c>
      <c r="AG2836">
        <v>3.7696130000000001</v>
      </c>
      <c r="AH2836">
        <v>147.14954184367599</v>
      </c>
      <c r="AI2836">
        <v>88.538474469394004</v>
      </c>
      <c r="AJ2836">
        <v>95.154567578054298</v>
      </c>
      <c r="AK2836">
        <v>147.795118993475</v>
      </c>
      <c r="AL2836">
        <v>90.610927249463003</v>
      </c>
      <c r="AM2836">
        <v>95.809834065912696</v>
      </c>
      <c r="AN2836">
        <v>1.0000000047964599</v>
      </c>
    </row>
    <row r="2837" spans="1:40" x14ac:dyDescent="0.25">
      <c r="A2837" t="str">
        <f>"20190305135847122"</f>
        <v>20190305135847122</v>
      </c>
      <c r="B2837" t="str">
        <f>"1551765527111671"</f>
        <v>1551765527111671</v>
      </c>
      <c r="C2837" t="s">
        <v>40</v>
      </c>
      <c r="D2837">
        <v>3.6760139999999999</v>
      </c>
      <c r="E2837">
        <v>0.51309939999999998</v>
      </c>
      <c r="F2837" t="s">
        <v>74</v>
      </c>
      <c r="G2837">
        <v>-277.57940000000002</v>
      </c>
      <c r="H2837">
        <v>4.8042400000000001</v>
      </c>
      <c r="I2837">
        <v>233.27279999999999</v>
      </c>
      <c r="J2837">
        <v>-423.59039999999999</v>
      </c>
      <c r="K2837">
        <v>1.1091759999999999</v>
      </c>
      <c r="L2837">
        <v>214.83260000000001</v>
      </c>
      <c r="M2837">
        <v>0.99937089999999995</v>
      </c>
      <c r="N2837">
        <v>-4.6293000000000003E-3</v>
      </c>
      <c r="O2837">
        <v>3.5164130000000002E-2</v>
      </c>
      <c r="P2837">
        <v>0.99047419999999997</v>
      </c>
      <c r="Q2837">
        <v>-1.4742979999999999E-2</v>
      </c>
      <c r="R2837">
        <v>0.1369078</v>
      </c>
      <c r="S2837">
        <v>2.9780880000000001</v>
      </c>
      <c r="T2837">
        <v>7.51251E-2</v>
      </c>
      <c r="U2837">
        <v>0.37525940000000002</v>
      </c>
      <c r="V2837">
        <v>-0.1019576</v>
      </c>
      <c r="W2837">
        <v>-1.0495229999999999E-2</v>
      </c>
      <c r="X2837">
        <v>0.99473339999999999</v>
      </c>
      <c r="Y2837">
        <v>-9.0044750000000007E-2</v>
      </c>
      <c r="Z2837">
        <v>1.2321209999999999E-4</v>
      </c>
      <c r="AA2837">
        <v>0.99593770000000004</v>
      </c>
      <c r="AB2837">
        <v>47</v>
      </c>
      <c r="AC2837">
        <v>146.010999999999</v>
      </c>
      <c r="AD2837">
        <v>3.6950639999999999</v>
      </c>
      <c r="AE2837">
        <v>18.440199999999901</v>
      </c>
      <c r="AF2837">
        <v>-13.286015791692501</v>
      </c>
      <c r="AG2837">
        <v>3.6950639999999999</v>
      </c>
      <c r="AH2837">
        <v>146.47680254691599</v>
      </c>
      <c r="AI2837">
        <v>88.560852870589599</v>
      </c>
      <c r="AJ2837">
        <v>95.182767918452498</v>
      </c>
      <c r="AK2837">
        <v>147.124523441707</v>
      </c>
      <c r="AL2837">
        <v>90.601343412247303</v>
      </c>
      <c r="AM2837">
        <v>95.852232298677094</v>
      </c>
      <c r="AN2837">
        <v>1.0000000195630301</v>
      </c>
    </row>
    <row r="2838" spans="1:40" x14ac:dyDescent="0.25">
      <c r="A2838" t="str">
        <f>"20190305135847143"</f>
        <v>20190305135847143</v>
      </c>
      <c r="B2838" t="str">
        <f>"1551765527132167"</f>
        <v>1551765527132167</v>
      </c>
      <c r="C2838" t="s">
        <v>40</v>
      </c>
      <c r="D2838">
        <v>3.8547180000000001</v>
      </c>
      <c r="E2838">
        <v>0.51358040000000005</v>
      </c>
      <c r="F2838" t="s">
        <v>67</v>
      </c>
      <c r="G2838">
        <v>-274.99669999999998</v>
      </c>
      <c r="H2838">
        <v>6.2812479999999997</v>
      </c>
      <c r="I2838">
        <v>230.44149999999999</v>
      </c>
      <c r="J2838">
        <v>-423.13159999999999</v>
      </c>
      <c r="K2838">
        <v>1.1090139999999999</v>
      </c>
      <c r="L2838">
        <v>214.84889999999999</v>
      </c>
      <c r="M2838">
        <v>0.99935110000000005</v>
      </c>
      <c r="N2838">
        <v>-4.6742670000000002E-3</v>
      </c>
      <c r="O2838">
        <v>3.5716030000000003E-2</v>
      </c>
      <c r="P2838">
        <v>0.99031729999999996</v>
      </c>
      <c r="Q2838">
        <v>-1.416768E-2</v>
      </c>
      <c r="R2838">
        <v>0.13809939999999901</v>
      </c>
      <c r="S2838">
        <v>2.9870000000000001</v>
      </c>
      <c r="T2838">
        <v>0.10396850000000001</v>
      </c>
      <c r="U2838">
        <v>0.3137665</v>
      </c>
      <c r="V2838">
        <v>-0.10261099999999999</v>
      </c>
      <c r="W2838">
        <v>-9.8357949999999996E-3</v>
      </c>
      <c r="X2838">
        <v>0.99467300000000003</v>
      </c>
      <c r="Y2838">
        <v>-6.8873489999999996E-2</v>
      </c>
      <c r="Z2838">
        <v>3.7160379999999997E-4</v>
      </c>
      <c r="AA2838">
        <v>0.9976254</v>
      </c>
      <c r="AB2838">
        <v>47</v>
      </c>
      <c r="AC2838">
        <v>148.13489999999999</v>
      </c>
      <c r="AD2838">
        <v>5.1722339999999898</v>
      </c>
      <c r="AE2838">
        <v>15.592599999999999</v>
      </c>
      <c r="AF2838">
        <v>-10.2794089556978</v>
      </c>
      <c r="AG2838">
        <v>5.1722339999999898</v>
      </c>
      <c r="AH2838">
        <v>148.41834161689101</v>
      </c>
      <c r="AI2838">
        <v>88.008871911770797</v>
      </c>
      <c r="AJ2838">
        <v>93.961961201180003</v>
      </c>
      <c r="AK2838">
        <v>148.86377121831001</v>
      </c>
      <c r="AL2838">
        <v>90.563558589980602</v>
      </c>
      <c r="AM2838">
        <v>95.889828924704403</v>
      </c>
      <c r="AN2838">
        <v>1.0000000685566299</v>
      </c>
    </row>
    <row r="2839" spans="1:40" x14ac:dyDescent="0.25">
      <c r="A2839" t="str">
        <f>"20190305135847165"</f>
        <v>20190305135847165</v>
      </c>
      <c r="B2839" t="str">
        <f>"1551765527161446"</f>
        <v>1551765527161446</v>
      </c>
      <c r="C2839" t="s">
        <v>40</v>
      </c>
      <c r="D2839">
        <v>3.8811900000000001</v>
      </c>
      <c r="E2839">
        <v>0.51544000000000001</v>
      </c>
      <c r="F2839" t="s">
        <v>67</v>
      </c>
      <c r="G2839">
        <v>-274.99669999999998</v>
      </c>
      <c r="H2839">
        <v>2.1042489999999998</v>
      </c>
      <c r="I2839">
        <v>230.21129999999999</v>
      </c>
      <c r="J2839">
        <v>-422.6934</v>
      </c>
      <c r="K2839">
        <v>1.1088639999999901</v>
      </c>
      <c r="L2839">
        <v>214.8647</v>
      </c>
      <c r="M2839">
        <v>0.99933629999999996</v>
      </c>
      <c r="N2839">
        <v>-4.7173379999999997E-3</v>
      </c>
      <c r="O2839">
        <v>3.6121010000000002E-2</v>
      </c>
      <c r="P2839">
        <v>0.9902242</v>
      </c>
      <c r="Q2839">
        <v>-1.3319599999999999E-2</v>
      </c>
      <c r="R2839">
        <v>0.138847</v>
      </c>
      <c r="S2839">
        <v>2.9864199999999999</v>
      </c>
      <c r="T2839">
        <v>2.006459E-2</v>
      </c>
      <c r="U2839">
        <v>0.30970760000000003</v>
      </c>
      <c r="V2839">
        <v>-0.10296420000000001</v>
      </c>
      <c r="W2839">
        <v>-8.9075140000000001E-3</v>
      </c>
      <c r="X2839">
        <v>0.99464520000000001</v>
      </c>
      <c r="Y2839">
        <v>-6.7157980000000006E-2</v>
      </c>
      <c r="Z2839">
        <v>3.4575369999999999E-4</v>
      </c>
      <c r="AA2839">
        <v>0.99774229999999997</v>
      </c>
      <c r="AB2839">
        <v>47</v>
      </c>
      <c r="AC2839">
        <v>147.69669999999999</v>
      </c>
      <c r="AD2839">
        <v>0.99538499999999996</v>
      </c>
      <c r="AE2839">
        <v>15.346599999999899</v>
      </c>
      <c r="AF2839">
        <v>-10.0011222704139</v>
      </c>
      <c r="AG2839">
        <v>0.99538499999999996</v>
      </c>
      <c r="AH2839">
        <v>148.14799838924199</v>
      </c>
      <c r="AI2839">
        <v>89.615917891017403</v>
      </c>
      <c r="AJ2839">
        <v>93.862043367243501</v>
      </c>
      <c r="AK2839">
        <v>148.488527047395</v>
      </c>
      <c r="AL2839">
        <v>90.510369696146</v>
      </c>
      <c r="AM2839">
        <v>95.910123218715398</v>
      </c>
      <c r="AN2839">
        <v>1.0000000220851599</v>
      </c>
    </row>
    <row r="2840" spans="1:40" x14ac:dyDescent="0.25">
      <c r="A2840" t="str">
        <f>"20190305135847187"</f>
        <v>20190305135847187</v>
      </c>
      <c r="B2840" t="str">
        <f>"1551765527181943"</f>
        <v>1551765527181943</v>
      </c>
      <c r="C2840" t="s">
        <v>40</v>
      </c>
      <c r="D2840">
        <v>3.9043670000000001</v>
      </c>
      <c r="E2840">
        <v>0.51652589999999998</v>
      </c>
      <c r="F2840" t="s">
        <v>67</v>
      </c>
      <c r="G2840">
        <v>-274.99669999999998</v>
      </c>
      <c r="H2840">
        <v>0.69305090000000003</v>
      </c>
      <c r="I2840">
        <v>229.49340000000001</v>
      </c>
      <c r="J2840">
        <v>-422.22820000000002</v>
      </c>
      <c r="K2840">
        <v>1.108717</v>
      </c>
      <c r="L2840">
        <v>214.8817</v>
      </c>
      <c r="M2840">
        <v>0.99932449999999995</v>
      </c>
      <c r="N2840">
        <v>-4.7850619999999996E-3</v>
      </c>
      <c r="O2840">
        <v>3.6436570000000001E-2</v>
      </c>
      <c r="P2840">
        <v>0.99015310000000001</v>
      </c>
      <c r="Q2840">
        <v>-1.313248E-2</v>
      </c>
      <c r="R2840">
        <v>0.13937189999999999</v>
      </c>
      <c r="S2840">
        <v>2.9879760000000002</v>
      </c>
      <c r="T2840">
        <v>-8.4116460000000001E-3</v>
      </c>
      <c r="U2840">
        <v>0.29594419999999999</v>
      </c>
      <c r="V2840">
        <v>-0.1031812</v>
      </c>
      <c r="W2840">
        <v>-8.6150389999999997E-3</v>
      </c>
      <c r="X2840">
        <v>0.99462530000000005</v>
      </c>
      <c r="Y2840">
        <v>-6.2237149999999998E-2</v>
      </c>
      <c r="Z2840">
        <v>3.0843249999999998E-4</v>
      </c>
      <c r="AA2840">
        <v>0.99806139999999999</v>
      </c>
      <c r="AB2840">
        <v>47</v>
      </c>
      <c r="AC2840">
        <v>147.23150000000001</v>
      </c>
      <c r="AD2840">
        <v>-0.41566609999999898</v>
      </c>
      <c r="AE2840">
        <v>14.611700000000001</v>
      </c>
      <c r="AF2840">
        <v>-9.2372518935476595</v>
      </c>
      <c r="AG2840">
        <v>-0.41566609999999898</v>
      </c>
      <c r="AH2840">
        <v>147.66497212972601</v>
      </c>
      <c r="AI2840">
        <v>90.160968363671401</v>
      </c>
      <c r="AJ2840">
        <v>93.579500256047893</v>
      </c>
      <c r="AK2840">
        <v>147.95419424580101</v>
      </c>
      <c r="AL2840">
        <v>90.493611464681095</v>
      </c>
      <c r="AM2840">
        <v>95.9226081820172</v>
      </c>
      <c r="AN2840">
        <v>1.0000000331652501</v>
      </c>
    </row>
    <row r="2841" spans="1:40" x14ac:dyDescent="0.25">
      <c r="A2841" t="str">
        <f>"20190305135847210"</f>
        <v>20190305135847210</v>
      </c>
      <c r="B2841" t="str">
        <f>"1551765527201463"</f>
        <v>1551765527201463</v>
      </c>
      <c r="C2841" t="s">
        <v>40</v>
      </c>
      <c r="D2841">
        <v>3.9221339999999998</v>
      </c>
      <c r="E2841">
        <v>0.51723770000000002</v>
      </c>
      <c r="F2841" t="s">
        <v>67</v>
      </c>
      <c r="G2841">
        <v>-262.38200000000001</v>
      </c>
      <c r="H2841">
        <v>0.16069439999999999</v>
      </c>
      <c r="I2841">
        <v>230.31319999999999</v>
      </c>
      <c r="J2841">
        <v>-421.73599999999999</v>
      </c>
      <c r="K2841">
        <v>1.1086039999999999</v>
      </c>
      <c r="L2841">
        <v>214.8997</v>
      </c>
      <c r="M2841">
        <v>0.99931510000000001</v>
      </c>
      <c r="N2841">
        <v>-4.9612930000000003E-3</v>
      </c>
      <c r="O2841">
        <v>3.6670950000000001E-2</v>
      </c>
      <c r="P2841">
        <v>0.99009999999999998</v>
      </c>
      <c r="Q2841">
        <v>-1.3518519999999999E-2</v>
      </c>
      <c r="R2841">
        <v>0.13971259999999999</v>
      </c>
      <c r="S2841">
        <v>2.9890140000000001</v>
      </c>
      <c r="T2841">
        <v>-1.77269E-2</v>
      </c>
      <c r="U2841">
        <v>0.28855900000000001</v>
      </c>
      <c r="V2841">
        <v>-0.1032935</v>
      </c>
      <c r="W2841">
        <v>-8.788667E-3</v>
      </c>
      <c r="X2841">
        <v>0.9946121</v>
      </c>
      <c r="Y2841">
        <v>-5.9524880000000002E-2</v>
      </c>
      <c r="Z2841">
        <v>2.8888669999999999E-4</v>
      </c>
      <c r="AA2841">
        <v>0.99822679999999997</v>
      </c>
      <c r="AB2841">
        <v>47</v>
      </c>
      <c r="AC2841">
        <v>159.35399999999899</v>
      </c>
      <c r="AD2841">
        <v>-0.94790960000000002</v>
      </c>
      <c r="AE2841">
        <v>15.413500000000001</v>
      </c>
      <c r="AF2841">
        <v>-9.5590630731340092</v>
      </c>
      <c r="AG2841">
        <v>-0.94790960000000002</v>
      </c>
      <c r="AH2841">
        <v>159.80644743153201</v>
      </c>
      <c r="AI2841">
        <v>90.339245903854206</v>
      </c>
      <c r="AJ2841">
        <v>93.423154439693704</v>
      </c>
      <c r="AK2841">
        <v>160.09489329810901</v>
      </c>
      <c r="AL2841">
        <v>90.503560004989694</v>
      </c>
      <c r="AM2841">
        <v>95.929086442262502</v>
      </c>
      <c r="AN2841">
        <v>1.00000000863814</v>
      </c>
    </row>
    <row r="2842" spans="1:40" x14ac:dyDescent="0.25">
      <c r="A2842" t="str">
        <f>"20190305135847232"</f>
        <v>20190305135847232</v>
      </c>
      <c r="B2842" t="str">
        <f>"1551765527221958"</f>
        <v>1551765527221958</v>
      </c>
      <c r="C2842" t="s">
        <v>40</v>
      </c>
      <c r="D2842">
        <v>3.9196629999999999</v>
      </c>
      <c r="E2842">
        <v>0.51772669999999998</v>
      </c>
      <c r="F2842" t="s">
        <v>61</v>
      </c>
      <c r="G2842">
        <v>-311.97250000000003</v>
      </c>
      <c r="H2842">
        <v>7.9999280000000006E-2</v>
      </c>
      <c r="I2842">
        <v>225.3014</v>
      </c>
      <c r="J2842">
        <v>-421.26280000000003</v>
      </c>
      <c r="K2842">
        <v>1.108555</v>
      </c>
      <c r="L2842">
        <v>214.9171</v>
      </c>
      <c r="M2842">
        <v>0.99930799999999997</v>
      </c>
      <c r="N2842">
        <v>-5.3093699999999999E-3</v>
      </c>
      <c r="O2842">
        <v>3.6817559999999999E-2</v>
      </c>
      <c r="P2842">
        <v>0.99010790000000004</v>
      </c>
      <c r="Q2842">
        <v>-1.3129099999999999E-2</v>
      </c>
      <c r="R2842">
        <v>0.13969309999999999</v>
      </c>
      <c r="S2842">
        <v>2.9896240000000001</v>
      </c>
      <c r="T2842">
        <v>-2.801609E-2</v>
      </c>
      <c r="U2842">
        <v>0.2833099</v>
      </c>
      <c r="V2842">
        <v>-0.1031315</v>
      </c>
      <c r="W2842">
        <v>-8.0196409999999992E-3</v>
      </c>
      <c r="X2842">
        <v>0.99463539999999995</v>
      </c>
      <c r="Y2842">
        <v>-5.7620270000000001E-2</v>
      </c>
      <c r="Z2842">
        <v>2.738099E-4</v>
      </c>
      <c r="AA2842">
        <v>0.99833850000000002</v>
      </c>
      <c r="AB2842">
        <v>47</v>
      </c>
      <c r="AC2842">
        <v>109.2903</v>
      </c>
      <c r="AD2842">
        <v>-1.02855572</v>
      </c>
      <c r="AE2842">
        <v>10.3842999999999</v>
      </c>
      <c r="AF2842">
        <v>-6.3528431537727998</v>
      </c>
      <c r="AG2842">
        <v>-1.02855572</v>
      </c>
      <c r="AH2842">
        <v>109.588909882629</v>
      </c>
      <c r="AI2842">
        <v>90.536837248451604</v>
      </c>
      <c r="AJ2842">
        <v>93.3177097139002</v>
      </c>
      <c r="AK2842">
        <v>109.777710452844</v>
      </c>
      <c r="AL2842">
        <v>90.459496508022497</v>
      </c>
      <c r="AM2842">
        <v>95.919715976875594</v>
      </c>
      <c r="AN2842">
        <v>0.99999999993358901</v>
      </c>
    </row>
    <row r="2843" spans="1:40" x14ac:dyDescent="0.25">
      <c r="A2843" t="str">
        <f>"20190305135847254"</f>
        <v>20190305135847254</v>
      </c>
      <c r="B2843" t="str">
        <f>"1551765527241479"</f>
        <v>1551765527241479</v>
      </c>
      <c r="C2843" t="s">
        <v>40</v>
      </c>
      <c r="D2843">
        <v>3.9414739999999999</v>
      </c>
      <c r="E2843">
        <v>0.51845949999999996</v>
      </c>
      <c r="F2843" t="s">
        <v>59</v>
      </c>
      <c r="G2843">
        <v>-330.69479999999999</v>
      </c>
      <c r="H2843">
        <v>7.9999840000000003E-2</v>
      </c>
      <c r="I2843">
        <v>223.37389999999999</v>
      </c>
      <c r="J2843">
        <v>-420.81619999999998</v>
      </c>
      <c r="K2843">
        <v>1.1085560000000001</v>
      </c>
      <c r="L2843">
        <v>214.93360000000001</v>
      </c>
      <c r="M2843">
        <v>0.99930269999999999</v>
      </c>
      <c r="N2843">
        <v>-5.8267129999999999E-3</v>
      </c>
      <c r="O2843">
        <v>3.6883880000000001E-2</v>
      </c>
      <c r="P2843">
        <v>0.99019650000000003</v>
      </c>
      <c r="Q2843">
        <v>-1.242768E-2</v>
      </c>
      <c r="R2843">
        <v>0.13912859999999999</v>
      </c>
      <c r="S2843">
        <v>2.9901430000000002</v>
      </c>
      <c r="T2843">
        <v>-3.3958200000000001E-2</v>
      </c>
      <c r="U2843">
        <v>0.27920529999999999</v>
      </c>
      <c r="V2843">
        <v>-0.1025021</v>
      </c>
      <c r="W2843">
        <v>-6.7726540000000003E-3</v>
      </c>
      <c r="X2843">
        <v>0.99470970000000003</v>
      </c>
      <c r="Y2843">
        <v>-5.6177930000000001E-2</v>
      </c>
      <c r="Z2843">
        <v>2.7919289999999997E-4</v>
      </c>
      <c r="AA2843">
        <v>0.99842070000000005</v>
      </c>
      <c r="AB2843">
        <v>47</v>
      </c>
      <c r="AC2843">
        <v>90.121399999999994</v>
      </c>
      <c r="AD2843">
        <v>-1.0285561599999999</v>
      </c>
      <c r="AE2843">
        <v>8.4402999999999793</v>
      </c>
      <c r="AF2843">
        <v>-5.10981397014337</v>
      </c>
      <c r="AG2843">
        <v>-1.0285561599999999</v>
      </c>
      <c r="AH2843">
        <v>90.3597241996317</v>
      </c>
      <c r="AI2843">
        <v>90.651124067992797</v>
      </c>
      <c r="AJ2843">
        <v>93.236611155580903</v>
      </c>
      <c r="AK2843">
        <v>90.509932515814199</v>
      </c>
      <c r="AL2843">
        <v>90.388047469186105</v>
      </c>
      <c r="AM2843">
        <v>95.883406428642502</v>
      </c>
      <c r="AN2843">
        <v>0.99999996831035098</v>
      </c>
    </row>
    <row r="2844" spans="1:40" x14ac:dyDescent="0.25">
      <c r="A2844" t="str">
        <f>"20190305135847278"</f>
        <v>20190305135847278</v>
      </c>
      <c r="B2844" t="str">
        <f>"1551765527271736"</f>
        <v>1551765527271736</v>
      </c>
      <c r="C2844" t="s">
        <v>40</v>
      </c>
      <c r="D2844">
        <v>3.940248</v>
      </c>
      <c r="E2844">
        <v>0.51942730000000004</v>
      </c>
      <c r="F2844" t="s">
        <v>59</v>
      </c>
      <c r="G2844">
        <v>-336.43689999999998</v>
      </c>
      <c r="H2844">
        <v>8.0000089999999996E-2</v>
      </c>
      <c r="I2844">
        <v>222.5909</v>
      </c>
      <c r="J2844">
        <v>-420.30709999999999</v>
      </c>
      <c r="K2844">
        <v>1.108584</v>
      </c>
      <c r="L2844">
        <v>214.95249999999999</v>
      </c>
      <c r="M2844">
        <v>0.99929809999999997</v>
      </c>
      <c r="N2844">
        <v>-6.5524819999999897E-3</v>
      </c>
      <c r="O2844">
        <v>3.6887860000000001E-2</v>
      </c>
      <c r="P2844">
        <v>0.99032960000000003</v>
      </c>
      <c r="Q2844">
        <v>-1.278292E-2</v>
      </c>
      <c r="R2844">
        <v>0.13814580000000001</v>
      </c>
      <c r="S2844">
        <v>2.9911189999999999</v>
      </c>
      <c r="T2844">
        <v>-3.6460760000000002E-2</v>
      </c>
      <c r="U2844">
        <v>0.27143859999999997</v>
      </c>
      <c r="V2844">
        <v>-0.1015129</v>
      </c>
      <c r="W2844">
        <v>-6.3735619999999897E-3</v>
      </c>
      <c r="X2844">
        <v>0.99481379999999997</v>
      </c>
      <c r="Y2844">
        <v>-5.3572090000000003E-2</v>
      </c>
      <c r="Z2844">
        <v>2.9462189999999999E-4</v>
      </c>
      <c r="AA2844">
        <v>0.99856389999999995</v>
      </c>
      <c r="AB2844">
        <v>47</v>
      </c>
      <c r="AC2844">
        <v>83.870199999999997</v>
      </c>
      <c r="AD2844">
        <v>-1.02858391</v>
      </c>
      <c r="AE2844">
        <v>7.6384000000000096</v>
      </c>
      <c r="AF2844">
        <v>-4.53866605933705</v>
      </c>
      <c r="AG2844">
        <v>-1.02858391</v>
      </c>
      <c r="AH2844">
        <v>84.082344262285204</v>
      </c>
      <c r="AI2844">
        <v>90.699848704547605</v>
      </c>
      <c r="AJ2844">
        <v>93.089760232307896</v>
      </c>
      <c r="AK2844">
        <v>84.211033072273395</v>
      </c>
      <c r="AL2844">
        <v>90.365180677728304</v>
      </c>
      <c r="AM2844">
        <v>95.826415432827403</v>
      </c>
      <c r="AN2844">
        <v>0.99999999391470795</v>
      </c>
    </row>
    <row r="2845" spans="1:40" x14ac:dyDescent="0.25">
      <c r="A2845" t="str">
        <f>"20190305135847301"</f>
        <v>20190305135847301</v>
      </c>
      <c r="B2845" t="str">
        <f>"1551765527292231"</f>
        <v>1551765527292231</v>
      </c>
      <c r="C2845" t="s">
        <v>40</v>
      </c>
      <c r="D2845">
        <v>3.9422510000000002</v>
      </c>
      <c r="E2845">
        <v>0.51981929999999998</v>
      </c>
      <c r="F2845" t="s">
        <v>59</v>
      </c>
      <c r="G2845">
        <v>-345.02199999999999</v>
      </c>
      <c r="H2845">
        <v>8.0000020000000005E-2</v>
      </c>
      <c r="I2845">
        <v>221.50980000000001</v>
      </c>
      <c r="J2845">
        <v>-419.83339999999998</v>
      </c>
      <c r="K2845">
        <v>1.1085879999999999</v>
      </c>
      <c r="L2845">
        <v>214.97</v>
      </c>
      <c r="M2845">
        <v>0.9992955</v>
      </c>
      <c r="N2845">
        <v>-7.2420389999999996E-3</v>
      </c>
      <c r="O2845">
        <v>3.6822750000000001E-2</v>
      </c>
      <c r="P2845">
        <v>0.99043099999999995</v>
      </c>
      <c r="Q2845">
        <v>-1.3011689999999999E-2</v>
      </c>
      <c r="R2845">
        <v>0.13739419999999999</v>
      </c>
      <c r="S2845">
        <v>2.9923709999999999</v>
      </c>
      <c r="T2845">
        <v>-4.0883299999999997E-2</v>
      </c>
      <c r="U2845">
        <v>0.26063540000000002</v>
      </c>
      <c r="V2845">
        <v>-0.1008249</v>
      </c>
      <c r="W2845">
        <v>-5.8898889999999997E-3</v>
      </c>
      <c r="X2845">
        <v>0.99488679999999996</v>
      </c>
      <c r="Y2845">
        <v>-5.0021410000000002E-2</v>
      </c>
      <c r="Z2845">
        <v>2.8701989999999999E-4</v>
      </c>
      <c r="AA2845">
        <v>0.99874810000000003</v>
      </c>
      <c r="AB2845">
        <v>47</v>
      </c>
      <c r="AC2845">
        <v>74.811399999999907</v>
      </c>
      <c r="AD2845">
        <v>-1.02858798</v>
      </c>
      <c r="AE2845">
        <v>6.5398000000000103</v>
      </c>
      <c r="AF2845">
        <v>-3.7798215314436701</v>
      </c>
      <c r="AG2845">
        <v>-1.02858798</v>
      </c>
      <c r="AH2845">
        <v>74.987413023962404</v>
      </c>
      <c r="AI2845">
        <v>90.784869617176398</v>
      </c>
      <c r="AJ2845">
        <v>92.885613396893305</v>
      </c>
      <c r="AK2845">
        <v>75.089660780086703</v>
      </c>
      <c r="AL2845">
        <v>90.337467716480305</v>
      </c>
      <c r="AM2845">
        <v>95.786774292632302</v>
      </c>
      <c r="AN2845">
        <v>1.00000004803334</v>
      </c>
    </row>
    <row r="2846" spans="1:40" x14ac:dyDescent="0.25">
      <c r="A2846" t="str">
        <f>"20190305135847322"</f>
        <v>20190305135847322</v>
      </c>
      <c r="B2846" t="str">
        <f>"1551765527311752"</f>
        <v>1551765527311752</v>
      </c>
      <c r="C2846" t="s">
        <v>40</v>
      </c>
      <c r="D2846">
        <v>3.928223</v>
      </c>
      <c r="E2846">
        <v>0.52015619999999996</v>
      </c>
      <c r="F2846" t="s">
        <v>59</v>
      </c>
      <c r="G2846">
        <v>-348.6927</v>
      </c>
      <c r="H2846">
        <v>8.0001100000000006E-2</v>
      </c>
      <c r="I2846">
        <v>221.0341</v>
      </c>
      <c r="J2846">
        <v>-419.36290000000002</v>
      </c>
      <c r="K2846">
        <v>1.1085830000000001</v>
      </c>
      <c r="L2846">
        <v>214.98740000000001</v>
      </c>
      <c r="M2846">
        <v>0.99929489999999999</v>
      </c>
      <c r="N2846">
        <v>-7.8747399999999999E-3</v>
      </c>
      <c r="O2846">
        <v>3.6711500000000001E-2</v>
      </c>
      <c r="P2846">
        <v>0.99048800000000004</v>
      </c>
      <c r="Q2846">
        <v>-1.415749E-2</v>
      </c>
      <c r="R2846">
        <v>0.13686879999999901</v>
      </c>
      <c r="S2846">
        <v>2.9930110000000001</v>
      </c>
      <c r="T2846">
        <v>-4.3274399999999998E-2</v>
      </c>
      <c r="U2846">
        <v>0.25512699999999999</v>
      </c>
      <c r="V2846">
        <v>-0.1004099</v>
      </c>
      <c r="W2846">
        <v>-6.3819380000000002E-3</v>
      </c>
      <c r="X2846">
        <v>0.99492570000000002</v>
      </c>
      <c r="Y2846">
        <v>-4.828868E-2</v>
      </c>
      <c r="Z2846">
        <v>2.981549E-4</v>
      </c>
      <c r="AA2846">
        <v>0.99883339999999998</v>
      </c>
      <c r="AB2846">
        <v>47</v>
      </c>
      <c r="AC2846">
        <v>70.670199999999994</v>
      </c>
      <c r="AD2846">
        <v>-1.0285819</v>
      </c>
      <c r="AE2846">
        <v>6.04669999999998</v>
      </c>
      <c r="AF2846">
        <v>-3.4474092773837</v>
      </c>
      <c r="AG2846">
        <v>-1.0285819</v>
      </c>
      <c r="AH2846">
        <v>70.829653564337306</v>
      </c>
      <c r="AI2846">
        <v>90.831002129157397</v>
      </c>
      <c r="AJ2846">
        <v>92.7864918172763</v>
      </c>
      <c r="AK2846">
        <v>70.920959070607907</v>
      </c>
      <c r="AL2846">
        <v>90.365660590022401</v>
      </c>
      <c r="AM2846">
        <v>95.762892505574499</v>
      </c>
      <c r="AN2846">
        <v>1.0000000128355599</v>
      </c>
    </row>
    <row r="2847" spans="1:40" x14ac:dyDescent="0.25">
      <c r="A2847" t="str">
        <f>"20190305135847343"</f>
        <v>20190305135847343</v>
      </c>
      <c r="B2847" t="str">
        <f>"1551765527342007"</f>
        <v>1551765527342007</v>
      </c>
      <c r="C2847" t="s">
        <v>40</v>
      </c>
      <c r="D2847">
        <v>3.9629349999999999</v>
      </c>
      <c r="E2847">
        <v>0.52060969999999995</v>
      </c>
      <c r="F2847" t="s">
        <v>59</v>
      </c>
      <c r="G2847">
        <v>-354.93979999999999</v>
      </c>
      <c r="H2847">
        <v>8.0001219999999998E-2</v>
      </c>
      <c r="I2847">
        <v>220.38640000000001</v>
      </c>
      <c r="J2847">
        <v>-418.91059999999999</v>
      </c>
      <c r="K2847">
        <v>1.1085579999999999</v>
      </c>
      <c r="L2847">
        <v>215.00399999999999</v>
      </c>
      <c r="M2847">
        <v>0.99929539999999994</v>
      </c>
      <c r="N2847">
        <v>-8.4256899999999996E-3</v>
      </c>
      <c r="O2847">
        <v>3.6574959999999997E-2</v>
      </c>
      <c r="P2847">
        <v>0.9905233</v>
      </c>
      <c r="Q2847">
        <v>-1.499606E-2</v>
      </c>
      <c r="R2847">
        <v>0.13652359999999999</v>
      </c>
      <c r="S2847">
        <v>2.993439</v>
      </c>
      <c r="T2847">
        <v>-4.7793389999999998E-2</v>
      </c>
      <c r="U2847">
        <v>0.25086979999999998</v>
      </c>
      <c r="V2847">
        <v>-0.1002</v>
      </c>
      <c r="W2847">
        <v>-6.6504779999999996E-3</v>
      </c>
      <c r="X2847">
        <v>0.99494510000000003</v>
      </c>
      <c r="Y2847">
        <v>-4.7001340000000003E-2</v>
      </c>
      <c r="Z2847">
        <v>2.981285E-4</v>
      </c>
      <c r="AA2847">
        <v>0.99889479999999997</v>
      </c>
      <c r="AB2847">
        <v>47</v>
      </c>
      <c r="AC2847">
        <v>63.970799999999997</v>
      </c>
      <c r="AD2847">
        <v>-1.0285567799999999</v>
      </c>
      <c r="AE2847">
        <v>5.3823999999999899</v>
      </c>
      <c r="AF2847">
        <v>-3.03820604530079</v>
      </c>
      <c r="AG2847">
        <v>-1.0285567799999999</v>
      </c>
      <c r="AH2847">
        <v>64.108406178642397</v>
      </c>
      <c r="AI2847">
        <v>90.9181456639229</v>
      </c>
      <c r="AJ2847">
        <v>92.713313990941401</v>
      </c>
      <c r="AK2847">
        <v>64.188599983090299</v>
      </c>
      <c r="AL2847">
        <v>90.381047126083004</v>
      </c>
      <c r="AM2847">
        <v>95.750815024656305</v>
      </c>
      <c r="AN2847">
        <v>1.00000001043581</v>
      </c>
    </row>
    <row r="2848" spans="1:40" x14ac:dyDescent="0.25">
      <c r="A2848" t="str">
        <f>"20190305135847367"</f>
        <v>20190305135847367</v>
      </c>
      <c r="B2848" t="str">
        <f>"1551765527361527"</f>
        <v>1551765527361527</v>
      </c>
      <c r="C2848" t="s">
        <v>40</v>
      </c>
      <c r="D2848">
        <v>4.0049549999999998</v>
      </c>
      <c r="E2848">
        <v>0.52078659999999999</v>
      </c>
      <c r="F2848" t="s">
        <v>59</v>
      </c>
      <c r="G2848">
        <v>-359.34440000000001</v>
      </c>
      <c r="H2848">
        <v>8.0001059999999999E-2</v>
      </c>
      <c r="I2848">
        <v>219.90289999999999</v>
      </c>
      <c r="J2848">
        <v>-418.44279999999998</v>
      </c>
      <c r="K2848">
        <v>1.1085179999999999</v>
      </c>
      <c r="L2848">
        <v>215.02109999999999</v>
      </c>
      <c r="M2848">
        <v>0.9992972</v>
      </c>
      <c r="N2848">
        <v>-8.9391100000000001E-3</v>
      </c>
      <c r="O2848">
        <v>3.6407759999999997E-2</v>
      </c>
      <c r="P2848">
        <v>0.99053360000000001</v>
      </c>
      <c r="Q2848">
        <v>-1.552019E-2</v>
      </c>
      <c r="R2848">
        <v>0.13639089999999901</v>
      </c>
      <c r="S2848">
        <v>2.9939580000000001</v>
      </c>
      <c r="T2848">
        <v>-5.1697970000000003E-2</v>
      </c>
      <c r="U2848">
        <v>0.24623110000000001</v>
      </c>
      <c r="V2848">
        <v>-0.1002347</v>
      </c>
      <c r="W2848">
        <v>-6.6416440000000004E-3</v>
      </c>
      <c r="X2848">
        <v>0.99494170000000004</v>
      </c>
      <c r="Y2848">
        <v>-4.5615889999999999E-2</v>
      </c>
      <c r="Z2848">
        <v>2.9524610000000002E-4</v>
      </c>
      <c r="AA2848">
        <v>0.99895900000000004</v>
      </c>
      <c r="AB2848">
        <v>47</v>
      </c>
      <c r="AC2848">
        <v>59.098399999999899</v>
      </c>
      <c r="AD2848">
        <v>-1.02851694</v>
      </c>
      <c r="AE2848">
        <v>4.8817999999999904</v>
      </c>
      <c r="AF2848">
        <v>-2.7260171498752199</v>
      </c>
      <c r="AG2848">
        <v>-1.02851694</v>
      </c>
      <c r="AH2848">
        <v>59.219143394799197</v>
      </c>
      <c r="AI2848">
        <v>90.993959617683501</v>
      </c>
      <c r="AJ2848">
        <v>92.635618931310006</v>
      </c>
      <c r="AK2848">
        <v>59.290774670357202</v>
      </c>
      <c r="AL2848">
        <v>90.380540950284896</v>
      </c>
      <c r="AM2848">
        <v>95.752812745889997</v>
      </c>
      <c r="AN2848">
        <v>1.000000046459</v>
      </c>
    </row>
    <row r="2849" spans="1:40" x14ac:dyDescent="0.25">
      <c r="A2849" t="str">
        <f>"20190305135847400"</f>
        <v>20190305135847400</v>
      </c>
      <c r="B2849" t="str">
        <f>"1551765527391783"</f>
        <v>1551765527391783</v>
      </c>
      <c r="C2849" t="s">
        <v>40</v>
      </c>
      <c r="D2849">
        <v>4.0333889999999997</v>
      </c>
      <c r="E2849">
        <v>0.5210574</v>
      </c>
      <c r="F2849" t="s">
        <v>59</v>
      </c>
      <c r="G2849">
        <v>-358.7079</v>
      </c>
      <c r="H2849">
        <v>8.0000870000000002E-2</v>
      </c>
      <c r="I2849">
        <v>219.8963</v>
      </c>
      <c r="J2849">
        <v>-417.73079999999999</v>
      </c>
      <c r="K2849">
        <v>1.108428</v>
      </c>
      <c r="L2849">
        <v>215.04689999999999</v>
      </c>
      <c r="M2849">
        <v>0.99930269999999999</v>
      </c>
      <c r="N2849">
        <v>-9.6235999999999995E-3</v>
      </c>
      <c r="O2849">
        <v>3.6082139999999999E-2</v>
      </c>
      <c r="P2849">
        <v>0.99033020000000005</v>
      </c>
      <c r="Q2849">
        <v>-1.5596E-2</v>
      </c>
      <c r="R2849">
        <v>0.13785249999999999</v>
      </c>
      <c r="S2849">
        <v>2.994202</v>
      </c>
      <c r="T2849">
        <v>-5.1554320000000001E-2</v>
      </c>
      <c r="U2849">
        <v>0.24436949999999999</v>
      </c>
      <c r="V2849">
        <v>-0.1020292</v>
      </c>
      <c r="W2849">
        <v>-6.0034869999999897E-3</v>
      </c>
      <c r="X2849">
        <v>0.99476330000000002</v>
      </c>
      <c r="Y2849">
        <v>-4.5317209999999997E-2</v>
      </c>
      <c r="Z2849">
        <v>3.3489639999999997E-4</v>
      </c>
      <c r="AA2849">
        <v>0.99897259999999999</v>
      </c>
      <c r="AB2849">
        <v>47</v>
      </c>
      <c r="AC2849">
        <v>59.0228999999999</v>
      </c>
      <c r="AD2849">
        <v>-1.0284271300000001</v>
      </c>
      <c r="AE2849">
        <v>4.8494000000000002</v>
      </c>
      <c r="AF2849">
        <v>-2.7156522433375998</v>
      </c>
      <c r="AG2849">
        <v>-1.0284271300000001</v>
      </c>
      <c r="AH2849">
        <v>59.141611995481298</v>
      </c>
      <c r="AI2849">
        <v>90.995180738758904</v>
      </c>
      <c r="AJ2849">
        <v>92.629048995058696</v>
      </c>
      <c r="AK2849">
        <v>59.212859235917001</v>
      </c>
      <c r="AL2849">
        <v>90.3439765298656</v>
      </c>
      <c r="AM2849">
        <v>95.856138688302394</v>
      </c>
      <c r="AN2849">
        <v>1.00000001126784</v>
      </c>
    </row>
    <row r="2850" spans="1:40" x14ac:dyDescent="0.25">
      <c r="A2850" t="str">
        <f>"20190305135847422"</f>
        <v>20190305135847422</v>
      </c>
      <c r="B2850" t="str">
        <f>"1551765527412279"</f>
        <v>1551765527412279</v>
      </c>
      <c r="C2850" t="s">
        <v>40</v>
      </c>
      <c r="D2850">
        <v>4.0354029999999996</v>
      </c>
      <c r="E2850">
        <v>0.52121729999999999</v>
      </c>
      <c r="F2850" t="s">
        <v>59</v>
      </c>
      <c r="G2850">
        <v>-354.9341</v>
      </c>
      <c r="H2850">
        <v>8.0001219999999998E-2</v>
      </c>
      <c r="I2850">
        <v>220.22139999999999</v>
      </c>
      <c r="J2850">
        <v>-417.26839999999999</v>
      </c>
      <c r="K2850">
        <v>1.108355</v>
      </c>
      <c r="L2850">
        <v>215.0635</v>
      </c>
      <c r="M2850">
        <v>0.99930890000000006</v>
      </c>
      <c r="N2850">
        <v>-1.000409E-2</v>
      </c>
      <c r="O2850">
        <v>3.5798940000000001E-2</v>
      </c>
      <c r="P2850">
        <v>0.99014999999999997</v>
      </c>
      <c r="Q2850">
        <v>-1.509302E-2</v>
      </c>
      <c r="R2850">
        <v>0.1391945</v>
      </c>
      <c r="S2850">
        <v>2.9941409999999999</v>
      </c>
      <c r="T2850">
        <v>-4.9035309999999999E-2</v>
      </c>
      <c r="U2850">
        <v>0.24671940000000001</v>
      </c>
      <c r="V2850">
        <v>-0.1036594</v>
      </c>
      <c r="W2850">
        <v>-5.1001320000000003E-3</v>
      </c>
      <c r="X2850">
        <v>0.99459980000000003</v>
      </c>
      <c r="Y2850">
        <v>-4.6380690000000002E-2</v>
      </c>
      <c r="Z2850">
        <v>3.8432050000000001E-4</v>
      </c>
      <c r="AA2850">
        <v>0.99892380000000003</v>
      </c>
      <c r="AB2850">
        <v>47</v>
      </c>
      <c r="AC2850">
        <v>62.334299999999899</v>
      </c>
      <c r="AD2850">
        <v>-1.02835378</v>
      </c>
      <c r="AE2850">
        <v>5.1578999999999802</v>
      </c>
      <c r="AF2850">
        <v>-2.92218998666783</v>
      </c>
      <c r="AG2850">
        <v>-1.02835378</v>
      </c>
      <c r="AH2850">
        <v>62.462112747309398</v>
      </c>
      <c r="AI2850">
        <v>90.942181592096802</v>
      </c>
      <c r="AJ2850">
        <v>92.678538333016405</v>
      </c>
      <c r="AK2850">
        <v>62.538885780549499</v>
      </c>
      <c r="AL2850">
        <v>90.292217298863207</v>
      </c>
      <c r="AM2850">
        <v>95.950011888202596</v>
      </c>
      <c r="AN2850">
        <v>1.0000000223573999</v>
      </c>
    </row>
    <row r="2851" spans="1:40" x14ac:dyDescent="0.25">
      <c r="A2851" t="str">
        <f>"20190305135847444"</f>
        <v>20190305135847444</v>
      </c>
      <c r="B2851" t="str">
        <f>"1551765527441559"</f>
        <v>1551765527441559</v>
      </c>
      <c r="C2851" t="s">
        <v>40</v>
      </c>
      <c r="D2851">
        <v>3.9853800000000001</v>
      </c>
      <c r="E2851">
        <v>0.52138189999999995</v>
      </c>
      <c r="F2851" t="s">
        <v>59</v>
      </c>
      <c r="G2851">
        <v>-348.20780000000002</v>
      </c>
      <c r="H2851">
        <v>8.0000959999999996E-2</v>
      </c>
      <c r="I2851">
        <v>220.82499999999999</v>
      </c>
      <c r="J2851">
        <v>-416.79640000000001</v>
      </c>
      <c r="K2851">
        <v>1.1082809999999901</v>
      </c>
      <c r="L2851">
        <v>215.08019999999999</v>
      </c>
      <c r="M2851">
        <v>0.99931800000000004</v>
      </c>
      <c r="N2851">
        <v>-1.034726E-2</v>
      </c>
      <c r="O2851">
        <v>3.5448399999999998E-2</v>
      </c>
      <c r="P2851">
        <v>0.99012860000000003</v>
      </c>
      <c r="Q2851">
        <v>-1.5484370000000001E-2</v>
      </c>
      <c r="R2851">
        <v>0.13930439999999999</v>
      </c>
      <c r="S2851">
        <v>2.9940799999999999</v>
      </c>
      <c r="T2851">
        <v>-4.4583680000000001E-2</v>
      </c>
      <c r="U2851">
        <v>0.24978639999999999</v>
      </c>
      <c r="V2851">
        <v>-0.1041199</v>
      </c>
      <c r="W2851">
        <v>-5.1278160000000003E-3</v>
      </c>
      <c r="X2851">
        <v>0.99455150000000003</v>
      </c>
      <c r="Y2851">
        <v>-4.7749560000000003E-2</v>
      </c>
      <c r="Z2851">
        <v>4.420987E-4</v>
      </c>
      <c r="AA2851">
        <v>0.99885919999999895</v>
      </c>
      <c r="AB2851">
        <v>47</v>
      </c>
      <c r="AC2851">
        <v>68.5885999999999</v>
      </c>
      <c r="AD2851">
        <v>-1.0282800399999901</v>
      </c>
      <c r="AE2851">
        <v>5.7447999999999899</v>
      </c>
      <c r="AF2851">
        <v>-3.3089643607357702</v>
      </c>
      <c r="AG2851">
        <v>-1.0282800399999901</v>
      </c>
      <c r="AH2851">
        <v>68.733801873293103</v>
      </c>
      <c r="AI2851">
        <v>90.856108217272293</v>
      </c>
      <c r="AJ2851">
        <v>92.756190179660507</v>
      </c>
      <c r="AK2851">
        <v>68.821087792466599</v>
      </c>
      <c r="AL2851">
        <v>90.293803512160906</v>
      </c>
      <c r="AM2851">
        <v>95.9765416726231</v>
      </c>
      <c r="AN2851">
        <v>0.99999996711259398</v>
      </c>
    </row>
    <row r="2852" spans="1:40" x14ac:dyDescent="0.25">
      <c r="A2852" t="str">
        <f>"20190305135847466"</f>
        <v>20190305135847466</v>
      </c>
      <c r="B2852" t="str">
        <f>"1551765527462054"</f>
        <v>1551765527462054</v>
      </c>
      <c r="C2852" t="s">
        <v>40</v>
      </c>
      <c r="D2852">
        <v>4.0075989999999999</v>
      </c>
      <c r="E2852">
        <v>0.5214027</v>
      </c>
      <c r="F2852" t="s">
        <v>59</v>
      </c>
      <c r="G2852">
        <v>-352.13490000000002</v>
      </c>
      <c r="H2852">
        <v>8.0000390000000005E-2</v>
      </c>
      <c r="I2852">
        <v>220.45050000000001</v>
      </c>
      <c r="J2852">
        <v>-416.32479999999998</v>
      </c>
      <c r="K2852">
        <v>1.1081989999999999</v>
      </c>
      <c r="L2852">
        <v>215.0966</v>
      </c>
      <c r="M2852">
        <v>0.99933019999999995</v>
      </c>
      <c r="N2852">
        <v>-1.064858E-2</v>
      </c>
      <c r="O2852">
        <v>3.5011889999999997E-2</v>
      </c>
      <c r="P2852">
        <v>0.99007100000000003</v>
      </c>
      <c r="Q2852">
        <v>-1.6682140000000002E-2</v>
      </c>
      <c r="R2852">
        <v>0.13957549999999999</v>
      </c>
      <c r="S2852">
        <v>2.9941409999999999</v>
      </c>
      <c r="T2852">
        <v>-4.7614339999999998E-2</v>
      </c>
      <c r="U2852">
        <v>0.24867249999999999</v>
      </c>
      <c r="V2852">
        <v>-0.1048293</v>
      </c>
      <c r="W2852">
        <v>-6.00265E-3</v>
      </c>
      <c r="X2852">
        <v>0.99447209999999997</v>
      </c>
      <c r="Y2852">
        <v>-4.7814019999999999E-2</v>
      </c>
      <c r="Z2852">
        <v>4.514349E-4</v>
      </c>
      <c r="AA2852">
        <v>0.99885610000000002</v>
      </c>
      <c r="AB2852">
        <v>47</v>
      </c>
      <c r="AC2852">
        <v>64.189899999999895</v>
      </c>
      <c r="AD2852">
        <v>-1.02819861</v>
      </c>
      <c r="AE2852">
        <v>5.3539000000000003</v>
      </c>
      <c r="AF2852">
        <v>-3.10228958142189</v>
      </c>
      <c r="AG2852">
        <v>-1.02819861</v>
      </c>
      <c r="AH2852">
        <v>64.321611684351296</v>
      </c>
      <c r="AI2852">
        <v>90.914747601879</v>
      </c>
      <c r="AJ2852">
        <v>92.761287538757003</v>
      </c>
      <c r="AK2852">
        <v>64.404589298442701</v>
      </c>
      <c r="AL2852">
        <v>90.343928581189701</v>
      </c>
      <c r="AM2852">
        <v>96.017440791949198</v>
      </c>
      <c r="AN2852">
        <v>0.99999998581196103</v>
      </c>
    </row>
    <row r="2853" spans="1:40" x14ac:dyDescent="0.25">
      <c r="A2853" t="str">
        <f>"20190305135847491"</f>
        <v>20190305135847491</v>
      </c>
      <c r="B2853" t="str">
        <f>"1551765527481576"</f>
        <v>1551765527481576</v>
      </c>
      <c r="C2853" t="s">
        <v>40</v>
      </c>
      <c r="D2853">
        <v>4.0063649999999997</v>
      </c>
      <c r="E2853">
        <v>0.52118620000000004</v>
      </c>
      <c r="F2853" t="s">
        <v>59</v>
      </c>
      <c r="G2853">
        <v>-357.7115</v>
      </c>
      <c r="H2853">
        <v>8.0000580000000002E-2</v>
      </c>
      <c r="I2853">
        <v>219.97309999999999</v>
      </c>
      <c r="J2853">
        <v>-415.82139999999998</v>
      </c>
      <c r="K2853">
        <v>1.1080890000000001</v>
      </c>
      <c r="L2853">
        <v>215.1138</v>
      </c>
      <c r="M2853">
        <v>0.9993474</v>
      </c>
      <c r="N2853">
        <v>-1.092948E-2</v>
      </c>
      <c r="O2853">
        <v>3.4430889999999999E-2</v>
      </c>
      <c r="P2853">
        <v>0.99002100000000004</v>
      </c>
      <c r="Q2853">
        <v>-1.8466529999999998E-2</v>
      </c>
      <c r="R2853">
        <v>0.139706</v>
      </c>
      <c r="S2853">
        <v>2.9940799999999999</v>
      </c>
      <c r="T2853">
        <v>-5.252242E-2</v>
      </c>
      <c r="U2853">
        <v>0.24909970000000001</v>
      </c>
      <c r="V2853">
        <v>-0.10554239999999999</v>
      </c>
      <c r="W2853">
        <v>-7.480085E-3</v>
      </c>
      <c r="X2853">
        <v>0.99438669999999996</v>
      </c>
      <c r="Y2853">
        <v>-4.853611E-2</v>
      </c>
      <c r="Z2853">
        <v>4.6393770000000001E-4</v>
      </c>
      <c r="AA2853">
        <v>0.99882130000000002</v>
      </c>
      <c r="AB2853">
        <v>47</v>
      </c>
      <c r="AC2853">
        <v>58.109899999999897</v>
      </c>
      <c r="AD2853">
        <v>-1.02808841999999</v>
      </c>
      <c r="AE2853">
        <v>4.8592999999999904</v>
      </c>
      <c r="AF2853">
        <v>-2.8546362359337798</v>
      </c>
      <c r="AG2853">
        <v>-1.02808841999999</v>
      </c>
      <c r="AH2853">
        <v>58.224662988199498</v>
      </c>
      <c r="AI2853">
        <v>91.010368404365195</v>
      </c>
      <c r="AJ2853">
        <v>92.806847439603899</v>
      </c>
      <c r="AK2853">
        <v>58.303664498282203</v>
      </c>
      <c r="AL2853">
        <v>90.428581284957701</v>
      </c>
      <c r="AM2853">
        <v>96.058587386801904</v>
      </c>
      <c r="AN2853">
        <v>1.0000000295031199</v>
      </c>
    </row>
    <row r="2854" spans="1:40" x14ac:dyDescent="0.25">
      <c r="A2854" t="str">
        <f>"20190305135847512"</f>
        <v>20190305135847512</v>
      </c>
      <c r="B2854" t="str">
        <f>"1551765527502071"</f>
        <v>1551765527502071</v>
      </c>
      <c r="C2854" t="s">
        <v>40</v>
      </c>
      <c r="D2854">
        <v>4.0015010000000002</v>
      </c>
      <c r="E2854">
        <v>0.52094910000000005</v>
      </c>
      <c r="F2854" t="s">
        <v>59</v>
      </c>
      <c r="G2854">
        <v>-362.17399999999998</v>
      </c>
      <c r="H2854">
        <v>4.112536E-2</v>
      </c>
      <c r="I2854">
        <v>219.6163</v>
      </c>
      <c r="J2854">
        <v>-415.36500000000001</v>
      </c>
      <c r="K2854">
        <v>1.10799</v>
      </c>
      <c r="L2854">
        <v>215.12909999999999</v>
      </c>
      <c r="M2854">
        <v>0.9993668</v>
      </c>
      <c r="N2854">
        <v>-1.1151599999999999E-2</v>
      </c>
      <c r="O2854">
        <v>3.3788360000000003E-2</v>
      </c>
      <c r="P2854">
        <v>0.99000379999999999</v>
      </c>
      <c r="Q2854">
        <v>-2.1104250000000001E-2</v>
      </c>
      <c r="R2854">
        <v>0.13945250000000001</v>
      </c>
      <c r="S2854">
        <v>2.993652</v>
      </c>
      <c r="T2854">
        <v>-5.9539080000000001E-2</v>
      </c>
      <c r="U2854">
        <v>0.25125120000000001</v>
      </c>
      <c r="V2854">
        <v>-0.10593420000000001</v>
      </c>
      <c r="W2854">
        <v>-9.8689659999999998E-3</v>
      </c>
      <c r="X2854">
        <v>0.99432410000000004</v>
      </c>
      <c r="Y2854">
        <v>-4.9900060000000003E-2</v>
      </c>
      <c r="Z2854">
        <v>4.7996660000000001E-4</v>
      </c>
      <c r="AA2854">
        <v>0.99875409999999998</v>
      </c>
      <c r="AB2854">
        <v>47</v>
      </c>
      <c r="AC2854">
        <v>53.190999999999903</v>
      </c>
      <c r="AD2854">
        <v>-1.0668646399999999</v>
      </c>
      <c r="AE2854">
        <v>4.4871999999999996</v>
      </c>
      <c r="AF2854">
        <v>-2.6862161205636501</v>
      </c>
      <c r="AG2854">
        <v>-1.0668646399999999</v>
      </c>
      <c r="AH2854">
        <v>53.290962186002602</v>
      </c>
      <c r="AI2854">
        <v>91.145432485681397</v>
      </c>
      <c r="AJ2854">
        <v>92.885643020852697</v>
      </c>
      <c r="AK2854">
        <v>53.369285248318803</v>
      </c>
      <c r="AL2854">
        <v>90.565459316756701</v>
      </c>
      <c r="AM2854">
        <v>96.081290155871898</v>
      </c>
      <c r="AN2854">
        <v>0.99999993353017702</v>
      </c>
    </row>
    <row r="2855" spans="1:40" x14ac:dyDescent="0.25">
      <c r="A2855" t="str">
        <f>"20190305135847534"</f>
        <v>20190305135847534</v>
      </c>
      <c r="B2855" t="str">
        <f>"1551765527521591"</f>
        <v>1551765527521591</v>
      </c>
      <c r="C2855" t="s">
        <v>40</v>
      </c>
      <c r="D2855">
        <v>3.975438</v>
      </c>
      <c r="E2855">
        <v>0.52073820000000004</v>
      </c>
      <c r="F2855" t="s">
        <v>59</v>
      </c>
      <c r="G2855">
        <v>-367.78559999999999</v>
      </c>
      <c r="H2855" s="1">
        <v>2.6063189999999998E-6</v>
      </c>
      <c r="I2855">
        <v>219.14009999999999</v>
      </c>
      <c r="J2855">
        <v>-414.91269999999997</v>
      </c>
      <c r="K2855">
        <v>1.1078760000000001</v>
      </c>
      <c r="L2855">
        <v>215.1438</v>
      </c>
      <c r="M2855">
        <v>0.99938990000000005</v>
      </c>
      <c r="N2855">
        <v>-1.1344419999999999E-2</v>
      </c>
      <c r="O2855">
        <v>3.3033590000000002E-2</v>
      </c>
      <c r="P2855">
        <v>0.98992590000000003</v>
      </c>
      <c r="Q2855">
        <v>-2.2342910000000001E-2</v>
      </c>
      <c r="R2855">
        <v>0.1398131</v>
      </c>
      <c r="S2855">
        <v>2.9932560000000001</v>
      </c>
      <c r="T2855">
        <v>-6.9704290000000002E-2</v>
      </c>
      <c r="U2855">
        <v>0.25233460000000002</v>
      </c>
      <c r="V2855">
        <v>-0.10705240000000001</v>
      </c>
      <c r="W2855">
        <v>-1.088478E-2</v>
      </c>
      <c r="X2855">
        <v>0.99419380000000002</v>
      </c>
      <c r="Y2855">
        <v>-5.1020160000000002E-2</v>
      </c>
      <c r="Z2855">
        <v>4.8973240000000002E-4</v>
      </c>
      <c r="AA2855">
        <v>0.99869750000000002</v>
      </c>
      <c r="AB2855">
        <v>47</v>
      </c>
      <c r="AC2855">
        <v>47.127099999999899</v>
      </c>
      <c r="AD2855">
        <v>-1.1078733936809999</v>
      </c>
      <c r="AE2855">
        <v>3.99629999999999</v>
      </c>
      <c r="AF2855">
        <v>-2.43590473282848</v>
      </c>
      <c r="AG2855">
        <v>-1.1078733936809999</v>
      </c>
      <c r="AH2855">
        <v>47.207495042651999</v>
      </c>
      <c r="AI2855">
        <v>91.342594646925505</v>
      </c>
      <c r="AJ2855">
        <v>92.953840052651103</v>
      </c>
      <c r="AK2855">
        <v>47.283280380340102</v>
      </c>
      <c r="AL2855">
        <v>90.623664268367904</v>
      </c>
      <c r="AM2855">
        <v>96.145792498688394</v>
      </c>
      <c r="AN2855">
        <v>1.0000000033699199</v>
      </c>
    </row>
    <row r="2856" spans="1:40" x14ac:dyDescent="0.25">
      <c r="A2856" t="str">
        <f>"20190305135847555"</f>
        <v>20190305135847555</v>
      </c>
      <c r="B2856" t="str">
        <f>"1551765527551847"</f>
        <v>1551765527551847</v>
      </c>
      <c r="C2856" t="s">
        <v>40</v>
      </c>
      <c r="D2856">
        <v>4.0190530000000004</v>
      </c>
      <c r="E2856">
        <v>0.52049690000000004</v>
      </c>
      <c r="F2856" t="s">
        <v>59</v>
      </c>
      <c r="G2856">
        <v>-370.85610000000003</v>
      </c>
      <c r="H2856" s="1">
        <v>-1.0811999999999999E-6</v>
      </c>
      <c r="I2856">
        <v>218.89570000000001</v>
      </c>
      <c r="J2856">
        <v>-414.45460000000003</v>
      </c>
      <c r="K2856">
        <v>1.1077490000000001</v>
      </c>
      <c r="L2856">
        <v>215.1583</v>
      </c>
      <c r="M2856">
        <v>0.99941679999999999</v>
      </c>
      <c r="N2856">
        <v>-1.1530250000000001E-2</v>
      </c>
      <c r="O2856">
        <v>3.2147009999999997E-2</v>
      </c>
      <c r="P2856">
        <v>0.98956980000000005</v>
      </c>
      <c r="Q2856">
        <v>-2.5700319999999999E-2</v>
      </c>
      <c r="R2856">
        <v>0.14174329999999999</v>
      </c>
      <c r="S2856">
        <v>2.9928279999999998</v>
      </c>
      <c r="T2856">
        <v>-7.5259800000000002E-2</v>
      </c>
      <c r="U2856">
        <v>0.25486760000000003</v>
      </c>
      <c r="V2856">
        <v>-0.1098841</v>
      </c>
      <c r="W2856">
        <v>-1.4022710000000001E-2</v>
      </c>
      <c r="X2856">
        <v>0.99384550000000005</v>
      </c>
      <c r="Y2856">
        <v>-5.2754000000000002E-2</v>
      </c>
      <c r="Z2856">
        <v>5.3047979999999999E-4</v>
      </c>
      <c r="AA2856">
        <v>0.99860740000000003</v>
      </c>
      <c r="AB2856">
        <v>47</v>
      </c>
      <c r="AC2856">
        <v>43.598500000000001</v>
      </c>
      <c r="AD2856">
        <v>-1.1077500811999901</v>
      </c>
      <c r="AE2856">
        <v>3.7374000000000001</v>
      </c>
      <c r="AF2856">
        <v>-2.3323190226931798</v>
      </c>
      <c r="AG2856">
        <v>-1.1077500811999901</v>
      </c>
      <c r="AH2856">
        <v>43.668132381541803</v>
      </c>
      <c r="AI2856">
        <v>91.451070047006695</v>
      </c>
      <c r="AJ2856">
        <v>93.057268041888605</v>
      </c>
      <c r="AK2856">
        <v>43.744400875516398</v>
      </c>
      <c r="AL2856">
        <v>90.803468421727402</v>
      </c>
      <c r="AM2856">
        <v>96.3092572582527</v>
      </c>
      <c r="AN2856">
        <v>1.0000000148493999</v>
      </c>
    </row>
    <row r="2857" spans="1:40" x14ac:dyDescent="0.25">
      <c r="A2857" t="str">
        <f>"20190305135847578"</f>
        <v>20190305135847578</v>
      </c>
      <c r="B2857" t="str">
        <f>"1551765527571367"</f>
        <v>1551765527571367</v>
      </c>
      <c r="C2857" t="s">
        <v>40</v>
      </c>
      <c r="D2857">
        <v>3.9824440000000001</v>
      </c>
      <c r="E2857">
        <v>0.52032909999999999</v>
      </c>
      <c r="F2857" t="s">
        <v>59</v>
      </c>
      <c r="G2857">
        <v>-376.24340000000001</v>
      </c>
      <c r="H2857" s="1">
        <v>1.785665E-6</v>
      </c>
      <c r="I2857">
        <v>218.51429999999999</v>
      </c>
      <c r="J2857">
        <v>-413.98110000000003</v>
      </c>
      <c r="K2857">
        <v>1.107437</v>
      </c>
      <c r="L2857">
        <v>215.173</v>
      </c>
      <c r="M2857">
        <v>0.99945680000000003</v>
      </c>
      <c r="N2857">
        <v>-1.0734260000000001E-2</v>
      </c>
      <c r="O2857">
        <v>3.1160549999999999E-2</v>
      </c>
      <c r="P2857">
        <v>0.98909559999999996</v>
      </c>
      <c r="Q2857">
        <v>-2.754705E-2</v>
      </c>
      <c r="R2857">
        <v>0.1446762</v>
      </c>
      <c r="S2857">
        <v>2.99173</v>
      </c>
      <c r="T2857">
        <v>-8.6730719999999997E-2</v>
      </c>
      <c r="U2857">
        <v>0.2627563</v>
      </c>
      <c r="V2857">
        <v>-0.11381960000000001</v>
      </c>
      <c r="W2857">
        <v>-1.6643430000000001E-2</v>
      </c>
      <c r="X2857">
        <v>0.99336199999999997</v>
      </c>
      <c r="Y2857">
        <v>-5.6378329999999997E-2</v>
      </c>
      <c r="Z2857">
        <v>5.5168999999999997E-4</v>
      </c>
      <c r="AA2857">
        <v>0.99840930000000006</v>
      </c>
      <c r="AB2857">
        <v>47</v>
      </c>
      <c r="AC2857">
        <v>37.737699999999997</v>
      </c>
      <c r="AD2857">
        <v>-1.1074352143349999</v>
      </c>
      <c r="AE2857">
        <v>3.34129999999998</v>
      </c>
      <c r="AF2857">
        <v>-2.1618348555727001</v>
      </c>
      <c r="AG2857">
        <v>-1.1074352143349999</v>
      </c>
      <c r="AH2857">
        <v>37.791203629063602</v>
      </c>
      <c r="AI2857">
        <v>91.6757797856107</v>
      </c>
      <c r="AJ2857">
        <v>93.274020301378698</v>
      </c>
      <c r="AK2857">
        <v>37.869182912099703</v>
      </c>
      <c r="AL2857">
        <v>90.953642341350701</v>
      </c>
      <c r="AM2857">
        <v>96.536455501578004</v>
      </c>
      <c r="AN2857">
        <v>0.999999984075162</v>
      </c>
    </row>
    <row r="2858" spans="1:40" x14ac:dyDescent="0.25">
      <c r="A2858" t="str">
        <f>"20190305135847601"</f>
        <v>20190305135847601</v>
      </c>
      <c r="B2858" t="str">
        <f>"1551765527591862"</f>
        <v>1551765527591862</v>
      </c>
      <c r="C2858" t="s">
        <v>40</v>
      </c>
      <c r="D2858">
        <v>3.986399</v>
      </c>
      <c r="E2858">
        <v>0.52023189999999997</v>
      </c>
      <c r="F2858" t="s">
        <v>59</v>
      </c>
      <c r="G2858">
        <v>-378.34050000000002</v>
      </c>
      <c r="H2858" s="1">
        <v>2.9016349999999998E-6</v>
      </c>
      <c r="I2858">
        <v>218.42509999999999</v>
      </c>
      <c r="J2858">
        <v>-413.49470000000002</v>
      </c>
      <c r="K2858">
        <v>1.1070799999999901</v>
      </c>
      <c r="L2858">
        <v>215.1876</v>
      </c>
      <c r="M2858">
        <v>0.999502</v>
      </c>
      <c r="N2858">
        <v>-9.391969E-3</v>
      </c>
      <c r="O2858">
        <v>3.012691E-2</v>
      </c>
      <c r="P2858">
        <v>0.9886334</v>
      </c>
      <c r="Q2858">
        <v>-2.588654E-2</v>
      </c>
      <c r="R2858">
        <v>0.14810019999999999</v>
      </c>
      <c r="S2858">
        <v>2.99057</v>
      </c>
      <c r="T2858">
        <v>-9.292388E-2</v>
      </c>
      <c r="U2858">
        <v>0.27288820000000003</v>
      </c>
      <c r="V2858">
        <v>-0.1182829</v>
      </c>
      <c r="W2858">
        <v>-1.630678E-2</v>
      </c>
      <c r="X2858">
        <v>0.99284600000000001</v>
      </c>
      <c r="Y2858">
        <v>-6.0796259999999998E-2</v>
      </c>
      <c r="Z2858">
        <v>5.7747240000000002E-4</v>
      </c>
      <c r="AA2858">
        <v>0.99815010000000004</v>
      </c>
      <c r="AB2858">
        <v>47</v>
      </c>
      <c r="AC2858">
        <v>35.154200000000003</v>
      </c>
      <c r="AD2858">
        <v>-1.10707709836499</v>
      </c>
      <c r="AE2858">
        <v>3.2374999999999798</v>
      </c>
      <c r="AF2858">
        <v>-2.1747575506155399</v>
      </c>
      <c r="AG2858">
        <v>-1.10707709836499</v>
      </c>
      <c r="AH2858">
        <v>35.201164543198203</v>
      </c>
      <c r="AI2858">
        <v>91.797933565582696</v>
      </c>
      <c r="AJ2858">
        <v>93.535288100191906</v>
      </c>
      <c r="AK2858">
        <v>35.285651124826899</v>
      </c>
      <c r="AL2858">
        <v>90.934351113883807</v>
      </c>
      <c r="AM2858">
        <v>96.793922033515003</v>
      </c>
      <c r="AN2858">
        <v>0.99999996761118803</v>
      </c>
    </row>
    <row r="2859" spans="1:40" x14ac:dyDescent="0.25">
      <c r="A2859" t="str">
        <f>"20190305135847623"</f>
        <v>20190305135847623</v>
      </c>
      <c r="B2859" t="str">
        <f>"1551765527611395"</f>
        <v>1551765527611395</v>
      </c>
      <c r="C2859" t="s">
        <v>40</v>
      </c>
      <c r="D2859">
        <v>4.0293979999999996</v>
      </c>
      <c r="E2859">
        <v>0.52023299999999995</v>
      </c>
      <c r="F2859" t="s">
        <v>59</v>
      </c>
      <c r="G2859">
        <v>-375.86559999999997</v>
      </c>
      <c r="H2859" s="1">
        <v>1.5846090000000001E-6</v>
      </c>
      <c r="I2859">
        <v>218.76499999999999</v>
      </c>
      <c r="J2859">
        <v>-413.0215</v>
      </c>
      <c r="K2859">
        <v>1.1067929999999999</v>
      </c>
      <c r="L2859">
        <v>215.20150000000001</v>
      </c>
      <c r="M2859">
        <v>0.99954460000000001</v>
      </c>
      <c r="N2859">
        <v>-8.0999839999999993E-3</v>
      </c>
      <c r="O2859">
        <v>2.9068549999999999E-2</v>
      </c>
      <c r="P2859">
        <v>0.98817100000000002</v>
      </c>
      <c r="Q2859">
        <v>-2.3621199999999998E-2</v>
      </c>
      <c r="R2859">
        <v>0.1515261</v>
      </c>
      <c r="S2859">
        <v>2.989655</v>
      </c>
      <c r="T2859">
        <v>-8.7958099999999997E-2</v>
      </c>
      <c r="U2859">
        <v>0.28422550000000002</v>
      </c>
      <c r="V2859">
        <v>-0.1227708</v>
      </c>
      <c r="W2859">
        <v>-1.5313530000000001E-2</v>
      </c>
      <c r="X2859">
        <v>0.99231689999999995</v>
      </c>
      <c r="Y2859">
        <v>-6.5634509999999993E-2</v>
      </c>
      <c r="Z2859">
        <v>6.1189510000000003E-4</v>
      </c>
      <c r="AA2859">
        <v>0.99784360000000005</v>
      </c>
      <c r="AB2859">
        <v>48</v>
      </c>
      <c r="AC2859">
        <v>37.155900000000003</v>
      </c>
      <c r="AD2859">
        <v>-1.1067914153909999</v>
      </c>
      <c r="AE2859">
        <v>3.5634999999999701</v>
      </c>
      <c r="AF2859">
        <v>-2.4797102464607201</v>
      </c>
      <c r="AG2859">
        <v>-1.1067914153909999</v>
      </c>
      <c r="AH2859">
        <v>37.211069952506897</v>
      </c>
      <c r="AI2859">
        <v>91.699912768807593</v>
      </c>
      <c r="AJ2859">
        <v>93.812499353933404</v>
      </c>
      <c r="AK2859">
        <v>37.310021135801399</v>
      </c>
      <c r="AL2859">
        <v>90.877434932860496</v>
      </c>
      <c r="AM2859">
        <v>97.052871648950699</v>
      </c>
      <c r="AN2859">
        <v>1.00000000177965</v>
      </c>
    </row>
    <row r="2860" spans="1:40" x14ac:dyDescent="0.25">
      <c r="A2860" t="str">
        <f>"20190305135847644"</f>
        <v>20190305135847644</v>
      </c>
      <c r="B2860" t="str">
        <f>"1551765527641639"</f>
        <v>1551765527641639</v>
      </c>
      <c r="C2860" t="s">
        <v>40</v>
      </c>
      <c r="D2860">
        <v>4.0297970000000003</v>
      </c>
      <c r="E2860">
        <v>0.52024490000000001</v>
      </c>
      <c r="F2860" t="s">
        <v>59</v>
      </c>
      <c r="G2860">
        <v>-372.17090000000002</v>
      </c>
      <c r="H2860" s="1">
        <v>-3.815348E-7</v>
      </c>
      <c r="I2860">
        <v>219.22669999999999</v>
      </c>
      <c r="J2860">
        <v>-412.56279999999998</v>
      </c>
      <c r="K2860">
        <v>1.106563</v>
      </c>
      <c r="L2860">
        <v>215.21459999999999</v>
      </c>
      <c r="M2860">
        <v>0.99958340000000001</v>
      </c>
      <c r="N2860">
        <v>-7.0198439999999999E-3</v>
      </c>
      <c r="O2860">
        <v>2.7994829999999998E-2</v>
      </c>
      <c r="P2860">
        <v>0.98757379999999995</v>
      </c>
      <c r="Q2860">
        <v>-2.3418290000000001E-2</v>
      </c>
      <c r="R2860">
        <v>0.1554017</v>
      </c>
      <c r="S2860">
        <v>2.9888919999999999</v>
      </c>
      <c r="T2860">
        <v>-8.0980060000000006E-2</v>
      </c>
      <c r="U2860">
        <v>0.29450989999999999</v>
      </c>
      <c r="V2860">
        <v>-0.1277316</v>
      </c>
      <c r="W2860">
        <v>-1.6159759999999999E-2</v>
      </c>
      <c r="X2860">
        <v>0.99167709999999998</v>
      </c>
      <c r="Y2860">
        <v>-7.0134349999999998E-2</v>
      </c>
      <c r="Z2860">
        <v>6.3438019999999999E-4</v>
      </c>
      <c r="AA2860">
        <v>0.99753740000000002</v>
      </c>
      <c r="AB2860">
        <v>48</v>
      </c>
      <c r="AC2860">
        <v>40.3918999999999</v>
      </c>
      <c r="AD2860">
        <v>-1.1065633815347999</v>
      </c>
      <c r="AE2860">
        <v>4.0121000000000002</v>
      </c>
      <c r="AF2860">
        <v>-2.8775965921653701</v>
      </c>
      <c r="AG2860">
        <v>-1.1065633815347999</v>
      </c>
      <c r="AH2860">
        <v>40.458320926683598</v>
      </c>
      <c r="AI2860">
        <v>91.562743251146699</v>
      </c>
      <c r="AJ2860">
        <v>94.068309246042105</v>
      </c>
      <c r="AK2860">
        <v>40.575618009724998</v>
      </c>
      <c r="AL2860">
        <v>90.925926361817005</v>
      </c>
      <c r="AM2860">
        <v>97.339493504319407</v>
      </c>
      <c r="AN2860">
        <v>0.99999998507311305</v>
      </c>
    </row>
    <row r="2861" spans="1:40" x14ac:dyDescent="0.25">
      <c r="A2861" t="str">
        <f>"20190305135847667"</f>
        <v>20190305135847667</v>
      </c>
      <c r="B2861" t="str">
        <f>"1551765527662136"</f>
        <v>1551765527662136</v>
      </c>
      <c r="C2861" t="s">
        <v>40</v>
      </c>
      <c r="D2861">
        <v>4.0326399999999998</v>
      </c>
      <c r="E2861">
        <v>0.52029040000000004</v>
      </c>
      <c r="F2861" t="s">
        <v>59</v>
      </c>
      <c r="G2861">
        <v>-370.89449999999999</v>
      </c>
      <c r="H2861" s="1">
        <v>-1.0608029999999999E-6</v>
      </c>
      <c r="I2861">
        <v>219.4855</v>
      </c>
      <c r="J2861">
        <v>-412.04770000000002</v>
      </c>
      <c r="K2861">
        <v>1.1063510000000001</v>
      </c>
      <c r="L2861">
        <v>215.22880000000001</v>
      </c>
      <c r="M2861">
        <v>0.99962320000000005</v>
      </c>
      <c r="N2861">
        <v>-6.1205770000000003E-3</v>
      </c>
      <c r="O2861">
        <v>2.6758529999999999E-2</v>
      </c>
      <c r="P2861">
        <v>0.98685219999999996</v>
      </c>
      <c r="Q2861">
        <v>-2.4722259999999999E-2</v>
      </c>
      <c r="R2861">
        <v>0.15972310000000001</v>
      </c>
      <c r="S2861">
        <v>2.9876710000000002</v>
      </c>
      <c r="T2861">
        <v>-7.9342010000000004E-2</v>
      </c>
      <c r="U2861">
        <v>0.30622860000000002</v>
      </c>
      <c r="V2861">
        <v>-0.1333068</v>
      </c>
      <c r="W2861">
        <v>-1.8309490000000001E-2</v>
      </c>
      <c r="X2861">
        <v>0.9909057</v>
      </c>
      <c r="Y2861">
        <v>-7.5280340000000001E-2</v>
      </c>
      <c r="Z2861">
        <v>6.8291109999999995E-4</v>
      </c>
      <c r="AA2861">
        <v>0.9971622</v>
      </c>
      <c r="AB2861">
        <v>48</v>
      </c>
      <c r="AC2861">
        <v>41.153199999999998</v>
      </c>
      <c r="AD2861">
        <v>-1.106352060803</v>
      </c>
      <c r="AE2861">
        <v>4.2566999999999897</v>
      </c>
      <c r="AF2861">
        <v>-3.15170224472946</v>
      </c>
      <c r="AG2861">
        <v>-1.106352060803</v>
      </c>
      <c r="AH2861">
        <v>41.222890869618702</v>
      </c>
      <c r="AI2861">
        <v>91.532880455755304</v>
      </c>
      <c r="AJ2861">
        <v>94.372051789550198</v>
      </c>
      <c r="AK2861">
        <v>41.3579976977896</v>
      </c>
      <c r="AL2861">
        <v>91.049115100244705</v>
      </c>
      <c r="AM2861">
        <v>97.662013653575798</v>
      </c>
      <c r="AN2861">
        <v>1.0000000233213899</v>
      </c>
    </row>
    <row r="2862" spans="1:40" x14ac:dyDescent="0.25">
      <c r="A2862" t="str">
        <f>"20190305135847691"</f>
        <v>20190305135847691</v>
      </c>
      <c r="B2862" t="str">
        <f>"1551765527681654"</f>
        <v>1551765527681654</v>
      </c>
      <c r="C2862" t="s">
        <v>40</v>
      </c>
      <c r="D2862">
        <v>4.0091049999999999</v>
      </c>
      <c r="E2862">
        <v>0.52039970000000002</v>
      </c>
      <c r="F2862" t="s">
        <v>59</v>
      </c>
      <c r="G2862">
        <v>-371.77260000000001</v>
      </c>
      <c r="H2862" s="1">
        <v>-5.9348909999999997E-7</v>
      </c>
      <c r="I2862">
        <v>219.5283</v>
      </c>
      <c r="J2862">
        <v>-411.53309999999999</v>
      </c>
      <c r="K2862">
        <v>1.106185</v>
      </c>
      <c r="L2862">
        <v>215.2422</v>
      </c>
      <c r="M2862">
        <v>0.99965910000000002</v>
      </c>
      <c r="N2862">
        <v>-5.5517029999999998E-3</v>
      </c>
      <c r="O2862">
        <v>2.5510669999999999E-2</v>
      </c>
      <c r="P2862">
        <v>0.98618260000000002</v>
      </c>
      <c r="Q2862">
        <v>-2.6007820000000001E-2</v>
      </c>
      <c r="R2862">
        <v>0.16360769999999999</v>
      </c>
      <c r="S2862">
        <v>2.9863279999999999</v>
      </c>
      <c r="T2862">
        <v>-8.2034109999999993E-2</v>
      </c>
      <c r="U2862">
        <v>0.31880190000000003</v>
      </c>
      <c r="V2862">
        <v>-0.1384562</v>
      </c>
      <c r="W2862">
        <v>-2.0097779999999999E-2</v>
      </c>
      <c r="X2862">
        <v>0.99016459999999995</v>
      </c>
      <c r="Y2862">
        <v>-8.0718990000000004E-2</v>
      </c>
      <c r="Z2862">
        <v>7.729748E-4</v>
      </c>
      <c r="AA2862">
        <v>0.99673659999999997</v>
      </c>
      <c r="AB2862">
        <v>49</v>
      </c>
      <c r="AC2862">
        <v>39.760499999999901</v>
      </c>
      <c r="AD2862">
        <v>-1.1061855934891001</v>
      </c>
      <c r="AE2862">
        <v>4.2861000000000002</v>
      </c>
      <c r="AF2862">
        <v>-3.2678720403153001</v>
      </c>
      <c r="AG2862">
        <v>-1.1061855934891001</v>
      </c>
      <c r="AH2862">
        <v>39.826430150515897</v>
      </c>
      <c r="AI2862">
        <v>91.585664388434907</v>
      </c>
      <c r="AJ2862">
        <v>94.690773607680796</v>
      </c>
      <c r="AK2862">
        <v>39.9755822068052</v>
      </c>
      <c r="AL2862">
        <v>91.151595520309598</v>
      </c>
      <c r="AM2862">
        <v>97.960141352216795</v>
      </c>
      <c r="AN2862">
        <v>0.99999998758626396</v>
      </c>
    </row>
    <row r="2863" spans="1:40" x14ac:dyDescent="0.25">
      <c r="A2863" t="str">
        <f>"20190305135847712"</f>
        <v>20190305135847712</v>
      </c>
      <c r="B2863" t="str">
        <f>"1551765527702151"</f>
        <v>1551765527702151</v>
      </c>
      <c r="C2863" t="s">
        <v>40</v>
      </c>
      <c r="D2863">
        <v>4.0532309999999896</v>
      </c>
      <c r="E2863">
        <v>0.5204917</v>
      </c>
      <c r="F2863" t="s">
        <v>59</v>
      </c>
      <c r="G2863">
        <v>-372.70159999999998</v>
      </c>
      <c r="H2863" s="1">
        <v>-9.9136860000000005E-8</v>
      </c>
      <c r="I2863">
        <v>219.53489999999999</v>
      </c>
      <c r="J2863">
        <v>-411.05040000000002</v>
      </c>
      <c r="K2863">
        <v>1.1060719999999999</v>
      </c>
      <c r="L2863">
        <v>215.25409999999999</v>
      </c>
      <c r="M2863">
        <v>0.99969070000000004</v>
      </c>
      <c r="N2863">
        <v>-5.2376460000000003E-3</v>
      </c>
      <c r="O2863">
        <v>2.4314490000000001E-2</v>
      </c>
      <c r="P2863">
        <v>0.98534149999999998</v>
      </c>
      <c r="Q2863">
        <v>-2.9278990000000001E-2</v>
      </c>
      <c r="R2863">
        <v>0.168062299999999</v>
      </c>
      <c r="S2863">
        <v>2.985077</v>
      </c>
      <c r="T2863">
        <v>-8.5035199999999894E-2</v>
      </c>
      <c r="U2863">
        <v>0.32998660000000002</v>
      </c>
      <c r="V2863">
        <v>-0.1441335</v>
      </c>
      <c r="W2863">
        <v>-2.3617760000000002E-2</v>
      </c>
      <c r="X2863">
        <v>0.9892763</v>
      </c>
      <c r="Y2863">
        <v>-8.5641830000000002E-2</v>
      </c>
      <c r="Z2863">
        <v>8.7777709999999998E-4</v>
      </c>
      <c r="AA2863">
        <v>0.99632560000000003</v>
      </c>
      <c r="AB2863">
        <v>49</v>
      </c>
      <c r="AC2863">
        <v>38.348799999999997</v>
      </c>
      <c r="AD2863">
        <v>-1.10607209913686</v>
      </c>
      <c r="AE2863">
        <v>4.2807999999999904</v>
      </c>
      <c r="AF2863">
        <v>-3.3443422714618598</v>
      </c>
      <c r="AG2863">
        <v>-1.10607209913686</v>
      </c>
      <c r="AH2863">
        <v>38.409989666368197</v>
      </c>
      <c r="AI2863">
        <v>91.643246709895607</v>
      </c>
      <c r="AJ2863">
        <v>94.976170706270096</v>
      </c>
      <c r="AK2863">
        <v>38.571172225999099</v>
      </c>
      <c r="AL2863">
        <v>91.353323896421102</v>
      </c>
      <c r="AM2863">
        <v>98.289434398091601</v>
      </c>
      <c r="AN2863">
        <v>0.99999993107567597</v>
      </c>
    </row>
    <row r="2864" spans="1:40" x14ac:dyDescent="0.25">
      <c r="A2864" t="str">
        <f>"20190305135847734"</f>
        <v>20190305135847734</v>
      </c>
      <c r="B2864" t="str">
        <f>"1551765527721675"</f>
        <v>1551765527721675</v>
      </c>
      <c r="C2864" t="s">
        <v>40</v>
      </c>
      <c r="D2864">
        <v>3.997411</v>
      </c>
      <c r="E2864">
        <v>0.52056740000000001</v>
      </c>
      <c r="F2864" t="s">
        <v>59</v>
      </c>
      <c r="G2864">
        <v>-376.08539999999999</v>
      </c>
      <c r="H2864" s="1">
        <v>1.701557E-6</v>
      </c>
      <c r="I2864">
        <v>219.27</v>
      </c>
      <c r="J2864">
        <v>-410.59289999999999</v>
      </c>
      <c r="K2864">
        <v>1.10599</v>
      </c>
      <c r="L2864">
        <v>215.26480000000001</v>
      </c>
      <c r="M2864">
        <v>0.99971960000000004</v>
      </c>
      <c r="N2864">
        <v>-5.0510240000000003E-3</v>
      </c>
      <c r="O2864">
        <v>2.313581E-2</v>
      </c>
      <c r="P2864">
        <v>0.98357870000000003</v>
      </c>
      <c r="Q2864">
        <v>-3.355085E-2</v>
      </c>
      <c r="R2864">
        <v>0.17733409999999999</v>
      </c>
      <c r="S2864">
        <v>2.983368</v>
      </c>
      <c r="T2864">
        <v>-9.4374780000000005E-2</v>
      </c>
      <c r="U2864">
        <v>0.34265139999999999</v>
      </c>
      <c r="V2864">
        <v>-0.1546323</v>
      </c>
      <c r="W2864">
        <v>-2.8005639999999998E-2</v>
      </c>
      <c r="X2864">
        <v>0.98757510000000004</v>
      </c>
      <c r="Y2864">
        <v>-9.1044089999999994E-2</v>
      </c>
      <c r="Z2864">
        <v>1.053207E-3</v>
      </c>
      <c r="AA2864">
        <v>0.99584629999999996</v>
      </c>
      <c r="AB2864">
        <v>49</v>
      </c>
      <c r="AC2864">
        <v>34.507499999999901</v>
      </c>
      <c r="AD2864">
        <v>-1.1059882984430001</v>
      </c>
      <c r="AE2864">
        <v>4.0052000000000003</v>
      </c>
      <c r="AF2864">
        <v>-3.2025127450312199</v>
      </c>
      <c r="AG2864">
        <v>-1.1059882984430001</v>
      </c>
      <c r="AH2864">
        <v>34.5559023852189</v>
      </c>
      <c r="AI2864">
        <v>91.825353025169306</v>
      </c>
      <c r="AJ2864">
        <v>95.294835771985106</v>
      </c>
      <c r="AK2864">
        <v>34.721602607816898</v>
      </c>
      <c r="AL2864">
        <v>91.6048147676036</v>
      </c>
      <c r="AM2864">
        <v>98.898990117069303</v>
      </c>
      <c r="AN2864">
        <v>1.0000000211075499</v>
      </c>
    </row>
    <row r="2865" spans="1:40" x14ac:dyDescent="0.25">
      <c r="A2865" t="str">
        <f>"20190305135847756"</f>
        <v>20190305135847756</v>
      </c>
      <c r="B2865" t="str">
        <f>"1551765527751927"</f>
        <v>1551765527751927</v>
      </c>
      <c r="C2865" t="s">
        <v>40</v>
      </c>
      <c r="D2865">
        <v>3.9690470000000002</v>
      </c>
      <c r="E2865">
        <v>0.52090879999999995</v>
      </c>
      <c r="F2865" t="s">
        <v>59</v>
      </c>
      <c r="G2865">
        <v>-379.76280000000003</v>
      </c>
      <c r="H2865" s="1">
        <v>3.6585199999999999E-6</v>
      </c>
      <c r="I2865">
        <v>219.0959</v>
      </c>
      <c r="J2865">
        <v>-410.09750000000003</v>
      </c>
      <c r="K2865">
        <v>1.1059270000000001</v>
      </c>
      <c r="L2865">
        <v>215.2757</v>
      </c>
      <c r="M2865">
        <v>0.99975029999999998</v>
      </c>
      <c r="N2865">
        <v>-4.9125640000000003E-3</v>
      </c>
      <c r="O2865">
        <v>2.1801319999999999E-2</v>
      </c>
      <c r="P2865">
        <v>0.98065829999999998</v>
      </c>
      <c r="Q2865">
        <v>-3.940507E-2</v>
      </c>
      <c r="R2865">
        <v>0.19172</v>
      </c>
      <c r="S2865">
        <v>2.9796450000000001</v>
      </c>
      <c r="T2865">
        <v>-0.10689070000000001</v>
      </c>
      <c r="U2865">
        <v>0.37026979999999998</v>
      </c>
      <c r="V2865">
        <v>-0.17042570000000001</v>
      </c>
      <c r="W2865">
        <v>-3.3914949999999999E-2</v>
      </c>
      <c r="X2865">
        <v>0.98478670000000001</v>
      </c>
      <c r="Y2865">
        <v>-0.1015905</v>
      </c>
      <c r="Z2865">
        <v>1.3933979999999999E-3</v>
      </c>
      <c r="AA2865">
        <v>0.99482530000000002</v>
      </c>
      <c r="AB2865">
        <v>49</v>
      </c>
      <c r="AC2865">
        <v>30.334700000000002</v>
      </c>
      <c r="AD2865">
        <v>-1.1059233414799901</v>
      </c>
      <c r="AE2865">
        <v>3.8201999999999998</v>
      </c>
      <c r="AF2865">
        <v>-3.1538211277430102</v>
      </c>
      <c r="AG2865">
        <v>-1.1059233414799901</v>
      </c>
      <c r="AH2865">
        <v>30.371039230310998</v>
      </c>
      <c r="AI2865">
        <v>92.074288509008795</v>
      </c>
      <c r="AJ2865">
        <v>95.928519200081894</v>
      </c>
      <c r="AK2865">
        <v>30.554372486963601</v>
      </c>
      <c r="AL2865">
        <v>91.943556218441501</v>
      </c>
      <c r="AM2865">
        <v>99.818275256182304</v>
      </c>
      <c r="AN2865">
        <v>0.99999999377544102</v>
      </c>
    </row>
    <row r="2866" spans="1:40" x14ac:dyDescent="0.25">
      <c r="A2866" t="str">
        <f>"20190305135847779"</f>
        <v>20190305135847779</v>
      </c>
      <c r="B2866" t="str">
        <f>"1551765527771448"</f>
        <v>1551765527771448</v>
      </c>
      <c r="C2866" t="s">
        <v>40</v>
      </c>
      <c r="D2866">
        <v>3.9193410000000002</v>
      </c>
      <c r="E2866">
        <v>0.52126049999999902</v>
      </c>
      <c r="F2866" t="s">
        <v>59</v>
      </c>
      <c r="G2866">
        <v>-383.36579999999998</v>
      </c>
      <c r="H2866" s="1">
        <v>6.3944679999999998E-8</v>
      </c>
      <c r="I2866">
        <v>218.97210000000001</v>
      </c>
      <c r="J2866">
        <v>-409.60210000000001</v>
      </c>
      <c r="K2866">
        <v>1.1058840000000001</v>
      </c>
      <c r="L2866">
        <v>215.2859</v>
      </c>
      <c r="M2866">
        <v>0.99978040000000001</v>
      </c>
      <c r="N2866">
        <v>-4.8198449999999997E-3</v>
      </c>
      <c r="O2866">
        <v>2.040546E-2</v>
      </c>
      <c r="P2866">
        <v>0.97675109999999998</v>
      </c>
      <c r="Q2866">
        <v>-4.5837099999999999E-2</v>
      </c>
      <c r="R2866">
        <v>0.20942</v>
      </c>
      <c r="S2866">
        <v>2.973846</v>
      </c>
      <c r="T2866">
        <v>-0.12303219999999999</v>
      </c>
      <c r="U2866">
        <v>0.41122439999999999</v>
      </c>
      <c r="V2866">
        <v>-0.18960740000000001</v>
      </c>
      <c r="W2866">
        <v>-4.0352819999999998E-2</v>
      </c>
      <c r="X2866">
        <v>0.98103039999999997</v>
      </c>
      <c r="Y2866">
        <v>-0.11663900000000001</v>
      </c>
      <c r="Z2866">
        <v>1.941255E-3</v>
      </c>
      <c r="AA2866">
        <v>0.99317250000000001</v>
      </c>
      <c r="AB2866">
        <v>49</v>
      </c>
      <c r="AC2866">
        <v>26.2363</v>
      </c>
      <c r="AD2866">
        <v>-1.1058839360553201</v>
      </c>
      <c r="AE2866">
        <v>3.6862000000000101</v>
      </c>
      <c r="AF2866">
        <v>-3.14458377604655</v>
      </c>
      <c r="AG2866">
        <v>-1.1058839360553201</v>
      </c>
      <c r="AH2866">
        <v>26.260303121612601</v>
      </c>
      <c r="AI2866">
        <v>92.394351550283105</v>
      </c>
      <c r="AJ2866">
        <v>96.828464126106596</v>
      </c>
      <c r="AK2866">
        <v>26.471020124724699</v>
      </c>
      <c r="AL2866">
        <v>92.312674251838004</v>
      </c>
      <c r="AM2866">
        <v>100.938893137752</v>
      </c>
      <c r="AN2866">
        <v>0.99999998097043596</v>
      </c>
    </row>
    <row r="2867" spans="1:40" x14ac:dyDescent="0.25">
      <c r="A2867" t="str">
        <f>"20190305135847801"</f>
        <v>20190305135847801</v>
      </c>
      <c r="B2867" t="str">
        <f>"1551765527792127"</f>
        <v>1551765527792127</v>
      </c>
      <c r="C2867" t="s">
        <v>40</v>
      </c>
      <c r="D2867">
        <v>3.9422350000000002</v>
      </c>
      <c r="E2867">
        <v>0.53813080000000002</v>
      </c>
      <c r="F2867" t="s">
        <v>59</v>
      </c>
      <c r="G2867">
        <v>-386.54509999999999</v>
      </c>
      <c r="H2867" s="1">
        <v>1.759827E-6</v>
      </c>
      <c r="I2867">
        <v>218.87970000000001</v>
      </c>
      <c r="J2867">
        <v>-409.09840000000003</v>
      </c>
      <c r="K2867">
        <v>1.1058490000000001</v>
      </c>
      <c r="L2867">
        <v>215.2954</v>
      </c>
      <c r="M2867">
        <v>0.99980950000000002</v>
      </c>
      <c r="N2867">
        <v>-4.7628189999999997E-3</v>
      </c>
      <c r="O2867">
        <v>1.8936129999999999E-2</v>
      </c>
      <c r="P2867">
        <v>0.97411110000000001</v>
      </c>
      <c r="Q2867">
        <v>-4.7678100000000001E-2</v>
      </c>
      <c r="R2867">
        <v>0.22098509999999999</v>
      </c>
      <c r="S2867">
        <v>2.9656370000000001</v>
      </c>
      <c r="T2867">
        <v>-0.14224100000000001</v>
      </c>
      <c r="U2867">
        <v>0.46224979999999899</v>
      </c>
      <c r="V2867">
        <v>-0.2026743</v>
      </c>
      <c r="W2867">
        <v>-4.2186809999999998E-2</v>
      </c>
      <c r="X2867">
        <v>0.97833700000000001</v>
      </c>
      <c r="Y2867">
        <v>-0.1351213</v>
      </c>
      <c r="Z2867">
        <v>2.7307989999999999E-3</v>
      </c>
      <c r="AA2867">
        <v>0.99082530000000002</v>
      </c>
      <c r="AB2867">
        <v>49</v>
      </c>
      <c r="AC2867">
        <v>22.5533</v>
      </c>
      <c r="AD2867">
        <v>-1.105847240173</v>
      </c>
      <c r="AE2867">
        <v>3.58430000000001</v>
      </c>
      <c r="AF2867">
        <v>-3.1491955359488601</v>
      </c>
      <c r="AG2867">
        <v>-1.105847240173</v>
      </c>
      <c r="AH2867">
        <v>22.564217131896701</v>
      </c>
      <c r="AI2867">
        <v>92.778866728771007</v>
      </c>
      <c r="AJ2867">
        <v>97.945215623628698</v>
      </c>
      <c r="AK2867">
        <v>22.809739705170202</v>
      </c>
      <c r="AL2867">
        <v>92.417843849542095</v>
      </c>
      <c r="AM2867">
        <v>101.703955986042</v>
      </c>
      <c r="AN2867">
        <v>0.99999994219373101</v>
      </c>
    </row>
    <row r="2868" spans="1:40" x14ac:dyDescent="0.25">
      <c r="A2868" t="str">
        <f>"20190305135847823"</f>
        <v>20190305135847823</v>
      </c>
      <c r="B2868" t="str">
        <f>"1551765527811650"</f>
        <v>1551765527811650</v>
      </c>
      <c r="C2868" t="s">
        <v>40</v>
      </c>
      <c r="D2868">
        <v>3.9538169999999999</v>
      </c>
      <c r="E2868">
        <v>0.53962699999999997</v>
      </c>
      <c r="F2868" t="s">
        <v>43</v>
      </c>
      <c r="G2868">
        <v>-322.92959999999999</v>
      </c>
      <c r="H2868">
        <v>-0.05</v>
      </c>
      <c r="I2868">
        <v>225.92599999999999</v>
      </c>
      <c r="J2868">
        <v>-408.6157</v>
      </c>
      <c r="K2868">
        <v>1.1058460000000001</v>
      </c>
      <c r="L2868">
        <v>215.3039</v>
      </c>
      <c r="M2868">
        <v>0.99983560000000005</v>
      </c>
      <c r="N2868">
        <v>-4.7328209999999999E-3</v>
      </c>
      <c r="O2868">
        <v>1.750063E-2</v>
      </c>
      <c r="P2868">
        <v>0.97364439999999997</v>
      </c>
      <c r="Q2868">
        <v>-4.3291940000000001E-2</v>
      </c>
      <c r="R2868">
        <v>0.22392480000000001</v>
      </c>
      <c r="S2868">
        <v>2.9940190000000002</v>
      </c>
      <c r="T2868">
        <v>-4.0161130000000003E-2</v>
      </c>
      <c r="U2868">
        <v>0.36936950000000002</v>
      </c>
      <c r="V2868">
        <v>-0.2070118</v>
      </c>
      <c r="W2868">
        <v>-3.7795960000000003E-2</v>
      </c>
      <c r="X2868">
        <v>0.97760809999999998</v>
      </c>
      <c r="Y2868">
        <v>-0.105041</v>
      </c>
      <c r="Z2868">
        <v>8.0008970000000005E-4</v>
      </c>
      <c r="AA2868">
        <v>0.99446760000000001</v>
      </c>
      <c r="AB2868">
        <v>49</v>
      </c>
      <c r="AC2868">
        <v>85.686099999999996</v>
      </c>
      <c r="AD2868">
        <v>-1.1558459999999999</v>
      </c>
      <c r="AE2868">
        <v>10.6220999999999</v>
      </c>
      <c r="AF2868">
        <v>-9.1192613700781404</v>
      </c>
      <c r="AG2868">
        <v>-1.1558459999999999</v>
      </c>
      <c r="AH2868">
        <v>85.843488814316899</v>
      </c>
      <c r="AI2868">
        <v>90.767100908497994</v>
      </c>
      <c r="AJ2868">
        <v>96.063860304220398</v>
      </c>
      <c r="AK2868">
        <v>86.334242799281398</v>
      </c>
      <c r="AL2868">
        <v>92.166064897431994</v>
      </c>
      <c r="AM2868">
        <v>101.955962074799</v>
      </c>
      <c r="AN2868">
        <v>1.0000000085585801</v>
      </c>
    </row>
    <row r="2869" spans="1:40" x14ac:dyDescent="0.25">
      <c r="A2869" t="str">
        <f>"20190305135847845"</f>
        <v>20190305135847845</v>
      </c>
      <c r="B2869" t="str">
        <f>"1551765527841903"</f>
        <v>1551765527841903</v>
      </c>
      <c r="C2869" t="s">
        <v>40</v>
      </c>
      <c r="D2869">
        <v>3.8994499999999999</v>
      </c>
      <c r="E2869">
        <v>0.54331580000000002</v>
      </c>
      <c r="F2869" t="s">
        <v>67</v>
      </c>
      <c r="G2869">
        <v>-273.90989999999999</v>
      </c>
      <c r="H2869">
        <v>1.9173899999999999</v>
      </c>
      <c r="I2869">
        <v>231.7921</v>
      </c>
      <c r="J2869">
        <v>-408.12020000000001</v>
      </c>
      <c r="K2869">
        <v>1.1058380000000001</v>
      </c>
      <c r="L2869">
        <v>215.31190000000001</v>
      </c>
      <c r="M2869">
        <v>0.99986070000000005</v>
      </c>
      <c r="N2869">
        <v>-4.7208750000000002E-3</v>
      </c>
      <c r="O2869">
        <v>1.601064E-2</v>
      </c>
      <c r="P2869">
        <v>0.97419880000000003</v>
      </c>
      <c r="Q2869">
        <v>-3.8319480000000003E-2</v>
      </c>
      <c r="R2869">
        <v>0.22241440000000001</v>
      </c>
      <c r="S2869">
        <v>2.99762</v>
      </c>
      <c r="T2869">
        <v>1.8059970000000002E-2</v>
      </c>
      <c r="U2869">
        <v>0.36691279999999998</v>
      </c>
      <c r="V2869">
        <v>-0.20693120000000001</v>
      </c>
      <c r="W2869">
        <v>-3.2815480000000001E-2</v>
      </c>
      <c r="X2869">
        <v>0.97780500000000004</v>
      </c>
      <c r="Y2869">
        <v>-0.1055874</v>
      </c>
      <c r="Z2869">
        <v>1.046741E-4</v>
      </c>
      <c r="AA2869">
        <v>0.99441000000000002</v>
      </c>
      <c r="AB2869">
        <v>50</v>
      </c>
      <c r="AC2869">
        <v>134.21029999999999</v>
      </c>
      <c r="AD2869">
        <v>0.81155200000000005</v>
      </c>
      <c r="AE2869">
        <v>16.4801999999999</v>
      </c>
      <c r="AF2869">
        <v>-14.3287547101085</v>
      </c>
      <c r="AG2869">
        <v>0.81155200000000005</v>
      </c>
      <c r="AH2869">
        <v>134.45211506131</v>
      </c>
      <c r="AI2869">
        <v>89.656114560285999</v>
      </c>
      <c r="AJ2869">
        <v>96.083133055344305</v>
      </c>
      <c r="AK2869">
        <v>135.21591279376401</v>
      </c>
      <c r="AL2869">
        <v>91.880526123384399</v>
      </c>
      <c r="AM2869">
        <v>101.949103438104</v>
      </c>
      <c r="AN2869">
        <v>0.99999999764303504</v>
      </c>
    </row>
    <row r="2870" spans="1:40" x14ac:dyDescent="0.25">
      <c r="A2870" t="str">
        <f>"20190305135847869"</f>
        <v>20190305135847869</v>
      </c>
      <c r="B2870" t="str">
        <f>"1551765527861423"</f>
        <v>1551765527861423</v>
      </c>
      <c r="C2870" t="s">
        <v>40</v>
      </c>
      <c r="D2870">
        <v>3.8425950000000002</v>
      </c>
      <c r="E2870">
        <v>0.54508789999999996</v>
      </c>
      <c r="F2870" t="s">
        <v>67</v>
      </c>
      <c r="G2870">
        <v>-274.99669999999998</v>
      </c>
      <c r="H2870">
        <v>2.0520420000000001</v>
      </c>
      <c r="I2870">
        <v>230.05260000000001</v>
      </c>
      <c r="J2870">
        <v>-407.6046</v>
      </c>
      <c r="K2870">
        <v>1.105804</v>
      </c>
      <c r="L2870">
        <v>215.31950000000001</v>
      </c>
      <c r="M2870">
        <v>0.99988440000000001</v>
      </c>
      <c r="N2870">
        <v>-4.7223559999999996E-3</v>
      </c>
      <c r="O2870">
        <v>1.4455519999999999E-2</v>
      </c>
      <c r="P2870">
        <v>0.97569810000000001</v>
      </c>
      <c r="Q2870">
        <v>-3.7601780000000001E-2</v>
      </c>
      <c r="R2870">
        <v>0.21586929999999999</v>
      </c>
      <c r="S2870">
        <v>3.0043639999999998</v>
      </c>
      <c r="T2870">
        <v>2.1354910000000001E-2</v>
      </c>
      <c r="U2870">
        <v>0.33267210000000003</v>
      </c>
      <c r="V2870">
        <v>-0.2018856</v>
      </c>
      <c r="W2870">
        <v>-3.209327E-2</v>
      </c>
      <c r="X2870">
        <v>0.97888310000000001</v>
      </c>
      <c r="Y2870">
        <v>-9.5677830000000005E-2</v>
      </c>
      <c r="Z2870" s="1">
        <v>5.8088160000000001E-5</v>
      </c>
      <c r="AA2870">
        <v>0.99541230000000003</v>
      </c>
      <c r="AB2870">
        <v>50</v>
      </c>
      <c r="AC2870">
        <v>132.6079</v>
      </c>
      <c r="AD2870">
        <v>0.94623799999999902</v>
      </c>
      <c r="AE2870">
        <v>14.7331</v>
      </c>
      <c r="AF2870">
        <v>-12.8139786110203</v>
      </c>
      <c r="AG2870">
        <v>0.94623799999999902</v>
      </c>
      <c r="AH2870">
        <v>132.80034161312199</v>
      </c>
      <c r="AI2870">
        <v>89.593646351510301</v>
      </c>
      <c r="AJ2870">
        <v>95.511439183988898</v>
      </c>
      <c r="AK2870">
        <v>133.42047873830401</v>
      </c>
      <c r="AL2870">
        <v>91.8391248184261</v>
      </c>
      <c r="AM2870">
        <v>101.653333082777</v>
      </c>
      <c r="AN2870">
        <v>0.99999994846613005</v>
      </c>
    </row>
    <row r="2871" spans="1:40" x14ac:dyDescent="0.25">
      <c r="A2871" t="str">
        <f>"20190305135847892"</f>
        <v>20190305135847892</v>
      </c>
      <c r="B2871" t="str">
        <f>"1551765527881919"</f>
        <v>1551765527881919</v>
      </c>
      <c r="C2871" t="s">
        <v>40</v>
      </c>
      <c r="D2871">
        <v>3.9141379999999999</v>
      </c>
      <c r="E2871">
        <v>0.54648359999999996</v>
      </c>
      <c r="F2871" t="s">
        <v>67</v>
      </c>
      <c r="G2871">
        <v>-256.82780000000002</v>
      </c>
      <c r="H2871">
        <v>1.8225150000000001</v>
      </c>
      <c r="I2871">
        <v>230.2698</v>
      </c>
      <c r="J2871">
        <v>-407.0736</v>
      </c>
      <c r="K2871">
        <v>1.1057600000000001</v>
      </c>
      <c r="L2871">
        <v>215.32660000000001</v>
      </c>
      <c r="M2871">
        <v>0.99990619999999997</v>
      </c>
      <c r="N2871">
        <v>-4.7337769999999998E-3</v>
      </c>
      <c r="O2871">
        <v>1.285439E-2</v>
      </c>
      <c r="P2871">
        <v>0.9772691</v>
      </c>
      <c r="Q2871">
        <v>-4.0162110000000001E-2</v>
      </c>
      <c r="R2871">
        <v>0.20816380000000001</v>
      </c>
      <c r="S2871">
        <v>3.009277</v>
      </c>
      <c r="T2871">
        <v>1.4305E-2</v>
      </c>
      <c r="U2871">
        <v>0.29838559999999997</v>
      </c>
      <c r="V2871">
        <v>-0.1957419</v>
      </c>
      <c r="W2871">
        <v>-3.4644059999999997E-2</v>
      </c>
      <c r="X2871">
        <v>0.98004329999999995</v>
      </c>
      <c r="Y2871">
        <v>-8.5872000000000004E-2</v>
      </c>
      <c r="Z2871">
        <v>1.218019E-4</v>
      </c>
      <c r="AA2871">
        <v>0.99630620000000003</v>
      </c>
      <c r="AB2871">
        <v>50</v>
      </c>
      <c r="AC2871">
        <v>150.24579999999901</v>
      </c>
      <c r="AD2871">
        <v>0.71675500000000003</v>
      </c>
      <c r="AE2871">
        <v>14.9431999999999</v>
      </c>
      <c r="AF2871">
        <v>-13.010332460702299</v>
      </c>
      <c r="AG2871">
        <v>0.71675500000000003</v>
      </c>
      <c r="AH2871">
        <v>150.422084324119</v>
      </c>
      <c r="AI2871">
        <v>89.728005520658499</v>
      </c>
      <c r="AJ2871">
        <v>94.943333931365899</v>
      </c>
      <c r="AK2871">
        <v>150.98538320274699</v>
      </c>
      <c r="AL2871">
        <v>91.985355726879504</v>
      </c>
      <c r="AM2871">
        <v>101.294936058631</v>
      </c>
      <c r="AN2871">
        <v>0.999999986091891</v>
      </c>
    </row>
    <row r="2872" spans="1:40" x14ac:dyDescent="0.25">
      <c r="A2872" t="str">
        <f>"20190305135847915"</f>
        <v>20190305135847915</v>
      </c>
      <c r="B2872" t="str">
        <f>"1551765527912175"</f>
        <v>1551765527912175</v>
      </c>
      <c r="C2872" t="s">
        <v>40</v>
      </c>
      <c r="D2872">
        <v>3.8011599999999999</v>
      </c>
      <c r="E2872">
        <v>0.54936119999999899</v>
      </c>
      <c r="F2872" t="s">
        <v>75</v>
      </c>
      <c r="G2872">
        <v>-234.637</v>
      </c>
      <c r="H2872">
        <v>1.611081</v>
      </c>
      <c r="I2872">
        <v>230.41900000000001</v>
      </c>
      <c r="J2872">
        <v>-406.57990000000001</v>
      </c>
      <c r="K2872">
        <v>1.105715</v>
      </c>
      <c r="L2872">
        <v>215.33240000000001</v>
      </c>
      <c r="M2872">
        <v>0.99992420000000004</v>
      </c>
      <c r="N2872">
        <v>-4.7505120000000001E-3</v>
      </c>
      <c r="O2872">
        <v>1.136859E-2</v>
      </c>
      <c r="P2872">
        <v>0.97904179999999996</v>
      </c>
      <c r="Q2872">
        <v>-4.1659429999999997E-2</v>
      </c>
      <c r="R2872">
        <v>0.19935369999999999</v>
      </c>
      <c r="S2872">
        <v>3.0139469999999999</v>
      </c>
      <c r="T2872">
        <v>8.8322160000000004E-3</v>
      </c>
      <c r="U2872">
        <v>0.26379390000000003</v>
      </c>
      <c r="V2872">
        <v>-0.18837789999999999</v>
      </c>
      <c r="W2872">
        <v>-3.6134090000000001E-2</v>
      </c>
      <c r="X2872">
        <v>0.98143170000000002</v>
      </c>
      <c r="Y2872">
        <v>-7.5860570000000002E-2</v>
      </c>
      <c r="Z2872">
        <v>1.5675030000000001E-4</v>
      </c>
      <c r="AA2872">
        <v>0.99711839999999996</v>
      </c>
      <c r="AB2872">
        <v>50</v>
      </c>
      <c r="AC2872">
        <v>171.94290000000001</v>
      </c>
      <c r="AD2872">
        <v>0.50536599999999998</v>
      </c>
      <c r="AE2872">
        <v>15.086600000000001</v>
      </c>
      <c r="AF2872">
        <v>-13.130742271814</v>
      </c>
      <c r="AG2872">
        <v>0.50536599999999998</v>
      </c>
      <c r="AH2872">
        <v>172.10182795177201</v>
      </c>
      <c r="AI2872">
        <v>89.832242652729207</v>
      </c>
      <c r="AJ2872">
        <v>94.363006390680098</v>
      </c>
      <c r="AK2872">
        <v>172.60275482084299</v>
      </c>
      <c r="AL2872">
        <v>92.070781556890495</v>
      </c>
      <c r="AM2872">
        <v>100.865316732285</v>
      </c>
      <c r="AN2872">
        <v>1.00000004371671</v>
      </c>
    </row>
    <row r="2873" spans="1:40" x14ac:dyDescent="0.25">
      <c r="A2873" t="str">
        <f>"20190305135847935"</f>
        <v>20190305135847935</v>
      </c>
      <c r="B2873" t="str">
        <f>"1551765527931695"</f>
        <v>1551765527931695</v>
      </c>
      <c r="C2873" t="s">
        <v>40</v>
      </c>
      <c r="D2873">
        <v>3.8540019999999999</v>
      </c>
      <c r="E2873">
        <v>0.55070299999999905</v>
      </c>
      <c r="F2873" t="s">
        <v>73</v>
      </c>
      <c r="G2873">
        <v>-157.25</v>
      </c>
      <c r="H2873">
        <v>3.3213810000000001</v>
      </c>
      <c r="I2873">
        <v>233.03389999999999</v>
      </c>
      <c r="J2873">
        <v>-406.13240000000002</v>
      </c>
      <c r="K2873">
        <v>1.1056779999999999</v>
      </c>
      <c r="L2873">
        <v>215.33699999999999</v>
      </c>
      <c r="M2873">
        <v>0.99993849999999995</v>
      </c>
      <c r="N2873">
        <v>-4.7692849999999998E-3</v>
      </c>
      <c r="O2873">
        <v>1.0023519999999999E-2</v>
      </c>
      <c r="P2873">
        <v>0.981074</v>
      </c>
      <c r="Q2873">
        <v>-4.2050820000000003E-2</v>
      </c>
      <c r="R2873">
        <v>0.1890124</v>
      </c>
      <c r="S2873">
        <v>3.0216059999999998</v>
      </c>
      <c r="T2873">
        <v>2.6852129999999998E-2</v>
      </c>
      <c r="U2873">
        <v>0.2145233</v>
      </c>
      <c r="V2873">
        <v>-0.17934149999999999</v>
      </c>
      <c r="W2873">
        <v>-3.6526370000000002E-2</v>
      </c>
      <c r="X2873">
        <v>0.9831086</v>
      </c>
      <c r="Y2873">
        <v>-6.081599E-2</v>
      </c>
      <c r="Z2873" s="1">
        <v>1.20287899999999E-5</v>
      </c>
      <c r="AA2873">
        <v>0.99814899999999995</v>
      </c>
      <c r="AB2873">
        <v>50</v>
      </c>
      <c r="AC2873">
        <v>248.88239999999999</v>
      </c>
      <c r="AD2873">
        <v>2.2157029999999902</v>
      </c>
      <c r="AE2873">
        <v>17.6968999999999</v>
      </c>
      <c r="AF2873">
        <v>-15.2001064878508</v>
      </c>
      <c r="AG2873">
        <v>2.2157029999999902</v>
      </c>
      <c r="AH2873">
        <v>249.02764614366799</v>
      </c>
      <c r="AI2873">
        <v>89.491175876334395</v>
      </c>
      <c r="AJ2873">
        <v>93.492876496902895</v>
      </c>
      <c r="AK2873">
        <v>249.50094412823799</v>
      </c>
      <c r="AL2873">
        <v>92.093272411597795</v>
      </c>
      <c r="AM2873">
        <v>100.338380734655</v>
      </c>
      <c r="AN2873">
        <v>1.00000003436079</v>
      </c>
    </row>
    <row r="2874" spans="1:40" x14ac:dyDescent="0.25">
      <c r="A2874" t="str">
        <f>"20190305135847957"</f>
        <v>20190305135847957</v>
      </c>
      <c r="B2874" t="str">
        <f>"1551765527952191"</f>
        <v>1551765527952191</v>
      </c>
      <c r="C2874" t="s">
        <v>40</v>
      </c>
      <c r="D2874">
        <v>3.8006090000000001</v>
      </c>
      <c r="E2874">
        <v>0.58629430000000005</v>
      </c>
      <c r="F2874" t="s">
        <v>73</v>
      </c>
      <c r="G2874">
        <v>-157.25</v>
      </c>
      <c r="H2874">
        <v>3.8918439999999999</v>
      </c>
      <c r="I2874">
        <v>229.50409999999999</v>
      </c>
      <c r="J2874">
        <v>-405.6182</v>
      </c>
      <c r="K2874">
        <v>1.1056330000000001</v>
      </c>
      <c r="L2874">
        <v>215.3415</v>
      </c>
      <c r="M2874">
        <v>0.99995270000000003</v>
      </c>
      <c r="N2874">
        <v>-4.7934170000000003E-3</v>
      </c>
      <c r="O2874">
        <v>8.4791880000000003E-3</v>
      </c>
      <c r="P2874">
        <v>0.98335890000000004</v>
      </c>
      <c r="Q2874">
        <v>-4.3820970000000001E-2</v>
      </c>
      <c r="R2874">
        <v>0.17631079999999999</v>
      </c>
      <c r="S2874">
        <v>3.0261230000000001</v>
      </c>
      <c r="T2874">
        <v>3.3877249999999998E-2</v>
      </c>
      <c r="U2874">
        <v>0.17225650000000001</v>
      </c>
      <c r="V2874">
        <v>-0.1681503</v>
      </c>
      <c r="W2874">
        <v>-3.8301920000000003E-2</v>
      </c>
      <c r="X2874">
        <v>0.98501700000000003</v>
      </c>
      <c r="Y2874">
        <v>-4.8362889999999999E-2</v>
      </c>
      <c r="Z2874" s="1">
        <v>-1.9023839999999998E-5</v>
      </c>
      <c r="AA2874">
        <v>0.99882979999999999</v>
      </c>
      <c r="AB2874">
        <v>50</v>
      </c>
      <c r="AC2874">
        <v>248.3682</v>
      </c>
      <c r="AD2874">
        <v>2.7862110000000002</v>
      </c>
      <c r="AE2874">
        <v>14.1625999999999</v>
      </c>
      <c r="AF2874">
        <v>-12.0545941984869</v>
      </c>
      <c r="AG2874">
        <v>2.7862110000000002</v>
      </c>
      <c r="AH2874">
        <v>248.44819529641001</v>
      </c>
      <c r="AI2874">
        <v>89.358240907710098</v>
      </c>
      <c r="AJ2874">
        <v>92.777786932613594</v>
      </c>
      <c r="AK2874">
        <v>248.75606919042201</v>
      </c>
      <c r="AL2874">
        <v>92.195075240246297</v>
      </c>
      <c r="AM2874">
        <v>99.687467714201901</v>
      </c>
      <c r="AN2874">
        <v>1.00000002537738</v>
      </c>
    </row>
    <row r="2875" spans="1:40" x14ac:dyDescent="0.25">
      <c r="A2875" t="str">
        <f>"20190305135847981"</f>
        <v>20190305135847981</v>
      </c>
      <c r="B2875" t="str">
        <f>"1551765527972687"</f>
        <v>1551765527972687</v>
      </c>
      <c r="C2875" t="s">
        <v>40</v>
      </c>
      <c r="D2875">
        <v>3.7122199999999999</v>
      </c>
      <c r="E2875">
        <v>0.59839779999999998</v>
      </c>
      <c r="F2875" t="s">
        <v>70</v>
      </c>
      <c r="G2875">
        <v>-168.41489999999999</v>
      </c>
      <c r="H2875">
        <v>11.190469999999999</v>
      </c>
      <c r="I2875">
        <v>204.2081</v>
      </c>
      <c r="J2875">
        <v>-405.08159999999998</v>
      </c>
      <c r="K2875">
        <v>1.1055809999999999</v>
      </c>
      <c r="L2875">
        <v>215.34540000000001</v>
      </c>
      <c r="M2875">
        <v>0.99996479999999999</v>
      </c>
      <c r="N2875">
        <v>-4.8204600000000004E-3</v>
      </c>
      <c r="O2875">
        <v>6.8673459999999999E-3</v>
      </c>
      <c r="P2875">
        <v>0.98562179999999999</v>
      </c>
      <c r="Q2875">
        <v>-4.6148759999999997E-2</v>
      </c>
      <c r="R2875">
        <v>0.16254289999999999</v>
      </c>
      <c r="S2875">
        <v>3.0825499999999999</v>
      </c>
      <c r="T2875">
        <v>0.1310569</v>
      </c>
      <c r="U2875">
        <v>-0.1446838</v>
      </c>
      <c r="V2875">
        <v>-0.1559682</v>
      </c>
      <c r="W2875">
        <v>-4.0640040000000002E-2</v>
      </c>
      <c r="X2875">
        <v>0.98692570000000002</v>
      </c>
      <c r="Y2875">
        <v>5.3692990000000003E-2</v>
      </c>
      <c r="Z2875">
        <v>1.3354759999999999E-3</v>
      </c>
      <c r="AA2875">
        <v>0.99855660000000002</v>
      </c>
      <c r="AB2875">
        <v>50</v>
      </c>
      <c r="AC2875">
        <v>236.66669999999999</v>
      </c>
      <c r="AD2875">
        <v>10.084889</v>
      </c>
      <c r="AE2875">
        <v>-11.1373</v>
      </c>
      <c r="AF2875">
        <v>12.739247563005</v>
      </c>
      <c r="AG2875">
        <v>10.084889</v>
      </c>
      <c r="AH2875">
        <v>236.15676871615801</v>
      </c>
      <c r="AI2875">
        <v>87.558260335441005</v>
      </c>
      <c r="AJ2875">
        <v>86.912227588183001</v>
      </c>
      <c r="AK2875">
        <v>236.71504562463099</v>
      </c>
      <c r="AL2875">
        <v>92.329144177805802</v>
      </c>
      <c r="AM2875">
        <v>98.980433296251704</v>
      </c>
      <c r="AN2875">
        <v>1.0000000147914601</v>
      </c>
    </row>
    <row r="2876" spans="1:40" x14ac:dyDescent="0.25">
      <c r="A2876" t="str">
        <f>"20190305135848025"</f>
        <v>20190305135848025</v>
      </c>
      <c r="B2876" t="str">
        <f>"1551765528021488"</f>
        <v>1551765528021488</v>
      </c>
      <c r="C2876" t="s">
        <v>40</v>
      </c>
      <c r="D2876">
        <v>3.7117520000000002</v>
      </c>
      <c r="E2876">
        <v>0.65373000000000003</v>
      </c>
      <c r="F2876" t="s">
        <v>71</v>
      </c>
      <c r="G2876">
        <v>-233.8484</v>
      </c>
      <c r="H2876">
        <v>6.7491099999999999</v>
      </c>
      <c r="I2876">
        <v>199.6499</v>
      </c>
      <c r="J2876">
        <v>-404.07159999999999</v>
      </c>
      <c r="K2876">
        <v>1.105475</v>
      </c>
      <c r="L2876">
        <v>215.35040000000001</v>
      </c>
      <c r="M2876">
        <v>0.99998069999999895</v>
      </c>
      <c r="N2876">
        <v>-4.8734939999999999E-3</v>
      </c>
      <c r="O2876">
        <v>3.830221E-3</v>
      </c>
      <c r="P2876">
        <v>0.98890699999999998</v>
      </c>
      <c r="Q2876">
        <v>-5.0164380000000001E-2</v>
      </c>
      <c r="R2876">
        <v>0.13980860000000001</v>
      </c>
      <c r="S2876">
        <v>3.0953369999999998</v>
      </c>
      <c r="T2876">
        <v>0.1020182</v>
      </c>
      <c r="U2876">
        <v>-0.28372190000000003</v>
      </c>
      <c r="V2876">
        <v>-0.136242</v>
      </c>
      <c r="W2876">
        <v>-4.4669889999999997E-2</v>
      </c>
      <c r="X2876">
        <v>0.98966799999999999</v>
      </c>
      <c r="Y2876">
        <v>9.5045760000000007E-2</v>
      </c>
      <c r="Z2876">
        <v>1.4750200000000001E-3</v>
      </c>
      <c r="AA2876">
        <v>0.99547180000000002</v>
      </c>
      <c r="AB2876">
        <v>51</v>
      </c>
      <c r="AC2876">
        <v>170.22319999999999</v>
      </c>
      <c r="AD2876">
        <v>5.6436349999999997</v>
      </c>
      <c r="AE2876">
        <v>-15.7005</v>
      </c>
      <c r="AF2876">
        <v>16.334581444128499</v>
      </c>
      <c r="AG2876">
        <v>5.6436349999999997</v>
      </c>
      <c r="AH2876">
        <v>169.97655052929699</v>
      </c>
      <c r="AI2876">
        <v>88.107053548949494</v>
      </c>
      <c r="AJ2876">
        <v>84.510787483160897</v>
      </c>
      <c r="AK2876">
        <v>170.85285159109</v>
      </c>
      <c r="AL2876">
        <v>92.560248062156901</v>
      </c>
      <c r="AM2876">
        <v>97.838318027982993</v>
      </c>
      <c r="AN2876">
        <v>1.0000000159303</v>
      </c>
    </row>
    <row r="2877" spans="1:40" x14ac:dyDescent="0.25">
      <c r="A2877" t="str">
        <f>"20190305135848049"</f>
        <v>20190305135848049</v>
      </c>
      <c r="B2877" t="str">
        <f>"1551765528041984"</f>
        <v>1551765528041984</v>
      </c>
      <c r="C2877" t="s">
        <v>40</v>
      </c>
      <c r="D2877">
        <v>3.8091430000000002</v>
      </c>
      <c r="E2877">
        <v>0.65092589999999995</v>
      </c>
      <c r="F2877" t="s">
        <v>59</v>
      </c>
      <c r="G2877">
        <v>-396.64030000000002</v>
      </c>
      <c r="H2877" s="1">
        <v>1.996844E-6</v>
      </c>
      <c r="I2877">
        <v>213.45150000000001</v>
      </c>
      <c r="J2877">
        <v>-403.54320000000001</v>
      </c>
      <c r="K2877">
        <v>1.1054379999999999</v>
      </c>
      <c r="L2877">
        <v>215.3518</v>
      </c>
      <c r="M2877">
        <v>0.99998549999999997</v>
      </c>
      <c r="N2877">
        <v>-4.9014599999999998E-3</v>
      </c>
      <c r="O2877">
        <v>2.2435519999999998E-3</v>
      </c>
      <c r="P2877">
        <v>0.99014590000000002</v>
      </c>
      <c r="Q2877">
        <v>-5.1313499999999998E-2</v>
      </c>
      <c r="R2877">
        <v>0.1302999</v>
      </c>
      <c r="S2877">
        <v>3.122925</v>
      </c>
      <c r="T2877">
        <v>-0.464563</v>
      </c>
      <c r="U2877">
        <v>-0.7979889</v>
      </c>
      <c r="V2877">
        <v>-0.12830759999999999</v>
      </c>
      <c r="W2877">
        <v>-4.5820050000000001E-2</v>
      </c>
      <c r="X2877">
        <v>0.99067539999999998</v>
      </c>
      <c r="Y2877">
        <v>0.2470803</v>
      </c>
      <c r="Z2877">
        <v>-1.8927039999999999E-2</v>
      </c>
      <c r="AA2877">
        <v>0.96881010000000001</v>
      </c>
      <c r="AB2877">
        <v>51</v>
      </c>
      <c r="AC2877">
        <v>6.9028999999999803</v>
      </c>
      <c r="AD2877">
        <v>-1.105436003156</v>
      </c>
      <c r="AE2877">
        <v>-1.9002999999999799</v>
      </c>
      <c r="AF2877">
        <v>1.8711764015160599</v>
      </c>
      <c r="AG2877">
        <v>-1.105436003156</v>
      </c>
      <c r="AH2877">
        <v>6.7379955272150296</v>
      </c>
      <c r="AI2877">
        <v>98.982858366689499</v>
      </c>
      <c r="AJ2877">
        <v>74.479749548549904</v>
      </c>
      <c r="AK2877">
        <v>7.0798215801977502</v>
      </c>
      <c r="AL2877">
        <v>92.626214889729795</v>
      </c>
      <c r="AM2877">
        <v>97.379599477808597</v>
      </c>
      <c r="AN2877">
        <v>1.0000000326824601</v>
      </c>
    </row>
    <row r="2878" spans="1:40" x14ac:dyDescent="0.25">
      <c r="A2878" t="str">
        <f>"20190305135848070"</f>
        <v>20190305135848070</v>
      </c>
      <c r="B2878" t="str">
        <f>"1551765528061504"</f>
        <v>1551765528061504</v>
      </c>
      <c r="C2878" t="s">
        <v>40</v>
      </c>
      <c r="D2878">
        <v>3.8264109999999998</v>
      </c>
      <c r="E2878">
        <v>0.64742639999999996</v>
      </c>
      <c r="F2878" t="s">
        <v>41</v>
      </c>
      <c r="G2878">
        <v>-402.62400000000002</v>
      </c>
      <c r="H2878">
        <v>0.94135029999999997</v>
      </c>
      <c r="I2878">
        <v>215.11259999999999</v>
      </c>
      <c r="J2878">
        <v>-403.0453</v>
      </c>
      <c r="K2878">
        <v>1.1054079999999999</v>
      </c>
      <c r="L2878">
        <v>215.35239999999999</v>
      </c>
      <c r="M2878">
        <v>0.99998759999999998</v>
      </c>
      <c r="N2878">
        <v>-4.9275090000000001E-3</v>
      </c>
      <c r="O2878">
        <v>7.6674899999999995E-4</v>
      </c>
      <c r="P2878">
        <v>0.99127529999999997</v>
      </c>
      <c r="Q2878">
        <v>-5.0962220000000003E-2</v>
      </c>
      <c r="R2878">
        <v>0.1215576</v>
      </c>
      <c r="S2878">
        <v>3.107361</v>
      </c>
      <c r="T2878">
        <v>-0.55470850000000005</v>
      </c>
      <c r="U2878">
        <v>-0.80708310000000005</v>
      </c>
      <c r="V2878">
        <v>-0.1210261</v>
      </c>
      <c r="W2878">
        <v>-4.5472470000000001E-2</v>
      </c>
      <c r="X2878">
        <v>0.99160720000000002</v>
      </c>
      <c r="Y2878">
        <v>0.24833479999999999</v>
      </c>
      <c r="Z2878">
        <v>-2.2397400000000001E-2</v>
      </c>
      <c r="AA2878">
        <v>0.96841529999999998</v>
      </c>
      <c r="AB2878">
        <v>51</v>
      </c>
      <c r="AC2878">
        <v>0.42129999999997297</v>
      </c>
      <c r="AD2878">
        <v>-0.164057699999999</v>
      </c>
      <c r="AE2878">
        <v>-0.23980000000000201</v>
      </c>
      <c r="AF2878">
        <v>0.21544721004780401</v>
      </c>
      <c r="AG2878">
        <v>-0.164057699999999</v>
      </c>
      <c r="AH2878">
        <v>0.37784086587547899</v>
      </c>
      <c r="AI2878">
        <v>110.665862187407</v>
      </c>
      <c r="AJ2878">
        <v>60.307942764714198</v>
      </c>
      <c r="AK2878">
        <v>0.46486143007589298</v>
      </c>
      <c r="AL2878">
        <v>92.606279457325996</v>
      </c>
      <c r="AM2878">
        <v>96.958559289734893</v>
      </c>
      <c r="AN2878">
        <v>0.99999995075047399</v>
      </c>
    </row>
    <row r="2879" spans="1:40" x14ac:dyDescent="0.25">
      <c r="A2879" t="str">
        <f>"20190305135848095"</f>
        <v>20190305135848095</v>
      </c>
      <c r="B2879" t="str">
        <f>"1551765528091759"</f>
        <v>1551765528091759</v>
      </c>
      <c r="C2879" t="s">
        <v>40</v>
      </c>
      <c r="D2879">
        <v>3.8193929999999998</v>
      </c>
      <c r="E2879">
        <v>0.64049940000000005</v>
      </c>
      <c r="F2879" t="s">
        <v>41</v>
      </c>
      <c r="G2879">
        <v>-402.17489999999998</v>
      </c>
      <c r="H2879">
        <v>0.93377149999999998</v>
      </c>
      <c r="I2879">
        <v>215.12520000000001</v>
      </c>
      <c r="J2879">
        <v>-402.48059999999998</v>
      </c>
      <c r="K2879">
        <v>1.105386</v>
      </c>
      <c r="L2879">
        <v>215.35220000000001</v>
      </c>
      <c r="M2879">
        <v>0.99998739999999997</v>
      </c>
      <c r="N2879">
        <v>-4.9564559999999997E-3</v>
      </c>
      <c r="O2879">
        <v>-8.6845189999999999E-4</v>
      </c>
      <c r="P2879">
        <v>0.99230649999999998</v>
      </c>
      <c r="Q2879">
        <v>-5.1796269999999998E-2</v>
      </c>
      <c r="R2879">
        <v>0.11245090000000001</v>
      </c>
      <c r="S2879">
        <v>3.0940859999999999</v>
      </c>
      <c r="T2879">
        <v>-0.61010659999999906</v>
      </c>
      <c r="U2879">
        <v>-0.80749510000000002</v>
      </c>
      <c r="V2879">
        <v>-0.113544699999999</v>
      </c>
      <c r="W2879">
        <v>-4.6312810000000003E-2</v>
      </c>
      <c r="X2879">
        <v>0.99245289999999997</v>
      </c>
      <c r="Y2879">
        <v>0.24711929999999999</v>
      </c>
      <c r="Z2879">
        <v>-2.4210519999999999E-2</v>
      </c>
      <c r="AA2879">
        <v>0.9686825</v>
      </c>
      <c r="AB2879">
        <v>51</v>
      </c>
      <c r="AC2879">
        <v>0.30570000000000103</v>
      </c>
      <c r="AD2879">
        <v>-0.1716145</v>
      </c>
      <c r="AE2879">
        <v>-0.227000000000003</v>
      </c>
      <c r="AF2879">
        <v>0.188452241345692</v>
      </c>
      <c r="AG2879">
        <v>-0.1716145</v>
      </c>
      <c r="AH2879">
        <v>0.25424890822255503</v>
      </c>
      <c r="AI2879">
        <v>118.469553473975</v>
      </c>
      <c r="AJ2879">
        <v>53.453728401887602</v>
      </c>
      <c r="AK2879">
        <v>0.36001151538641901</v>
      </c>
      <c r="AL2879">
        <v>92.654478003767906</v>
      </c>
      <c r="AM2879">
        <v>96.526726247527705</v>
      </c>
      <c r="AN2879">
        <v>1.0000000169932901</v>
      </c>
    </row>
    <row r="2880" spans="1:40" x14ac:dyDescent="0.25">
      <c r="A2880" t="str">
        <f>"20190305135848117"</f>
        <v>20190305135848117</v>
      </c>
      <c r="B2880" t="str">
        <f>"1551765528112255"</f>
        <v>1551765528112255</v>
      </c>
      <c r="C2880" t="s">
        <v>40</v>
      </c>
      <c r="D2880">
        <v>3.79406</v>
      </c>
      <c r="E2880">
        <v>0.63545240000000003</v>
      </c>
      <c r="F2880" t="s">
        <v>41</v>
      </c>
      <c r="G2880">
        <v>-401.71109999999999</v>
      </c>
      <c r="H2880">
        <v>0.94766189999999995</v>
      </c>
      <c r="I2880">
        <v>215.15649999999999</v>
      </c>
      <c r="J2880">
        <v>-401.97570000000002</v>
      </c>
      <c r="K2880">
        <v>1.105372</v>
      </c>
      <c r="L2880">
        <v>215.35140000000001</v>
      </c>
      <c r="M2880">
        <v>0.99998500000000001</v>
      </c>
      <c r="N2880">
        <v>-4.9817580000000002E-3</v>
      </c>
      <c r="O2880">
        <v>-2.2897239999999999E-3</v>
      </c>
      <c r="P2880">
        <v>0.99299099999999996</v>
      </c>
      <c r="Q2880">
        <v>-5.425961E-2</v>
      </c>
      <c r="R2880">
        <v>0.1049987</v>
      </c>
      <c r="S2880">
        <v>3.0789179999999998</v>
      </c>
      <c r="T2880">
        <v>-0.6310673</v>
      </c>
      <c r="U2880">
        <v>-0.78143309999999999</v>
      </c>
      <c r="V2880">
        <v>-0.1075147</v>
      </c>
      <c r="W2880">
        <v>-4.8782399999999997E-2</v>
      </c>
      <c r="X2880">
        <v>0.99300600000000006</v>
      </c>
      <c r="Y2880">
        <v>0.2390322</v>
      </c>
      <c r="Z2880">
        <v>-2.404158E-2</v>
      </c>
      <c r="AA2880">
        <v>0.97071399999999997</v>
      </c>
      <c r="AB2880">
        <v>51</v>
      </c>
      <c r="AC2880">
        <v>0.26460000000002898</v>
      </c>
      <c r="AD2880">
        <v>-0.15771009999999899</v>
      </c>
      <c r="AE2880">
        <v>-0.194900000000018</v>
      </c>
      <c r="AF2880">
        <v>0.15792345808573799</v>
      </c>
      <c r="AG2880">
        <v>-0.15771009999999899</v>
      </c>
      <c r="AH2880">
        <v>0.21543123376856799</v>
      </c>
      <c r="AI2880">
        <v>120.558459771784</v>
      </c>
      <c r="AJ2880">
        <v>53.756444914151402</v>
      </c>
      <c r="AK2880">
        <v>0.31019817977998398</v>
      </c>
      <c r="AL2880">
        <v>92.796135318609998</v>
      </c>
      <c r="AM2880">
        <v>96.179454163510698</v>
      </c>
      <c r="AN2880">
        <v>1.00000002465092</v>
      </c>
    </row>
    <row r="2881" spans="1:40" x14ac:dyDescent="0.25">
      <c r="A2881" t="str">
        <f>"20190305135848137"</f>
        <v>20190305135848137</v>
      </c>
      <c r="B2881" t="str">
        <f>"1551765528131775"</f>
        <v>1551765528131775</v>
      </c>
      <c r="C2881" t="s">
        <v>40</v>
      </c>
      <c r="D2881">
        <v>3.8070689999999998</v>
      </c>
      <c r="E2881">
        <v>0.63088500000000003</v>
      </c>
      <c r="F2881" t="s">
        <v>41</v>
      </c>
      <c r="G2881">
        <v>-401.24849999999998</v>
      </c>
      <c r="H2881">
        <v>0.95263699999999996</v>
      </c>
      <c r="I2881">
        <v>215.16990000000001</v>
      </c>
      <c r="J2881">
        <v>-401.49419999999998</v>
      </c>
      <c r="K2881">
        <v>1.105367</v>
      </c>
      <c r="L2881">
        <v>215.34989999999999</v>
      </c>
      <c r="M2881">
        <v>0.99998100000000001</v>
      </c>
      <c r="N2881">
        <v>-5.005776E-3</v>
      </c>
      <c r="O2881">
        <v>-3.622442E-3</v>
      </c>
      <c r="P2881">
        <v>0.99362249999999996</v>
      </c>
      <c r="Q2881">
        <v>-5.5849570000000001E-2</v>
      </c>
      <c r="R2881">
        <v>9.7955940000000005E-2</v>
      </c>
      <c r="S2881">
        <v>3.0668030000000002</v>
      </c>
      <c r="T2881">
        <v>-0.6441228</v>
      </c>
      <c r="U2881">
        <v>-0.76434329999999995</v>
      </c>
      <c r="V2881">
        <v>-0.101803</v>
      </c>
      <c r="W2881">
        <v>-5.0377449999999997E-2</v>
      </c>
      <c r="X2881">
        <v>0.99352819999999997</v>
      </c>
      <c r="Y2881">
        <v>0.23346790000000001</v>
      </c>
      <c r="Z2881">
        <v>-2.3774420000000001E-2</v>
      </c>
      <c r="AA2881">
        <v>0.97207379999999999</v>
      </c>
      <c r="AB2881">
        <v>51</v>
      </c>
      <c r="AC2881">
        <v>0.245699999999999</v>
      </c>
      <c r="AD2881">
        <v>-0.15272999999999901</v>
      </c>
      <c r="AE2881">
        <v>-0.17999999999997801</v>
      </c>
      <c r="AF2881">
        <v>0.1431212254917</v>
      </c>
      <c r="AG2881">
        <v>-0.15272999999999901</v>
      </c>
      <c r="AH2881">
        <v>0.196852311982366</v>
      </c>
      <c r="AI2881">
        <v>122.109648722107</v>
      </c>
      <c r="AJ2881">
        <v>53.981021309745103</v>
      </c>
      <c r="AK2881">
        <v>0.287334249296962</v>
      </c>
      <c r="AL2881">
        <v>92.887637531117505</v>
      </c>
      <c r="AM2881">
        <v>95.850459138626704</v>
      </c>
      <c r="AN2881">
        <v>1.0000000112363701</v>
      </c>
    </row>
    <row r="2882" spans="1:40" x14ac:dyDescent="0.25">
      <c r="A2882" t="str">
        <f>"20190305135848160"</f>
        <v>20190305135848160</v>
      </c>
      <c r="B2882" t="str">
        <f>"1551765528151296"</f>
        <v>1551765528151296</v>
      </c>
      <c r="C2882" t="s">
        <v>40</v>
      </c>
      <c r="D2882">
        <v>3.7974920000000001</v>
      </c>
      <c r="E2882">
        <v>0.62875409999999998</v>
      </c>
      <c r="F2882" t="s">
        <v>41</v>
      </c>
      <c r="G2882">
        <v>-400.78570000000002</v>
      </c>
      <c r="H2882">
        <v>0.95444079999999998</v>
      </c>
      <c r="I2882">
        <v>215.1756</v>
      </c>
      <c r="J2882">
        <v>-400.96910000000003</v>
      </c>
      <c r="K2882">
        <v>1.105348</v>
      </c>
      <c r="L2882">
        <v>215.3475</v>
      </c>
      <c r="M2882">
        <v>0.99997449999999999</v>
      </c>
      <c r="N2882">
        <v>-5.0322659999999996E-3</v>
      </c>
      <c r="O2882">
        <v>-5.0736760000000001E-3</v>
      </c>
      <c r="P2882">
        <v>0.99426800000000004</v>
      </c>
      <c r="Q2882">
        <v>-5.6602909999999999E-2</v>
      </c>
      <c r="R2882">
        <v>9.0705220000000003E-2</v>
      </c>
      <c r="S2882">
        <v>3.05661</v>
      </c>
      <c r="T2882">
        <v>-0.65110449999999997</v>
      </c>
      <c r="U2882">
        <v>-0.75021359999999904</v>
      </c>
      <c r="V2882">
        <v>-9.6000769999999999E-2</v>
      </c>
      <c r="W2882">
        <v>-5.1130870000000002E-2</v>
      </c>
      <c r="X2882">
        <v>0.99406709999999998</v>
      </c>
      <c r="Y2882">
        <v>0.22857640000000001</v>
      </c>
      <c r="Z2882">
        <v>-2.329531E-2</v>
      </c>
      <c r="AA2882">
        <v>0.97324719999999998</v>
      </c>
      <c r="AB2882">
        <v>52</v>
      </c>
      <c r="AC2882">
        <v>0.183400000000006</v>
      </c>
      <c r="AD2882">
        <v>-0.15090719999999899</v>
      </c>
      <c r="AE2882">
        <v>-0.171899999999993</v>
      </c>
      <c r="AF2882">
        <v>0.125672728270601</v>
      </c>
      <c r="AG2882">
        <v>-0.15090719999999899</v>
      </c>
      <c r="AH2882">
        <v>0.13545102118550301</v>
      </c>
      <c r="AI2882">
        <v>129.23927184286501</v>
      </c>
      <c r="AJ2882">
        <v>47.144551228696301</v>
      </c>
      <c r="AK2882">
        <v>0.238565707474926</v>
      </c>
      <c r="AL2882">
        <v>92.930861185843298</v>
      </c>
      <c r="AM2882">
        <v>95.516160916676</v>
      </c>
      <c r="AN2882">
        <v>0.99999995650497797</v>
      </c>
    </row>
    <row r="2883" spans="1:40" x14ac:dyDescent="0.25">
      <c r="A2883" t="str">
        <f>"20190305135848182"</f>
        <v>20190305135848182</v>
      </c>
      <c r="B2883" t="str">
        <f>"1551765528171795"</f>
        <v>1551765528171795</v>
      </c>
      <c r="C2883" t="s">
        <v>40</v>
      </c>
      <c r="D2883">
        <v>3.7764180000000001</v>
      </c>
      <c r="E2883">
        <v>0.59368149999999997</v>
      </c>
      <c r="F2883" t="s">
        <v>59</v>
      </c>
      <c r="G2883">
        <v>-395.81200000000001</v>
      </c>
      <c r="H2883" s="1">
        <v>1.5560340000000001E-6</v>
      </c>
      <c r="I2883">
        <v>214.06979999999999</v>
      </c>
      <c r="J2883">
        <v>-400.44580000000002</v>
      </c>
      <c r="K2883">
        <v>1.1053329999999999</v>
      </c>
      <c r="L2883">
        <v>215.3443</v>
      </c>
      <c r="M2883">
        <v>0.99996580000000002</v>
      </c>
      <c r="N2883">
        <v>-5.0588669999999999E-3</v>
      </c>
      <c r="O2883">
        <v>-6.5402519999999999E-3</v>
      </c>
      <c r="P2883">
        <v>0.99498600000000004</v>
      </c>
      <c r="Q2883">
        <v>-5.5714430000000002E-2</v>
      </c>
      <c r="R2883">
        <v>8.3058510000000002E-2</v>
      </c>
      <c r="S2883">
        <v>3.0489809999999999</v>
      </c>
      <c r="T2883">
        <v>-0.65349299999999999</v>
      </c>
      <c r="U2883">
        <v>-0.75537109999999996</v>
      </c>
      <c r="V2883">
        <v>-8.9813889999999993E-2</v>
      </c>
      <c r="W2883">
        <v>-5.0240100000000003E-2</v>
      </c>
      <c r="X2883">
        <v>0.99469059999999998</v>
      </c>
      <c r="Y2883">
        <v>0.2292255</v>
      </c>
      <c r="Z2883">
        <v>-2.3200450000000001E-2</v>
      </c>
      <c r="AA2883">
        <v>0.97309679999999998</v>
      </c>
      <c r="AB2883">
        <v>52</v>
      </c>
      <c r="AC2883">
        <v>4.6338000000000603</v>
      </c>
      <c r="AD2883">
        <v>-1.10533144396599</v>
      </c>
      <c r="AE2883">
        <v>-1.27450000000001</v>
      </c>
      <c r="AF2883">
        <v>1.18165867794219</v>
      </c>
      <c r="AG2883">
        <v>-1.10533144396599</v>
      </c>
      <c r="AH2883">
        <v>4.4088185874342098</v>
      </c>
      <c r="AI2883">
        <v>103.61280913330199</v>
      </c>
      <c r="AJ2883">
        <v>74.996128528121901</v>
      </c>
      <c r="AK2883">
        <v>4.6963556263427702</v>
      </c>
      <c r="AL2883">
        <v>92.879758021705698</v>
      </c>
      <c r="AM2883">
        <v>95.159433561626997</v>
      </c>
      <c r="AN2883">
        <v>0.99999999610665102</v>
      </c>
    </row>
    <row r="2884" spans="1:40" x14ac:dyDescent="0.25">
      <c r="A2884" t="str">
        <f>"20190305135848203"</f>
        <v>20190305135848203</v>
      </c>
      <c r="B2884" t="str">
        <f>"1551765528192291"</f>
        <v>1551765528192291</v>
      </c>
      <c r="C2884" t="s">
        <v>40</v>
      </c>
      <c r="D2884">
        <v>3.8126679999999999</v>
      </c>
      <c r="E2884">
        <v>0.59053949999999999</v>
      </c>
      <c r="F2884" t="s">
        <v>41</v>
      </c>
      <c r="G2884">
        <v>-399.41989999999998</v>
      </c>
      <c r="H2884">
        <v>0.89149579999999995</v>
      </c>
      <c r="I2884">
        <v>215.17490000000001</v>
      </c>
      <c r="J2884">
        <v>-399.94380000000001</v>
      </c>
      <c r="K2884">
        <v>1.1053269999999999</v>
      </c>
      <c r="L2884">
        <v>215.34059999999999</v>
      </c>
      <c r="M2884">
        <v>0.99995540000000005</v>
      </c>
      <c r="N2884">
        <v>-5.0847130000000003E-3</v>
      </c>
      <c r="O2884">
        <v>-7.9716579999999995E-3</v>
      </c>
      <c r="P2884">
        <v>0.99565230000000005</v>
      </c>
      <c r="Q2884">
        <v>-5.3707560000000001E-2</v>
      </c>
      <c r="R2884">
        <v>7.6106350000000003E-2</v>
      </c>
      <c r="S2884">
        <v>3.021515</v>
      </c>
      <c r="T2884">
        <v>-0.62978239999999996</v>
      </c>
      <c r="U2884">
        <v>-0.49882510000000002</v>
      </c>
      <c r="V2884">
        <v>-8.4283380000000005E-2</v>
      </c>
      <c r="W2884">
        <v>-4.8226989999999997E-2</v>
      </c>
      <c r="X2884">
        <v>0.99527410000000005</v>
      </c>
      <c r="Y2884">
        <v>0.15191559999999901</v>
      </c>
      <c r="Z2884">
        <v>-1.436162E-2</v>
      </c>
      <c r="AA2884">
        <v>0.98828910000000003</v>
      </c>
      <c r="AB2884">
        <v>52</v>
      </c>
      <c r="AC2884">
        <v>0.52390000000002601</v>
      </c>
      <c r="AD2884">
        <v>-0.213831199999999</v>
      </c>
      <c r="AE2884">
        <v>-0.165699999999986</v>
      </c>
      <c r="AF2884">
        <v>0.14027513272445799</v>
      </c>
      <c r="AG2884">
        <v>-0.213831199999999</v>
      </c>
      <c r="AH2884">
        <v>0.45612841185307901</v>
      </c>
      <c r="AI2884">
        <v>114.136451022401</v>
      </c>
      <c r="AJ2884">
        <v>72.9055414944809</v>
      </c>
      <c r="AK2884">
        <v>0.52292831540653395</v>
      </c>
      <c r="AL2884">
        <v>92.764275147748805</v>
      </c>
      <c r="AM2884">
        <v>94.840463305117296</v>
      </c>
      <c r="AN2884">
        <v>1.00000003241974</v>
      </c>
    </row>
    <row r="2885" spans="1:40" x14ac:dyDescent="0.25">
      <c r="A2885" t="str">
        <f>"20190305135848225"</f>
        <v>20190305135848225</v>
      </c>
      <c r="B2885" t="str">
        <f>"1551765528221568"</f>
        <v>1551765528221568</v>
      </c>
      <c r="C2885" t="s">
        <v>40</v>
      </c>
      <c r="D2885">
        <v>3.8544489999999998</v>
      </c>
      <c r="E2885">
        <v>0.58808369999999999</v>
      </c>
      <c r="F2885" t="s">
        <v>41</v>
      </c>
      <c r="G2885">
        <v>-398.95089999999999</v>
      </c>
      <c r="H2885">
        <v>0.89783740000000001</v>
      </c>
      <c r="I2885">
        <v>215.17769999999999</v>
      </c>
      <c r="J2885">
        <v>-399.45100000000002</v>
      </c>
      <c r="K2885">
        <v>1.1053059999999999</v>
      </c>
      <c r="L2885">
        <v>215.33619999999999</v>
      </c>
      <c r="M2885">
        <v>0.99994269999999996</v>
      </c>
      <c r="N2885">
        <v>-5.1101760000000001E-3</v>
      </c>
      <c r="O2885">
        <v>-9.4066070000000009E-3</v>
      </c>
      <c r="P2885">
        <v>0.99612069999999997</v>
      </c>
      <c r="Q2885">
        <v>-5.1167820000000003E-2</v>
      </c>
      <c r="R2885">
        <v>7.159095E-2</v>
      </c>
      <c r="S2885">
        <v>3.0168460000000001</v>
      </c>
      <c r="T2885">
        <v>-0.63039339999999999</v>
      </c>
      <c r="U2885">
        <v>-0.49395749999999999</v>
      </c>
      <c r="V2885">
        <v>-8.1190380000000006E-2</v>
      </c>
      <c r="W2885">
        <v>-4.5669410000000001E-2</v>
      </c>
      <c r="X2885">
        <v>0.99565179999999998</v>
      </c>
      <c r="Y2885">
        <v>0.14926029999999901</v>
      </c>
      <c r="Z2885">
        <v>-1.3832590000000001E-2</v>
      </c>
      <c r="AA2885">
        <v>0.98870119999999895</v>
      </c>
      <c r="AB2885">
        <v>52</v>
      </c>
      <c r="AC2885">
        <v>0.50009999999997401</v>
      </c>
      <c r="AD2885">
        <v>-0.207468599999999</v>
      </c>
      <c r="AE2885">
        <v>-0.158500000000003</v>
      </c>
      <c r="AF2885">
        <v>0.13298981888505701</v>
      </c>
      <c r="AG2885">
        <v>-0.207468599999999</v>
      </c>
      <c r="AH2885">
        <v>0.43373509979685299</v>
      </c>
      <c r="AI2885">
        <v>114.575385390506</v>
      </c>
      <c r="AJ2885">
        <v>72.953659032814898</v>
      </c>
      <c r="AK2885">
        <v>0.49885433616320002</v>
      </c>
      <c r="AL2885">
        <v>92.617574790293702</v>
      </c>
      <c r="AM2885">
        <v>94.661866799632506</v>
      </c>
      <c r="AN2885">
        <v>1.0000000398287601</v>
      </c>
    </row>
    <row r="2886" spans="1:40" x14ac:dyDescent="0.25">
      <c r="A2886" t="str">
        <f>"20190305135848247"</f>
        <v>20190305135848247</v>
      </c>
      <c r="B2886" t="str">
        <f>"1551765528242064"</f>
        <v>1551765528242064</v>
      </c>
      <c r="C2886" t="s">
        <v>40</v>
      </c>
      <c r="D2886">
        <v>3.8256670000000002</v>
      </c>
      <c r="E2886">
        <v>0.58685100000000001</v>
      </c>
      <c r="F2886" t="s">
        <v>41</v>
      </c>
      <c r="G2886">
        <v>-398.48070000000001</v>
      </c>
      <c r="H2886">
        <v>0.9042926</v>
      </c>
      <c r="I2886">
        <v>215.1788</v>
      </c>
      <c r="J2886">
        <v>-398.91489999999999</v>
      </c>
      <c r="K2886">
        <v>1.1052740000000001</v>
      </c>
      <c r="L2886">
        <v>215.3306</v>
      </c>
      <c r="M2886">
        <v>0.99992630000000005</v>
      </c>
      <c r="N2886">
        <v>-5.137539E-3</v>
      </c>
      <c r="O2886">
        <v>-1.1004359999999999E-2</v>
      </c>
      <c r="P2886">
        <v>0.99637379999999998</v>
      </c>
      <c r="Q2886">
        <v>-5.0184050000000001E-2</v>
      </c>
      <c r="R2886">
        <v>6.8708759999999994E-2</v>
      </c>
      <c r="S2886">
        <v>3.0147089999999999</v>
      </c>
      <c r="T2886">
        <v>-0.62451789999999996</v>
      </c>
      <c r="U2886">
        <v>-0.4891663</v>
      </c>
      <c r="V2886">
        <v>-7.9900730000000003E-2</v>
      </c>
      <c r="W2886">
        <v>-4.4657170000000003E-2</v>
      </c>
      <c r="X2886">
        <v>0.99580199999999996</v>
      </c>
      <c r="Y2886">
        <v>0.14640310000000001</v>
      </c>
      <c r="Z2886">
        <v>-1.3107560000000001E-2</v>
      </c>
      <c r="AA2886">
        <v>0.98913819999999997</v>
      </c>
      <c r="AB2886">
        <v>52</v>
      </c>
      <c r="AC2886">
        <v>0.43419999999997499</v>
      </c>
      <c r="AD2886">
        <v>-0.20098139999999901</v>
      </c>
      <c r="AE2886">
        <v>-0.15180000000000801</v>
      </c>
      <c r="AF2886">
        <v>0.12344459367248101</v>
      </c>
      <c r="AG2886">
        <v>-0.20098139999999901</v>
      </c>
      <c r="AH2886">
        <v>0.365972645025683</v>
      </c>
      <c r="AI2886">
        <v>117.490914040268</v>
      </c>
      <c r="AJ2886">
        <v>71.360465218061094</v>
      </c>
      <c r="AK2886">
        <v>0.43539415218858701</v>
      </c>
      <c r="AL2886">
        <v>92.559518556393996</v>
      </c>
      <c r="AM2886">
        <v>94.587446048033499</v>
      </c>
      <c r="AN2886">
        <v>1.0000000063454699</v>
      </c>
    </row>
    <row r="2887" spans="1:40" x14ac:dyDescent="0.25">
      <c r="A2887" t="str">
        <f>"20190305135848271"</f>
        <v>20190305135848271</v>
      </c>
      <c r="B2887" t="str">
        <f>"1551765528261583"</f>
        <v>1551765528261583</v>
      </c>
      <c r="C2887" t="s">
        <v>40</v>
      </c>
      <c r="D2887">
        <v>3.8320720000000001</v>
      </c>
      <c r="E2887">
        <v>0.58617369999999902</v>
      </c>
      <c r="F2887" t="s">
        <v>41</v>
      </c>
      <c r="G2887">
        <v>-398.0061</v>
      </c>
      <c r="H2887">
        <v>0.91874339999999999</v>
      </c>
      <c r="I2887">
        <v>215.18260000000001</v>
      </c>
      <c r="J2887">
        <v>-398.35579999999999</v>
      </c>
      <c r="K2887">
        <v>1.10524</v>
      </c>
      <c r="L2887">
        <v>215.32390000000001</v>
      </c>
      <c r="M2887">
        <v>0.99990610000000002</v>
      </c>
      <c r="N2887">
        <v>-5.1653289999999998E-3</v>
      </c>
      <c r="O2887">
        <v>-1.270632E-2</v>
      </c>
      <c r="P2887">
        <v>0.9965541</v>
      </c>
      <c r="Q2887">
        <v>-5.011065E-2</v>
      </c>
      <c r="R2887">
        <v>6.6100539999999999E-2</v>
      </c>
      <c r="S2887">
        <v>3.0135190000000001</v>
      </c>
      <c r="T2887">
        <v>-0.618511699999999</v>
      </c>
      <c r="U2887">
        <v>-0.48957820000000002</v>
      </c>
      <c r="V2887">
        <v>-7.8992690000000004E-2</v>
      </c>
      <c r="W2887">
        <v>-4.4553479999999999E-2</v>
      </c>
      <c r="X2887">
        <v>0.99587910000000002</v>
      </c>
      <c r="Y2887">
        <v>0.1450265</v>
      </c>
      <c r="Z2887">
        <v>-1.25179E-2</v>
      </c>
      <c r="AA2887">
        <v>0.98934860000000002</v>
      </c>
      <c r="AB2887">
        <v>52</v>
      </c>
      <c r="AC2887">
        <v>0.34969999999998402</v>
      </c>
      <c r="AD2887">
        <v>-0.18649659999999901</v>
      </c>
      <c r="AE2887">
        <v>-0.14130000000000101</v>
      </c>
      <c r="AF2887">
        <v>0.109960276587294</v>
      </c>
      <c r="AG2887">
        <v>-0.18649659999999901</v>
      </c>
      <c r="AH2887">
        <v>0.28241727581604997</v>
      </c>
      <c r="AI2887">
        <v>121.60649290246801</v>
      </c>
      <c r="AJ2887">
        <v>68.726353442473695</v>
      </c>
      <c r="AK2887">
        <v>0.35585356808394197</v>
      </c>
      <c r="AL2887">
        <v>92.553571603792903</v>
      </c>
      <c r="AM2887">
        <v>94.535180640221199</v>
      </c>
      <c r="AN2887">
        <v>1.0000000197351699</v>
      </c>
    </row>
    <row r="2888" spans="1:40" x14ac:dyDescent="0.25">
      <c r="A2888" t="str">
        <f>"20190305135848292"</f>
        <v>20190305135848292</v>
      </c>
      <c r="B2888" t="str">
        <f>"1551765528282079"</f>
        <v>1551765528282079</v>
      </c>
      <c r="C2888" t="s">
        <v>40</v>
      </c>
      <c r="D2888">
        <v>3.8199450000000001</v>
      </c>
      <c r="E2888">
        <v>0.58551719999999996</v>
      </c>
      <c r="F2888" t="s">
        <v>41</v>
      </c>
      <c r="G2888">
        <v>-397.52859999999998</v>
      </c>
      <c r="H2888">
        <v>0.93621109999999996</v>
      </c>
      <c r="I2888">
        <v>215.18819999999999</v>
      </c>
      <c r="J2888">
        <v>-397.84989999999999</v>
      </c>
      <c r="K2888">
        <v>1.105202</v>
      </c>
      <c r="L2888">
        <v>215.31700000000001</v>
      </c>
      <c r="M2888">
        <v>0.99988469999999996</v>
      </c>
      <c r="N2888">
        <v>-5.1898359999999998E-3</v>
      </c>
      <c r="O2888">
        <v>-1.4271799999999999E-2</v>
      </c>
      <c r="P2888">
        <v>0.99672490000000002</v>
      </c>
      <c r="Q2888">
        <v>-4.9870749999999998E-2</v>
      </c>
      <c r="R2888">
        <v>6.3662070000000001E-2</v>
      </c>
      <c r="S2888">
        <v>3.0121150000000001</v>
      </c>
      <c r="T2888">
        <v>-0.61538669999999995</v>
      </c>
      <c r="U2888">
        <v>-0.49279790000000001</v>
      </c>
      <c r="V2888">
        <v>-7.811746E-2</v>
      </c>
      <c r="W2888">
        <v>-4.4287800000000002E-2</v>
      </c>
      <c r="X2888">
        <v>0.99595990000000001</v>
      </c>
      <c r="Y2888">
        <v>0.1446441</v>
      </c>
      <c r="Z2888">
        <v>-1.211888E-2</v>
      </c>
      <c r="AA2888">
        <v>0.98940950000000005</v>
      </c>
      <c r="AB2888">
        <v>52</v>
      </c>
      <c r="AC2888">
        <v>0.32130000000000702</v>
      </c>
      <c r="AD2888">
        <v>-0.1689909</v>
      </c>
      <c r="AE2888">
        <v>-0.12880000000001199</v>
      </c>
      <c r="AF2888">
        <v>0.100297086258043</v>
      </c>
      <c r="AG2888">
        <v>-0.1689909</v>
      </c>
      <c r="AH2888">
        <v>0.26091951895627802</v>
      </c>
      <c r="AI2888">
        <v>121.154975546206</v>
      </c>
      <c r="AJ2888">
        <v>68.973312187906004</v>
      </c>
      <c r="AK2888">
        <v>0.32664418740739698</v>
      </c>
      <c r="AL2888">
        <v>92.538334437025</v>
      </c>
      <c r="AM2888">
        <v>94.484775139773106</v>
      </c>
      <c r="AN2888">
        <v>0.99999993459684799</v>
      </c>
    </row>
    <row r="2889" spans="1:40" x14ac:dyDescent="0.25">
      <c r="A2889" t="str">
        <f>"20190305135848317"</f>
        <v>20190305135848317</v>
      </c>
      <c r="B2889" t="str">
        <f>"1551765528312335"</f>
        <v>1551765528312335</v>
      </c>
      <c r="C2889" t="s">
        <v>40</v>
      </c>
      <c r="D2889">
        <v>3.8669720000000001</v>
      </c>
      <c r="E2889">
        <v>0.58498869999999903</v>
      </c>
      <c r="F2889" t="s">
        <v>41</v>
      </c>
      <c r="G2889">
        <v>-397.05439999999999</v>
      </c>
      <c r="H2889">
        <v>0.94288620000000001</v>
      </c>
      <c r="I2889">
        <v>215.18600000000001</v>
      </c>
      <c r="J2889">
        <v>-397.30189999999999</v>
      </c>
      <c r="K2889">
        <v>1.1051660000000001</v>
      </c>
      <c r="L2889">
        <v>215.30860000000001</v>
      </c>
      <c r="M2889">
        <v>0.99985880000000005</v>
      </c>
      <c r="N2889">
        <v>-5.2158059999999999E-3</v>
      </c>
      <c r="O2889">
        <v>-1.598053E-2</v>
      </c>
      <c r="P2889">
        <v>0.99681839999999999</v>
      </c>
      <c r="Q2889">
        <v>-5.0404280000000003E-2</v>
      </c>
      <c r="R2889">
        <v>6.1748709999999998E-2</v>
      </c>
      <c r="S2889">
        <v>3.010742</v>
      </c>
      <c r="T2889">
        <v>-0.61424089999999998</v>
      </c>
      <c r="U2889">
        <v>-0.49494929999999898</v>
      </c>
      <c r="V2889">
        <v>-7.7912919999999997E-2</v>
      </c>
      <c r="W2889">
        <v>-4.4791869999999998E-2</v>
      </c>
      <c r="X2889">
        <v>0.99595339999999999</v>
      </c>
      <c r="Y2889">
        <v>0.14377219999999999</v>
      </c>
      <c r="Z2889">
        <v>-1.168078E-2</v>
      </c>
      <c r="AA2889">
        <v>0.98954189999999997</v>
      </c>
      <c r="AB2889">
        <v>53</v>
      </c>
      <c r="AC2889">
        <v>0.247500000000002</v>
      </c>
      <c r="AD2889">
        <v>-0.1622798</v>
      </c>
      <c r="AE2889">
        <v>-0.122600000000034</v>
      </c>
      <c r="AF2889">
        <v>8.81865747475154E-2</v>
      </c>
      <c r="AG2889">
        <v>-0.1622798</v>
      </c>
      <c r="AH2889">
        <v>0.18541965603969199</v>
      </c>
      <c r="AI2889">
        <v>128.32162676931301</v>
      </c>
      <c r="AJ2889">
        <v>64.563990926124205</v>
      </c>
      <c r="AK2889">
        <v>0.26170986664552198</v>
      </c>
      <c r="AL2889">
        <v>92.567244160582305</v>
      </c>
      <c r="AM2889">
        <v>94.473109155737404</v>
      </c>
      <c r="AN2889">
        <v>0.99999995484629001</v>
      </c>
    </row>
    <row r="2890" spans="1:40" x14ac:dyDescent="0.25">
      <c r="A2890" t="str">
        <f>"20190305135848338"</f>
        <v>20190305135848338</v>
      </c>
      <c r="B2890" t="str">
        <f>"1551765528331856"</f>
        <v>1551765528331856</v>
      </c>
      <c r="C2890" t="s">
        <v>40</v>
      </c>
      <c r="D2890">
        <v>3.8796219999999999</v>
      </c>
      <c r="E2890">
        <v>0.58468999999999904</v>
      </c>
      <c r="F2890" t="s">
        <v>41</v>
      </c>
      <c r="G2890">
        <v>-396.57569999999998</v>
      </c>
      <c r="H2890">
        <v>0.95704670000000003</v>
      </c>
      <c r="I2890">
        <v>215.18870000000001</v>
      </c>
      <c r="J2890">
        <v>-396.78629999999998</v>
      </c>
      <c r="K2890">
        <v>1.1051340000000001</v>
      </c>
      <c r="L2890">
        <v>215.3</v>
      </c>
      <c r="M2890">
        <v>0.99983180000000005</v>
      </c>
      <c r="N2890">
        <v>-5.2395330000000002E-3</v>
      </c>
      <c r="O2890">
        <v>-1.7585409999999999E-2</v>
      </c>
      <c r="P2890">
        <v>0.99677749999999998</v>
      </c>
      <c r="Q2890">
        <v>-5.1588559999999999E-2</v>
      </c>
      <c r="R2890">
        <v>6.1430619999999998E-2</v>
      </c>
      <c r="S2890">
        <v>3.009277</v>
      </c>
      <c r="T2890">
        <v>-0.61379779999999995</v>
      </c>
      <c r="U2890">
        <v>-0.49647520000000001</v>
      </c>
      <c r="V2890">
        <v>-7.9199969999999995E-2</v>
      </c>
      <c r="W2890">
        <v>-4.594347E-2</v>
      </c>
      <c r="X2890">
        <v>0.99579949999999995</v>
      </c>
      <c r="Y2890">
        <v>0.1428016</v>
      </c>
      <c r="Z2890">
        <v>-1.126652E-2</v>
      </c>
      <c r="AA2890">
        <v>0.98968719999999999</v>
      </c>
      <c r="AB2890">
        <v>53</v>
      </c>
      <c r="AC2890">
        <v>0.21059999999999901</v>
      </c>
      <c r="AD2890">
        <v>-0.14808730000000001</v>
      </c>
      <c r="AE2890">
        <v>-0.111299999999999</v>
      </c>
      <c r="AF2890">
        <v>7.7590694866589899E-2</v>
      </c>
      <c r="AG2890">
        <v>-0.14808730000000001</v>
      </c>
      <c r="AH2890">
        <v>0.15328179178689399</v>
      </c>
      <c r="AI2890">
        <v>130.76033142237799</v>
      </c>
      <c r="AJ2890">
        <v>63.151630208214399</v>
      </c>
      <c r="AK2890">
        <v>0.22681594310050401</v>
      </c>
      <c r="AL2890">
        <v>92.633293767793802</v>
      </c>
      <c r="AM2890">
        <v>94.547393243579407</v>
      </c>
      <c r="AN2890">
        <v>1.0000000409419401</v>
      </c>
    </row>
    <row r="2891" spans="1:40" x14ac:dyDescent="0.25">
      <c r="A2891" t="str">
        <f>"20190305135848361"</f>
        <v>20190305135848361</v>
      </c>
      <c r="B2891" t="str">
        <f>"1551765528352352"</f>
        <v>1551765528352352</v>
      </c>
      <c r="C2891" t="s">
        <v>40</v>
      </c>
      <c r="D2891">
        <v>3.8409110000000002</v>
      </c>
      <c r="E2891">
        <v>0.58460069999999997</v>
      </c>
      <c r="F2891" t="s">
        <v>41</v>
      </c>
      <c r="G2891">
        <v>-396.09890000000001</v>
      </c>
      <c r="H2891">
        <v>0.9643024</v>
      </c>
      <c r="I2891">
        <v>215.18639999999999</v>
      </c>
      <c r="J2891">
        <v>-396.24939999999998</v>
      </c>
      <c r="K2891">
        <v>1.1050930000000001</v>
      </c>
      <c r="L2891">
        <v>215.29</v>
      </c>
      <c r="M2891">
        <v>0.9998011</v>
      </c>
      <c r="N2891">
        <v>-5.2638980000000004E-3</v>
      </c>
      <c r="O2891">
        <v>-1.9242430000000001E-2</v>
      </c>
      <c r="P2891">
        <v>0.99676299999999995</v>
      </c>
      <c r="Q2891">
        <v>-5.2857719999999997E-2</v>
      </c>
      <c r="R2891">
        <v>6.0578100000000003E-2</v>
      </c>
      <c r="S2891">
        <v>3.0083310000000001</v>
      </c>
      <c r="T2891">
        <v>-0.61633649999999995</v>
      </c>
      <c r="U2891">
        <v>-0.49557499999999999</v>
      </c>
      <c r="V2891">
        <v>-8.0004909999999999E-2</v>
      </c>
      <c r="W2891">
        <v>-4.7182910000000002E-2</v>
      </c>
      <c r="X2891">
        <v>0.99567720000000004</v>
      </c>
      <c r="Y2891">
        <v>0.14097009999999999</v>
      </c>
      <c r="Z2891">
        <v>-1.0801710000000001E-2</v>
      </c>
      <c r="AA2891">
        <v>0.98995489999999997</v>
      </c>
      <c r="AB2891">
        <v>53</v>
      </c>
      <c r="AC2891">
        <v>0.150499999999965</v>
      </c>
      <c r="AD2891">
        <v>-0.14079059999999999</v>
      </c>
      <c r="AE2891">
        <v>-0.1036</v>
      </c>
      <c r="AF2891">
        <v>6.3173925988577406E-2</v>
      </c>
      <c r="AG2891">
        <v>-0.14079059999999999</v>
      </c>
      <c r="AH2891">
        <v>9.5663458048951794E-2</v>
      </c>
      <c r="AI2891">
        <v>140.84536936821499</v>
      </c>
      <c r="AJ2891">
        <v>56.560154041596597</v>
      </c>
      <c r="AK2891">
        <v>0.18156110590942601</v>
      </c>
      <c r="AL2891">
        <v>92.704385536932193</v>
      </c>
      <c r="AM2891">
        <v>94.593975173146205</v>
      </c>
      <c r="AN2891">
        <v>1.0000000496100001</v>
      </c>
    </row>
    <row r="2892" spans="1:40" x14ac:dyDescent="0.25">
      <c r="A2892" t="str">
        <f>"20190305135848383"</f>
        <v>20190305135848383</v>
      </c>
      <c r="B2892" t="str">
        <f>"1551765528371876"</f>
        <v>1551765528371876</v>
      </c>
      <c r="C2892" t="s">
        <v>40</v>
      </c>
      <c r="D2892">
        <v>3.8681930000000002</v>
      </c>
      <c r="E2892">
        <v>0.58461030000000003</v>
      </c>
      <c r="F2892" t="s">
        <v>41</v>
      </c>
      <c r="G2892">
        <v>-395.18270000000001</v>
      </c>
      <c r="H2892">
        <v>0.88577469999999903</v>
      </c>
      <c r="I2892">
        <v>215.11330000000001</v>
      </c>
      <c r="J2892">
        <v>-395.72280000000001</v>
      </c>
      <c r="K2892">
        <v>1.1050420000000001</v>
      </c>
      <c r="L2892">
        <v>215.27940000000001</v>
      </c>
      <c r="M2892">
        <v>0.99976880000000001</v>
      </c>
      <c r="N2892">
        <v>-5.2872989999999996E-3</v>
      </c>
      <c r="O2892">
        <v>-2.0843939999999998E-2</v>
      </c>
      <c r="P2892">
        <v>0.99670139999999996</v>
      </c>
      <c r="Q2892">
        <v>-5.4830719999999999E-2</v>
      </c>
      <c r="R2892">
        <v>5.9832490000000002E-2</v>
      </c>
      <c r="S2892">
        <v>3.0071720000000002</v>
      </c>
      <c r="T2892">
        <v>-0.61833509999999903</v>
      </c>
      <c r="U2892">
        <v>-0.49731449999999999</v>
      </c>
      <c r="V2892">
        <v>-8.0863749999999998E-2</v>
      </c>
      <c r="W2892">
        <v>-4.9128199999999997E-2</v>
      </c>
      <c r="X2892">
        <v>0.99551369999999895</v>
      </c>
      <c r="Y2892">
        <v>0.14003589999999999</v>
      </c>
      <c r="Z2892">
        <v>-1.042802E-2</v>
      </c>
      <c r="AA2892">
        <v>0.99009150000000001</v>
      </c>
      <c r="AB2892">
        <v>53</v>
      </c>
      <c r="AC2892">
        <v>0.54009999999999503</v>
      </c>
      <c r="AD2892">
        <v>-0.2192673</v>
      </c>
      <c r="AE2892">
        <v>-0.1661</v>
      </c>
      <c r="AF2892">
        <v>0.13454660157302401</v>
      </c>
      <c r="AG2892">
        <v>-0.2192673</v>
      </c>
      <c r="AH2892">
        <v>0.472324643374054</v>
      </c>
      <c r="AI2892">
        <v>114.059275391029</v>
      </c>
      <c r="AJ2892">
        <v>74.099844307946199</v>
      </c>
      <c r="AK2892">
        <v>0.53783966531166905</v>
      </c>
      <c r="AL2892">
        <v>92.815971978329998</v>
      </c>
      <c r="AM2892">
        <v>94.643835513155295</v>
      </c>
      <c r="AN2892">
        <v>1.0000000264934901</v>
      </c>
    </row>
    <row r="2893" spans="1:40" x14ac:dyDescent="0.25">
      <c r="A2893" t="str">
        <f>"20190305135848405"</f>
        <v>20190305135848405</v>
      </c>
      <c r="B2893" t="str">
        <f>"1551765528402108"</f>
        <v>1551765528402108</v>
      </c>
      <c r="C2893" t="s">
        <v>40</v>
      </c>
      <c r="D2893">
        <v>3.8615599999999999</v>
      </c>
      <c r="E2893">
        <v>0.58499990000000002</v>
      </c>
      <c r="F2893" t="s">
        <v>41</v>
      </c>
      <c r="G2893">
        <v>-394.70310000000001</v>
      </c>
      <c r="H2893">
        <v>0.8938159</v>
      </c>
      <c r="I2893">
        <v>215.10990000000001</v>
      </c>
      <c r="J2893">
        <v>-395.2002</v>
      </c>
      <c r="K2893">
        <v>1.104986</v>
      </c>
      <c r="L2893">
        <v>215.26820000000001</v>
      </c>
      <c r="M2893">
        <v>0.99973500000000004</v>
      </c>
      <c r="N2893">
        <v>-5.3102690000000003E-3</v>
      </c>
      <c r="O2893">
        <v>-2.240497E-2</v>
      </c>
      <c r="P2893">
        <v>0.99646840000000003</v>
      </c>
      <c r="Q2893">
        <v>-5.882685E-2</v>
      </c>
      <c r="R2893">
        <v>5.99219E-2</v>
      </c>
      <c r="S2893">
        <v>3.0056150000000001</v>
      </c>
      <c r="T2893">
        <v>-0.62260499999999996</v>
      </c>
      <c r="U2893">
        <v>-0.4987335</v>
      </c>
      <c r="V2893">
        <v>-8.2523509999999994E-2</v>
      </c>
      <c r="W2893">
        <v>-5.3094540000000003E-2</v>
      </c>
      <c r="X2893">
        <v>0.9951738</v>
      </c>
      <c r="Y2893">
        <v>0.139043</v>
      </c>
      <c r="Z2893">
        <v>-1.0088959999999999E-2</v>
      </c>
      <c r="AA2893">
        <v>0.99023499999999998</v>
      </c>
      <c r="AB2893">
        <v>53</v>
      </c>
      <c r="AC2893">
        <v>0.497099999999989</v>
      </c>
      <c r="AD2893">
        <v>-0.2111701</v>
      </c>
      <c r="AE2893">
        <v>-0.158299999999996</v>
      </c>
      <c r="AF2893">
        <v>0.126410991306423</v>
      </c>
      <c r="AG2893">
        <v>-0.2111701</v>
      </c>
      <c r="AH2893">
        <v>0.430059556759401</v>
      </c>
      <c r="AI2893">
        <v>115.224915689543</v>
      </c>
      <c r="AJ2893">
        <v>73.619915817165307</v>
      </c>
      <c r="AK2893">
        <v>0.49550355419227299</v>
      </c>
      <c r="AL2893">
        <v>93.043524086068004</v>
      </c>
      <c r="AM2893">
        <v>94.7403334400625</v>
      </c>
      <c r="AN2893">
        <v>1.00000002604348</v>
      </c>
    </row>
    <row r="2894" spans="1:40" x14ac:dyDescent="0.25">
      <c r="A2894" t="str">
        <f>"20190305135848439"</f>
        <v>20190305135848439</v>
      </c>
      <c r="B2894" t="str">
        <f>"1551765528431388"</f>
        <v>1551765528431388</v>
      </c>
      <c r="C2894" t="s">
        <v>40</v>
      </c>
      <c r="D2894">
        <v>3.8428170000000001</v>
      </c>
      <c r="E2894">
        <v>0.58516360000000001</v>
      </c>
      <c r="F2894" t="s">
        <v>41</v>
      </c>
      <c r="G2894">
        <v>-394.22379999999998</v>
      </c>
      <c r="H2894">
        <v>0.89816390000000002</v>
      </c>
      <c r="I2894">
        <v>215.10509999999999</v>
      </c>
      <c r="J2894">
        <v>-394.39580000000001</v>
      </c>
      <c r="K2894">
        <v>1.104951</v>
      </c>
      <c r="L2894">
        <v>215.24940000000001</v>
      </c>
      <c r="M2894">
        <v>0.99968029999999997</v>
      </c>
      <c r="N2894">
        <v>-5.3451080000000003E-3</v>
      </c>
      <c r="O2894">
        <v>-2.4716350000000002E-2</v>
      </c>
      <c r="P2894">
        <v>0.99575659999999999</v>
      </c>
      <c r="Q2894">
        <v>-6.7444879999999999E-2</v>
      </c>
      <c r="R2894">
        <v>6.2611470000000002E-2</v>
      </c>
      <c r="S2894">
        <v>3.0032040000000002</v>
      </c>
      <c r="T2894">
        <v>-0.63613949999999997</v>
      </c>
      <c r="U2894">
        <v>-0.50096130000000005</v>
      </c>
      <c r="V2894">
        <v>-8.7538249999999998E-2</v>
      </c>
      <c r="W2894">
        <v>-6.1660310000000003E-2</v>
      </c>
      <c r="X2894">
        <v>0.994251</v>
      </c>
      <c r="Y2894">
        <v>0.137566299999999</v>
      </c>
      <c r="Z2894">
        <v>-9.6776210000000008E-3</v>
      </c>
      <c r="AA2894">
        <v>0.99044529999999997</v>
      </c>
      <c r="AB2894">
        <v>53</v>
      </c>
      <c r="AC2894">
        <v>0.17200000000002499</v>
      </c>
      <c r="AD2894">
        <v>-0.206787099999999</v>
      </c>
      <c r="AE2894">
        <v>-0.144300000000015</v>
      </c>
      <c r="AF2894">
        <v>7.5746914100647794E-2</v>
      </c>
      <c r="AG2894">
        <v>-0.206787099999999</v>
      </c>
      <c r="AH2894">
        <v>9.4958632276896507E-2</v>
      </c>
      <c r="AI2894">
        <v>149.56954280755201</v>
      </c>
      <c r="AJ2894">
        <v>51.421220928181803</v>
      </c>
      <c r="AK2894">
        <v>0.239824188867761</v>
      </c>
      <c r="AL2894">
        <v>93.535118044725493</v>
      </c>
      <c r="AM2894">
        <v>95.031598942519494</v>
      </c>
      <c r="AN2894">
        <v>0.99999999502167902</v>
      </c>
    </row>
    <row r="2895" spans="1:40" x14ac:dyDescent="0.25">
      <c r="A2895" t="str">
        <f>"20190305135848460"</f>
        <v>20190305135848460</v>
      </c>
      <c r="B2895" t="str">
        <f>"1551765528451883"</f>
        <v>1551765528451883</v>
      </c>
      <c r="C2895" t="s">
        <v>40</v>
      </c>
      <c r="D2895">
        <v>3.8453569999999999</v>
      </c>
      <c r="E2895">
        <v>0.58539140000000001</v>
      </c>
      <c r="F2895" t="s">
        <v>41</v>
      </c>
      <c r="G2895">
        <v>-393.28129999999999</v>
      </c>
      <c r="H2895">
        <v>0.85951330000000004</v>
      </c>
      <c r="I2895">
        <v>215.06479999999999</v>
      </c>
      <c r="J2895">
        <v>-393.85750000000002</v>
      </c>
      <c r="K2895">
        <v>1.104976</v>
      </c>
      <c r="L2895">
        <v>215.23570000000001</v>
      </c>
      <c r="M2895">
        <v>0.99964390000000003</v>
      </c>
      <c r="N2895">
        <v>-5.3674689999999997E-3</v>
      </c>
      <c r="O2895">
        <v>-2.613946E-2</v>
      </c>
      <c r="P2895">
        <v>0.99537279999999995</v>
      </c>
      <c r="Q2895">
        <v>-7.1942389999999995E-2</v>
      </c>
      <c r="R2895">
        <v>6.3697719999999999E-2</v>
      </c>
      <c r="S2895">
        <v>2.9992070000000002</v>
      </c>
      <c r="T2895">
        <v>-0.66047349999999905</v>
      </c>
      <c r="U2895">
        <v>-0.49531560000000002</v>
      </c>
      <c r="V2895">
        <v>-9.0045210000000001E-2</v>
      </c>
      <c r="W2895">
        <v>-6.6134949999999998E-2</v>
      </c>
      <c r="X2895">
        <v>0.99373940000000005</v>
      </c>
      <c r="Y2895">
        <v>0.13446169999999999</v>
      </c>
      <c r="Z2895">
        <v>-9.3926789999999993E-3</v>
      </c>
      <c r="AA2895">
        <v>0.99087429999999999</v>
      </c>
      <c r="AB2895">
        <v>54</v>
      </c>
      <c r="AC2895">
        <v>0.57620000000002802</v>
      </c>
      <c r="AD2895">
        <v>-0.24546269999999901</v>
      </c>
      <c r="AE2895">
        <v>-0.17090000000001701</v>
      </c>
      <c r="AF2895">
        <v>0.13350981304625401</v>
      </c>
      <c r="AG2895">
        <v>-0.24546269999999901</v>
      </c>
      <c r="AH2895">
        <v>0.49748735866545002</v>
      </c>
      <c r="AI2895">
        <v>115.479787538382</v>
      </c>
      <c r="AJ2895">
        <v>74.977600368822806</v>
      </c>
      <c r="AK2895">
        <v>0.57058783662365398</v>
      </c>
      <c r="AL2895">
        <v>93.792021287198594</v>
      </c>
      <c r="AM2895">
        <v>95.177574261329298</v>
      </c>
      <c r="AN2895">
        <v>0.99999998328390305</v>
      </c>
    </row>
    <row r="2896" spans="1:40" x14ac:dyDescent="0.25">
      <c r="A2896" t="str">
        <f>"20190305135848483"</f>
        <v>20190305135848483</v>
      </c>
      <c r="B2896" t="str">
        <f>"1551765528471403"</f>
        <v>1551765528471403</v>
      </c>
      <c r="C2896" t="s">
        <v>40</v>
      </c>
      <c r="D2896">
        <v>3.8808470000000002</v>
      </c>
      <c r="E2896">
        <v>0.58558149999999998</v>
      </c>
      <c r="F2896" t="s">
        <v>41</v>
      </c>
      <c r="G2896">
        <v>-392.79770000000002</v>
      </c>
      <c r="H2896">
        <v>0.86694369999999998</v>
      </c>
      <c r="I2896">
        <v>215.0609</v>
      </c>
      <c r="J2896">
        <v>-393.33150000000001</v>
      </c>
      <c r="K2896">
        <v>1.1050500000000001</v>
      </c>
      <c r="L2896">
        <v>215.2218</v>
      </c>
      <c r="M2896">
        <v>0.99960939999999998</v>
      </c>
      <c r="N2896">
        <v>-5.3888999999999899E-3</v>
      </c>
      <c r="O2896">
        <v>-2.7426430000000002E-2</v>
      </c>
      <c r="P2896">
        <v>0.99532310000000002</v>
      </c>
      <c r="Q2896">
        <v>-7.2858300000000001E-2</v>
      </c>
      <c r="R2896">
        <v>6.3433639999999999E-2</v>
      </c>
      <c r="S2896">
        <v>2.996918</v>
      </c>
      <c r="T2896">
        <v>-0.6730564</v>
      </c>
      <c r="U2896">
        <v>-0.49360660000000001</v>
      </c>
      <c r="V2896">
        <v>-9.1052750000000002E-2</v>
      </c>
      <c r="W2896">
        <v>-6.7039290000000001E-2</v>
      </c>
      <c r="X2896">
        <v>0.993587</v>
      </c>
      <c r="Y2896">
        <v>0.13272779999999901</v>
      </c>
      <c r="Z2896">
        <v>-9.0949140000000008E-3</v>
      </c>
      <c r="AA2896">
        <v>0.99111079999999996</v>
      </c>
      <c r="AB2896">
        <v>54</v>
      </c>
      <c r="AC2896">
        <v>0.53379999999998495</v>
      </c>
      <c r="AD2896">
        <v>-0.23810629999999999</v>
      </c>
      <c r="AE2896">
        <v>-0.16089999999999799</v>
      </c>
      <c r="AF2896">
        <v>0.123646341291267</v>
      </c>
      <c r="AG2896">
        <v>-0.23810629999999999</v>
      </c>
      <c r="AH2896">
        <v>0.455018307195664</v>
      </c>
      <c r="AI2896">
        <v>116.792735086809</v>
      </c>
      <c r="AJ2896">
        <v>74.797584001649199</v>
      </c>
      <c r="AK2896">
        <v>0.52822787478285704</v>
      </c>
      <c r="AL2896">
        <v>93.843951350903296</v>
      </c>
      <c r="AM2896">
        <v>95.235985915502297</v>
      </c>
      <c r="AN2896">
        <v>0.99999999812763296</v>
      </c>
    </row>
    <row r="2897" spans="1:40" x14ac:dyDescent="0.25">
      <c r="A2897" t="str">
        <f>"20190305135848504"</f>
        <v>20190305135848504</v>
      </c>
      <c r="B2897" t="str">
        <f>"1551765528491903"</f>
        <v>1551765528491903</v>
      </c>
      <c r="C2897" t="s">
        <v>40</v>
      </c>
      <c r="D2897">
        <v>3.8953859999999998</v>
      </c>
      <c r="E2897">
        <v>0.58572069999999998</v>
      </c>
      <c r="F2897" t="s">
        <v>41</v>
      </c>
      <c r="G2897">
        <v>-392.31270000000001</v>
      </c>
      <c r="H2897">
        <v>0.87487700000000002</v>
      </c>
      <c r="I2897">
        <v>215.0531</v>
      </c>
      <c r="J2897">
        <v>-392.8175</v>
      </c>
      <c r="K2897">
        <v>1.105173</v>
      </c>
      <c r="L2897">
        <v>215.20760000000001</v>
      </c>
      <c r="M2897">
        <v>0.99957819999999997</v>
      </c>
      <c r="N2897">
        <v>-5.4092400000000001E-3</v>
      </c>
      <c r="O2897">
        <v>-2.8536679999999998E-2</v>
      </c>
      <c r="P2897">
        <v>0.99578849999999997</v>
      </c>
      <c r="Q2897">
        <v>-6.7675199999999894E-2</v>
      </c>
      <c r="R2897">
        <v>6.1852530000000003E-2</v>
      </c>
      <c r="S2897">
        <v>2.9960629999999999</v>
      </c>
      <c r="T2897">
        <v>-0.67689350000000004</v>
      </c>
      <c r="U2897">
        <v>-0.49516300000000002</v>
      </c>
      <c r="V2897">
        <v>-9.0547730000000007E-2</v>
      </c>
      <c r="W2897">
        <v>-6.185761E-2</v>
      </c>
      <c r="X2897">
        <v>0.9939692</v>
      </c>
      <c r="Y2897">
        <v>0.13218260000000001</v>
      </c>
      <c r="Z2897">
        <v>-8.8448889999999999E-3</v>
      </c>
      <c r="AA2897">
        <v>0.99118589999999995</v>
      </c>
      <c r="AB2897">
        <v>54</v>
      </c>
      <c r="AC2897">
        <v>0.50479999999998804</v>
      </c>
      <c r="AD2897">
        <v>-0.230295999999999</v>
      </c>
      <c r="AE2897">
        <v>-0.15450000000001199</v>
      </c>
      <c r="AF2897">
        <v>0.11764359057546001</v>
      </c>
      <c r="AG2897">
        <v>-0.230295999999999</v>
      </c>
      <c r="AH2897">
        <v>0.42762496020433299</v>
      </c>
      <c r="AI2897">
        <v>117.440825888182</v>
      </c>
      <c r="AJ2897">
        <v>74.617928389196706</v>
      </c>
      <c r="AK2897">
        <v>0.49973930064508998</v>
      </c>
      <c r="AL2897">
        <v>93.5464440589096</v>
      </c>
      <c r="AM2897">
        <v>95.205113609174902</v>
      </c>
      <c r="AN2897">
        <v>1.0000000129358499</v>
      </c>
    </row>
    <row r="2898" spans="1:40" x14ac:dyDescent="0.25">
      <c r="A2898" t="str">
        <f>"20190305135848528"</f>
        <v>20190305135848528</v>
      </c>
      <c r="B2898" t="str">
        <f>"1551765528522156"</f>
        <v>1551765528522156</v>
      </c>
      <c r="C2898" t="s">
        <v>40</v>
      </c>
      <c r="D2898">
        <v>3.9021560000000002</v>
      </c>
      <c r="E2898">
        <v>0.59265849999999998</v>
      </c>
      <c r="F2898" t="s">
        <v>41</v>
      </c>
      <c r="G2898">
        <v>-391.82530000000003</v>
      </c>
      <c r="H2898">
        <v>0.88593449999999996</v>
      </c>
      <c r="I2898">
        <v>215.04220000000001</v>
      </c>
      <c r="J2898">
        <v>-392.2294</v>
      </c>
      <c r="K2898">
        <v>1.105359</v>
      </c>
      <c r="L2898">
        <v>215.19069999999999</v>
      </c>
      <c r="M2898">
        <v>0.99954779999999999</v>
      </c>
      <c r="N2898">
        <v>-5.432391E-3</v>
      </c>
      <c r="O2898">
        <v>-2.9577679999999999E-2</v>
      </c>
      <c r="P2898">
        <v>0.99634460000000002</v>
      </c>
      <c r="Q2898">
        <v>-6.098721E-2</v>
      </c>
      <c r="R2898">
        <v>5.9816269999999998E-2</v>
      </c>
      <c r="S2898">
        <v>2.998688</v>
      </c>
      <c r="T2898">
        <v>-0.66260189999999997</v>
      </c>
      <c r="U2898">
        <v>-0.49940489999999998</v>
      </c>
      <c r="V2898">
        <v>-8.9509699999999998E-2</v>
      </c>
      <c r="W2898">
        <v>-5.518298E-2</v>
      </c>
      <c r="X2898">
        <v>0.99445609999999995</v>
      </c>
      <c r="Y2898">
        <v>0.13250309999999901</v>
      </c>
      <c r="Z2898">
        <v>-8.4832810000000005E-3</v>
      </c>
      <c r="AA2898">
        <v>0.99114630000000004</v>
      </c>
      <c r="AB2898">
        <v>54</v>
      </c>
      <c r="AC2898">
        <v>0.40409999999997098</v>
      </c>
      <c r="AD2898">
        <v>-0.21942449999999999</v>
      </c>
      <c r="AE2898">
        <v>-0.14849999999998401</v>
      </c>
      <c r="AF2898">
        <v>0.10833970003235199</v>
      </c>
      <c r="AG2898">
        <v>-0.21942449999999999</v>
      </c>
      <c r="AH2898">
        <v>0.32412052852600198</v>
      </c>
      <c r="AI2898">
        <v>122.703118261388</v>
      </c>
      <c r="AJ2898">
        <v>71.517411419974806</v>
      </c>
      <c r="AK2898">
        <v>0.406126481302716</v>
      </c>
      <c r="AL2898">
        <v>93.163358601299095</v>
      </c>
      <c r="AM2898">
        <v>95.143258981693506</v>
      </c>
      <c r="AN2898">
        <v>1.00000004125148</v>
      </c>
    </row>
    <row r="2899" spans="1:40" x14ac:dyDescent="0.25">
      <c r="A2899" t="str">
        <f>"20190305135848550"</f>
        <v>20190305135848550</v>
      </c>
      <c r="B2899" t="str">
        <f>"1551765528541676"</f>
        <v>1551765528541676</v>
      </c>
      <c r="C2899" t="s">
        <v>40</v>
      </c>
      <c r="D2899">
        <v>3.8971640000000001</v>
      </c>
      <c r="E2899">
        <v>0.59279649999999995</v>
      </c>
      <c r="F2899" t="s">
        <v>41</v>
      </c>
      <c r="G2899">
        <v>-391.32299999999998</v>
      </c>
      <c r="H2899">
        <v>0.92901290000000003</v>
      </c>
      <c r="I2899">
        <v>215.02170000000001</v>
      </c>
      <c r="J2899">
        <v>-391.68770000000001</v>
      </c>
      <c r="K2899">
        <v>1.105561</v>
      </c>
      <c r="L2899">
        <v>215.1747</v>
      </c>
      <c r="M2899">
        <v>0.99952569999999996</v>
      </c>
      <c r="N2899">
        <v>-5.4539949999999997E-3</v>
      </c>
      <c r="O2899">
        <v>-3.031153E-2</v>
      </c>
      <c r="P2899">
        <v>0.99669929999999995</v>
      </c>
      <c r="Q2899">
        <v>-5.6811390000000003E-2</v>
      </c>
      <c r="R2899">
        <v>5.7991460000000002E-2</v>
      </c>
      <c r="S2899">
        <v>3.0087890000000002</v>
      </c>
      <c r="T2899">
        <v>-0.58543279999999998</v>
      </c>
      <c r="U2899">
        <v>-0.5597839</v>
      </c>
      <c r="V2899">
        <v>-8.8385430000000001E-2</v>
      </c>
      <c r="W2899">
        <v>-5.1026969999999998E-2</v>
      </c>
      <c r="X2899">
        <v>0.99477850000000001</v>
      </c>
      <c r="Y2899">
        <v>0.15073520000000001</v>
      </c>
      <c r="Z2899">
        <v>-9.1990639999999999E-3</v>
      </c>
      <c r="AA2899">
        <v>0.98853139999999995</v>
      </c>
      <c r="AB2899">
        <v>54</v>
      </c>
      <c r="AC2899">
        <v>0.36469999999996999</v>
      </c>
      <c r="AD2899">
        <v>-0.17654810000000001</v>
      </c>
      <c r="AE2899">
        <v>-0.152999999999991</v>
      </c>
      <c r="AF2899">
        <v>0.118300812921549</v>
      </c>
      <c r="AG2899">
        <v>-0.17654810000000001</v>
      </c>
      <c r="AH2899">
        <v>0.30782840187263399</v>
      </c>
      <c r="AI2899">
        <v>118.162578796937</v>
      </c>
      <c r="AJ2899">
        <v>68.977849783273101</v>
      </c>
      <c r="AK2899">
        <v>0.37406234634211599</v>
      </c>
      <c r="AL2899">
        <v>92.924900245684</v>
      </c>
      <c r="AM2899">
        <v>95.077360593164599</v>
      </c>
      <c r="AN2899">
        <v>0.99999999998295697</v>
      </c>
    </row>
    <row r="2900" spans="1:40" x14ac:dyDescent="0.25">
      <c r="A2900" t="str">
        <f>"20190305135848572"</f>
        <v>20190305135848572</v>
      </c>
      <c r="B2900" t="str">
        <f>"1551765528562171"</f>
        <v>1551765528562171</v>
      </c>
      <c r="C2900" t="s">
        <v>40</v>
      </c>
      <c r="D2900">
        <v>3.9302440000000001</v>
      </c>
      <c r="E2900">
        <v>0.5927635</v>
      </c>
      <c r="F2900" t="s">
        <v>41</v>
      </c>
      <c r="G2900">
        <v>-390.83170000000001</v>
      </c>
      <c r="H2900">
        <v>0.94337300000000002</v>
      </c>
      <c r="I2900">
        <v>215.0136</v>
      </c>
      <c r="J2900">
        <v>-391.15359999999998</v>
      </c>
      <c r="K2900">
        <v>1.105758</v>
      </c>
      <c r="L2900">
        <v>215.15880000000001</v>
      </c>
      <c r="M2900">
        <v>0.9995098</v>
      </c>
      <c r="N2900">
        <v>-5.4760319999999996E-3</v>
      </c>
      <c r="O2900">
        <v>-3.0824870000000001E-2</v>
      </c>
      <c r="P2900">
        <v>0.99685100000000004</v>
      </c>
      <c r="Q2900">
        <v>-5.5762119999999998E-2</v>
      </c>
      <c r="R2900">
        <v>5.6378890000000001E-2</v>
      </c>
      <c r="S2900">
        <v>3.0103149999999999</v>
      </c>
      <c r="T2900">
        <v>-0.57038699999999998</v>
      </c>
      <c r="U2900">
        <v>-0.56605530000000004</v>
      </c>
      <c r="V2900">
        <v>-8.7261450000000004E-2</v>
      </c>
      <c r="W2900">
        <v>-5.0000459999999997E-2</v>
      </c>
      <c r="X2900">
        <v>0.99492990000000003</v>
      </c>
      <c r="Y2900">
        <v>0.15222449999999901</v>
      </c>
      <c r="Z2900">
        <v>-9.0282100000000001E-3</v>
      </c>
      <c r="AA2900">
        <v>0.98830469999999904</v>
      </c>
      <c r="AB2900">
        <v>54</v>
      </c>
      <c r="AC2900">
        <v>0.32189999999997099</v>
      </c>
      <c r="AD2900">
        <v>-0.162385</v>
      </c>
      <c r="AE2900">
        <v>-0.14520000000001601</v>
      </c>
      <c r="AF2900">
        <v>0.111608292168138</v>
      </c>
      <c r="AG2900">
        <v>-0.162385</v>
      </c>
      <c r="AH2900">
        <v>0.26928206653464798</v>
      </c>
      <c r="AI2900">
        <v>119.12116318365401</v>
      </c>
      <c r="AJ2900">
        <v>67.487649976419206</v>
      </c>
      <c r="AK2900">
        <v>0.33367368859839602</v>
      </c>
      <c r="AL2900">
        <v>92.866010210216203</v>
      </c>
      <c r="AM2900">
        <v>95.012364964729301</v>
      </c>
      <c r="AN2900">
        <v>1.0000000562851601</v>
      </c>
    </row>
    <row r="2901" spans="1:40" x14ac:dyDescent="0.25">
      <c r="A2901" t="str">
        <f>"20190305135848593"</f>
        <v>20190305135848593</v>
      </c>
      <c r="B2901" t="str">
        <f>"1551765528581694"</f>
        <v>1551765528581694</v>
      </c>
      <c r="C2901" t="s">
        <v>40</v>
      </c>
      <c r="D2901">
        <v>3.9350200000000002</v>
      </c>
      <c r="E2901">
        <v>0.59248330000000005</v>
      </c>
      <c r="F2901" t="s">
        <v>41</v>
      </c>
      <c r="G2901">
        <v>-390.34100000000001</v>
      </c>
      <c r="H2901">
        <v>0.9536424</v>
      </c>
      <c r="I2901">
        <v>215.0043</v>
      </c>
      <c r="J2901">
        <v>-390.63990000000001</v>
      </c>
      <c r="K2901">
        <v>1.105947</v>
      </c>
      <c r="L2901">
        <v>215.1431</v>
      </c>
      <c r="M2901">
        <v>0.99950059999999996</v>
      </c>
      <c r="N2901">
        <v>-5.498335E-3</v>
      </c>
      <c r="O2901">
        <v>-3.1122279999999999E-2</v>
      </c>
      <c r="P2901">
        <v>0.9968901</v>
      </c>
      <c r="Q2901">
        <v>-5.641554E-2</v>
      </c>
      <c r="R2901">
        <v>5.5023019999999999E-2</v>
      </c>
      <c r="S2901">
        <v>3.010284</v>
      </c>
      <c r="T2901">
        <v>-0.56358030000000003</v>
      </c>
      <c r="U2901">
        <v>-0.5711212</v>
      </c>
      <c r="V2901">
        <v>-8.6181049999999995E-2</v>
      </c>
      <c r="W2901">
        <v>-5.0676300000000001E-2</v>
      </c>
      <c r="X2901">
        <v>0.99498980000000004</v>
      </c>
      <c r="Y2901">
        <v>0.15357019999999999</v>
      </c>
      <c r="Z2901">
        <v>-9.0050100000000008E-3</v>
      </c>
      <c r="AA2901">
        <v>0.98809669999999905</v>
      </c>
      <c r="AB2901">
        <v>54</v>
      </c>
      <c r="AC2901">
        <v>0.298900000000003</v>
      </c>
      <c r="AD2901">
        <v>-0.15230459999999901</v>
      </c>
      <c r="AE2901">
        <v>-0.138800000000003</v>
      </c>
      <c r="AF2901">
        <v>0.106651146291939</v>
      </c>
      <c r="AG2901">
        <v>-0.15230459999999901</v>
      </c>
      <c r="AH2901">
        <v>0.249735436223392</v>
      </c>
      <c r="AI2901">
        <v>119.286342965741</v>
      </c>
      <c r="AJ2901">
        <v>66.874778926715706</v>
      </c>
      <c r="AK2901">
        <v>0.31135019879908898</v>
      </c>
      <c r="AL2901">
        <v>92.904782360295101</v>
      </c>
      <c r="AM2901">
        <v>94.950319736365003</v>
      </c>
      <c r="AN2901">
        <v>0.99999998143241597</v>
      </c>
    </row>
    <row r="2902" spans="1:40" x14ac:dyDescent="0.25">
      <c r="A2902" t="str">
        <f>"20190305135848616"</f>
        <v>20190305135848616</v>
      </c>
      <c r="B2902" t="str">
        <f>"1551765528611478"</f>
        <v>1551765528611478</v>
      </c>
      <c r="C2902" t="s">
        <v>40</v>
      </c>
      <c r="D2902">
        <v>3.9443320000000002</v>
      </c>
      <c r="E2902">
        <v>0.59267860000000006</v>
      </c>
      <c r="F2902" t="s">
        <v>41</v>
      </c>
      <c r="G2902">
        <v>-389.85230000000001</v>
      </c>
      <c r="H2902">
        <v>0.95757210000000004</v>
      </c>
      <c r="I2902">
        <v>214.99289999999999</v>
      </c>
      <c r="J2902">
        <v>-390.10019999999997</v>
      </c>
      <c r="K2902">
        <v>1.10615</v>
      </c>
      <c r="L2902">
        <v>215.1266</v>
      </c>
      <c r="M2902">
        <v>0.99949659999999996</v>
      </c>
      <c r="N2902">
        <v>-5.5223019999999998E-3</v>
      </c>
      <c r="O2902">
        <v>-3.1247179999999999E-2</v>
      </c>
      <c r="P2902">
        <v>0.99691110000000005</v>
      </c>
      <c r="Q2902">
        <v>-5.7306860000000001E-2</v>
      </c>
      <c r="R2902">
        <v>5.3705450000000002E-2</v>
      </c>
      <c r="S2902">
        <v>3.0089109999999999</v>
      </c>
      <c r="T2902">
        <v>-0.56686289999999995</v>
      </c>
      <c r="U2902">
        <v>-0.57383729999999999</v>
      </c>
      <c r="V2902">
        <v>-8.4965739999999998E-2</v>
      </c>
      <c r="W2902">
        <v>-5.1590469999999999E-2</v>
      </c>
      <c r="X2902">
        <v>0.99504729999999997</v>
      </c>
      <c r="Y2902">
        <v>0.15435209999999999</v>
      </c>
      <c r="Z2902">
        <v>-9.1110429999999992E-3</v>
      </c>
      <c r="AA2902">
        <v>0.98797389999999996</v>
      </c>
      <c r="AB2902">
        <v>54</v>
      </c>
      <c r="AC2902">
        <v>0.24789999999995799</v>
      </c>
      <c r="AD2902">
        <v>-0.14857790000000001</v>
      </c>
      <c r="AE2902">
        <v>-0.13370000000000401</v>
      </c>
      <c r="AF2902">
        <v>9.8483233501621803E-2</v>
      </c>
      <c r="AG2902">
        <v>-0.14857790000000001</v>
      </c>
      <c r="AH2902">
        <v>0.197107218533568</v>
      </c>
      <c r="AI2902">
        <v>123.992126176398</v>
      </c>
      <c r="AJ2902">
        <v>63.451316808625897</v>
      </c>
      <c r="AK2902">
        <v>0.26575476523927999</v>
      </c>
      <c r="AL2902">
        <v>92.957229173396996</v>
      </c>
      <c r="AM2902">
        <v>94.880570143272905</v>
      </c>
      <c r="AN2902">
        <v>0.99999994140292703</v>
      </c>
    </row>
    <row r="2903" spans="1:40" x14ac:dyDescent="0.25">
      <c r="A2903" t="str">
        <f>"20190305135848640"</f>
        <v>20190305135848640</v>
      </c>
      <c r="B2903" t="str">
        <f>"1551765528631974"</f>
        <v>1551765528631974</v>
      </c>
      <c r="C2903" t="s">
        <v>40</v>
      </c>
      <c r="D2903">
        <v>3.9614639999999999</v>
      </c>
      <c r="E2903">
        <v>0.59253140000000004</v>
      </c>
      <c r="F2903" t="s">
        <v>41</v>
      </c>
      <c r="G2903">
        <v>-389.36090000000002</v>
      </c>
      <c r="H2903">
        <v>0.96480909999999998</v>
      </c>
      <c r="I2903">
        <v>214.9836</v>
      </c>
      <c r="J2903">
        <v>-389.52800000000002</v>
      </c>
      <c r="K2903">
        <v>1.1063609999999999</v>
      </c>
      <c r="L2903">
        <v>215.10910000000001</v>
      </c>
      <c r="M2903">
        <v>0.99949779999999999</v>
      </c>
      <c r="N2903">
        <v>-5.5478089999999999E-3</v>
      </c>
      <c r="O2903">
        <v>-3.1199560000000001E-2</v>
      </c>
      <c r="P2903">
        <v>0.99694819999999995</v>
      </c>
      <c r="Q2903">
        <v>-5.768239E-2</v>
      </c>
      <c r="R2903">
        <v>5.2604079999999998E-2</v>
      </c>
      <c r="S2903">
        <v>3.0075069999999999</v>
      </c>
      <c r="T2903">
        <v>-0.57499019999999901</v>
      </c>
      <c r="U2903">
        <v>-0.58038330000000005</v>
      </c>
      <c r="V2903">
        <v>-8.3792499999999895E-2</v>
      </c>
      <c r="W2903">
        <v>-5.1986749999999998E-2</v>
      </c>
      <c r="X2903">
        <v>0.99512619999999896</v>
      </c>
      <c r="Y2903">
        <v>0.1564564</v>
      </c>
      <c r="Z2903">
        <v>-9.4482330000000003E-3</v>
      </c>
      <c r="AA2903">
        <v>0.98763970000000001</v>
      </c>
      <c r="AB2903">
        <v>54</v>
      </c>
      <c r="AC2903">
        <v>0.167100000000004</v>
      </c>
      <c r="AD2903">
        <v>-0.14155190000000001</v>
      </c>
      <c r="AE2903">
        <v>-0.12550000000001599</v>
      </c>
      <c r="AF2903">
        <v>8.2413983042434094E-2</v>
      </c>
      <c r="AG2903">
        <v>-0.14155190000000001</v>
      </c>
      <c r="AH2903">
        <v>0.1171747038539</v>
      </c>
      <c r="AI2903">
        <v>134.65739782866899</v>
      </c>
      <c r="AJ2903">
        <v>54.879639474374599</v>
      </c>
      <c r="AK2903">
        <v>0.20139244329859499</v>
      </c>
      <c r="AL2903">
        <v>92.979964742225107</v>
      </c>
      <c r="AM2903">
        <v>94.813116333858801</v>
      </c>
      <c r="AN2903">
        <v>0.99999997957912601</v>
      </c>
    </row>
    <row r="2904" spans="1:40" x14ac:dyDescent="0.25">
      <c r="A2904" t="str">
        <f>"20190305135848662"</f>
        <v>20190305135848662</v>
      </c>
      <c r="B2904" t="str">
        <f>"1551765528651494"</f>
        <v>1551765528651494</v>
      </c>
      <c r="C2904" t="s">
        <v>40</v>
      </c>
      <c r="D2904">
        <v>4.1436679999999999</v>
      </c>
      <c r="E2904">
        <v>0.59309409999999996</v>
      </c>
      <c r="F2904" t="s">
        <v>41</v>
      </c>
      <c r="G2904">
        <v>-388.41269999999997</v>
      </c>
      <c r="H2904">
        <v>0.89292990000000005</v>
      </c>
      <c r="I2904">
        <v>214.8922</v>
      </c>
      <c r="J2904">
        <v>-388.97579999999999</v>
      </c>
      <c r="K2904">
        <v>1.1065469999999999</v>
      </c>
      <c r="L2904">
        <v>215.09209999999999</v>
      </c>
      <c r="M2904">
        <v>0.99950349999999999</v>
      </c>
      <c r="N2904">
        <v>-5.5723129999999997E-3</v>
      </c>
      <c r="O2904">
        <v>-3.1017070000000001E-2</v>
      </c>
      <c r="P2904">
        <v>0.99701360000000006</v>
      </c>
      <c r="Q2904">
        <v>-5.6936790000000001E-2</v>
      </c>
      <c r="R2904">
        <v>5.2175899999999997E-2</v>
      </c>
      <c r="S2904">
        <v>3.0067140000000001</v>
      </c>
      <c r="T2904">
        <v>-0.57547209999999904</v>
      </c>
      <c r="U2904">
        <v>-0.58345029999999998</v>
      </c>
      <c r="V2904">
        <v>-8.3159759999999999E-2</v>
      </c>
      <c r="W2904">
        <v>-5.1256070000000001E-2</v>
      </c>
      <c r="X2904">
        <v>0.99521720000000002</v>
      </c>
      <c r="Y2904">
        <v>0.15762709999999999</v>
      </c>
      <c r="Z2904">
        <v>-9.6062850000000009E-3</v>
      </c>
      <c r="AA2904">
        <v>0.987452</v>
      </c>
      <c r="AB2904">
        <v>55</v>
      </c>
      <c r="AC2904">
        <v>0.56310000000001903</v>
      </c>
      <c r="AD2904">
        <v>-0.21361709999999901</v>
      </c>
      <c r="AE2904">
        <v>-0.19989999999998501</v>
      </c>
      <c r="AF2904">
        <v>0.16167474152392999</v>
      </c>
      <c r="AG2904">
        <v>-0.21361709999999901</v>
      </c>
      <c r="AH2904">
        <v>0.504545265667948</v>
      </c>
      <c r="AI2904">
        <v>111.958866225831</v>
      </c>
      <c r="AJ2904">
        <v>72.232642423716996</v>
      </c>
      <c r="AK2904">
        <v>0.57125905906793295</v>
      </c>
      <c r="AL2904">
        <v>92.938043900141693</v>
      </c>
      <c r="AM2904">
        <v>94.776505238575496</v>
      </c>
      <c r="AN2904">
        <v>1.0000000027854701</v>
      </c>
    </row>
    <row r="2905" spans="1:40" x14ac:dyDescent="0.25">
      <c r="A2905" t="str">
        <f>"20190305135848682"</f>
        <v>20190305135848682</v>
      </c>
      <c r="B2905" t="str">
        <f>"1551765528671990"</f>
        <v>1551765528671990</v>
      </c>
      <c r="C2905" t="s">
        <v>40</v>
      </c>
      <c r="D2905">
        <v>4.1298690000000002</v>
      </c>
      <c r="E2905">
        <v>0.66539099999999995</v>
      </c>
      <c r="F2905" t="s">
        <v>41</v>
      </c>
      <c r="G2905">
        <v>-387.91680000000002</v>
      </c>
      <c r="H2905">
        <v>0.90450730000000001</v>
      </c>
      <c r="I2905">
        <v>214.88409999999999</v>
      </c>
      <c r="J2905">
        <v>-388.45830000000001</v>
      </c>
      <c r="K2905">
        <v>1.106716</v>
      </c>
      <c r="L2905">
        <v>215.0762</v>
      </c>
      <c r="M2905">
        <v>0.99951089999999998</v>
      </c>
      <c r="N2905">
        <v>-5.5951219999999897E-3</v>
      </c>
      <c r="O2905">
        <v>-3.0765529999999999E-2</v>
      </c>
      <c r="P2905">
        <v>0.99703319999999995</v>
      </c>
      <c r="Q2905">
        <v>-5.6550499999999997E-2</v>
      </c>
      <c r="R2905">
        <v>5.2220040000000002E-2</v>
      </c>
      <c r="S2905">
        <v>3.00705</v>
      </c>
      <c r="T2905">
        <v>-0.57376000000000005</v>
      </c>
      <c r="U2905">
        <v>-0.5900879</v>
      </c>
      <c r="V2905">
        <v>-8.2933099999999996E-2</v>
      </c>
      <c r="W2905">
        <v>-5.0880099999999998E-2</v>
      </c>
      <c r="X2905">
        <v>0.99525540000000001</v>
      </c>
      <c r="Y2905">
        <v>0.1599236</v>
      </c>
      <c r="Z2905">
        <v>-9.8471489999999995E-3</v>
      </c>
      <c r="AA2905">
        <v>0.98708030000000002</v>
      </c>
      <c r="AB2905">
        <v>55</v>
      </c>
      <c r="AC2905">
        <v>0.54149999999998499</v>
      </c>
      <c r="AD2905">
        <v>-0.20220869999999999</v>
      </c>
      <c r="AE2905">
        <v>-0.19210000000001001</v>
      </c>
      <c r="AF2905">
        <v>0.15602448973525901</v>
      </c>
      <c r="AG2905">
        <v>-0.20220869999999999</v>
      </c>
      <c r="AH2905">
        <v>0.48685344578186301</v>
      </c>
      <c r="AI2905">
        <v>111.57994979348599</v>
      </c>
      <c r="AJ2905">
        <v>72.230630228753796</v>
      </c>
      <c r="AK2905">
        <v>0.54978020828555796</v>
      </c>
      <c r="AL2905">
        <v>92.916474276828097</v>
      </c>
      <c r="AM2905">
        <v>94.763364406928503</v>
      </c>
      <c r="AN2905">
        <v>0.99999999744038903</v>
      </c>
    </row>
    <row r="2906" spans="1:40" x14ac:dyDescent="0.25">
      <c r="A2906" t="str">
        <f>"20190305135848705"</f>
        <v>20190305135848705</v>
      </c>
      <c r="B2906" t="str">
        <f>"1551765528692017"</f>
        <v>1551765528692017</v>
      </c>
      <c r="C2906" t="s">
        <v>40</v>
      </c>
      <c r="D2906">
        <v>4.0836670000000002</v>
      </c>
      <c r="E2906">
        <v>0.67220579999999996</v>
      </c>
      <c r="F2906" t="s">
        <v>59</v>
      </c>
      <c r="G2906">
        <v>-383.73770000000002</v>
      </c>
      <c r="H2906" s="1">
        <v>5.116622E-7</v>
      </c>
      <c r="I2906">
        <v>213.25630000000001</v>
      </c>
      <c r="J2906">
        <v>-387.91559999999998</v>
      </c>
      <c r="K2906">
        <v>1.1068709999999999</v>
      </c>
      <c r="L2906">
        <v>215.05969999999999</v>
      </c>
      <c r="M2906">
        <v>0.99952070000000004</v>
      </c>
      <c r="N2906">
        <v>-5.6190199999999997E-3</v>
      </c>
      <c r="O2906">
        <v>-3.0448579999999999E-2</v>
      </c>
      <c r="P2906">
        <v>0.99705390000000005</v>
      </c>
      <c r="Q2906">
        <v>-5.597444E-2</v>
      </c>
      <c r="R2906">
        <v>5.2448939999999999E-2</v>
      </c>
      <c r="S2906">
        <v>3.0298159999999998</v>
      </c>
      <c r="T2906">
        <v>-0.71031480000000002</v>
      </c>
      <c r="U2906">
        <v>-1.1681060000000001</v>
      </c>
      <c r="V2906">
        <v>-8.2827280000000003E-2</v>
      </c>
      <c r="W2906">
        <v>-5.0310939999999998E-2</v>
      </c>
      <c r="X2906">
        <v>0.99529310000000004</v>
      </c>
      <c r="Y2906">
        <v>0.32398739999999998</v>
      </c>
      <c r="Z2906">
        <v>-3.0538360000000001E-2</v>
      </c>
      <c r="AA2906">
        <v>0.94556839999999998</v>
      </c>
      <c r="AB2906">
        <v>55</v>
      </c>
      <c r="AC2906">
        <v>4.1778999999999602</v>
      </c>
      <c r="AD2906">
        <v>-1.1068704883378</v>
      </c>
      <c r="AE2906">
        <v>-1.8033999999999799</v>
      </c>
      <c r="AF2906">
        <v>1.5817636052364801</v>
      </c>
      <c r="AG2906">
        <v>-1.1068704883378</v>
      </c>
      <c r="AH2906">
        <v>3.9945329258714199</v>
      </c>
      <c r="AI2906">
        <v>104.447105876758</v>
      </c>
      <c r="AJ2906">
        <v>68.397319989679602</v>
      </c>
      <c r="AK2906">
        <v>4.4366013655358696</v>
      </c>
      <c r="AL2906">
        <v>92.883822121540305</v>
      </c>
      <c r="AM2906">
        <v>94.757135047106701</v>
      </c>
      <c r="AN2906">
        <v>0.99999995195174496</v>
      </c>
    </row>
    <row r="2907" spans="1:40" x14ac:dyDescent="0.25">
      <c r="A2907" t="str">
        <f>"20190305135848729"</f>
        <v>20190305135848729</v>
      </c>
      <c r="B2907" t="str">
        <f>"1551765528721297"</f>
        <v>1551765528721297</v>
      </c>
      <c r="C2907" t="s">
        <v>40</v>
      </c>
      <c r="D2907">
        <v>4.3403989999999997</v>
      </c>
      <c r="E2907">
        <v>0.66947319999999999</v>
      </c>
      <c r="F2907" t="s">
        <v>59</v>
      </c>
      <c r="G2907">
        <v>-383.30880000000002</v>
      </c>
      <c r="H2907" s="1">
        <v>2.8577629999999998E-7</v>
      </c>
      <c r="I2907">
        <v>213.20330000000001</v>
      </c>
      <c r="J2907">
        <v>-387.32339999999999</v>
      </c>
      <c r="K2907">
        <v>1.1070180000000001</v>
      </c>
      <c r="L2907">
        <v>215.04179999999999</v>
      </c>
      <c r="M2907">
        <v>0.99953159999999996</v>
      </c>
      <c r="N2907">
        <v>-5.6449400000000002E-3</v>
      </c>
      <c r="O2907">
        <v>-3.0079689999999999E-2</v>
      </c>
      <c r="P2907">
        <v>0.99705359999999998</v>
      </c>
      <c r="Q2907">
        <v>-5.5378040000000003E-2</v>
      </c>
      <c r="R2907">
        <v>5.3080950000000002E-2</v>
      </c>
      <c r="S2907">
        <v>3.0321959999999999</v>
      </c>
      <c r="T2907">
        <v>-0.72855009999999998</v>
      </c>
      <c r="U2907">
        <v>-1.2219089999999999</v>
      </c>
      <c r="V2907">
        <v>-8.3074170000000003E-2</v>
      </c>
      <c r="W2907">
        <v>-4.9717299999999999E-2</v>
      </c>
      <c r="X2907">
        <v>0.99530240000000003</v>
      </c>
      <c r="Y2907">
        <v>0.33791520000000003</v>
      </c>
      <c r="Z2907">
        <v>-3.2883910000000002E-2</v>
      </c>
      <c r="AA2907">
        <v>0.94060189999999999</v>
      </c>
      <c r="AB2907">
        <v>55</v>
      </c>
      <c r="AC2907">
        <v>4.0145999999999704</v>
      </c>
      <c r="AD2907">
        <v>-1.1070177142237001</v>
      </c>
      <c r="AE2907">
        <v>-1.83849999999998</v>
      </c>
      <c r="AF2907">
        <v>1.6153740236640399</v>
      </c>
      <c r="AG2907">
        <v>-1.1070177142237001</v>
      </c>
      <c r="AH2907">
        <v>3.8275080571884601</v>
      </c>
      <c r="AI2907">
        <v>104.92074146293101</v>
      </c>
      <c r="AJ2907">
        <v>67.118150714102995</v>
      </c>
      <c r="AK2907">
        <v>4.29938825692403</v>
      </c>
      <c r="AL2907">
        <v>92.849766302487893</v>
      </c>
      <c r="AM2907">
        <v>94.771205282434096</v>
      </c>
      <c r="AN2907">
        <v>0.99999999754311897</v>
      </c>
    </row>
    <row r="2908" spans="1:40" x14ac:dyDescent="0.25">
      <c r="A2908" t="str">
        <f>"20190305135848752"</f>
        <v>20190305135848752</v>
      </c>
      <c r="B2908" t="str">
        <f>"1551765528741793"</f>
        <v>1551765528741793</v>
      </c>
      <c r="C2908" t="s">
        <v>40</v>
      </c>
      <c r="D2908">
        <v>4.2497939999999996</v>
      </c>
      <c r="E2908">
        <v>0.66777519999999901</v>
      </c>
      <c r="F2908" t="s">
        <v>59</v>
      </c>
      <c r="G2908">
        <v>-383.01429999999999</v>
      </c>
      <c r="H2908" s="1">
        <v>1.2314130000000001E-7</v>
      </c>
      <c r="I2908">
        <v>213.33760000000001</v>
      </c>
      <c r="J2908">
        <v>-386.74380000000002</v>
      </c>
      <c r="K2908">
        <v>1.107145</v>
      </c>
      <c r="L2908">
        <v>215.02440000000001</v>
      </c>
      <c r="M2908">
        <v>0.99954189999999998</v>
      </c>
      <c r="N2908">
        <v>-5.6697989999999997E-3</v>
      </c>
      <c r="O2908">
        <v>-2.9727369999999999E-2</v>
      </c>
      <c r="P2908">
        <v>0.99706209999999995</v>
      </c>
      <c r="Q2908">
        <v>-5.4957609999999997E-2</v>
      </c>
      <c r="R2908">
        <v>5.3353810000000002E-2</v>
      </c>
      <c r="S2908">
        <v>3.0294189999999999</v>
      </c>
      <c r="T2908">
        <v>-0.77825149999999998</v>
      </c>
      <c r="U2908">
        <v>-1.1980900000000001</v>
      </c>
      <c r="V2908">
        <v>-8.2982879999999995E-2</v>
      </c>
      <c r="W2908">
        <v>-4.9295100000000001E-2</v>
      </c>
      <c r="X2908">
        <v>0.99533099999999997</v>
      </c>
      <c r="Y2908">
        <v>0.33123000000000002</v>
      </c>
      <c r="Z2908">
        <v>-3.4315869999999998E-2</v>
      </c>
      <c r="AA2908">
        <v>0.94292580000000004</v>
      </c>
      <c r="AB2908">
        <v>55</v>
      </c>
      <c r="AC2908">
        <v>3.72950000000003</v>
      </c>
      <c r="AD2908">
        <v>-1.1071448768587</v>
      </c>
      <c r="AE2908">
        <v>-1.6868000000000001</v>
      </c>
      <c r="AF2908">
        <v>1.46779913208346</v>
      </c>
      <c r="AG2908">
        <v>-1.1071448768587</v>
      </c>
      <c r="AH2908">
        <v>3.5204385596547398</v>
      </c>
      <c r="AI2908">
        <v>106.186492063668</v>
      </c>
      <c r="AJ2908">
        <v>67.366965796445797</v>
      </c>
      <c r="AK2908">
        <v>3.97161072145841</v>
      </c>
      <c r="AL2908">
        <v>92.825546368793198</v>
      </c>
      <c r="AM2908">
        <v>94.765850066146399</v>
      </c>
      <c r="AN2908">
        <v>0.99999998240905197</v>
      </c>
    </row>
    <row r="2909" spans="1:40" x14ac:dyDescent="0.25">
      <c r="A2909" t="str">
        <f>"20190305135848774"</f>
        <v>20190305135848774</v>
      </c>
      <c r="B2909" t="str">
        <f>"1551765528762292"</f>
        <v>1551765528762292</v>
      </c>
      <c r="C2909" t="s">
        <v>40</v>
      </c>
      <c r="D2909">
        <v>4.1027360000000002</v>
      </c>
      <c r="E2909">
        <v>0.66994739999999997</v>
      </c>
      <c r="F2909" t="s">
        <v>59</v>
      </c>
      <c r="G2909">
        <v>-382.56580000000002</v>
      </c>
      <c r="H2909" s="1">
        <v>-1.178381E-7</v>
      </c>
      <c r="I2909">
        <v>213.39070000000001</v>
      </c>
      <c r="J2909">
        <v>-386.22800000000001</v>
      </c>
      <c r="K2909">
        <v>1.107229</v>
      </c>
      <c r="L2909">
        <v>215.00899999999999</v>
      </c>
      <c r="M2909">
        <v>0.99955050000000001</v>
      </c>
      <c r="N2909">
        <v>-5.69186E-3</v>
      </c>
      <c r="O2909">
        <v>-2.943921E-2</v>
      </c>
      <c r="P2909">
        <v>0.99703620000000004</v>
      </c>
      <c r="Q2909">
        <v>-5.4886009999999999E-2</v>
      </c>
      <c r="R2909">
        <v>5.3913669999999997E-2</v>
      </c>
      <c r="S2909">
        <v>3.0280149999999999</v>
      </c>
      <c r="T2909">
        <v>-0.80240559999999905</v>
      </c>
      <c r="U2909">
        <v>-1.184021</v>
      </c>
      <c r="V2909">
        <v>-8.3244719999999994E-2</v>
      </c>
      <c r="W2909">
        <v>-4.9218070000000003E-2</v>
      </c>
      <c r="X2909">
        <v>0.995313</v>
      </c>
      <c r="Y2909">
        <v>0.32740180000000002</v>
      </c>
      <c r="Z2909">
        <v>-3.493798E-2</v>
      </c>
      <c r="AA2909">
        <v>0.9442391</v>
      </c>
      <c r="AB2909">
        <v>55</v>
      </c>
      <c r="AC2909">
        <v>3.6621999999999799</v>
      </c>
      <c r="AD2909">
        <v>-1.1072291178381</v>
      </c>
      <c r="AE2909">
        <v>-1.6183000000000001</v>
      </c>
      <c r="AF2909">
        <v>1.40252505984926</v>
      </c>
      <c r="AG2909">
        <v>-1.1072291178381</v>
      </c>
      <c r="AH2909">
        <v>3.4448096549201099</v>
      </c>
      <c r="AI2909">
        <v>106.577838177175</v>
      </c>
      <c r="AJ2909">
        <v>67.846720683751599</v>
      </c>
      <c r="AK2909">
        <v>3.8806889106864202</v>
      </c>
      <c r="AL2909">
        <v>92.821127362830694</v>
      </c>
      <c r="AM2909">
        <v>94.780904454487995</v>
      </c>
      <c r="AN2909">
        <v>1.0000000348957001</v>
      </c>
    </row>
    <row r="2910" spans="1:40" x14ac:dyDescent="0.25">
      <c r="A2910" t="str">
        <f>"20190305135848795"</f>
        <v>20190305135848795</v>
      </c>
      <c r="B2910" t="str">
        <f>"1551765528781809"</f>
        <v>1551765528781809</v>
      </c>
      <c r="C2910" t="s">
        <v>40</v>
      </c>
      <c r="D2910">
        <v>4.1116609999999998</v>
      </c>
      <c r="E2910">
        <v>0.67142309999999905</v>
      </c>
      <c r="F2910" t="s">
        <v>59</v>
      </c>
      <c r="G2910">
        <v>-382.01429999999999</v>
      </c>
      <c r="H2910" s="1">
        <v>-4.091646E-7</v>
      </c>
      <c r="I2910">
        <v>213.34129999999999</v>
      </c>
      <c r="J2910">
        <v>-385.6995</v>
      </c>
      <c r="K2910">
        <v>1.107294</v>
      </c>
      <c r="L2910">
        <v>214.99340000000001</v>
      </c>
      <c r="M2910">
        <v>0.99955819999999995</v>
      </c>
      <c r="N2910">
        <v>-5.7141880000000003E-3</v>
      </c>
      <c r="O2910">
        <v>-2.9173569999999999E-2</v>
      </c>
      <c r="P2910">
        <v>0.99700809999999995</v>
      </c>
      <c r="Q2910">
        <v>-5.481341E-2</v>
      </c>
      <c r="R2910">
        <v>5.4503700000000002E-2</v>
      </c>
      <c r="S2910">
        <v>3.029938</v>
      </c>
      <c r="T2910">
        <v>-0.79617309999999997</v>
      </c>
      <c r="U2910">
        <v>-1.199203</v>
      </c>
      <c r="V2910">
        <v>-8.3561129999999997E-2</v>
      </c>
      <c r="W2910">
        <v>-4.9137050000000002E-2</v>
      </c>
      <c r="X2910">
        <v>0.99529049999999997</v>
      </c>
      <c r="Y2910">
        <v>0.33157629999999999</v>
      </c>
      <c r="Z2910">
        <v>-3.523838E-2</v>
      </c>
      <c r="AA2910">
        <v>0.94277010000000006</v>
      </c>
      <c r="AB2910">
        <v>55</v>
      </c>
      <c r="AC2910">
        <v>3.6852</v>
      </c>
      <c r="AD2910">
        <v>-1.1072944091646</v>
      </c>
      <c r="AE2910">
        <v>-1.6521000000000099</v>
      </c>
      <c r="AF2910">
        <v>1.4359390604159901</v>
      </c>
      <c r="AG2910">
        <v>-1.1072944091646</v>
      </c>
      <c r="AH2910">
        <v>3.4709072136022301</v>
      </c>
      <c r="AI2910">
        <v>106.42500510372901</v>
      </c>
      <c r="AJ2910">
        <v>67.524771532513995</v>
      </c>
      <c r="AK2910">
        <v>3.9160207838099601</v>
      </c>
      <c r="AL2910">
        <v>92.816479604802794</v>
      </c>
      <c r="AM2910">
        <v>94.799099759993695</v>
      </c>
      <c r="AN2910">
        <v>1.0000000457599101</v>
      </c>
    </row>
    <row r="2911" spans="1:40" x14ac:dyDescent="0.25">
      <c r="A2911" t="str">
        <f>"20190305135848816"</f>
        <v>20190305135848816</v>
      </c>
      <c r="B2911" t="str">
        <f>"1551765528812065"</f>
        <v>1551765528812065</v>
      </c>
      <c r="C2911" t="s">
        <v>40</v>
      </c>
      <c r="D2911">
        <v>4.3120830000000003</v>
      </c>
      <c r="E2911">
        <v>0.67221940000000002</v>
      </c>
      <c r="F2911" t="s">
        <v>59</v>
      </c>
      <c r="G2911">
        <v>-381.46019999999999</v>
      </c>
      <c r="H2911" s="1">
        <v>-7.0229139999999997E-7</v>
      </c>
      <c r="I2911">
        <v>213.3023</v>
      </c>
      <c r="J2911">
        <v>-385.1422</v>
      </c>
      <c r="K2911">
        <v>1.1073580000000001</v>
      </c>
      <c r="L2911">
        <v>214.977</v>
      </c>
      <c r="M2911">
        <v>0.99956520000000004</v>
      </c>
      <c r="N2911">
        <v>-5.7378129999999996E-3</v>
      </c>
      <c r="O2911">
        <v>-2.892231E-2</v>
      </c>
      <c r="P2911">
        <v>0.99698350000000002</v>
      </c>
      <c r="Q2911">
        <v>-5.5140189999999999E-2</v>
      </c>
      <c r="R2911">
        <v>5.4619279999999999E-2</v>
      </c>
      <c r="S2911">
        <v>3.0316160000000001</v>
      </c>
      <c r="T2911">
        <v>-0.79185649999999996</v>
      </c>
      <c r="U2911">
        <v>-1.2093510000000001</v>
      </c>
      <c r="V2911">
        <v>-8.3418880000000001E-2</v>
      </c>
      <c r="W2911">
        <v>-4.9452059999999999E-2</v>
      </c>
      <c r="X2911">
        <v>0.99528680000000003</v>
      </c>
      <c r="Y2911">
        <v>0.33438400000000001</v>
      </c>
      <c r="Z2911">
        <v>-3.5444969999999999E-2</v>
      </c>
      <c r="AA2911">
        <v>0.94177010000000005</v>
      </c>
      <c r="AB2911">
        <v>56</v>
      </c>
      <c r="AC2911">
        <v>3.6820000000000102</v>
      </c>
      <c r="AD2911">
        <v>-1.10735870229139</v>
      </c>
      <c r="AE2911">
        <v>-1.6747000000000001</v>
      </c>
      <c r="AF2911">
        <v>1.4582184069870301</v>
      </c>
      <c r="AG2911">
        <v>-1.10735870229139</v>
      </c>
      <c r="AH2911">
        <v>3.46891607892936</v>
      </c>
      <c r="AI2911">
        <v>106.398077452216</v>
      </c>
      <c r="AJ2911">
        <v>67.199714237520496</v>
      </c>
      <c r="AK2911">
        <v>3.9225021326534599</v>
      </c>
      <c r="AL2911">
        <v>92.834550403614799</v>
      </c>
      <c r="AM2911">
        <v>94.790985817565996</v>
      </c>
      <c r="AN2911">
        <v>1.0000000150164601</v>
      </c>
    </row>
    <row r="2912" spans="1:40" x14ac:dyDescent="0.25">
      <c r="A2912" t="str">
        <f>"20190305135848841"</f>
        <v>20190305135848841</v>
      </c>
      <c r="B2912" t="str">
        <f>"1551765528831585"</f>
        <v>1551765528831585</v>
      </c>
      <c r="C2912" t="s">
        <v>40</v>
      </c>
      <c r="D2912">
        <v>4.2783559999999996</v>
      </c>
      <c r="E2912">
        <v>0.67136569999999995</v>
      </c>
      <c r="F2912" t="s">
        <v>59</v>
      </c>
      <c r="G2912">
        <v>-380.9271</v>
      </c>
      <c r="H2912" s="1">
        <v>-9.8534969999999999E-7</v>
      </c>
      <c r="I2912">
        <v>213.28729999999999</v>
      </c>
      <c r="J2912">
        <v>-384.55079999999998</v>
      </c>
      <c r="K2912">
        <v>1.1074029999999999</v>
      </c>
      <c r="L2912">
        <v>214.9598</v>
      </c>
      <c r="M2912">
        <v>0.99957200000000002</v>
      </c>
      <c r="N2912">
        <v>-5.7630069999999997E-3</v>
      </c>
      <c r="O2912">
        <v>-2.8683750000000001E-2</v>
      </c>
      <c r="P2912">
        <v>0.99695820000000002</v>
      </c>
      <c r="Q2912">
        <v>-5.5404250000000002E-2</v>
      </c>
      <c r="R2912">
        <v>5.4819569999999998E-2</v>
      </c>
      <c r="S2912">
        <v>3.0315859999999999</v>
      </c>
      <c r="T2912">
        <v>-0.79643509999999995</v>
      </c>
      <c r="U2912">
        <v>-1.2152860000000001</v>
      </c>
      <c r="V2912">
        <v>-8.3375130000000006E-2</v>
      </c>
      <c r="W2912">
        <v>-4.9701219999999997E-2</v>
      </c>
      <c r="X2912">
        <v>0.99527810000000005</v>
      </c>
      <c r="Y2912">
        <v>0.3360475</v>
      </c>
      <c r="Z2912">
        <v>-3.5901860000000001E-2</v>
      </c>
      <c r="AA2912">
        <v>0.94116049999999996</v>
      </c>
      <c r="AB2912">
        <v>56</v>
      </c>
      <c r="AC2912">
        <v>3.6236999999999799</v>
      </c>
      <c r="AD2912">
        <v>-1.1074039853497</v>
      </c>
      <c r="AE2912">
        <v>-1.6725000000000101</v>
      </c>
      <c r="AF2912">
        <v>1.4557867023519899</v>
      </c>
      <c r="AG2912">
        <v>-1.1074039853497</v>
      </c>
      <c r="AH2912">
        <v>3.4078132682115698</v>
      </c>
      <c r="AI2912">
        <v>106.63797629577699</v>
      </c>
      <c r="AJ2912">
        <v>66.868269067542499</v>
      </c>
      <c r="AK2912">
        <v>3.8676672272200601</v>
      </c>
      <c r="AL2912">
        <v>92.848843667995595</v>
      </c>
      <c r="AM2912">
        <v>94.788526479305503</v>
      </c>
      <c r="AN2912">
        <v>1.0000000599558001</v>
      </c>
    </row>
    <row r="2913" spans="1:40" x14ac:dyDescent="0.25">
      <c r="A2913" t="str">
        <f>"20190305135848862"</f>
        <v>20190305135848862</v>
      </c>
      <c r="B2913" t="str">
        <f>"1551765528852081"</f>
        <v>1551765528852081</v>
      </c>
      <c r="C2913" t="s">
        <v>40</v>
      </c>
      <c r="D2913">
        <v>4.290476</v>
      </c>
      <c r="E2913">
        <v>0.67052789999999995</v>
      </c>
      <c r="F2913" t="s">
        <v>59</v>
      </c>
      <c r="G2913">
        <v>-380.39850000000001</v>
      </c>
      <c r="H2913" s="1">
        <v>-1.2673750000000001E-6</v>
      </c>
      <c r="I2913">
        <v>213.30420000000001</v>
      </c>
      <c r="J2913">
        <v>-383.99709999999999</v>
      </c>
      <c r="K2913">
        <v>1.1074389999999901</v>
      </c>
      <c r="L2913">
        <v>214.94390000000001</v>
      </c>
      <c r="M2913">
        <v>0.99957790000000002</v>
      </c>
      <c r="N2913">
        <v>-5.7867109999999999E-3</v>
      </c>
      <c r="O2913">
        <v>-2.8473749999999999E-2</v>
      </c>
      <c r="P2913">
        <v>0.99693799999999999</v>
      </c>
      <c r="Q2913">
        <v>-5.5627660000000002E-2</v>
      </c>
      <c r="R2913">
        <v>5.4960519999999999E-2</v>
      </c>
      <c r="S2913">
        <v>3.0307010000000001</v>
      </c>
      <c r="T2913">
        <v>-0.8082743</v>
      </c>
      <c r="U2913">
        <v>-1.2084349999999999</v>
      </c>
      <c r="V2913">
        <v>-8.330166E-2</v>
      </c>
      <c r="W2913">
        <v>-4.990907E-2</v>
      </c>
      <c r="X2913">
        <v>0.99527379999999999</v>
      </c>
      <c r="Y2913">
        <v>0.33426869999999997</v>
      </c>
      <c r="Z2913">
        <v>-3.6251690000000003E-2</v>
      </c>
      <c r="AA2913">
        <v>0.94178039999999996</v>
      </c>
      <c r="AB2913">
        <v>56</v>
      </c>
      <c r="AC2913">
        <v>3.59859999999997</v>
      </c>
      <c r="AD2913">
        <v>-1.1074402673749999</v>
      </c>
      <c r="AE2913">
        <v>-1.6396999999999999</v>
      </c>
      <c r="AF2913">
        <v>1.4248282379308199</v>
      </c>
      <c r="AG2913">
        <v>-1.1074402673749999</v>
      </c>
      <c r="AH2913">
        <v>3.3788498837918599</v>
      </c>
      <c r="AI2913">
        <v>106.804480746235</v>
      </c>
      <c r="AJ2913">
        <v>67.135318798240107</v>
      </c>
      <c r="AK2913">
        <v>3.8305594879350102</v>
      </c>
      <c r="AL2913">
        <v>92.860767537726403</v>
      </c>
      <c r="AM2913">
        <v>94.784347009453199</v>
      </c>
      <c r="AN2913">
        <v>1.0000000093967301</v>
      </c>
    </row>
    <row r="2914" spans="1:40" x14ac:dyDescent="0.25">
      <c r="A2914" t="str">
        <f>"20190305135848884"</f>
        <v>20190305135848884</v>
      </c>
      <c r="B2914" t="str">
        <f>"1551765528871605"</f>
        <v>1551765528871605</v>
      </c>
      <c r="C2914" t="s">
        <v>40</v>
      </c>
      <c r="D2914">
        <v>4.102074</v>
      </c>
      <c r="E2914">
        <v>0.67058419999999996</v>
      </c>
      <c r="F2914" t="s">
        <v>59</v>
      </c>
      <c r="G2914">
        <v>-379.88260000000002</v>
      </c>
      <c r="H2914" s="1">
        <v>3.7222449999999999E-6</v>
      </c>
      <c r="I2914">
        <v>213.3116</v>
      </c>
      <c r="J2914">
        <v>-383.45460000000003</v>
      </c>
      <c r="K2914">
        <v>1.107472</v>
      </c>
      <c r="L2914">
        <v>214.92840000000001</v>
      </c>
      <c r="M2914">
        <v>0.99958349999999996</v>
      </c>
      <c r="N2914">
        <v>-5.8101289999999998E-3</v>
      </c>
      <c r="O2914">
        <v>-2.8271649999999999E-2</v>
      </c>
      <c r="P2914">
        <v>0.99695199999999995</v>
      </c>
      <c r="Q2914">
        <v>-5.5142820000000002E-2</v>
      </c>
      <c r="R2914">
        <v>5.519218E-2</v>
      </c>
      <c r="S2914">
        <v>3.0299680000000002</v>
      </c>
      <c r="T2914">
        <v>-0.81552469999999999</v>
      </c>
      <c r="U2914">
        <v>-1.202026</v>
      </c>
      <c r="V2914">
        <v>-8.3328410000000006E-2</v>
      </c>
      <c r="W2914">
        <v>-4.9407550000000001E-2</v>
      </c>
      <c r="X2914">
        <v>0.99529659999999998</v>
      </c>
      <c r="Y2914">
        <v>0.33268029999999998</v>
      </c>
      <c r="Z2914">
        <v>-3.6424480000000002E-2</v>
      </c>
      <c r="AA2914">
        <v>0.94233599999999995</v>
      </c>
      <c r="AB2914">
        <v>56</v>
      </c>
      <c r="AC2914">
        <v>3.5720000000000001</v>
      </c>
      <c r="AD2914">
        <v>-1.107468277755</v>
      </c>
      <c r="AE2914">
        <v>-1.61680000000001</v>
      </c>
      <c r="AF2914">
        <v>1.4032161795178899</v>
      </c>
      <c r="AG2914">
        <v>-1.107468277755</v>
      </c>
      <c r="AH2914">
        <v>3.3490899387511699</v>
      </c>
      <c r="AI2914">
        <v>106.961134812898</v>
      </c>
      <c r="AJ2914">
        <v>67.267080090917702</v>
      </c>
      <c r="AK2914">
        <v>3.79630149626432</v>
      </c>
      <c r="AL2914">
        <v>92.831997016321196</v>
      </c>
      <c r="AM2914">
        <v>94.785767109214305</v>
      </c>
      <c r="AN2914">
        <v>1.0000000259408399</v>
      </c>
    </row>
    <row r="2915" spans="1:40" x14ac:dyDescent="0.25">
      <c r="A2915" t="str">
        <f>"20190305135848907"</f>
        <v>20190305135848907</v>
      </c>
      <c r="B2915" t="str">
        <f>"1551765528901857"</f>
        <v>1551765528901857</v>
      </c>
      <c r="C2915" t="s">
        <v>40</v>
      </c>
      <c r="D2915">
        <v>4.3754689999999998</v>
      </c>
      <c r="E2915">
        <v>0.66808159999999905</v>
      </c>
      <c r="F2915" t="s">
        <v>59</v>
      </c>
      <c r="G2915">
        <v>-379.3313</v>
      </c>
      <c r="H2915" s="1">
        <v>3.4288760000000001E-6</v>
      </c>
      <c r="I2915">
        <v>213.29220000000001</v>
      </c>
      <c r="J2915">
        <v>-382.86739999999998</v>
      </c>
      <c r="K2915">
        <v>1.1074999999999999</v>
      </c>
      <c r="L2915">
        <v>214.9118</v>
      </c>
      <c r="M2915">
        <v>0.99958970000000003</v>
      </c>
      <c r="N2915">
        <v>-5.8354330000000001E-3</v>
      </c>
      <c r="O2915">
        <v>-2.8040470000000001E-2</v>
      </c>
      <c r="P2915">
        <v>0.99694070000000001</v>
      </c>
      <c r="Q2915">
        <v>-5.518812E-2</v>
      </c>
      <c r="R2915">
        <v>5.5349540000000003E-2</v>
      </c>
      <c r="S2915">
        <v>3.0307010000000001</v>
      </c>
      <c r="T2915">
        <v>-0.81402180000000002</v>
      </c>
      <c r="U2915">
        <v>-1.2026520000000001</v>
      </c>
      <c r="V2915">
        <v>-8.3250939999999995E-2</v>
      </c>
      <c r="W2915">
        <v>-4.943459E-2</v>
      </c>
      <c r="X2915">
        <v>0.99530169999999996</v>
      </c>
      <c r="Y2915">
        <v>0.33300839999999998</v>
      </c>
      <c r="Z2915">
        <v>-3.645793E-2</v>
      </c>
      <c r="AA2915">
        <v>0.94221880000000002</v>
      </c>
      <c r="AB2915">
        <v>56</v>
      </c>
      <c r="AC2915">
        <v>3.53609999999997</v>
      </c>
      <c r="AD2915">
        <v>-1.1074965711239999</v>
      </c>
      <c r="AE2915">
        <v>-1.6195999999999899</v>
      </c>
      <c r="AF2915">
        <v>1.4058196959574101</v>
      </c>
      <c r="AG2915">
        <v>-1.1074965711239999</v>
      </c>
      <c r="AH2915">
        <v>3.3116099378586501</v>
      </c>
      <c r="AI2915">
        <v>107.11039826047001</v>
      </c>
      <c r="AJ2915">
        <v>66.998172264317105</v>
      </c>
      <c r="AK2915">
        <v>3.7642579684603699</v>
      </c>
      <c r="AL2915">
        <v>92.833548303303203</v>
      </c>
      <c r="AM2915">
        <v>94.781314056632198</v>
      </c>
      <c r="AN2915">
        <v>0.99999998586112004</v>
      </c>
    </row>
    <row r="2916" spans="1:40" x14ac:dyDescent="0.25">
      <c r="A2916" t="str">
        <f>"20190305135848931"</f>
        <v>20190305135848931</v>
      </c>
      <c r="B2916" t="str">
        <f>"1551765528921377"</f>
        <v>1551765528921377</v>
      </c>
      <c r="C2916" t="s">
        <v>40</v>
      </c>
      <c r="D2916">
        <v>4.380198</v>
      </c>
      <c r="E2916">
        <v>0.6668212</v>
      </c>
      <c r="F2916" t="s">
        <v>59</v>
      </c>
      <c r="G2916">
        <v>-378.79939999999999</v>
      </c>
      <c r="H2916" s="1">
        <v>3.1457939999999999E-6</v>
      </c>
      <c r="I2916">
        <v>213.3228</v>
      </c>
      <c r="J2916">
        <v>-382.27730000000003</v>
      </c>
      <c r="K2916">
        <v>1.1075299999999999</v>
      </c>
      <c r="L2916">
        <v>214.89529999999999</v>
      </c>
      <c r="M2916">
        <v>0.99959710000000002</v>
      </c>
      <c r="N2916">
        <v>-5.8610270000000004E-3</v>
      </c>
      <c r="O2916">
        <v>-2.7774460000000001E-2</v>
      </c>
      <c r="P2916">
        <v>0.99691890000000005</v>
      </c>
      <c r="Q2916">
        <v>-5.5756930000000003E-2</v>
      </c>
      <c r="R2916">
        <v>5.5172480000000003E-2</v>
      </c>
      <c r="S2916">
        <v>3.0292659999999998</v>
      </c>
      <c r="T2916">
        <v>-0.82470449999999995</v>
      </c>
      <c r="U2916">
        <v>-1.1832279999999999</v>
      </c>
      <c r="V2916">
        <v>-8.2803959999999996E-2</v>
      </c>
      <c r="W2916">
        <v>-4.9985269999999998E-2</v>
      </c>
      <c r="X2916">
        <v>0.99531150000000002</v>
      </c>
      <c r="Y2916">
        <v>0.32804519999999998</v>
      </c>
      <c r="Z2916">
        <v>-3.637543E-2</v>
      </c>
      <c r="AA2916">
        <v>0.94396139999999995</v>
      </c>
      <c r="AB2916">
        <v>56</v>
      </c>
      <c r="AC2916">
        <v>3.4779000000000302</v>
      </c>
      <c r="AD2916">
        <v>-1.1075268542059999</v>
      </c>
      <c r="AE2916">
        <v>-1.57249999999999</v>
      </c>
      <c r="AF2916">
        <v>1.36072688682689</v>
      </c>
      <c r="AG2916">
        <v>-1.1075268542059999</v>
      </c>
      <c r="AH2916">
        <v>3.2468610393380901</v>
      </c>
      <c r="AI2916">
        <v>107.46339915699301</v>
      </c>
      <c r="AJ2916">
        <v>67.261931202788801</v>
      </c>
      <c r="AK2916">
        <v>3.6905690620949798</v>
      </c>
      <c r="AL2916">
        <v>92.865138951910296</v>
      </c>
      <c r="AM2916">
        <v>94.755714305539001</v>
      </c>
      <c r="AN2916">
        <v>1.0000000025204501</v>
      </c>
    </row>
    <row r="2917" spans="1:40" x14ac:dyDescent="0.25">
      <c r="A2917" t="str">
        <f>"20190305135848953"</f>
        <v>20190305135848953</v>
      </c>
      <c r="B2917" t="str">
        <f>"1551765528941873"</f>
        <v>1551765528941873</v>
      </c>
      <c r="C2917" t="s">
        <v>40</v>
      </c>
      <c r="D2917">
        <v>4.5598409999999996</v>
      </c>
      <c r="E2917">
        <v>0.61537619999999904</v>
      </c>
      <c r="F2917" t="s">
        <v>59</v>
      </c>
      <c r="G2917">
        <v>-378.25209999999998</v>
      </c>
      <c r="H2917" s="1">
        <v>2.8545739999999999E-6</v>
      </c>
      <c r="I2917">
        <v>213.3349</v>
      </c>
      <c r="J2917">
        <v>-381.7122</v>
      </c>
      <c r="K2917">
        <v>1.107572</v>
      </c>
      <c r="L2917">
        <v>214.87960000000001</v>
      </c>
      <c r="M2917">
        <v>0.99960539999999998</v>
      </c>
      <c r="N2917">
        <v>-5.8858110000000003E-3</v>
      </c>
      <c r="O2917">
        <v>-2.747111E-2</v>
      </c>
      <c r="P2917">
        <v>0.99692919999999996</v>
      </c>
      <c r="Q2917">
        <v>-5.5629930000000001E-2</v>
      </c>
      <c r="R2917">
        <v>5.5119250000000002E-2</v>
      </c>
      <c r="S2917">
        <v>3.0276489999999998</v>
      </c>
      <c r="T2917">
        <v>-0.83305219999999902</v>
      </c>
      <c r="U2917">
        <v>-1.173691</v>
      </c>
      <c r="V2917">
        <v>-8.2443859999999994E-2</v>
      </c>
      <c r="W2917">
        <v>-4.9841780000000002E-2</v>
      </c>
      <c r="X2917">
        <v>0.99534860000000003</v>
      </c>
      <c r="Y2917">
        <v>0.32576769999999999</v>
      </c>
      <c r="Z2917">
        <v>-3.653377E-2</v>
      </c>
      <c r="AA2917">
        <v>0.94474380000000002</v>
      </c>
      <c r="AB2917">
        <v>56</v>
      </c>
      <c r="AC2917">
        <v>3.4601000000000099</v>
      </c>
      <c r="AD2917">
        <v>-1.1075691454259999</v>
      </c>
      <c r="AE2917">
        <v>-1.5447</v>
      </c>
      <c r="AF2917">
        <v>1.3350062897599999</v>
      </c>
      <c r="AG2917">
        <v>-1.1075691454259999</v>
      </c>
      <c r="AH2917">
        <v>3.2256462888705499</v>
      </c>
      <c r="AI2917">
        <v>107.60239733749</v>
      </c>
      <c r="AJ2917">
        <v>67.5166817283733</v>
      </c>
      <c r="AK2917">
        <v>3.6624780117432501</v>
      </c>
      <c r="AL2917">
        <v>92.856907286456803</v>
      </c>
      <c r="AM2917">
        <v>94.734951086412494</v>
      </c>
      <c r="AN2917">
        <v>1.0000000143036101</v>
      </c>
    </row>
    <row r="2918" spans="1:40" x14ac:dyDescent="0.25">
      <c r="A2918" t="str">
        <f>"20190305135848975"</f>
        <v>20190305135848975</v>
      </c>
      <c r="B2918" t="str">
        <f>"1551765528972130"</f>
        <v>1551765528972130</v>
      </c>
      <c r="C2918" t="s">
        <v>40</v>
      </c>
      <c r="D2918">
        <v>4.0919639999999999</v>
      </c>
      <c r="E2918">
        <v>0.54639179999999998</v>
      </c>
      <c r="F2918" t="s">
        <v>41</v>
      </c>
      <c r="G2918">
        <v>-380.92520000000002</v>
      </c>
      <c r="H2918">
        <v>0.91686210000000001</v>
      </c>
      <c r="I2918">
        <v>214.6799</v>
      </c>
      <c r="J2918">
        <v>-381.17570000000001</v>
      </c>
      <c r="K2918">
        <v>1.107621</v>
      </c>
      <c r="L2918">
        <v>214.86500000000001</v>
      </c>
      <c r="M2918">
        <v>0.99961469999999997</v>
      </c>
      <c r="N2918">
        <v>-5.9094119999999898E-3</v>
      </c>
      <c r="O2918">
        <v>-2.7126730000000002E-2</v>
      </c>
      <c r="P2918">
        <v>0.99696969999999996</v>
      </c>
      <c r="Q2918">
        <v>-5.4938639999999997E-2</v>
      </c>
      <c r="R2918">
        <v>5.5073120000000003E-2</v>
      </c>
      <c r="S2918">
        <v>3.0107729999999999</v>
      </c>
      <c r="T2918">
        <v>-0.72968219999999995</v>
      </c>
      <c r="U2918">
        <v>-0.76287839999999996</v>
      </c>
      <c r="V2918">
        <v>-8.2050880000000007E-2</v>
      </c>
      <c r="W2918">
        <v>-4.9135869999999998E-2</v>
      </c>
      <c r="X2918">
        <v>0.99541619999999997</v>
      </c>
      <c r="Y2918">
        <v>0.2139675</v>
      </c>
      <c r="Z2918">
        <v>-1.9605589999999999E-2</v>
      </c>
      <c r="AA2918">
        <v>0.97664399999999996</v>
      </c>
      <c r="AB2918">
        <v>56</v>
      </c>
      <c r="AC2918">
        <v>0.25049999999998801</v>
      </c>
      <c r="AD2918">
        <v>-0.19075890000000001</v>
      </c>
      <c r="AE2918">
        <v>-0.18510000000000501</v>
      </c>
      <c r="AF2918">
        <v>0.12961746291364301</v>
      </c>
      <c r="AG2918">
        <v>-0.19075890000000001</v>
      </c>
      <c r="AH2918">
        <v>0.185753552875116</v>
      </c>
      <c r="AI2918">
        <v>130.10339644635599</v>
      </c>
      <c r="AJ2918">
        <v>55.092948487382202</v>
      </c>
      <c r="AK2918">
        <v>0.29613177307932997</v>
      </c>
      <c r="AL2918">
        <v>92.816411913552699</v>
      </c>
      <c r="AM2918">
        <v>94.712164591743004</v>
      </c>
      <c r="AN2918">
        <v>1.0000000459259299</v>
      </c>
    </row>
    <row r="2919" spans="1:40" x14ac:dyDescent="0.25">
      <c r="A2919" t="str">
        <f>"20190305135848996"</f>
        <v>20190305135848996</v>
      </c>
      <c r="B2919" t="str">
        <f>"1551765528991649"</f>
        <v>1551765528991649</v>
      </c>
      <c r="C2919" t="s">
        <v>40</v>
      </c>
      <c r="D2919">
        <v>4.3496169999999896</v>
      </c>
      <c r="E2919">
        <v>0.5351593</v>
      </c>
      <c r="F2919" t="s">
        <v>41</v>
      </c>
      <c r="G2919">
        <v>-380.37029999999999</v>
      </c>
      <c r="H2919">
        <v>1.0187600000000001</v>
      </c>
      <c r="I2919">
        <v>214.8091</v>
      </c>
      <c r="J2919">
        <v>-380.62740000000002</v>
      </c>
      <c r="K2919">
        <v>1.1076859999999999</v>
      </c>
      <c r="L2919">
        <v>214.8502</v>
      </c>
      <c r="M2919">
        <v>0.9996256</v>
      </c>
      <c r="N2919">
        <v>-5.9336950000000001E-3</v>
      </c>
      <c r="O2919">
        <v>-2.671196E-2</v>
      </c>
      <c r="P2919">
        <v>0.99700270000000002</v>
      </c>
      <c r="Q2919">
        <v>-5.4062279999999997E-2</v>
      </c>
      <c r="R2919">
        <v>5.5346520000000003E-2</v>
      </c>
      <c r="S2919">
        <v>3.002319</v>
      </c>
      <c r="T2919">
        <v>-0.33145180000000002</v>
      </c>
      <c r="U2919">
        <v>-0.20700070000000001</v>
      </c>
      <c r="V2919">
        <v>-8.1906359999999998E-2</v>
      </c>
      <c r="W2919">
        <v>-4.8245999999999997E-2</v>
      </c>
      <c r="X2919">
        <v>0.99547160000000001</v>
      </c>
      <c r="Y2919">
        <v>4.1986910000000002E-2</v>
      </c>
      <c r="Z2919">
        <v>3.4470179999999999E-4</v>
      </c>
      <c r="AA2919">
        <v>0.99911810000000001</v>
      </c>
      <c r="AB2919">
        <v>57</v>
      </c>
      <c r="AC2919">
        <v>0.25710000000003602</v>
      </c>
      <c r="AD2919">
        <v>-8.8925999999999797E-2</v>
      </c>
      <c r="AE2919">
        <v>-4.1100000000000102E-2</v>
      </c>
      <c r="AF2919">
        <v>3.0642985275582801E-2</v>
      </c>
      <c r="AG2919">
        <v>-8.8925999999999797E-2</v>
      </c>
      <c r="AH2919">
        <v>0.231142741950769</v>
      </c>
      <c r="AI2919">
        <v>110.876171981243</v>
      </c>
      <c r="AJ2919">
        <v>82.448237270743306</v>
      </c>
      <c r="AK2919">
        <v>0.24954717625955899</v>
      </c>
      <c r="AL2919">
        <v>92.765365651505107</v>
      </c>
      <c r="AM2919">
        <v>94.703641508778404</v>
      </c>
      <c r="AN2919">
        <v>1.0000000173654999</v>
      </c>
    </row>
    <row r="2920" spans="1:40" x14ac:dyDescent="0.25">
      <c r="A2920" t="str">
        <f>"20190305135849020"</f>
        <v>20190305135849020</v>
      </c>
      <c r="B2920" t="str">
        <f>"1551765529012146"</f>
        <v>1551765529012146</v>
      </c>
      <c r="C2920" t="s">
        <v>40</v>
      </c>
      <c r="D2920">
        <v>4.2951779999999999</v>
      </c>
      <c r="E2920">
        <v>0.53081199999999995</v>
      </c>
      <c r="F2920" t="s">
        <v>59</v>
      </c>
      <c r="G2920">
        <v>-364.83479999999997</v>
      </c>
      <c r="H2920" s="1">
        <v>1.0360389999999999E-6</v>
      </c>
      <c r="I2920">
        <v>214.24719999999999</v>
      </c>
      <c r="J2920">
        <v>-380.01900000000001</v>
      </c>
      <c r="K2920">
        <v>1.1077520000000001</v>
      </c>
      <c r="L2920">
        <v>214.83420000000001</v>
      </c>
      <c r="M2920">
        <v>0.99963970000000002</v>
      </c>
      <c r="N2920">
        <v>-5.9607760000000001E-3</v>
      </c>
      <c r="O2920">
        <v>-2.6174010000000001E-2</v>
      </c>
      <c r="P2920">
        <v>0.99701550000000005</v>
      </c>
      <c r="Q2920">
        <v>-5.3642639999999998E-2</v>
      </c>
      <c r="R2920">
        <v>5.552559E-2</v>
      </c>
      <c r="S2920">
        <v>3.0039370000000001</v>
      </c>
      <c r="T2920">
        <v>-0.21069460000000001</v>
      </c>
      <c r="U2920">
        <v>-0.11470030000000001</v>
      </c>
      <c r="V2920">
        <v>-8.1543009999999999E-2</v>
      </c>
      <c r="W2920">
        <v>-4.7812149999999998E-2</v>
      </c>
      <c r="X2920">
        <v>0.99552229999999997</v>
      </c>
      <c r="Y2920">
        <v>1.200881E-2</v>
      </c>
      <c r="Z2920">
        <v>1.220379E-3</v>
      </c>
      <c r="AA2920">
        <v>0.99992720000000002</v>
      </c>
      <c r="AB2920">
        <v>57</v>
      </c>
      <c r="AC2920">
        <v>15.184200000000001</v>
      </c>
      <c r="AD2920">
        <v>-1.1077509639609999</v>
      </c>
      <c r="AE2920">
        <v>-0.58700000000001695</v>
      </c>
      <c r="AF2920">
        <v>0.188359440183582</v>
      </c>
      <c r="AG2920">
        <v>-1.1077509639609999</v>
      </c>
      <c r="AH2920">
        <v>15.114040533287</v>
      </c>
      <c r="AI2920">
        <v>94.191550797492695</v>
      </c>
      <c r="AJ2920">
        <v>89.285985620340696</v>
      </c>
      <c r="AK2920">
        <v>15.1557518031507</v>
      </c>
      <c r="AL2920">
        <v>92.740479322848103</v>
      </c>
      <c r="AM2920">
        <v>94.682630963010993</v>
      </c>
      <c r="AN2920">
        <v>0.99999995698238497</v>
      </c>
    </row>
    <row r="2921" spans="1:40" x14ac:dyDescent="0.25">
      <c r="A2921" t="str">
        <f>"20190305135849042"</f>
        <v>20190305135849042</v>
      </c>
      <c r="B2921" t="str">
        <f>"1551765529031665"</f>
        <v>1551765529031665</v>
      </c>
      <c r="C2921" t="s">
        <v>40</v>
      </c>
      <c r="D2921">
        <v>4.2776310000000004</v>
      </c>
      <c r="E2921">
        <v>0.52924340000000003</v>
      </c>
      <c r="F2921" t="s">
        <v>59</v>
      </c>
      <c r="G2921">
        <v>-358.18579999999997</v>
      </c>
      <c r="H2921" s="1">
        <v>2.834763E-6</v>
      </c>
      <c r="I2921">
        <v>214.2627</v>
      </c>
      <c r="J2921">
        <v>-379.46550000000002</v>
      </c>
      <c r="K2921">
        <v>1.1078159999999999</v>
      </c>
      <c r="L2921">
        <v>214.81989999999999</v>
      </c>
      <c r="M2921">
        <v>0.99965400000000004</v>
      </c>
      <c r="N2921">
        <v>-5.9852669999999998E-3</v>
      </c>
      <c r="O2921">
        <v>-2.5618439999999999E-2</v>
      </c>
      <c r="P2921">
        <v>0.99701980000000001</v>
      </c>
      <c r="Q2921">
        <v>-5.3682010000000002E-2</v>
      </c>
      <c r="R2921">
        <v>5.5408390000000002E-2</v>
      </c>
      <c r="S2921">
        <v>3.0051570000000001</v>
      </c>
      <c r="T2921">
        <v>-0.15247269999999999</v>
      </c>
      <c r="U2921">
        <v>-7.8659060000000003E-2</v>
      </c>
      <c r="V2921">
        <v>-8.0865030000000004E-2</v>
      </c>
      <c r="W2921">
        <v>-4.7838489999999997E-2</v>
      </c>
      <c r="X2921">
        <v>0.99557640000000003</v>
      </c>
      <c r="Y2921">
        <v>5.7180480000000003E-4</v>
      </c>
      <c r="Z2921">
        <v>1.1290759999999999E-3</v>
      </c>
      <c r="AA2921">
        <v>0.99999919999999998</v>
      </c>
      <c r="AB2921">
        <v>57</v>
      </c>
      <c r="AC2921">
        <v>21.279699999999998</v>
      </c>
      <c r="AD2921">
        <v>-1.107813165237</v>
      </c>
      <c r="AE2921">
        <v>-0.55719999999999403</v>
      </c>
      <c r="AF2921">
        <v>1.1822682073437001E-2</v>
      </c>
      <c r="AG2921">
        <v>-1.107813165237</v>
      </c>
      <c r="AH2921">
        <v>21.2294936281485</v>
      </c>
      <c r="AI2921">
        <v>92.987140953151197</v>
      </c>
      <c r="AJ2921">
        <v>89.968092045567801</v>
      </c>
      <c r="AK2921">
        <v>21.258381629194702</v>
      </c>
      <c r="AL2921">
        <v>92.741990046373402</v>
      </c>
      <c r="AM2921">
        <v>94.643617511606706</v>
      </c>
      <c r="AN2921">
        <v>1.00000002121967</v>
      </c>
    </row>
    <row r="2922" spans="1:40" x14ac:dyDescent="0.25">
      <c r="A2922" t="str">
        <f>"20190305135849062"</f>
        <v>20190305135849062</v>
      </c>
      <c r="B2922" t="str">
        <f>"1551765529052161"</f>
        <v>1551765529052161</v>
      </c>
      <c r="C2922" t="s">
        <v>40</v>
      </c>
      <c r="D2922">
        <v>4.2542679999999997</v>
      </c>
      <c r="E2922">
        <v>0.52861420000000003</v>
      </c>
      <c r="F2922" t="s">
        <v>59</v>
      </c>
      <c r="G2922">
        <v>-351.97829999999999</v>
      </c>
      <c r="H2922" s="1">
        <v>-4.66565E-7</v>
      </c>
      <c r="I2922">
        <v>214.21639999999999</v>
      </c>
      <c r="J2922">
        <v>-378.9212</v>
      </c>
      <c r="K2922">
        <v>1.107888</v>
      </c>
      <c r="L2922">
        <v>214.80609999999999</v>
      </c>
      <c r="M2922">
        <v>0.99966880000000002</v>
      </c>
      <c r="N2922">
        <v>-6.0089890000000002E-3</v>
      </c>
      <c r="O2922">
        <v>-2.502271E-2</v>
      </c>
      <c r="P2922">
        <v>0.99701320000000004</v>
      </c>
      <c r="Q2922">
        <v>-5.3568999999999999E-2</v>
      </c>
      <c r="R2922">
        <v>5.56351E-2</v>
      </c>
      <c r="S2922">
        <v>3.0061040000000001</v>
      </c>
      <c r="T2922">
        <v>-0.1211549</v>
      </c>
      <c r="U2922">
        <v>-6.5994259999999999E-2</v>
      </c>
      <c r="V2922">
        <v>-8.0491889999999996E-2</v>
      </c>
      <c r="W2922">
        <v>-4.771309E-2</v>
      </c>
      <c r="X2922">
        <v>0.99561259999999996</v>
      </c>
      <c r="Y2922">
        <v>-3.0583250000000002E-3</v>
      </c>
      <c r="Z2922">
        <v>9.2828789999999995E-4</v>
      </c>
      <c r="AA2922">
        <v>0.99999490000000002</v>
      </c>
      <c r="AB2922">
        <v>57</v>
      </c>
      <c r="AC2922">
        <v>26.942900000000002</v>
      </c>
      <c r="AD2922">
        <v>-1.107888466565</v>
      </c>
      <c r="AE2922">
        <v>-0.58969999999999301</v>
      </c>
      <c r="AF2922">
        <v>-8.4538340049362504E-2</v>
      </c>
      <c r="AG2922">
        <v>-1.107888466565</v>
      </c>
      <c r="AH2922">
        <v>26.903751321981801</v>
      </c>
      <c r="AI2922">
        <v>92.358079184649498</v>
      </c>
      <c r="AJ2922">
        <v>90.180037129105699</v>
      </c>
      <c r="AK2922">
        <v>26.926685625607998</v>
      </c>
      <c r="AL2922">
        <v>92.734797092175796</v>
      </c>
      <c r="AM2922">
        <v>94.622115936613696</v>
      </c>
      <c r="AN2922">
        <v>0.99999996629593901</v>
      </c>
    </row>
    <row r="2923" spans="1:40" x14ac:dyDescent="0.25">
      <c r="A2923" t="str">
        <f>"20190305135849085"</f>
        <v>20190305135849085</v>
      </c>
      <c r="B2923" t="str">
        <f>"1551765529081441"</f>
        <v>1551765529081441</v>
      </c>
      <c r="C2923" t="s">
        <v>40</v>
      </c>
      <c r="D2923">
        <v>4.2971700000000004</v>
      </c>
      <c r="E2923">
        <v>0.52831209999999995</v>
      </c>
      <c r="F2923" t="s">
        <v>59</v>
      </c>
      <c r="G2923">
        <v>-346.78190000000001</v>
      </c>
      <c r="H2923" s="1">
        <v>2.0721730000000001E-6</v>
      </c>
      <c r="I2923">
        <v>214.16540000000001</v>
      </c>
      <c r="J2923">
        <v>-378.36860000000001</v>
      </c>
      <c r="K2923">
        <v>1.107952</v>
      </c>
      <c r="L2923">
        <v>214.79239999999999</v>
      </c>
      <c r="M2923">
        <v>0.99968480000000004</v>
      </c>
      <c r="N2923">
        <v>-6.0331439999999998E-3</v>
      </c>
      <c r="O2923">
        <v>-2.4375859999999999E-2</v>
      </c>
      <c r="P2923">
        <v>0.99695180000000005</v>
      </c>
      <c r="Q2923">
        <v>-5.3517799999999997E-2</v>
      </c>
      <c r="R2923">
        <v>5.6773999999999998E-2</v>
      </c>
      <c r="S2923">
        <v>3.0067750000000002</v>
      </c>
      <c r="T2923">
        <v>-0.1036475</v>
      </c>
      <c r="U2923">
        <v>-5.993652E-2</v>
      </c>
      <c r="V2923">
        <v>-8.0978259999999996E-2</v>
      </c>
      <c r="W2923">
        <v>-4.765059E-2</v>
      </c>
      <c r="X2923">
        <v>0.99557620000000002</v>
      </c>
      <c r="Y2923">
        <v>-4.4345749999999996E-3</v>
      </c>
      <c r="Z2923">
        <v>7.8257369999999997E-4</v>
      </c>
      <c r="AA2923">
        <v>0.99998989999999999</v>
      </c>
      <c r="AB2923">
        <v>57</v>
      </c>
      <c r="AC2923">
        <v>31.5867</v>
      </c>
      <c r="AD2923">
        <v>-1.107949927827</v>
      </c>
      <c r="AE2923">
        <v>-0.62699999999998102</v>
      </c>
      <c r="AF2923">
        <v>-0.14297734855408401</v>
      </c>
      <c r="AG2923">
        <v>-1.107949927827</v>
      </c>
      <c r="AH2923">
        <v>31.553790882778198</v>
      </c>
      <c r="AI2923">
        <v>92.010982906516801</v>
      </c>
      <c r="AJ2923">
        <v>90.259618332490902</v>
      </c>
      <c r="AK2923">
        <v>31.573560373180399</v>
      </c>
      <c r="AL2923">
        <v>92.731211898622107</v>
      </c>
      <c r="AM2923">
        <v>94.650092099748804</v>
      </c>
      <c r="AN2923">
        <v>1.0000000136631999</v>
      </c>
    </row>
    <row r="2924" spans="1:40" x14ac:dyDescent="0.25">
      <c r="A2924" t="str">
        <f>"20190305135849108"</f>
        <v>20190305135849108</v>
      </c>
      <c r="B2924" t="str">
        <f>"1551765529101938"</f>
        <v>1551765529101938</v>
      </c>
      <c r="C2924" t="s">
        <v>40</v>
      </c>
      <c r="D2924">
        <v>4.2492530000000004</v>
      </c>
      <c r="E2924">
        <v>0.52812079999999995</v>
      </c>
      <c r="F2924" t="s">
        <v>59</v>
      </c>
      <c r="G2924">
        <v>-341.47430000000003</v>
      </c>
      <c r="H2924" s="1">
        <v>-7.522165E-7</v>
      </c>
      <c r="I2924">
        <v>214.13200000000001</v>
      </c>
      <c r="J2924">
        <v>-377.76319999999998</v>
      </c>
      <c r="K2924">
        <v>1.1080159999999999</v>
      </c>
      <c r="L2924">
        <v>214.77780000000001</v>
      </c>
      <c r="M2924">
        <v>0.9997026</v>
      </c>
      <c r="N2924">
        <v>-6.0594059999999998E-3</v>
      </c>
      <c r="O2924">
        <v>-2.362935E-2</v>
      </c>
      <c r="P2924">
        <v>0.99682519999999997</v>
      </c>
      <c r="Q2924">
        <v>-5.34028E-2</v>
      </c>
      <c r="R2924">
        <v>5.9058230000000003E-2</v>
      </c>
      <c r="S2924">
        <v>3.007355</v>
      </c>
      <c r="T2924">
        <v>-9.0312359999999994E-2</v>
      </c>
      <c r="U2924">
        <v>-5.3833010000000001E-2</v>
      </c>
      <c r="V2924">
        <v>-8.2508239999999997E-2</v>
      </c>
      <c r="W2924">
        <v>-4.752522E-2</v>
      </c>
      <c r="X2924">
        <v>0.99545660000000002</v>
      </c>
      <c r="Y2924">
        <v>-5.7235289999999998E-3</v>
      </c>
      <c r="Z2924">
        <v>6.6939679999999903E-4</v>
      </c>
      <c r="AA2924">
        <v>0.99998339999999997</v>
      </c>
      <c r="AB2924">
        <v>57</v>
      </c>
      <c r="AC2924">
        <v>36.288899999999899</v>
      </c>
      <c r="AD2924">
        <v>-1.1080167522165001</v>
      </c>
      <c r="AE2924">
        <v>-0.64580000000000803</v>
      </c>
      <c r="AF2924">
        <v>-0.21168174911943399</v>
      </c>
      <c r="AG2924">
        <v>-1.1080167522165001</v>
      </c>
      <c r="AH2924">
        <v>36.260233559179397</v>
      </c>
      <c r="AI2924">
        <v>91.750232912531203</v>
      </c>
      <c r="AJ2924">
        <v>90.334480279233802</v>
      </c>
      <c r="AK2924">
        <v>36.277776228048197</v>
      </c>
      <c r="AL2924">
        <v>92.724020482193097</v>
      </c>
      <c r="AM2924">
        <v>94.738119987694702</v>
      </c>
      <c r="AN2924">
        <v>1.00000004934375</v>
      </c>
    </row>
    <row r="2925" spans="1:40" x14ac:dyDescent="0.25">
      <c r="A2925" t="str">
        <f>"20190305135849131"</f>
        <v>20190305135849131</v>
      </c>
      <c r="B2925" t="str">
        <f>"1551765529121458"</f>
        <v>1551765529121458</v>
      </c>
      <c r="C2925" t="s">
        <v>40</v>
      </c>
      <c r="D2925">
        <v>4.3129460000000002</v>
      </c>
      <c r="E2925">
        <v>0.52801290000000001</v>
      </c>
      <c r="F2925" t="s">
        <v>59</v>
      </c>
      <c r="G2925">
        <v>-339.00319999999999</v>
      </c>
      <c r="H2925" s="1">
        <v>3.272776E-6</v>
      </c>
      <c r="I2925">
        <v>214.19300000000001</v>
      </c>
      <c r="J2925">
        <v>-377.1771</v>
      </c>
      <c r="K2925">
        <v>1.1080700000000001</v>
      </c>
      <c r="L2925">
        <v>214.76410000000001</v>
      </c>
      <c r="M2925">
        <v>0.99971989999999999</v>
      </c>
      <c r="N2925">
        <v>-6.084796E-3</v>
      </c>
      <c r="O2925">
        <v>-2.2880620000000001E-2</v>
      </c>
      <c r="P2925">
        <v>0.99660110000000002</v>
      </c>
      <c r="Q2925">
        <v>-5.2974189999999997E-2</v>
      </c>
      <c r="R2925">
        <v>6.3089510000000001E-2</v>
      </c>
      <c r="S2925">
        <v>3.00766</v>
      </c>
      <c r="T2925">
        <v>-8.5978509999999994E-2</v>
      </c>
      <c r="U2925">
        <v>-4.5379639999999999E-2</v>
      </c>
      <c r="V2925">
        <v>-8.5782890000000001E-2</v>
      </c>
      <c r="W2925">
        <v>-4.7090649999999998E-2</v>
      </c>
      <c r="X2925">
        <v>0.99520039999999999</v>
      </c>
      <c r="Y2925">
        <v>-7.7864319999999898E-3</v>
      </c>
      <c r="Z2925">
        <v>6.4958650000000002E-4</v>
      </c>
      <c r="AA2925">
        <v>0.99996949999999996</v>
      </c>
      <c r="AB2925">
        <v>57</v>
      </c>
      <c r="AC2925">
        <v>38.173900000000003</v>
      </c>
      <c r="AD2925">
        <v>-1.1080667272239999</v>
      </c>
      <c r="AE2925">
        <v>-0.57110000000002903</v>
      </c>
      <c r="AF2925">
        <v>-0.30225339227165599</v>
      </c>
      <c r="AG2925">
        <v>-1.1080667272239999</v>
      </c>
      <c r="AH2925">
        <v>38.144841261799399</v>
      </c>
      <c r="AI2925">
        <v>91.663860818853493</v>
      </c>
      <c r="AJ2925">
        <v>90.453992747524595</v>
      </c>
      <c r="AK2925">
        <v>38.162128922178702</v>
      </c>
      <c r="AL2925">
        <v>92.699093586108106</v>
      </c>
      <c r="AM2925">
        <v>94.926524304475194</v>
      </c>
      <c r="AN2925">
        <v>1.00000003484716</v>
      </c>
    </row>
    <row r="2926" spans="1:40" x14ac:dyDescent="0.25">
      <c r="A2926" t="str">
        <f>"20190305135849154"</f>
        <v>20190305135849154</v>
      </c>
      <c r="B2926" t="str">
        <f>"1551765529151713"</f>
        <v>1551765529151713</v>
      </c>
      <c r="C2926" t="s">
        <v>40</v>
      </c>
      <c r="D2926">
        <v>4.2704719999999998</v>
      </c>
      <c r="E2926">
        <v>0.52819419999999995</v>
      </c>
      <c r="F2926" t="s">
        <v>59</v>
      </c>
      <c r="G2926">
        <v>-336.07130000000001</v>
      </c>
      <c r="H2926" s="1">
        <v>1.707019E-6</v>
      </c>
      <c r="I2926">
        <v>214.3192</v>
      </c>
      <c r="J2926">
        <v>-376.57569999999998</v>
      </c>
      <c r="K2926">
        <v>1.1081259999999999</v>
      </c>
      <c r="L2926">
        <v>214.75049999999999</v>
      </c>
      <c r="M2926">
        <v>0.9997374</v>
      </c>
      <c r="N2926">
        <v>-6.1106839999999999E-3</v>
      </c>
      <c r="O2926">
        <v>-2.2094349999999999E-2</v>
      </c>
      <c r="P2926">
        <v>0.99634940000000005</v>
      </c>
      <c r="Q2926">
        <v>-5.1563209999999998E-2</v>
      </c>
      <c r="R2926">
        <v>6.8039089999999997E-2</v>
      </c>
      <c r="S2926">
        <v>3.0079959999999999</v>
      </c>
      <c r="T2926">
        <v>-8.1084970000000006E-2</v>
      </c>
      <c r="U2926">
        <v>-3.2562260000000003E-2</v>
      </c>
      <c r="V2926">
        <v>-8.9939859999999996E-2</v>
      </c>
      <c r="W2926">
        <v>-4.5675720000000003E-2</v>
      </c>
      <c r="X2926">
        <v>0.99489930000000004</v>
      </c>
      <c r="Y2926">
        <v>-1.126169E-2</v>
      </c>
      <c r="Z2926">
        <v>6.4657690000000003E-4</v>
      </c>
      <c r="AA2926">
        <v>0.99993639999999995</v>
      </c>
      <c r="AB2926">
        <v>58</v>
      </c>
      <c r="AC2926">
        <v>40.504399999999897</v>
      </c>
      <c r="AD2926">
        <v>-1.108124292981</v>
      </c>
      <c r="AE2926">
        <v>-0.43129999999999302</v>
      </c>
      <c r="AF2926">
        <v>-0.46339342673133399</v>
      </c>
      <c r="AG2926">
        <v>-1.108124292981</v>
      </c>
      <c r="AH2926">
        <v>40.473751751467901</v>
      </c>
      <c r="AI2926">
        <v>91.568197349266498</v>
      </c>
      <c r="AJ2926">
        <v>90.655964085983896</v>
      </c>
      <c r="AK2926">
        <v>40.491570156713898</v>
      </c>
      <c r="AL2926">
        <v>92.617936720957402</v>
      </c>
      <c r="AM2926">
        <v>95.165552935094297</v>
      </c>
      <c r="AN2926">
        <v>1.00000003347741</v>
      </c>
    </row>
    <row r="2927" spans="1:40" x14ac:dyDescent="0.25">
      <c r="A2927" t="str">
        <f>"20190305135849174"</f>
        <v>20190305135849174</v>
      </c>
      <c r="B2927" t="str">
        <f>"1551765529172209"</f>
        <v>1551765529172209</v>
      </c>
      <c r="C2927" t="s">
        <v>40</v>
      </c>
      <c r="D2927">
        <v>4.3797189999999997</v>
      </c>
      <c r="E2927">
        <v>0.52869679999999997</v>
      </c>
      <c r="F2927" t="s">
        <v>59</v>
      </c>
      <c r="G2927">
        <v>-330.14389999999997</v>
      </c>
      <c r="H2927" s="1">
        <v>-1.453056E-6</v>
      </c>
      <c r="I2927">
        <v>214.4521</v>
      </c>
      <c r="J2927">
        <v>-376.06610000000001</v>
      </c>
      <c r="K2927">
        <v>1.108168</v>
      </c>
      <c r="L2927">
        <v>214.73929999999999</v>
      </c>
      <c r="M2927">
        <v>0.99975190000000003</v>
      </c>
      <c r="N2927">
        <v>-6.1323130000000003E-3</v>
      </c>
      <c r="O2927">
        <v>-2.1420310000000001E-2</v>
      </c>
      <c r="P2927">
        <v>0.99613980000000002</v>
      </c>
      <c r="Q2927">
        <v>-4.9375469999999998E-2</v>
      </c>
      <c r="R2927">
        <v>7.2578939999999995E-2</v>
      </c>
      <c r="S2927">
        <v>3.008575</v>
      </c>
      <c r="T2927">
        <v>-7.1801660000000003E-2</v>
      </c>
      <c r="U2927">
        <v>-1.9332889999999998E-2</v>
      </c>
      <c r="V2927">
        <v>-9.3804310000000002E-2</v>
      </c>
      <c r="W2927">
        <v>-4.348569E-2</v>
      </c>
      <c r="X2927">
        <v>0.99464050000000004</v>
      </c>
      <c r="Y2927">
        <v>-1.4987220000000001E-2</v>
      </c>
      <c r="Z2927">
        <v>6.0451690000000002E-4</v>
      </c>
      <c r="AA2927">
        <v>0.99988750000000004</v>
      </c>
      <c r="AB2927">
        <v>58</v>
      </c>
      <c r="AC2927">
        <v>45.922199999999997</v>
      </c>
      <c r="AD2927">
        <v>-1.108169453056</v>
      </c>
      <c r="AE2927">
        <v>-0.28719999999998402</v>
      </c>
      <c r="AF2927">
        <v>-0.69614663889518402</v>
      </c>
      <c r="AG2927">
        <v>-1.108169453056</v>
      </c>
      <c r="AH2927">
        <v>45.891092611502103</v>
      </c>
      <c r="AI2927">
        <v>91.383139779695497</v>
      </c>
      <c r="AJ2927">
        <v>90.869083802751106</v>
      </c>
      <c r="AK2927">
        <v>45.909748864015803</v>
      </c>
      <c r="AL2927">
        <v>92.492332457133699</v>
      </c>
      <c r="AM2927">
        <v>95.387616025803794</v>
      </c>
      <c r="AN2927">
        <v>0.99999998902480103</v>
      </c>
    </row>
    <row r="2928" spans="1:40" x14ac:dyDescent="0.25">
      <c r="A2928" t="str">
        <f>"20190305135849196"</f>
        <v>20190305135849196</v>
      </c>
      <c r="B2928" t="str">
        <f>"1551765529191729"</f>
        <v>1551765529191729</v>
      </c>
      <c r="C2928" t="s">
        <v>40</v>
      </c>
      <c r="D2928">
        <v>4.0684050000000003</v>
      </c>
      <c r="E2928">
        <v>0.52978709999999996</v>
      </c>
      <c r="F2928" t="s">
        <v>61</v>
      </c>
      <c r="G2928">
        <v>-319.82479999999998</v>
      </c>
      <c r="H2928" s="1">
        <v>5.2625479999999996E-6</v>
      </c>
      <c r="I2928">
        <v>214.56620000000001</v>
      </c>
      <c r="J2928">
        <v>-375.48250000000002</v>
      </c>
      <c r="K2928">
        <v>1.108201</v>
      </c>
      <c r="L2928">
        <v>214.7269</v>
      </c>
      <c r="M2928">
        <v>0.99976790000000004</v>
      </c>
      <c r="N2928">
        <v>-6.1570770000000004E-3</v>
      </c>
      <c r="O2928">
        <v>-2.0648050000000001E-2</v>
      </c>
      <c r="P2928">
        <v>0.99592959999999997</v>
      </c>
      <c r="Q2928">
        <v>-4.9038119999999998E-2</v>
      </c>
      <c r="R2928">
        <v>7.5628349999999997E-2</v>
      </c>
      <c r="S2928">
        <v>3.009369</v>
      </c>
      <c r="T2928">
        <v>-5.9295769999999998E-2</v>
      </c>
      <c r="U2928">
        <v>-9.2620849999999998E-3</v>
      </c>
      <c r="V2928">
        <v>-9.6076350000000005E-2</v>
      </c>
      <c r="W2928">
        <v>-4.3139780000000003E-2</v>
      </c>
      <c r="X2928">
        <v>0.99443870000000001</v>
      </c>
      <c r="Y2928">
        <v>-1.756489E-2</v>
      </c>
      <c r="Z2928">
        <v>5.0675760000000003E-4</v>
      </c>
      <c r="AA2928">
        <v>0.9998456</v>
      </c>
      <c r="AB2928">
        <v>58</v>
      </c>
      <c r="AC2928">
        <v>55.657699999999998</v>
      </c>
      <c r="AD2928">
        <v>-1.108195737452</v>
      </c>
      <c r="AE2928">
        <v>-0.16069999999999099</v>
      </c>
      <c r="AF2928">
        <v>-0.98818719917803599</v>
      </c>
      <c r="AG2928">
        <v>-1.108195737452</v>
      </c>
      <c r="AH2928">
        <v>55.627099008383503</v>
      </c>
      <c r="AI2928">
        <v>91.141108009460396</v>
      </c>
      <c r="AJ2928">
        <v>91.017723414207893</v>
      </c>
      <c r="AK2928">
        <v>55.6469114670493</v>
      </c>
      <c r="AL2928">
        <v>92.472494588355403</v>
      </c>
      <c r="AM2928">
        <v>95.518426747136502</v>
      </c>
      <c r="AN2928">
        <v>1.0000000168527301</v>
      </c>
    </row>
    <row r="2929" spans="1:40" x14ac:dyDescent="0.25">
      <c r="A2929" t="str">
        <f>"20190305135849220"</f>
        <v>20190305135849220</v>
      </c>
      <c r="B2929" t="str">
        <f>"1551765529212226"</f>
        <v>1551765529212226</v>
      </c>
      <c r="C2929" t="s">
        <v>40</v>
      </c>
      <c r="D2929">
        <v>3.98387</v>
      </c>
      <c r="E2929">
        <v>0.53169889999999997</v>
      </c>
      <c r="F2929" t="s">
        <v>61</v>
      </c>
      <c r="G2929">
        <v>-309.80770000000001</v>
      </c>
      <c r="H2929" s="1">
        <v>9.1354160000000005E-7</v>
      </c>
      <c r="I2929">
        <v>214.53309999999999</v>
      </c>
      <c r="J2929">
        <v>-374.87299999999999</v>
      </c>
      <c r="K2929">
        <v>1.1082299999999901</v>
      </c>
      <c r="L2929">
        <v>214.71440000000001</v>
      </c>
      <c r="M2929">
        <v>0.99978409999999995</v>
      </c>
      <c r="N2929">
        <v>-6.1828949999999999E-3</v>
      </c>
      <c r="O2929">
        <v>-1.984971E-2</v>
      </c>
      <c r="P2929">
        <v>0.99583969999999999</v>
      </c>
      <c r="Q2929">
        <v>-4.9408529999999999E-2</v>
      </c>
      <c r="R2929">
        <v>7.6567819999999995E-2</v>
      </c>
      <c r="S2929">
        <v>3.0104060000000001</v>
      </c>
      <c r="T2929">
        <v>-5.0797700000000001E-2</v>
      </c>
      <c r="U2929">
        <v>-8.8806149999999997E-3</v>
      </c>
      <c r="V2929">
        <v>-9.6215239999999994E-2</v>
      </c>
      <c r="W2929">
        <v>-4.3493419999999998E-2</v>
      </c>
      <c r="X2929">
        <v>0.99440989999999996</v>
      </c>
      <c r="Y2929">
        <v>-1.6896209999999998E-2</v>
      </c>
      <c r="Z2929">
        <v>4.0695279999999998E-4</v>
      </c>
      <c r="AA2929">
        <v>0.9998572</v>
      </c>
      <c r="AB2929">
        <v>58</v>
      </c>
      <c r="AC2929">
        <v>65.065299999999993</v>
      </c>
      <c r="AD2929">
        <v>-1.1082290864583999</v>
      </c>
      <c r="AE2929">
        <v>-0.181300000000021</v>
      </c>
      <c r="AF2929">
        <v>-1.10996542365926</v>
      </c>
      <c r="AG2929">
        <v>-1.1082290864583999</v>
      </c>
      <c r="AH2929">
        <v>65.037211161066097</v>
      </c>
      <c r="AI2929">
        <v>90.976079094591896</v>
      </c>
      <c r="AJ2929">
        <v>90.977750422661998</v>
      </c>
      <c r="AK2929">
        <v>65.056122160476804</v>
      </c>
      <c r="AL2929">
        <v>92.492775621835705</v>
      </c>
      <c r="AM2929">
        <v>95.526514013643904</v>
      </c>
      <c r="AN2929">
        <v>1.0000000496047801</v>
      </c>
    </row>
    <row r="2930" spans="1:40" x14ac:dyDescent="0.25">
      <c r="A2930" t="str">
        <f>"20190305135849242"</f>
        <v>20190305135849242</v>
      </c>
      <c r="B2930" t="str">
        <f>"1551765529231745"</f>
        <v>1551765529231745</v>
      </c>
      <c r="C2930" t="s">
        <v>40</v>
      </c>
      <c r="D2930">
        <v>3.9749240000000001</v>
      </c>
      <c r="E2930">
        <v>0.53264709999999904</v>
      </c>
      <c r="F2930" t="s">
        <v>61</v>
      </c>
      <c r="G2930">
        <v>-293.80470000000003</v>
      </c>
      <c r="H2930" s="1">
        <v>1.5692989999999999E-6</v>
      </c>
      <c r="I2930">
        <v>214.14930000000001</v>
      </c>
      <c r="J2930">
        <v>-374.29039999999998</v>
      </c>
      <c r="K2930">
        <v>1.1082620000000001</v>
      </c>
      <c r="L2930">
        <v>214.7029</v>
      </c>
      <c r="M2930">
        <v>0.99979839999999998</v>
      </c>
      <c r="N2930">
        <v>-6.2073679999999996E-3</v>
      </c>
      <c r="O2930">
        <v>-1.9103160000000001E-2</v>
      </c>
      <c r="P2930">
        <v>0.99595219999999995</v>
      </c>
      <c r="Q2930">
        <v>-4.7962409999999997E-2</v>
      </c>
      <c r="R2930">
        <v>7.6020309999999994E-2</v>
      </c>
      <c r="S2930">
        <v>3.0121150000000001</v>
      </c>
      <c r="T2930">
        <v>-4.1176560000000001E-2</v>
      </c>
      <c r="U2930">
        <v>-2.0996089999999999E-2</v>
      </c>
      <c r="V2930">
        <v>-9.4929050000000001E-2</v>
      </c>
      <c r="W2930">
        <v>-4.202446E-2</v>
      </c>
      <c r="X2930">
        <v>0.99459660000000005</v>
      </c>
      <c r="Y2930">
        <v>-1.213178E-2</v>
      </c>
      <c r="Z2930">
        <v>2.6310439999999998E-4</v>
      </c>
      <c r="AA2930">
        <v>0.99992639999999999</v>
      </c>
      <c r="AB2930">
        <v>58</v>
      </c>
      <c r="AC2930">
        <v>80.485699999999895</v>
      </c>
      <c r="AD2930">
        <v>-1.108260430701</v>
      </c>
      <c r="AE2930">
        <v>-0.55359999999998799</v>
      </c>
      <c r="AF2930">
        <v>-0.98387508314680705</v>
      </c>
      <c r="AG2930">
        <v>-1.108260430701</v>
      </c>
      <c r="AH2930">
        <v>80.466331986321293</v>
      </c>
      <c r="AI2930">
        <v>90.789024227233895</v>
      </c>
      <c r="AJ2930">
        <v>90.700530015808297</v>
      </c>
      <c r="AK2930">
        <v>80.479977849738205</v>
      </c>
      <c r="AL2930">
        <v>92.408533511551497</v>
      </c>
      <c r="AM2930">
        <v>95.452067310199794</v>
      </c>
      <c r="AN2930">
        <v>0.99999998825187697</v>
      </c>
    </row>
    <row r="2931" spans="1:40" x14ac:dyDescent="0.25">
      <c r="A2931" t="str">
        <f>"20190305135849262"</f>
        <v>20190305135849262</v>
      </c>
      <c r="B2931" t="str">
        <f>"1551765529252242"</f>
        <v>1551765529252242</v>
      </c>
      <c r="C2931" t="s">
        <v>40</v>
      </c>
      <c r="D2931">
        <v>4.1493969999999996</v>
      </c>
      <c r="E2931">
        <v>0.55831500000000001</v>
      </c>
      <c r="F2931" t="s">
        <v>59</v>
      </c>
      <c r="G2931">
        <v>-265.16370000000001</v>
      </c>
      <c r="H2931" s="1">
        <v>1.2545940000000001E-6</v>
      </c>
      <c r="I2931">
        <v>213.6207</v>
      </c>
      <c r="J2931">
        <v>-373.75170000000003</v>
      </c>
      <c r="K2931">
        <v>1.1083019999999999</v>
      </c>
      <c r="L2931">
        <v>214.6926</v>
      </c>
      <c r="M2931">
        <v>0.9998108</v>
      </c>
      <c r="N2931">
        <v>-6.2301889999999997E-3</v>
      </c>
      <c r="O2931">
        <v>-1.8428650000000001E-2</v>
      </c>
      <c r="P2931">
        <v>0.99615310000000001</v>
      </c>
      <c r="Q2931">
        <v>-4.4400309999999998E-2</v>
      </c>
      <c r="R2931">
        <v>7.5550279999999997E-2</v>
      </c>
      <c r="S2931">
        <v>3.0129700000000001</v>
      </c>
      <c r="T2931">
        <v>-3.0598879999999998E-2</v>
      </c>
      <c r="U2931">
        <v>-2.9876710000000001E-2</v>
      </c>
      <c r="V2931">
        <v>-9.3799069999999998E-2</v>
      </c>
      <c r="W2931">
        <v>-3.8438939999999998E-2</v>
      </c>
      <c r="X2931">
        <v>0.99484879999999998</v>
      </c>
      <c r="Y2931">
        <v>-8.5133889999999997E-3</v>
      </c>
      <c r="Z2931">
        <v>1.4206559999999999E-4</v>
      </c>
      <c r="AA2931">
        <v>0.99996379999999996</v>
      </c>
      <c r="AB2931">
        <v>58</v>
      </c>
      <c r="AC2931">
        <v>108.58799999999999</v>
      </c>
      <c r="AD2931">
        <v>-1.1083007454060001</v>
      </c>
      <c r="AE2931">
        <v>-1.0718999999999901</v>
      </c>
      <c r="AF2931">
        <v>-0.92935425414508799</v>
      </c>
      <c r="AG2931">
        <v>-1.1083007454060001</v>
      </c>
      <c r="AH2931">
        <v>108.578003006955</v>
      </c>
      <c r="AI2931">
        <v>90.584800073423807</v>
      </c>
      <c r="AJ2931">
        <v>90.490401137096995</v>
      </c>
      <c r="AK2931">
        <v>108.587636344339</v>
      </c>
      <c r="AL2931">
        <v>92.202931801655197</v>
      </c>
      <c r="AM2931">
        <v>95.386195485016302</v>
      </c>
      <c r="AN2931">
        <v>0.99999997625131298</v>
      </c>
    </row>
    <row r="2932" spans="1:40" x14ac:dyDescent="0.25">
      <c r="A2932" t="str">
        <f>"20190305135849286"</f>
        <v>20190305135849286</v>
      </c>
      <c r="B2932" t="str">
        <f>"1551765529281522"</f>
        <v>1551765529281522</v>
      </c>
      <c r="C2932" t="s">
        <v>40</v>
      </c>
      <c r="D2932">
        <v>4.0707529999999998</v>
      </c>
      <c r="E2932">
        <v>0.56107899999999999</v>
      </c>
      <c r="F2932" t="s">
        <v>70</v>
      </c>
      <c r="G2932">
        <v>-168.41630000000001</v>
      </c>
      <c r="H2932">
        <v>10.12133</v>
      </c>
      <c r="I2932">
        <v>198.9787</v>
      </c>
      <c r="J2932">
        <v>-373.14609999999999</v>
      </c>
      <c r="K2932">
        <v>1.1083289999999999</v>
      </c>
      <c r="L2932">
        <v>214.6814</v>
      </c>
      <c r="M2932">
        <v>0.99982369999999998</v>
      </c>
      <c r="N2932">
        <v>-6.2564650000000001E-3</v>
      </c>
      <c r="O2932">
        <v>-1.770161E-2</v>
      </c>
      <c r="P2932">
        <v>0.99639990000000001</v>
      </c>
      <c r="Q2932">
        <v>-4.1095E-2</v>
      </c>
      <c r="R2932">
        <v>7.4150789999999994E-2</v>
      </c>
      <c r="S2932">
        <v>3.0350950000000001</v>
      </c>
      <c r="T2932">
        <v>0.13322349999999999</v>
      </c>
      <c r="U2932">
        <v>-0.23226930000000001</v>
      </c>
      <c r="V2932">
        <v>-9.1689179999999995E-2</v>
      </c>
      <c r="W2932">
        <v>-3.5101590000000002E-2</v>
      </c>
      <c r="X2932">
        <v>0.99516879999999996</v>
      </c>
      <c r="Y2932">
        <v>5.861649E-2</v>
      </c>
      <c r="Z2932">
        <v>2.1437720000000001E-4</v>
      </c>
      <c r="AA2932">
        <v>0.99828050000000002</v>
      </c>
      <c r="AB2932">
        <v>58</v>
      </c>
      <c r="AC2932">
        <v>204.72980000000001</v>
      </c>
      <c r="AD2932">
        <v>9.0130009999999992</v>
      </c>
      <c r="AE2932">
        <v>-15.702699999999901</v>
      </c>
      <c r="AF2932">
        <v>12.052898232784599</v>
      </c>
      <c r="AG2932">
        <v>9.0130009999999992</v>
      </c>
      <c r="AH2932">
        <v>204.58150801145501</v>
      </c>
      <c r="AI2932">
        <v>87.481780973012803</v>
      </c>
      <c r="AJ2932">
        <v>86.628322505912806</v>
      </c>
      <c r="AK2932">
        <v>205.13434613218001</v>
      </c>
      <c r="AL2932">
        <v>92.011586224328596</v>
      </c>
      <c r="AM2932">
        <v>95.264045044796902</v>
      </c>
      <c r="AN2932">
        <v>0.99999998392152001</v>
      </c>
    </row>
    <row r="2933" spans="1:40" x14ac:dyDescent="0.25">
      <c r="A2933" t="str">
        <f>"20190305135849308"</f>
        <v>20190305135849308</v>
      </c>
      <c r="B2933" t="str">
        <f>"1551765529302018"</f>
        <v>1551765529302018</v>
      </c>
      <c r="C2933" t="s">
        <v>40</v>
      </c>
      <c r="D2933">
        <v>4.0721309999999997</v>
      </c>
      <c r="E2933">
        <v>0.564465199999999</v>
      </c>
      <c r="F2933" t="s">
        <v>70</v>
      </c>
      <c r="G2933">
        <v>-169.71459999999999</v>
      </c>
      <c r="H2933">
        <v>7.6490179999999901</v>
      </c>
      <c r="I2933">
        <v>197.33240000000001</v>
      </c>
      <c r="J2933">
        <v>-372.56229999999999</v>
      </c>
      <c r="K2933">
        <v>1.108333</v>
      </c>
      <c r="L2933">
        <v>214.67099999999999</v>
      </c>
      <c r="M2933">
        <v>0.99983509999999998</v>
      </c>
      <c r="N2933">
        <v>-6.2855619999999997E-3</v>
      </c>
      <c r="O2933">
        <v>-1.704845E-2</v>
      </c>
      <c r="P2933">
        <v>0.99659249999999999</v>
      </c>
      <c r="Q2933">
        <v>-3.9421249999999998E-2</v>
      </c>
      <c r="R2933">
        <v>7.2456259999999995E-2</v>
      </c>
      <c r="S2933">
        <v>3.0341490000000002</v>
      </c>
      <c r="T2933">
        <v>9.7553849999999998E-2</v>
      </c>
      <c r="U2933">
        <v>-0.2587585</v>
      </c>
      <c r="V2933">
        <v>-8.9352819999999999E-2</v>
      </c>
      <c r="W2933">
        <v>-3.3389240000000001E-2</v>
      </c>
      <c r="X2933">
        <v>0.9954402</v>
      </c>
      <c r="Y2933">
        <v>6.7958669999999999E-2</v>
      </c>
      <c r="Z2933">
        <v>2.2238609999999999E-4</v>
      </c>
      <c r="AA2933">
        <v>0.99768809999999997</v>
      </c>
      <c r="AB2933">
        <v>58</v>
      </c>
      <c r="AC2933">
        <v>202.8477</v>
      </c>
      <c r="AD2933">
        <v>6.5406849999999901</v>
      </c>
      <c r="AE2933">
        <v>-17.3385999999999</v>
      </c>
      <c r="AF2933">
        <v>13.8634642272942</v>
      </c>
      <c r="AG2933">
        <v>6.5406849999999901</v>
      </c>
      <c r="AH2933">
        <v>202.90439120614201</v>
      </c>
      <c r="AI2933">
        <v>88.157983970902094</v>
      </c>
      <c r="AJ2933">
        <v>86.091334485155798</v>
      </c>
      <c r="AK2933">
        <v>203.48259918574399</v>
      </c>
      <c r="AL2933">
        <v>91.913418210494896</v>
      </c>
      <c r="AM2933">
        <v>95.129244109714804</v>
      </c>
      <c r="AN2933">
        <v>0.99999997978288402</v>
      </c>
    </row>
    <row r="2934" spans="1:40" x14ac:dyDescent="0.25">
      <c r="A2934" t="str">
        <f>"20190305135849335"</f>
        <v>20190305135849335</v>
      </c>
      <c r="B2934" t="str">
        <f>"1551765529332274"</f>
        <v>1551765529332274</v>
      </c>
      <c r="C2934" t="s">
        <v>40</v>
      </c>
      <c r="D2934">
        <v>4.0348769999999998</v>
      </c>
      <c r="E2934">
        <v>0.56513970000000002</v>
      </c>
      <c r="F2934" t="s">
        <v>70</v>
      </c>
      <c r="G2934">
        <v>-168.4169</v>
      </c>
      <c r="H2934">
        <v>8.0004340000000003</v>
      </c>
      <c r="I2934">
        <v>195.13509999999999</v>
      </c>
      <c r="J2934">
        <v>-371.87189999999998</v>
      </c>
      <c r="K2934">
        <v>1.108306</v>
      </c>
      <c r="L2934">
        <v>214.6592</v>
      </c>
      <c r="M2934">
        <v>0.99984629999999997</v>
      </c>
      <c r="N2934">
        <v>-6.3276590000000002E-3</v>
      </c>
      <c r="O2934">
        <v>-1.635644E-2</v>
      </c>
      <c r="P2934">
        <v>0.9967414</v>
      </c>
      <c r="Q2934">
        <v>-3.7675640000000003E-2</v>
      </c>
      <c r="R2934">
        <v>7.1326639999999997E-2</v>
      </c>
      <c r="S2934">
        <v>3.0354610000000002</v>
      </c>
      <c r="T2934">
        <v>0.1024799</v>
      </c>
      <c r="U2934">
        <v>-0.29048160000000001</v>
      </c>
      <c r="V2934">
        <v>-8.7544590000000005E-2</v>
      </c>
      <c r="W2934">
        <v>-3.1588629999999999E-2</v>
      </c>
      <c r="X2934">
        <v>0.99565959999999998</v>
      </c>
      <c r="Y2934">
        <v>7.8942590000000007E-2</v>
      </c>
      <c r="Z2934">
        <v>4.24864E-4</v>
      </c>
      <c r="AA2934">
        <v>0.99687910000000002</v>
      </c>
      <c r="AB2934">
        <v>59</v>
      </c>
      <c r="AC2934">
        <v>203.45500000000001</v>
      </c>
      <c r="AD2934">
        <v>6.8921279999999996</v>
      </c>
      <c r="AE2934">
        <v>-19.524100000000001</v>
      </c>
      <c r="AF2934">
        <v>16.175229812228299</v>
      </c>
      <c r="AG2934">
        <v>6.8921279999999996</v>
      </c>
      <c r="AH2934">
        <v>203.51572023372799</v>
      </c>
      <c r="AI2934">
        <v>88.066493136933403</v>
      </c>
      <c r="AJ2934">
        <v>85.455740148389694</v>
      </c>
      <c r="AK2934">
        <v>204.27380612819701</v>
      </c>
      <c r="AL2934">
        <v>91.810196371014101</v>
      </c>
      <c r="AM2934">
        <v>95.024879040208901</v>
      </c>
      <c r="AN2934">
        <v>0.99999996792785195</v>
      </c>
    </row>
    <row r="2935" spans="1:40" x14ac:dyDescent="0.25">
      <c r="A2935" t="str">
        <f>"20190305135849355"</f>
        <v>20190305135849355</v>
      </c>
      <c r="B2935" t="str">
        <f>"1551765529351794"</f>
        <v>1551765529351794</v>
      </c>
      <c r="C2935" t="s">
        <v>40</v>
      </c>
      <c r="D2935">
        <v>4.159141</v>
      </c>
      <c r="E2935">
        <v>0.56313259999999998</v>
      </c>
      <c r="F2935" t="s">
        <v>70</v>
      </c>
      <c r="G2935">
        <v>-168.4171</v>
      </c>
      <c r="H2935">
        <v>8.1734880000000008</v>
      </c>
      <c r="I2935">
        <v>194.61070000000001</v>
      </c>
      <c r="J2935">
        <v>-371.34570000000002</v>
      </c>
      <c r="K2935">
        <v>1.1082780000000001</v>
      </c>
      <c r="L2935">
        <v>214.65049999999999</v>
      </c>
      <c r="M2935">
        <v>0.99985329999999994</v>
      </c>
      <c r="N2935">
        <v>-6.3646989999999997E-3</v>
      </c>
      <c r="O2935">
        <v>-1.59042E-2</v>
      </c>
      <c r="P2935">
        <v>0.99691649999999998</v>
      </c>
      <c r="Q2935">
        <v>-3.6530199999999999E-2</v>
      </c>
      <c r="R2935">
        <v>6.9449399999999994E-2</v>
      </c>
      <c r="S2935">
        <v>3.0351870000000001</v>
      </c>
      <c r="T2935">
        <v>0.1054006</v>
      </c>
      <c r="U2935">
        <v>-0.29908750000000001</v>
      </c>
      <c r="V2935">
        <v>-8.5225899999999993E-2</v>
      </c>
      <c r="W2935">
        <v>-3.039029E-2</v>
      </c>
      <c r="X2935">
        <v>0.99589810000000001</v>
      </c>
      <c r="Y2935">
        <v>8.2198140000000003E-2</v>
      </c>
      <c r="Z2935">
        <v>5.094222E-4</v>
      </c>
      <c r="AA2935">
        <v>0.9966159</v>
      </c>
      <c r="AB2935">
        <v>59</v>
      </c>
      <c r="AC2935">
        <v>202.92859999999999</v>
      </c>
      <c r="AD2935">
        <v>7.0652100000000004</v>
      </c>
      <c r="AE2935">
        <v>-20.0397999999999</v>
      </c>
      <c r="AF2935">
        <v>16.789627645725002</v>
      </c>
      <c r="AG2935">
        <v>7.0652100000000004</v>
      </c>
      <c r="AH2935">
        <v>202.97798842428901</v>
      </c>
      <c r="AI2935">
        <v>88.013246504512907</v>
      </c>
      <c r="AJ2935">
        <v>85.271458623639006</v>
      </c>
      <c r="AK2935">
        <v>203.79370101550501</v>
      </c>
      <c r="AL2935">
        <v>91.741503449032905</v>
      </c>
      <c r="AM2935">
        <v>94.891279744096494</v>
      </c>
      <c r="AN2935">
        <v>1.00000002467035</v>
      </c>
    </row>
    <row r="2936" spans="1:40" x14ac:dyDescent="0.25">
      <c r="A2936" t="str">
        <f>"20190305135849375"</f>
        <v>20190305135849375</v>
      </c>
      <c r="B2936" t="str">
        <f>"1551765529372291"</f>
        <v>1551765529372291</v>
      </c>
      <c r="C2936" t="s">
        <v>40</v>
      </c>
      <c r="D2936">
        <v>4.1481719999999997</v>
      </c>
      <c r="E2936">
        <v>0.56144609999999995</v>
      </c>
      <c r="F2936" t="s">
        <v>70</v>
      </c>
      <c r="G2936">
        <v>-169.7149</v>
      </c>
      <c r="H2936">
        <v>6.8346539999999996</v>
      </c>
      <c r="I2936">
        <v>195.4281</v>
      </c>
      <c r="J2936">
        <v>-370.82310000000001</v>
      </c>
      <c r="K2936">
        <v>1.108231</v>
      </c>
      <c r="L2936">
        <v>214.6421</v>
      </c>
      <c r="M2936">
        <v>0.9998591</v>
      </c>
      <c r="N2936">
        <v>-6.4030290000000002E-3</v>
      </c>
      <c r="O2936">
        <v>-1.5520569999999999E-2</v>
      </c>
      <c r="P2936">
        <v>0.99710270000000001</v>
      </c>
      <c r="Q2936">
        <v>-3.5232109999999997E-2</v>
      </c>
      <c r="R2936">
        <v>6.7415600000000006E-2</v>
      </c>
      <c r="S2936">
        <v>3.032562</v>
      </c>
      <c r="T2936">
        <v>8.6126209999999995E-2</v>
      </c>
      <c r="U2936">
        <v>-0.28910829999999998</v>
      </c>
      <c r="V2936">
        <v>-8.2819920000000005E-2</v>
      </c>
      <c r="W2936">
        <v>-2.9036139999999998E-2</v>
      </c>
      <c r="X2936">
        <v>0.99614139999999995</v>
      </c>
      <c r="Y2936">
        <v>7.9426869999999997E-2</v>
      </c>
      <c r="Z2936">
        <v>3.3143650000000001E-4</v>
      </c>
      <c r="AA2936">
        <v>0.99684070000000002</v>
      </c>
      <c r="AB2936">
        <v>59</v>
      </c>
      <c r="AC2936">
        <v>201.10820000000001</v>
      </c>
      <c r="AD2936">
        <v>5.7264229999999996</v>
      </c>
      <c r="AE2936">
        <v>-19.213999999999999</v>
      </c>
      <c r="AF2936">
        <v>16.077390393871401</v>
      </c>
      <c r="AG2936">
        <v>5.7264229999999996</v>
      </c>
      <c r="AH2936">
        <v>201.22052215523601</v>
      </c>
      <c r="AI2936">
        <v>88.375066897142801</v>
      </c>
      <c r="AJ2936">
        <v>85.431808518123802</v>
      </c>
      <c r="AK2936">
        <v>201.942994279766</v>
      </c>
      <c r="AL2936">
        <v>91.663882195788901</v>
      </c>
      <c r="AM2936">
        <v>94.752682082362696</v>
      </c>
      <c r="AN2936">
        <v>0.99999996268443203</v>
      </c>
    </row>
    <row r="2937" spans="1:40" x14ac:dyDescent="0.25">
      <c r="A2937" t="str">
        <f>"20190305135849398"</f>
        <v>20190305135849398</v>
      </c>
      <c r="B2937" t="str">
        <f>"1551765529391810"</f>
        <v>1551765529391810</v>
      </c>
      <c r="C2937" t="s">
        <v>40</v>
      </c>
      <c r="D2937">
        <v>4.2078490000000004</v>
      </c>
      <c r="E2937">
        <v>0.56087480000000001</v>
      </c>
      <c r="F2937" t="s">
        <v>70</v>
      </c>
      <c r="G2937">
        <v>-168.416</v>
      </c>
      <c r="H2937">
        <v>5.7786269999999904</v>
      </c>
      <c r="I2937">
        <v>195.7824</v>
      </c>
      <c r="J2937">
        <v>-370.21409999999997</v>
      </c>
      <c r="K2937">
        <v>1.108166</v>
      </c>
      <c r="L2937">
        <v>214.63239999999999</v>
      </c>
      <c r="M2937">
        <v>0.99986450000000004</v>
      </c>
      <c r="N2937">
        <v>-6.4518419999999898E-3</v>
      </c>
      <c r="O2937">
        <v>-1.514337E-2</v>
      </c>
      <c r="P2937">
        <v>0.99725799999999998</v>
      </c>
      <c r="Q2937">
        <v>-3.456832E-2</v>
      </c>
      <c r="R2937">
        <v>6.5432210000000005E-2</v>
      </c>
      <c r="S2937">
        <v>3.030243</v>
      </c>
      <c r="T2937">
        <v>6.9921140000000007E-2</v>
      </c>
      <c r="U2937">
        <v>-0.28234860000000001</v>
      </c>
      <c r="V2937">
        <v>-8.0469669999999993E-2</v>
      </c>
      <c r="W2937">
        <v>-2.830396E-2</v>
      </c>
      <c r="X2937">
        <v>0.99635510000000005</v>
      </c>
      <c r="Y2937">
        <v>7.7677850000000007E-2</v>
      </c>
      <c r="Z2937">
        <v>1.969323E-4</v>
      </c>
      <c r="AA2937">
        <v>0.99697849999999999</v>
      </c>
      <c r="AB2937">
        <v>59</v>
      </c>
      <c r="AC2937">
        <v>201.79810000000001</v>
      </c>
      <c r="AD2937">
        <v>4.6704610000000004</v>
      </c>
      <c r="AE2937">
        <v>-18.849999999999898</v>
      </c>
      <c r="AF2937">
        <v>15.783490101699201</v>
      </c>
      <c r="AG2937">
        <v>4.6704610000000004</v>
      </c>
      <c r="AH2937">
        <v>201.953176298844</v>
      </c>
      <c r="AI2937">
        <v>88.679214055482802</v>
      </c>
      <c r="AJ2937">
        <v>85.531177724984701</v>
      </c>
      <c r="AK2937">
        <v>202.622844671905</v>
      </c>
      <c r="AL2937">
        <v>91.621914083641798</v>
      </c>
      <c r="AM2937">
        <v>94.617416882149797</v>
      </c>
      <c r="AN2937">
        <v>0.99999998361880005</v>
      </c>
    </row>
    <row r="2938" spans="1:40" x14ac:dyDescent="0.25">
      <c r="A2938" t="str">
        <f>"20190305135849422"</f>
        <v>20190305135849422</v>
      </c>
      <c r="B2938" t="str">
        <f>"1551765529412305"</f>
        <v>1551765529412305</v>
      </c>
      <c r="C2938" t="s">
        <v>40</v>
      </c>
      <c r="D2938">
        <v>4.1719970000000002</v>
      </c>
      <c r="E2938">
        <v>0.56015280000000001</v>
      </c>
      <c r="F2938" t="s">
        <v>70</v>
      </c>
      <c r="G2938">
        <v>-168.4161</v>
      </c>
      <c r="H2938">
        <v>6.1125259999999999</v>
      </c>
      <c r="I2938">
        <v>195.74610000000001</v>
      </c>
      <c r="J2938">
        <v>-369.59679999999997</v>
      </c>
      <c r="K2938">
        <v>1.108106</v>
      </c>
      <c r="L2938">
        <v>214.62299999999999</v>
      </c>
      <c r="M2938">
        <v>0.99986870000000005</v>
      </c>
      <c r="N2938">
        <v>-6.541776E-3</v>
      </c>
      <c r="O2938">
        <v>-1.4832690000000001E-2</v>
      </c>
      <c r="P2938">
        <v>0.9973244</v>
      </c>
      <c r="Q2938">
        <v>-3.5180610000000001E-2</v>
      </c>
      <c r="R2938">
        <v>6.4083260000000003E-2</v>
      </c>
      <c r="S2938">
        <v>3.0294189999999999</v>
      </c>
      <c r="T2938">
        <v>7.5126650000000003E-2</v>
      </c>
      <c r="U2938">
        <v>-0.28352359999999999</v>
      </c>
      <c r="V2938">
        <v>-7.8816020000000001E-2</v>
      </c>
      <c r="W2938">
        <v>-2.8809709999999999E-2</v>
      </c>
      <c r="X2938">
        <v>0.99647280000000005</v>
      </c>
      <c r="Y2938">
        <v>7.8393850000000001E-2</v>
      </c>
      <c r="Z2938">
        <v>2.4904300000000001E-4</v>
      </c>
      <c r="AA2938">
        <v>0.99692239999999999</v>
      </c>
      <c r="AB2938">
        <v>59</v>
      </c>
      <c r="AC2938">
        <v>201.1807</v>
      </c>
      <c r="AD2938">
        <v>5.0044199999999996</v>
      </c>
      <c r="AE2938">
        <v>-18.8768999999999</v>
      </c>
      <c r="AF2938">
        <v>15.8809677437263</v>
      </c>
      <c r="AG2938">
        <v>5.0044199999999996</v>
      </c>
      <c r="AH2938">
        <v>201.31508606557099</v>
      </c>
      <c r="AI2938">
        <v>88.580406320959497</v>
      </c>
      <c r="AJ2938">
        <v>85.489498615348793</v>
      </c>
      <c r="AK2938">
        <v>202.00250798839599</v>
      </c>
      <c r="AL2938">
        <v>91.650903215929304</v>
      </c>
      <c r="AM2938">
        <v>94.522394855238801</v>
      </c>
      <c r="AN2938">
        <v>1.0000000027693801</v>
      </c>
    </row>
    <row r="2939" spans="1:40" x14ac:dyDescent="0.25">
      <c r="A2939" t="str">
        <f>"20190305135849443"</f>
        <v>20190305135849443</v>
      </c>
      <c r="B2939" t="str">
        <f>"1551765529431829"</f>
        <v>1551765529431829</v>
      </c>
      <c r="C2939" t="s">
        <v>40</v>
      </c>
      <c r="D2939">
        <v>4.1694969999999998</v>
      </c>
      <c r="E2939">
        <v>0.55933120000000003</v>
      </c>
      <c r="F2939" t="s">
        <v>70</v>
      </c>
      <c r="G2939">
        <v>-168.41579999999999</v>
      </c>
      <c r="H2939">
        <v>5.4897239999999998</v>
      </c>
      <c r="I2939">
        <v>195.86859999999999</v>
      </c>
      <c r="J2939">
        <v>-369.02300000000002</v>
      </c>
      <c r="K2939">
        <v>1.108085</v>
      </c>
      <c r="L2939">
        <v>214.61429999999999</v>
      </c>
      <c r="M2939">
        <v>0.99987110000000001</v>
      </c>
      <c r="N2939">
        <v>-6.7217759999999996E-3</v>
      </c>
      <c r="O2939">
        <v>-1.4582380000000001E-2</v>
      </c>
      <c r="P2939">
        <v>0.99738930000000003</v>
      </c>
      <c r="Q2939">
        <v>-3.6050510000000001E-2</v>
      </c>
      <c r="R2939">
        <v>6.2570550000000003E-2</v>
      </c>
      <c r="S2939">
        <v>3.028473</v>
      </c>
      <c r="T2939">
        <v>6.5959100000000007E-2</v>
      </c>
      <c r="U2939">
        <v>-0.28231810000000002</v>
      </c>
      <c r="V2939">
        <v>-7.7057730000000005E-2</v>
      </c>
      <c r="W2939">
        <v>-2.9485899999999999E-2</v>
      </c>
      <c r="X2939">
        <v>0.99659059999999999</v>
      </c>
      <c r="Y2939">
        <v>7.8282389999999993E-2</v>
      </c>
      <c r="Z2939">
        <v>1.7221989999999999E-4</v>
      </c>
      <c r="AA2939">
        <v>0.99693120000000002</v>
      </c>
      <c r="AB2939">
        <v>59</v>
      </c>
      <c r="AC2939">
        <v>200.60720000000001</v>
      </c>
      <c r="AD2939">
        <v>4.3816389999999998</v>
      </c>
      <c r="AE2939">
        <v>-18.745699999999999</v>
      </c>
      <c r="AF2939">
        <v>15.8108327156452</v>
      </c>
      <c r="AG2939">
        <v>4.3816389999999998</v>
      </c>
      <c r="AH2939">
        <v>200.764282756743</v>
      </c>
      <c r="AI2939">
        <v>88.753587901778005</v>
      </c>
      <c r="AJ2939">
        <v>85.497066980294605</v>
      </c>
      <c r="AK2939">
        <v>201.43355833206601</v>
      </c>
      <c r="AL2939">
        <v>91.689662407755407</v>
      </c>
      <c r="AM2939">
        <v>94.421389764083997</v>
      </c>
      <c r="AN2939">
        <v>1.0000000680299499</v>
      </c>
    </row>
    <row r="2940" spans="1:40" x14ac:dyDescent="0.25">
      <c r="A2940" t="str">
        <f>"20190305135849475"</f>
        <v>20190305135849475</v>
      </c>
      <c r="B2940" t="str">
        <f>"1551765529471842"</f>
        <v>1551765529471842</v>
      </c>
      <c r="C2940" t="s">
        <v>40</v>
      </c>
      <c r="D2940">
        <v>4.1852960000000001</v>
      </c>
      <c r="E2940">
        <v>0.55713279999999998</v>
      </c>
      <c r="F2940" t="s">
        <v>70</v>
      </c>
      <c r="G2940">
        <v>-168.41560000000001</v>
      </c>
      <c r="H2940">
        <v>4.9277819999999997</v>
      </c>
      <c r="I2940">
        <v>196.0197</v>
      </c>
      <c r="J2940">
        <v>-368.1644</v>
      </c>
      <c r="K2940">
        <v>1.1081129999999999</v>
      </c>
      <c r="L2940">
        <v>214.60169999999999</v>
      </c>
      <c r="M2940">
        <v>0.99987289999999995</v>
      </c>
      <c r="N2940">
        <v>-7.1919769999999996E-3</v>
      </c>
      <c r="O2940">
        <v>-1.424188E-2</v>
      </c>
      <c r="P2940">
        <v>0.99731479999999995</v>
      </c>
      <c r="Q2940">
        <v>-3.7049480000000003E-2</v>
      </c>
      <c r="R2940">
        <v>6.3173690000000005E-2</v>
      </c>
      <c r="S2940">
        <v>3.0274960000000002</v>
      </c>
      <c r="T2940">
        <v>5.7646040000000003E-2</v>
      </c>
      <c r="U2940">
        <v>-0.2806244</v>
      </c>
      <c r="V2940">
        <v>-7.7324080000000003E-2</v>
      </c>
      <c r="W2940">
        <v>-3.0005270000000001E-2</v>
      </c>
      <c r="X2940">
        <v>0.99655439999999995</v>
      </c>
      <c r="Y2940">
        <v>7.8101610000000002E-2</v>
      </c>
      <c r="Z2940" s="1">
        <v>8.7692519999999996E-5</v>
      </c>
      <c r="AA2940">
        <v>0.99694539999999998</v>
      </c>
      <c r="AB2940">
        <v>59</v>
      </c>
      <c r="AC2940">
        <v>199.74879999999999</v>
      </c>
      <c r="AD2940">
        <v>3.8196690000000002</v>
      </c>
      <c r="AE2940">
        <v>-18.581999999999901</v>
      </c>
      <c r="AF2940">
        <v>15.729541426408501</v>
      </c>
      <c r="AG2940">
        <v>3.8196690000000002</v>
      </c>
      <c r="AH2940">
        <v>199.920712957501</v>
      </c>
      <c r="AI2940">
        <v>88.908816019743597</v>
      </c>
      <c r="AJ2940">
        <v>85.50129879456</v>
      </c>
      <c r="AK2940">
        <v>200.57492319377801</v>
      </c>
      <c r="AL2940">
        <v>91.719433404136396</v>
      </c>
      <c r="AM2940">
        <v>94.436771901291806</v>
      </c>
      <c r="AN2940">
        <v>1.0000000008674801</v>
      </c>
    </row>
    <row r="2941" spans="1:40" x14ac:dyDescent="0.25">
      <c r="A2941" t="str">
        <f>"20190305135849499"</f>
        <v>20190305135849499</v>
      </c>
      <c r="B2941" t="str">
        <f>"1551765529492338"</f>
        <v>1551765529492338</v>
      </c>
      <c r="C2941" t="s">
        <v>40</v>
      </c>
      <c r="D2941">
        <v>4.2093579999999999</v>
      </c>
      <c r="E2941">
        <v>0.55623809999999996</v>
      </c>
      <c r="F2941" t="s">
        <v>70</v>
      </c>
      <c r="G2941">
        <v>-168.41460000000001</v>
      </c>
      <c r="H2941">
        <v>3.162299</v>
      </c>
      <c r="I2941">
        <v>197.33420000000001</v>
      </c>
      <c r="J2941">
        <v>-367.54930000000002</v>
      </c>
      <c r="K2941">
        <v>1.108201</v>
      </c>
      <c r="L2941">
        <v>214.59299999999999</v>
      </c>
      <c r="M2941">
        <v>0.9998726</v>
      </c>
      <c r="N2941">
        <v>-7.7296229999999997E-3</v>
      </c>
      <c r="O2941">
        <v>-1.3966630000000001E-2</v>
      </c>
      <c r="P2941">
        <v>0.99729040000000002</v>
      </c>
      <c r="Q2941">
        <v>-3.7747259999999998E-2</v>
      </c>
      <c r="R2941">
        <v>6.3141180000000005E-2</v>
      </c>
      <c r="S2941">
        <v>3.0257869999999998</v>
      </c>
      <c r="T2941">
        <v>3.1117079999999998E-2</v>
      </c>
      <c r="U2941">
        <v>-0.26156620000000003</v>
      </c>
      <c r="V2941">
        <v>-7.7018160000000002E-2</v>
      </c>
      <c r="W2941">
        <v>-3.0164050000000001E-2</v>
      </c>
      <c r="X2941">
        <v>0.9965733</v>
      </c>
      <c r="Y2941">
        <v>7.2202230000000006E-2</v>
      </c>
      <c r="Z2941">
        <v>-1.6011899999999999E-4</v>
      </c>
      <c r="AA2941">
        <v>0.99739</v>
      </c>
      <c r="AB2941">
        <v>59</v>
      </c>
      <c r="AC2941">
        <v>199.13470000000001</v>
      </c>
      <c r="AD2941">
        <v>2.0540980000000002</v>
      </c>
      <c r="AE2941">
        <v>-17.258799999999901</v>
      </c>
      <c r="AF2941">
        <v>14.474264182133499</v>
      </c>
      <c r="AG2941">
        <v>2.0540980000000002</v>
      </c>
      <c r="AH2941">
        <v>199.33527860698999</v>
      </c>
      <c r="AI2941">
        <v>89.411153075023194</v>
      </c>
      <c r="AJ2941">
        <v>85.846890215050493</v>
      </c>
      <c r="AK2941">
        <v>199.87065052061601</v>
      </c>
      <c r="AL2941">
        <v>91.72853494137</v>
      </c>
      <c r="AM2941">
        <v>94.419204737051899</v>
      </c>
      <c r="AN2941">
        <v>1.0000000045775299</v>
      </c>
    </row>
    <row r="2942" spans="1:40" x14ac:dyDescent="0.25">
      <c r="A2942" t="str">
        <f>"20190305135849521"</f>
        <v>20190305135849521</v>
      </c>
      <c r="B2942" t="str">
        <f>"1551765529511861"</f>
        <v>1551765529511861</v>
      </c>
      <c r="C2942" t="s">
        <v>40</v>
      </c>
      <c r="D2942">
        <v>4.2419560000000001</v>
      </c>
      <c r="E2942">
        <v>0.55550390000000005</v>
      </c>
      <c r="F2942" t="s">
        <v>70</v>
      </c>
      <c r="G2942">
        <v>-168.41419999999999</v>
      </c>
      <c r="H2942">
        <v>2.4059910000000002</v>
      </c>
      <c r="I2942">
        <v>197.8134</v>
      </c>
      <c r="J2942">
        <v>-366.95699999999999</v>
      </c>
      <c r="K2942">
        <v>1.1083609999999999</v>
      </c>
      <c r="L2942">
        <v>214.5848</v>
      </c>
      <c r="M2942">
        <v>0.99987170000000003</v>
      </c>
      <c r="N2942">
        <v>-8.4306550000000004E-3</v>
      </c>
      <c r="O2942">
        <v>-1.362416E-2</v>
      </c>
      <c r="P2942">
        <v>0.99731910000000001</v>
      </c>
      <c r="Q2942">
        <v>-3.823915E-2</v>
      </c>
      <c r="R2942">
        <v>6.2389689999999998E-2</v>
      </c>
      <c r="S2942">
        <v>3.025055</v>
      </c>
      <c r="T2942">
        <v>1.971519E-2</v>
      </c>
      <c r="U2942">
        <v>-0.25489810000000002</v>
      </c>
      <c r="V2942">
        <v>-7.592372E-2</v>
      </c>
      <c r="W2942">
        <v>-2.9959550000000001E-2</v>
      </c>
      <c r="X2942">
        <v>0.99666350000000004</v>
      </c>
      <c r="Y2942">
        <v>7.0382360000000005E-2</v>
      </c>
      <c r="Z2942">
        <v>-2.7156629999999999E-4</v>
      </c>
      <c r="AA2942">
        <v>0.99751999999999996</v>
      </c>
      <c r="AB2942">
        <v>59</v>
      </c>
      <c r="AC2942">
        <v>198.5428</v>
      </c>
      <c r="AD2942">
        <v>1.2976299999999901</v>
      </c>
      <c r="AE2942">
        <v>-16.7714</v>
      </c>
      <c r="AF2942">
        <v>14.064171910287801</v>
      </c>
      <c r="AG2942">
        <v>1.2976299999999901</v>
      </c>
      <c r="AH2942">
        <v>198.744446174693</v>
      </c>
      <c r="AI2942">
        <v>89.626846367651893</v>
      </c>
      <c r="AJ2942">
        <v>85.952205771972302</v>
      </c>
      <c r="AK2942">
        <v>199.24567664173901</v>
      </c>
      <c r="AL2942">
        <v>91.716812562941598</v>
      </c>
      <c r="AM2942">
        <v>94.356257890415804</v>
      </c>
      <c r="AN2942">
        <v>1.0000000590635401</v>
      </c>
    </row>
    <row r="2943" spans="1:40" x14ac:dyDescent="0.25">
      <c r="A2943" t="str">
        <f>"20190305135849545"</f>
        <v>20190305135849545</v>
      </c>
      <c r="B2943" t="str">
        <f>"1551765529532354"</f>
        <v>1551765529532354</v>
      </c>
      <c r="C2943" t="s">
        <v>40</v>
      </c>
      <c r="D2943">
        <v>4.2767229999999996</v>
      </c>
      <c r="E2943">
        <v>0.55485699999999905</v>
      </c>
      <c r="F2943" t="s">
        <v>70</v>
      </c>
      <c r="G2943">
        <v>-168.41380000000001</v>
      </c>
      <c r="H2943">
        <v>1.737879</v>
      </c>
      <c r="I2943">
        <v>198.06360000000001</v>
      </c>
      <c r="J2943">
        <v>-366.34809999999999</v>
      </c>
      <c r="K2943">
        <v>1.1085430000000001</v>
      </c>
      <c r="L2943">
        <v>214.57679999999999</v>
      </c>
      <c r="M2943">
        <v>0.99987079999999995</v>
      </c>
      <c r="N2943">
        <v>-9.2246840000000004E-3</v>
      </c>
      <c r="O2943">
        <v>-1.317187E-2</v>
      </c>
      <c r="P2943">
        <v>0.99724259999999998</v>
      </c>
      <c r="Q2943">
        <v>-3.988013E-2</v>
      </c>
      <c r="R2943">
        <v>6.2586799999999998E-2</v>
      </c>
      <c r="S2943">
        <v>3.0241699999999998</v>
      </c>
      <c r="T2943">
        <v>9.589195E-3</v>
      </c>
      <c r="U2943">
        <v>-0.25164789999999998</v>
      </c>
      <c r="V2943">
        <v>-7.5664629999999997E-2</v>
      </c>
      <c r="W2943">
        <v>-3.081822E-2</v>
      </c>
      <c r="X2943">
        <v>0.99665700000000002</v>
      </c>
      <c r="Y2943">
        <v>6.9793049999999995E-2</v>
      </c>
      <c r="Z2943">
        <v>-3.7501409999999999E-4</v>
      </c>
      <c r="AA2943">
        <v>0.99756140000000004</v>
      </c>
      <c r="AB2943">
        <v>59</v>
      </c>
      <c r="AC2943">
        <v>197.93430000000001</v>
      </c>
      <c r="AD2943">
        <v>0.62933600000000001</v>
      </c>
      <c r="AE2943">
        <v>-16.513199999999902</v>
      </c>
      <c r="AF2943">
        <v>13.9043521890544</v>
      </c>
      <c r="AG2943">
        <v>0.62933600000000001</v>
      </c>
      <c r="AH2943">
        <v>198.13265698834101</v>
      </c>
      <c r="AI2943">
        <v>89.818456415153904</v>
      </c>
      <c r="AJ2943">
        <v>85.985736225149793</v>
      </c>
      <c r="AK2943">
        <v>198.62093756413901</v>
      </c>
      <c r="AL2943">
        <v>91.766033499635697</v>
      </c>
      <c r="AM2943">
        <v>94.341477281031501</v>
      </c>
      <c r="AN2943">
        <v>1.000000037283</v>
      </c>
    </row>
    <row r="2944" spans="1:40" x14ac:dyDescent="0.25">
      <c r="A2944" t="str">
        <f>"20190305135849566"</f>
        <v>20190305135849566</v>
      </c>
      <c r="B2944" t="str">
        <f>"1551765529561634"</f>
        <v>1551765529561634</v>
      </c>
      <c r="C2944" t="s">
        <v>40</v>
      </c>
      <c r="D2944">
        <v>4.3156220000000003</v>
      </c>
      <c r="E2944">
        <v>0.55411359999999998</v>
      </c>
      <c r="F2944" t="s">
        <v>70</v>
      </c>
      <c r="G2944">
        <v>-168.4134</v>
      </c>
      <c r="H2944">
        <v>0.85486130000000005</v>
      </c>
      <c r="I2944">
        <v>198.4462</v>
      </c>
      <c r="J2944">
        <v>-365.77980000000002</v>
      </c>
      <c r="K2944">
        <v>1.108719</v>
      </c>
      <c r="L2944">
        <v>214.56960000000001</v>
      </c>
      <c r="M2944">
        <v>0.99987099999999995</v>
      </c>
      <c r="N2944">
        <v>-9.9471279999999995E-3</v>
      </c>
      <c r="O2944">
        <v>-1.262132E-2</v>
      </c>
      <c r="P2944">
        <v>0.99709979999999998</v>
      </c>
      <c r="Q2944">
        <v>-4.2480360000000002E-2</v>
      </c>
      <c r="R2944">
        <v>6.3147999999999996E-2</v>
      </c>
      <c r="S2944">
        <v>3.023682</v>
      </c>
      <c r="T2944">
        <v>-3.8747790000000001E-3</v>
      </c>
      <c r="U2944">
        <v>-0.2464142</v>
      </c>
      <c r="V2944">
        <v>-7.5666239999999996E-2</v>
      </c>
      <c r="W2944">
        <v>-3.2712430000000001E-2</v>
      </c>
      <c r="X2944">
        <v>0.9965965</v>
      </c>
      <c r="Y2944">
        <v>6.8638740000000004E-2</v>
      </c>
      <c r="Z2944">
        <v>-4.9507589999999997E-4</v>
      </c>
      <c r="AA2944">
        <v>0.99764140000000001</v>
      </c>
      <c r="AB2944">
        <v>59</v>
      </c>
      <c r="AC2944">
        <v>197.3664</v>
      </c>
      <c r="AD2944">
        <v>-0.25385769999999902</v>
      </c>
      <c r="AE2944">
        <v>-16.1234</v>
      </c>
      <c r="AF2944">
        <v>13.630945795548101</v>
      </c>
      <c r="AG2944">
        <v>-0.25385769999999902</v>
      </c>
      <c r="AH2944">
        <v>197.553861784812</v>
      </c>
      <c r="AI2944">
        <v>90.073450687958797</v>
      </c>
      <c r="AJ2944">
        <v>86.052925540297494</v>
      </c>
      <c r="AK2944">
        <v>198.02372441984201</v>
      </c>
      <c r="AL2944">
        <v>91.8746185546334</v>
      </c>
      <c r="AM2944">
        <v>94.341831860403801</v>
      </c>
      <c r="AN2944">
        <v>1.0000000333822401</v>
      </c>
    </row>
    <row r="2945" spans="1:40" x14ac:dyDescent="0.25">
      <c r="A2945" t="str">
        <f>"20190305135849587"</f>
        <v>20190305135849587</v>
      </c>
      <c r="B2945" t="str">
        <f>"1551765529582130"</f>
        <v>1551765529582130</v>
      </c>
      <c r="C2945" t="s">
        <v>40</v>
      </c>
      <c r="D2945">
        <v>4.3039500000000004</v>
      </c>
      <c r="E2945">
        <v>0.55376539999999996</v>
      </c>
      <c r="F2945" t="s">
        <v>43</v>
      </c>
      <c r="G2945">
        <v>-206.6481</v>
      </c>
      <c r="H2945">
        <v>-0.05</v>
      </c>
      <c r="I2945">
        <v>201.9932</v>
      </c>
      <c r="J2945">
        <v>-365.19729999999998</v>
      </c>
      <c r="K2945">
        <v>1.108914</v>
      </c>
      <c r="L2945">
        <v>214.56270000000001</v>
      </c>
      <c r="M2945">
        <v>0.99987289999999995</v>
      </c>
      <c r="N2945">
        <v>-1.062841E-2</v>
      </c>
      <c r="O2945">
        <v>-1.189377E-2</v>
      </c>
      <c r="P2945">
        <v>0.99699249999999995</v>
      </c>
      <c r="Q2945">
        <v>-4.3664380000000003E-2</v>
      </c>
      <c r="R2945">
        <v>6.4028230000000005E-2</v>
      </c>
      <c r="S2945">
        <v>3.0229189999999999</v>
      </c>
      <c r="T2945">
        <v>-2.20114E-2</v>
      </c>
      <c r="U2945">
        <v>-0.23890690000000001</v>
      </c>
      <c r="V2945">
        <v>-7.5811279999999995E-2</v>
      </c>
      <c r="W2945">
        <v>-3.3237240000000001E-2</v>
      </c>
      <c r="X2945">
        <v>0.99656809999999996</v>
      </c>
      <c r="Y2945">
        <v>6.6918859999999997E-2</v>
      </c>
      <c r="Z2945">
        <v>-6.3922779999999997E-4</v>
      </c>
      <c r="AA2945">
        <v>0.99775820000000004</v>
      </c>
      <c r="AB2945">
        <v>59</v>
      </c>
      <c r="AC2945">
        <v>158.54919999999899</v>
      </c>
      <c r="AD2945">
        <v>-1.158914</v>
      </c>
      <c r="AE2945">
        <v>-12.5695</v>
      </c>
      <c r="AF2945">
        <v>10.682189635896799</v>
      </c>
      <c r="AG2945">
        <v>-1.158914</v>
      </c>
      <c r="AH2945">
        <v>158.679066124272</v>
      </c>
      <c r="AI2945">
        <v>90.417507854621803</v>
      </c>
      <c r="AJ2945">
        <v>86.148689765788006</v>
      </c>
      <c r="AK2945">
        <v>159.04244176680601</v>
      </c>
      <c r="AL2945">
        <v>91.904704336559305</v>
      </c>
      <c r="AM2945">
        <v>94.350246029896596</v>
      </c>
      <c r="AN2945">
        <v>1.0000000211178299</v>
      </c>
    </row>
    <row r="2946" spans="1:40" x14ac:dyDescent="0.25">
      <c r="A2946" t="str">
        <f>"20190305135849610"</f>
        <v>20190305135849610</v>
      </c>
      <c r="B2946" t="str">
        <f>"1551765529601653"</f>
        <v>1551765529601653</v>
      </c>
      <c r="C2946" t="s">
        <v>40</v>
      </c>
      <c r="D2946">
        <v>4.3225709999999999</v>
      </c>
      <c r="E2946">
        <v>0.55342019999999903</v>
      </c>
      <c r="F2946" t="s">
        <v>59</v>
      </c>
      <c r="G2946">
        <v>-266.16329999999999</v>
      </c>
      <c r="H2946">
        <v>8.0001459999999996E-2</v>
      </c>
      <c r="I2946">
        <v>206.9117</v>
      </c>
      <c r="J2946">
        <v>-364.60289999999998</v>
      </c>
      <c r="K2946">
        <v>1.1091279999999999</v>
      </c>
      <c r="L2946">
        <v>214.55619999999999</v>
      </c>
      <c r="M2946">
        <v>0.9998766</v>
      </c>
      <c r="N2946">
        <v>-1.125482E-2</v>
      </c>
      <c r="O2946">
        <v>-1.096544E-2</v>
      </c>
      <c r="P2946">
        <v>0.9969673</v>
      </c>
      <c r="Q2946">
        <v>-4.1736219999999997E-2</v>
      </c>
      <c r="R2946">
        <v>6.5685530000000006E-2</v>
      </c>
      <c r="S2946">
        <v>3.022675</v>
      </c>
      <c r="T2946">
        <v>-3.1404019999999998E-2</v>
      </c>
      <c r="U2946">
        <v>-0.23352049999999999</v>
      </c>
      <c r="V2946">
        <v>-7.6538339999999996E-2</v>
      </c>
      <c r="W2946">
        <v>-3.0711530000000001E-2</v>
      </c>
      <c r="X2946">
        <v>0.99659350000000002</v>
      </c>
      <c r="Y2946">
        <v>6.608116E-2</v>
      </c>
      <c r="Z2946">
        <v>-7.2471690000000001E-4</v>
      </c>
      <c r="AA2946">
        <v>0.99781399999999998</v>
      </c>
      <c r="AB2946">
        <v>59</v>
      </c>
      <c r="AC2946">
        <v>98.439599999999899</v>
      </c>
      <c r="AD2946">
        <v>-1.02912654</v>
      </c>
      <c r="AE2946">
        <v>-7.6444999999999901</v>
      </c>
      <c r="AF2946">
        <v>6.5638254165927501</v>
      </c>
      <c r="AG2946">
        <v>-1.02912654</v>
      </c>
      <c r="AH2946">
        <v>98.506809747193202</v>
      </c>
      <c r="AI2946">
        <v>90.597237996899594</v>
      </c>
      <c r="AJ2946">
        <v>86.187833337971696</v>
      </c>
      <c r="AK2946">
        <v>98.730615677734704</v>
      </c>
      <c r="AL2946">
        <v>91.759917854458905</v>
      </c>
      <c r="AM2946">
        <v>94.391692650005893</v>
      </c>
      <c r="AN2946">
        <v>0.99999995990357204</v>
      </c>
    </row>
    <row r="2947" spans="1:40" x14ac:dyDescent="0.25">
      <c r="A2947" t="str">
        <f>"20190305135849632"</f>
        <v>20190305135849632</v>
      </c>
      <c r="B2947" t="str">
        <f>"1551765529622146"</f>
        <v>1551765529622146</v>
      </c>
      <c r="C2947" t="s">
        <v>40</v>
      </c>
      <c r="D2947">
        <v>4.3778730000000001</v>
      </c>
      <c r="E2947">
        <v>0.55293910000000002</v>
      </c>
      <c r="F2947" t="s">
        <v>59</v>
      </c>
      <c r="G2947">
        <v>-264.75439999999998</v>
      </c>
      <c r="H2947">
        <v>8.0000390000000005E-2</v>
      </c>
      <c r="I2947">
        <v>207.10640000000001</v>
      </c>
      <c r="J2947">
        <v>-364.01819999999998</v>
      </c>
      <c r="K2947">
        <v>1.1093569999999999</v>
      </c>
      <c r="L2947">
        <v>214.5505</v>
      </c>
      <c r="M2947">
        <v>0.99988169999999998</v>
      </c>
      <c r="N2947">
        <v>-1.180814E-2</v>
      </c>
      <c r="O2947">
        <v>-9.8684870000000004E-3</v>
      </c>
      <c r="P2947">
        <v>0.99697049999999998</v>
      </c>
      <c r="Q2947">
        <v>-3.7139489999999997E-2</v>
      </c>
      <c r="R2947">
        <v>6.8343950000000001E-2</v>
      </c>
      <c r="S2947">
        <v>3.022675</v>
      </c>
      <c r="T2947">
        <v>-3.1154390000000001E-2</v>
      </c>
      <c r="U2947">
        <v>-0.2255249</v>
      </c>
      <c r="V2947">
        <v>-7.8106780000000001E-2</v>
      </c>
      <c r="W2947">
        <v>-2.5597290000000002E-2</v>
      </c>
      <c r="X2947">
        <v>0.99661630000000001</v>
      </c>
      <c r="Y2947">
        <v>6.4551460000000005E-2</v>
      </c>
      <c r="Z2947">
        <v>-7.2869679999999998E-4</v>
      </c>
      <c r="AA2947">
        <v>0.99791410000000003</v>
      </c>
      <c r="AB2947">
        <v>59</v>
      </c>
      <c r="AC2947">
        <v>99.263800000000003</v>
      </c>
      <c r="AD2947">
        <v>-1.02935661</v>
      </c>
      <c r="AE2947">
        <v>-7.4440999999999899</v>
      </c>
      <c r="AF2947">
        <v>6.4633946015514603</v>
      </c>
      <c r="AG2947">
        <v>-1.02935661</v>
      </c>
      <c r="AH2947">
        <v>99.321811981445904</v>
      </c>
      <c r="AI2947">
        <v>90.5925305426981</v>
      </c>
      <c r="AJ2947">
        <v>86.276711039006102</v>
      </c>
      <c r="AK2947">
        <v>99.537216055521696</v>
      </c>
      <c r="AL2947">
        <v>91.4667769351381</v>
      </c>
      <c r="AM2947">
        <v>94.481223129190198</v>
      </c>
      <c r="AN2947">
        <v>0.99999996988149997</v>
      </c>
    </row>
    <row r="2948" spans="1:40" x14ac:dyDescent="0.25">
      <c r="A2948" t="str">
        <f>"20190305135849654"</f>
        <v>20190305135849654</v>
      </c>
      <c r="B2948" t="str">
        <f>"1551765529641666"</f>
        <v>1551765529641666</v>
      </c>
      <c r="C2948" t="s">
        <v>40</v>
      </c>
      <c r="D2948">
        <v>4.4070309999999999</v>
      </c>
      <c r="E2948">
        <v>0.55257829999999997</v>
      </c>
      <c r="F2948" t="s">
        <v>59</v>
      </c>
      <c r="G2948">
        <v>-225.75989999999999</v>
      </c>
      <c r="H2948">
        <v>8.0001669999999997E-2</v>
      </c>
      <c r="I2948">
        <v>204.76689999999999</v>
      </c>
      <c r="J2948">
        <v>-363.45699999999999</v>
      </c>
      <c r="K2948">
        <v>1.1095809999999999</v>
      </c>
      <c r="L2948">
        <v>214.54560000000001</v>
      </c>
      <c r="M2948">
        <v>0.99988719999999998</v>
      </c>
      <c r="N2948">
        <v>-1.228462E-2</v>
      </c>
      <c r="O2948">
        <v>-8.6518919999999996E-3</v>
      </c>
      <c r="P2948">
        <v>0.99691560000000001</v>
      </c>
      <c r="Q2948">
        <v>-3.2323869999999998E-2</v>
      </c>
      <c r="R2948">
        <v>7.1517960000000005E-2</v>
      </c>
      <c r="S2948">
        <v>3.0229490000000001</v>
      </c>
      <c r="T2948">
        <v>-2.250636E-2</v>
      </c>
      <c r="U2948">
        <v>-0.21391299999999999</v>
      </c>
      <c r="V2948">
        <v>-8.0074670000000001E-2</v>
      </c>
      <c r="W2948">
        <v>-2.034592E-2</v>
      </c>
      <c r="X2948">
        <v>0.99658119999999994</v>
      </c>
      <c r="Y2948">
        <v>6.1948450000000002E-2</v>
      </c>
      <c r="Z2948">
        <v>-6.5316589999999904E-4</v>
      </c>
      <c r="AA2948">
        <v>0.9980791</v>
      </c>
      <c r="AB2948">
        <v>59</v>
      </c>
      <c r="AC2948">
        <v>137.69710000000001</v>
      </c>
      <c r="AD2948">
        <v>-1.02957933</v>
      </c>
      <c r="AE2948">
        <v>-9.7787000000000095</v>
      </c>
      <c r="AF2948">
        <v>8.5864260731474893</v>
      </c>
      <c r="AG2948">
        <v>-1.02957933</v>
      </c>
      <c r="AH2948">
        <v>137.76889242163099</v>
      </c>
      <c r="AI2948">
        <v>90.4273477059062</v>
      </c>
      <c r="AJ2948">
        <v>86.433661826890102</v>
      </c>
      <c r="AK2948">
        <v>138.040046600214</v>
      </c>
      <c r="AL2948">
        <v>91.165815790074603</v>
      </c>
      <c r="AM2948">
        <v>94.593810746486497</v>
      </c>
      <c r="AN2948">
        <v>0.99999999871484702</v>
      </c>
    </row>
    <row r="2949" spans="1:40" x14ac:dyDescent="0.25">
      <c r="A2949" t="str">
        <f>"20190305135849675"</f>
        <v>20190305135849675</v>
      </c>
      <c r="B2949" t="str">
        <f>"1551765529671922"</f>
        <v>1551765529671922</v>
      </c>
      <c r="C2949" t="s">
        <v>40</v>
      </c>
      <c r="D2949">
        <v>4.4135710000000001</v>
      </c>
      <c r="E2949">
        <v>0.55215769999999997</v>
      </c>
      <c r="F2949" t="s">
        <v>70</v>
      </c>
      <c r="G2949">
        <v>-168.41220000000001</v>
      </c>
      <c r="H2949">
        <v>0.27759929999999999</v>
      </c>
      <c r="I2949">
        <v>201.5445</v>
      </c>
      <c r="J2949">
        <v>-362.87740000000002</v>
      </c>
      <c r="K2949">
        <v>1.109804</v>
      </c>
      <c r="L2949">
        <v>214.54140000000001</v>
      </c>
      <c r="M2949">
        <v>0.99989280000000003</v>
      </c>
      <c r="N2949">
        <v>-1.2725129999999999E-2</v>
      </c>
      <c r="O2949">
        <v>-7.2432030000000001E-3</v>
      </c>
      <c r="P2949">
        <v>0.99683489999999997</v>
      </c>
      <c r="Q2949">
        <v>-2.7545179999999999E-2</v>
      </c>
      <c r="R2949">
        <v>7.4576190000000001E-2</v>
      </c>
      <c r="S2949">
        <v>3.023285</v>
      </c>
      <c r="T2949">
        <v>-1.289558E-2</v>
      </c>
      <c r="U2949">
        <v>-0.2015228</v>
      </c>
      <c r="V2949">
        <v>-8.1739140000000002E-2</v>
      </c>
      <c r="W2949">
        <v>-1.517044E-2</v>
      </c>
      <c r="X2949">
        <v>0.99653829999999999</v>
      </c>
      <c r="Y2949">
        <v>5.9277919999999998E-2</v>
      </c>
      <c r="Z2949">
        <v>-5.6510209999999998E-4</v>
      </c>
      <c r="AA2949">
        <v>0.99824139999999995</v>
      </c>
      <c r="AB2949">
        <v>59</v>
      </c>
      <c r="AC2949">
        <v>194.46520000000001</v>
      </c>
      <c r="AD2949">
        <v>-0.83220469999999902</v>
      </c>
      <c r="AE2949">
        <v>-12.9969</v>
      </c>
      <c r="AF2949">
        <v>11.5876827624828</v>
      </c>
      <c r="AG2949">
        <v>-0.83220469999999902</v>
      </c>
      <c r="AH2949">
        <v>194.550697601938</v>
      </c>
      <c r="AI2949">
        <v>90.244651785060896</v>
      </c>
      <c r="AJ2949">
        <v>86.591418634888697</v>
      </c>
      <c r="AK2949">
        <v>194.89725727640999</v>
      </c>
      <c r="AL2949">
        <v>90.869235523346802</v>
      </c>
      <c r="AM2949">
        <v>94.689079359207099</v>
      </c>
      <c r="AN2949">
        <v>1.00000000631231</v>
      </c>
    </row>
    <row r="2950" spans="1:40" x14ac:dyDescent="0.25">
      <c r="A2950" t="str">
        <f>"20190305135849700"</f>
        <v>20190305135849700</v>
      </c>
      <c r="B2950" t="str">
        <f>"1551765529692418"</f>
        <v>1551765529692418</v>
      </c>
      <c r="C2950" t="s">
        <v>40</v>
      </c>
      <c r="D2950">
        <v>4.4075959999999998</v>
      </c>
      <c r="E2950">
        <v>0.55191840000000003</v>
      </c>
      <c r="F2950" t="s">
        <v>70</v>
      </c>
      <c r="G2950">
        <v>-168.41210000000001</v>
      </c>
      <c r="H2950">
        <v>0.76169779999999998</v>
      </c>
      <c r="I2950">
        <v>202.37989999999999</v>
      </c>
      <c r="J2950">
        <v>-362.24680000000001</v>
      </c>
      <c r="K2950">
        <v>1.110025</v>
      </c>
      <c r="L2950">
        <v>214.5378</v>
      </c>
      <c r="M2950">
        <v>0.99989819999999996</v>
      </c>
      <c r="N2950">
        <v>-1.3146359999999999E-2</v>
      </c>
      <c r="O2950">
        <v>-5.5508129999999999E-3</v>
      </c>
      <c r="P2950">
        <v>0.99654759999999998</v>
      </c>
      <c r="Q2950">
        <v>-2.654026E-2</v>
      </c>
      <c r="R2950">
        <v>7.8667840000000003E-2</v>
      </c>
      <c r="S2950">
        <v>3.0235599999999998</v>
      </c>
      <c r="T2950">
        <v>-5.4118630000000003E-3</v>
      </c>
      <c r="U2950">
        <v>-0.1890869</v>
      </c>
      <c r="V2950">
        <v>-8.4141679999999996E-2</v>
      </c>
      <c r="W2950">
        <v>-1.3797490000000001E-2</v>
      </c>
      <c r="X2950">
        <v>0.99635830000000003</v>
      </c>
      <c r="Y2950">
        <v>5.687408E-2</v>
      </c>
      <c r="Z2950">
        <v>-4.8806039999999999E-4</v>
      </c>
      <c r="AA2950">
        <v>0.99838130000000003</v>
      </c>
      <c r="AB2950">
        <v>59</v>
      </c>
      <c r="AC2950">
        <v>193.8347</v>
      </c>
      <c r="AD2950">
        <v>-0.3483272</v>
      </c>
      <c r="AE2950">
        <v>-12.1579</v>
      </c>
      <c r="AF2950">
        <v>11.081643884367001</v>
      </c>
      <c r="AG2950">
        <v>-0.3483272</v>
      </c>
      <c r="AH2950">
        <v>193.89858164208999</v>
      </c>
      <c r="AI2950">
        <v>90.102760641341305</v>
      </c>
      <c r="AJ2950">
        <v>86.729004029320606</v>
      </c>
      <c r="AK2950">
        <v>194.21530353149899</v>
      </c>
      <c r="AL2950">
        <v>90.790563007819799</v>
      </c>
      <c r="AM2950">
        <v>94.827130390035904</v>
      </c>
      <c r="AN2950">
        <v>1.0000000275112</v>
      </c>
    </row>
    <row r="2951" spans="1:40" x14ac:dyDescent="0.25">
      <c r="A2951" t="str">
        <f>"20190305135849721"</f>
        <v>20190305135849721</v>
      </c>
      <c r="B2951" t="str">
        <f>"1551765529711941"</f>
        <v>1551765529711941</v>
      </c>
      <c r="C2951" t="s">
        <v>40</v>
      </c>
      <c r="D2951">
        <v>4.41099</v>
      </c>
      <c r="E2951">
        <v>0.55184319999999998</v>
      </c>
      <c r="F2951" t="s">
        <v>45</v>
      </c>
      <c r="G2951">
        <v>-234.56280000000001</v>
      </c>
      <c r="H2951">
        <v>0.75985829999999999</v>
      </c>
      <c r="I2951">
        <v>207.1497</v>
      </c>
      <c r="J2951">
        <v>-361.66489999999999</v>
      </c>
      <c r="K2951">
        <v>1.1102030000000001</v>
      </c>
      <c r="L2951">
        <v>214.53540000000001</v>
      </c>
      <c r="M2951">
        <v>0.9999015</v>
      </c>
      <c r="N2951">
        <v>-1.348508E-2</v>
      </c>
      <c r="O2951">
        <v>-3.867044E-3</v>
      </c>
      <c r="P2951">
        <v>0.99617250000000002</v>
      </c>
      <c r="Q2951">
        <v>-2.8617110000000001E-2</v>
      </c>
      <c r="R2951">
        <v>8.2591949999999997E-2</v>
      </c>
      <c r="S2951">
        <v>3.023987</v>
      </c>
      <c r="T2951">
        <v>-8.2919599999999993E-3</v>
      </c>
      <c r="U2951">
        <v>-0.1749725</v>
      </c>
      <c r="V2951">
        <v>-8.6372660000000004E-2</v>
      </c>
      <c r="W2951">
        <v>-1.558561E-2</v>
      </c>
      <c r="X2951">
        <v>0.99614100000000005</v>
      </c>
      <c r="Y2951">
        <v>5.3902579999999999E-2</v>
      </c>
      <c r="Z2951">
        <v>-4.7911850000000001E-4</v>
      </c>
      <c r="AA2951">
        <v>0.99854609999999999</v>
      </c>
      <c r="AB2951">
        <v>59</v>
      </c>
      <c r="AC2951">
        <v>127.102099999999</v>
      </c>
      <c r="AD2951">
        <v>-0.35034469999999901</v>
      </c>
      <c r="AE2951">
        <v>-7.3857000000000097</v>
      </c>
      <c r="AF2951">
        <v>6.8940384081900996</v>
      </c>
      <c r="AG2951">
        <v>-0.35034469999999901</v>
      </c>
      <c r="AH2951">
        <v>127.128750262468</v>
      </c>
      <c r="AI2951">
        <v>90.157665135807093</v>
      </c>
      <c r="AJ2951">
        <v>86.895959521943595</v>
      </c>
      <c r="AK2951">
        <v>127.316022755501</v>
      </c>
      <c r="AL2951">
        <v>90.893025813315006</v>
      </c>
      <c r="AM2951">
        <v>94.955566146476102</v>
      </c>
      <c r="AN2951">
        <v>1.0000000197577701</v>
      </c>
    </row>
    <row r="2952" spans="1:40" x14ac:dyDescent="0.25">
      <c r="A2952" t="str">
        <f>"20190305135849744"</f>
        <v>20190305135849744</v>
      </c>
      <c r="B2952" t="str">
        <f>"1551765529731458"</f>
        <v>1551765529731458</v>
      </c>
      <c r="C2952" t="s">
        <v>40</v>
      </c>
      <c r="D2952">
        <v>4.4893939999999999</v>
      </c>
      <c r="E2952">
        <v>0.51276880000000002</v>
      </c>
      <c r="F2952" t="s">
        <v>70</v>
      </c>
      <c r="G2952">
        <v>-168.41130000000001</v>
      </c>
      <c r="H2952">
        <v>9.1865539999999996E-2</v>
      </c>
      <c r="I2952">
        <v>204.16079999999999</v>
      </c>
      <c r="J2952">
        <v>-361.0949</v>
      </c>
      <c r="K2952">
        <v>1.1103559999999999</v>
      </c>
      <c r="L2952">
        <v>214.53399999999999</v>
      </c>
      <c r="M2952">
        <v>0.99990279999999998</v>
      </c>
      <c r="N2952">
        <v>-1.3776439999999999E-2</v>
      </c>
      <c r="O2952">
        <v>-2.1357009999999998E-3</v>
      </c>
      <c r="P2952">
        <v>0.99570669999999994</v>
      </c>
      <c r="Q2952">
        <v>-3.2195179999999997E-2</v>
      </c>
      <c r="R2952">
        <v>8.6785929999999997E-2</v>
      </c>
      <c r="S2952">
        <v>3.0245359999999999</v>
      </c>
      <c r="T2952">
        <v>-1.5937090000000001E-2</v>
      </c>
      <c r="U2952">
        <v>-0.16236879999999901</v>
      </c>
      <c r="V2952">
        <v>-8.8819209999999996E-2</v>
      </c>
      <c r="W2952">
        <v>-1.8922370000000001E-2</v>
      </c>
      <c r="X2952">
        <v>0.99586799999999998</v>
      </c>
      <c r="Y2952">
        <v>5.1471210000000003E-2</v>
      </c>
      <c r="Z2952">
        <v>-5.0849339999999997E-4</v>
      </c>
      <c r="AA2952">
        <v>0.99867430000000001</v>
      </c>
      <c r="AB2952">
        <v>59</v>
      </c>
      <c r="AC2952">
        <v>192.68360000000001</v>
      </c>
      <c r="AD2952">
        <v>-1.01849046</v>
      </c>
      <c r="AE2952">
        <v>-10.373200000000001</v>
      </c>
      <c r="AF2952">
        <v>9.9613452023186895</v>
      </c>
      <c r="AG2952">
        <v>-1.01849046</v>
      </c>
      <c r="AH2952">
        <v>192.699948183749</v>
      </c>
      <c r="AI2952">
        <v>90.302422761472698</v>
      </c>
      <c r="AJ2952">
        <v>87.040811515672303</v>
      </c>
      <c r="AK2952">
        <v>192.959933019983</v>
      </c>
      <c r="AL2952">
        <v>91.084236658861599</v>
      </c>
      <c r="AM2952">
        <v>95.0965957304049</v>
      </c>
      <c r="AN2952">
        <v>0.99999999078771995</v>
      </c>
    </row>
    <row r="2953" spans="1:40" x14ac:dyDescent="0.25">
      <c r="A2953" t="str">
        <f>"20190305135849768"</f>
        <v>20190305135849768</v>
      </c>
      <c r="B2953" t="str">
        <f>"1551765529761715"</f>
        <v>1551765529761715</v>
      </c>
      <c r="C2953" t="s">
        <v>40</v>
      </c>
      <c r="D2953">
        <v>4.3470740000000001</v>
      </c>
      <c r="E2953">
        <v>0.51155980000000001</v>
      </c>
      <c r="F2953" t="s">
        <v>61</v>
      </c>
      <c r="G2953">
        <v>-301.2328</v>
      </c>
      <c r="H2953" s="1">
        <v>2.4345869999999998E-6</v>
      </c>
      <c r="I2953">
        <v>217.72669999999999</v>
      </c>
      <c r="J2953">
        <v>-360.46940000000001</v>
      </c>
      <c r="K2953">
        <v>1.11052</v>
      </c>
      <c r="L2953">
        <v>214.53370000000001</v>
      </c>
      <c r="M2953">
        <v>0.99990140000000005</v>
      </c>
      <c r="N2953">
        <v>-1.4054189999999999E-2</v>
      </c>
      <c r="O2953">
        <v>-1.64731899999999E-4</v>
      </c>
      <c r="P2953">
        <v>0.99526049999999999</v>
      </c>
      <c r="Q2953">
        <v>-3.482068E-2</v>
      </c>
      <c r="R2953">
        <v>9.079719E-2</v>
      </c>
      <c r="S2953">
        <v>2.9971920000000001</v>
      </c>
      <c r="T2953">
        <v>-5.5593490000000002E-2</v>
      </c>
      <c r="U2953">
        <v>0.1598511</v>
      </c>
      <c r="V2953">
        <v>-9.0847540000000004E-2</v>
      </c>
      <c r="W2953">
        <v>-2.131864E-2</v>
      </c>
      <c r="X2953">
        <v>0.99563659999999998</v>
      </c>
      <c r="Y2953">
        <v>-5.3406309999999999E-2</v>
      </c>
      <c r="Z2953">
        <v>8.7128240000000005E-4</v>
      </c>
      <c r="AA2953">
        <v>0.99857249999999997</v>
      </c>
      <c r="AB2953">
        <v>59</v>
      </c>
      <c r="AC2953">
        <v>59.236600000000003</v>
      </c>
      <c r="AD2953">
        <v>-1.110517565413</v>
      </c>
      <c r="AE2953">
        <v>3.1929999999999801</v>
      </c>
      <c r="AF2953">
        <v>-3.2016371026443</v>
      </c>
      <c r="AG2953">
        <v>-1.110517565413</v>
      </c>
      <c r="AH2953">
        <v>59.215321883966197</v>
      </c>
      <c r="AI2953">
        <v>91.0728261408468</v>
      </c>
      <c r="AJ2953">
        <v>93.094838449545406</v>
      </c>
      <c r="AK2953">
        <v>59.312208483767101</v>
      </c>
      <c r="AL2953">
        <v>91.221560639413099</v>
      </c>
      <c r="AM2953">
        <v>95.213555465944594</v>
      </c>
      <c r="AN2953">
        <v>0.99999999959753005</v>
      </c>
    </row>
    <row r="2954" spans="1:40" x14ac:dyDescent="0.25">
      <c r="A2954" t="str">
        <f>"20190305135849790"</f>
        <v>20190305135849790</v>
      </c>
      <c r="B2954" t="str">
        <f>"1551765529782211"</f>
        <v>1551765529782211</v>
      </c>
      <c r="C2954" t="s">
        <v>40</v>
      </c>
      <c r="D2954">
        <v>4.3695849999999998</v>
      </c>
      <c r="E2954">
        <v>0.51222479999999904</v>
      </c>
      <c r="F2954" t="s">
        <v>59</v>
      </c>
      <c r="G2954">
        <v>-323.88720000000001</v>
      </c>
      <c r="H2954" s="1">
        <v>5.3177020000000004E-7</v>
      </c>
      <c r="I2954">
        <v>216.7448</v>
      </c>
      <c r="J2954">
        <v>-359.89870000000002</v>
      </c>
      <c r="K2954">
        <v>1.1106450000000001</v>
      </c>
      <c r="L2954">
        <v>214.5343</v>
      </c>
      <c r="M2954">
        <v>0.99989669999999997</v>
      </c>
      <c r="N2954">
        <v>-1.427399E-2</v>
      </c>
      <c r="O2954">
        <v>1.6786349999999999E-3</v>
      </c>
      <c r="P2954">
        <v>0.9949268</v>
      </c>
      <c r="Q2954">
        <v>-3.5792490000000003E-2</v>
      </c>
      <c r="R2954">
        <v>9.4019290000000005E-2</v>
      </c>
      <c r="S2954">
        <v>2.9946290000000002</v>
      </c>
      <c r="T2954">
        <v>-9.0907340000000003E-2</v>
      </c>
      <c r="U2954">
        <v>0.18099979999999999</v>
      </c>
      <c r="V2954">
        <v>-9.2225039999999994E-2</v>
      </c>
      <c r="W2954">
        <v>-2.2109009999999998E-2</v>
      </c>
      <c r="X2954">
        <v>0.99549270000000001</v>
      </c>
      <c r="Y2954">
        <v>-5.8616149999999999E-2</v>
      </c>
      <c r="Z2954">
        <v>1.28061E-3</v>
      </c>
      <c r="AA2954">
        <v>0.99827980000000005</v>
      </c>
      <c r="AB2954">
        <v>59</v>
      </c>
      <c r="AC2954">
        <v>36.011499999999998</v>
      </c>
      <c r="AD2954">
        <v>-1.1106444682298</v>
      </c>
      <c r="AE2954">
        <v>2.2104999999999899</v>
      </c>
      <c r="AF2954">
        <v>-2.1480050673394202</v>
      </c>
      <c r="AG2954">
        <v>-1.1106444682298</v>
      </c>
      <c r="AH2954">
        <v>35.981063864111398</v>
      </c>
      <c r="AI2954">
        <v>91.764874362316306</v>
      </c>
      <c r="AJ2954">
        <v>93.416400721902093</v>
      </c>
      <c r="AK2954">
        <v>36.062229738292601</v>
      </c>
      <c r="AL2954">
        <v>91.266856196171105</v>
      </c>
      <c r="AM2954">
        <v>95.292922505949093</v>
      </c>
      <c r="AN2954">
        <v>0.99999999103973503</v>
      </c>
    </row>
    <row r="2955" spans="1:40" x14ac:dyDescent="0.25">
      <c r="A2955" t="str">
        <f>"20190305135849811"</f>
        <v>20190305135849811</v>
      </c>
      <c r="B2955" t="str">
        <f>"1551765529801733"</f>
        <v>1551765529801733</v>
      </c>
      <c r="C2955" t="s">
        <v>40</v>
      </c>
      <c r="D2955">
        <v>4.3861919999999897</v>
      </c>
      <c r="E2955">
        <v>0.51279560000000002</v>
      </c>
      <c r="F2955" t="s">
        <v>59</v>
      </c>
      <c r="G2955">
        <v>-327.3338</v>
      </c>
      <c r="H2955" s="1">
        <v>2.3658939999999999E-6</v>
      </c>
      <c r="I2955">
        <v>216.54589999999999</v>
      </c>
      <c r="J2955">
        <v>-359.31349999999998</v>
      </c>
      <c r="K2955">
        <v>1.110765</v>
      </c>
      <c r="L2955">
        <v>214.536</v>
      </c>
      <c r="M2955">
        <v>0.99988900000000003</v>
      </c>
      <c r="N2955">
        <v>-1.4469559999999999E-2</v>
      </c>
      <c r="O2955">
        <v>3.5990559999999998E-3</v>
      </c>
      <c r="P2955">
        <v>0.99461569999999999</v>
      </c>
      <c r="Q2955">
        <v>-3.7419000000000001E-2</v>
      </c>
      <c r="R2955">
        <v>9.6642000000000006E-2</v>
      </c>
      <c r="S2955">
        <v>2.9941710000000001</v>
      </c>
      <c r="T2955">
        <v>-0.1021179</v>
      </c>
      <c r="U2955">
        <v>0.1849518</v>
      </c>
      <c r="V2955">
        <v>-9.2922550000000007E-2</v>
      </c>
      <c r="W2955">
        <v>-2.357211E-2</v>
      </c>
      <c r="X2955">
        <v>0.99539429999999995</v>
      </c>
      <c r="Y2955">
        <v>-5.8012889999999998E-2</v>
      </c>
      <c r="Z2955">
        <v>1.337789E-3</v>
      </c>
      <c r="AA2955">
        <v>0.99831490000000001</v>
      </c>
      <c r="AB2955">
        <v>59</v>
      </c>
      <c r="AC2955">
        <v>31.979699999999902</v>
      </c>
      <c r="AD2955">
        <v>-1.110762634106</v>
      </c>
      <c r="AE2955">
        <v>2.0099000000000098</v>
      </c>
      <c r="AF2955">
        <v>-1.89250407055897</v>
      </c>
      <c r="AG2955">
        <v>-1.110762634106</v>
      </c>
      <c r="AH2955">
        <v>31.948336292685301</v>
      </c>
      <c r="AI2955">
        <v>91.987745305098599</v>
      </c>
      <c r="AJ2955">
        <v>93.390033623487597</v>
      </c>
      <c r="AK2955">
        <v>32.023609371164298</v>
      </c>
      <c r="AL2955">
        <v>91.350707483823797</v>
      </c>
      <c r="AM2955">
        <v>95.333247771132903</v>
      </c>
      <c r="AN2955">
        <v>1.00000002857042</v>
      </c>
    </row>
    <row r="2956" spans="1:40" x14ac:dyDescent="0.25">
      <c r="A2956" t="str">
        <f>"20190305135849833"</f>
        <v>20190305135849833</v>
      </c>
      <c r="B2956" t="str">
        <f>"1551765529822226"</f>
        <v>1551765529822226</v>
      </c>
      <c r="C2956" t="s">
        <v>40</v>
      </c>
      <c r="D2956">
        <v>4.393313</v>
      </c>
      <c r="E2956">
        <v>0.51357070000000005</v>
      </c>
      <c r="F2956" t="s">
        <v>59</v>
      </c>
      <c r="G2956">
        <v>-329.33330000000001</v>
      </c>
      <c r="H2956" s="1">
        <v>3.4299579999999999E-6</v>
      </c>
      <c r="I2956">
        <v>216.422</v>
      </c>
      <c r="J2956">
        <v>-358.76620000000003</v>
      </c>
      <c r="K2956">
        <v>1.110865</v>
      </c>
      <c r="L2956">
        <v>214.5386</v>
      </c>
      <c r="M2956">
        <v>0.9998785</v>
      </c>
      <c r="N2956">
        <v>-1.4628220000000001E-2</v>
      </c>
      <c r="O2956">
        <v>5.4150739999999998E-3</v>
      </c>
      <c r="P2956">
        <v>0.99426360000000003</v>
      </c>
      <c r="Q2956">
        <v>-3.9687130000000001E-2</v>
      </c>
      <c r="R2956">
        <v>9.9324200000000001E-2</v>
      </c>
      <c r="S2956">
        <v>2.9937740000000002</v>
      </c>
      <c r="T2956">
        <v>-0.1109189</v>
      </c>
      <c r="U2956">
        <v>0.18832399999999999</v>
      </c>
      <c r="V2956">
        <v>-9.3781400000000001E-2</v>
      </c>
      <c r="W2956">
        <v>-2.5711330000000001E-2</v>
      </c>
      <c r="X2956">
        <v>0.99526079999999995</v>
      </c>
      <c r="Y2956">
        <v>-5.7321869999999997E-2</v>
      </c>
      <c r="Z2956">
        <v>1.3591409999999999E-3</v>
      </c>
      <c r="AA2956">
        <v>0.99835490000000005</v>
      </c>
      <c r="AB2956">
        <v>59</v>
      </c>
      <c r="AC2956">
        <v>29.4329</v>
      </c>
      <c r="AD2956">
        <v>-1.1108615700419999</v>
      </c>
      <c r="AE2956">
        <v>1.88339999999999</v>
      </c>
      <c r="AF2956">
        <v>-1.7215317465859701</v>
      </c>
      <c r="AG2956">
        <v>-1.1108615700419999</v>
      </c>
      <c r="AH2956">
        <v>29.400958174678401</v>
      </c>
      <c r="AI2956">
        <v>92.160090968744996</v>
      </c>
      <c r="AJ2956">
        <v>93.3510475497378</v>
      </c>
      <c r="AK2956">
        <v>29.472258592980101</v>
      </c>
      <c r="AL2956">
        <v>91.473312991352003</v>
      </c>
      <c r="AM2956">
        <v>95.382970627335794</v>
      </c>
      <c r="AN2956">
        <v>1.0000000417464801</v>
      </c>
    </row>
    <row r="2957" spans="1:40" x14ac:dyDescent="0.25">
      <c r="A2957" t="str">
        <f>"20190305135849854"</f>
        <v>20190305135849854</v>
      </c>
      <c r="B2957" t="str">
        <f>"1551765529841746"</f>
        <v>1551765529841746</v>
      </c>
      <c r="C2957" t="s">
        <v>40</v>
      </c>
      <c r="D2957">
        <v>4.4071129999999998</v>
      </c>
      <c r="E2957">
        <v>0.51396390000000003</v>
      </c>
      <c r="F2957" t="s">
        <v>59</v>
      </c>
      <c r="G2957">
        <v>-331.16140000000001</v>
      </c>
      <c r="H2957" s="1">
        <v>-9.920457999999999E-7</v>
      </c>
      <c r="I2957">
        <v>216.29329999999999</v>
      </c>
      <c r="J2957">
        <v>-358.20310000000001</v>
      </c>
      <c r="K2957">
        <v>1.11097</v>
      </c>
      <c r="L2957">
        <v>214.54239999999999</v>
      </c>
      <c r="M2957">
        <v>0.99986430000000004</v>
      </c>
      <c r="N2957">
        <v>-1.4770449999999999E-2</v>
      </c>
      <c r="O2957">
        <v>7.2960450000000001E-3</v>
      </c>
      <c r="P2957">
        <v>0.994008</v>
      </c>
      <c r="Q2957">
        <v>-4.0635360000000002E-2</v>
      </c>
      <c r="R2957">
        <v>0.1014746</v>
      </c>
      <c r="S2957">
        <v>2.9935299999999998</v>
      </c>
      <c r="T2957">
        <v>-0.12046519999999999</v>
      </c>
      <c r="U2957">
        <v>0.1902771</v>
      </c>
      <c r="V2957">
        <v>-9.4051300000000004E-2</v>
      </c>
      <c r="W2957">
        <v>-2.6540459999999998E-2</v>
      </c>
      <c r="X2957">
        <v>0.99521349999999997</v>
      </c>
      <c r="Y2957">
        <v>-5.60914E-2</v>
      </c>
      <c r="Z2957">
        <v>1.3564040000000001E-3</v>
      </c>
      <c r="AA2957">
        <v>0.99842470000000005</v>
      </c>
      <c r="AB2957">
        <v>59</v>
      </c>
      <c r="AC2957">
        <v>27.041699999999899</v>
      </c>
      <c r="AD2957">
        <v>-1.1109709920458</v>
      </c>
      <c r="AE2957">
        <v>1.7508999999999999</v>
      </c>
      <c r="AF2957">
        <v>-1.5509275770533499</v>
      </c>
      <c r="AG2957">
        <v>-1.1109709920458</v>
      </c>
      <c r="AH2957">
        <v>27.008360002447802</v>
      </c>
      <c r="AI2957">
        <v>92.351626288019801</v>
      </c>
      <c r="AJ2957">
        <v>93.286542506214104</v>
      </c>
      <c r="AK2957">
        <v>27.075655909252699</v>
      </c>
      <c r="AL2957">
        <v>91.520834960261197</v>
      </c>
      <c r="AM2957">
        <v>95.398626315268501</v>
      </c>
      <c r="AN2957">
        <v>0.99999997681547503</v>
      </c>
    </row>
    <row r="2958" spans="1:40" x14ac:dyDescent="0.25">
      <c r="A2958" t="str">
        <f>"20190305135849878"</f>
        <v>20190305135849878</v>
      </c>
      <c r="B2958" t="str">
        <f>"1551765529872004"</f>
        <v>1551765529872004</v>
      </c>
      <c r="C2958" t="s">
        <v>40</v>
      </c>
      <c r="D2958">
        <v>4.4410270000000001</v>
      </c>
      <c r="E2958">
        <v>0.51461899999999905</v>
      </c>
      <c r="F2958" t="s">
        <v>59</v>
      </c>
      <c r="G2958">
        <v>-331.73579999999998</v>
      </c>
      <c r="H2958" s="1">
        <v>-6.8461419999999897E-7</v>
      </c>
      <c r="I2958">
        <v>216.25290000000001</v>
      </c>
      <c r="J2958">
        <v>-357.58100000000002</v>
      </c>
      <c r="K2958">
        <v>1.1110850000000001</v>
      </c>
      <c r="L2958">
        <v>214.54759999999999</v>
      </c>
      <c r="M2958">
        <v>0.99984479999999998</v>
      </c>
      <c r="N2958">
        <v>-1.490636E-2</v>
      </c>
      <c r="O2958">
        <v>9.3858589999999999E-3</v>
      </c>
      <c r="P2958">
        <v>0.99398410000000004</v>
      </c>
      <c r="Q2958">
        <v>-3.7546219999999998E-2</v>
      </c>
      <c r="R2958">
        <v>0.1028882</v>
      </c>
      <c r="S2958">
        <v>2.9931950000000001</v>
      </c>
      <c r="T2958">
        <v>-0.1256399</v>
      </c>
      <c r="U2958">
        <v>0.19345090000000001</v>
      </c>
      <c r="V2958">
        <v>-9.3401509999999993E-2</v>
      </c>
      <c r="W2958">
        <v>-2.3328669999999999E-2</v>
      </c>
      <c r="X2958">
        <v>0.9953552</v>
      </c>
      <c r="Y2958">
        <v>-5.5063399999999998E-2</v>
      </c>
      <c r="Z2958">
        <v>1.311418E-3</v>
      </c>
      <c r="AA2958">
        <v>0.99848199999999998</v>
      </c>
      <c r="AB2958">
        <v>58</v>
      </c>
      <c r="AC2958">
        <v>25.845199999999899</v>
      </c>
      <c r="AD2958">
        <v>-1.1110856846142001</v>
      </c>
      <c r="AE2958">
        <v>1.70530000000002</v>
      </c>
      <c r="AF2958">
        <v>-1.4599320340862401</v>
      </c>
      <c r="AG2958">
        <v>-1.1110856846142001</v>
      </c>
      <c r="AH2958">
        <v>25.812570292279801</v>
      </c>
      <c r="AI2958">
        <v>92.460810958364206</v>
      </c>
      <c r="AJ2958">
        <v>93.237140647053707</v>
      </c>
      <c r="AK2958">
        <v>25.8776872621298</v>
      </c>
      <c r="AL2958">
        <v>91.336755572268899</v>
      </c>
      <c r="AM2958">
        <v>95.360787081951102</v>
      </c>
      <c r="AN2958">
        <v>1.0000000215406399</v>
      </c>
    </row>
    <row r="2959" spans="1:40" x14ac:dyDescent="0.25">
      <c r="A2959" t="str">
        <f>"20190305135849901"</f>
        <v>20190305135849901</v>
      </c>
      <c r="B2959" t="str">
        <f>"1551765529891522"</f>
        <v>1551765529891522</v>
      </c>
      <c r="C2959" t="s">
        <v>40</v>
      </c>
      <c r="D2959">
        <v>4.4539540000000004</v>
      </c>
      <c r="E2959">
        <v>0.51489810000000003</v>
      </c>
      <c r="F2959" t="s">
        <v>59</v>
      </c>
      <c r="G2959">
        <v>-328.745</v>
      </c>
      <c r="H2959" s="1">
        <v>3.116841E-6</v>
      </c>
      <c r="I2959">
        <v>216.4025</v>
      </c>
      <c r="J2959">
        <v>-356.98520000000002</v>
      </c>
      <c r="K2959">
        <v>1.111197</v>
      </c>
      <c r="L2959">
        <v>214.554</v>
      </c>
      <c r="M2959">
        <v>0.99982230000000005</v>
      </c>
      <c r="N2959">
        <v>-1.501625E-2</v>
      </c>
      <c r="O2959">
        <v>1.139736E-2</v>
      </c>
      <c r="P2959">
        <v>0.99401189999999995</v>
      </c>
      <c r="Q2959">
        <v>-3.2739280000000003E-2</v>
      </c>
      <c r="R2959">
        <v>0.10425280000000001</v>
      </c>
      <c r="S2959">
        <v>2.9938959999999999</v>
      </c>
      <c r="T2959">
        <v>-0.1153579</v>
      </c>
      <c r="U2959">
        <v>0.19258120000000001</v>
      </c>
      <c r="V2959">
        <v>-9.2793050000000002E-2</v>
      </c>
      <c r="W2959">
        <v>-1.8420880000000001E-2</v>
      </c>
      <c r="X2959">
        <v>0.99551500000000004</v>
      </c>
      <c r="Y2959">
        <v>-5.2761509999999998E-2</v>
      </c>
      <c r="Z2959">
        <v>1.1442970000000001E-3</v>
      </c>
      <c r="AA2959">
        <v>0.99860649999999995</v>
      </c>
      <c r="AB2959">
        <v>58</v>
      </c>
      <c r="AC2959">
        <v>28.240200000000002</v>
      </c>
      <c r="AD2959">
        <v>-1.111193883159</v>
      </c>
      <c r="AE2959">
        <v>1.8485</v>
      </c>
      <c r="AF2959">
        <v>-1.52413020810573</v>
      </c>
      <c r="AG2959">
        <v>-1.111193883159</v>
      </c>
      <c r="AH2959">
        <v>28.2159364664235</v>
      </c>
      <c r="AI2959">
        <v>92.251964915816203</v>
      </c>
      <c r="AJ2959">
        <v>93.091920887002502</v>
      </c>
      <c r="AK2959">
        <v>28.278910789039902</v>
      </c>
      <c r="AL2959">
        <v>91.055498381235594</v>
      </c>
      <c r="AM2959">
        <v>95.325215931825696</v>
      </c>
      <c r="AN2959">
        <v>0.999999997086638</v>
      </c>
    </row>
    <row r="2960" spans="1:40" x14ac:dyDescent="0.25">
      <c r="A2960" t="str">
        <f>"20190305135849922"</f>
        <v>20190305135849922</v>
      </c>
      <c r="B2960" t="str">
        <f>"1551765529912021"</f>
        <v>1551765529912021</v>
      </c>
      <c r="C2960" t="s">
        <v>40</v>
      </c>
      <c r="D2960">
        <v>4.4396240000000002</v>
      </c>
      <c r="E2960">
        <v>0.51504479999999997</v>
      </c>
      <c r="F2960" t="s">
        <v>59</v>
      </c>
      <c r="G2960">
        <v>-324.56420000000003</v>
      </c>
      <c r="H2960" s="1">
        <v>8.9204709999999996E-7</v>
      </c>
      <c r="I2960">
        <v>216.65809999999999</v>
      </c>
      <c r="J2960">
        <v>-356.43720000000002</v>
      </c>
      <c r="K2960">
        <v>1.111275</v>
      </c>
      <c r="L2960">
        <v>214.5608</v>
      </c>
      <c r="M2960">
        <v>0.99979810000000002</v>
      </c>
      <c r="N2960">
        <v>-1.510368E-2</v>
      </c>
      <c r="O2960">
        <v>1.3254500000000001E-2</v>
      </c>
      <c r="P2960">
        <v>0.99394199999999999</v>
      </c>
      <c r="Q2960">
        <v>-2.881711E-2</v>
      </c>
      <c r="R2960">
        <v>0.106063</v>
      </c>
      <c r="S2960">
        <v>2.9943240000000002</v>
      </c>
      <c r="T2960">
        <v>-0.10262739999999999</v>
      </c>
      <c r="U2960">
        <v>0.19433590000000001</v>
      </c>
      <c r="V2960">
        <v>-9.2780630000000003E-2</v>
      </c>
      <c r="W2960">
        <v>-1.442236E-2</v>
      </c>
      <c r="X2960">
        <v>0.99558210000000003</v>
      </c>
      <c r="Y2960">
        <v>-5.1490309999999997E-2</v>
      </c>
      <c r="Z2960">
        <v>1.0170159999999999E-3</v>
      </c>
      <c r="AA2960">
        <v>0.99867300000000003</v>
      </c>
      <c r="AB2960">
        <v>58</v>
      </c>
      <c r="AC2960">
        <v>31.872999999999902</v>
      </c>
      <c r="AD2960">
        <v>-1.1112741079528901</v>
      </c>
      <c r="AE2960">
        <v>2.09729999999999</v>
      </c>
      <c r="AF2960">
        <v>-1.67258240479719</v>
      </c>
      <c r="AG2960">
        <v>-1.1112741079528901</v>
      </c>
      <c r="AH2960">
        <v>31.859439434254298</v>
      </c>
      <c r="AI2960">
        <v>91.994952155017103</v>
      </c>
      <c r="AJ2960">
        <v>93.005200911790993</v>
      </c>
      <c r="AK2960">
        <v>31.922661905122599</v>
      </c>
      <c r="AL2960">
        <v>90.826369021764506</v>
      </c>
      <c r="AM2960">
        <v>95.324150471003307</v>
      </c>
      <c r="AN2960">
        <v>0.99999998380578803</v>
      </c>
    </row>
    <row r="2961" spans="1:40" x14ac:dyDescent="0.25">
      <c r="A2961" t="str">
        <f>"20190305135849945"</f>
        <v>20190305135849945</v>
      </c>
      <c r="B2961" t="str">
        <f>"1551765529942274"</f>
        <v>1551765529942274</v>
      </c>
      <c r="C2961" t="s">
        <v>40</v>
      </c>
      <c r="D2961">
        <v>4.3869759999999998</v>
      </c>
      <c r="E2961">
        <v>0.48754409999999998</v>
      </c>
      <c r="F2961" t="s">
        <v>61</v>
      </c>
      <c r="G2961">
        <v>-319.80189999999999</v>
      </c>
      <c r="H2961" s="1">
        <v>5.2523739999999996E-6</v>
      </c>
      <c r="I2961">
        <v>216.99369999999999</v>
      </c>
      <c r="J2961">
        <v>-355.86770000000001</v>
      </c>
      <c r="K2961">
        <v>1.1113409999999999</v>
      </c>
      <c r="L2961">
        <v>214.56899999999999</v>
      </c>
      <c r="M2961">
        <v>0.99976929999999997</v>
      </c>
      <c r="N2961">
        <v>-1.5182080000000001E-2</v>
      </c>
      <c r="O2961">
        <v>1.519237E-2</v>
      </c>
      <c r="P2961">
        <v>0.99372229999999995</v>
      </c>
      <c r="Q2961">
        <v>-2.96498E-2</v>
      </c>
      <c r="R2961">
        <v>0.1078741</v>
      </c>
      <c r="S2961">
        <v>2.9944459999999999</v>
      </c>
      <c r="T2961">
        <v>-9.0831519999999999E-2</v>
      </c>
      <c r="U2961">
        <v>0.19885249999999999</v>
      </c>
      <c r="V2961">
        <v>-9.2658509999999999E-2</v>
      </c>
      <c r="W2961">
        <v>-1.51871E-2</v>
      </c>
      <c r="X2961">
        <v>0.99558210000000003</v>
      </c>
      <c r="Y2961">
        <v>-5.105941E-2</v>
      </c>
      <c r="Z2961">
        <v>9.3181730000000003E-4</v>
      </c>
      <c r="AA2961">
        <v>0.99869520000000001</v>
      </c>
      <c r="AB2961">
        <v>58</v>
      </c>
      <c r="AC2961">
        <v>36.065800000000003</v>
      </c>
      <c r="AD2961">
        <v>-1.111335747626</v>
      </c>
      <c r="AE2961">
        <v>2.4246999999999699</v>
      </c>
      <c r="AF2961">
        <v>-1.8746599525780001</v>
      </c>
      <c r="AG2961">
        <v>-1.111335747626</v>
      </c>
      <c r="AH2961">
        <v>36.064388437772102</v>
      </c>
      <c r="AI2961">
        <v>91.762651118566296</v>
      </c>
      <c r="AJ2961">
        <v>92.975608993506697</v>
      </c>
      <c r="AK2961">
        <v>36.130174791609598</v>
      </c>
      <c r="AL2961">
        <v>90.870190201590603</v>
      </c>
      <c r="AM2961">
        <v>95.317182893857705</v>
      </c>
      <c r="AN2961">
        <v>0.99999998266112</v>
      </c>
    </row>
    <row r="2962" spans="1:40" x14ac:dyDescent="0.25">
      <c r="A2962" t="str">
        <f>"20190305135849968"</f>
        <v>20190305135849968</v>
      </c>
      <c r="B2962" t="str">
        <f>"1551765529961794"</f>
        <v>1551765529961794</v>
      </c>
      <c r="C2962" t="s">
        <v>40</v>
      </c>
      <c r="D2962">
        <v>4.3821269999999997</v>
      </c>
      <c r="E2962">
        <v>0.48312179999999999</v>
      </c>
      <c r="F2962" t="s">
        <v>75</v>
      </c>
      <c r="G2962">
        <v>-243.19460000000001</v>
      </c>
      <c r="H2962">
        <v>0.28108929999999999</v>
      </c>
      <c r="I2962">
        <v>230.6302</v>
      </c>
      <c r="J2962">
        <v>-355.25839999999999</v>
      </c>
      <c r="K2962">
        <v>1.111402</v>
      </c>
      <c r="L2962">
        <v>214.57910000000001</v>
      </c>
      <c r="M2962">
        <v>0.99973440000000002</v>
      </c>
      <c r="N2962">
        <v>-1.525395E-2</v>
      </c>
      <c r="O2962">
        <v>1.7273500000000001E-2</v>
      </c>
      <c r="P2962">
        <v>0.99360139999999997</v>
      </c>
      <c r="Q2962">
        <v>-2.9362409999999999E-2</v>
      </c>
      <c r="R2962">
        <v>0.1090607</v>
      </c>
      <c r="S2962">
        <v>2.9722900000000001</v>
      </c>
      <c r="T2962">
        <v>-2.190197E-2</v>
      </c>
      <c r="U2962">
        <v>0.42369079999999898</v>
      </c>
      <c r="V2962">
        <v>-9.1776460000000004E-2</v>
      </c>
      <c r="W2962">
        <v>-1.483018E-2</v>
      </c>
      <c r="X2962">
        <v>0.99566920000000003</v>
      </c>
      <c r="Y2962">
        <v>-0.1239869</v>
      </c>
      <c r="Z2962">
        <v>1.5406809999999999E-3</v>
      </c>
      <c r="AA2962">
        <v>0.99228260000000001</v>
      </c>
      <c r="AB2962">
        <v>58</v>
      </c>
      <c r="AC2962">
        <v>112.0638</v>
      </c>
      <c r="AD2962">
        <v>-0.83031270000000001</v>
      </c>
      <c r="AE2962">
        <v>16.051099999999899</v>
      </c>
      <c r="AF2962">
        <v>-14.111986145808499</v>
      </c>
      <c r="AG2962">
        <v>-0.83031270000000001</v>
      </c>
      <c r="AH2962">
        <v>112.31832531498399</v>
      </c>
      <c r="AI2962">
        <v>90.420247144544106</v>
      </c>
      <c r="AJ2962">
        <v>97.161275216218399</v>
      </c>
      <c r="AK2962">
        <v>113.204433542692</v>
      </c>
      <c r="AL2962">
        <v>90.849737869415407</v>
      </c>
      <c r="AM2962">
        <v>95.266394563949703</v>
      </c>
      <c r="AN2962">
        <v>1.0000000043388</v>
      </c>
    </row>
    <row r="2963" spans="1:40" x14ac:dyDescent="0.25">
      <c r="A2963" t="str">
        <f>"20190305135849991"</f>
        <v>20190305135849991</v>
      </c>
      <c r="B2963" t="str">
        <f>"1551765529982290"</f>
        <v>1551765529982290</v>
      </c>
      <c r="C2963" t="s">
        <v>40</v>
      </c>
      <c r="D2963">
        <v>4.3362449999999999</v>
      </c>
      <c r="E2963">
        <v>0.48231289999999999</v>
      </c>
      <c r="F2963" t="s">
        <v>67</v>
      </c>
      <c r="G2963">
        <v>-256.82780000000002</v>
      </c>
      <c r="H2963">
        <v>0.43932749999999998</v>
      </c>
      <c r="I2963">
        <v>229.9093</v>
      </c>
      <c r="J2963">
        <v>-354.65499999999997</v>
      </c>
      <c r="K2963">
        <v>1.111456</v>
      </c>
      <c r="L2963">
        <v>214.59030000000001</v>
      </c>
      <c r="M2963">
        <v>0.99969569999999996</v>
      </c>
      <c r="N2963">
        <v>-1.531474E-2</v>
      </c>
      <c r="O2963">
        <v>1.9341899999999999E-2</v>
      </c>
      <c r="P2963">
        <v>0.99354050000000005</v>
      </c>
      <c r="Q2963">
        <v>-2.56247E-2</v>
      </c>
      <c r="R2963">
        <v>0.11054849999999999</v>
      </c>
      <c r="S2963">
        <v>2.9679570000000002</v>
      </c>
      <c r="T2963">
        <v>-2.0264029999999999E-2</v>
      </c>
      <c r="U2963">
        <v>0.46224979999999899</v>
      </c>
      <c r="V2963">
        <v>-9.1231610000000005E-2</v>
      </c>
      <c r="W2963">
        <v>-1.103376E-2</v>
      </c>
      <c r="X2963">
        <v>0.99576849999999995</v>
      </c>
      <c r="Y2963">
        <v>-0.13473950000000001</v>
      </c>
      <c r="Z2963">
        <v>1.6586229999999999E-3</v>
      </c>
      <c r="AA2963">
        <v>0.99087970000000003</v>
      </c>
      <c r="AB2963">
        <v>58</v>
      </c>
      <c r="AC2963">
        <v>97.827199999999905</v>
      </c>
      <c r="AD2963">
        <v>-0.67212850000000002</v>
      </c>
      <c r="AE2963">
        <v>15.3189999999999</v>
      </c>
      <c r="AF2963">
        <v>-13.423129383317001</v>
      </c>
      <c r="AG2963">
        <v>-0.67212850000000002</v>
      </c>
      <c r="AH2963">
        <v>98.100708292029196</v>
      </c>
      <c r="AI2963">
        <v>90.388927082674599</v>
      </c>
      <c r="AJ2963">
        <v>97.791402673710607</v>
      </c>
      <c r="AK2963">
        <v>99.017074924275406</v>
      </c>
      <c r="AL2963">
        <v>90.632200753845694</v>
      </c>
      <c r="AM2963">
        <v>95.234784592192995</v>
      </c>
      <c r="AN2963">
        <v>0.99999992805758697</v>
      </c>
    </row>
    <row r="2964" spans="1:40" x14ac:dyDescent="0.25">
      <c r="A2964" t="str">
        <f>"20190305135850013"</f>
        <v>20190305135850013</v>
      </c>
      <c r="B2964" t="str">
        <f>"1551765530001810"</f>
        <v>1551765530001810</v>
      </c>
      <c r="C2964" t="s">
        <v>40</v>
      </c>
      <c r="D2964">
        <v>4.2824629999999999</v>
      </c>
      <c r="E2964">
        <v>0.48203249999999997</v>
      </c>
      <c r="F2964" t="s">
        <v>67</v>
      </c>
      <c r="G2964">
        <v>-256.82780000000002</v>
      </c>
      <c r="H2964">
        <v>0.86446270000000003</v>
      </c>
      <c r="I2964">
        <v>230.19399999999999</v>
      </c>
      <c r="J2964">
        <v>-354.08179999999999</v>
      </c>
      <c r="K2964">
        <v>1.111505</v>
      </c>
      <c r="L2964">
        <v>214.602</v>
      </c>
      <c r="M2964">
        <v>0.99965479999999995</v>
      </c>
      <c r="N2964">
        <v>-1.5364060000000001E-2</v>
      </c>
      <c r="O2964">
        <v>2.1313180000000001E-2</v>
      </c>
      <c r="P2964">
        <v>0.99332920000000002</v>
      </c>
      <c r="Q2964">
        <v>-2.245774E-2</v>
      </c>
      <c r="R2964">
        <v>0.113106</v>
      </c>
      <c r="S2964">
        <v>2.9666440000000001</v>
      </c>
      <c r="T2964">
        <v>-7.4893240000000003E-3</v>
      </c>
      <c r="U2964">
        <v>0.47319030000000001</v>
      </c>
      <c r="V2964">
        <v>-9.1852569999999994E-2</v>
      </c>
      <c r="W2964">
        <v>-7.8282239999999999E-3</v>
      </c>
      <c r="X2964">
        <v>0.99574180000000001</v>
      </c>
      <c r="Y2964">
        <v>-0.13642570000000001</v>
      </c>
      <c r="Z2964">
        <v>1.4979429999999901E-3</v>
      </c>
      <c r="AA2964">
        <v>0.99064920000000001</v>
      </c>
      <c r="AB2964">
        <v>58</v>
      </c>
      <c r="AC2964">
        <v>97.253999999999905</v>
      </c>
      <c r="AD2964">
        <v>-0.24704229999999899</v>
      </c>
      <c r="AE2964">
        <v>15.592000000000001</v>
      </c>
      <c r="AF2964">
        <v>-13.515335722661501</v>
      </c>
      <c r="AG2964">
        <v>-0.24704229999999899</v>
      </c>
      <c r="AH2964">
        <v>97.563643954392802</v>
      </c>
      <c r="AI2964">
        <v>90.143706836456303</v>
      </c>
      <c r="AJ2964">
        <v>97.886898235017497</v>
      </c>
      <c r="AK2964">
        <v>98.495634173570295</v>
      </c>
      <c r="AL2964">
        <v>90.4485287980566</v>
      </c>
      <c r="AM2964">
        <v>95.270355257022104</v>
      </c>
      <c r="AN2964">
        <v>0.99999995398691799</v>
      </c>
    </row>
    <row r="2965" spans="1:40" x14ac:dyDescent="0.25">
      <c r="A2965" t="str">
        <f>"20190305135850034"</f>
        <v>20190305135850034</v>
      </c>
      <c r="B2965" t="str">
        <f>"1551765530032066"</f>
        <v>1551765530032066</v>
      </c>
      <c r="C2965" t="s">
        <v>40</v>
      </c>
      <c r="D2965">
        <v>4.1999269999999997</v>
      </c>
      <c r="E2965">
        <v>0.48163410000000001</v>
      </c>
      <c r="F2965" t="s">
        <v>67</v>
      </c>
      <c r="G2965">
        <v>-257.61540000000002</v>
      </c>
      <c r="H2965">
        <v>1.1593370000000001</v>
      </c>
      <c r="I2965">
        <v>230.3135</v>
      </c>
      <c r="J2965">
        <v>-353.5258</v>
      </c>
      <c r="K2965">
        <v>1.1115469999999901</v>
      </c>
      <c r="L2965">
        <v>214.61449999999999</v>
      </c>
      <c r="M2965">
        <v>0.99961149999999999</v>
      </c>
      <c r="N2965">
        <v>-1.540506E-2</v>
      </c>
      <c r="O2965">
        <v>2.323103E-2</v>
      </c>
      <c r="P2965">
        <v>0.99304110000000001</v>
      </c>
      <c r="Q2965">
        <v>-2.148398E-2</v>
      </c>
      <c r="R2965">
        <v>0.1157932</v>
      </c>
      <c r="S2965">
        <v>2.965179</v>
      </c>
      <c r="T2965">
        <v>1.471162E-3</v>
      </c>
      <c r="U2965">
        <v>0.4829407</v>
      </c>
      <c r="V2965">
        <v>-9.2642349999999998E-2</v>
      </c>
      <c r="W2965">
        <v>-6.8251630000000004E-3</v>
      </c>
      <c r="X2965">
        <v>0.99567600000000001</v>
      </c>
      <c r="Y2965">
        <v>-0.13778070000000001</v>
      </c>
      <c r="Z2965">
        <v>1.401504E-3</v>
      </c>
      <c r="AA2965">
        <v>0.99046179999999995</v>
      </c>
      <c r="AB2965">
        <v>58</v>
      </c>
      <c r="AC2965">
        <v>95.910399999999896</v>
      </c>
      <c r="AD2965">
        <v>4.77900000000002E-2</v>
      </c>
      <c r="AE2965">
        <v>15.699</v>
      </c>
      <c r="AF2965">
        <v>-13.466397299030501</v>
      </c>
      <c r="AG2965">
        <v>4.77900000000002E-2</v>
      </c>
      <c r="AH2965">
        <v>96.249233790083295</v>
      </c>
      <c r="AI2965">
        <v>89.971825728491694</v>
      </c>
      <c r="AJ2965">
        <v>97.964650342273998</v>
      </c>
      <c r="AK2965">
        <v>97.186733381040995</v>
      </c>
      <c r="AL2965">
        <v>90.391056093030699</v>
      </c>
      <c r="AM2965">
        <v>95.315762377963097</v>
      </c>
      <c r="AN2965">
        <v>0.99999994241974799</v>
      </c>
    </row>
    <row r="2966" spans="1:40" x14ac:dyDescent="0.25">
      <c r="A2966" t="str">
        <f>"20190305135850056"</f>
        <v>20190305135850056</v>
      </c>
      <c r="B2966" t="str">
        <f>"1551765530051586"</f>
        <v>1551765530051586</v>
      </c>
      <c r="C2966" t="s">
        <v>40</v>
      </c>
      <c r="D2966">
        <v>4.2315290000000001</v>
      </c>
      <c r="E2966">
        <v>0.48100130000000002</v>
      </c>
      <c r="F2966" t="s">
        <v>67</v>
      </c>
      <c r="G2966">
        <v>-259.33909999999997</v>
      </c>
      <c r="H2966">
        <v>1.2358049999999901</v>
      </c>
      <c r="I2966">
        <v>230.31360000000001</v>
      </c>
      <c r="J2966">
        <v>-352.97199999999998</v>
      </c>
      <c r="K2966">
        <v>1.11158</v>
      </c>
      <c r="L2966">
        <v>214.62799999999999</v>
      </c>
      <c r="M2966">
        <v>0.99956460000000003</v>
      </c>
      <c r="N2966">
        <v>-1.5440239999999999E-2</v>
      </c>
      <c r="O2966">
        <v>2.5145589999999999E-2</v>
      </c>
      <c r="P2966">
        <v>0.99279790000000001</v>
      </c>
      <c r="Q2966">
        <v>-2.090463E-2</v>
      </c>
      <c r="R2966">
        <v>0.11796470000000001</v>
      </c>
      <c r="S2966">
        <v>2.9635009999999999</v>
      </c>
      <c r="T2966">
        <v>3.9105420000000004E-3</v>
      </c>
      <c r="U2966">
        <v>0.49395749999999999</v>
      </c>
      <c r="V2966">
        <v>-9.2916670000000007E-2</v>
      </c>
      <c r="W2966">
        <v>-6.2170849999999998E-3</v>
      </c>
      <c r="X2966">
        <v>0.9956545</v>
      </c>
      <c r="Y2966">
        <v>-0.139558399999999</v>
      </c>
      <c r="Z2966">
        <v>1.412185E-3</v>
      </c>
      <c r="AA2966">
        <v>0.99021289999999995</v>
      </c>
      <c r="AB2966">
        <v>58</v>
      </c>
      <c r="AC2966">
        <v>93.632900000000006</v>
      </c>
      <c r="AD2966">
        <v>0.124224999999999</v>
      </c>
      <c r="AE2966">
        <v>15.685600000000001</v>
      </c>
      <c r="AF2966">
        <v>-13.3258811008787</v>
      </c>
      <c r="AG2966">
        <v>0.124224999999999</v>
      </c>
      <c r="AH2966">
        <v>93.997595921561995</v>
      </c>
      <c r="AI2966">
        <v>89.9250289417473</v>
      </c>
      <c r="AJ2966">
        <v>98.068955707425602</v>
      </c>
      <c r="AK2966">
        <v>94.937572003915406</v>
      </c>
      <c r="AL2966">
        <v>90.356215018472099</v>
      </c>
      <c r="AM2966">
        <v>95.331526589190702</v>
      </c>
      <c r="AN2966">
        <v>1.00000002154001</v>
      </c>
    </row>
    <row r="2967" spans="1:40" x14ac:dyDescent="0.25">
      <c r="A2967" t="str">
        <f>"20190305135850079"</f>
        <v>20190305135850079</v>
      </c>
      <c r="B2967" t="str">
        <f>"1551765530072082"</f>
        <v>1551765530072082</v>
      </c>
      <c r="C2967" t="s">
        <v>40</v>
      </c>
      <c r="D2967">
        <v>4.2297919999999998</v>
      </c>
      <c r="E2967">
        <v>0.4806397</v>
      </c>
      <c r="F2967" t="s">
        <v>67</v>
      </c>
      <c r="G2967">
        <v>-261.0446</v>
      </c>
      <c r="H2967">
        <v>1.2189719999999999</v>
      </c>
      <c r="I2967">
        <v>230.31360000000001</v>
      </c>
      <c r="J2967">
        <v>-352.36500000000001</v>
      </c>
      <c r="K2967">
        <v>1.1116200000000001</v>
      </c>
      <c r="L2967">
        <v>214.64400000000001</v>
      </c>
      <c r="M2967">
        <v>0.99950899999999998</v>
      </c>
      <c r="N2967">
        <v>-1.547286E-2</v>
      </c>
      <c r="O2967">
        <v>2.7247830000000001E-2</v>
      </c>
      <c r="P2967">
        <v>0.99258460000000004</v>
      </c>
      <c r="Q2967">
        <v>-1.9510599999999999E-2</v>
      </c>
      <c r="R2967">
        <v>0.11997969999999999</v>
      </c>
      <c r="S2967">
        <v>2.961792</v>
      </c>
      <c r="T2967">
        <v>3.460884E-3</v>
      </c>
      <c r="U2967">
        <v>0.50537109999999996</v>
      </c>
      <c r="V2967">
        <v>-9.2852829999999997E-2</v>
      </c>
      <c r="W2967">
        <v>-4.7932560000000001E-3</v>
      </c>
      <c r="X2967">
        <v>0.99566829999999995</v>
      </c>
      <c r="Y2967">
        <v>-0.1412786</v>
      </c>
      <c r="Z2967">
        <v>1.4694199999999999E-3</v>
      </c>
      <c r="AA2967">
        <v>0.98996879999999998</v>
      </c>
      <c r="AB2967">
        <v>58</v>
      </c>
      <c r="AC2967">
        <v>91.320400000000006</v>
      </c>
      <c r="AD2967">
        <v>0.107351999999999</v>
      </c>
      <c r="AE2967">
        <v>15.669600000000001</v>
      </c>
      <c r="AF2967">
        <v>-13.175182409008199</v>
      </c>
      <c r="AG2967">
        <v>0.107351999999999</v>
      </c>
      <c r="AH2967">
        <v>91.713376014363106</v>
      </c>
      <c r="AI2967">
        <v>89.933615875824501</v>
      </c>
      <c r="AJ2967">
        <v>98.174956515838701</v>
      </c>
      <c r="AK2967">
        <v>92.654952894675304</v>
      </c>
      <c r="AL2967">
        <v>90.274634392357001</v>
      </c>
      <c r="AM2967">
        <v>95.327811139484098</v>
      </c>
      <c r="AN2967">
        <v>0.99999999348349</v>
      </c>
    </row>
    <row r="2968" spans="1:40" x14ac:dyDescent="0.25">
      <c r="A2968" t="str">
        <f>"20190305135850101"</f>
        <v>20190305135850101</v>
      </c>
      <c r="B2968" t="str">
        <f>"1551765530091602"</f>
        <v>1551765530091602</v>
      </c>
      <c r="C2968" t="s">
        <v>40</v>
      </c>
      <c r="D2968">
        <v>4.2143930000000003</v>
      </c>
      <c r="E2968">
        <v>0.48036899999999899</v>
      </c>
      <c r="F2968" t="s">
        <v>67</v>
      </c>
      <c r="G2968">
        <v>-262.14949999999999</v>
      </c>
      <c r="H2968">
        <v>1.3173410000000001</v>
      </c>
      <c r="I2968">
        <v>230.31360000000001</v>
      </c>
      <c r="J2968">
        <v>-351.7928</v>
      </c>
      <c r="K2968">
        <v>1.1116490000000001</v>
      </c>
      <c r="L2968">
        <v>214.66040000000001</v>
      </c>
      <c r="M2968">
        <v>0.99945280000000003</v>
      </c>
      <c r="N2968">
        <v>-1.549879E-2</v>
      </c>
      <c r="O2968">
        <v>2.922336E-2</v>
      </c>
      <c r="P2968">
        <v>0.99247010000000002</v>
      </c>
      <c r="Q2968">
        <v>-1.7457090000000001E-2</v>
      </c>
      <c r="R2968">
        <v>0.1212361</v>
      </c>
      <c r="S2968">
        <v>2.960388</v>
      </c>
      <c r="T2968">
        <v>6.7515369999999898E-3</v>
      </c>
      <c r="U2968">
        <v>0.5141907</v>
      </c>
      <c r="V2968">
        <v>-9.2159889999999994E-2</v>
      </c>
      <c r="W2968">
        <v>-2.7091229999999999E-3</v>
      </c>
      <c r="X2968">
        <v>0.99574050000000003</v>
      </c>
      <c r="Y2968">
        <v>-0.1422658</v>
      </c>
      <c r="Z2968">
        <v>1.465725E-3</v>
      </c>
      <c r="AA2968">
        <v>0.98982740000000002</v>
      </c>
      <c r="AB2968">
        <v>58</v>
      </c>
      <c r="AC2968">
        <v>89.643299999999996</v>
      </c>
      <c r="AD2968">
        <v>0.20569200000000001</v>
      </c>
      <c r="AE2968">
        <v>15.653199999999901</v>
      </c>
      <c r="AF2968">
        <v>-13.0264534866693</v>
      </c>
      <c r="AG2968">
        <v>0.20569200000000001</v>
      </c>
      <c r="AH2968">
        <v>90.062038600846705</v>
      </c>
      <c r="AI2968">
        <v>89.870490510566498</v>
      </c>
      <c r="AJ2968">
        <v>98.230109819684102</v>
      </c>
      <c r="AK2968">
        <v>90.999459320259803</v>
      </c>
      <c r="AL2968">
        <v>90.155221509539899</v>
      </c>
      <c r="AM2968">
        <v>95.287895862139493</v>
      </c>
      <c r="AN2968">
        <v>0.99999996400624502</v>
      </c>
    </row>
    <row r="2969" spans="1:40" x14ac:dyDescent="0.25">
      <c r="A2969" t="str">
        <f>"20190305135850122"</f>
        <v>20190305135850122</v>
      </c>
      <c r="B2969" t="str">
        <f>"1551765530111770"</f>
        <v>1551765530111770</v>
      </c>
      <c r="C2969" t="s">
        <v>40</v>
      </c>
      <c r="D2969">
        <v>4.2199289999999996</v>
      </c>
      <c r="E2969">
        <v>0.48035430000000001</v>
      </c>
      <c r="F2969" t="s">
        <v>67</v>
      </c>
      <c r="G2969">
        <v>-262.702</v>
      </c>
      <c r="H2969">
        <v>1.4218470000000001</v>
      </c>
      <c r="I2969">
        <v>230.31360000000001</v>
      </c>
      <c r="J2969">
        <v>-351.2396</v>
      </c>
      <c r="K2969">
        <v>1.1116779999999999</v>
      </c>
      <c r="L2969">
        <v>214.6772</v>
      </c>
      <c r="M2969">
        <v>0.99939509999999998</v>
      </c>
      <c r="N2969">
        <v>-1.551981E-2</v>
      </c>
      <c r="O2969">
        <v>3.1121530000000001E-2</v>
      </c>
      <c r="P2969">
        <v>0.99244270000000001</v>
      </c>
      <c r="Q2969">
        <v>-1.6421089999999999E-2</v>
      </c>
      <c r="R2969">
        <v>0.12160550000000001</v>
      </c>
      <c r="S2969">
        <v>2.9594420000000001</v>
      </c>
      <c r="T2969">
        <v>1.030505E-2</v>
      </c>
      <c r="U2969">
        <v>0.51997380000000004</v>
      </c>
      <c r="V2969">
        <v>-9.0647259999999993E-2</v>
      </c>
      <c r="W2969">
        <v>-1.6387109999999999E-3</v>
      </c>
      <c r="X2969">
        <v>0.99588169999999998</v>
      </c>
      <c r="Y2969">
        <v>-0.1423179</v>
      </c>
      <c r="Z2969">
        <v>1.4541230000000001E-3</v>
      </c>
      <c r="AA2969">
        <v>0.98981989999999997</v>
      </c>
      <c r="AB2969">
        <v>58</v>
      </c>
      <c r="AC2969">
        <v>88.537599999999998</v>
      </c>
      <c r="AD2969">
        <v>0.31016899999999897</v>
      </c>
      <c r="AE2969">
        <v>15.6364</v>
      </c>
      <c r="AF2969">
        <v>-12.872913314108899</v>
      </c>
      <c r="AG2969">
        <v>0.31016899999999897</v>
      </c>
      <c r="AH2969">
        <v>88.980331058864905</v>
      </c>
      <c r="AI2969">
        <v>89.802336110973599</v>
      </c>
      <c r="AJ2969">
        <v>98.231949349381196</v>
      </c>
      <c r="AK2969">
        <v>89.907215602232498</v>
      </c>
      <c r="AL2969">
        <v>90.093891267501107</v>
      </c>
      <c r="AM2969">
        <v>95.200851643819405</v>
      </c>
      <c r="AN2969">
        <v>0.99999998575706905</v>
      </c>
    </row>
    <row r="2970" spans="1:40" x14ac:dyDescent="0.25">
      <c r="A2970" t="str">
        <f>"20190305135850145"</f>
        <v>20190305135850145</v>
      </c>
      <c r="B2970" t="str">
        <f>"1551765530142023"</f>
        <v>1551765530142023</v>
      </c>
      <c r="C2970" t="s">
        <v>40</v>
      </c>
      <c r="D2970">
        <v>4.2597269999999998</v>
      </c>
      <c r="E2970">
        <v>0.4806898</v>
      </c>
      <c r="F2970" t="s">
        <v>67</v>
      </c>
      <c r="G2970">
        <v>-262.46640000000002</v>
      </c>
      <c r="H2970">
        <v>1.445031</v>
      </c>
      <c r="I2970">
        <v>230.31360000000001</v>
      </c>
      <c r="J2970">
        <v>-350.65660000000003</v>
      </c>
      <c r="K2970">
        <v>1.111672</v>
      </c>
      <c r="L2970">
        <v>214.6961</v>
      </c>
      <c r="M2970">
        <v>0.99933179999999999</v>
      </c>
      <c r="N2970">
        <v>-1.553825E-2</v>
      </c>
      <c r="O2970">
        <v>3.3087569999999997E-2</v>
      </c>
      <c r="P2970">
        <v>0.99236089999999999</v>
      </c>
      <c r="Q2970">
        <v>-1.7345889999999999E-2</v>
      </c>
      <c r="R2970">
        <v>0.1221436</v>
      </c>
      <c r="S2970">
        <v>2.9591669999999999</v>
      </c>
      <c r="T2970">
        <v>1.1112810000000001E-2</v>
      </c>
      <c r="U2970">
        <v>0.52122500000000005</v>
      </c>
      <c r="V2970">
        <v>-8.9221430000000004E-2</v>
      </c>
      <c r="W2970">
        <v>-2.5297330000000002E-3</v>
      </c>
      <c r="X2970">
        <v>0.99600860000000002</v>
      </c>
      <c r="Y2970">
        <v>-0.1407928</v>
      </c>
      <c r="Z2970">
        <v>1.4737649999999999E-3</v>
      </c>
      <c r="AA2970">
        <v>0.99003799999999997</v>
      </c>
      <c r="AB2970">
        <v>58</v>
      </c>
      <c r="AC2970">
        <v>88.190200000000004</v>
      </c>
      <c r="AD2970">
        <v>0.33335900000000002</v>
      </c>
      <c r="AE2970">
        <v>15.6175</v>
      </c>
      <c r="AF2970">
        <v>-12.6904195221296</v>
      </c>
      <c r="AG2970">
        <v>0.33335900000000002</v>
      </c>
      <c r="AH2970">
        <v>88.657479564981898</v>
      </c>
      <c r="AI2970">
        <v>89.786738105653995</v>
      </c>
      <c r="AJ2970">
        <v>98.145976450394798</v>
      </c>
      <c r="AK2970">
        <v>89.561747184195298</v>
      </c>
      <c r="AL2970">
        <v>90.144943179196602</v>
      </c>
      <c r="AM2970">
        <v>95.118834559900804</v>
      </c>
      <c r="AN2970">
        <v>0.99999999719712795</v>
      </c>
    </row>
    <row r="2971" spans="1:40" x14ac:dyDescent="0.25">
      <c r="A2971" t="str">
        <f>"20190305135850170"</f>
        <v>20190305135850170</v>
      </c>
      <c r="B2971" t="str">
        <f>"1551765530161542"</f>
        <v>1551765530161542</v>
      </c>
      <c r="C2971" t="s">
        <v>40</v>
      </c>
      <c r="D2971">
        <v>4.2713070000000002</v>
      </c>
      <c r="E2971">
        <v>0.48102679999999998</v>
      </c>
      <c r="F2971" t="s">
        <v>67</v>
      </c>
      <c r="G2971">
        <v>-261.80599999999998</v>
      </c>
      <c r="H2971">
        <v>1.4333070000000001</v>
      </c>
      <c r="I2971">
        <v>230.31360000000001</v>
      </c>
      <c r="J2971">
        <v>-350.04</v>
      </c>
      <c r="K2971">
        <v>1.1116379999999999</v>
      </c>
      <c r="L2971">
        <v>214.71729999999999</v>
      </c>
      <c r="M2971">
        <v>0.99926300000000001</v>
      </c>
      <c r="N2971">
        <v>-1.5553859999999999E-2</v>
      </c>
      <c r="O2971">
        <v>3.5095670000000002E-2</v>
      </c>
      <c r="P2971">
        <v>0.99224900000000005</v>
      </c>
      <c r="Q2971">
        <v>-1.9881469999999998E-2</v>
      </c>
      <c r="R2971">
        <v>0.1226653</v>
      </c>
      <c r="S2971">
        <v>2.9592589999999999</v>
      </c>
      <c r="T2971">
        <v>1.071334E-2</v>
      </c>
      <c r="U2971">
        <v>0.52015690000000003</v>
      </c>
      <c r="V2971">
        <v>-8.7727780000000005E-2</v>
      </c>
      <c r="W2971">
        <v>-5.0285850000000003E-3</v>
      </c>
      <c r="X2971">
        <v>0.99613180000000001</v>
      </c>
      <c r="Y2971">
        <v>-0.1384512</v>
      </c>
      <c r="Z2971">
        <v>1.5044839999999999E-3</v>
      </c>
      <c r="AA2971">
        <v>0.99036809999999997</v>
      </c>
      <c r="AB2971">
        <v>58</v>
      </c>
      <c r="AC2971">
        <v>88.233999999999995</v>
      </c>
      <c r="AD2971">
        <v>0.32166899999999998</v>
      </c>
      <c r="AE2971">
        <v>15.596299999999999</v>
      </c>
      <c r="AF2971">
        <v>-12.489523002040199</v>
      </c>
      <c r="AG2971">
        <v>0.32166899999999998</v>
      </c>
      <c r="AH2971">
        <v>88.725916208179598</v>
      </c>
      <c r="AI2971">
        <v>89.794307328974298</v>
      </c>
      <c r="AJ2971">
        <v>98.012606852884005</v>
      </c>
      <c r="AK2971">
        <v>89.601226904239198</v>
      </c>
      <c r="AL2971">
        <v>90.288117909812499</v>
      </c>
      <c r="AM2971">
        <v>95.032965110137198</v>
      </c>
      <c r="AN2971">
        <v>1.0000000065110299</v>
      </c>
    </row>
    <row r="2972" spans="1:40" x14ac:dyDescent="0.25">
      <c r="A2972" t="str">
        <f>"20190305135850193"</f>
        <v>20190305135850193</v>
      </c>
      <c r="B2972" t="str">
        <f>"1551765530182039"</f>
        <v>1551765530182039</v>
      </c>
      <c r="C2972" t="s">
        <v>40</v>
      </c>
      <c r="D2972">
        <v>4.1862959999999996</v>
      </c>
      <c r="E2972">
        <v>0.48114449999999997</v>
      </c>
      <c r="F2972" t="s">
        <v>67</v>
      </c>
      <c r="G2972">
        <v>-261.1266</v>
      </c>
      <c r="H2972">
        <v>1.186474</v>
      </c>
      <c r="I2972">
        <v>230.3135</v>
      </c>
      <c r="J2972">
        <v>-349.42829999999998</v>
      </c>
      <c r="K2972">
        <v>1.1115630000000001</v>
      </c>
      <c r="L2972">
        <v>214.73939999999999</v>
      </c>
      <c r="M2972">
        <v>0.99919519999999995</v>
      </c>
      <c r="N2972">
        <v>-1.556519E-2</v>
      </c>
      <c r="O2972">
        <v>3.697073E-2</v>
      </c>
      <c r="P2972">
        <v>0.99213050000000003</v>
      </c>
      <c r="Q2972">
        <v>-1.7391420000000001E-2</v>
      </c>
      <c r="R2972">
        <v>0.12399489999999901</v>
      </c>
      <c r="S2972">
        <v>2.9592900000000002</v>
      </c>
      <c r="T2972">
        <v>2.491713E-3</v>
      </c>
      <c r="U2972">
        <v>0.51908869999999996</v>
      </c>
      <c r="V2972">
        <v>-8.7210389999999999E-2</v>
      </c>
      <c r="W2972">
        <v>-2.5062159999999999E-3</v>
      </c>
      <c r="X2972">
        <v>0.99618680000000004</v>
      </c>
      <c r="Y2972">
        <v>-0.13624029999999901</v>
      </c>
      <c r="Z2972">
        <v>1.614033E-3</v>
      </c>
      <c r="AA2972">
        <v>0.99067450000000001</v>
      </c>
      <c r="AB2972">
        <v>58</v>
      </c>
      <c r="AC2972">
        <v>88.301699999999897</v>
      </c>
      <c r="AD2972">
        <v>7.4911000000000103E-2</v>
      </c>
      <c r="AE2972">
        <v>15.5741</v>
      </c>
      <c r="AF2972">
        <v>-12.298467998715401</v>
      </c>
      <c r="AG2972">
        <v>7.4911000000000103E-2</v>
      </c>
      <c r="AH2972">
        <v>88.8171113878428</v>
      </c>
      <c r="AI2972">
        <v>89.952131771993507</v>
      </c>
      <c r="AJ2972">
        <v>97.883591324496905</v>
      </c>
      <c r="AK2972">
        <v>89.664581647681899</v>
      </c>
      <c r="AL2972">
        <v>90.143595744377905</v>
      </c>
      <c r="AM2972">
        <v>95.003158592464104</v>
      </c>
      <c r="AN2972">
        <v>1.0000000368684101</v>
      </c>
    </row>
    <row r="2973" spans="1:40" x14ac:dyDescent="0.25">
      <c r="A2973" t="str">
        <f>"20190305135850214"</f>
        <v>20190305135850214</v>
      </c>
      <c r="B2973" t="str">
        <f>"1551765530201559"</f>
        <v>1551765530201559</v>
      </c>
      <c r="C2973" t="s">
        <v>40</v>
      </c>
      <c r="D2973">
        <v>4.2095339999999997</v>
      </c>
      <c r="E2973">
        <v>0.4812051</v>
      </c>
      <c r="F2973" t="s">
        <v>67</v>
      </c>
      <c r="G2973">
        <v>-261.16849999999999</v>
      </c>
      <c r="H2973">
        <v>1.335531</v>
      </c>
      <c r="I2973">
        <v>230.31360000000001</v>
      </c>
      <c r="J2973">
        <v>-348.89589999999998</v>
      </c>
      <c r="K2973">
        <v>1.1114660000000001</v>
      </c>
      <c r="L2973">
        <v>214.7595</v>
      </c>
      <c r="M2973">
        <v>0.999139</v>
      </c>
      <c r="N2973">
        <v>-1.5571979999999999E-2</v>
      </c>
      <c r="O2973">
        <v>3.8459029999999998E-2</v>
      </c>
      <c r="P2973">
        <v>0.99214389999999997</v>
      </c>
      <c r="Q2973">
        <v>-1.989811E-2</v>
      </c>
      <c r="R2973">
        <v>0.12351139999999999</v>
      </c>
      <c r="S2973">
        <v>2.9586489999999999</v>
      </c>
      <c r="T2973">
        <v>7.5087549999999998E-3</v>
      </c>
      <c r="U2973">
        <v>0.52207950000000003</v>
      </c>
      <c r="V2973">
        <v>-8.5226239999999995E-2</v>
      </c>
      <c r="W2973">
        <v>-4.9682420000000003E-3</v>
      </c>
      <c r="X2973">
        <v>0.99634920000000005</v>
      </c>
      <c r="Y2973">
        <v>-0.13577520000000001</v>
      </c>
      <c r="Z2973">
        <v>1.5860309999999999E-3</v>
      </c>
      <c r="AA2973">
        <v>0.99073840000000002</v>
      </c>
      <c r="AB2973">
        <v>58</v>
      </c>
      <c r="AC2973">
        <v>87.727399999999903</v>
      </c>
      <c r="AD2973">
        <v>0.22406499999999999</v>
      </c>
      <c r="AE2973">
        <v>15.5541</v>
      </c>
      <c r="AF2973">
        <v>-12.1681936857929</v>
      </c>
      <c r="AG2973">
        <v>0.22406499999999999</v>
      </c>
      <c r="AH2973">
        <v>88.260191426821294</v>
      </c>
      <c r="AI2973">
        <v>89.855907224138093</v>
      </c>
      <c r="AJ2973">
        <v>97.849729346343807</v>
      </c>
      <c r="AK2973">
        <v>89.095322735811095</v>
      </c>
      <c r="AL2973">
        <v>90.284660480126107</v>
      </c>
      <c r="AM2973">
        <v>94.889095349462394</v>
      </c>
      <c r="AN2973">
        <v>0.99999996187687301</v>
      </c>
    </row>
    <row r="2974" spans="1:40" x14ac:dyDescent="0.25">
      <c r="A2974" t="str">
        <f>"20190305135850235"</f>
        <v>20190305135850235</v>
      </c>
      <c r="B2974" t="str">
        <f>"1551765530231814"</f>
        <v>1551765530231814</v>
      </c>
      <c r="C2974" t="s">
        <v>40</v>
      </c>
      <c r="D2974">
        <v>4.1635819999999999</v>
      </c>
      <c r="E2974">
        <v>0.48129070000000002</v>
      </c>
      <c r="F2974" t="s">
        <v>67</v>
      </c>
      <c r="G2974">
        <v>-260.4452</v>
      </c>
      <c r="H2974">
        <v>1.0385960000000001</v>
      </c>
      <c r="I2974">
        <v>230.3135</v>
      </c>
      <c r="J2974">
        <v>-348.34699999999998</v>
      </c>
      <c r="K2974">
        <v>1.1113189999999999</v>
      </c>
      <c r="L2974">
        <v>214.78100000000001</v>
      </c>
      <c r="M2974">
        <v>0.99908549999999996</v>
      </c>
      <c r="N2974">
        <v>-1.5576639999999999E-2</v>
      </c>
      <c r="O2974">
        <v>3.9816690000000002E-2</v>
      </c>
      <c r="P2974">
        <v>0.99227580000000004</v>
      </c>
      <c r="Q2974">
        <v>-1.856418E-2</v>
      </c>
      <c r="R2974">
        <v>0.1226537</v>
      </c>
      <c r="S2974">
        <v>2.958923</v>
      </c>
      <c r="T2974">
        <v>-2.4367569999999999E-3</v>
      </c>
      <c r="U2974">
        <v>0.52032469999999997</v>
      </c>
      <c r="V2974">
        <v>-8.3021120000000004E-2</v>
      </c>
      <c r="W2974">
        <v>-3.5813440000000002E-3</v>
      </c>
      <c r="X2974">
        <v>0.99654140000000002</v>
      </c>
      <c r="Y2974">
        <v>-0.13383800000000001</v>
      </c>
      <c r="Z2974">
        <v>1.6887549999999999E-3</v>
      </c>
      <c r="AA2974">
        <v>0.99100180000000004</v>
      </c>
      <c r="AB2974">
        <v>58</v>
      </c>
      <c r="AC2974">
        <v>87.901799999999895</v>
      </c>
      <c r="AD2974">
        <v>-7.2723000000000093E-2</v>
      </c>
      <c r="AE2974">
        <v>15.532500000000001</v>
      </c>
      <c r="AF2974">
        <v>-12.019788090843599</v>
      </c>
      <c r="AG2974">
        <v>-7.2723000000000093E-2</v>
      </c>
      <c r="AH2974">
        <v>88.450546162713295</v>
      </c>
      <c r="AI2974">
        <v>90.046678872454507</v>
      </c>
      <c r="AJ2974">
        <v>97.738677166158297</v>
      </c>
      <c r="AK2974">
        <v>89.263540770382804</v>
      </c>
      <c r="AL2974">
        <v>90.205196325152698</v>
      </c>
      <c r="AM2974">
        <v>94.762271523544996</v>
      </c>
      <c r="AN2974">
        <v>1.00000004715242</v>
      </c>
    </row>
    <row r="2975" spans="1:40" x14ac:dyDescent="0.25">
      <c r="A2975" t="str">
        <f>"20190305135850259"</f>
        <v>20190305135850259</v>
      </c>
      <c r="B2975" t="str">
        <f>"1551765530252311"</f>
        <v>1551765530252311</v>
      </c>
      <c r="C2975" t="s">
        <v>40</v>
      </c>
      <c r="D2975">
        <v>4.2003250000000003</v>
      </c>
      <c r="E2975">
        <v>0.48111589999999999</v>
      </c>
      <c r="F2975" t="s">
        <v>67</v>
      </c>
      <c r="G2975">
        <v>-259.3827</v>
      </c>
      <c r="H2975">
        <v>1.0937539999999999</v>
      </c>
      <c r="I2975">
        <v>230.3135</v>
      </c>
      <c r="J2975">
        <v>-347.75529999999998</v>
      </c>
      <c r="K2975">
        <v>1.1111219999999999</v>
      </c>
      <c r="L2975">
        <v>214.8048</v>
      </c>
      <c r="M2975">
        <v>0.99903560000000002</v>
      </c>
      <c r="N2975">
        <v>-1.5579630000000001E-2</v>
      </c>
      <c r="O2975">
        <v>4.1053430000000002E-2</v>
      </c>
      <c r="P2975">
        <v>0.99241420000000002</v>
      </c>
      <c r="Q2975">
        <v>-2.0071039999999998E-2</v>
      </c>
      <c r="R2975">
        <v>0.1212905</v>
      </c>
      <c r="S2975">
        <v>2.9595030000000002</v>
      </c>
      <c r="T2975">
        <v>-5.8341030000000002E-4</v>
      </c>
      <c r="U2975">
        <v>0.51670839999999996</v>
      </c>
      <c r="V2975">
        <v>-8.0412490000000003E-2</v>
      </c>
      <c r="W2975">
        <v>-5.02557E-3</v>
      </c>
      <c r="X2975">
        <v>0.996749</v>
      </c>
      <c r="Y2975">
        <v>-0.13140399999999999</v>
      </c>
      <c r="Z2975">
        <v>1.6717349999999999E-3</v>
      </c>
      <c r="AA2975">
        <v>0.99132750000000003</v>
      </c>
      <c r="AB2975">
        <v>58</v>
      </c>
      <c r="AC2975">
        <v>88.372599999999906</v>
      </c>
      <c r="AD2975">
        <v>-1.73679999999998E-2</v>
      </c>
      <c r="AE2975">
        <v>15.508699999999999</v>
      </c>
      <c r="AF2975">
        <v>-11.8671835161689</v>
      </c>
      <c r="AG2975">
        <v>-1.73679999999998E-2</v>
      </c>
      <c r="AH2975">
        <v>88.934838834670103</v>
      </c>
      <c r="AI2975">
        <v>90.011090934538601</v>
      </c>
      <c r="AJ2975">
        <v>97.600469977635996</v>
      </c>
      <c r="AK2975">
        <v>89.723106861067905</v>
      </c>
      <c r="AL2975">
        <v>90.2879451636082</v>
      </c>
      <c r="AM2975">
        <v>94.612334445827301</v>
      </c>
      <c r="AN2975">
        <v>0.99999999695141195</v>
      </c>
    </row>
    <row r="2976" spans="1:40" x14ac:dyDescent="0.25">
      <c r="A2976" t="str">
        <f>"20190305135850281"</f>
        <v>20190305135850281</v>
      </c>
      <c r="B2976" t="str">
        <f>"1551765530271831"</f>
        <v>1551765530271831</v>
      </c>
      <c r="C2976" t="s">
        <v>40</v>
      </c>
      <c r="D2976">
        <v>4.1138149999999998</v>
      </c>
      <c r="E2976">
        <v>0.48089749999999998</v>
      </c>
      <c r="F2976" t="s">
        <v>67</v>
      </c>
      <c r="G2976">
        <v>-258.44060000000002</v>
      </c>
      <c r="H2976">
        <v>1.012969</v>
      </c>
      <c r="I2976">
        <v>230.3135</v>
      </c>
      <c r="J2976">
        <v>-347.15289999999999</v>
      </c>
      <c r="K2976">
        <v>1.1108910000000001</v>
      </c>
      <c r="L2976">
        <v>214.8297</v>
      </c>
      <c r="M2976">
        <v>0.99899510000000002</v>
      </c>
      <c r="N2976">
        <v>-1.558156E-2</v>
      </c>
      <c r="O2976">
        <v>4.202268E-2</v>
      </c>
      <c r="P2976">
        <v>0.99269370000000001</v>
      </c>
      <c r="Q2976">
        <v>-2.0840839999999999E-2</v>
      </c>
      <c r="R2976">
        <v>0.11884749999999999</v>
      </c>
      <c r="S2976">
        <v>2.960083</v>
      </c>
      <c r="T2976">
        <v>-3.2521490000000002E-3</v>
      </c>
      <c r="U2976">
        <v>0.51399229999999996</v>
      </c>
      <c r="V2976">
        <v>-7.6991580000000004E-2</v>
      </c>
      <c r="W2976">
        <v>-5.722904E-3</v>
      </c>
      <c r="X2976">
        <v>0.99701530000000005</v>
      </c>
      <c r="Y2976">
        <v>-0.1295248</v>
      </c>
      <c r="Z2976">
        <v>1.69221E-3</v>
      </c>
      <c r="AA2976">
        <v>0.99157470000000003</v>
      </c>
      <c r="AB2976">
        <v>58</v>
      </c>
      <c r="AC2976">
        <v>88.7122999999999</v>
      </c>
      <c r="AD2976">
        <v>-9.7921999999999995E-2</v>
      </c>
      <c r="AE2976">
        <v>15.4838</v>
      </c>
      <c r="AF2976">
        <v>-11.7417238810346</v>
      </c>
      <c r="AG2976">
        <v>-9.7921999999999995E-2</v>
      </c>
      <c r="AH2976">
        <v>89.2845618045436</v>
      </c>
      <c r="AI2976">
        <v>90.062302143863704</v>
      </c>
      <c r="AJ2976">
        <v>97.491918398718596</v>
      </c>
      <c r="AK2976">
        <v>90.053376644331905</v>
      </c>
      <c r="AL2976">
        <v>90.327900041643503</v>
      </c>
      <c r="AM2976">
        <v>94.415734933632393</v>
      </c>
      <c r="AN2976">
        <v>0.99999998172758897</v>
      </c>
    </row>
    <row r="2977" spans="1:40" x14ac:dyDescent="0.25">
      <c r="A2977" t="str">
        <f>"20190305135850304"</f>
        <v>20190305135850304</v>
      </c>
      <c r="B2977" t="str">
        <f>"1551765530301619"</f>
        <v>1551765530301619</v>
      </c>
      <c r="C2977" t="s">
        <v>40</v>
      </c>
      <c r="D2977">
        <v>4.1144889999999998</v>
      </c>
      <c r="E2977">
        <v>0.48058970000000001</v>
      </c>
      <c r="F2977" t="s">
        <v>67</v>
      </c>
      <c r="G2977">
        <v>-256.98329999999999</v>
      </c>
      <c r="H2977">
        <v>0.90229269999999995</v>
      </c>
      <c r="I2977">
        <v>230.3134</v>
      </c>
      <c r="J2977">
        <v>-346.58229999999998</v>
      </c>
      <c r="K2977">
        <v>1.1106769999999999</v>
      </c>
      <c r="L2977">
        <v>214.8537</v>
      </c>
      <c r="M2977">
        <v>0.99896529999999994</v>
      </c>
      <c r="N2977">
        <v>-1.5582830000000001E-2</v>
      </c>
      <c r="O2977">
        <v>4.2727559999999998E-2</v>
      </c>
      <c r="P2977">
        <v>0.99316789999999999</v>
      </c>
      <c r="Q2977">
        <v>-1.962902E-2</v>
      </c>
      <c r="R2977">
        <v>0.1150325</v>
      </c>
      <c r="S2977">
        <v>2.9610599999999998</v>
      </c>
      <c r="T2977">
        <v>-6.8491699999999999E-3</v>
      </c>
      <c r="U2977">
        <v>0.50846859999999905</v>
      </c>
      <c r="V2977">
        <v>-7.2466279999999994E-2</v>
      </c>
      <c r="W2977">
        <v>-4.437402E-3</v>
      </c>
      <c r="X2977">
        <v>0.99736100000000005</v>
      </c>
      <c r="Y2977">
        <v>-0.12697139999999901</v>
      </c>
      <c r="Z2977">
        <v>1.70611E-3</v>
      </c>
      <c r="AA2977">
        <v>0.99190489999999998</v>
      </c>
      <c r="AB2977">
        <v>58</v>
      </c>
      <c r="AC2977">
        <v>89.598999999999904</v>
      </c>
      <c r="AD2977">
        <v>-0.20838429999999999</v>
      </c>
      <c r="AE2977">
        <v>15.4596999999999</v>
      </c>
      <c r="AF2977">
        <v>-11.616705873992499</v>
      </c>
      <c r="AG2977">
        <v>-0.20838429999999999</v>
      </c>
      <c r="AH2977">
        <v>90.177316562306501</v>
      </c>
      <c r="AI2977">
        <v>90.131315388559003</v>
      </c>
      <c r="AJ2977">
        <v>97.340456682469807</v>
      </c>
      <c r="AK2977">
        <v>90.9227127936567</v>
      </c>
      <c r="AL2977">
        <v>90.254245238868805</v>
      </c>
      <c r="AM2977">
        <v>94.155695519710704</v>
      </c>
      <c r="AN2977">
        <v>1.00000000829727</v>
      </c>
    </row>
    <row r="2978" spans="1:40" x14ac:dyDescent="0.25">
      <c r="A2978" t="str">
        <f>"20190305135850325"</f>
        <v>20190305135850325</v>
      </c>
      <c r="B2978" t="str">
        <f>"1551765530322116"</f>
        <v>1551765530322116</v>
      </c>
      <c r="C2978" t="s">
        <v>40</v>
      </c>
      <c r="D2978">
        <v>4.043615</v>
      </c>
      <c r="E2978">
        <v>0.48037809999999997</v>
      </c>
      <c r="F2978" t="s">
        <v>67</v>
      </c>
      <c r="G2978">
        <v>-256.82780000000002</v>
      </c>
      <c r="H2978">
        <v>1.132825</v>
      </c>
      <c r="I2978">
        <v>229.9907</v>
      </c>
      <c r="J2978">
        <v>-346.0566</v>
      </c>
      <c r="K2978">
        <v>1.110495</v>
      </c>
      <c r="L2978">
        <v>214.87610000000001</v>
      </c>
      <c r="M2978">
        <v>0.99894450000000001</v>
      </c>
      <c r="N2978">
        <v>-1.558359E-2</v>
      </c>
      <c r="O2978">
        <v>4.3209070000000002E-2</v>
      </c>
      <c r="P2978">
        <v>0.9936353</v>
      </c>
      <c r="Q2978">
        <v>-1.6622629999999999E-2</v>
      </c>
      <c r="R2978">
        <v>0.1114126</v>
      </c>
      <c r="S2978">
        <v>2.9627379999999999</v>
      </c>
      <c r="T2978">
        <v>7.3194500000000001E-4</v>
      </c>
      <c r="U2978">
        <v>0.49966430000000001</v>
      </c>
      <c r="V2978">
        <v>-6.8364439999999999E-2</v>
      </c>
      <c r="W2978">
        <v>-1.369014E-3</v>
      </c>
      <c r="X2978">
        <v>0.99765950000000003</v>
      </c>
      <c r="Y2978">
        <v>-0.1235385</v>
      </c>
      <c r="Z2978">
        <v>1.634272E-3</v>
      </c>
      <c r="AA2978">
        <v>0.99233839999999995</v>
      </c>
      <c r="AB2978">
        <v>57</v>
      </c>
      <c r="AC2978">
        <v>89.228799999999893</v>
      </c>
      <c r="AD2978">
        <v>2.2329999999999899E-2</v>
      </c>
      <c r="AE2978">
        <v>15.1145999999999</v>
      </c>
      <c r="AF2978">
        <v>-11.244517907022701</v>
      </c>
      <c r="AG2978">
        <v>2.2329999999999899E-2</v>
      </c>
      <c r="AH2978">
        <v>89.798606349881197</v>
      </c>
      <c r="AI2978">
        <v>89.985862802433701</v>
      </c>
      <c r="AJ2978">
        <v>97.137387219116107</v>
      </c>
      <c r="AK2978">
        <v>90.499886099216596</v>
      </c>
      <c r="AL2978">
        <v>90.078438746882199</v>
      </c>
      <c r="AM2978">
        <v>93.920055039367</v>
      </c>
      <c r="AN2978">
        <v>1.00000002439804</v>
      </c>
    </row>
    <row r="2979" spans="1:40" x14ac:dyDescent="0.25">
      <c r="A2979" t="str">
        <f>"20190305135850348"</f>
        <v>20190305135850348</v>
      </c>
      <c r="B2979" t="str">
        <f>"1551765530341636"</f>
        <v>1551765530341636</v>
      </c>
      <c r="C2979" t="s">
        <v>40</v>
      </c>
      <c r="D2979">
        <v>4.0817389999999998</v>
      </c>
      <c r="E2979">
        <v>0.48014669999999998</v>
      </c>
      <c r="F2979" t="s">
        <v>67</v>
      </c>
      <c r="G2979">
        <v>-256.82780000000002</v>
      </c>
      <c r="H2979">
        <v>1.40361</v>
      </c>
      <c r="I2979">
        <v>229.64349999999999</v>
      </c>
      <c r="J2979">
        <v>-345.46910000000003</v>
      </c>
      <c r="K2979">
        <v>1.110295</v>
      </c>
      <c r="L2979">
        <v>214.9015</v>
      </c>
      <c r="M2979">
        <v>0.99892879999999995</v>
      </c>
      <c r="N2979">
        <v>-1.5584239999999999E-2</v>
      </c>
      <c r="O2979">
        <v>4.3568410000000002E-2</v>
      </c>
      <c r="P2979">
        <v>0.99401300000000004</v>
      </c>
      <c r="Q2979">
        <v>-1.265808E-2</v>
      </c>
      <c r="R2979">
        <v>0.1085271</v>
      </c>
      <c r="S2979">
        <v>2.9643549999999999</v>
      </c>
      <c r="T2979">
        <v>9.7388030000000007E-3</v>
      </c>
      <c r="U2979">
        <v>0.4906006</v>
      </c>
      <c r="V2979">
        <v>-6.5121869999999998E-2</v>
      </c>
      <c r="W2979">
        <v>2.6515140000000002E-3</v>
      </c>
      <c r="X2979">
        <v>0.99787380000000003</v>
      </c>
      <c r="Y2979">
        <v>-0.12014469999999999</v>
      </c>
      <c r="Z2979">
        <v>1.5637379999999901E-3</v>
      </c>
      <c r="AA2979">
        <v>0.99275519999999995</v>
      </c>
      <c r="AB2979">
        <v>57</v>
      </c>
      <c r="AC2979">
        <v>88.641300000000001</v>
      </c>
      <c r="AD2979">
        <v>0.29331499999999999</v>
      </c>
      <c r="AE2979">
        <v>14.7419999999999</v>
      </c>
      <c r="AF2979">
        <v>-10.8654525962303</v>
      </c>
      <c r="AG2979">
        <v>0.29331499999999999</v>
      </c>
      <c r="AH2979">
        <v>89.1985229975284</v>
      </c>
      <c r="AI2979">
        <v>89.812975155026706</v>
      </c>
      <c r="AJ2979">
        <v>96.945098875298996</v>
      </c>
      <c r="AK2979">
        <v>89.858336278559904</v>
      </c>
      <c r="AL2979">
        <v>89.848079261165196</v>
      </c>
      <c r="AM2979">
        <v>93.7338637316481</v>
      </c>
      <c r="AN2979">
        <v>1.0000000046026101</v>
      </c>
    </row>
    <row r="2980" spans="1:40" x14ac:dyDescent="0.25">
      <c r="A2980" t="str">
        <f>"20190305135850372"</f>
        <v>20190305135850372</v>
      </c>
      <c r="B2980" t="str">
        <f>"1551765530362130"</f>
        <v>1551765530362130</v>
      </c>
      <c r="C2980" t="s">
        <v>40</v>
      </c>
      <c r="D2980">
        <v>4.6372390000000001</v>
      </c>
      <c r="E2980">
        <v>0.48016419999999999</v>
      </c>
      <c r="F2980" t="s">
        <v>67</v>
      </c>
      <c r="G2980">
        <v>-256.72149999999999</v>
      </c>
      <c r="H2980">
        <v>1.8019240000000001</v>
      </c>
      <c r="I2980">
        <v>229.37639999999999</v>
      </c>
      <c r="J2980">
        <v>-344.84249999999997</v>
      </c>
      <c r="K2980">
        <v>1.110079</v>
      </c>
      <c r="L2980">
        <v>214.92869999999999</v>
      </c>
      <c r="M2980">
        <v>0.99892000000000003</v>
      </c>
      <c r="N2980">
        <v>-1.5584199999999999E-2</v>
      </c>
      <c r="O2980">
        <v>4.3771659999999997E-2</v>
      </c>
      <c r="P2980">
        <v>0.99443130000000002</v>
      </c>
      <c r="Q2980">
        <v>-1.181111E-2</v>
      </c>
      <c r="R2980">
        <v>0.1047225</v>
      </c>
      <c r="S2980">
        <v>2.9655459999999998</v>
      </c>
      <c r="T2980">
        <v>2.3112420000000002E-2</v>
      </c>
      <c r="U2980">
        <v>0.48368840000000002</v>
      </c>
      <c r="V2980">
        <v>-6.1100460000000002E-2</v>
      </c>
      <c r="W2980">
        <v>3.554162E-3</v>
      </c>
      <c r="X2980">
        <v>0.99812529999999999</v>
      </c>
      <c r="Y2980">
        <v>-0.11763029999999999</v>
      </c>
      <c r="Z2980">
        <v>1.484244E-3</v>
      </c>
      <c r="AA2980">
        <v>0.99305639999999995</v>
      </c>
      <c r="AB2980">
        <v>57</v>
      </c>
      <c r="AC2980">
        <v>88.120999999999896</v>
      </c>
      <c r="AD2980">
        <v>0.69184499999999904</v>
      </c>
      <c r="AE2980">
        <v>14.4476999999999</v>
      </c>
      <c r="AF2980">
        <v>-10.5755436510603</v>
      </c>
      <c r="AG2980">
        <v>0.69184499999999904</v>
      </c>
      <c r="AH2980">
        <v>88.6636754254734</v>
      </c>
      <c r="AI2980">
        <v>89.556075177240899</v>
      </c>
      <c r="AJ2980">
        <v>96.801937229405397</v>
      </c>
      <c r="AK2980">
        <v>89.294838109339807</v>
      </c>
      <c r="AL2980">
        <v>89.796361090263801</v>
      </c>
      <c r="AM2980">
        <v>93.503002517628502</v>
      </c>
      <c r="AN2980">
        <v>1.0000000063899099</v>
      </c>
    </row>
    <row r="2981" spans="1:40" x14ac:dyDescent="0.25">
      <c r="A2981" t="str">
        <f>"20190305135850396"</f>
        <v>20190305135850396</v>
      </c>
      <c r="B2981" t="str">
        <f>"1551765530391411"</f>
        <v>1551765530391411</v>
      </c>
      <c r="C2981" t="s">
        <v>40</v>
      </c>
      <c r="D2981">
        <v>4.1262919999999896</v>
      </c>
      <c r="E2981">
        <v>0.54290640000000001</v>
      </c>
      <c r="F2981" t="s">
        <v>75</v>
      </c>
      <c r="G2981">
        <v>-247.30199999999999</v>
      </c>
      <c r="H2981">
        <v>1.9903459999999999</v>
      </c>
      <c r="I2981">
        <v>230.45429999999999</v>
      </c>
      <c r="J2981">
        <v>-344.25310000000002</v>
      </c>
      <c r="K2981">
        <v>1.109877</v>
      </c>
      <c r="L2981">
        <v>214.95439999999999</v>
      </c>
      <c r="M2981">
        <v>0.99891759999999996</v>
      </c>
      <c r="N2981">
        <v>-1.5583680000000001E-2</v>
      </c>
      <c r="O2981">
        <v>4.3825219999999998E-2</v>
      </c>
      <c r="P2981">
        <v>0.99515940000000003</v>
      </c>
      <c r="Q2981">
        <v>-8.5624519999999999E-3</v>
      </c>
      <c r="R2981">
        <v>9.7901279999999993E-2</v>
      </c>
      <c r="S2981">
        <v>2.9673769999999999</v>
      </c>
      <c r="T2981">
        <v>2.677941E-2</v>
      </c>
      <c r="U2981">
        <v>0.47232059999999998</v>
      </c>
      <c r="V2981">
        <v>-5.4206949999999997E-2</v>
      </c>
      <c r="W2981">
        <v>6.8590739999999997E-3</v>
      </c>
      <c r="X2981">
        <v>0.99850620000000001</v>
      </c>
      <c r="Y2981">
        <v>-0.11377180000000001</v>
      </c>
      <c r="Z2981">
        <v>1.4539659999999999E-3</v>
      </c>
      <c r="AA2981">
        <v>0.99350579999999999</v>
      </c>
      <c r="AB2981">
        <v>57</v>
      </c>
      <c r="AC2981">
        <v>96.951099999999997</v>
      </c>
      <c r="AD2981">
        <v>0.88046899999999995</v>
      </c>
      <c r="AE2981">
        <v>15.499899999999901</v>
      </c>
      <c r="AF2981">
        <v>-11.2346812188594</v>
      </c>
      <c r="AG2981">
        <v>0.88046899999999995</v>
      </c>
      <c r="AH2981">
        <v>97.529453832268501</v>
      </c>
      <c r="AI2981">
        <v>89.486161298226904</v>
      </c>
      <c r="AJ2981">
        <v>96.571093008193102</v>
      </c>
      <c r="AK2981">
        <v>98.178346149087005</v>
      </c>
      <c r="AL2981">
        <v>89.607000940928103</v>
      </c>
      <c r="AM2981">
        <v>93.107425553192797</v>
      </c>
      <c r="AN2981">
        <v>1.00000003588143</v>
      </c>
    </row>
    <row r="2982" spans="1:40" x14ac:dyDescent="0.25">
      <c r="A2982" t="str">
        <f>"20190305135850429"</f>
        <v>20190305135850429</v>
      </c>
      <c r="B2982" t="str">
        <f>"1551765530422174"</f>
        <v>1551765530422174</v>
      </c>
      <c r="C2982" t="s">
        <v>40</v>
      </c>
      <c r="D2982">
        <v>4.0892879999999998</v>
      </c>
      <c r="E2982">
        <v>0.59937039999999997</v>
      </c>
      <c r="F2982" t="s">
        <v>58</v>
      </c>
      <c r="G2982">
        <v>-182.16739999999999</v>
      </c>
      <c r="H2982" s="1">
        <v>2.7800949999999999E-6</v>
      </c>
      <c r="I2982">
        <v>212.4443</v>
      </c>
      <c r="J2982">
        <v>-343.39909999999998</v>
      </c>
      <c r="K2982">
        <v>1.1096010000000001</v>
      </c>
      <c r="L2982">
        <v>214.99180000000001</v>
      </c>
      <c r="M2982">
        <v>0.99892159999999997</v>
      </c>
      <c r="N2982">
        <v>-1.558212E-2</v>
      </c>
      <c r="O2982">
        <v>4.3736089999999998E-2</v>
      </c>
      <c r="P2982">
        <v>0.99618549999999995</v>
      </c>
      <c r="Q2982">
        <v>-7.1511719999999999E-3</v>
      </c>
      <c r="R2982">
        <v>8.6967379999999997E-2</v>
      </c>
      <c r="S2982">
        <v>3.019012</v>
      </c>
      <c r="T2982">
        <v>-2.067256E-2</v>
      </c>
      <c r="U2982">
        <v>-4.6752929999999998E-2</v>
      </c>
      <c r="V2982">
        <v>-4.332544E-2</v>
      </c>
      <c r="W2982">
        <v>8.3367489999999992E-3</v>
      </c>
      <c r="X2982">
        <v>0.99902619999999998</v>
      </c>
      <c r="Y2982">
        <v>5.9199429999999997E-2</v>
      </c>
      <c r="Z2982">
        <v>-2.8176409999999997E-4</v>
      </c>
      <c r="AA2982">
        <v>0.99824610000000003</v>
      </c>
      <c r="AB2982">
        <v>57</v>
      </c>
      <c r="AC2982">
        <v>161.23169999999999</v>
      </c>
      <c r="AD2982">
        <v>-1.1095982199050001</v>
      </c>
      <c r="AE2982">
        <v>-2.5475000000000101</v>
      </c>
      <c r="AF2982">
        <v>9.5971076665588804</v>
      </c>
      <c r="AG2982">
        <v>-1.1095982199050001</v>
      </c>
      <c r="AH2982">
        <v>160.95833039653499</v>
      </c>
      <c r="AI2982">
        <v>90.394273379460699</v>
      </c>
      <c r="AJ2982">
        <v>86.587790590438104</v>
      </c>
      <c r="AK2982">
        <v>161.24800714369499</v>
      </c>
      <c r="AL2982">
        <v>89.522333920742497</v>
      </c>
      <c r="AM2982">
        <v>92.483228539308698</v>
      </c>
      <c r="AN2982">
        <v>0.99999997171076005</v>
      </c>
    </row>
    <row r="2983" spans="1:40" x14ac:dyDescent="0.25">
      <c r="A2983" t="str">
        <f>"20190305135850450"</f>
        <v>20190305135850450</v>
      </c>
      <c r="B2983" t="str">
        <f>"1551765530441694"</f>
        <v>1551765530441694</v>
      </c>
      <c r="C2983" t="s">
        <v>40</v>
      </c>
      <c r="D2983">
        <v>4.0536370000000002</v>
      </c>
      <c r="E2983">
        <v>0.59633910000000001</v>
      </c>
      <c r="F2983" t="s">
        <v>61</v>
      </c>
      <c r="G2983">
        <v>-314.12119999999999</v>
      </c>
      <c r="H2983" s="1">
        <v>2.7332459999999999E-6</v>
      </c>
      <c r="I2983">
        <v>209.92140000000001</v>
      </c>
      <c r="J2983">
        <v>-342.8623</v>
      </c>
      <c r="K2983">
        <v>1.109421</v>
      </c>
      <c r="L2983">
        <v>215.01519999999999</v>
      </c>
      <c r="M2983">
        <v>0.99892669999999995</v>
      </c>
      <c r="N2983">
        <v>-1.558068E-2</v>
      </c>
      <c r="O2983">
        <v>4.3621779999999999E-2</v>
      </c>
      <c r="P2983">
        <v>0.99670910000000001</v>
      </c>
      <c r="Q2983">
        <v>-9.4040900000000004E-3</v>
      </c>
      <c r="R2983">
        <v>8.0516489999999996E-2</v>
      </c>
      <c r="S2983">
        <v>3.0568849999999999</v>
      </c>
      <c r="T2983">
        <v>-0.1158526</v>
      </c>
      <c r="U2983">
        <v>-0.52938839999999998</v>
      </c>
      <c r="V2983">
        <v>-3.696514E-2</v>
      </c>
      <c r="W2983">
        <v>6.1128399999999996E-3</v>
      </c>
      <c r="X2983">
        <v>0.99929789999999996</v>
      </c>
      <c r="Y2983">
        <v>0.21324179999999901</v>
      </c>
      <c r="Z2983">
        <v>-6.6515000000000003E-3</v>
      </c>
      <c r="AA2983">
        <v>0.97697679999999998</v>
      </c>
      <c r="AB2983">
        <v>57</v>
      </c>
      <c r="AC2983">
        <v>28.741099999999999</v>
      </c>
      <c r="AD2983">
        <v>-1.109418266754</v>
      </c>
      <c r="AE2983">
        <v>-5.0937999999999803</v>
      </c>
      <c r="AF2983">
        <v>6.3336904151152202</v>
      </c>
      <c r="AG2983">
        <v>-1.109418266754</v>
      </c>
      <c r="AH2983">
        <v>28.4504077207135</v>
      </c>
      <c r="AI2983">
        <v>92.179797173749506</v>
      </c>
      <c r="AJ2983">
        <v>77.449359279182303</v>
      </c>
      <c r="AK2983">
        <v>29.1679986053203</v>
      </c>
      <c r="AL2983">
        <v>89.649757900142703</v>
      </c>
      <c r="AM2983">
        <v>92.118468655004705</v>
      </c>
      <c r="AN2983">
        <v>1.0000000406662399</v>
      </c>
    </row>
    <row r="2984" spans="1:40" x14ac:dyDescent="0.25">
      <c r="A2984" t="str">
        <f>"20190305135850471"</f>
        <v>20190305135850471</v>
      </c>
      <c r="B2984" t="str">
        <f>"1551765530462191"</f>
        <v>1551765530462191</v>
      </c>
      <c r="C2984" t="s">
        <v>40</v>
      </c>
      <c r="D2984">
        <v>4.0583119999999999</v>
      </c>
      <c r="E2984">
        <v>0.59423329999999996</v>
      </c>
      <c r="F2984" t="s">
        <v>61</v>
      </c>
      <c r="G2984">
        <v>-314.94580000000002</v>
      </c>
      <c r="H2984" s="1">
        <v>3.0989180000000002E-6</v>
      </c>
      <c r="I2984">
        <v>210.20959999999999</v>
      </c>
      <c r="J2984">
        <v>-342.29579999999999</v>
      </c>
      <c r="K2984">
        <v>1.109243</v>
      </c>
      <c r="L2984">
        <v>215.03989999999999</v>
      </c>
      <c r="M2984">
        <v>0.99893319999999997</v>
      </c>
      <c r="N2984">
        <v>-1.5578740000000001E-2</v>
      </c>
      <c r="O2984">
        <v>4.3471959999999997E-2</v>
      </c>
      <c r="P2984">
        <v>0.99707520000000005</v>
      </c>
      <c r="Q2984">
        <v>-1.415567E-2</v>
      </c>
      <c r="R2984">
        <v>7.5104149999999995E-2</v>
      </c>
      <c r="S2984">
        <v>3.0511780000000002</v>
      </c>
      <c r="T2984">
        <v>-0.1212558</v>
      </c>
      <c r="U2984">
        <v>-0.52523799999999998</v>
      </c>
      <c r="V2984">
        <v>-3.1684610000000002E-2</v>
      </c>
      <c r="W2984">
        <v>1.3821759999999999E-3</v>
      </c>
      <c r="X2984">
        <v>0.99949690000000002</v>
      </c>
      <c r="Y2984">
        <v>0.21209349999999999</v>
      </c>
      <c r="Z2984">
        <v>-6.8909219999999998E-3</v>
      </c>
      <c r="AA2984">
        <v>0.97722509999999996</v>
      </c>
      <c r="AB2984">
        <v>57</v>
      </c>
      <c r="AC2984">
        <v>27.349999999999898</v>
      </c>
      <c r="AD2984">
        <v>-1.109239901082</v>
      </c>
      <c r="AE2984">
        <v>-4.8302999999999896</v>
      </c>
      <c r="AF2984">
        <v>6.0052557527561499</v>
      </c>
      <c r="AG2984">
        <v>-1.109239901082</v>
      </c>
      <c r="AH2984">
        <v>27.070948462139398</v>
      </c>
      <c r="AI2984">
        <v>92.290772039927205</v>
      </c>
      <c r="AJ2984">
        <v>77.492392849306995</v>
      </c>
      <c r="AK2984">
        <v>27.751211873609599</v>
      </c>
      <c r="AL2984">
        <v>89.920807118610995</v>
      </c>
      <c r="AM2984">
        <v>91.815700161672396</v>
      </c>
      <c r="AN2984">
        <v>0.99999993901547601</v>
      </c>
    </row>
    <row r="2985" spans="1:40" x14ac:dyDescent="0.25">
      <c r="A2985" t="str">
        <f>"20190305135850494"</f>
        <v>20190305135850494</v>
      </c>
      <c r="B2985" t="str">
        <f>"1551765530491472"</f>
        <v>1551765530491472</v>
      </c>
      <c r="C2985" t="s">
        <v>40</v>
      </c>
      <c r="D2985">
        <v>4.0781049999999999</v>
      </c>
      <c r="E2985">
        <v>0.59182840000000003</v>
      </c>
      <c r="F2985" t="s">
        <v>61</v>
      </c>
      <c r="G2985">
        <v>-317.09350000000001</v>
      </c>
      <c r="H2985" s="1">
        <v>4.0513230000000001E-6</v>
      </c>
      <c r="I2985">
        <v>210.6934</v>
      </c>
      <c r="J2985">
        <v>-341.72449999999998</v>
      </c>
      <c r="K2985">
        <v>1.109092</v>
      </c>
      <c r="L2985">
        <v>215.06469999999999</v>
      </c>
      <c r="M2985">
        <v>0.99894079999999996</v>
      </c>
      <c r="N2985">
        <v>-1.5576410000000001E-2</v>
      </c>
      <c r="O2985">
        <v>4.330092E-2</v>
      </c>
      <c r="P2985">
        <v>0.99757300000000004</v>
      </c>
      <c r="Q2985">
        <v>-1.9114079999999999E-2</v>
      </c>
      <c r="R2985">
        <v>6.6956509999999997E-2</v>
      </c>
      <c r="S2985">
        <v>3.046478</v>
      </c>
      <c r="T2985">
        <v>-0.1340858</v>
      </c>
      <c r="U2985">
        <v>-0.52540589999999998</v>
      </c>
      <c r="V2985">
        <v>-2.3690070000000001E-2</v>
      </c>
      <c r="W2985">
        <v>-3.5592010000000001E-3</v>
      </c>
      <c r="X2985">
        <v>0.99971299999999996</v>
      </c>
      <c r="Y2985">
        <v>0.2121818</v>
      </c>
      <c r="Z2985">
        <v>-7.5221690000000004E-3</v>
      </c>
      <c r="AA2985">
        <v>0.97720130000000005</v>
      </c>
      <c r="AB2985">
        <v>57</v>
      </c>
      <c r="AC2985">
        <v>24.630999999999901</v>
      </c>
      <c r="AD2985">
        <v>-1.109087948677</v>
      </c>
      <c r="AE2985">
        <v>-4.37129999999999</v>
      </c>
      <c r="AF2985">
        <v>5.4232132619352402</v>
      </c>
      <c r="AG2985">
        <v>-1.109087948677</v>
      </c>
      <c r="AH2985">
        <v>24.3706845427937</v>
      </c>
      <c r="AI2985">
        <v>92.543549339574795</v>
      </c>
      <c r="AJ2985">
        <v>77.454378050408906</v>
      </c>
      <c r="AK2985">
        <v>24.991430196103099</v>
      </c>
      <c r="AL2985">
        <v>90.2039276293862</v>
      </c>
      <c r="AM2985">
        <v>91.357476640872306</v>
      </c>
      <c r="AN2985">
        <v>0.99999998484868102</v>
      </c>
    </row>
    <row r="2986" spans="1:40" x14ac:dyDescent="0.25">
      <c r="A2986" t="str">
        <f>"20190305135850528"</f>
        <v>20190305135850528</v>
      </c>
      <c r="B2986" t="str">
        <f>"1551765530522236"</f>
        <v>1551765530522236</v>
      </c>
      <c r="C2986" t="s">
        <v>40</v>
      </c>
      <c r="D2986">
        <v>4.0484309999999999</v>
      </c>
      <c r="E2986">
        <v>0.58979159999999997</v>
      </c>
      <c r="F2986" t="s">
        <v>61</v>
      </c>
      <c r="G2986">
        <v>-318.78199999999998</v>
      </c>
      <c r="H2986" s="1">
        <v>4.8001120000000003E-6</v>
      </c>
      <c r="I2986">
        <v>211.05510000000001</v>
      </c>
      <c r="J2986">
        <v>-340.87040000000002</v>
      </c>
      <c r="K2986">
        <v>1.1089389999999999</v>
      </c>
      <c r="L2986">
        <v>215.10169999999999</v>
      </c>
      <c r="M2986">
        <v>0.99895299999999998</v>
      </c>
      <c r="N2986">
        <v>-1.557247E-2</v>
      </c>
      <c r="O2986">
        <v>4.3017529999999998E-2</v>
      </c>
      <c r="P2986">
        <v>0.99795409999999996</v>
      </c>
      <c r="Q2986">
        <v>-1.9014110000000001E-2</v>
      </c>
      <c r="R2986">
        <v>6.1043310000000003E-2</v>
      </c>
      <c r="S2986">
        <v>3.0401310000000001</v>
      </c>
      <c r="T2986">
        <v>-0.14696619999999999</v>
      </c>
      <c r="U2986">
        <v>-0.53131099999999998</v>
      </c>
      <c r="V2986">
        <v>-1.8051319999999999E-2</v>
      </c>
      <c r="W2986">
        <v>-3.4496079999999998E-3</v>
      </c>
      <c r="X2986">
        <v>0.99983109999999997</v>
      </c>
      <c r="Y2986">
        <v>0.2140319</v>
      </c>
      <c r="Z2986">
        <v>-8.2119549999999999E-3</v>
      </c>
      <c r="AA2986">
        <v>0.9767922</v>
      </c>
      <c r="AB2986">
        <v>57</v>
      </c>
      <c r="AC2986">
        <v>22.0884</v>
      </c>
      <c r="AD2986">
        <v>-1.10893419988799</v>
      </c>
      <c r="AE2986">
        <v>-4.0465999999999802</v>
      </c>
      <c r="AF2986">
        <v>4.9810099634316103</v>
      </c>
      <c r="AG2986">
        <v>-1.10893419988799</v>
      </c>
      <c r="AH2986">
        <v>21.840591182406801</v>
      </c>
      <c r="AI2986">
        <v>92.833996018907996</v>
      </c>
      <c r="AJ2986">
        <v>77.152737763404403</v>
      </c>
      <c r="AK2986">
        <v>22.428812240341902</v>
      </c>
      <c r="AL2986">
        <v>90.197648373498794</v>
      </c>
      <c r="AM2986">
        <v>91.034326794040993</v>
      </c>
      <c r="AN2986">
        <v>0.99999998923815203</v>
      </c>
    </row>
    <row r="2987" spans="1:40" x14ac:dyDescent="0.25">
      <c r="A2987" t="str">
        <f>"20190305135850550"</f>
        <v>20190305135850550</v>
      </c>
      <c r="B2987" t="str">
        <f>"1551765530541755"</f>
        <v>1551765530541755</v>
      </c>
      <c r="C2987" t="s">
        <v>40</v>
      </c>
      <c r="D2987">
        <v>4.0510109999999999</v>
      </c>
      <c r="E2987">
        <v>0.58872069999999999</v>
      </c>
      <c r="F2987" t="s">
        <v>61</v>
      </c>
      <c r="G2987">
        <v>-317.74270000000001</v>
      </c>
      <c r="H2987" s="1">
        <v>4.3391950000000004E-6</v>
      </c>
      <c r="I2987">
        <v>211.0402</v>
      </c>
      <c r="J2987">
        <v>-340.30059999999997</v>
      </c>
      <c r="K2987">
        <v>1.1088559999999901</v>
      </c>
      <c r="L2987">
        <v>215.12610000000001</v>
      </c>
      <c r="M2987">
        <v>0.99896180000000001</v>
      </c>
      <c r="N2987">
        <v>-1.5569670000000001E-2</v>
      </c>
      <c r="O2987">
        <v>4.2813299999999999E-2</v>
      </c>
      <c r="P2987">
        <v>0.99811550000000004</v>
      </c>
      <c r="Q2987">
        <v>-1.832901E-2</v>
      </c>
      <c r="R2987">
        <v>5.856575E-2</v>
      </c>
      <c r="S2987">
        <v>3.0360109999999998</v>
      </c>
      <c r="T2987">
        <v>-0.14557149999999999</v>
      </c>
      <c r="U2987">
        <v>-0.53315729999999995</v>
      </c>
      <c r="V2987">
        <v>-1.5774320000000001E-2</v>
      </c>
      <c r="W2987">
        <v>-2.762306E-3</v>
      </c>
      <c r="X2987">
        <v>0.99987179999999998</v>
      </c>
      <c r="Y2987">
        <v>0.21463769999999999</v>
      </c>
      <c r="Z2987">
        <v>-8.1654499999999994E-3</v>
      </c>
      <c r="AA2987">
        <v>0.97665959999999996</v>
      </c>
      <c r="AB2987">
        <v>57</v>
      </c>
      <c r="AC2987">
        <v>22.557899999999901</v>
      </c>
      <c r="AD2987">
        <v>-1.1088516608050001</v>
      </c>
      <c r="AE2987">
        <v>-4.0858999999999996</v>
      </c>
      <c r="AF2987">
        <v>5.0362653444430299</v>
      </c>
      <c r="AG2987">
        <v>-1.1088516608050001</v>
      </c>
      <c r="AH2987">
        <v>22.310064130284701</v>
      </c>
      <c r="AI2987">
        <v>92.775636463000197</v>
      </c>
      <c r="AJ2987">
        <v>77.279287897848803</v>
      </c>
      <c r="AK2987">
        <v>22.898307407376699</v>
      </c>
      <c r="AL2987">
        <v>90.158268670788303</v>
      </c>
      <c r="AM2987">
        <v>90.9038428612171</v>
      </c>
      <c r="AN2987">
        <v>1.00000003797056</v>
      </c>
    </row>
    <row r="2988" spans="1:40" x14ac:dyDescent="0.25">
      <c r="A2988" t="str">
        <f>"20190305135850573"</f>
        <v>20190305135850573</v>
      </c>
      <c r="B2988" t="str">
        <f>"1551765530562251"</f>
        <v>1551765530562251</v>
      </c>
      <c r="C2988" t="s">
        <v>40</v>
      </c>
      <c r="D2988">
        <v>4.0839480000000004</v>
      </c>
      <c r="E2988">
        <v>0.5877194</v>
      </c>
      <c r="F2988" t="s">
        <v>61</v>
      </c>
      <c r="G2988">
        <v>-316.56740000000002</v>
      </c>
      <c r="H2988" s="1">
        <v>3.8180209999999996E-6</v>
      </c>
      <c r="I2988">
        <v>210.965</v>
      </c>
      <c r="J2988">
        <v>-339.71660000000003</v>
      </c>
      <c r="K2988">
        <v>1.108798</v>
      </c>
      <c r="L2988">
        <v>215.15110000000001</v>
      </c>
      <c r="M2988">
        <v>0.99897130000000001</v>
      </c>
      <c r="N2988">
        <v>-1.5566170000000001E-2</v>
      </c>
      <c r="O2988">
        <v>4.259222E-2</v>
      </c>
      <c r="P2988">
        <v>0.99831979999999998</v>
      </c>
      <c r="Q2988">
        <v>-1.6559500000000001E-2</v>
      </c>
      <c r="R2988">
        <v>5.552961E-2</v>
      </c>
      <c r="S2988">
        <v>3.0342709999999999</v>
      </c>
      <c r="T2988">
        <v>-0.14176620000000001</v>
      </c>
      <c r="U2988">
        <v>-0.53199770000000002</v>
      </c>
      <c r="V2988">
        <v>-1.295369E-2</v>
      </c>
      <c r="W2988">
        <v>-9.9273200000000008E-4</v>
      </c>
      <c r="X2988">
        <v>0.99991560000000002</v>
      </c>
      <c r="Y2988">
        <v>0.21417130000000001</v>
      </c>
      <c r="Z2988">
        <v>-7.9614490000000007E-3</v>
      </c>
      <c r="AA2988">
        <v>0.97676370000000001</v>
      </c>
      <c r="AB2988">
        <v>57</v>
      </c>
      <c r="AC2988">
        <v>23.1492</v>
      </c>
      <c r="AD2988">
        <v>-1.1087941819789999</v>
      </c>
      <c r="AE2988">
        <v>-4.1860999999999997</v>
      </c>
      <c r="AF2988">
        <v>5.1569392348322101</v>
      </c>
      <c r="AG2988">
        <v>-1.1087941819789999</v>
      </c>
      <c r="AH2988">
        <v>22.898999802981201</v>
      </c>
      <c r="AI2988">
        <v>92.704528230589204</v>
      </c>
      <c r="AJ2988">
        <v>77.308508812468503</v>
      </c>
      <c r="AK2988">
        <v>23.498673128214602</v>
      </c>
      <c r="AL2988">
        <v>90.056879363393904</v>
      </c>
      <c r="AM2988">
        <v>90.742212893275493</v>
      </c>
      <c r="AN2988">
        <v>0.99999999536239903</v>
      </c>
    </row>
    <row r="2989" spans="1:40" x14ac:dyDescent="0.25">
      <c r="A2989" t="str">
        <f>"20190305135850597"</f>
        <v>20190305135850597</v>
      </c>
      <c r="B2989" t="str">
        <f>"1551765530591531"</f>
        <v>1551765530591531</v>
      </c>
      <c r="C2989" t="s">
        <v>40</v>
      </c>
      <c r="D2989">
        <v>4.0668739999999897</v>
      </c>
      <c r="E2989">
        <v>0.58649209999999996</v>
      </c>
      <c r="F2989" t="s">
        <v>61</v>
      </c>
      <c r="G2989">
        <v>-314.43279999999999</v>
      </c>
      <c r="H2989" s="1">
        <v>2.8714160000000002E-6</v>
      </c>
      <c r="I2989">
        <v>210.70529999999999</v>
      </c>
      <c r="J2989">
        <v>-339.13150000000002</v>
      </c>
      <c r="K2989">
        <v>1.10876</v>
      </c>
      <c r="L2989">
        <v>215.17590000000001</v>
      </c>
      <c r="M2989">
        <v>0.99898140000000002</v>
      </c>
      <c r="N2989">
        <v>-1.556245E-2</v>
      </c>
      <c r="O2989">
        <v>4.2359540000000001E-2</v>
      </c>
      <c r="P2989">
        <v>0.99854399999999999</v>
      </c>
      <c r="Q2989">
        <v>-1.179474E-2</v>
      </c>
      <c r="R2989">
        <v>5.2639070000000003E-2</v>
      </c>
      <c r="S2989">
        <v>3.0325319999999998</v>
      </c>
      <c r="T2989">
        <v>-0.13298859999999901</v>
      </c>
      <c r="U2989">
        <v>-0.53321839999999998</v>
      </c>
      <c r="V2989">
        <v>-1.028781E-2</v>
      </c>
      <c r="W2989">
        <v>3.7706440000000001E-3</v>
      </c>
      <c r="X2989">
        <v>0.99994000000000005</v>
      </c>
      <c r="Y2989">
        <v>0.2144556</v>
      </c>
      <c r="Z2989">
        <v>-7.5373150000000002E-3</v>
      </c>
      <c r="AA2989">
        <v>0.97670469999999998</v>
      </c>
      <c r="AB2989">
        <v>57</v>
      </c>
      <c r="AC2989">
        <v>24.698699999999999</v>
      </c>
      <c r="AD2989">
        <v>-1.1087571285840001</v>
      </c>
      <c r="AE2989">
        <v>-4.4706000000000099</v>
      </c>
      <c r="AF2989">
        <v>5.5022020141200096</v>
      </c>
      <c r="AG2989">
        <v>-1.1087571285840001</v>
      </c>
      <c r="AH2989">
        <v>24.4394417300044</v>
      </c>
      <c r="AI2989">
        <v>92.534240931932402</v>
      </c>
      <c r="AJ2989">
        <v>77.312191356737998</v>
      </c>
      <c r="AK2989">
        <v>25.075683070429999</v>
      </c>
      <c r="AL2989">
        <v>89.783957507335103</v>
      </c>
      <c r="AM2989">
        <v>90.589462664478404</v>
      </c>
      <c r="AN2989">
        <v>1.00000003019538</v>
      </c>
    </row>
    <row r="2990" spans="1:40" x14ac:dyDescent="0.25">
      <c r="A2990" t="str">
        <f>"20190305135850617"</f>
        <v>20190305135850617</v>
      </c>
      <c r="B2990" t="str">
        <f>"1551765530611559"</f>
        <v>1551765530611559</v>
      </c>
      <c r="C2990" t="s">
        <v>40</v>
      </c>
      <c r="D2990">
        <v>4.054754</v>
      </c>
      <c r="E2990">
        <v>0.58585859999999901</v>
      </c>
      <c r="F2990" t="s">
        <v>61</v>
      </c>
      <c r="G2990">
        <v>-310.81799999999998</v>
      </c>
      <c r="H2990" s="1">
        <v>1.268406E-6</v>
      </c>
      <c r="I2990">
        <v>210.2073</v>
      </c>
      <c r="J2990">
        <v>-338.596</v>
      </c>
      <c r="K2990">
        <v>1.1087279999999999</v>
      </c>
      <c r="L2990">
        <v>215.1985</v>
      </c>
      <c r="M2990">
        <v>0.99899079999999996</v>
      </c>
      <c r="N2990">
        <v>-1.555901E-2</v>
      </c>
      <c r="O2990">
        <v>4.2137550000000003E-2</v>
      </c>
      <c r="P2990">
        <v>0.99859180000000003</v>
      </c>
      <c r="Q2990">
        <v>-9.159291E-3</v>
      </c>
      <c r="R2990">
        <v>5.2255879999999998E-2</v>
      </c>
      <c r="S2990">
        <v>3.0310359999999998</v>
      </c>
      <c r="T2990">
        <v>-0.1186956</v>
      </c>
      <c r="U2990">
        <v>-0.53190609999999905</v>
      </c>
      <c r="V2990">
        <v>-1.0123170000000001E-2</v>
      </c>
      <c r="W2990">
        <v>6.403705E-3</v>
      </c>
      <c r="X2990">
        <v>0.99992820000000004</v>
      </c>
      <c r="Y2990">
        <v>0.2139644</v>
      </c>
      <c r="Z2990">
        <v>-6.822285E-3</v>
      </c>
      <c r="AA2990">
        <v>0.97681759999999995</v>
      </c>
      <c r="AB2990">
        <v>57</v>
      </c>
      <c r="AC2990">
        <v>27.777999999999999</v>
      </c>
      <c r="AD2990">
        <v>-1.1087267315939999</v>
      </c>
      <c r="AE2990">
        <v>-4.9911999999999903</v>
      </c>
      <c r="AF2990">
        <v>6.1479162346720599</v>
      </c>
      <c r="AG2990">
        <v>-1.1087267315939999</v>
      </c>
      <c r="AH2990">
        <v>27.5005384887546</v>
      </c>
      <c r="AI2990">
        <v>92.253159974112407</v>
      </c>
      <c r="AJ2990">
        <v>77.398377670683701</v>
      </c>
      <c r="AK2990">
        <v>28.201166042654499</v>
      </c>
      <c r="AL2990">
        <v>89.6330922025993</v>
      </c>
      <c r="AM2990">
        <v>90.580036748271795</v>
      </c>
      <c r="AN2990">
        <v>0.99999994558190597</v>
      </c>
    </row>
    <row r="2991" spans="1:40" x14ac:dyDescent="0.25">
      <c r="A2991" t="str">
        <f>"20190305135850639"</f>
        <v>20190305135850639</v>
      </c>
      <c r="B2991" t="str">
        <f>"1551765530632055"</f>
        <v>1551765530632055</v>
      </c>
      <c r="C2991" t="s">
        <v>40</v>
      </c>
      <c r="D2991">
        <v>4.1306330000000004</v>
      </c>
      <c r="E2991">
        <v>0.58549899999999999</v>
      </c>
      <c r="F2991" t="s">
        <v>61</v>
      </c>
      <c r="G2991">
        <v>-307.97309999999999</v>
      </c>
      <c r="H2991" s="1">
        <v>1.2389610000000001E-6</v>
      </c>
      <c r="I2991">
        <v>209.86349999999999</v>
      </c>
      <c r="J2991">
        <v>-338.04840000000002</v>
      </c>
      <c r="K2991">
        <v>1.1086940000000001</v>
      </c>
      <c r="L2991">
        <v>215.22149999999999</v>
      </c>
      <c r="M2991">
        <v>0.99900060000000002</v>
      </c>
      <c r="N2991">
        <v>-1.5555650000000001E-2</v>
      </c>
      <c r="O2991">
        <v>4.1903830000000003E-2</v>
      </c>
      <c r="P2991">
        <v>0.99862240000000002</v>
      </c>
      <c r="Q2991">
        <v>-1.084328E-2</v>
      </c>
      <c r="R2991">
        <v>5.1344220000000003E-2</v>
      </c>
      <c r="S2991">
        <v>3.0308839999999999</v>
      </c>
      <c r="T2991">
        <v>-0.1097355</v>
      </c>
      <c r="U2991">
        <v>-0.52803040000000001</v>
      </c>
      <c r="V2991">
        <v>-9.4457250000000003E-3</v>
      </c>
      <c r="W2991">
        <v>4.7171579999999999E-3</v>
      </c>
      <c r="X2991">
        <v>0.99994430000000001</v>
      </c>
      <c r="Y2991">
        <v>0.21256410000000001</v>
      </c>
      <c r="Z2991">
        <v>-6.3444729999999998E-3</v>
      </c>
      <c r="AA2991">
        <v>0.97712650000000001</v>
      </c>
      <c r="AB2991">
        <v>57</v>
      </c>
      <c r="AC2991">
        <v>30.075299999999999</v>
      </c>
      <c r="AD2991">
        <v>-1.1086927610390001</v>
      </c>
      <c r="AE2991">
        <v>-5.3579999999999997</v>
      </c>
      <c r="AF2991">
        <v>6.6050156029179403</v>
      </c>
      <c r="AG2991">
        <v>-1.1086927610390001</v>
      </c>
      <c r="AH2991">
        <v>29.785097822183399</v>
      </c>
      <c r="AI2991">
        <v>92.081227971279802</v>
      </c>
      <c r="AJ2991">
        <v>77.496665982109505</v>
      </c>
      <c r="AK2991">
        <v>30.528797602103602</v>
      </c>
      <c r="AL2991">
        <v>89.729725763284094</v>
      </c>
      <c r="AM2991">
        <v>90.541214226038505</v>
      </c>
      <c r="AN2991">
        <v>1.00000003820143</v>
      </c>
    </row>
    <row r="2992" spans="1:40" x14ac:dyDescent="0.25">
      <c r="A2992" t="str">
        <f>"20190305135850662"</f>
        <v>20190305135850662</v>
      </c>
      <c r="B2992" t="str">
        <f>"1551765530651575"</f>
        <v>1551765530651575</v>
      </c>
      <c r="C2992" t="s">
        <v>40</v>
      </c>
      <c r="D2992">
        <v>4.1041179999999997</v>
      </c>
      <c r="E2992">
        <v>0.55420809999999998</v>
      </c>
      <c r="F2992" t="s">
        <v>61</v>
      </c>
      <c r="G2992">
        <v>-307.97699999999998</v>
      </c>
      <c r="H2992" s="1">
        <v>1.238267E-6</v>
      </c>
      <c r="I2992">
        <v>209.97900000000001</v>
      </c>
      <c r="J2992">
        <v>-337.47230000000002</v>
      </c>
      <c r="K2992">
        <v>1.108663</v>
      </c>
      <c r="L2992">
        <v>215.2456</v>
      </c>
      <c r="M2992">
        <v>0.99901119999999999</v>
      </c>
      <c r="N2992">
        <v>-1.555197E-2</v>
      </c>
      <c r="O2992">
        <v>4.1651819999999999E-2</v>
      </c>
      <c r="P2992">
        <v>0.99875899999999995</v>
      </c>
      <c r="Q2992">
        <v>-1.1176780000000001E-2</v>
      </c>
      <c r="R2992">
        <v>4.8536389999999999E-2</v>
      </c>
      <c r="S2992">
        <v>3.03009</v>
      </c>
      <c r="T2992">
        <v>-0.1117156</v>
      </c>
      <c r="U2992">
        <v>-0.52825929999999999</v>
      </c>
      <c r="V2992">
        <v>-6.8861869999999898E-3</v>
      </c>
      <c r="W2992">
        <v>4.3795609999999997E-3</v>
      </c>
      <c r="X2992">
        <v>0.99996669999999999</v>
      </c>
      <c r="Y2992">
        <v>0.21242610000000001</v>
      </c>
      <c r="Z2992">
        <v>-6.4327079999999997E-3</v>
      </c>
      <c r="AA2992">
        <v>0.97715600000000002</v>
      </c>
      <c r="AB2992">
        <v>57</v>
      </c>
      <c r="AC2992">
        <v>29.495299999999901</v>
      </c>
      <c r="AD2992">
        <v>-1.1086617617329999</v>
      </c>
      <c r="AE2992">
        <v>-5.26659999999998</v>
      </c>
      <c r="AF2992">
        <v>6.4818350862093004</v>
      </c>
      <c r="AG2992">
        <v>-1.1086617617329999</v>
      </c>
      <c r="AH2992">
        <v>29.2103130637703</v>
      </c>
      <c r="AI2992">
        <v>92.122019187942399</v>
      </c>
      <c r="AJ2992">
        <v>77.4886621283474</v>
      </c>
      <c r="AK2992">
        <v>29.9413711488003</v>
      </c>
      <c r="AL2992">
        <v>89.749068836564007</v>
      </c>
      <c r="AM2992">
        <v>90.394556354071199</v>
      </c>
      <c r="AN2992">
        <v>1.0000000006174199</v>
      </c>
    </row>
    <row r="2993" spans="1:40" x14ac:dyDescent="0.25">
      <c r="A2993" t="str">
        <f>"20190305135850685"</f>
        <v>20190305135850685</v>
      </c>
      <c r="B2993" t="str">
        <f>"1551765530672071"</f>
        <v>1551765530672071</v>
      </c>
      <c r="C2993" t="s">
        <v>40</v>
      </c>
      <c r="D2993">
        <v>4.0655839999999897</v>
      </c>
      <c r="E2993">
        <v>0.55228999999999995</v>
      </c>
      <c r="F2993" t="s">
        <v>70</v>
      </c>
      <c r="G2993">
        <v>-168.41319999999999</v>
      </c>
      <c r="H2993">
        <v>0.86425300000000005</v>
      </c>
      <c r="I2993">
        <v>199.23400000000001</v>
      </c>
      <c r="J2993">
        <v>-336.88369999999998</v>
      </c>
      <c r="K2993">
        <v>1.108641</v>
      </c>
      <c r="L2993">
        <v>215.27</v>
      </c>
      <c r="M2993">
        <v>0.99902210000000002</v>
      </c>
      <c r="N2993">
        <v>-1.5548080000000001E-2</v>
      </c>
      <c r="O2993">
        <v>4.1389660000000002E-2</v>
      </c>
      <c r="P2993">
        <v>0.99885930000000001</v>
      </c>
      <c r="Q2993">
        <v>-1.1259E-2</v>
      </c>
      <c r="R2993">
        <v>4.6405349999999998E-2</v>
      </c>
      <c r="S2993">
        <v>3.0176090000000002</v>
      </c>
      <c r="T2993">
        <v>-4.3619870000000003E-3</v>
      </c>
      <c r="U2993">
        <v>-0.28579710000000003</v>
      </c>
      <c r="V2993">
        <v>-5.0151320000000003E-3</v>
      </c>
      <c r="W2993">
        <v>4.2932539999999998E-3</v>
      </c>
      <c r="X2993">
        <v>0.99997820000000004</v>
      </c>
      <c r="Y2993">
        <v>0.13541159999999999</v>
      </c>
      <c r="Z2993">
        <v>-5.7052060000000002E-4</v>
      </c>
      <c r="AA2993">
        <v>0.99078929999999998</v>
      </c>
      <c r="AB2993">
        <v>57</v>
      </c>
      <c r="AC2993">
        <v>168.47049999999999</v>
      </c>
      <c r="AD2993">
        <v>-0.24438799999999899</v>
      </c>
      <c r="AE2993">
        <v>-16.035999999999898</v>
      </c>
      <c r="AF2993">
        <v>22.995986850119699</v>
      </c>
      <c r="AG2993">
        <v>-0.24438799999999899</v>
      </c>
      <c r="AH2993">
        <v>167.66194500966401</v>
      </c>
      <c r="AI2993">
        <v>90.082740983860504</v>
      </c>
      <c r="AJ2993">
        <v>82.190219735562295</v>
      </c>
      <c r="AK2993">
        <v>169.231802392839</v>
      </c>
      <c r="AL2993">
        <v>89.7540139077866</v>
      </c>
      <c r="AM2993">
        <v>90.287349752392103</v>
      </c>
      <c r="AN2993">
        <v>0.99999999202706202</v>
      </c>
    </row>
    <row r="2994" spans="1:40" x14ac:dyDescent="0.25">
      <c r="A2994" t="str">
        <f>"20190305135850706"</f>
        <v>20190305135850706</v>
      </c>
      <c r="B2994" t="str">
        <f>"1551765530701858"</f>
        <v>1551765530701858</v>
      </c>
      <c r="C2994" t="s">
        <v>40</v>
      </c>
      <c r="D2994">
        <v>4.0339260000000001</v>
      </c>
      <c r="E2994">
        <v>0.55221739999999997</v>
      </c>
      <c r="F2994" t="s">
        <v>70</v>
      </c>
      <c r="G2994">
        <v>-168.41290000000001</v>
      </c>
      <c r="H2994">
        <v>0.70679380000000003</v>
      </c>
      <c r="I2994">
        <v>199.79859999999999</v>
      </c>
      <c r="J2994">
        <v>-336.34730000000002</v>
      </c>
      <c r="K2994">
        <v>1.1086309999999999</v>
      </c>
      <c r="L2994">
        <v>215.2921</v>
      </c>
      <c r="M2994">
        <v>0.99903220000000004</v>
      </c>
      <c r="N2994">
        <v>-1.554446E-2</v>
      </c>
      <c r="O2994">
        <v>4.1147900000000001E-2</v>
      </c>
      <c r="P2994">
        <v>0.99887649999999994</v>
      </c>
      <c r="Q2994">
        <v>-1.0414130000000001E-2</v>
      </c>
      <c r="R2994">
        <v>4.6236149999999997E-2</v>
      </c>
      <c r="S2994">
        <v>3.016235</v>
      </c>
      <c r="T2994">
        <v>-7.1939229999999996E-3</v>
      </c>
      <c r="U2994">
        <v>-0.27699279999999998</v>
      </c>
      <c r="V2994">
        <v>-5.0866339999999996E-3</v>
      </c>
      <c r="W2994">
        <v>5.134385E-3</v>
      </c>
      <c r="X2994">
        <v>0.99997389999999997</v>
      </c>
      <c r="Y2994">
        <v>0.13234580000000001</v>
      </c>
      <c r="Z2994">
        <v>-6.4815350000000001E-4</v>
      </c>
      <c r="AA2994">
        <v>0.99120339999999996</v>
      </c>
      <c r="AB2994">
        <v>57</v>
      </c>
      <c r="AC2994">
        <v>167.93440000000001</v>
      </c>
      <c r="AD2994">
        <v>-0.40183719999999901</v>
      </c>
      <c r="AE2994">
        <v>-15.493499999999999</v>
      </c>
      <c r="AF2994">
        <v>22.391230240209499</v>
      </c>
      <c r="AG2994">
        <v>-0.40183719999999901</v>
      </c>
      <c r="AH2994">
        <v>167.153585395047</v>
      </c>
      <c r="AI2994">
        <v>90.136519366156804</v>
      </c>
      <c r="AJ2994">
        <v>82.370304953607501</v>
      </c>
      <c r="AK2994">
        <v>168.647116118909</v>
      </c>
      <c r="AL2994">
        <v>89.7058201219305</v>
      </c>
      <c r="AM2994">
        <v>90.291447753241101</v>
      </c>
      <c r="AN2994">
        <v>1.00000001821799</v>
      </c>
    </row>
    <row r="2995" spans="1:40" x14ac:dyDescent="0.25">
      <c r="A2995" t="str">
        <f>"20190305135850728"</f>
        <v>20190305135850728</v>
      </c>
      <c r="B2995" t="str">
        <f>"1551765530711620"</f>
        <v>1551765530711620</v>
      </c>
      <c r="C2995" t="s">
        <v>40</v>
      </c>
      <c r="D2995">
        <v>4.0675829999999999</v>
      </c>
      <c r="E2995">
        <v>0.5522918</v>
      </c>
      <c r="F2995" t="s">
        <v>70</v>
      </c>
      <c r="G2995">
        <v>-168.4134</v>
      </c>
      <c r="H2995">
        <v>2.146112</v>
      </c>
      <c r="I2995">
        <v>199.87569999999999</v>
      </c>
      <c r="J2995">
        <v>-335.79660000000001</v>
      </c>
      <c r="K2995">
        <v>1.1086210000000001</v>
      </c>
      <c r="L2995">
        <v>215.31469999999999</v>
      </c>
      <c r="M2995">
        <v>0.9990426</v>
      </c>
      <c r="N2995">
        <v>-1.5540699999999999E-2</v>
      </c>
      <c r="O2995">
        <v>4.0897269999999999E-2</v>
      </c>
      <c r="P2995">
        <v>0.99888250000000001</v>
      </c>
      <c r="Q2995">
        <v>-8.7102240000000008E-3</v>
      </c>
      <c r="R2995">
        <v>4.645494E-2</v>
      </c>
      <c r="S2995">
        <v>3.0163570000000002</v>
      </c>
      <c r="T2995">
        <v>1.8635390000000002E-2</v>
      </c>
      <c r="U2995">
        <v>-0.27690120000000001</v>
      </c>
      <c r="V2995">
        <v>-5.5543429999999998E-3</v>
      </c>
      <c r="W2995">
        <v>6.8352319999999897E-3</v>
      </c>
      <c r="X2995">
        <v>0.99996119999999999</v>
      </c>
      <c r="Y2995">
        <v>0.13206419999999999</v>
      </c>
      <c r="Z2995">
        <v>2.650005E-4</v>
      </c>
      <c r="AA2995">
        <v>0.99124109999999999</v>
      </c>
      <c r="AB2995">
        <v>57</v>
      </c>
      <c r="AC2995">
        <v>167.38319999999999</v>
      </c>
      <c r="AD2995">
        <v>1.0374909999999999</v>
      </c>
      <c r="AE2995">
        <v>-15.438999999999901</v>
      </c>
      <c r="AF2995">
        <v>22.271573487095601</v>
      </c>
      <c r="AG2995">
        <v>1.0374909999999999</v>
      </c>
      <c r="AH2995">
        <v>166.60529020864399</v>
      </c>
      <c r="AI2995">
        <v>89.646355821386194</v>
      </c>
      <c r="AJ2995">
        <v>82.385916832469803</v>
      </c>
      <c r="AK2995">
        <v>168.09051757512299</v>
      </c>
      <c r="AL2995">
        <v>89.608366999465403</v>
      </c>
      <c r="AM2995">
        <v>90.318249487105405</v>
      </c>
      <c r="AN2995">
        <v>0.99999998631404696</v>
      </c>
    </row>
    <row r="2996" spans="1:40" x14ac:dyDescent="0.25">
      <c r="A2996" t="str">
        <f>"20190305135850750"</f>
        <v>20190305135850750</v>
      </c>
      <c r="B2996" t="str">
        <f>"1551765530741875"</f>
        <v>1551765530741875</v>
      </c>
      <c r="C2996" t="s">
        <v>40</v>
      </c>
      <c r="D2996">
        <v>4.0641499999999997</v>
      </c>
      <c r="E2996">
        <v>0.55269179999999996</v>
      </c>
      <c r="F2996" t="s">
        <v>70</v>
      </c>
      <c r="G2996">
        <v>-168.4135</v>
      </c>
      <c r="H2996">
        <v>2.554767</v>
      </c>
      <c r="I2996">
        <v>199.95779999999999</v>
      </c>
      <c r="J2996">
        <v>-335.22629999999998</v>
      </c>
      <c r="K2996">
        <v>1.1086149999999999</v>
      </c>
      <c r="L2996">
        <v>215.33789999999999</v>
      </c>
      <c r="M2996">
        <v>0.99905339999999998</v>
      </c>
      <c r="N2996">
        <v>-1.553671E-2</v>
      </c>
      <c r="O2996">
        <v>4.0635320000000003E-2</v>
      </c>
      <c r="P2996">
        <v>0.99887689999999996</v>
      </c>
      <c r="Q2996">
        <v>-7.7596319999999998E-3</v>
      </c>
      <c r="R2996">
        <v>4.6743569999999998E-2</v>
      </c>
      <c r="S2996">
        <v>3.0164490000000002</v>
      </c>
      <c r="T2996">
        <v>2.6061890000000001E-2</v>
      </c>
      <c r="U2996">
        <v>-0.27674870000000001</v>
      </c>
      <c r="V2996">
        <v>-6.1035949999999999E-3</v>
      </c>
      <c r="W2996">
        <v>7.7822059999999998E-3</v>
      </c>
      <c r="X2996">
        <v>0.99995109999999998</v>
      </c>
      <c r="Y2996">
        <v>0.1317497</v>
      </c>
      <c r="Z2996">
        <v>5.2257279999999996E-4</v>
      </c>
      <c r="AA2996">
        <v>0.99128289999999997</v>
      </c>
      <c r="AB2996">
        <v>57</v>
      </c>
      <c r="AC2996">
        <v>166.81279999999899</v>
      </c>
      <c r="AD2996">
        <v>1.4461520000000001</v>
      </c>
      <c r="AE2996">
        <v>-15.380100000000001</v>
      </c>
      <c r="AF2996">
        <v>22.145052045881101</v>
      </c>
      <c r="AG2996">
        <v>1.4461520000000001</v>
      </c>
      <c r="AH2996">
        <v>166.037562455125</v>
      </c>
      <c r="AI2996">
        <v>89.505358381574098</v>
      </c>
      <c r="AJ2996">
        <v>82.403081489604503</v>
      </c>
      <c r="AK2996">
        <v>167.514079503071</v>
      </c>
      <c r="AL2996">
        <v>89.554107944315803</v>
      </c>
      <c r="AM2996">
        <v>90.349722991796995</v>
      </c>
      <c r="AN2996">
        <v>1.0000000094966801</v>
      </c>
    </row>
    <row r="2997" spans="1:40" x14ac:dyDescent="0.25">
      <c r="A2997" t="str">
        <f>"20190305135850776"</f>
        <v>20190305135850776</v>
      </c>
      <c r="B2997" t="str">
        <f>"1551765530772130"</f>
        <v>1551765530772130</v>
      </c>
      <c r="C2997" t="s">
        <v>40</v>
      </c>
      <c r="D2997">
        <v>4.0847660000000001</v>
      </c>
      <c r="E2997">
        <v>0.55284609999999901</v>
      </c>
      <c r="F2997" t="s">
        <v>70</v>
      </c>
      <c r="G2997">
        <v>-168.41370000000001</v>
      </c>
      <c r="H2997">
        <v>3.1141740000000002</v>
      </c>
      <c r="I2997">
        <v>199.9023</v>
      </c>
      <c r="J2997">
        <v>-334.60700000000003</v>
      </c>
      <c r="K2997">
        <v>1.1086039999999999</v>
      </c>
      <c r="L2997">
        <v>215.363</v>
      </c>
      <c r="M2997">
        <v>0.99906499999999998</v>
      </c>
      <c r="N2997">
        <v>-1.5532399999999899E-2</v>
      </c>
      <c r="O2997">
        <v>4.0347040000000001E-2</v>
      </c>
      <c r="P2997">
        <v>0.99882850000000001</v>
      </c>
      <c r="Q2997">
        <v>-8.1937820000000001E-3</v>
      </c>
      <c r="R2997">
        <v>4.7690370000000003E-2</v>
      </c>
      <c r="S2997">
        <v>3.016724</v>
      </c>
      <c r="T2997">
        <v>3.6270139999999999E-2</v>
      </c>
      <c r="U2997">
        <v>-0.27914430000000001</v>
      </c>
      <c r="V2997">
        <v>-7.3404689999999996E-3</v>
      </c>
      <c r="W2997">
        <v>7.3454359999999899E-3</v>
      </c>
      <c r="X2997">
        <v>0.99994609999999995</v>
      </c>
      <c r="Y2997">
        <v>0.1322315</v>
      </c>
      <c r="Z2997">
        <v>8.7335359999999999E-4</v>
      </c>
      <c r="AA2997">
        <v>0.99121840000000005</v>
      </c>
      <c r="AB2997">
        <v>57</v>
      </c>
      <c r="AC2997">
        <v>166.193299999999</v>
      </c>
      <c r="AD2997">
        <v>2.0055700000000001</v>
      </c>
      <c r="AE2997">
        <v>-15.460699999999999</v>
      </c>
      <c r="AF2997">
        <v>22.151126233728299</v>
      </c>
      <c r="AG2997">
        <v>2.0055700000000001</v>
      </c>
      <c r="AH2997">
        <v>165.41018993941401</v>
      </c>
      <c r="AI2997">
        <v>89.311478400004106</v>
      </c>
      <c r="AJ2997">
        <v>82.372539133791406</v>
      </c>
      <c r="AK2997">
        <v>166.898848528803</v>
      </c>
      <c r="AL2997">
        <v>89.579133742378701</v>
      </c>
      <c r="AM2997">
        <v>90.420593008812304</v>
      </c>
      <c r="AN2997">
        <v>1.00000002041018</v>
      </c>
    </row>
    <row r="2998" spans="1:40" x14ac:dyDescent="0.25">
      <c r="A2998" t="str">
        <f>"20190305135850796"</f>
        <v>20190305135850796</v>
      </c>
      <c r="B2998" t="str">
        <f>"1551765530791651"</f>
        <v>1551765530791651</v>
      </c>
      <c r="C2998" t="s">
        <v>40</v>
      </c>
      <c r="D2998">
        <v>4.0850200000000001</v>
      </c>
      <c r="E2998">
        <v>0.55316409999999905</v>
      </c>
      <c r="F2998" t="s">
        <v>70</v>
      </c>
      <c r="G2998">
        <v>-168.4136</v>
      </c>
      <c r="H2998">
        <v>2.9560399999999998</v>
      </c>
      <c r="I2998">
        <v>200.0762</v>
      </c>
      <c r="J2998">
        <v>-334.06950000000001</v>
      </c>
      <c r="K2998">
        <v>1.108598</v>
      </c>
      <c r="L2998">
        <v>215.38460000000001</v>
      </c>
      <c r="M2998">
        <v>0.99907550000000001</v>
      </c>
      <c r="N2998">
        <v>-1.5528729999999999E-2</v>
      </c>
      <c r="O2998">
        <v>4.0089989999999999E-2</v>
      </c>
      <c r="P2998">
        <v>0.9987568</v>
      </c>
      <c r="Q2998">
        <v>-7.7699049999999997E-3</v>
      </c>
      <c r="R2998">
        <v>4.9241970000000003E-2</v>
      </c>
      <c r="S2998">
        <v>3.017029</v>
      </c>
      <c r="T2998">
        <v>3.3538459999999999E-2</v>
      </c>
      <c r="U2998">
        <v>-0.27751160000000002</v>
      </c>
      <c r="V2998">
        <v>-9.1504039999999991E-3</v>
      </c>
      <c r="W2998">
        <v>7.7674249999999997E-3</v>
      </c>
      <c r="X2998">
        <v>0.99992789999999998</v>
      </c>
      <c r="Y2998">
        <v>0.1314369</v>
      </c>
      <c r="Z2998">
        <v>7.7215240000000004E-4</v>
      </c>
      <c r="AA2998">
        <v>0.99132419999999999</v>
      </c>
      <c r="AB2998">
        <v>57</v>
      </c>
      <c r="AC2998">
        <v>165.6559</v>
      </c>
      <c r="AD2998">
        <v>1.847442</v>
      </c>
      <c r="AE2998">
        <v>-15.308400000000001</v>
      </c>
      <c r="AF2998">
        <v>21.935328698228702</v>
      </c>
      <c r="AG2998">
        <v>1.847442</v>
      </c>
      <c r="AH2998">
        <v>164.88857100742001</v>
      </c>
      <c r="AI2998">
        <v>89.3636797821584</v>
      </c>
      <c r="AJ2998">
        <v>82.422364449496897</v>
      </c>
      <c r="AK2998">
        <v>166.351472899736</v>
      </c>
      <c r="AL2998">
        <v>89.554954825218303</v>
      </c>
      <c r="AM2998">
        <v>90.524302698266098</v>
      </c>
      <c r="AN2998">
        <v>0.99999993399144904</v>
      </c>
    </row>
    <row r="2999" spans="1:40" x14ac:dyDescent="0.25">
      <c r="A2999" t="str">
        <f>"20190305135850818"</f>
        <v>20190305135850818</v>
      </c>
      <c r="B2999" t="str">
        <f>"1551765530811678"</f>
        <v>1551765530811678</v>
      </c>
      <c r="C2999" t="s">
        <v>40</v>
      </c>
      <c r="D2999">
        <v>4.0910129999999896</v>
      </c>
      <c r="E2999">
        <v>0.55321759999999998</v>
      </c>
      <c r="F2999" t="s">
        <v>70</v>
      </c>
      <c r="G2999">
        <v>-168.4136</v>
      </c>
      <c r="H2999">
        <v>3.1938559999999998</v>
      </c>
      <c r="I2999">
        <v>200.27500000000001</v>
      </c>
      <c r="J2999">
        <v>-333.51519999999999</v>
      </c>
      <c r="K2999">
        <v>1.108611</v>
      </c>
      <c r="L2999">
        <v>215.4067</v>
      </c>
      <c r="M2999">
        <v>0.99908649999999999</v>
      </c>
      <c r="N2999">
        <v>-1.5524980000000001E-2</v>
      </c>
      <c r="O2999">
        <v>3.9817739999999997E-2</v>
      </c>
      <c r="P2999">
        <v>0.99875029999999998</v>
      </c>
      <c r="Q2999">
        <v>-6.079498E-3</v>
      </c>
      <c r="R2999">
        <v>4.9609180000000003E-2</v>
      </c>
      <c r="S2999">
        <v>3.0176090000000002</v>
      </c>
      <c r="T2999">
        <v>3.7985919999999999E-2</v>
      </c>
      <c r="U2999">
        <v>-0.27523799999999998</v>
      </c>
      <c r="V2999">
        <v>-9.7882219999999992E-3</v>
      </c>
      <c r="W2999">
        <v>9.4548870000000004E-3</v>
      </c>
      <c r="X2999">
        <v>0.9999074</v>
      </c>
      <c r="Y2999">
        <v>0.1304063</v>
      </c>
      <c r="Z2999">
        <v>9.2163789999999998E-4</v>
      </c>
      <c r="AA2999">
        <v>0.99146020000000001</v>
      </c>
      <c r="AB2999">
        <v>56</v>
      </c>
      <c r="AC2999">
        <v>165.10159999999999</v>
      </c>
      <c r="AD2999">
        <v>2.085245</v>
      </c>
      <c r="AE2999">
        <v>-15.131699999999899</v>
      </c>
      <c r="AF2999">
        <v>21.6910296996186</v>
      </c>
      <c r="AG2999">
        <v>2.085245</v>
      </c>
      <c r="AH2999">
        <v>164.34205629634599</v>
      </c>
      <c r="AI2999">
        <v>89.279294499527197</v>
      </c>
      <c r="AJ2999">
        <v>82.481156722818795</v>
      </c>
      <c r="AK2999">
        <v>165.780458691159</v>
      </c>
      <c r="AL2999">
        <v>89.4582668110138</v>
      </c>
      <c r="AM2999">
        <v>90.560857831974403</v>
      </c>
      <c r="AN2999">
        <v>1.0000000063764301</v>
      </c>
    </row>
    <row r="3000" spans="1:40" x14ac:dyDescent="0.25">
      <c r="A3000" t="str">
        <f>"20190305135850840"</f>
        <v>20190305135850840</v>
      </c>
      <c r="B3000" t="str">
        <f>"1551765530832175"</f>
        <v>1551765530832175</v>
      </c>
      <c r="C3000" t="s">
        <v>40</v>
      </c>
      <c r="D3000">
        <v>4.0846900000000002</v>
      </c>
      <c r="E3000">
        <v>0.55338769999999904</v>
      </c>
      <c r="F3000" t="s">
        <v>70</v>
      </c>
      <c r="G3000">
        <v>-168.41370000000001</v>
      </c>
      <c r="H3000">
        <v>3.565909</v>
      </c>
      <c r="I3000">
        <v>200.3897</v>
      </c>
      <c r="J3000">
        <v>-332.95710000000003</v>
      </c>
      <c r="K3000">
        <v>1.108627</v>
      </c>
      <c r="L3000">
        <v>215.4288</v>
      </c>
      <c r="M3000">
        <v>0.99909749999999997</v>
      </c>
      <c r="N3000">
        <v>-1.552125E-2</v>
      </c>
      <c r="O3000">
        <v>3.953657E-2</v>
      </c>
      <c r="P3000">
        <v>0.99874909999999995</v>
      </c>
      <c r="Q3000">
        <v>-9.3379280000000005E-3</v>
      </c>
      <c r="R3000">
        <v>4.9126139999999999E-2</v>
      </c>
      <c r="S3000">
        <v>3.0176699999999999</v>
      </c>
      <c r="T3000">
        <v>4.4914250000000003E-2</v>
      </c>
      <c r="U3000">
        <v>-0.27447510000000003</v>
      </c>
      <c r="V3000">
        <v>-9.5896439999999996E-3</v>
      </c>
      <c r="W3000">
        <v>6.1924700000000003E-3</v>
      </c>
      <c r="X3000">
        <v>0.99993489999999996</v>
      </c>
      <c r="Y3000">
        <v>0.1298726</v>
      </c>
      <c r="Z3000">
        <v>1.153987E-3</v>
      </c>
      <c r="AA3000">
        <v>0.99153000000000002</v>
      </c>
      <c r="AB3000">
        <v>56</v>
      </c>
      <c r="AC3000">
        <v>164.54339999999999</v>
      </c>
      <c r="AD3000">
        <v>2.4572820000000002</v>
      </c>
      <c r="AE3000">
        <v>-15.0390999999999</v>
      </c>
      <c r="AF3000">
        <v>21.528842663110499</v>
      </c>
      <c r="AG3000">
        <v>2.4572820000000002</v>
      </c>
      <c r="AH3000">
        <v>163.78382545795299</v>
      </c>
      <c r="AI3000">
        <v>89.147774125686396</v>
      </c>
      <c r="AJ3000">
        <v>82.511590994780093</v>
      </c>
      <c r="AK3000">
        <v>165.210988686836</v>
      </c>
      <c r="AL3000">
        <v>89.645195356520702</v>
      </c>
      <c r="AM3000">
        <v>90.549465054556094</v>
      </c>
      <c r="AN3000">
        <v>1.0000000560973701</v>
      </c>
    </row>
    <row r="3001" spans="1:40" x14ac:dyDescent="0.25">
      <c r="A3001" t="str">
        <f>"20190305135850862"</f>
        <v>20190305135850862</v>
      </c>
      <c r="B3001" t="str">
        <f>"1551765530851694"</f>
        <v>1551765530851694</v>
      </c>
      <c r="C3001" t="s">
        <v>40</v>
      </c>
      <c r="D3001">
        <v>4.0841779999999996</v>
      </c>
      <c r="E3001">
        <v>0.55349340000000002</v>
      </c>
      <c r="F3001" t="s">
        <v>70</v>
      </c>
      <c r="G3001">
        <v>-168.4136</v>
      </c>
      <c r="H3001">
        <v>3.1618819999999999</v>
      </c>
      <c r="I3001">
        <v>200.3074</v>
      </c>
      <c r="J3001">
        <v>-332.3981</v>
      </c>
      <c r="K3001">
        <v>1.108649</v>
      </c>
      <c r="L3001">
        <v>215.45070000000001</v>
      </c>
      <c r="M3001">
        <v>0.99910900000000002</v>
      </c>
      <c r="N3001">
        <v>-1.551752E-2</v>
      </c>
      <c r="O3001">
        <v>3.9249220000000001E-2</v>
      </c>
      <c r="P3001">
        <v>0.99874819999999997</v>
      </c>
      <c r="Q3001">
        <v>-1.35237E-2</v>
      </c>
      <c r="R3001">
        <v>4.8159899999999999E-2</v>
      </c>
      <c r="S3001">
        <v>3.0177610000000001</v>
      </c>
      <c r="T3001">
        <v>3.7657740000000002E-2</v>
      </c>
      <c r="U3001">
        <v>-0.27732849999999998</v>
      </c>
      <c r="V3001">
        <v>-8.9160669999999997E-3</v>
      </c>
      <c r="W3001">
        <v>2.0025400000000001E-3</v>
      </c>
      <c r="X3001">
        <v>0.99995820000000002</v>
      </c>
      <c r="Y3001">
        <v>0.1305191</v>
      </c>
      <c r="Z3001">
        <v>8.9421719999999995E-4</v>
      </c>
      <c r="AA3001">
        <v>0.99144540000000003</v>
      </c>
      <c r="AB3001">
        <v>56</v>
      </c>
      <c r="AC3001">
        <v>163.9845</v>
      </c>
      <c r="AD3001">
        <v>2.0532330000000001</v>
      </c>
      <c r="AE3001">
        <v>-15.1433</v>
      </c>
      <c r="AF3001">
        <v>21.565314765758298</v>
      </c>
      <c r="AG3001">
        <v>2.0532330000000001</v>
      </c>
      <c r="AH3001">
        <v>163.23830251588899</v>
      </c>
      <c r="AI3001">
        <v>89.285570903748706</v>
      </c>
      <c r="AJ3001">
        <v>82.474268755644502</v>
      </c>
      <c r="AK3001">
        <v>164.66943242438001</v>
      </c>
      <c r="AL3001">
        <v>89.885262827739396</v>
      </c>
      <c r="AM3001">
        <v>90.510860825486006</v>
      </c>
      <c r="AN3001">
        <v>0.99999995408221898</v>
      </c>
    </row>
    <row r="3002" spans="1:40" x14ac:dyDescent="0.25">
      <c r="A3002" t="str">
        <f>"20190305135850884"</f>
        <v>20190305135850884</v>
      </c>
      <c r="B3002" t="str">
        <f>"1551765530872191"</f>
        <v>1551765530872191</v>
      </c>
      <c r="C3002" t="s">
        <v>40</v>
      </c>
      <c r="D3002">
        <v>4.0978629999999896</v>
      </c>
      <c r="E3002">
        <v>0.55352040000000002</v>
      </c>
      <c r="F3002" t="s">
        <v>70</v>
      </c>
      <c r="G3002">
        <v>-168.4134</v>
      </c>
      <c r="H3002">
        <v>2.4547479999999999</v>
      </c>
      <c r="I3002">
        <v>200.18180000000001</v>
      </c>
      <c r="J3002">
        <v>-331.83909999999997</v>
      </c>
      <c r="K3002">
        <v>1.10867</v>
      </c>
      <c r="L3002">
        <v>215.4725</v>
      </c>
      <c r="M3002">
        <v>0.99912049999999997</v>
      </c>
      <c r="N3002">
        <v>-1.551372E-2</v>
      </c>
      <c r="O3002">
        <v>3.8957550000000001E-2</v>
      </c>
      <c r="P3002">
        <v>0.99881379999999997</v>
      </c>
      <c r="Q3002">
        <v>-1.6055110000000001E-2</v>
      </c>
      <c r="R3002">
        <v>4.5969450000000002E-2</v>
      </c>
      <c r="S3002">
        <v>3.0176090000000002</v>
      </c>
      <c r="T3002">
        <v>2.4771209999999998E-2</v>
      </c>
      <c r="U3002">
        <v>-0.28097529999999998</v>
      </c>
      <c r="V3002">
        <v>-7.018809E-3</v>
      </c>
      <c r="W3002">
        <v>-5.3456939999999996E-4</v>
      </c>
      <c r="X3002">
        <v>0.99997519999999995</v>
      </c>
      <c r="Y3002">
        <v>0.13142799999999999</v>
      </c>
      <c r="Z3002">
        <v>4.3865769999999998E-4</v>
      </c>
      <c r="AA3002">
        <v>0.99132560000000003</v>
      </c>
      <c r="AB3002">
        <v>56</v>
      </c>
      <c r="AC3002">
        <v>163.42569999999901</v>
      </c>
      <c r="AD3002">
        <v>1.3460780000000001</v>
      </c>
      <c r="AE3002">
        <v>-15.2906999999999</v>
      </c>
      <c r="AF3002">
        <v>21.6450645415099</v>
      </c>
      <c r="AG3002">
        <v>1.3460780000000001</v>
      </c>
      <c r="AH3002">
        <v>162.694906563025</v>
      </c>
      <c r="AI3002">
        <v>89.530106640863394</v>
      </c>
      <c r="AJ3002">
        <v>82.421824030344993</v>
      </c>
      <c r="AK3002">
        <v>164.133949463661</v>
      </c>
      <c r="AL3002">
        <v>90.030628572700394</v>
      </c>
      <c r="AM3002">
        <v>90.402151502367701</v>
      </c>
      <c r="AN3002">
        <v>0.99999997502963001</v>
      </c>
    </row>
    <row r="3003" spans="1:40" x14ac:dyDescent="0.25">
      <c r="A3003" t="str">
        <f>"20190305135850908"</f>
        <v>20190305135850908</v>
      </c>
      <c r="B3003" t="str">
        <f>"1551765530902446"</f>
        <v>1551765530902446</v>
      </c>
      <c r="C3003" t="s">
        <v>40</v>
      </c>
      <c r="D3003">
        <v>4.0610739999999996</v>
      </c>
      <c r="E3003">
        <v>0.55386639999999998</v>
      </c>
      <c r="F3003" t="s">
        <v>70</v>
      </c>
      <c r="G3003">
        <v>-168.4134</v>
      </c>
      <c r="H3003">
        <v>2.0739049999999999</v>
      </c>
      <c r="I3003">
        <v>199.8811</v>
      </c>
      <c r="J3003">
        <v>-331.24860000000001</v>
      </c>
      <c r="K3003">
        <v>1.108687</v>
      </c>
      <c r="L3003">
        <v>215.49539999999999</v>
      </c>
      <c r="M3003">
        <v>0.99913269999999998</v>
      </c>
      <c r="N3003">
        <v>-1.550967E-2</v>
      </c>
      <c r="O3003">
        <v>3.8645400000000003E-2</v>
      </c>
      <c r="P3003">
        <v>0.99891600000000003</v>
      </c>
      <c r="Q3003">
        <v>-1.6127220000000001E-2</v>
      </c>
      <c r="R3003">
        <v>4.3668899999999997E-2</v>
      </c>
      <c r="S3003">
        <v>3.01709</v>
      </c>
      <c r="T3003">
        <v>1.782036E-2</v>
      </c>
      <c r="U3003">
        <v>-0.28784179999999998</v>
      </c>
      <c r="V3003">
        <v>-5.0290049999999996E-3</v>
      </c>
      <c r="W3003">
        <v>-6.1250230000000001E-4</v>
      </c>
      <c r="X3003">
        <v>0.99998719999999996</v>
      </c>
      <c r="Y3003">
        <v>0.13337189999999999</v>
      </c>
      <c r="Z3003">
        <v>1.8198880000000001E-4</v>
      </c>
      <c r="AA3003">
        <v>0.991066</v>
      </c>
      <c r="AB3003">
        <v>56</v>
      </c>
      <c r="AC3003">
        <v>162.83519999999999</v>
      </c>
      <c r="AD3003">
        <v>0.96521800000000002</v>
      </c>
      <c r="AE3003">
        <v>-15.614299999999901</v>
      </c>
      <c r="AF3003">
        <v>21.8954587171398</v>
      </c>
      <c r="AG3003">
        <v>0.96521800000000002</v>
      </c>
      <c r="AH3003">
        <v>162.10439357656199</v>
      </c>
      <c r="AI3003">
        <v>89.661917802647693</v>
      </c>
      <c r="AJ3003">
        <v>82.307607004696393</v>
      </c>
      <c r="AK3003">
        <v>163.57926878136601</v>
      </c>
      <c r="AL3003">
        <v>90.035093797764404</v>
      </c>
      <c r="AM3003">
        <v>90.288142020730504</v>
      </c>
      <c r="AN3003">
        <v>1.00000003310709</v>
      </c>
    </row>
    <row r="3004" spans="1:40" x14ac:dyDescent="0.25">
      <c r="A3004" t="str">
        <f>"20190305135850928"</f>
        <v>20190305135850928</v>
      </c>
      <c r="B3004" t="str">
        <f>"1551765530921967"</f>
        <v>1551765530921967</v>
      </c>
      <c r="C3004" t="s">
        <v>40</v>
      </c>
      <c r="D3004">
        <v>4.099583</v>
      </c>
      <c r="E3004">
        <v>0.55398080000000005</v>
      </c>
      <c r="F3004" t="s">
        <v>70</v>
      </c>
      <c r="G3004">
        <v>-168.4136</v>
      </c>
      <c r="H3004">
        <v>2.2804310000000001</v>
      </c>
      <c r="I3004">
        <v>199.43389999999999</v>
      </c>
      <c r="J3004">
        <v>-330.73090000000002</v>
      </c>
      <c r="K3004">
        <v>1.1086849999999999</v>
      </c>
      <c r="L3004">
        <v>215.5153</v>
      </c>
      <c r="M3004">
        <v>0.99914329999999996</v>
      </c>
      <c r="N3004">
        <v>-1.550637E-2</v>
      </c>
      <c r="O3004">
        <v>3.8369229999999997E-2</v>
      </c>
      <c r="P3004">
        <v>0.99906729999999999</v>
      </c>
      <c r="Q3004">
        <v>-1.329493E-2</v>
      </c>
      <c r="R3004">
        <v>4.1085110000000001E-2</v>
      </c>
      <c r="S3004">
        <v>3.0166019999999998</v>
      </c>
      <c r="T3004">
        <v>2.1707770000000001E-2</v>
      </c>
      <c r="U3004">
        <v>-0.29754639999999999</v>
      </c>
      <c r="V3004">
        <v>-2.7144489999999999E-3</v>
      </c>
      <c r="W3004">
        <v>2.2147320000000001E-3</v>
      </c>
      <c r="X3004">
        <v>0.99999389999999999</v>
      </c>
      <c r="Y3004">
        <v>0.13627049999999999</v>
      </c>
      <c r="Z3004">
        <v>2.9886350000000002E-4</v>
      </c>
      <c r="AA3004">
        <v>0.99067159999999999</v>
      </c>
      <c r="AB3004">
        <v>56</v>
      </c>
      <c r="AC3004">
        <v>162.31729999999999</v>
      </c>
      <c r="AD3004">
        <v>1.171746</v>
      </c>
      <c r="AE3004">
        <v>-16.081399999999999</v>
      </c>
      <c r="AF3004">
        <v>22.297143405139099</v>
      </c>
      <c r="AG3004">
        <v>1.171746</v>
      </c>
      <c r="AH3004">
        <v>161.57230250383199</v>
      </c>
      <c r="AI3004">
        <v>89.588390681397996</v>
      </c>
      <c r="AJ3004">
        <v>82.142751426183196</v>
      </c>
      <c r="AK3004">
        <v>163.107769677314</v>
      </c>
      <c r="AL3004">
        <v>89.873105104561105</v>
      </c>
      <c r="AM3004">
        <v>90.155527038130302</v>
      </c>
      <c r="AN3004">
        <v>1.0000000366541999</v>
      </c>
    </row>
    <row r="3005" spans="1:40" x14ac:dyDescent="0.25">
      <c r="A3005" t="str">
        <f>"20190305135850950"</f>
        <v>20190305135850950</v>
      </c>
      <c r="B3005" t="str">
        <f>"1551765530941486"</f>
        <v>1551765530941486</v>
      </c>
      <c r="C3005" t="s">
        <v>40</v>
      </c>
      <c r="D3005">
        <v>4.0796659999999996</v>
      </c>
      <c r="E3005">
        <v>0.5541391</v>
      </c>
      <c r="F3005" t="s">
        <v>70</v>
      </c>
      <c r="G3005">
        <v>-168.41390000000001</v>
      </c>
      <c r="H3005">
        <v>2.7907190000000002</v>
      </c>
      <c r="I3005">
        <v>199.0309</v>
      </c>
      <c r="J3005">
        <v>-330.18439999999998</v>
      </c>
      <c r="K3005">
        <v>1.1086720000000001</v>
      </c>
      <c r="L3005">
        <v>215.5361</v>
      </c>
      <c r="M3005">
        <v>0.9991546</v>
      </c>
      <c r="N3005">
        <v>-1.550284E-2</v>
      </c>
      <c r="O3005">
        <v>3.8075739999999997E-2</v>
      </c>
      <c r="P3005">
        <v>0.99917710000000004</v>
      </c>
      <c r="Q3005">
        <v>-1.1109050000000001E-2</v>
      </c>
      <c r="R3005">
        <v>3.9008080000000001E-2</v>
      </c>
      <c r="S3005">
        <v>3.0158079999999998</v>
      </c>
      <c r="T3005">
        <v>3.1252380000000003E-2</v>
      </c>
      <c r="U3005">
        <v>-0.3062744</v>
      </c>
      <c r="V3005">
        <v>-9.2583390000000002E-4</v>
      </c>
      <c r="W3005">
        <v>4.3952959999999999E-3</v>
      </c>
      <c r="X3005">
        <v>0.99998989999999999</v>
      </c>
      <c r="Y3005">
        <v>0.13883989999999999</v>
      </c>
      <c r="Z3005">
        <v>6.207621E-4</v>
      </c>
      <c r="AA3005">
        <v>0.99031469999999999</v>
      </c>
      <c r="AB3005">
        <v>56</v>
      </c>
      <c r="AC3005">
        <v>161.770499999999</v>
      </c>
      <c r="AD3005">
        <v>1.6820469999999901</v>
      </c>
      <c r="AE3005">
        <v>-16.505199999999999</v>
      </c>
      <c r="AF3005">
        <v>22.651076603023402</v>
      </c>
      <c r="AG3005">
        <v>1.6820469999999901</v>
      </c>
      <c r="AH3005">
        <v>161.00741402139101</v>
      </c>
      <c r="AI3005">
        <v>89.407288125610705</v>
      </c>
      <c r="AJ3005">
        <v>81.9919878281829</v>
      </c>
      <c r="AK3005">
        <v>162.601623372099</v>
      </c>
      <c r="AL3005">
        <v>89.748167275606093</v>
      </c>
      <c r="AM3005">
        <v>90.053046895616902</v>
      </c>
      <c r="AN3005">
        <v>0.99999998794867295</v>
      </c>
    </row>
    <row r="3006" spans="1:40" x14ac:dyDescent="0.25">
      <c r="A3006" t="str">
        <f>"20190305135850975"</f>
        <v>20190305135850975</v>
      </c>
      <c r="B3006" t="str">
        <f>"1551765530971743"</f>
        <v>1551765530971743</v>
      </c>
      <c r="C3006" t="s">
        <v>40</v>
      </c>
      <c r="D3006">
        <v>4.0683020000000001</v>
      </c>
      <c r="E3006">
        <v>0.55431739999999996</v>
      </c>
      <c r="F3006" t="s">
        <v>70</v>
      </c>
      <c r="G3006">
        <v>-168.41409999999999</v>
      </c>
      <c r="H3006">
        <v>3.1850999999999998</v>
      </c>
      <c r="I3006">
        <v>198.6918</v>
      </c>
      <c r="J3006">
        <v>-329.56720000000001</v>
      </c>
      <c r="K3006">
        <v>1.1086339999999999</v>
      </c>
      <c r="L3006">
        <v>215.55950000000001</v>
      </c>
      <c r="M3006">
        <v>0.99916740000000004</v>
      </c>
      <c r="N3006">
        <v>-1.549855E-2</v>
      </c>
      <c r="O3006">
        <v>3.7742860000000003E-2</v>
      </c>
      <c r="P3006">
        <v>0.99925600000000003</v>
      </c>
      <c r="Q3006">
        <v>-1.1288080000000001E-2</v>
      </c>
      <c r="R3006">
        <v>3.6882470000000001E-2</v>
      </c>
      <c r="S3006">
        <v>3.0151370000000002</v>
      </c>
      <c r="T3006">
        <v>3.8701890000000003E-2</v>
      </c>
      <c r="U3006">
        <v>-0.313949599999999</v>
      </c>
      <c r="V3006">
        <v>8.6774479999999999E-4</v>
      </c>
      <c r="W3006">
        <v>4.2098079999999998E-3</v>
      </c>
      <c r="X3006">
        <v>0.99999079999999996</v>
      </c>
      <c r="Y3006">
        <v>0.1410227</v>
      </c>
      <c r="Z3006">
        <v>8.7324119999999895E-4</v>
      </c>
      <c r="AA3006">
        <v>0.99000600000000005</v>
      </c>
      <c r="AB3006">
        <v>56</v>
      </c>
      <c r="AC3006">
        <v>161.15309999999999</v>
      </c>
      <c r="AD3006">
        <v>2.0764659999999999</v>
      </c>
      <c r="AE3006">
        <v>-16.867699999999999</v>
      </c>
      <c r="AF3006">
        <v>22.935020960543099</v>
      </c>
      <c r="AG3006">
        <v>2.0764659999999999</v>
      </c>
      <c r="AH3006">
        <v>160.37519901204499</v>
      </c>
      <c r="AI3006">
        <v>89.265671646745801</v>
      </c>
      <c r="AJ3006">
        <v>81.861397633159598</v>
      </c>
      <c r="AK3006">
        <v>162.02015725107401</v>
      </c>
      <c r="AL3006">
        <v>89.758795065689</v>
      </c>
      <c r="AM3006">
        <v>89.950281440333995</v>
      </c>
      <c r="AN3006">
        <v>1.0000000377745299</v>
      </c>
    </row>
    <row r="3007" spans="1:40" x14ac:dyDescent="0.25">
      <c r="A3007" t="str">
        <f>"20190305135850997"</f>
        <v>20190305135850997</v>
      </c>
      <c r="B3007" t="str">
        <f>"1551765530992239"</f>
        <v>1551765530992239</v>
      </c>
      <c r="C3007" t="s">
        <v>40</v>
      </c>
      <c r="D3007">
        <v>4.0563070000000003</v>
      </c>
      <c r="E3007">
        <v>0.55449859999999995</v>
      </c>
      <c r="F3007" t="s">
        <v>70</v>
      </c>
      <c r="G3007">
        <v>-168.41419999999999</v>
      </c>
      <c r="H3007">
        <v>3.2124429999999999</v>
      </c>
      <c r="I3007">
        <v>198.3519</v>
      </c>
      <c r="J3007">
        <v>-329.02730000000003</v>
      </c>
      <c r="K3007">
        <v>1.1085860000000001</v>
      </c>
      <c r="L3007">
        <v>215.5797</v>
      </c>
      <c r="M3007">
        <v>0.99917829999999996</v>
      </c>
      <c r="N3007">
        <v>-1.5494569999999999E-2</v>
      </c>
      <c r="O3007">
        <v>3.7451060000000001E-2</v>
      </c>
      <c r="P3007">
        <v>0.99921130000000002</v>
      </c>
      <c r="Q3007">
        <v>-1.5034459999999999E-2</v>
      </c>
      <c r="R3007">
        <v>3.6753929999999997E-2</v>
      </c>
      <c r="S3007">
        <v>3.014526</v>
      </c>
      <c r="T3007">
        <v>3.9354439999999997E-2</v>
      </c>
      <c r="U3007">
        <v>-0.32188420000000001</v>
      </c>
      <c r="V3007">
        <v>6.9839119999999999E-4</v>
      </c>
      <c r="W3007">
        <v>4.5901930000000001E-4</v>
      </c>
      <c r="X3007">
        <v>0.99999959999999999</v>
      </c>
      <c r="Y3007">
        <v>0.14333070000000001</v>
      </c>
      <c r="Z3007">
        <v>8.85376E-4</v>
      </c>
      <c r="AA3007">
        <v>0.98967439999999995</v>
      </c>
      <c r="AB3007">
        <v>56</v>
      </c>
      <c r="AC3007">
        <v>160.6131</v>
      </c>
      <c r="AD3007">
        <v>2.1038570000000001</v>
      </c>
      <c r="AE3007">
        <v>-17.227799999999998</v>
      </c>
      <c r="AF3007">
        <v>23.227624277860901</v>
      </c>
      <c r="AG3007">
        <v>2.1038570000000001</v>
      </c>
      <c r="AH3007">
        <v>159.82800842858799</v>
      </c>
      <c r="AI3007">
        <v>89.253683737254704</v>
      </c>
      <c r="AJ3007">
        <v>81.731158636867804</v>
      </c>
      <c r="AK3007">
        <v>161.52071391037899</v>
      </c>
      <c r="AL3007">
        <v>89.973700129136006</v>
      </c>
      <c r="AM3007">
        <v>89.959985122290703</v>
      </c>
      <c r="AN3007">
        <v>0.99999994922457103</v>
      </c>
    </row>
    <row r="3008" spans="1:40" x14ac:dyDescent="0.25">
      <c r="A3008" t="str">
        <f>"20190305135851016"</f>
        <v>20190305135851016</v>
      </c>
      <c r="B3008" t="str">
        <f>"1551765531011759"</f>
        <v>1551765531011759</v>
      </c>
      <c r="C3008" t="s">
        <v>40</v>
      </c>
      <c r="D3008">
        <v>4.0406740000000001</v>
      </c>
      <c r="E3008">
        <v>0.55466780000000004</v>
      </c>
      <c r="F3008" t="s">
        <v>70</v>
      </c>
      <c r="G3008">
        <v>-168.41409999999999</v>
      </c>
      <c r="H3008">
        <v>2.7402489999999999</v>
      </c>
      <c r="I3008">
        <v>198.3424</v>
      </c>
      <c r="J3008">
        <v>-328.53269999999998</v>
      </c>
      <c r="K3008">
        <v>1.1085499999999999</v>
      </c>
      <c r="L3008">
        <v>215.59819999999999</v>
      </c>
      <c r="M3008">
        <v>0.99918839999999998</v>
      </c>
      <c r="N3008">
        <v>-1.5491069999999999E-2</v>
      </c>
      <c r="O3008">
        <v>3.7183420000000002E-2</v>
      </c>
      <c r="P3008">
        <v>0.99909700000000001</v>
      </c>
      <c r="Q3008">
        <v>-1.8562370000000002E-2</v>
      </c>
      <c r="R3008">
        <v>3.8219400000000001E-2</v>
      </c>
      <c r="S3008">
        <v>3.0147400000000002</v>
      </c>
      <c r="T3008">
        <v>3.0627250000000002E-2</v>
      </c>
      <c r="U3008">
        <v>-0.32354739999999999</v>
      </c>
      <c r="V3008">
        <v>-1.0421860000000001E-3</v>
      </c>
      <c r="W3008">
        <v>-3.0705889999999999E-3</v>
      </c>
      <c r="X3008">
        <v>0.99999479999999996</v>
      </c>
      <c r="Y3008">
        <v>0.1436026</v>
      </c>
      <c r="Z3008">
        <v>5.6277439999999996E-4</v>
      </c>
      <c r="AA3008">
        <v>0.9896353</v>
      </c>
      <c r="AB3008">
        <v>56</v>
      </c>
      <c r="AC3008">
        <v>160.11859999999999</v>
      </c>
      <c r="AD3008">
        <v>1.631699</v>
      </c>
      <c r="AE3008">
        <v>-17.255799999999901</v>
      </c>
      <c r="AF3008">
        <v>23.195954365667799</v>
      </c>
      <c r="AG3008">
        <v>1.631699</v>
      </c>
      <c r="AH3008">
        <v>159.34977984685801</v>
      </c>
      <c r="AI3008">
        <v>89.419445267585203</v>
      </c>
      <c r="AJ3008">
        <v>81.717838101681295</v>
      </c>
      <c r="AK3008">
        <v>161.03747103641101</v>
      </c>
      <c r="AL3008">
        <v>90.175932056693696</v>
      </c>
      <c r="AM3008">
        <v>90.059713148156703</v>
      </c>
      <c r="AN3008">
        <v>1.0000000573477501</v>
      </c>
    </row>
    <row r="3009" spans="1:40" x14ac:dyDescent="0.25">
      <c r="A3009" t="str">
        <f>"20190305135851040"</f>
        <v>20190305135851040</v>
      </c>
      <c r="B3009" t="str">
        <f>"1551765531032255"</f>
        <v>1551765531032255</v>
      </c>
      <c r="C3009" t="s">
        <v>40</v>
      </c>
      <c r="D3009">
        <v>4.0370030000000003</v>
      </c>
      <c r="E3009">
        <v>0.55476519999999996</v>
      </c>
      <c r="F3009" t="s">
        <v>70</v>
      </c>
      <c r="G3009">
        <v>-168.41390000000001</v>
      </c>
      <c r="H3009">
        <v>2.3770250000000002</v>
      </c>
      <c r="I3009">
        <v>198.5984</v>
      </c>
      <c r="J3009">
        <v>-327.94560000000001</v>
      </c>
      <c r="K3009">
        <v>1.108517</v>
      </c>
      <c r="L3009">
        <v>215.6199</v>
      </c>
      <c r="M3009">
        <v>0.99920010000000004</v>
      </c>
      <c r="N3009">
        <v>-1.5498919999999999E-2</v>
      </c>
      <c r="O3009">
        <v>3.6866500000000003E-2</v>
      </c>
      <c r="P3009">
        <v>0.99894640000000001</v>
      </c>
      <c r="Q3009">
        <v>-2.19139E-2</v>
      </c>
      <c r="R3009">
        <v>4.0324720000000001E-2</v>
      </c>
      <c r="S3009">
        <v>3.0154109999999998</v>
      </c>
      <c r="T3009">
        <v>2.3888949999999999E-2</v>
      </c>
      <c r="U3009">
        <v>-0.3201447</v>
      </c>
      <c r="V3009">
        <v>-3.4725519999999998E-3</v>
      </c>
      <c r="W3009">
        <v>-6.4122700000000003E-3</v>
      </c>
      <c r="X3009">
        <v>0.99997340000000001</v>
      </c>
      <c r="Y3009">
        <v>0.1421635</v>
      </c>
      <c r="Z3009">
        <v>3.1766800000000001E-4</v>
      </c>
      <c r="AA3009">
        <v>0.98984309999999998</v>
      </c>
      <c r="AB3009">
        <v>56</v>
      </c>
      <c r="AC3009">
        <v>159.5317</v>
      </c>
      <c r="AD3009">
        <v>1.268508</v>
      </c>
      <c r="AE3009">
        <v>-17.0215</v>
      </c>
      <c r="AF3009">
        <v>22.8905763920196</v>
      </c>
      <c r="AG3009">
        <v>1.268508</v>
      </c>
      <c r="AH3009">
        <v>158.785699470195</v>
      </c>
      <c r="AI3009">
        <v>89.5469680099485</v>
      </c>
      <c r="AJ3009">
        <v>81.796745186065095</v>
      </c>
      <c r="AK3009">
        <v>160.43218491420001</v>
      </c>
      <c r="AL3009">
        <v>90.367398530172395</v>
      </c>
      <c r="AM3009">
        <v>90.198967066489004</v>
      </c>
      <c r="AN3009">
        <v>0.99999998826575198</v>
      </c>
    </row>
    <row r="3010" spans="1:40" x14ac:dyDescent="0.25">
      <c r="A3010" t="str">
        <f>"20190305135851062"</f>
        <v>20190305135851062</v>
      </c>
      <c r="B3010" t="str">
        <f>"1551765531051774"</f>
        <v>1551765531051774</v>
      </c>
      <c r="C3010" t="s">
        <v>40</v>
      </c>
      <c r="D3010">
        <v>3.9931480000000001</v>
      </c>
      <c r="E3010">
        <v>0.55496829999999997</v>
      </c>
      <c r="F3010" t="s">
        <v>70</v>
      </c>
      <c r="G3010">
        <v>-168.4136</v>
      </c>
      <c r="H3010">
        <v>2.0346890000000002</v>
      </c>
      <c r="I3010">
        <v>199.0085</v>
      </c>
      <c r="J3010">
        <v>-327.38639999999998</v>
      </c>
      <c r="K3010">
        <v>1.1085199999999999</v>
      </c>
      <c r="L3010">
        <v>215.6404</v>
      </c>
      <c r="M3010">
        <v>0.99921040000000005</v>
      </c>
      <c r="N3010">
        <v>-1.554582E-2</v>
      </c>
      <c r="O3010">
        <v>3.6565739999999999E-2</v>
      </c>
      <c r="P3010">
        <v>0.99882159999999998</v>
      </c>
      <c r="Q3010">
        <v>-2.348049E-2</v>
      </c>
      <c r="R3010">
        <v>4.2474709999999999E-2</v>
      </c>
      <c r="S3010">
        <v>3.0162659999999999</v>
      </c>
      <c r="T3010">
        <v>1.751173E-2</v>
      </c>
      <c r="U3010">
        <v>-0.31407170000000001</v>
      </c>
      <c r="V3010">
        <v>-5.9281209999999997E-3</v>
      </c>
      <c r="W3010">
        <v>-7.9296820000000004E-3</v>
      </c>
      <c r="X3010">
        <v>0.99995100000000003</v>
      </c>
      <c r="Y3010">
        <v>0.13986599999999999</v>
      </c>
      <c r="Z3010" s="1">
        <v>9.3305830000000006E-5</v>
      </c>
      <c r="AA3010">
        <v>0.99017040000000001</v>
      </c>
      <c r="AB3010">
        <v>56</v>
      </c>
      <c r="AC3010">
        <v>158.97279999999901</v>
      </c>
      <c r="AD3010">
        <v>0.92616899999999902</v>
      </c>
      <c r="AE3010">
        <v>-16.631900000000002</v>
      </c>
      <c r="AF3010">
        <v>22.433681710051601</v>
      </c>
      <c r="AG3010">
        <v>0.92616899999999902</v>
      </c>
      <c r="AH3010">
        <v>158.25291678431699</v>
      </c>
      <c r="AI3010">
        <v>89.6680016811885</v>
      </c>
      <c r="AJ3010">
        <v>81.931600867399794</v>
      </c>
      <c r="AK3010">
        <v>159.83777255338799</v>
      </c>
      <c r="AL3010">
        <v>90.454342067408405</v>
      </c>
      <c r="AM3010">
        <v>90.339668978412604</v>
      </c>
      <c r="AN3010">
        <v>1.0000000124381001</v>
      </c>
    </row>
    <row r="3011" spans="1:40" x14ac:dyDescent="0.25">
      <c r="A3011" t="str">
        <f>"20190305135851083"</f>
        <v>20190305135851083</v>
      </c>
      <c r="B3011" t="str">
        <f>"1551765531072270"</f>
        <v>1551765531072270</v>
      </c>
      <c r="C3011" t="s">
        <v>40</v>
      </c>
      <c r="D3011">
        <v>3.9470149999999999</v>
      </c>
      <c r="E3011">
        <v>0.55505269999999995</v>
      </c>
      <c r="F3011" t="s">
        <v>70</v>
      </c>
      <c r="G3011">
        <v>-168.4135</v>
      </c>
      <c r="H3011">
        <v>1.9160079999999999</v>
      </c>
      <c r="I3011">
        <v>199.35570000000001</v>
      </c>
      <c r="J3011">
        <v>-326.86869999999999</v>
      </c>
      <c r="K3011">
        <v>1.108549</v>
      </c>
      <c r="L3011">
        <v>215.6592</v>
      </c>
      <c r="M3011">
        <v>0.99921919999999997</v>
      </c>
      <c r="N3011">
        <v>-1.563413E-2</v>
      </c>
      <c r="O3011">
        <v>3.628787E-2</v>
      </c>
      <c r="P3011">
        <v>0.99872159999999999</v>
      </c>
      <c r="Q3011">
        <v>-2.3156369999999999E-2</v>
      </c>
      <c r="R3011">
        <v>4.4937919999999999E-2</v>
      </c>
      <c r="S3011">
        <v>3.0169980000000001</v>
      </c>
      <c r="T3011">
        <v>1.5325190000000001E-2</v>
      </c>
      <c r="U3011">
        <v>-0.30905149999999998</v>
      </c>
      <c r="V3011">
        <v>-8.6707580000000006E-3</v>
      </c>
      <c r="W3011">
        <v>-7.5142680000000002E-3</v>
      </c>
      <c r="X3011">
        <v>0.9999342</v>
      </c>
      <c r="Y3011">
        <v>0.13793569999999999</v>
      </c>
      <c r="Z3011" s="1">
        <v>1.7895010000000001E-5</v>
      </c>
      <c r="AA3011">
        <v>0.99044120000000002</v>
      </c>
      <c r="AB3011">
        <v>56</v>
      </c>
      <c r="AC3011">
        <v>158.45519999999999</v>
      </c>
      <c r="AD3011">
        <v>0.80745900000000004</v>
      </c>
      <c r="AE3011">
        <v>-16.3034999999999</v>
      </c>
      <c r="AF3011">
        <v>22.042896985740501</v>
      </c>
      <c r="AG3011">
        <v>0.80745900000000004</v>
      </c>
      <c r="AH3011">
        <v>157.75506737328601</v>
      </c>
      <c r="AI3011">
        <v>89.709559397834099</v>
      </c>
      <c r="AJ3011">
        <v>82.045640513877999</v>
      </c>
      <c r="AK3011">
        <v>159.289681334074</v>
      </c>
      <c r="AL3011">
        <v>90.430539883386103</v>
      </c>
      <c r="AM3011">
        <v>90.496818078039595</v>
      </c>
      <c r="AN3011">
        <v>1.00000002529875</v>
      </c>
    </row>
    <row r="3012" spans="1:40" x14ac:dyDescent="0.25">
      <c r="A3012" t="str">
        <f>"20190305135851105"</f>
        <v>20190305135851105</v>
      </c>
      <c r="B3012" t="str">
        <f>"1551765531101550"</f>
        <v>1551765531101550</v>
      </c>
      <c r="C3012" t="s">
        <v>40</v>
      </c>
      <c r="D3012">
        <v>4.002802</v>
      </c>
      <c r="E3012">
        <v>0.55524669999999998</v>
      </c>
      <c r="F3012" t="s">
        <v>70</v>
      </c>
      <c r="G3012">
        <v>-168.41329999999999</v>
      </c>
      <c r="H3012">
        <v>1.9164909999999999</v>
      </c>
      <c r="I3012">
        <v>199.78970000000001</v>
      </c>
      <c r="J3012">
        <v>-326.31290000000001</v>
      </c>
      <c r="K3012">
        <v>1.1086</v>
      </c>
      <c r="L3012">
        <v>215.67920000000001</v>
      </c>
      <c r="M3012">
        <v>0.9992278</v>
      </c>
      <c r="N3012">
        <v>-1.5778259999999999E-2</v>
      </c>
      <c r="O3012">
        <v>3.5989899999999998E-2</v>
      </c>
      <c r="P3012">
        <v>0.99866279999999996</v>
      </c>
      <c r="Q3012">
        <v>-2.0220640000000002E-2</v>
      </c>
      <c r="R3012">
        <v>4.7581779999999997E-2</v>
      </c>
      <c r="S3012">
        <v>3.0177610000000001</v>
      </c>
      <c r="T3012">
        <v>1.538777E-2</v>
      </c>
      <c r="U3012">
        <v>-0.30223080000000002</v>
      </c>
      <c r="V3012">
        <v>-1.1609960000000001E-2</v>
      </c>
      <c r="W3012">
        <v>-4.4306880000000003E-3</v>
      </c>
      <c r="X3012">
        <v>0.9999228</v>
      </c>
      <c r="Y3012">
        <v>0.13539870000000001</v>
      </c>
      <c r="Z3012" s="1">
        <v>2.285116E-5</v>
      </c>
      <c r="AA3012">
        <v>0.99079119999999998</v>
      </c>
      <c r="AB3012">
        <v>56</v>
      </c>
      <c r="AC3012">
        <v>157.89959999999999</v>
      </c>
      <c r="AD3012">
        <v>0.80789099999999903</v>
      </c>
      <c r="AE3012">
        <v>-15.8894999999999</v>
      </c>
      <c r="AF3012">
        <v>21.5621418021659</v>
      </c>
      <c r="AG3012">
        <v>0.80789099999999903</v>
      </c>
      <c r="AH3012">
        <v>157.22127275378699</v>
      </c>
      <c r="AI3012">
        <v>89.708315065599507</v>
      </c>
      <c r="AJ3012">
        <v>82.190876173330096</v>
      </c>
      <c r="AK3012">
        <v>158.69501332204899</v>
      </c>
      <c r="AL3012">
        <v>90.253860549762905</v>
      </c>
      <c r="AM3012">
        <v>90.665223173574702</v>
      </c>
      <c r="AN3012">
        <v>1.0000000140635901</v>
      </c>
    </row>
    <row r="3013" spans="1:40" x14ac:dyDescent="0.25">
      <c r="A3013" t="str">
        <f>"20190305135851120"</f>
        <v>20190305135851120</v>
      </c>
      <c r="B3013" t="str">
        <f>"1551765531112287"</f>
        <v>1551765531112287</v>
      </c>
      <c r="C3013" t="s">
        <v>40</v>
      </c>
      <c r="D3013">
        <v>3.9892859999999999</v>
      </c>
      <c r="E3013">
        <v>0.55530170000000001</v>
      </c>
      <c r="F3013" t="s">
        <v>70</v>
      </c>
      <c r="G3013">
        <v>-168.41329999999999</v>
      </c>
      <c r="H3013">
        <v>2.083707</v>
      </c>
      <c r="I3013">
        <v>200.20230000000001</v>
      </c>
      <c r="J3013">
        <v>-325.95089999999999</v>
      </c>
      <c r="K3013">
        <v>1.1086400000000001</v>
      </c>
      <c r="L3013">
        <v>215.69220000000001</v>
      </c>
      <c r="M3013">
        <v>0.99923240000000002</v>
      </c>
      <c r="N3013">
        <v>-1.5911789999999999E-2</v>
      </c>
      <c r="O3013">
        <v>3.5796809999999998E-2</v>
      </c>
      <c r="P3013">
        <v>0.99868330000000005</v>
      </c>
      <c r="Q3013">
        <v>-1.720843E-2</v>
      </c>
      <c r="R3013">
        <v>4.8329280000000002E-2</v>
      </c>
      <c r="S3013">
        <v>3.0185240000000002</v>
      </c>
      <c r="T3013">
        <v>1.864147E-2</v>
      </c>
      <c r="U3013">
        <v>-0.29586790000000002</v>
      </c>
      <c r="V3013">
        <v>-1.254603E-2</v>
      </c>
      <c r="W3013">
        <v>-1.2833409999999999E-3</v>
      </c>
      <c r="X3013">
        <v>0.99992049999999999</v>
      </c>
      <c r="Y3013">
        <v>0.13311329999999999</v>
      </c>
      <c r="Z3013">
        <v>1.37117E-4</v>
      </c>
      <c r="AA3013">
        <v>0.9911008</v>
      </c>
      <c r="AB3013">
        <v>56</v>
      </c>
      <c r="AC3013">
        <v>157.5376</v>
      </c>
      <c r="AD3013">
        <v>0.97506700000000002</v>
      </c>
      <c r="AE3013">
        <v>-15.4899</v>
      </c>
      <c r="AF3013">
        <v>21.119226135074602</v>
      </c>
      <c r="AG3013">
        <v>0.97506700000000002</v>
      </c>
      <c r="AH3013">
        <v>156.876095375083</v>
      </c>
      <c r="AI3013">
        <v>89.647065110925894</v>
      </c>
      <c r="AJ3013">
        <v>82.332732899806103</v>
      </c>
      <c r="AK3013">
        <v>158.29428848929101</v>
      </c>
      <c r="AL3013">
        <v>90.073530041095097</v>
      </c>
      <c r="AM3013">
        <v>90.718853999561503</v>
      </c>
      <c r="AN3013">
        <v>1.00000002807656</v>
      </c>
    </row>
    <row r="3014" spans="1:40" x14ac:dyDescent="0.25">
      <c r="A3014" t="str">
        <f>"20190305135851132"</f>
        <v>20190305135851132</v>
      </c>
      <c r="B3014" t="str">
        <f>"1551765531122047"</f>
        <v>1551765531122047</v>
      </c>
      <c r="C3014" t="s">
        <v>40</v>
      </c>
      <c r="D3014">
        <v>3.97105</v>
      </c>
      <c r="E3014">
        <v>0.55535129999999999</v>
      </c>
      <c r="F3014" t="s">
        <v>70</v>
      </c>
      <c r="G3014">
        <v>-168.41329999999999</v>
      </c>
      <c r="H3014">
        <v>2.4707880000000002</v>
      </c>
      <c r="I3014">
        <v>200.34379999999999</v>
      </c>
      <c r="J3014">
        <v>-325.62150000000003</v>
      </c>
      <c r="K3014">
        <v>1.1087070000000001</v>
      </c>
      <c r="L3014">
        <v>215.7039</v>
      </c>
      <c r="M3014">
        <v>0.99923589999999995</v>
      </c>
      <c r="N3014">
        <v>-1.6090119999999999E-2</v>
      </c>
      <c r="O3014">
        <v>3.5617999999999997E-2</v>
      </c>
      <c r="P3014">
        <v>0.99871080000000001</v>
      </c>
      <c r="Q3014">
        <v>-1.264087E-2</v>
      </c>
      <c r="R3014">
        <v>4.9165159999999999E-2</v>
      </c>
      <c r="S3014">
        <v>3.0186459999999999</v>
      </c>
      <c r="T3014">
        <v>2.6101349999999999E-2</v>
      </c>
      <c r="U3014">
        <v>-0.29409790000000002</v>
      </c>
      <c r="V3014">
        <v>-1.355343E-2</v>
      </c>
      <c r="W3014">
        <v>3.4645180000000002E-3</v>
      </c>
      <c r="X3014">
        <v>0.99990210000000002</v>
      </c>
      <c r="Y3014">
        <v>0.13235459999999999</v>
      </c>
      <c r="Z3014">
        <v>3.8240980000000001E-4</v>
      </c>
      <c r="AA3014">
        <v>0.99120240000000004</v>
      </c>
      <c r="AB3014">
        <v>56</v>
      </c>
      <c r="AC3014">
        <v>157.20820000000001</v>
      </c>
      <c r="AD3014">
        <v>1.3620810000000001</v>
      </c>
      <c r="AE3014">
        <v>-15.360099999999999</v>
      </c>
      <c r="AF3014">
        <v>20.948960284739801</v>
      </c>
      <c r="AG3014">
        <v>1.3620810000000001</v>
      </c>
      <c r="AH3014">
        <v>156.549614393517</v>
      </c>
      <c r="AI3014">
        <v>89.505906926724293</v>
      </c>
      <c r="AJ3014">
        <v>82.378144542905204</v>
      </c>
      <c r="AK3014">
        <v>157.95092898878801</v>
      </c>
      <c r="AL3014">
        <v>89.801497334313098</v>
      </c>
      <c r="AM3014">
        <v>90.776582810476995</v>
      </c>
      <c r="AN3014">
        <v>0.99999995396707198</v>
      </c>
    </row>
    <row r="3015" spans="1:40" x14ac:dyDescent="0.25">
      <c r="A3015" t="str">
        <f>"20190305135851151"</f>
        <v>20190305135851151</v>
      </c>
      <c r="B3015" t="str">
        <f>"1551765531141566"</f>
        <v>1551765531141566</v>
      </c>
      <c r="C3015" t="s">
        <v>40</v>
      </c>
      <c r="D3015">
        <v>3.9729770000000002</v>
      </c>
      <c r="E3015">
        <v>0.55550919999999904</v>
      </c>
      <c r="F3015" t="s">
        <v>45</v>
      </c>
      <c r="G3015">
        <v>-234.55449999999999</v>
      </c>
      <c r="H3015">
        <v>2.2641429999999998</v>
      </c>
      <c r="I3015">
        <v>206.8948</v>
      </c>
      <c r="J3015">
        <v>-325.17860000000002</v>
      </c>
      <c r="K3015">
        <v>1.108846</v>
      </c>
      <c r="L3015">
        <v>215.71960000000001</v>
      </c>
      <c r="M3015">
        <v>0.99923980000000001</v>
      </c>
      <c r="N3015">
        <v>-1.6398920000000001E-2</v>
      </c>
      <c r="O3015">
        <v>3.5369640000000001E-2</v>
      </c>
      <c r="P3015">
        <v>0.99870700000000001</v>
      </c>
      <c r="Q3015">
        <v>-1.4364499999999999E-3</v>
      </c>
      <c r="R3015">
        <v>5.0816350000000003E-2</v>
      </c>
      <c r="S3015">
        <v>3.0187379999999999</v>
      </c>
      <c r="T3015">
        <v>3.8302660000000002E-2</v>
      </c>
      <c r="U3015">
        <v>-0.29200739999999997</v>
      </c>
      <c r="V3015">
        <v>-1.5437940000000001E-2</v>
      </c>
      <c r="W3015">
        <v>1.497911E-2</v>
      </c>
      <c r="X3015">
        <v>0.99976860000000001</v>
      </c>
      <c r="Y3015">
        <v>0.13142029999999999</v>
      </c>
      <c r="Z3015">
        <v>7.7797259999999905E-4</v>
      </c>
      <c r="AA3015">
        <v>0.9913265</v>
      </c>
      <c r="AB3015">
        <v>56</v>
      </c>
      <c r="AC3015">
        <v>90.624099999999999</v>
      </c>
      <c r="AD3015">
        <v>1.155297</v>
      </c>
      <c r="AE3015">
        <v>-8.8248000000000104</v>
      </c>
      <c r="AF3015">
        <v>12.0231139078961</v>
      </c>
      <c r="AG3015">
        <v>1.155297</v>
      </c>
      <c r="AH3015">
        <v>90.240681236245607</v>
      </c>
      <c r="AI3015">
        <v>89.272940795889795</v>
      </c>
      <c r="AJ3015">
        <v>82.410956792121993</v>
      </c>
      <c r="AK3015">
        <v>91.045431127444004</v>
      </c>
      <c r="AL3015">
        <v>89.141728100148896</v>
      </c>
      <c r="AM3015">
        <v>90.884663225056002</v>
      </c>
      <c r="AN3015">
        <v>0.99999997863689705</v>
      </c>
    </row>
    <row r="3016" spans="1:40" x14ac:dyDescent="0.25">
      <c r="A3016" t="str">
        <f>"20190305135851174"</f>
        <v>20190305135851174</v>
      </c>
      <c r="B3016" t="str">
        <f>"1551765531162062"</f>
        <v>1551765531162062</v>
      </c>
      <c r="C3016" t="s">
        <v>40</v>
      </c>
      <c r="D3016">
        <v>3.9917579999999999</v>
      </c>
      <c r="E3016">
        <v>0.56014560000000002</v>
      </c>
      <c r="F3016" t="s">
        <v>70</v>
      </c>
      <c r="G3016">
        <v>-168.41390000000001</v>
      </c>
      <c r="H3016">
        <v>4.6482839999999896</v>
      </c>
      <c r="I3016">
        <v>200.749</v>
      </c>
      <c r="J3016">
        <v>-324.61099999999999</v>
      </c>
      <c r="K3016">
        <v>1.109024</v>
      </c>
      <c r="L3016">
        <v>215.73949999999999</v>
      </c>
      <c r="M3016">
        <v>0.99924329999999995</v>
      </c>
      <c r="N3016">
        <v>-1.6891079999999999E-2</v>
      </c>
      <c r="O3016">
        <v>3.5035650000000002E-2</v>
      </c>
      <c r="P3016">
        <v>0.99844770000000005</v>
      </c>
      <c r="Q3016">
        <v>1.48352999999999E-2</v>
      </c>
      <c r="R3016">
        <v>5.3685240000000002E-2</v>
      </c>
      <c r="S3016">
        <v>3.0186160000000002</v>
      </c>
      <c r="T3016">
        <v>6.8155049999999995E-2</v>
      </c>
      <c r="U3016">
        <v>-0.288269</v>
      </c>
      <c r="V3016">
        <v>-1.8627970000000001E-2</v>
      </c>
      <c r="W3016">
        <v>3.1742319999999997E-2</v>
      </c>
      <c r="X3016">
        <v>0.9993225</v>
      </c>
      <c r="Y3016">
        <v>0.129853</v>
      </c>
      <c r="Z3016">
        <v>1.7426919999999999E-3</v>
      </c>
      <c r="AA3016">
        <v>0.99153170000000002</v>
      </c>
      <c r="AB3016">
        <v>56</v>
      </c>
      <c r="AC3016">
        <v>156.19709999999901</v>
      </c>
      <c r="AD3016">
        <v>3.5392600000000001</v>
      </c>
      <c r="AE3016">
        <v>-14.9904999999999</v>
      </c>
      <c r="AF3016">
        <v>20.4441411929628</v>
      </c>
      <c r="AG3016">
        <v>3.5392600000000001</v>
      </c>
      <c r="AH3016">
        <v>155.496792931329</v>
      </c>
      <c r="AI3016">
        <v>88.707238468389093</v>
      </c>
      <c r="AJ3016">
        <v>82.509924261707198</v>
      </c>
      <c r="AK3016">
        <v>156.87492432633701</v>
      </c>
      <c r="AL3016">
        <v>88.180993512566204</v>
      </c>
      <c r="AM3016">
        <v>91.067903973203101</v>
      </c>
      <c r="AN3016">
        <v>1.00000001757577</v>
      </c>
    </row>
    <row r="3017" spans="1:40" x14ac:dyDescent="0.25">
      <c r="A3017" t="str">
        <f>"20190305135851196"</f>
        <v>20190305135851196</v>
      </c>
      <c r="B3017" t="str">
        <f>"1551765531192319"</f>
        <v>1551765531192319</v>
      </c>
      <c r="C3017" t="s">
        <v>40</v>
      </c>
      <c r="D3017">
        <v>3.9793349999999998</v>
      </c>
      <c r="E3017">
        <v>0.56273499999999999</v>
      </c>
      <c r="F3017" t="s">
        <v>70</v>
      </c>
      <c r="G3017">
        <v>-168.41319999999999</v>
      </c>
      <c r="H3017">
        <v>0.91875169999999995</v>
      </c>
      <c r="I3017">
        <v>199.25069999999999</v>
      </c>
      <c r="J3017">
        <v>-324.07799999999997</v>
      </c>
      <c r="K3017">
        <v>1.109194</v>
      </c>
      <c r="L3017">
        <v>215.75790000000001</v>
      </c>
      <c r="M3017">
        <v>0.99924590000000002</v>
      </c>
      <c r="N3017">
        <v>-1.7417160000000001E-2</v>
      </c>
      <c r="O3017">
        <v>3.4704609999999997E-2</v>
      </c>
      <c r="P3017">
        <v>0.99793699999999996</v>
      </c>
      <c r="Q3017">
        <v>3.0727529999999999E-2</v>
      </c>
      <c r="R3017">
        <v>5.637143E-2</v>
      </c>
      <c r="S3017">
        <v>3.021881</v>
      </c>
      <c r="T3017">
        <v>-3.6804680000000001E-3</v>
      </c>
      <c r="U3017">
        <v>-0.31900020000000001</v>
      </c>
      <c r="V3017">
        <v>-2.164E-2</v>
      </c>
      <c r="W3017">
        <v>4.815415E-2</v>
      </c>
      <c r="X3017">
        <v>0.99860550000000003</v>
      </c>
      <c r="Y3017">
        <v>0.13942889999999999</v>
      </c>
      <c r="Z3017">
        <v>-7.4188349999999999E-4</v>
      </c>
      <c r="AA3017">
        <v>0.9902318</v>
      </c>
      <c r="AB3017">
        <v>55</v>
      </c>
      <c r="AC3017">
        <v>155.66480000000001</v>
      </c>
      <c r="AD3017">
        <v>-0.19044230000000001</v>
      </c>
      <c r="AE3017">
        <v>-16.507200000000001</v>
      </c>
      <c r="AF3017">
        <v>21.900326260852701</v>
      </c>
      <c r="AG3017">
        <v>-0.19044230000000001</v>
      </c>
      <c r="AH3017">
        <v>154.99780896570701</v>
      </c>
      <c r="AI3017">
        <v>90.069705625849707</v>
      </c>
      <c r="AJ3017">
        <v>81.9576631856673</v>
      </c>
      <c r="AK3017">
        <v>156.53747584131801</v>
      </c>
      <c r="AL3017">
        <v>87.239903119523305</v>
      </c>
      <c r="AM3017">
        <v>91.241417798457604</v>
      </c>
      <c r="AN3017">
        <v>1.00000002819623</v>
      </c>
    </row>
    <row r="3018" spans="1:40" x14ac:dyDescent="0.25">
      <c r="A3018" t="str">
        <f>"20190305135851218"</f>
        <v>20190305135851218</v>
      </c>
      <c r="B3018" t="str">
        <f>"1551765531211840"</f>
        <v>1551765531211840</v>
      </c>
      <c r="C3018" t="s">
        <v>40</v>
      </c>
      <c r="D3018">
        <v>3.8769369999999999</v>
      </c>
      <c r="E3018">
        <v>0.56313340000000001</v>
      </c>
      <c r="F3018" t="s">
        <v>70</v>
      </c>
      <c r="G3018">
        <v>-168.4143</v>
      </c>
      <c r="H3018">
        <v>3.6139410000000001</v>
      </c>
      <c r="I3018">
        <v>198.70160000000001</v>
      </c>
      <c r="J3018">
        <v>-323.52319999999997</v>
      </c>
      <c r="K3018">
        <v>1.1093390000000001</v>
      </c>
      <c r="L3018">
        <v>215.77699999999999</v>
      </c>
      <c r="M3018">
        <v>0.99924800000000003</v>
      </c>
      <c r="N3018">
        <v>-1.7995770000000001E-2</v>
      </c>
      <c r="O3018">
        <v>3.4345840000000002E-2</v>
      </c>
      <c r="P3018">
        <v>0.99739180000000005</v>
      </c>
      <c r="Q3018">
        <v>4.4311839999999998E-2</v>
      </c>
      <c r="R3018">
        <v>5.697431E-2</v>
      </c>
      <c r="S3018">
        <v>3.0234380000000001</v>
      </c>
      <c r="T3018">
        <v>4.8650029999999997E-2</v>
      </c>
      <c r="U3018">
        <v>-0.33128360000000001</v>
      </c>
      <c r="V3018">
        <v>-2.2600789999999999E-2</v>
      </c>
      <c r="W3018">
        <v>6.2306390000000003E-2</v>
      </c>
      <c r="X3018">
        <v>0.9978011</v>
      </c>
      <c r="Y3018">
        <v>0.14298529999999901</v>
      </c>
      <c r="Z3018">
        <v>1.0235349999999999E-3</v>
      </c>
      <c r="AA3018">
        <v>0.9897243</v>
      </c>
      <c r="AB3018">
        <v>55</v>
      </c>
      <c r="AC3018">
        <v>155.10889999999901</v>
      </c>
      <c r="AD3018">
        <v>2.5046020000000002</v>
      </c>
      <c r="AE3018">
        <v>-17.075399999999998</v>
      </c>
      <c r="AF3018">
        <v>22.387763101920001</v>
      </c>
      <c r="AG3018">
        <v>2.5046020000000002</v>
      </c>
      <c r="AH3018">
        <v>154.39101978980401</v>
      </c>
      <c r="AI3018">
        <v>89.080221195712596</v>
      </c>
      <c r="AJ3018">
        <v>81.749225595332405</v>
      </c>
      <c r="AK3018">
        <v>156.02586952047901</v>
      </c>
      <c r="AL3018">
        <v>86.427792851474607</v>
      </c>
      <c r="AM3018">
        <v>91.297561702851795</v>
      </c>
      <c r="AN3018">
        <v>0.99999995855233204</v>
      </c>
    </row>
    <row r="3019" spans="1:40" x14ac:dyDescent="0.25">
      <c r="A3019" t="str">
        <f>"20190305135851241"</f>
        <v>20190305135851241</v>
      </c>
      <c r="B3019" t="str">
        <f>"1551765531232334"</f>
        <v>1551765531232334</v>
      </c>
      <c r="C3019" t="s">
        <v>40</v>
      </c>
      <c r="D3019">
        <v>3.8456969999999999</v>
      </c>
      <c r="E3019">
        <v>0.57741519999999902</v>
      </c>
      <c r="F3019" t="s">
        <v>70</v>
      </c>
      <c r="G3019">
        <v>-168.41480000000001</v>
      </c>
      <c r="H3019">
        <v>5.1778139999999997</v>
      </c>
      <c r="I3019">
        <v>198.70949999999999</v>
      </c>
      <c r="J3019">
        <v>-322.97160000000002</v>
      </c>
      <c r="K3019">
        <v>1.1094269999999999</v>
      </c>
      <c r="L3019">
        <v>215.79570000000001</v>
      </c>
      <c r="M3019">
        <v>0.99924959999999996</v>
      </c>
      <c r="N3019">
        <v>-1.8602090000000002E-2</v>
      </c>
      <c r="O3019">
        <v>3.3975020000000002E-2</v>
      </c>
      <c r="P3019">
        <v>0.99736309999999995</v>
      </c>
      <c r="Q3019">
        <v>4.5473930000000003E-2</v>
      </c>
      <c r="R3019">
        <v>5.6561210000000001E-2</v>
      </c>
      <c r="S3019">
        <v>3.0233150000000002</v>
      </c>
      <c r="T3019">
        <v>7.9301830000000004E-2</v>
      </c>
      <c r="U3019">
        <v>-0.33267210000000003</v>
      </c>
      <c r="V3019">
        <v>-2.2554500000000002E-2</v>
      </c>
      <c r="W3019">
        <v>6.4073350000000001E-2</v>
      </c>
      <c r="X3019">
        <v>0.99769030000000003</v>
      </c>
      <c r="Y3019">
        <v>0.14304159999999999</v>
      </c>
      <c r="Z3019">
        <v>2.0538069999999999E-3</v>
      </c>
      <c r="AA3019">
        <v>0.9897146</v>
      </c>
      <c r="AB3019">
        <v>55</v>
      </c>
      <c r="AC3019">
        <v>154.55680000000001</v>
      </c>
      <c r="AD3019">
        <v>4.0683870000000004</v>
      </c>
      <c r="AE3019">
        <v>-17.086200000000002</v>
      </c>
      <c r="AF3019">
        <v>22.313037336020699</v>
      </c>
      <c r="AG3019">
        <v>4.0683870000000004</v>
      </c>
      <c r="AH3019">
        <v>153.78166807374501</v>
      </c>
      <c r="AI3019">
        <v>88.500256331757498</v>
      </c>
      <c r="AJ3019">
        <v>81.744250371958302</v>
      </c>
      <c r="AK3019">
        <v>155.445247091971</v>
      </c>
      <c r="AL3019">
        <v>86.326350969314603</v>
      </c>
      <c r="AM3019">
        <v>91.295048755281798</v>
      </c>
      <c r="AN3019">
        <v>1.00000001718228</v>
      </c>
    </row>
    <row r="3020" spans="1:40" x14ac:dyDescent="0.25">
      <c r="A3020" t="str">
        <f>"20190305135851261"</f>
        <v>20190305135851261</v>
      </c>
      <c r="B3020" t="str">
        <f>"1551765531251858"</f>
        <v>1551765531251858</v>
      </c>
      <c r="C3020" t="s">
        <v>40</v>
      </c>
      <c r="D3020">
        <v>4.107945</v>
      </c>
      <c r="E3020">
        <v>0.58587999999999996</v>
      </c>
      <c r="F3020" t="s">
        <v>70</v>
      </c>
      <c r="G3020">
        <v>-169.71780000000001</v>
      </c>
      <c r="H3020">
        <v>13.315519999999999</v>
      </c>
      <c r="I3020">
        <v>193.20079999999999</v>
      </c>
      <c r="J3020">
        <v>-322.45499999999998</v>
      </c>
      <c r="K3020">
        <v>1.109477</v>
      </c>
      <c r="L3020">
        <v>215.81299999999999</v>
      </c>
      <c r="M3020">
        <v>0.99925079999999999</v>
      </c>
      <c r="N3020">
        <v>-1.9181009999999998E-2</v>
      </c>
      <c r="O3020">
        <v>3.3616960000000001E-2</v>
      </c>
      <c r="P3020">
        <v>0.99761630000000001</v>
      </c>
      <c r="Q3020">
        <v>3.9818880000000001E-2</v>
      </c>
      <c r="R3020">
        <v>5.6359800000000002E-2</v>
      </c>
      <c r="S3020">
        <v>3.022278</v>
      </c>
      <c r="T3020">
        <v>0.24071380000000001</v>
      </c>
      <c r="U3020">
        <v>-0.44558720000000002</v>
      </c>
      <c r="V3020">
        <v>-2.2706230000000001E-2</v>
      </c>
      <c r="W3020">
        <v>5.900275E-2</v>
      </c>
      <c r="X3020">
        <v>0.99799950000000004</v>
      </c>
      <c r="Y3020">
        <v>0.1784598</v>
      </c>
      <c r="Z3020">
        <v>8.6348220000000003E-3</v>
      </c>
      <c r="AA3020">
        <v>0.98390929999999999</v>
      </c>
      <c r="AB3020">
        <v>55</v>
      </c>
      <c r="AC3020">
        <v>152.73719999999901</v>
      </c>
      <c r="AD3020">
        <v>12.206042999999999</v>
      </c>
      <c r="AE3020">
        <v>-22.612200000000001</v>
      </c>
      <c r="AF3020">
        <v>27.562666892338001</v>
      </c>
      <c r="AG3020">
        <v>12.206042999999999</v>
      </c>
      <c r="AH3020">
        <v>150.94720423052399</v>
      </c>
      <c r="AI3020">
        <v>85.451828253534899</v>
      </c>
      <c r="AJ3020">
        <v>79.651905539337406</v>
      </c>
      <c r="AK3020">
        <v>153.92773160463099</v>
      </c>
      <c r="AL3020">
        <v>86.617426696478802</v>
      </c>
      <c r="AM3020">
        <v>91.303354098164306</v>
      </c>
      <c r="AN3020">
        <v>0.99999994969431105</v>
      </c>
    </row>
    <row r="3021" spans="1:40" x14ac:dyDescent="0.25">
      <c r="A3021" t="str">
        <f>"20190305135851276"</f>
        <v>20190305135851276</v>
      </c>
      <c r="B3021" t="str">
        <f>"1551765531272351"</f>
        <v>1551765531272351</v>
      </c>
      <c r="C3021" t="s">
        <v>40</v>
      </c>
      <c r="D3021">
        <v>4.0305090000000003</v>
      </c>
      <c r="E3021">
        <v>0.60336330000000005</v>
      </c>
      <c r="F3021" t="s">
        <v>59</v>
      </c>
      <c r="G3021">
        <v>-271.7704</v>
      </c>
      <c r="H3021">
        <v>8.0001269999999999E-2</v>
      </c>
      <c r="I3021">
        <v>207.19130000000001</v>
      </c>
      <c r="J3021">
        <v>-322.1044</v>
      </c>
      <c r="K3021">
        <v>1.1094919999999999</v>
      </c>
      <c r="L3021">
        <v>215.8246</v>
      </c>
      <c r="M3021">
        <v>0.99925169999999996</v>
      </c>
      <c r="N3021">
        <v>-1.956921E-2</v>
      </c>
      <c r="O3021">
        <v>3.3366199999999999E-2</v>
      </c>
      <c r="P3021">
        <v>0.99777760000000004</v>
      </c>
      <c r="Q3021">
        <v>3.5666410000000003E-2</v>
      </c>
      <c r="R3021">
        <v>5.62859E-2</v>
      </c>
      <c r="S3021">
        <v>3.0388489999999999</v>
      </c>
      <c r="T3021">
        <v>-6.1723229999999997E-2</v>
      </c>
      <c r="U3021">
        <v>-0.51692199999999999</v>
      </c>
      <c r="V3021">
        <v>-2.28801E-2</v>
      </c>
      <c r="W3021">
        <v>5.5242840000000001E-2</v>
      </c>
      <c r="X3021">
        <v>0.99821079999999995</v>
      </c>
      <c r="Y3021">
        <v>0.2004223</v>
      </c>
      <c r="Z3021">
        <v>-4.0215390000000002E-3</v>
      </c>
      <c r="AA3021">
        <v>0.9797013</v>
      </c>
      <c r="AB3021">
        <v>55</v>
      </c>
      <c r="AC3021">
        <v>50.333999999999897</v>
      </c>
      <c r="AD3021">
        <v>-1.02949073</v>
      </c>
      <c r="AE3021">
        <v>-8.6332999999999895</v>
      </c>
      <c r="AF3021">
        <v>10.304079530649499</v>
      </c>
      <c r="AG3021">
        <v>-1.02949073</v>
      </c>
      <c r="AH3021">
        <v>49.997529528859801</v>
      </c>
      <c r="AI3021">
        <v>91.155327423683403</v>
      </c>
      <c r="AJ3021">
        <v>78.354855486436094</v>
      </c>
      <c r="AK3021">
        <v>51.058661019716403</v>
      </c>
      <c r="AL3021">
        <v>86.833206416491606</v>
      </c>
      <c r="AM3021">
        <v>91.313052973381701</v>
      </c>
      <c r="AN3021">
        <v>1.0000000357919501</v>
      </c>
    </row>
    <row r="3022" spans="1:40" x14ac:dyDescent="0.25">
      <c r="A3022" t="str">
        <f>"20190305135851294"</f>
        <v>20190305135851294</v>
      </c>
      <c r="B3022" t="str">
        <f>"1551765531291871"</f>
        <v>1551765531291871</v>
      </c>
      <c r="C3022" t="s">
        <v>40</v>
      </c>
      <c r="D3022">
        <v>4.0342830000000003</v>
      </c>
      <c r="E3022">
        <v>0.60940050000000001</v>
      </c>
      <c r="F3022" t="s">
        <v>61</v>
      </c>
      <c r="G3022">
        <v>-291.2226</v>
      </c>
      <c r="H3022" s="1">
        <v>1.23081E-6</v>
      </c>
      <c r="I3022">
        <v>209.1671</v>
      </c>
      <c r="J3022">
        <v>-321.6619</v>
      </c>
      <c r="K3022">
        <v>1.1094809999999999</v>
      </c>
      <c r="L3022">
        <v>215.8391</v>
      </c>
      <c r="M3022">
        <v>0.99925330000000001</v>
      </c>
      <c r="N3022">
        <v>-2.0042279999999999E-2</v>
      </c>
      <c r="O3022">
        <v>3.3031350000000001E-2</v>
      </c>
      <c r="P3022">
        <v>0.99796359999999995</v>
      </c>
      <c r="Q3022">
        <v>2.8705620000000001E-2</v>
      </c>
      <c r="R3022">
        <v>5.6962680000000002E-2</v>
      </c>
      <c r="S3022">
        <v>3.0476380000000001</v>
      </c>
      <c r="T3022">
        <v>-0.1094924</v>
      </c>
      <c r="U3022">
        <v>-0.65701290000000001</v>
      </c>
      <c r="V3022">
        <v>-2.3891530000000001E-2</v>
      </c>
      <c r="W3022">
        <v>4.8762350000000003E-2</v>
      </c>
      <c r="X3022">
        <v>0.99852459999999998</v>
      </c>
      <c r="Y3022">
        <v>0.2426798</v>
      </c>
      <c r="Z3022">
        <v>-7.2892709999999999E-3</v>
      </c>
      <c r="AA3022">
        <v>0.97007909999999997</v>
      </c>
      <c r="AB3022">
        <v>55</v>
      </c>
      <c r="AC3022">
        <v>30.439299999999999</v>
      </c>
      <c r="AD3022">
        <v>-1.10947976919</v>
      </c>
      <c r="AE3022">
        <v>-6.6719999999999899</v>
      </c>
      <c r="AF3022">
        <v>7.6642955175480001</v>
      </c>
      <c r="AG3022">
        <v>-1.10947976919</v>
      </c>
      <c r="AH3022">
        <v>30.1640170603016</v>
      </c>
      <c r="AI3022">
        <v>92.041661878580399</v>
      </c>
      <c r="AJ3022">
        <v>75.743556606476105</v>
      </c>
      <c r="AK3022">
        <v>31.1422590117146</v>
      </c>
      <c r="AL3022">
        <v>87.205014689932398</v>
      </c>
      <c r="AM3022">
        <v>91.370644948765303</v>
      </c>
      <c r="AN3022">
        <v>0.99999997439421096</v>
      </c>
    </row>
    <row r="3023" spans="1:40" x14ac:dyDescent="0.25">
      <c r="A3023" t="str">
        <f>"20190305135851319"</f>
        <v>20190305135851319</v>
      </c>
      <c r="B3023" t="str">
        <f>"1551765531312367"</f>
        <v>1551765531312367</v>
      </c>
      <c r="C3023" t="s">
        <v>40</v>
      </c>
      <c r="D3023">
        <v>4.0099460000000002</v>
      </c>
      <c r="E3023">
        <v>0.6121124</v>
      </c>
      <c r="F3023" t="s">
        <v>61</v>
      </c>
      <c r="G3023">
        <v>-296.42540000000002</v>
      </c>
      <c r="H3023" s="1">
        <v>2.0341659999999998E-6</v>
      </c>
      <c r="I3023">
        <v>210.0138</v>
      </c>
      <c r="J3023">
        <v>-321.07279999999997</v>
      </c>
      <c r="K3023">
        <v>1.1094580000000001</v>
      </c>
      <c r="L3023">
        <v>215.85820000000001</v>
      </c>
      <c r="M3023">
        <v>0.99925730000000001</v>
      </c>
      <c r="N3023">
        <v>-2.0637840000000001E-2</v>
      </c>
      <c r="O3023">
        <v>3.2541819999999999E-2</v>
      </c>
      <c r="P3023">
        <v>0.99811939999999999</v>
      </c>
      <c r="Q3023">
        <v>2.2643940000000001E-2</v>
      </c>
      <c r="R3023">
        <v>5.6967139999999999E-2</v>
      </c>
      <c r="S3023">
        <v>3.0501710000000002</v>
      </c>
      <c r="T3023">
        <v>-0.1340953</v>
      </c>
      <c r="U3023">
        <v>-0.704071</v>
      </c>
      <c r="V3023">
        <v>-2.4384280000000001E-2</v>
      </c>
      <c r="W3023">
        <v>4.3302170000000001E-2</v>
      </c>
      <c r="X3023">
        <v>0.9987644</v>
      </c>
      <c r="Y3023">
        <v>0.256152299999999</v>
      </c>
      <c r="Z3023">
        <v>-8.984901E-3</v>
      </c>
      <c r="AA3023">
        <v>0.96659470000000003</v>
      </c>
      <c r="AB3023">
        <v>54</v>
      </c>
      <c r="AC3023">
        <v>24.647399999999902</v>
      </c>
      <c r="AD3023">
        <v>-1.109455965834</v>
      </c>
      <c r="AE3023">
        <v>-5.8444000000000003</v>
      </c>
      <c r="AF3023">
        <v>6.6308253957106897</v>
      </c>
      <c r="AG3023">
        <v>-1.109455965834</v>
      </c>
      <c r="AH3023">
        <v>24.397310779534902</v>
      </c>
      <c r="AI3023">
        <v>92.51267852718</v>
      </c>
      <c r="AJ3023">
        <v>74.795138910636297</v>
      </c>
      <c r="AK3023">
        <v>25.3066693035993</v>
      </c>
      <c r="AL3023">
        <v>87.518192402885106</v>
      </c>
      <c r="AM3023">
        <v>91.398566908164895</v>
      </c>
      <c r="AN3023">
        <v>0.99999999887259305</v>
      </c>
    </row>
    <row r="3024" spans="1:40" x14ac:dyDescent="0.25">
      <c r="A3024" t="str">
        <f>"20190305135851340"</f>
        <v>20190305135851340</v>
      </c>
      <c r="B3024" t="str">
        <f>"1551765531331890"</f>
        <v>1551765531331890</v>
      </c>
      <c r="C3024" t="s">
        <v>40</v>
      </c>
      <c r="D3024">
        <v>4.0269240000000002</v>
      </c>
      <c r="E3024">
        <v>0.61370480000000005</v>
      </c>
      <c r="F3024" t="s">
        <v>61</v>
      </c>
      <c r="G3024">
        <v>-298.42500000000001</v>
      </c>
      <c r="H3024" s="1">
        <v>2.388866E-6</v>
      </c>
      <c r="I3024">
        <v>210.46610000000001</v>
      </c>
      <c r="J3024">
        <v>-320.54629999999997</v>
      </c>
      <c r="K3024">
        <v>1.109418</v>
      </c>
      <c r="L3024">
        <v>215.8749</v>
      </c>
      <c r="M3024">
        <v>0.99926329999999997</v>
      </c>
      <c r="N3024">
        <v>-2.1123650000000001E-2</v>
      </c>
      <c r="O3024">
        <v>3.2045099999999903E-2</v>
      </c>
      <c r="P3024">
        <v>0.99830070000000004</v>
      </c>
      <c r="Q3024">
        <v>1.8301000000000001E-2</v>
      </c>
      <c r="R3024">
        <v>5.5324730000000003E-2</v>
      </c>
      <c r="S3024">
        <v>3.0505369999999998</v>
      </c>
      <c r="T3024">
        <v>-0.14943789999999901</v>
      </c>
      <c r="U3024">
        <v>-0.72628780000000004</v>
      </c>
      <c r="V3024">
        <v>-2.3234979999999999E-2</v>
      </c>
      <c r="W3024">
        <v>3.9448820000000002E-2</v>
      </c>
      <c r="X3024">
        <v>0.99895140000000004</v>
      </c>
      <c r="Y3024">
        <v>0.26222849999999998</v>
      </c>
      <c r="Z3024">
        <v>-1.002282E-2</v>
      </c>
      <c r="AA3024">
        <v>0.96495379999999997</v>
      </c>
      <c r="AB3024">
        <v>54</v>
      </c>
      <c r="AC3024">
        <v>22.121299999999898</v>
      </c>
      <c r="AD3024">
        <v>-1.1094156111339999</v>
      </c>
      <c r="AE3024">
        <v>-5.4087999999999798</v>
      </c>
      <c r="AF3024">
        <v>6.1005798993385003</v>
      </c>
      <c r="AG3024">
        <v>-1.1094156111339999</v>
      </c>
      <c r="AH3024">
        <v>21.884631263088799</v>
      </c>
      <c r="AI3024">
        <v>92.795647069899104</v>
      </c>
      <c r="AJ3024">
        <v>74.4236075762919</v>
      </c>
      <c r="AK3024">
        <v>22.746097767041299</v>
      </c>
      <c r="AL3024">
        <v>87.739162428782194</v>
      </c>
      <c r="AM3024">
        <v>91.332423477300196</v>
      </c>
      <c r="AN3024">
        <v>0.999999986628476</v>
      </c>
    </row>
    <row r="3025" spans="1:40" x14ac:dyDescent="0.25">
      <c r="A3025" t="str">
        <f>"20190305135851354"</f>
        <v>20190305135851354</v>
      </c>
      <c r="B3025" t="str">
        <f>"1551765531341647"</f>
        <v>1551765531341647</v>
      </c>
      <c r="C3025" t="s">
        <v>40</v>
      </c>
      <c r="D3025">
        <v>4.0680110000000003</v>
      </c>
      <c r="E3025">
        <v>0.61439109999999997</v>
      </c>
      <c r="F3025" t="s">
        <v>61</v>
      </c>
      <c r="G3025">
        <v>-299.33429999999998</v>
      </c>
      <c r="H3025" s="1">
        <v>2.5501559999999998E-6</v>
      </c>
      <c r="I3025">
        <v>210.6985</v>
      </c>
      <c r="J3025">
        <v>-320.22840000000002</v>
      </c>
      <c r="K3025">
        <v>1.1093980000000001</v>
      </c>
      <c r="L3025">
        <v>215.88480000000001</v>
      </c>
      <c r="M3025">
        <v>0.99926780000000004</v>
      </c>
      <c r="N3025">
        <v>-2.1391719999999999E-2</v>
      </c>
      <c r="O3025">
        <v>3.1720749999999999E-2</v>
      </c>
      <c r="P3025">
        <v>0.99841179999999996</v>
      </c>
      <c r="Q3025">
        <v>1.5659010000000001E-2</v>
      </c>
      <c r="R3025">
        <v>5.411527E-2</v>
      </c>
      <c r="S3025">
        <v>3.049255</v>
      </c>
      <c r="T3025">
        <v>-0.1594797</v>
      </c>
      <c r="U3025">
        <v>-0.7441101</v>
      </c>
      <c r="V3025">
        <v>-2.2348150000000001E-2</v>
      </c>
      <c r="W3025">
        <v>3.7076390000000001E-2</v>
      </c>
      <c r="X3025">
        <v>0.99906249999999996</v>
      </c>
      <c r="Y3025">
        <v>0.26726939999999999</v>
      </c>
      <c r="Z3025">
        <v>-1.0754E-2</v>
      </c>
      <c r="AA3025">
        <v>0.96356180000000002</v>
      </c>
      <c r="AB3025">
        <v>54</v>
      </c>
      <c r="AC3025">
        <v>20.894100000000002</v>
      </c>
      <c r="AD3025">
        <v>-1.109395449844</v>
      </c>
      <c r="AE3025">
        <v>-5.1863000000000099</v>
      </c>
      <c r="AF3025">
        <v>5.8311321020839797</v>
      </c>
      <c r="AG3025">
        <v>-1.109395449844</v>
      </c>
      <c r="AH3025">
        <v>20.6641543477926</v>
      </c>
      <c r="AI3025">
        <v>92.957795205529393</v>
      </c>
      <c r="AJ3025">
        <v>74.241684212728103</v>
      </c>
      <c r="AK3025">
        <v>21.499770574717399</v>
      </c>
      <c r="AL3025">
        <v>87.875192305443207</v>
      </c>
      <c r="AM3025">
        <v>91.281442521116304</v>
      </c>
      <c r="AN3025">
        <v>0.99999998870505202</v>
      </c>
    </row>
    <row r="3026" spans="1:40" x14ac:dyDescent="0.25">
      <c r="A3026" t="str">
        <f>"20190305135851374"</f>
        <v>20190305135851374</v>
      </c>
      <c r="B3026" t="str">
        <f>"1551765531362143"</f>
        <v>1551765531362143</v>
      </c>
      <c r="C3026" t="s">
        <v>40</v>
      </c>
      <c r="D3026">
        <v>4.0546280000000001</v>
      </c>
      <c r="E3026">
        <v>0.61560760000000003</v>
      </c>
      <c r="F3026" t="s">
        <v>61</v>
      </c>
      <c r="G3026">
        <v>-300.1275</v>
      </c>
      <c r="H3026" s="1">
        <v>2.630643E-6</v>
      </c>
      <c r="I3026">
        <v>210.91800000000001</v>
      </c>
      <c r="J3026">
        <v>-319.7552</v>
      </c>
      <c r="K3026">
        <v>1.1093550000000001</v>
      </c>
      <c r="L3026">
        <v>215.89940000000001</v>
      </c>
      <c r="M3026">
        <v>0.99927619999999895</v>
      </c>
      <c r="N3026">
        <v>-2.1755219999999999E-2</v>
      </c>
      <c r="O3026">
        <v>3.1202850000000001E-2</v>
      </c>
      <c r="P3026">
        <v>0.99850499999999998</v>
      </c>
      <c r="Q3026">
        <v>1.1357529999999999E-2</v>
      </c>
      <c r="R3026">
        <v>5.3469179999999998E-2</v>
      </c>
      <c r="S3026">
        <v>3.048279</v>
      </c>
      <c r="T3026">
        <v>-0.16823859999999999</v>
      </c>
      <c r="U3026">
        <v>-0.75321959999999999</v>
      </c>
      <c r="V3026">
        <v>-2.2220219999999999E-2</v>
      </c>
      <c r="W3026">
        <v>3.3143470000000001E-2</v>
      </c>
      <c r="X3026">
        <v>0.99920359999999997</v>
      </c>
      <c r="Y3026">
        <v>0.26950000000000002</v>
      </c>
      <c r="Z3026">
        <v>-1.1328609999999999E-2</v>
      </c>
      <c r="AA3026">
        <v>0.96293379999999995</v>
      </c>
      <c r="AB3026">
        <v>54</v>
      </c>
      <c r="AC3026">
        <v>19.627700000000001</v>
      </c>
      <c r="AD3026">
        <v>-1.10935236935699</v>
      </c>
      <c r="AE3026">
        <v>-4.9813999999999998</v>
      </c>
      <c r="AF3026">
        <v>5.5748274774920299</v>
      </c>
      <c r="AG3026">
        <v>-1.10935236935699</v>
      </c>
      <c r="AH3026">
        <v>19.4044315196012</v>
      </c>
      <c r="AI3026">
        <v>93.145088525103702</v>
      </c>
      <c r="AJ3026">
        <v>73.970820750399497</v>
      </c>
      <c r="AK3026">
        <v>20.219825090294201</v>
      </c>
      <c r="AL3026">
        <v>88.100671269070304</v>
      </c>
      <c r="AM3026">
        <v>91.273929581369899</v>
      </c>
      <c r="AN3026">
        <v>1.0000000310167201</v>
      </c>
    </row>
    <row r="3027" spans="1:40" x14ac:dyDescent="0.25">
      <c r="A3027" t="str">
        <f>"20190305135851397"</f>
        <v>20190305135851397</v>
      </c>
      <c r="B3027" t="str">
        <f>"1551765531392399"</f>
        <v>1551765531392399</v>
      </c>
      <c r="C3027" t="s">
        <v>40</v>
      </c>
      <c r="D3027">
        <v>4.0283410000000002</v>
      </c>
      <c r="E3027">
        <v>0.61831800000000003</v>
      </c>
      <c r="F3027" t="s">
        <v>61</v>
      </c>
      <c r="G3027">
        <v>-300.64999999999998</v>
      </c>
      <c r="H3027" s="1">
        <v>2.5379619999999999E-6</v>
      </c>
      <c r="I3027">
        <v>211.1044</v>
      </c>
      <c r="J3027">
        <v>-319.22449999999998</v>
      </c>
      <c r="K3027">
        <v>1.109299</v>
      </c>
      <c r="L3027">
        <v>215.91540000000001</v>
      </c>
      <c r="M3027">
        <v>0.99928850000000002</v>
      </c>
      <c r="N3027">
        <v>-2.2105030000000001E-2</v>
      </c>
      <c r="O3027">
        <v>3.0563199999999999E-2</v>
      </c>
      <c r="P3027">
        <v>0.99856199999999995</v>
      </c>
      <c r="Q3027">
        <v>7.1976139999999997E-3</v>
      </c>
      <c r="R3027">
        <v>5.312385E-2</v>
      </c>
      <c r="S3027">
        <v>3.0473940000000002</v>
      </c>
      <c r="T3027">
        <v>-0.1769481</v>
      </c>
      <c r="U3027">
        <v>-0.7648315</v>
      </c>
      <c r="V3027">
        <v>-2.2515440000000001E-2</v>
      </c>
      <c r="W3027">
        <v>2.9337789999999999E-2</v>
      </c>
      <c r="X3027">
        <v>0.99931590000000003</v>
      </c>
      <c r="Y3027">
        <v>0.27234219999999998</v>
      </c>
      <c r="Z3027">
        <v>-1.1922719999999999E-2</v>
      </c>
      <c r="AA3027">
        <v>0.96212660000000005</v>
      </c>
      <c r="AB3027">
        <v>54</v>
      </c>
      <c r="AC3027">
        <v>18.5745</v>
      </c>
      <c r="AD3027">
        <v>-1.1092964620379999</v>
      </c>
      <c r="AE3027">
        <v>-4.8109999999999999</v>
      </c>
      <c r="AF3027">
        <v>5.3586752589517097</v>
      </c>
      <c r="AG3027">
        <v>-1.1092964620379999</v>
      </c>
      <c r="AH3027">
        <v>18.3573848250679</v>
      </c>
      <c r="AI3027">
        <v>93.319831586758696</v>
      </c>
      <c r="AJ3027">
        <v>73.7270304583989</v>
      </c>
      <c r="AK3027">
        <v>19.1556653966189</v>
      </c>
      <c r="AL3027">
        <v>88.318827159880698</v>
      </c>
      <c r="AM3027">
        <v>91.290704431608503</v>
      </c>
      <c r="AN3027">
        <v>0.999999959476643</v>
      </c>
    </row>
    <row r="3028" spans="1:40" x14ac:dyDescent="0.25">
      <c r="A3028" t="str">
        <f>"20190305135851419"</f>
        <v>20190305135851419</v>
      </c>
      <c r="B3028" t="str">
        <f>"1551765531411918"</f>
        <v>1551765531411918</v>
      </c>
      <c r="C3028" t="s">
        <v>40</v>
      </c>
      <c r="D3028">
        <v>4.0771860000000002</v>
      </c>
      <c r="E3028">
        <v>0.61966449999999995</v>
      </c>
      <c r="F3028" t="s">
        <v>61</v>
      </c>
      <c r="G3028">
        <v>-300.63499999999999</v>
      </c>
      <c r="H3028" s="1">
        <v>2.5406220000000001E-6</v>
      </c>
      <c r="I3028">
        <v>211.11019999999999</v>
      </c>
      <c r="J3028">
        <v>-318.67860000000002</v>
      </c>
      <c r="K3028">
        <v>1.109226</v>
      </c>
      <c r="L3028">
        <v>215.9315</v>
      </c>
      <c r="M3028">
        <v>0.99930450000000004</v>
      </c>
      <c r="N3028">
        <v>-2.2377290000000001E-2</v>
      </c>
      <c r="O3028">
        <v>2.9830470000000001E-2</v>
      </c>
      <c r="P3028">
        <v>0.99857680000000004</v>
      </c>
      <c r="Q3028">
        <v>5.2610679999999998E-3</v>
      </c>
      <c r="R3028">
        <v>5.3072040000000001E-2</v>
      </c>
      <c r="S3028">
        <v>3.0475460000000001</v>
      </c>
      <c r="T3028">
        <v>-0.1818565</v>
      </c>
      <c r="U3028">
        <v>-0.78776550000000001</v>
      </c>
      <c r="V3028">
        <v>-2.3194610000000001E-2</v>
      </c>
      <c r="W3028">
        <v>2.7679550000000001E-2</v>
      </c>
      <c r="X3028">
        <v>0.99934769999999995</v>
      </c>
      <c r="Y3028">
        <v>0.27837410000000001</v>
      </c>
      <c r="Z3028">
        <v>-1.242891E-2</v>
      </c>
      <c r="AA3028">
        <v>0.96039229999999998</v>
      </c>
      <c r="AB3028">
        <v>53</v>
      </c>
      <c r="AC3028">
        <v>18.043600000000001</v>
      </c>
      <c r="AD3028">
        <v>-1.1092234593779999</v>
      </c>
      <c r="AE3028">
        <v>-4.8212999999999999</v>
      </c>
      <c r="AF3028">
        <v>5.33870600903699</v>
      </c>
      <c r="AG3028">
        <v>-1.1092234593779999</v>
      </c>
      <c r="AH3028">
        <v>17.828820997353301</v>
      </c>
      <c r="AI3028">
        <v>93.410821171002794</v>
      </c>
      <c r="AJ3028">
        <v>73.330067342850498</v>
      </c>
      <c r="AK3028">
        <v>18.644007527606</v>
      </c>
      <c r="AL3028">
        <v>88.413876003917295</v>
      </c>
      <c r="AM3028">
        <v>91.329581991508206</v>
      </c>
      <c r="AN3028">
        <v>0.99999998645827204</v>
      </c>
    </row>
    <row r="3029" spans="1:40" x14ac:dyDescent="0.25">
      <c r="A3029" t="str">
        <f>"20190305135851442"</f>
        <v>20190305135851442</v>
      </c>
      <c r="B3029" t="str">
        <f>"1551765531432414"</f>
        <v>1551765531432414</v>
      </c>
      <c r="C3029" t="s">
        <v>40</v>
      </c>
      <c r="D3029">
        <v>4.0511879999999998</v>
      </c>
      <c r="E3029">
        <v>0.62105100000000002</v>
      </c>
      <c r="F3029" t="s">
        <v>61</v>
      </c>
      <c r="G3029">
        <v>-300.5795</v>
      </c>
      <c r="H3029" s="1">
        <v>2.550461E-6</v>
      </c>
      <c r="I3029">
        <v>211.1893</v>
      </c>
      <c r="J3029">
        <v>-318.14179999999999</v>
      </c>
      <c r="K3029">
        <v>1.109156</v>
      </c>
      <c r="L3029">
        <v>215.9468</v>
      </c>
      <c r="M3029">
        <v>0.99932370000000004</v>
      </c>
      <c r="N3029">
        <v>-2.2558890000000002E-2</v>
      </c>
      <c r="O3029">
        <v>2.9040900000000001E-2</v>
      </c>
      <c r="P3029">
        <v>0.99859410000000004</v>
      </c>
      <c r="Q3029">
        <v>4.2901559999999998E-3</v>
      </c>
      <c r="R3029">
        <v>5.2835260000000002E-2</v>
      </c>
      <c r="S3029">
        <v>3.0476990000000002</v>
      </c>
      <c r="T3029">
        <v>-0.18678139999999999</v>
      </c>
      <c r="U3029">
        <v>-0.79852290000000004</v>
      </c>
      <c r="V3029">
        <v>-2.3745019999999999E-2</v>
      </c>
      <c r="W3029">
        <v>2.689544E-2</v>
      </c>
      <c r="X3029">
        <v>0.99935620000000003</v>
      </c>
      <c r="Y3029">
        <v>0.28073969999999998</v>
      </c>
      <c r="Z3029">
        <v>-1.278254E-2</v>
      </c>
      <c r="AA3029">
        <v>0.95969879999999996</v>
      </c>
      <c r="AB3029">
        <v>53</v>
      </c>
      <c r="AC3029">
        <v>17.562299999999901</v>
      </c>
      <c r="AD3029">
        <v>-1.1091534495389901</v>
      </c>
      <c r="AE3029">
        <v>-4.7574999999999896</v>
      </c>
      <c r="AF3029">
        <v>5.2461529092334498</v>
      </c>
      <c r="AG3029">
        <v>-1.1091534495389901</v>
      </c>
      <c r="AH3029">
        <v>17.352212279873999</v>
      </c>
      <c r="AI3029">
        <v>93.501267476566596</v>
      </c>
      <c r="AJ3029">
        <v>73.178180945304504</v>
      </c>
      <c r="AK3029">
        <v>18.161817440099298</v>
      </c>
      <c r="AL3029">
        <v>88.458818959731204</v>
      </c>
      <c r="AM3029">
        <v>91.361109776974402</v>
      </c>
      <c r="AN3029">
        <v>1.00000000257301</v>
      </c>
    </row>
    <row r="3030" spans="1:40" x14ac:dyDescent="0.25">
      <c r="A3030" t="str">
        <f>"20190305135851463"</f>
        <v>20190305135851463</v>
      </c>
      <c r="B3030" t="str">
        <f>"1551765531451935"</f>
        <v>1551765531451935</v>
      </c>
      <c r="C3030" t="s">
        <v>40</v>
      </c>
      <c r="D3030">
        <v>3.8998699999999999</v>
      </c>
      <c r="E3030">
        <v>0.6217954</v>
      </c>
      <c r="F3030" t="s">
        <v>61</v>
      </c>
      <c r="G3030">
        <v>-300.18619999999999</v>
      </c>
      <c r="H3030" s="1">
        <v>2.6202240000000002E-6</v>
      </c>
      <c r="I3030">
        <v>211.17349999999999</v>
      </c>
      <c r="J3030">
        <v>-317.6447</v>
      </c>
      <c r="K3030">
        <v>1.1090899999999999</v>
      </c>
      <c r="L3030">
        <v>215.9606</v>
      </c>
      <c r="M3030">
        <v>0.99934350000000005</v>
      </c>
      <c r="N3030">
        <v>-2.2670570000000001E-2</v>
      </c>
      <c r="O3030">
        <v>2.826277E-2</v>
      </c>
      <c r="P3030">
        <v>0.99856820000000002</v>
      </c>
      <c r="Q3030">
        <v>2.6629710000000001E-3</v>
      </c>
      <c r="R3030">
        <v>5.3428429999999999E-2</v>
      </c>
      <c r="S3030">
        <v>3.0479129999999999</v>
      </c>
      <c r="T3030">
        <v>-0.1882762</v>
      </c>
      <c r="U3030">
        <v>-0.81025700000000001</v>
      </c>
      <c r="V3030">
        <v>-2.5116969999999999E-2</v>
      </c>
      <c r="W3030">
        <v>2.538582E-2</v>
      </c>
      <c r="X3030">
        <v>0.99936219999999998</v>
      </c>
      <c r="Y3030">
        <v>0.28341290000000002</v>
      </c>
      <c r="Z3030">
        <v>-1.2955049999999999E-2</v>
      </c>
      <c r="AA3030">
        <v>0.9589105</v>
      </c>
      <c r="AB3030">
        <v>53</v>
      </c>
      <c r="AC3030">
        <v>17.458500000000001</v>
      </c>
      <c r="AD3030">
        <v>-1.1090873797759999</v>
      </c>
      <c r="AE3030">
        <v>-4.7870999999999997</v>
      </c>
      <c r="AF3030">
        <v>5.2589995146948798</v>
      </c>
      <c r="AG3030">
        <v>-1.1090873797759999</v>
      </c>
      <c r="AH3030">
        <v>17.251437775777799</v>
      </c>
      <c r="AI3030">
        <v>93.519008968503499</v>
      </c>
      <c r="AJ3030">
        <v>73.0464651668416</v>
      </c>
      <c r="AK3030">
        <v>18.069290413380202</v>
      </c>
      <c r="AL3030">
        <v>88.545343465370905</v>
      </c>
      <c r="AM3030">
        <v>91.439711727862999</v>
      </c>
      <c r="AN3030">
        <v>1.00000005441394</v>
      </c>
    </row>
    <row r="3031" spans="1:40" x14ac:dyDescent="0.25">
      <c r="A3031" t="str">
        <f>"20190305135851477"</f>
        <v>20190305135851477</v>
      </c>
      <c r="B3031" t="str">
        <f>"1551765531472431"</f>
        <v>1551765531472431</v>
      </c>
      <c r="C3031" t="s">
        <v>40</v>
      </c>
      <c r="D3031">
        <v>4.1727359999999996</v>
      </c>
      <c r="E3031">
        <v>0.65053369999999999</v>
      </c>
      <c r="F3031" t="s">
        <v>61</v>
      </c>
      <c r="G3031">
        <v>-300.0292</v>
      </c>
      <c r="H3031" s="1">
        <v>2.6480770000000001E-6</v>
      </c>
      <c r="I3031">
        <v>211.25540000000001</v>
      </c>
      <c r="J3031">
        <v>-317.31529999999998</v>
      </c>
      <c r="K3031">
        <v>1.109046</v>
      </c>
      <c r="L3031">
        <v>215.96950000000001</v>
      </c>
      <c r="M3031">
        <v>0.9993573</v>
      </c>
      <c r="N3031">
        <v>-2.2724649999999999E-2</v>
      </c>
      <c r="O3031">
        <v>2.7727720000000001E-2</v>
      </c>
      <c r="P3031">
        <v>0.99855190000000005</v>
      </c>
      <c r="Q3031">
        <v>2.2535519999999998E-3</v>
      </c>
      <c r="R3031">
        <v>5.3753130000000003E-2</v>
      </c>
      <c r="S3031">
        <v>3.0483699999999998</v>
      </c>
      <c r="T3031">
        <v>-0.19192809999999999</v>
      </c>
      <c r="U3031">
        <v>-0.8142395</v>
      </c>
      <c r="V3031">
        <v>-2.5975430000000001E-2</v>
      </c>
      <c r="W3031">
        <v>2.5034500000000001E-2</v>
      </c>
      <c r="X3031">
        <v>0.99934909999999999</v>
      </c>
      <c r="Y3031">
        <v>0.28400760000000003</v>
      </c>
      <c r="Z3031">
        <v>-1.316258E-2</v>
      </c>
      <c r="AA3031">
        <v>0.95873169999999996</v>
      </c>
      <c r="AB3031">
        <v>53</v>
      </c>
      <c r="AC3031">
        <v>17.286099999999902</v>
      </c>
      <c r="AD3031">
        <v>-1.1090433519230001</v>
      </c>
      <c r="AE3031">
        <v>-4.7141000000000002</v>
      </c>
      <c r="AF3031">
        <v>5.1718992256015701</v>
      </c>
      <c r="AG3031">
        <v>-1.1090433519230001</v>
      </c>
      <c r="AH3031">
        <v>17.083253833807198</v>
      </c>
      <c r="AI3031">
        <v>93.555492568515007</v>
      </c>
      <c r="AJ3031">
        <v>73.156483485195096</v>
      </c>
      <c r="AK3031">
        <v>17.883402369418199</v>
      </c>
      <c r="AL3031">
        <v>88.565478991421998</v>
      </c>
      <c r="AM3031">
        <v>91.488916619360396</v>
      </c>
      <c r="AN3031">
        <v>1.00000003641237</v>
      </c>
    </row>
    <row r="3032" spans="1:40" x14ac:dyDescent="0.25">
      <c r="A3032" t="str">
        <f>"20190305135851490"</f>
        <v>20190305135851490</v>
      </c>
      <c r="B3032" t="str">
        <f>"1551765531482190"</f>
        <v>1551765531482190</v>
      </c>
      <c r="C3032" t="s">
        <v>40</v>
      </c>
      <c r="D3032">
        <v>3.9681639999999998</v>
      </c>
      <c r="E3032">
        <v>0.65053369999999999</v>
      </c>
      <c r="F3032" t="s">
        <v>76</v>
      </c>
      <c r="G3032">
        <v>-256.15359999999998</v>
      </c>
      <c r="H3032">
        <v>4.2044709999999998</v>
      </c>
      <c r="I3032">
        <v>195.29400000000001</v>
      </c>
      <c r="J3032">
        <v>-316.99939999999998</v>
      </c>
      <c r="K3032">
        <v>1.109005</v>
      </c>
      <c r="L3032">
        <v>215.97790000000001</v>
      </c>
      <c r="M3032">
        <v>0.99937100000000001</v>
      </c>
      <c r="N3032">
        <v>-2.2760829999999999E-2</v>
      </c>
      <c r="O3032">
        <v>2.7195939999999998E-2</v>
      </c>
      <c r="P3032">
        <v>0.99847569999999997</v>
      </c>
      <c r="Q3032">
        <v>1.1556959999999999E-3</v>
      </c>
      <c r="R3032">
        <v>5.5180649999999998E-2</v>
      </c>
      <c r="S3032">
        <v>3.0596920000000001</v>
      </c>
      <c r="T3032">
        <v>0.1548525</v>
      </c>
      <c r="U3032">
        <v>-1.0343169999999999</v>
      </c>
      <c r="V3032">
        <v>-2.7937480000000001E-2</v>
      </c>
      <c r="W3032">
        <v>2.39791E-2</v>
      </c>
      <c r="X3032">
        <v>0.99932200000000004</v>
      </c>
      <c r="Y3032">
        <v>0.34562280000000001</v>
      </c>
      <c r="Z3032">
        <v>6.404079E-3</v>
      </c>
      <c r="AA3032">
        <v>0.93835170000000001</v>
      </c>
      <c r="AB3032">
        <v>53</v>
      </c>
      <c r="AC3032">
        <v>60.845799999999997</v>
      </c>
      <c r="AD3032">
        <v>3.0954660000000001</v>
      </c>
      <c r="AE3032">
        <v>-20.683899999999898</v>
      </c>
      <c r="AF3032">
        <v>22.279742743153701</v>
      </c>
      <c r="AG3032">
        <v>3.0954660000000001</v>
      </c>
      <c r="AH3032">
        <v>60.1211346084539</v>
      </c>
      <c r="AI3032">
        <v>87.235980279452505</v>
      </c>
      <c r="AJ3032">
        <v>69.666257697388403</v>
      </c>
      <c r="AK3032">
        <v>64.191274119354404</v>
      </c>
      <c r="AL3032">
        <v>88.625967046810999</v>
      </c>
      <c r="AM3032">
        <v>91.601368602115301</v>
      </c>
      <c r="AN3032">
        <v>0.99999997985477995</v>
      </c>
    </row>
    <row r="3033" spans="1:40" x14ac:dyDescent="0.25">
      <c r="A3033" t="str">
        <f>"20190305135851520"</f>
        <v>20190305135851520</v>
      </c>
      <c r="B3033" t="str">
        <f>"1551765531512447"</f>
        <v>1551765531512447</v>
      </c>
      <c r="C3033" t="s">
        <v>40</v>
      </c>
      <c r="D3033">
        <v>4.0398569999999996</v>
      </c>
      <c r="E3033">
        <v>0.51429349999999996</v>
      </c>
      <c r="F3033" t="s">
        <v>76</v>
      </c>
      <c r="G3033">
        <v>-254.54079999999999</v>
      </c>
      <c r="H3033">
        <v>4.2018680000000002</v>
      </c>
      <c r="I3033">
        <v>194.96</v>
      </c>
      <c r="J3033">
        <v>-316.32819999999998</v>
      </c>
      <c r="K3033">
        <v>1.108916</v>
      </c>
      <c r="L3033">
        <v>215.99510000000001</v>
      </c>
      <c r="M3033">
        <v>0.99940090000000004</v>
      </c>
      <c r="N3033">
        <v>-2.2805430000000002E-2</v>
      </c>
      <c r="O3033">
        <v>2.6037600000000001E-2</v>
      </c>
      <c r="P3033">
        <v>0.99832560000000004</v>
      </c>
      <c r="Q3033">
        <v>1.715655E-4</v>
      </c>
      <c r="R3033">
        <v>5.7847419999999997E-2</v>
      </c>
      <c r="S3033">
        <v>3.06134</v>
      </c>
      <c r="T3033">
        <v>0.15159329999999999</v>
      </c>
      <c r="U3033">
        <v>-1.0301670000000001</v>
      </c>
      <c r="V3033">
        <v>-3.1765330000000001E-2</v>
      </c>
      <c r="W3033">
        <v>2.3050950000000001E-2</v>
      </c>
      <c r="X3033">
        <v>0.99922949999999999</v>
      </c>
      <c r="Y3033">
        <v>0.343257599999999</v>
      </c>
      <c r="Z3033">
        <v>6.0778550000000001E-3</v>
      </c>
      <c r="AA3033">
        <v>0.93922159999999999</v>
      </c>
      <c r="AB3033">
        <v>52</v>
      </c>
      <c r="AC3033">
        <v>61.787399999999899</v>
      </c>
      <c r="AD3033">
        <v>3.0929519999999999</v>
      </c>
      <c r="AE3033">
        <v>-21.0351</v>
      </c>
      <c r="AF3033">
        <v>22.586459821879501</v>
      </c>
      <c r="AG3033">
        <v>3.0929519999999999</v>
      </c>
      <c r="AH3033">
        <v>61.081434264259798</v>
      </c>
      <c r="AI3033">
        <v>87.280864426665403</v>
      </c>
      <c r="AJ3033">
        <v>69.706806533534007</v>
      </c>
      <c r="AK3033">
        <v>65.197056153930504</v>
      </c>
      <c r="AL3033">
        <v>88.679160847371506</v>
      </c>
      <c r="AM3033">
        <v>91.820809549535895</v>
      </c>
      <c r="AN3033">
        <v>0.99999998807807999</v>
      </c>
    </row>
    <row r="3034" spans="1:40" x14ac:dyDescent="0.25">
      <c r="A3034" t="str">
        <f>"20190305135851541"</f>
        <v>20190305135851541</v>
      </c>
      <c r="B3034" t="str">
        <f>"1551765531531967"</f>
        <v>1551765531531967</v>
      </c>
      <c r="C3034" t="s">
        <v>40</v>
      </c>
      <c r="D3034">
        <v>4.0354349999999997</v>
      </c>
      <c r="E3034">
        <v>0.50657779999999997</v>
      </c>
      <c r="F3034" t="s">
        <v>61</v>
      </c>
      <c r="G3034">
        <v>-294.923</v>
      </c>
      <c r="H3034" s="1">
        <v>1.767674E-6</v>
      </c>
      <c r="I3034">
        <v>216.39619999999999</v>
      </c>
      <c r="J3034">
        <v>-315.82049999999998</v>
      </c>
      <c r="K3034">
        <v>1.108843</v>
      </c>
      <c r="L3034">
        <v>216.0076</v>
      </c>
      <c r="M3034">
        <v>0.99942509999999996</v>
      </c>
      <c r="N3034">
        <v>-2.2759560000000002E-2</v>
      </c>
      <c r="O3034">
        <v>2.513547E-2</v>
      </c>
      <c r="P3034">
        <v>0.99823810000000002</v>
      </c>
      <c r="Q3034">
        <v>-1.7806650000000001E-3</v>
      </c>
      <c r="R3034">
        <v>5.9311330000000002E-2</v>
      </c>
      <c r="S3034">
        <v>3.0018009999999999</v>
      </c>
      <c r="T3034">
        <v>-0.15551139999999999</v>
      </c>
      <c r="U3034">
        <v>5.6243899999999999E-2</v>
      </c>
      <c r="V3034">
        <v>-3.4136689999999997E-2</v>
      </c>
      <c r="W3034">
        <v>2.1061119999999999E-2</v>
      </c>
      <c r="X3034">
        <v>0.99919519999999995</v>
      </c>
      <c r="Y3034">
        <v>6.387144E-3</v>
      </c>
      <c r="Z3034">
        <v>-9.6713379999999996E-4</v>
      </c>
      <c r="AA3034">
        <v>0.99997910000000001</v>
      </c>
      <c r="AB3034">
        <v>52</v>
      </c>
      <c r="AC3034">
        <v>20.897499999999901</v>
      </c>
      <c r="AD3034">
        <v>-1.108841232326</v>
      </c>
      <c r="AE3034">
        <v>0.388599999999996</v>
      </c>
      <c r="AF3034">
        <v>0.136543037966421</v>
      </c>
      <c r="AG3034">
        <v>-1.108841232326</v>
      </c>
      <c r="AH3034">
        <v>20.8420046330796</v>
      </c>
      <c r="AI3034">
        <v>93.045327168319304</v>
      </c>
      <c r="AJ3034">
        <v>89.624641294733706</v>
      </c>
      <c r="AK3034">
        <v>20.8719268397777</v>
      </c>
      <c r="AL3034">
        <v>88.793197442924097</v>
      </c>
      <c r="AM3034">
        <v>91.956702584833906</v>
      </c>
      <c r="AN3034">
        <v>0.99999996604142405</v>
      </c>
    </row>
    <row r="3035" spans="1:40" x14ac:dyDescent="0.25">
      <c r="A3035" t="str">
        <f>"20190305135851563"</f>
        <v>20190305135851563</v>
      </c>
      <c r="B3035" t="str">
        <f>"1551765531551487"</f>
        <v>1551765531551487</v>
      </c>
      <c r="C3035" t="s">
        <v>40</v>
      </c>
      <c r="D3035">
        <v>3.9675099999999999</v>
      </c>
      <c r="E3035">
        <v>0.50496809999999903</v>
      </c>
      <c r="F3035" t="s">
        <v>61</v>
      </c>
      <c r="G3035">
        <v>-287.44600000000003</v>
      </c>
      <c r="H3035" s="1">
        <v>3.4842960000000001E-6</v>
      </c>
      <c r="I3035">
        <v>217.17169999999999</v>
      </c>
      <c r="J3035">
        <v>-315.32859999999999</v>
      </c>
      <c r="K3035">
        <v>1.1087640000000001</v>
      </c>
      <c r="L3035">
        <v>216.01929999999999</v>
      </c>
      <c r="M3035">
        <v>0.99944929999999998</v>
      </c>
      <c r="N3035">
        <v>-2.2652189999999999E-2</v>
      </c>
      <c r="O3035">
        <v>2.425223E-2</v>
      </c>
      <c r="P3035">
        <v>0.99815089999999995</v>
      </c>
      <c r="Q3035">
        <v>-4.0345559999999999E-3</v>
      </c>
      <c r="R3035">
        <v>6.0653600000000002E-2</v>
      </c>
      <c r="S3035">
        <v>2.9977420000000001</v>
      </c>
      <c r="T3035">
        <v>-0.1171478</v>
      </c>
      <c r="U3035">
        <v>0.12298580000000001</v>
      </c>
      <c r="V3035">
        <v>-3.6369070000000003E-2</v>
      </c>
      <c r="W3035">
        <v>1.8706960000000002E-2</v>
      </c>
      <c r="X3035">
        <v>0.99916329999999998</v>
      </c>
      <c r="Y3035">
        <v>-1.6724659999999999E-2</v>
      </c>
      <c r="Z3035">
        <v>1.185981E-4</v>
      </c>
      <c r="AA3035">
        <v>0.99986010000000003</v>
      </c>
      <c r="AB3035">
        <v>52</v>
      </c>
      <c r="AC3035">
        <v>27.8826</v>
      </c>
      <c r="AD3035">
        <v>-1.1087605157039999</v>
      </c>
      <c r="AE3035">
        <v>1.1524000000000001</v>
      </c>
      <c r="AF3035">
        <v>-0.47492244804817102</v>
      </c>
      <c r="AG3035">
        <v>-1.1087605157039999</v>
      </c>
      <c r="AH3035">
        <v>27.858373374857699</v>
      </c>
      <c r="AI3035">
        <v>92.278832694644095</v>
      </c>
      <c r="AJ3035">
        <v>90.976669236442206</v>
      </c>
      <c r="AK3035">
        <v>27.884473606396501</v>
      </c>
      <c r="AL3035">
        <v>88.928107598477794</v>
      </c>
      <c r="AM3035">
        <v>92.084618856644695</v>
      </c>
      <c r="AN3035">
        <v>0.99999997983599798</v>
      </c>
    </row>
    <row r="3036" spans="1:40" x14ac:dyDescent="0.25">
      <c r="A3036" t="str">
        <f>"20190305135851585"</f>
        <v>20190305135851585</v>
      </c>
      <c r="B3036" t="str">
        <f>"1551765531581742"</f>
        <v>1551765531581742</v>
      </c>
      <c r="C3036" t="s">
        <v>40</v>
      </c>
      <c r="D3036">
        <v>3.944674</v>
      </c>
      <c r="E3036">
        <v>0.50502599999999997</v>
      </c>
      <c r="F3036" t="s">
        <v>59</v>
      </c>
      <c r="G3036">
        <v>-279.06290000000001</v>
      </c>
      <c r="H3036" s="1">
        <v>3.150379E-6</v>
      </c>
      <c r="I3036">
        <v>217.7199</v>
      </c>
      <c r="J3036">
        <v>-314.80709999999999</v>
      </c>
      <c r="K3036">
        <v>1.1086929999999999</v>
      </c>
      <c r="L3036">
        <v>216.03120000000001</v>
      </c>
      <c r="M3036">
        <v>0.99947509999999995</v>
      </c>
      <c r="N3036">
        <v>-2.2498830000000001E-2</v>
      </c>
      <c r="O3036">
        <v>2.3311539999999999E-2</v>
      </c>
      <c r="P3036">
        <v>0.99804890000000002</v>
      </c>
      <c r="Q3036">
        <v>-6.5734599999999997E-3</v>
      </c>
      <c r="R3036">
        <v>6.2092260000000003E-2</v>
      </c>
      <c r="S3036">
        <v>2.9966430000000002</v>
      </c>
      <c r="T3036">
        <v>-9.161735E-2</v>
      </c>
      <c r="U3036">
        <v>0.14051820000000001</v>
      </c>
      <c r="V3036">
        <v>-3.8757239999999998E-2</v>
      </c>
      <c r="W3036">
        <v>1.602278E-2</v>
      </c>
      <c r="X3036">
        <v>0.99912020000000001</v>
      </c>
      <c r="Y3036">
        <v>-2.3517509999999998E-2</v>
      </c>
      <c r="Z3036">
        <v>4.3639509999999999E-4</v>
      </c>
      <c r="AA3036">
        <v>0.99972329999999998</v>
      </c>
      <c r="AB3036">
        <v>52</v>
      </c>
      <c r="AC3036">
        <v>35.7441999999999</v>
      </c>
      <c r="AD3036">
        <v>-1.108689849621</v>
      </c>
      <c r="AE3036">
        <v>1.6886999999999801</v>
      </c>
      <c r="AF3036">
        <v>-0.85395783876154396</v>
      </c>
      <c r="AG3036">
        <v>-1.108689849621</v>
      </c>
      <c r="AH3036">
        <v>35.739550168919202</v>
      </c>
      <c r="AI3036">
        <v>91.776317155866195</v>
      </c>
      <c r="AJ3036">
        <v>91.368760145370103</v>
      </c>
      <c r="AK3036">
        <v>35.766938413145297</v>
      </c>
      <c r="AL3036">
        <v>89.081923056649899</v>
      </c>
      <c r="AM3036">
        <v>92.221467885446401</v>
      </c>
      <c r="AN3036">
        <v>1.00000001358969</v>
      </c>
    </row>
    <row r="3037" spans="1:40" x14ac:dyDescent="0.25">
      <c r="A3037" t="str">
        <f>"20190305135851608"</f>
        <v>20190305135851608</v>
      </c>
      <c r="B3037" t="str">
        <f>"1551765531602238"</f>
        <v>1551765531602238</v>
      </c>
      <c r="C3037" t="s">
        <v>40</v>
      </c>
      <c r="D3037">
        <v>3.951365</v>
      </c>
      <c r="E3037">
        <v>0.50528949999999995</v>
      </c>
      <c r="F3037" t="s">
        <v>59</v>
      </c>
      <c r="G3037">
        <v>-264.82220000000001</v>
      </c>
      <c r="H3037" s="1">
        <v>8.6182399999999998E-7</v>
      </c>
      <c r="I3037">
        <v>218.44829999999999</v>
      </c>
      <c r="J3037">
        <v>-314.27569999999997</v>
      </c>
      <c r="K3037">
        <v>1.108636</v>
      </c>
      <c r="L3037">
        <v>216.0428</v>
      </c>
      <c r="M3037">
        <v>0.99950119999999998</v>
      </c>
      <c r="N3037">
        <v>-2.231547E-2</v>
      </c>
      <c r="O3037">
        <v>2.2346830000000002E-2</v>
      </c>
      <c r="P3037">
        <v>0.99796010000000002</v>
      </c>
      <c r="Q3037">
        <v>-8.5800640000000001E-3</v>
      </c>
      <c r="R3037">
        <v>6.3263420000000001E-2</v>
      </c>
      <c r="S3037">
        <v>2.996429</v>
      </c>
      <c r="T3037">
        <v>-6.6462399999999894E-2</v>
      </c>
      <c r="U3037">
        <v>0.14489749999999901</v>
      </c>
      <c r="V3037">
        <v>-4.0899980000000002E-2</v>
      </c>
      <c r="W3037">
        <v>1.383911E-2</v>
      </c>
      <c r="X3037">
        <v>0.99906740000000005</v>
      </c>
      <c r="Y3037">
        <v>-2.5949099999999999E-2</v>
      </c>
      <c r="Z3037">
        <v>5.8072219999999995E-4</v>
      </c>
      <c r="AA3037">
        <v>0.99966310000000003</v>
      </c>
      <c r="AB3037">
        <v>52</v>
      </c>
      <c r="AC3037">
        <v>49.453499999999899</v>
      </c>
      <c r="AD3037">
        <v>-1.108635138176</v>
      </c>
      <c r="AE3037">
        <v>2.40549999999998</v>
      </c>
      <c r="AF3037">
        <v>-1.2988435754349399</v>
      </c>
      <c r="AG3037">
        <v>-1.108635138176</v>
      </c>
      <c r="AH3037">
        <v>49.470110183274997</v>
      </c>
      <c r="AI3037">
        <v>91.283352975542499</v>
      </c>
      <c r="AJ3037">
        <v>91.503961933874706</v>
      </c>
      <c r="AK3037">
        <v>49.4995744229021</v>
      </c>
      <c r="AL3037">
        <v>89.207052092016397</v>
      </c>
      <c r="AM3037">
        <v>92.344274696665096</v>
      </c>
      <c r="AN3037">
        <v>0.99999999953617602</v>
      </c>
    </row>
    <row r="3038" spans="1:40" x14ac:dyDescent="0.25">
      <c r="A3038" t="str">
        <f>"20190305135851630"</f>
        <v>20190305135851630</v>
      </c>
      <c r="B3038" t="str">
        <f>"1551765531621762"</f>
        <v>1551765531621762</v>
      </c>
      <c r="C3038" t="s">
        <v>40</v>
      </c>
      <c r="D3038">
        <v>3.9213870000000002</v>
      </c>
      <c r="E3038">
        <v>0.50560649999999996</v>
      </c>
      <c r="F3038" t="s">
        <v>59</v>
      </c>
      <c r="G3038">
        <v>-259.33249999999998</v>
      </c>
      <c r="H3038" s="1">
        <v>3.249587E-6</v>
      </c>
      <c r="I3038">
        <v>218.73249999999999</v>
      </c>
      <c r="J3038">
        <v>-313.75229999999999</v>
      </c>
      <c r="K3038">
        <v>1.1086</v>
      </c>
      <c r="L3038">
        <v>216.0538</v>
      </c>
      <c r="M3038">
        <v>0.99952640000000004</v>
      </c>
      <c r="N3038">
        <v>-2.2123549999999999E-2</v>
      </c>
      <c r="O3038">
        <v>2.1391259999999999E-2</v>
      </c>
      <c r="P3038">
        <v>0.9978783</v>
      </c>
      <c r="Q3038">
        <v>-8.8699160000000003E-3</v>
      </c>
      <c r="R3038">
        <v>6.4501450000000002E-2</v>
      </c>
      <c r="S3038">
        <v>2.9963069999999998</v>
      </c>
      <c r="T3038">
        <v>-6.0458900000000003E-2</v>
      </c>
      <c r="U3038">
        <v>0.1466827</v>
      </c>
      <c r="V3038">
        <v>-4.3096330000000002E-2</v>
      </c>
      <c r="W3038">
        <v>1.3362789999999999E-2</v>
      </c>
      <c r="X3038">
        <v>0.99898149999999997</v>
      </c>
      <c r="Y3038">
        <v>-2.7502180000000001E-2</v>
      </c>
      <c r="Z3038">
        <v>6.2365309999999998E-4</v>
      </c>
      <c r="AA3038">
        <v>0.9996216</v>
      </c>
      <c r="AB3038">
        <v>52</v>
      </c>
      <c r="AC3038">
        <v>54.419800000000002</v>
      </c>
      <c r="AD3038">
        <v>-1.1085967504130001</v>
      </c>
      <c r="AE3038">
        <v>2.6786999999999899</v>
      </c>
      <c r="AF3038">
        <v>-1.5130673311990099</v>
      </c>
      <c r="AG3038">
        <v>-1.1085967504130001</v>
      </c>
      <c r="AH3038">
        <v>54.442118299781697</v>
      </c>
      <c r="AI3038">
        <v>91.1660940739567</v>
      </c>
      <c r="AJ3038">
        <v>91.591967113505206</v>
      </c>
      <c r="AK3038">
        <v>54.474421561602597</v>
      </c>
      <c r="AL3038">
        <v>89.234345702787607</v>
      </c>
      <c r="AM3038">
        <v>92.470223633866198</v>
      </c>
      <c r="AN3038">
        <v>0.99999994757915001</v>
      </c>
    </row>
    <row r="3039" spans="1:40" x14ac:dyDescent="0.25">
      <c r="A3039" t="str">
        <f>"20190305135851652"</f>
        <v>20190305135851652</v>
      </c>
      <c r="B3039" t="str">
        <f>"1551765531642255"</f>
        <v>1551765531642255</v>
      </c>
      <c r="C3039" t="s">
        <v>40</v>
      </c>
      <c r="D3039">
        <v>3.968207</v>
      </c>
      <c r="E3039">
        <v>0.50600540000000005</v>
      </c>
      <c r="F3039" t="s">
        <v>59</v>
      </c>
      <c r="G3039">
        <v>-251.56870000000001</v>
      </c>
      <c r="H3039" s="1">
        <v>-8.9899369999999895E-7</v>
      </c>
      <c r="I3039">
        <v>219.12289999999999</v>
      </c>
      <c r="J3039">
        <v>-313.26530000000002</v>
      </c>
      <c r="K3039">
        <v>1.1085830000000001</v>
      </c>
      <c r="L3039">
        <v>216.06360000000001</v>
      </c>
      <c r="M3039">
        <v>0.99954900000000002</v>
      </c>
      <c r="N3039">
        <v>-2.19461E-2</v>
      </c>
      <c r="O3039">
        <v>2.0499630000000001E-2</v>
      </c>
      <c r="P3039">
        <v>0.99781390000000003</v>
      </c>
      <c r="Q3039">
        <v>-7.3848960000000002E-3</v>
      </c>
      <c r="R3039">
        <v>6.5673759999999998E-2</v>
      </c>
      <c r="S3039">
        <v>2.9963679999999999</v>
      </c>
      <c r="T3039">
        <v>-5.341887E-2</v>
      </c>
      <c r="U3039">
        <v>0.1478882</v>
      </c>
      <c r="V3039">
        <v>-4.5156580000000002E-2</v>
      </c>
      <c r="W3039">
        <v>1.4675870000000001E-2</v>
      </c>
      <c r="X3039">
        <v>0.99887210000000004</v>
      </c>
      <c r="Y3039">
        <v>-2.879578E-2</v>
      </c>
      <c r="Z3039">
        <v>6.573792E-4</v>
      </c>
      <c r="AA3039">
        <v>0.9995851</v>
      </c>
      <c r="AB3039">
        <v>51</v>
      </c>
      <c r="AC3039">
        <v>61.696599999999997</v>
      </c>
      <c r="AD3039">
        <v>-1.1085838989937</v>
      </c>
      <c r="AE3039">
        <v>3.0592999999999702</v>
      </c>
      <c r="AF3039">
        <v>-1.7930172245415901</v>
      </c>
      <c r="AG3039">
        <v>-1.1085838989937</v>
      </c>
      <c r="AH3039">
        <v>61.726478335285798</v>
      </c>
      <c r="AI3039">
        <v>91.028465920805402</v>
      </c>
      <c r="AJ3039">
        <v>91.663847390573096</v>
      </c>
      <c r="AK3039">
        <v>61.762464302399003</v>
      </c>
      <c r="AL3039">
        <v>89.159104388364199</v>
      </c>
      <c r="AM3039">
        <v>92.5884405481371</v>
      </c>
      <c r="AN3039">
        <v>0.99999998501798104</v>
      </c>
    </row>
    <row r="3040" spans="1:40" x14ac:dyDescent="0.25">
      <c r="A3040" t="str">
        <f>"20190305135851675"</f>
        <v>20190305135851675</v>
      </c>
      <c r="B3040" t="str">
        <f>"1551765531672511"</f>
        <v>1551765531672511</v>
      </c>
      <c r="C3040" t="s">
        <v>40</v>
      </c>
      <c r="D3040">
        <v>3.9219970000000002</v>
      </c>
      <c r="E3040">
        <v>0.50675040000000005</v>
      </c>
      <c r="F3040" t="s">
        <v>59</v>
      </c>
      <c r="G3040">
        <v>-241.24080000000001</v>
      </c>
      <c r="H3040">
        <v>6.9224110000000005E-2</v>
      </c>
      <c r="I3040">
        <v>219.63550000000001</v>
      </c>
      <c r="J3040">
        <v>-312.75240000000002</v>
      </c>
      <c r="K3040">
        <v>1.108581</v>
      </c>
      <c r="L3040">
        <v>216.07339999999999</v>
      </c>
      <c r="M3040">
        <v>0.99957200000000002</v>
      </c>
      <c r="N3040">
        <v>-2.17609E-2</v>
      </c>
      <c r="O3040">
        <v>1.955993E-2</v>
      </c>
      <c r="P3040">
        <v>0.99774229999999997</v>
      </c>
      <c r="Q3040">
        <v>-5.0011099999999996E-3</v>
      </c>
      <c r="R3040">
        <v>6.6973519999999995E-2</v>
      </c>
      <c r="S3040">
        <v>2.9964599999999999</v>
      </c>
      <c r="T3040">
        <v>-4.3240790000000001E-2</v>
      </c>
      <c r="U3040">
        <v>0.1486053</v>
      </c>
      <c r="V3040">
        <v>-4.738962E-2</v>
      </c>
      <c r="W3040">
        <v>1.6879539999999998E-2</v>
      </c>
      <c r="X3040">
        <v>0.99873389999999995</v>
      </c>
      <c r="Y3040">
        <v>-2.9975450000000001E-2</v>
      </c>
      <c r="Z3040">
        <v>6.8605369999999997E-4</v>
      </c>
      <c r="AA3040">
        <v>0.99955039999999995</v>
      </c>
      <c r="AB3040">
        <v>51</v>
      </c>
      <c r="AC3040">
        <v>71.511600000000001</v>
      </c>
      <c r="AD3040">
        <v>-1.0393568900000001</v>
      </c>
      <c r="AE3040">
        <v>3.5621000000000098</v>
      </c>
      <c r="AF3040">
        <v>-2.1618696824383599</v>
      </c>
      <c r="AG3040">
        <v>-1.0393568900000001</v>
      </c>
      <c r="AH3040">
        <v>71.552525934832502</v>
      </c>
      <c r="AI3040">
        <v>90.831828336506803</v>
      </c>
      <c r="AJ3040">
        <v>91.730593525154305</v>
      </c>
      <c r="AK3040">
        <v>71.592722471795398</v>
      </c>
      <c r="AL3040">
        <v>89.032827713939696</v>
      </c>
      <c r="AM3040">
        <v>92.716629739306796</v>
      </c>
      <c r="AN3040">
        <v>1.00000004898178</v>
      </c>
    </row>
    <row r="3041" spans="1:40" x14ac:dyDescent="0.25">
      <c r="A3041" t="str">
        <f>"20190305135851696"</f>
        <v>20190305135851696</v>
      </c>
      <c r="B3041" t="str">
        <f>"1551765531692032"</f>
        <v>1551765531692032</v>
      </c>
      <c r="C3041" t="s">
        <v>40</v>
      </c>
      <c r="D3041">
        <v>3.9464440000000001</v>
      </c>
      <c r="E3041">
        <v>0.50726349999999998</v>
      </c>
      <c r="F3041" t="s">
        <v>58</v>
      </c>
      <c r="G3041">
        <v>-183.46100000000001</v>
      </c>
      <c r="H3041" s="1">
        <v>1.8895559999999999E-6</v>
      </c>
      <c r="I3041">
        <v>222.41560000000001</v>
      </c>
      <c r="J3041">
        <v>-312.25330000000002</v>
      </c>
      <c r="K3041">
        <v>1.10859</v>
      </c>
      <c r="L3041">
        <v>216.08260000000001</v>
      </c>
      <c r="M3041">
        <v>0.99959319999999896</v>
      </c>
      <c r="N3041">
        <v>-2.1582839999999999E-2</v>
      </c>
      <c r="O3041">
        <v>1.8646949999999999E-2</v>
      </c>
      <c r="P3041">
        <v>0.99762550000000005</v>
      </c>
      <c r="Q3041">
        <v>-3.1080439999999999E-3</v>
      </c>
      <c r="R3041">
        <v>6.8804309999999994E-2</v>
      </c>
      <c r="S3041">
        <v>2.9967959999999998</v>
      </c>
      <c r="T3041">
        <v>-2.5695320000000001E-2</v>
      </c>
      <c r="U3041">
        <v>0.1470032</v>
      </c>
      <c r="V3041">
        <v>-5.0129569999999998E-2</v>
      </c>
      <c r="W3041">
        <v>1.8601119999999999E-2</v>
      </c>
      <c r="X3041">
        <v>0.9985695</v>
      </c>
      <c r="Y3041">
        <v>-3.0354780000000001E-2</v>
      </c>
      <c r="Z3041">
        <v>7.0045579999999995E-4</v>
      </c>
      <c r="AA3041">
        <v>0.99953899999999996</v>
      </c>
      <c r="AB3041">
        <v>51</v>
      </c>
      <c r="AC3041">
        <v>128.79230000000001</v>
      </c>
      <c r="AD3041">
        <v>-1.1085881104440001</v>
      </c>
      <c r="AE3041">
        <v>6.3329999999999904</v>
      </c>
      <c r="AF3041">
        <v>-3.9294649253389502</v>
      </c>
      <c r="AG3041">
        <v>-1.1085881104440001</v>
      </c>
      <c r="AH3041">
        <v>128.87848955884999</v>
      </c>
      <c r="AI3041">
        <v>90.492606274662705</v>
      </c>
      <c r="AJ3041">
        <v>91.746389410039399</v>
      </c>
      <c r="AK3041">
        <v>128.94314535161899</v>
      </c>
      <c r="AL3041">
        <v>88.934172872373097</v>
      </c>
      <c r="AM3041">
        <v>92.8739147367519</v>
      </c>
      <c r="AN3041">
        <v>1.00000001089194</v>
      </c>
    </row>
    <row r="3042" spans="1:40" x14ac:dyDescent="0.25">
      <c r="A3042" t="str">
        <f>"20190305135851721"</f>
        <v>20190305135851721</v>
      </c>
      <c r="B3042" t="str">
        <f>"1551765531711551"</f>
        <v>1551765531711551</v>
      </c>
      <c r="C3042" t="s">
        <v>40</v>
      </c>
      <c r="D3042">
        <v>3.9639229999999999</v>
      </c>
      <c r="E3042">
        <v>0.50770839999999995</v>
      </c>
      <c r="F3042" t="s">
        <v>73</v>
      </c>
      <c r="G3042">
        <v>-168.35059999999999</v>
      </c>
      <c r="H3042">
        <v>0.42516609999999999</v>
      </c>
      <c r="I3042">
        <v>223.21879999999999</v>
      </c>
      <c r="J3042">
        <v>-311.70729999999998</v>
      </c>
      <c r="K3042">
        <v>1.1085849999999999</v>
      </c>
      <c r="L3042">
        <v>216.09200000000001</v>
      </c>
      <c r="M3042">
        <v>0.99961529999999998</v>
      </c>
      <c r="N3042">
        <v>-2.139746E-2</v>
      </c>
      <c r="O3042">
        <v>1.76534E-2</v>
      </c>
      <c r="P3042">
        <v>0.99755910000000003</v>
      </c>
      <c r="Q3042">
        <v>-1.440074E-3</v>
      </c>
      <c r="R3042">
        <v>6.9813589999999995E-2</v>
      </c>
      <c r="S3042">
        <v>2.996918</v>
      </c>
      <c r="T3042">
        <v>-1.42317999999999E-2</v>
      </c>
      <c r="U3042">
        <v>0.14862059999999999</v>
      </c>
      <c r="V3042">
        <v>-5.2126869999999999E-2</v>
      </c>
      <c r="W3042">
        <v>2.0088580000000002E-2</v>
      </c>
      <c r="X3042">
        <v>0.99843839999999995</v>
      </c>
      <c r="Y3042">
        <v>-3.1887260000000001E-2</v>
      </c>
      <c r="Z3042">
        <v>7.1092319999999998E-4</v>
      </c>
      <c r="AA3042">
        <v>0.99949120000000002</v>
      </c>
      <c r="AB3042">
        <v>51</v>
      </c>
      <c r="AC3042">
        <v>143.35669999999999</v>
      </c>
      <c r="AD3042">
        <v>-0.68341889999999905</v>
      </c>
      <c r="AE3042">
        <v>7.12679999999997</v>
      </c>
      <c r="AF3042">
        <v>-4.5942723320360903</v>
      </c>
      <c r="AG3042">
        <v>-0.68341889999999905</v>
      </c>
      <c r="AH3042">
        <v>143.45693877902201</v>
      </c>
      <c r="AI3042">
        <v>90.2728111886519</v>
      </c>
      <c r="AJ3042">
        <v>91.8342959162037</v>
      </c>
      <c r="AK3042">
        <v>143.532113770758</v>
      </c>
      <c r="AL3042">
        <v>88.848931721725293</v>
      </c>
      <c r="AM3042">
        <v>92.988607501831893</v>
      </c>
      <c r="AN3042">
        <v>1.0000000001084799</v>
      </c>
    </row>
    <row r="3043" spans="1:40" x14ac:dyDescent="0.25">
      <c r="A3043" t="str">
        <f>"20190305135851741"</f>
        <v>20190305135851741</v>
      </c>
      <c r="B3043" t="str">
        <f>"1551765531732052"</f>
        <v>1551765531732052</v>
      </c>
      <c r="C3043" t="s">
        <v>40</v>
      </c>
      <c r="D3043">
        <v>3.9447939999999999</v>
      </c>
      <c r="E3043">
        <v>0.50812860000000004</v>
      </c>
      <c r="F3043" t="s">
        <v>73</v>
      </c>
      <c r="G3043">
        <v>-168.35059999999999</v>
      </c>
      <c r="H3043">
        <v>0.77682879999999999</v>
      </c>
      <c r="I3043">
        <v>223.16890000000001</v>
      </c>
      <c r="J3043">
        <v>-311.22930000000002</v>
      </c>
      <c r="K3043">
        <v>1.108587</v>
      </c>
      <c r="L3043">
        <v>216.09970000000001</v>
      </c>
      <c r="M3043">
        <v>0.99963340000000001</v>
      </c>
      <c r="N3043">
        <v>-2.1246569999999999E-2</v>
      </c>
      <c r="O3043">
        <v>1.679081E-2</v>
      </c>
      <c r="P3043">
        <v>0.99746109999999999</v>
      </c>
      <c r="Q3043">
        <v>-1.232938E-3</v>
      </c>
      <c r="R3043">
        <v>7.1204329999999996E-2</v>
      </c>
      <c r="S3043">
        <v>2.9969790000000001</v>
      </c>
      <c r="T3043">
        <v>-6.9344039999999999E-3</v>
      </c>
      <c r="U3043">
        <v>0.1479492</v>
      </c>
      <c r="V3043">
        <v>-5.4380499999999998E-2</v>
      </c>
      <c r="W3043">
        <v>2.014912E-2</v>
      </c>
      <c r="X3043">
        <v>0.99831689999999995</v>
      </c>
      <c r="Y3043">
        <v>-3.2527069999999998E-2</v>
      </c>
      <c r="Z3043">
        <v>7.0120839999999996E-4</v>
      </c>
      <c r="AA3043">
        <v>0.99947059999999999</v>
      </c>
      <c r="AB3043">
        <v>51</v>
      </c>
      <c r="AC3043">
        <v>142.87870000000001</v>
      </c>
      <c r="AD3043">
        <v>-0.331758199999999</v>
      </c>
      <c r="AE3043">
        <v>7.0691999999999897</v>
      </c>
      <c r="AF3043">
        <v>-4.6685874218130898</v>
      </c>
      <c r="AG3043">
        <v>-0.331758199999999</v>
      </c>
      <c r="AH3043">
        <v>142.976503903907</v>
      </c>
      <c r="AI3043">
        <v>90.132876275322502</v>
      </c>
      <c r="AJ3043">
        <v>91.870204839992496</v>
      </c>
      <c r="AK3043">
        <v>143.05308958775601</v>
      </c>
      <c r="AL3043">
        <v>88.845462251275904</v>
      </c>
      <c r="AM3043">
        <v>93.1179446987299</v>
      </c>
      <c r="AN3043">
        <v>0.99999992932131399</v>
      </c>
    </row>
    <row r="3044" spans="1:40" x14ac:dyDescent="0.25">
      <c r="A3044" t="str">
        <f>"20190305135851764"</f>
        <v>20190305135851764</v>
      </c>
      <c r="B3044" t="str">
        <f>"1551765531752543"</f>
        <v>1551765531752543</v>
      </c>
      <c r="C3044" t="s">
        <v>40</v>
      </c>
      <c r="D3044">
        <v>4.0130730000000003</v>
      </c>
      <c r="E3044">
        <v>0.50860919999999998</v>
      </c>
      <c r="F3044" t="s">
        <v>73</v>
      </c>
      <c r="G3044">
        <v>-168.35059999999999</v>
      </c>
      <c r="H3044">
        <v>0.90379810000000005</v>
      </c>
      <c r="I3044">
        <v>223.19749999999999</v>
      </c>
      <c r="J3044">
        <v>-310.72930000000002</v>
      </c>
      <c r="K3044">
        <v>1.108587</v>
      </c>
      <c r="L3044">
        <v>216.10749999999999</v>
      </c>
      <c r="M3044">
        <v>0.99965099999999996</v>
      </c>
      <c r="N3044">
        <v>-2.1101979999999999E-2</v>
      </c>
      <c r="O3044">
        <v>1.5896810000000001E-2</v>
      </c>
      <c r="P3044">
        <v>0.99744840000000001</v>
      </c>
      <c r="Q3044">
        <v>-1.013E-3</v>
      </c>
      <c r="R3044">
        <v>7.1384989999999995E-2</v>
      </c>
      <c r="S3044">
        <v>2.9969790000000001</v>
      </c>
      <c r="T3044">
        <v>-4.2943950000000003E-3</v>
      </c>
      <c r="U3044">
        <v>0.14887999999999901</v>
      </c>
      <c r="V3044">
        <v>-5.5454789999999997E-2</v>
      </c>
      <c r="W3044">
        <v>2.0226359999999999E-2</v>
      </c>
      <c r="X3044">
        <v>0.99825629999999999</v>
      </c>
      <c r="Y3044">
        <v>-3.3730999999999997E-2</v>
      </c>
      <c r="Z3044">
        <v>6.9287820000000003E-4</v>
      </c>
      <c r="AA3044">
        <v>0.99943070000000001</v>
      </c>
      <c r="AB3044">
        <v>51</v>
      </c>
      <c r="AC3044">
        <v>142.37870000000001</v>
      </c>
      <c r="AD3044">
        <v>-0.2047889</v>
      </c>
      <c r="AE3044">
        <v>7.09</v>
      </c>
      <c r="AF3044">
        <v>-4.8252226332896999</v>
      </c>
      <c r="AG3044">
        <v>-0.2047889</v>
      </c>
      <c r="AH3044">
        <v>142.473140147544</v>
      </c>
      <c r="AI3044">
        <v>90.0823089046701</v>
      </c>
      <c r="AJ3044">
        <v>91.939728860220995</v>
      </c>
      <c r="AK3044">
        <v>142.55497316984801</v>
      </c>
      <c r="AL3044">
        <v>88.841035893130595</v>
      </c>
      <c r="AM3044">
        <v>93.179607346171494</v>
      </c>
      <c r="AN3044">
        <v>0.99999998993124095</v>
      </c>
    </row>
    <row r="3045" spans="1:40" x14ac:dyDescent="0.25">
      <c r="A3045" t="str">
        <f>"20190305135851788"</f>
        <v>20190305135851788</v>
      </c>
      <c r="B3045" t="str">
        <f>"1551765531781823"</f>
        <v>1551765531781823</v>
      </c>
      <c r="C3045" t="s">
        <v>40</v>
      </c>
      <c r="D3045">
        <v>3.9988969999999999</v>
      </c>
      <c r="E3045">
        <v>0.509162</v>
      </c>
      <c r="F3045" t="s">
        <v>73</v>
      </c>
      <c r="G3045">
        <v>-168.35059999999999</v>
      </c>
      <c r="H3045">
        <v>0.98363780000000001</v>
      </c>
      <c r="I3045">
        <v>223.0275</v>
      </c>
      <c r="J3045">
        <v>-310.1857</v>
      </c>
      <c r="K3045">
        <v>1.1085959999999999</v>
      </c>
      <c r="L3045">
        <v>216.11539999999999</v>
      </c>
      <c r="M3045">
        <v>0.99966869999999997</v>
      </c>
      <c r="N3045">
        <v>-2.0959419999999999E-2</v>
      </c>
      <c r="O3045">
        <v>1.494493E-2</v>
      </c>
      <c r="P3045">
        <v>0.99746559999999995</v>
      </c>
      <c r="Q3045">
        <v>-2.5660769999999999E-3</v>
      </c>
      <c r="R3045">
        <v>7.1108350000000001E-2</v>
      </c>
      <c r="S3045">
        <v>2.9972530000000002</v>
      </c>
      <c r="T3045">
        <v>-2.6291610000000001E-3</v>
      </c>
      <c r="U3045">
        <v>0.14567569999999999</v>
      </c>
      <c r="V3045">
        <v>-5.6134450000000002E-2</v>
      </c>
      <c r="W3045">
        <v>1.8531039999999999E-2</v>
      </c>
      <c r="X3045">
        <v>0.99825129999999995</v>
      </c>
      <c r="Y3045">
        <v>-3.3612419999999997E-2</v>
      </c>
      <c r="Z3045">
        <v>6.6725509999999999E-4</v>
      </c>
      <c r="AA3045">
        <v>0.99943470000000001</v>
      </c>
      <c r="AB3045">
        <v>51</v>
      </c>
      <c r="AC3045">
        <v>141.83510000000001</v>
      </c>
      <c r="AD3045">
        <v>-0.12495819999999901</v>
      </c>
      <c r="AE3045">
        <v>6.9120999999999997</v>
      </c>
      <c r="AF3045">
        <v>-4.7911427761451204</v>
      </c>
      <c r="AG3045">
        <v>-0.12495819999999901</v>
      </c>
      <c r="AH3045">
        <v>141.922466298508</v>
      </c>
      <c r="AI3045">
        <v>90.050418369629597</v>
      </c>
      <c r="AJ3045">
        <v>91.933506757801098</v>
      </c>
      <c r="AK3045">
        <v>142.00337004418</v>
      </c>
      <c r="AL3045">
        <v>88.938188912285995</v>
      </c>
      <c r="AM3045">
        <v>93.218511618376596</v>
      </c>
      <c r="AN3045">
        <v>1.0000000669359801</v>
      </c>
    </row>
    <row r="3046" spans="1:40" x14ac:dyDescent="0.25">
      <c r="A3046" t="str">
        <f>"20190305135851810"</f>
        <v>20190305135851810</v>
      </c>
      <c r="B3046" t="str">
        <f>"1551765531802319"</f>
        <v>1551765531802319</v>
      </c>
      <c r="C3046" t="s">
        <v>40</v>
      </c>
      <c r="D3046">
        <v>3.9672170000000002</v>
      </c>
      <c r="E3046">
        <v>0.50942159999999903</v>
      </c>
      <c r="F3046" t="s">
        <v>73</v>
      </c>
      <c r="G3046">
        <v>-168.35059999999999</v>
      </c>
      <c r="H3046">
        <v>0.77274799999999999</v>
      </c>
      <c r="I3046">
        <v>222.7585</v>
      </c>
      <c r="J3046">
        <v>-309.67680000000001</v>
      </c>
      <c r="K3046">
        <v>1.108609</v>
      </c>
      <c r="L3046">
        <v>216.1223</v>
      </c>
      <c r="M3046">
        <v>0.99968360000000001</v>
      </c>
      <c r="N3046">
        <v>-2.0839199999999999E-2</v>
      </c>
      <c r="O3046">
        <v>1.4085139999999999E-2</v>
      </c>
      <c r="P3046">
        <v>0.99751529999999999</v>
      </c>
      <c r="Q3046">
        <v>-4.0640320000000004E-3</v>
      </c>
      <c r="R3046">
        <v>7.0334499999999994E-2</v>
      </c>
      <c r="S3046">
        <v>2.9975589999999999</v>
      </c>
      <c r="T3046">
        <v>-7.0966479999999997E-3</v>
      </c>
      <c r="U3046">
        <v>0.1403961</v>
      </c>
      <c r="V3046">
        <v>-5.6224120000000002E-2</v>
      </c>
      <c r="W3046">
        <v>1.691053E-2</v>
      </c>
      <c r="X3046">
        <v>0.99827500000000002</v>
      </c>
      <c r="Y3046">
        <v>-3.2709620000000002E-2</v>
      </c>
      <c r="Z3046">
        <v>6.3985210000000003E-4</v>
      </c>
      <c r="AA3046">
        <v>0.99946469999999998</v>
      </c>
      <c r="AB3046">
        <v>50</v>
      </c>
      <c r="AC3046">
        <v>141.3262</v>
      </c>
      <c r="AD3046">
        <v>-0.33586100000000002</v>
      </c>
      <c r="AE3046">
        <v>6.6361999999999997</v>
      </c>
      <c r="AF3046">
        <v>-4.6444835056450504</v>
      </c>
      <c r="AG3046">
        <v>-0.33586100000000002</v>
      </c>
      <c r="AH3046">
        <v>141.404869529058</v>
      </c>
      <c r="AI3046">
        <v>90.136013774535698</v>
      </c>
      <c r="AJ3046">
        <v>91.881220014731298</v>
      </c>
      <c r="AK3046">
        <v>141.481522313607</v>
      </c>
      <c r="AL3046">
        <v>89.031051862100199</v>
      </c>
      <c r="AM3046">
        <v>93.223565710948193</v>
      </c>
      <c r="AN3046">
        <v>1.00000004665982</v>
      </c>
    </row>
    <row r="3047" spans="1:40" x14ac:dyDescent="0.25">
      <c r="A3047" t="str">
        <f>"20190305135851830"</f>
        <v>20190305135851830</v>
      </c>
      <c r="B3047" t="str">
        <f>"1551765531821842"</f>
        <v>1551765531821842</v>
      </c>
      <c r="C3047" t="s">
        <v>40</v>
      </c>
      <c r="D3047">
        <v>3.9926300000000001</v>
      </c>
      <c r="E3047">
        <v>0.50981769999999904</v>
      </c>
      <c r="F3047" t="s">
        <v>73</v>
      </c>
      <c r="G3047">
        <v>-168.35059999999999</v>
      </c>
      <c r="H3047">
        <v>0.57301239999999998</v>
      </c>
      <c r="I3047">
        <v>222.5265</v>
      </c>
      <c r="J3047">
        <v>-309.21249999999998</v>
      </c>
      <c r="K3047">
        <v>1.10863</v>
      </c>
      <c r="L3047">
        <v>216.1283</v>
      </c>
      <c r="M3047">
        <v>0.99969609999999998</v>
      </c>
      <c r="N3047">
        <v>-2.0740249999999998E-2</v>
      </c>
      <c r="O3047">
        <v>1.334019E-2</v>
      </c>
      <c r="P3047">
        <v>0.99755110000000002</v>
      </c>
      <c r="Q3047">
        <v>-5.6579719999999998E-3</v>
      </c>
      <c r="R3047">
        <v>6.9713590000000006E-2</v>
      </c>
      <c r="S3047">
        <v>2.9978940000000001</v>
      </c>
      <c r="T3047">
        <v>-1.1360169999999999E-2</v>
      </c>
      <c r="U3047">
        <v>0.135849</v>
      </c>
      <c r="V3047">
        <v>-5.6353229999999997E-2</v>
      </c>
      <c r="W3047">
        <v>1.521368E-2</v>
      </c>
      <c r="X3047">
        <v>0.99829489999999999</v>
      </c>
      <c r="Y3047">
        <v>-3.1935379999999999E-2</v>
      </c>
      <c r="Z3047">
        <v>6.1794140000000003E-4</v>
      </c>
      <c r="AA3047">
        <v>0.99948970000000004</v>
      </c>
      <c r="AB3047">
        <v>50</v>
      </c>
      <c r="AC3047">
        <v>140.86189999999999</v>
      </c>
      <c r="AD3047">
        <v>-0.53561759999999903</v>
      </c>
      <c r="AE3047">
        <v>6.3982000000000001</v>
      </c>
      <c r="AF3047">
        <v>-4.51803681247514</v>
      </c>
      <c r="AG3047">
        <v>-0.53561759999999903</v>
      </c>
      <c r="AH3047">
        <v>140.932698186766</v>
      </c>
      <c r="AI3047">
        <v>90.217640925239607</v>
      </c>
      <c r="AJ3047">
        <v>91.836165905534401</v>
      </c>
      <c r="AK3047">
        <v>141.00611675049501</v>
      </c>
      <c r="AL3047">
        <v>89.128286650309093</v>
      </c>
      <c r="AM3047">
        <v>93.230888197109095</v>
      </c>
      <c r="AN3047">
        <v>0.99999992497828905</v>
      </c>
    </row>
    <row r="3048" spans="1:40" x14ac:dyDescent="0.25">
      <c r="A3048" t="str">
        <f>"20190305135851853"</f>
        <v>20190305135851853</v>
      </c>
      <c r="B3048" t="str">
        <f>"1551765531842335"</f>
        <v>1551765531842335</v>
      </c>
      <c r="C3048" t="s">
        <v>40</v>
      </c>
      <c r="D3048">
        <v>3.981017</v>
      </c>
      <c r="E3048">
        <v>0.51010670000000002</v>
      </c>
      <c r="F3048" t="s">
        <v>73</v>
      </c>
      <c r="G3048">
        <v>-168.35059999999999</v>
      </c>
      <c r="H3048">
        <v>0.38078980000000001</v>
      </c>
      <c r="I3048">
        <v>222.2929</v>
      </c>
      <c r="J3048">
        <v>-308.7235</v>
      </c>
      <c r="K3048">
        <v>1.1086640000000001</v>
      </c>
      <c r="L3048">
        <v>216.13419999999999</v>
      </c>
      <c r="M3048">
        <v>0.99970749999999997</v>
      </c>
      <c r="N3048">
        <v>-2.0646169999999998E-2</v>
      </c>
      <c r="O3048">
        <v>1.2606940000000001E-2</v>
      </c>
      <c r="P3048">
        <v>0.99756180000000005</v>
      </c>
      <c r="Q3048">
        <v>-7.42064099999999E-3</v>
      </c>
      <c r="R3048">
        <v>6.9396050000000001E-2</v>
      </c>
      <c r="S3048">
        <v>2.998138</v>
      </c>
      <c r="T3048">
        <v>-1.549029E-2</v>
      </c>
      <c r="U3048">
        <v>0.131210299999999</v>
      </c>
      <c r="V3048">
        <v>-5.6775069999999997E-2</v>
      </c>
      <c r="W3048">
        <v>1.335135E-2</v>
      </c>
      <c r="X3048">
        <v>0.99829769999999896</v>
      </c>
      <c r="Y3048">
        <v>-3.1120470000000001E-2</v>
      </c>
      <c r="Z3048">
        <v>5.9693129999999997E-4</v>
      </c>
      <c r="AA3048">
        <v>0.9995155</v>
      </c>
      <c r="AB3048">
        <v>50</v>
      </c>
      <c r="AC3048">
        <v>140.37289999999999</v>
      </c>
      <c r="AD3048">
        <v>-0.72787419999999903</v>
      </c>
      <c r="AE3048">
        <v>6.1586999999999996</v>
      </c>
      <c r="AF3048">
        <v>-4.3880428294621199</v>
      </c>
      <c r="AG3048">
        <v>-0.72787419999999903</v>
      </c>
      <c r="AH3048">
        <v>140.435629956132</v>
      </c>
      <c r="AI3048">
        <v>90.296815015220901</v>
      </c>
      <c r="AJ3048">
        <v>91.789678035771502</v>
      </c>
      <c r="AK3048">
        <v>140.50605283011799</v>
      </c>
      <c r="AL3048">
        <v>89.235001251713697</v>
      </c>
      <c r="AM3048">
        <v>93.255012541421607</v>
      </c>
      <c r="AN3048">
        <v>0.99999998247280797</v>
      </c>
    </row>
    <row r="3049" spans="1:40" x14ac:dyDescent="0.25">
      <c r="A3049" t="str">
        <f>"20190305135851875"</f>
        <v>20190305135851875</v>
      </c>
      <c r="B3049" t="str">
        <f>"1551765531871615"</f>
        <v>1551765531871615</v>
      </c>
      <c r="C3049" t="s">
        <v>40</v>
      </c>
      <c r="D3049">
        <v>4.0150189999999997</v>
      </c>
      <c r="E3049">
        <v>0.51054370000000004</v>
      </c>
      <c r="F3049" t="s">
        <v>73</v>
      </c>
      <c r="G3049">
        <v>-168.35059999999999</v>
      </c>
      <c r="H3049">
        <v>0.16887659999999999</v>
      </c>
      <c r="I3049">
        <v>222.12360000000001</v>
      </c>
      <c r="J3049">
        <v>-308.21949999999998</v>
      </c>
      <c r="K3049">
        <v>1.108714</v>
      </c>
      <c r="L3049">
        <v>216.14009999999999</v>
      </c>
      <c r="M3049">
        <v>0.99971779999999999</v>
      </c>
      <c r="N3049">
        <v>-2.0553229999999999E-2</v>
      </c>
      <c r="O3049">
        <v>1.1912300000000001E-2</v>
      </c>
      <c r="P3049">
        <v>0.99758539999999996</v>
      </c>
      <c r="Q3049">
        <v>-8.9471240000000007E-3</v>
      </c>
      <c r="R3049">
        <v>6.8874169999999998E-2</v>
      </c>
      <c r="S3049">
        <v>2.9983219999999999</v>
      </c>
      <c r="T3049">
        <v>-2.0072340000000001E-2</v>
      </c>
      <c r="U3049">
        <v>0.12792970000000001</v>
      </c>
      <c r="V3049">
        <v>-5.6952830000000003E-2</v>
      </c>
      <c r="W3049">
        <v>1.172451E-2</v>
      </c>
      <c r="X3049">
        <v>0.99830799999999997</v>
      </c>
      <c r="Y3049">
        <v>-3.0719650000000001E-2</v>
      </c>
      <c r="Z3049">
        <v>5.8373690000000005E-4</v>
      </c>
      <c r="AA3049">
        <v>0.99952790000000002</v>
      </c>
      <c r="AB3049">
        <v>50</v>
      </c>
      <c r="AC3049">
        <v>139.8689</v>
      </c>
      <c r="AD3049">
        <v>-0.93983740000000004</v>
      </c>
      <c r="AE3049">
        <v>5.9835000000000198</v>
      </c>
      <c r="AF3049">
        <v>-4.3163684204932302</v>
      </c>
      <c r="AG3049">
        <v>-0.93983740000000004</v>
      </c>
      <c r="AH3049">
        <v>139.92395775513</v>
      </c>
      <c r="AI3049">
        <v>90.384653963754005</v>
      </c>
      <c r="AJ3049">
        <v>91.766897504147195</v>
      </c>
      <c r="AK3049">
        <v>139.99367230178399</v>
      </c>
      <c r="AL3049">
        <v>89.3282196524152</v>
      </c>
      <c r="AM3049">
        <v>93.2651481963306</v>
      </c>
      <c r="AN3049">
        <v>0.99999997592187395</v>
      </c>
    </row>
    <row r="3050" spans="1:40" x14ac:dyDescent="0.25">
      <c r="A3050" t="str">
        <f>"20190305135851898"</f>
        <v>20190305135851898</v>
      </c>
      <c r="B3050" t="str">
        <f>"1551765531892114"</f>
        <v>1551765531892114</v>
      </c>
      <c r="C3050" t="s">
        <v>40</v>
      </c>
      <c r="D3050">
        <v>4.0047459999999999</v>
      </c>
      <c r="E3050">
        <v>0.51079759999999996</v>
      </c>
      <c r="F3050" t="s">
        <v>43</v>
      </c>
      <c r="G3050">
        <v>-158.0341</v>
      </c>
      <c r="H3050">
        <v>-0.05</v>
      </c>
      <c r="I3050">
        <v>222.29390000000001</v>
      </c>
      <c r="J3050">
        <v>-307.70299999999997</v>
      </c>
      <c r="K3050">
        <v>1.1087629999999999</v>
      </c>
      <c r="L3050">
        <v>216.14580000000001</v>
      </c>
      <c r="M3050">
        <v>0.99972720000000004</v>
      </c>
      <c r="N3050">
        <v>-2.0458649999999998E-2</v>
      </c>
      <c r="O3050">
        <v>1.1264659999999999E-2</v>
      </c>
      <c r="P3050">
        <v>0.99760159999999998</v>
      </c>
      <c r="Q3050">
        <v>-1.100695E-2</v>
      </c>
      <c r="R3050">
        <v>6.8335889999999996E-2</v>
      </c>
      <c r="S3050">
        <v>2.998535</v>
      </c>
      <c r="T3050">
        <v>-2.3134350000000001E-2</v>
      </c>
      <c r="U3050">
        <v>0.1228638</v>
      </c>
      <c r="V3050">
        <v>-5.7067920000000001E-2</v>
      </c>
      <c r="W3050">
        <v>9.5612179999999998E-3</v>
      </c>
      <c r="X3050">
        <v>0.99832449999999995</v>
      </c>
      <c r="Y3050">
        <v>-2.9677760000000001E-2</v>
      </c>
      <c r="Z3050">
        <v>5.617393E-4</v>
      </c>
      <c r="AA3050">
        <v>0.99955930000000004</v>
      </c>
      <c r="AB3050">
        <v>50</v>
      </c>
      <c r="AC3050">
        <v>149.66889999999901</v>
      </c>
      <c r="AD3050">
        <v>-1.158763</v>
      </c>
      <c r="AE3050">
        <v>6.1481000000000003</v>
      </c>
      <c r="AF3050">
        <v>-4.4611205121740802</v>
      </c>
      <c r="AG3050">
        <v>-1.158763</v>
      </c>
      <c r="AH3050">
        <v>149.719711268238</v>
      </c>
      <c r="AI3050">
        <v>90.443237914731299</v>
      </c>
      <c r="AJ3050">
        <v>91.706707628632202</v>
      </c>
      <c r="AK3050">
        <v>149.79064146387401</v>
      </c>
      <c r="AL3050">
        <v>89.452174206867696</v>
      </c>
      <c r="AM3050">
        <v>93.271678115722807</v>
      </c>
      <c r="AN3050">
        <v>0.99999998584150895</v>
      </c>
    </row>
    <row r="3051" spans="1:40" x14ac:dyDescent="0.25">
      <c r="A3051" t="str">
        <f>"20190305135851921"</f>
        <v>20190305135851921</v>
      </c>
      <c r="B3051" t="str">
        <f>"1551765531911643"</f>
        <v>1551765531911643</v>
      </c>
      <c r="C3051" t="s">
        <v>40</v>
      </c>
      <c r="D3051">
        <v>4.0135430000000003</v>
      </c>
      <c r="E3051">
        <v>0.51089949999999995</v>
      </c>
      <c r="F3051" t="s">
        <v>58</v>
      </c>
      <c r="G3051">
        <v>-192.40639999999999</v>
      </c>
      <c r="H3051" s="1">
        <v>2.707134E-6</v>
      </c>
      <c r="I3051">
        <v>220.7295</v>
      </c>
      <c r="J3051">
        <v>-307.2149</v>
      </c>
      <c r="K3051">
        <v>1.1088199999999999</v>
      </c>
      <c r="L3051">
        <v>216.1508</v>
      </c>
      <c r="M3051">
        <v>0.99973529999999999</v>
      </c>
      <c r="N3051">
        <v>-2.0364440000000001E-2</v>
      </c>
      <c r="O3051">
        <v>1.070775E-2</v>
      </c>
      <c r="P3051">
        <v>0.99757150000000006</v>
      </c>
      <c r="Q3051">
        <v>-1.331331E-2</v>
      </c>
      <c r="R3051">
        <v>6.8365389999999998E-2</v>
      </c>
      <c r="S3051">
        <v>2.9987180000000002</v>
      </c>
      <c r="T3051">
        <v>-2.8837439999999999E-2</v>
      </c>
      <c r="U3051">
        <v>0.1192169</v>
      </c>
      <c r="V3051">
        <v>-5.7661259999999999E-2</v>
      </c>
      <c r="W3051">
        <v>7.1527980000000001E-3</v>
      </c>
      <c r="X3051">
        <v>0.99831060000000005</v>
      </c>
      <c r="Y3051">
        <v>-2.901722E-2</v>
      </c>
      <c r="Z3051">
        <v>5.5018540000000005E-4</v>
      </c>
      <c r="AA3051">
        <v>0.99957879999999999</v>
      </c>
      <c r="AB3051">
        <v>50</v>
      </c>
      <c r="AC3051">
        <v>114.8085</v>
      </c>
      <c r="AD3051">
        <v>-1.1088172928659901</v>
      </c>
      <c r="AE3051">
        <v>4.5786999999999898</v>
      </c>
      <c r="AF3051">
        <v>-3.3485298701570398</v>
      </c>
      <c r="AG3051">
        <v>-1.1088172928659901</v>
      </c>
      <c r="AH3051">
        <v>114.84025820906599</v>
      </c>
      <c r="AI3051">
        <v>90.552955827311607</v>
      </c>
      <c r="AJ3051">
        <v>91.670165914016806</v>
      </c>
      <c r="AK3051">
        <v>114.89441689484001</v>
      </c>
      <c r="AL3051">
        <v>89.590171375879095</v>
      </c>
      <c r="AM3051">
        <v>93.305664907736499</v>
      </c>
      <c r="AN3051">
        <v>1.0000000187481799</v>
      </c>
    </row>
    <row r="3052" spans="1:40" x14ac:dyDescent="0.25">
      <c r="A3052" t="str">
        <f>"20190305135851942"</f>
        <v>20190305135851942</v>
      </c>
      <c r="B3052" t="str">
        <f>"1551765531932127"</f>
        <v>1551765531932127</v>
      </c>
      <c r="C3052" t="s">
        <v>40</v>
      </c>
      <c r="D3052">
        <v>3.9923060000000001</v>
      </c>
      <c r="E3052">
        <v>0.51109490000000002</v>
      </c>
      <c r="F3052" t="s">
        <v>59</v>
      </c>
      <c r="G3052">
        <v>-216.5925</v>
      </c>
      <c r="H3052">
        <v>8.0000269999999998E-2</v>
      </c>
      <c r="I3052">
        <v>219.7319</v>
      </c>
      <c r="J3052">
        <v>-306.73129999999998</v>
      </c>
      <c r="K3052">
        <v>1.1088659999999999</v>
      </c>
      <c r="L3052">
        <v>216.15559999999999</v>
      </c>
      <c r="M3052">
        <v>0.99974269999999998</v>
      </c>
      <c r="N3052">
        <v>-2.0262240000000001E-2</v>
      </c>
      <c r="O3052">
        <v>1.019394E-2</v>
      </c>
      <c r="P3052">
        <v>0.99753190000000003</v>
      </c>
      <c r="Q3052">
        <v>-1.4083170000000001E-2</v>
      </c>
      <c r="R3052">
        <v>6.8790870000000004E-2</v>
      </c>
      <c r="S3052">
        <v>2.9987490000000001</v>
      </c>
      <c r="T3052">
        <v>-3.4044270000000001E-2</v>
      </c>
      <c r="U3052">
        <v>0.1184998</v>
      </c>
      <c r="V3052">
        <v>-5.8602689999999999E-2</v>
      </c>
      <c r="W3052">
        <v>6.2744840000000003E-3</v>
      </c>
      <c r="X3052">
        <v>0.99826170000000003</v>
      </c>
      <c r="Y3052">
        <v>-2.92906E-2</v>
      </c>
      <c r="Z3052">
        <v>5.5395189999999999E-4</v>
      </c>
      <c r="AA3052">
        <v>0.99957079999999998</v>
      </c>
      <c r="AB3052">
        <v>50</v>
      </c>
      <c r="AC3052">
        <v>90.138799999999904</v>
      </c>
      <c r="AD3052">
        <v>-1.0288657299999999</v>
      </c>
      <c r="AE3052">
        <v>3.5762999999999998</v>
      </c>
      <c r="AF3052">
        <v>-2.6567102867602501</v>
      </c>
      <c r="AG3052">
        <v>-1.0288657299999999</v>
      </c>
      <c r="AH3052">
        <v>90.158850709313796</v>
      </c>
      <c r="AI3052">
        <v>90.653530204574807</v>
      </c>
      <c r="AJ3052">
        <v>91.687845966614901</v>
      </c>
      <c r="AK3052">
        <v>90.203852664187707</v>
      </c>
      <c r="AL3052">
        <v>89.6404962011419</v>
      </c>
      <c r="AM3052">
        <v>93.359677750624897</v>
      </c>
      <c r="AN3052">
        <v>1.0000000330557901</v>
      </c>
    </row>
    <row r="3053" spans="1:40" x14ac:dyDescent="0.25">
      <c r="A3053" t="str">
        <f>"20190305135851964"</f>
        <v>20190305135851964</v>
      </c>
      <c r="B3053" t="str">
        <f>"1551765531962383"</f>
        <v>1551765531962383</v>
      </c>
      <c r="C3053" t="s">
        <v>40</v>
      </c>
      <c r="D3053">
        <v>4.070627</v>
      </c>
      <c r="E3053">
        <v>0.51648119999999997</v>
      </c>
      <c r="F3053" t="s">
        <v>59</v>
      </c>
      <c r="G3053">
        <v>-216.88890000000001</v>
      </c>
      <c r="H3053">
        <v>8.0000349999999998E-2</v>
      </c>
      <c r="I3053">
        <v>219.69710000000001</v>
      </c>
      <c r="J3053">
        <v>-306.24610000000001</v>
      </c>
      <c r="K3053">
        <v>1.1089119999999999</v>
      </c>
      <c r="L3053">
        <v>216.1601</v>
      </c>
      <c r="M3053">
        <v>0.99974969999999996</v>
      </c>
      <c r="N3053">
        <v>-2.0157060000000001E-2</v>
      </c>
      <c r="O3053">
        <v>9.7070799999999999E-3</v>
      </c>
      <c r="P3053">
        <v>0.99750519999999998</v>
      </c>
      <c r="Q3053">
        <v>-1.495866E-2</v>
      </c>
      <c r="R3053">
        <v>6.8990010000000004E-2</v>
      </c>
      <c r="S3053">
        <v>2.9987789999999999</v>
      </c>
      <c r="T3053">
        <v>-3.4341690000000001E-2</v>
      </c>
      <c r="U3053">
        <v>0.1182098</v>
      </c>
      <c r="V3053">
        <v>-5.9291330000000003E-2</v>
      </c>
      <c r="W3053">
        <v>5.2874469999999998E-3</v>
      </c>
      <c r="X3053">
        <v>0.99822670000000002</v>
      </c>
      <c r="Y3053">
        <v>-2.9680350000000001E-2</v>
      </c>
      <c r="Z3053">
        <v>5.5370019999999905E-4</v>
      </c>
      <c r="AA3053">
        <v>0.99955930000000004</v>
      </c>
      <c r="AB3053">
        <v>50</v>
      </c>
      <c r="AC3053">
        <v>89.357200000000006</v>
      </c>
      <c r="AD3053">
        <v>-1.02891165</v>
      </c>
      <c r="AE3053">
        <v>3.5369999999999999</v>
      </c>
      <c r="AF3053">
        <v>-2.6689062228143401</v>
      </c>
      <c r="AG3053">
        <v>-1.02891165</v>
      </c>
      <c r="AH3053">
        <v>89.3754977742975</v>
      </c>
      <c r="AI3053">
        <v>90.659279431935602</v>
      </c>
      <c r="AJ3053">
        <v>91.710442318122702</v>
      </c>
      <c r="AK3053">
        <v>89.421257662890994</v>
      </c>
      <c r="AL3053">
        <v>89.697050185361604</v>
      </c>
      <c r="AM3053">
        <v>93.399184181070098</v>
      </c>
      <c r="AN3053">
        <v>0.99999998175091798</v>
      </c>
    </row>
    <row r="3054" spans="1:40" x14ac:dyDescent="0.25">
      <c r="A3054" t="str">
        <f>"20190305135851988"</f>
        <v>20190305135851988</v>
      </c>
      <c r="B3054" t="str">
        <f>"1551765531981903"</f>
        <v>1551765531981903</v>
      </c>
      <c r="C3054" t="s">
        <v>40</v>
      </c>
      <c r="D3054">
        <v>4.0581769999999997</v>
      </c>
      <c r="E3054">
        <v>0.51527650000000003</v>
      </c>
      <c r="F3054" t="s">
        <v>73</v>
      </c>
      <c r="G3054">
        <v>-157.8382</v>
      </c>
      <c r="H3054">
        <v>3.268167</v>
      </c>
      <c r="I3054">
        <v>220.0727</v>
      </c>
      <c r="J3054">
        <v>-305.71679999999998</v>
      </c>
      <c r="K3054">
        <v>1.1089450000000001</v>
      </c>
      <c r="L3054">
        <v>216.16480000000001</v>
      </c>
      <c r="M3054">
        <v>0.9997568</v>
      </c>
      <c r="N3054">
        <v>-2.0046729999999999E-2</v>
      </c>
      <c r="O3054">
        <v>9.1975300000000006E-3</v>
      </c>
      <c r="P3054">
        <v>0.9975328</v>
      </c>
      <c r="Q3054">
        <v>-1.5663340000000001E-2</v>
      </c>
      <c r="R3054">
        <v>6.8432759999999995E-2</v>
      </c>
      <c r="S3054">
        <v>3.0027159999999999</v>
      </c>
      <c r="T3054">
        <v>4.368901E-2</v>
      </c>
      <c r="U3054">
        <v>7.91626E-2</v>
      </c>
      <c r="V3054">
        <v>-5.9244440000000002E-2</v>
      </c>
      <c r="W3054">
        <v>4.465391E-3</v>
      </c>
      <c r="X3054">
        <v>0.9982335</v>
      </c>
      <c r="Y3054">
        <v>-1.7163399999999999E-2</v>
      </c>
      <c r="Z3054">
        <v>3.653827E-4</v>
      </c>
      <c r="AA3054">
        <v>0.99985270000000004</v>
      </c>
      <c r="AB3054">
        <v>49</v>
      </c>
      <c r="AC3054">
        <v>147.87859999999901</v>
      </c>
      <c r="AD3054">
        <v>2.1592220000000002</v>
      </c>
      <c r="AE3054">
        <v>3.9078999999999802</v>
      </c>
      <c r="AF3054">
        <v>-2.54680088822936</v>
      </c>
      <c r="AG3054">
        <v>2.1592220000000002</v>
      </c>
      <c r="AH3054">
        <v>147.87678764881801</v>
      </c>
      <c r="AI3054">
        <v>89.163579497680601</v>
      </c>
      <c r="AJ3054">
        <v>90.986676270834494</v>
      </c>
      <c r="AK3054">
        <v>147.914477857116</v>
      </c>
      <c r="AL3054">
        <v>89.744151086943504</v>
      </c>
      <c r="AM3054">
        <v>93.396479180662993</v>
      </c>
      <c r="AN3054">
        <v>0.99999998195497297</v>
      </c>
    </row>
    <row r="3055" spans="1:40" x14ac:dyDescent="0.25">
      <c r="A3055" t="str">
        <f>"20190305135852012"</f>
        <v>20190305135852012</v>
      </c>
      <c r="B3055" t="str">
        <f>"1551765532002399"</f>
        <v>1551765532002399</v>
      </c>
      <c r="C3055" t="s">
        <v>40</v>
      </c>
      <c r="D3055">
        <v>4.0630959999999998</v>
      </c>
      <c r="E3055">
        <v>0.51566869999999998</v>
      </c>
      <c r="F3055" t="s">
        <v>73</v>
      </c>
      <c r="G3055">
        <v>-157.8382</v>
      </c>
      <c r="H3055">
        <v>2.5156710000000002</v>
      </c>
      <c r="I3055">
        <v>220.42529999999999</v>
      </c>
      <c r="J3055">
        <v>-305.21480000000003</v>
      </c>
      <c r="K3055">
        <v>1.10897</v>
      </c>
      <c r="L3055">
        <v>216.16909999999999</v>
      </c>
      <c r="M3055">
        <v>0.99976299999999996</v>
      </c>
      <c r="N3055">
        <v>-1.9949580000000001E-2</v>
      </c>
      <c r="O3055">
        <v>8.7262090000000004E-3</v>
      </c>
      <c r="P3055">
        <v>0.99761659999999996</v>
      </c>
      <c r="Q3055">
        <v>-1.690258E-2</v>
      </c>
      <c r="R3055">
        <v>6.6899470000000003E-2</v>
      </c>
      <c r="S3055">
        <v>3.0019230000000001</v>
      </c>
      <c r="T3055">
        <v>2.8557539999999999E-2</v>
      </c>
      <c r="U3055">
        <v>8.6486820000000006E-2</v>
      </c>
      <c r="V3055">
        <v>-5.8184189999999997E-2</v>
      </c>
      <c r="W3055">
        <v>3.1235799999999999E-3</v>
      </c>
      <c r="X3055">
        <v>0.99830099999999999</v>
      </c>
      <c r="Y3055">
        <v>-2.0077890000000001E-2</v>
      </c>
      <c r="Z3055">
        <v>3.6190080000000002E-4</v>
      </c>
      <c r="AA3055">
        <v>0.99979839999999998</v>
      </c>
      <c r="AB3055">
        <v>49</v>
      </c>
      <c r="AC3055">
        <v>147.3766</v>
      </c>
      <c r="AD3055">
        <v>1.40670099999999</v>
      </c>
      <c r="AE3055">
        <v>4.2561999999999998</v>
      </c>
      <c r="AF3055">
        <v>-2.96947269258659</v>
      </c>
      <c r="AG3055">
        <v>1.40670099999999</v>
      </c>
      <c r="AH3055">
        <v>147.394717079168</v>
      </c>
      <c r="AI3055">
        <v>89.453309894513893</v>
      </c>
      <c r="AJ3055">
        <v>91.154147470258806</v>
      </c>
      <c r="AK3055">
        <v>147.431337234061</v>
      </c>
      <c r="AL3055">
        <v>89.821031761879297</v>
      </c>
      <c r="AM3055">
        <v>93.335608600654894</v>
      </c>
      <c r="AN3055">
        <v>1.00000002165948</v>
      </c>
    </row>
    <row r="3056" spans="1:40" x14ac:dyDescent="0.25">
      <c r="A3056" t="str">
        <f>"20190305135852032"</f>
        <v>20190305135852032</v>
      </c>
      <c r="B3056" t="str">
        <f>"1551765532021920"</f>
        <v>1551765532021920</v>
      </c>
      <c r="C3056" t="s">
        <v>40</v>
      </c>
      <c r="D3056">
        <v>4.0987980000000004</v>
      </c>
      <c r="E3056">
        <v>0.51578780000000002</v>
      </c>
      <c r="F3056" t="s">
        <v>73</v>
      </c>
      <c r="G3056">
        <v>-157.8382</v>
      </c>
      <c r="H3056">
        <v>1.628422</v>
      </c>
      <c r="I3056">
        <v>220.0051</v>
      </c>
      <c r="J3056">
        <v>-304.74869999999999</v>
      </c>
      <c r="K3056">
        <v>1.1089899999999999</v>
      </c>
      <c r="L3056">
        <v>216.17269999999999</v>
      </c>
      <c r="M3056">
        <v>0.99976830000000005</v>
      </c>
      <c r="N3056">
        <v>-1.9866290000000002E-2</v>
      </c>
      <c r="O3056">
        <v>8.2942220000000004E-3</v>
      </c>
      <c r="P3056">
        <v>0.99765879999999996</v>
      </c>
      <c r="Q3056">
        <v>-1.830961E-2</v>
      </c>
      <c r="R3056">
        <v>6.5891660000000005E-2</v>
      </c>
      <c r="S3056">
        <v>3.002075</v>
      </c>
      <c r="T3056">
        <v>1.058245E-2</v>
      </c>
      <c r="U3056">
        <v>7.8140260000000003E-2</v>
      </c>
      <c r="V3056">
        <v>-5.7609819999999999E-2</v>
      </c>
      <c r="W3056">
        <v>1.6282229999999901E-3</v>
      </c>
      <c r="X3056">
        <v>0.9983379</v>
      </c>
      <c r="Y3056">
        <v>-1.7728770000000001E-2</v>
      </c>
      <c r="Z3056">
        <v>3.3890279999999998E-4</v>
      </c>
      <c r="AA3056">
        <v>0.99984280000000003</v>
      </c>
      <c r="AB3056">
        <v>49</v>
      </c>
      <c r="AC3056">
        <v>146.91049999999899</v>
      </c>
      <c r="AD3056">
        <v>0.519432</v>
      </c>
      <c r="AE3056">
        <v>3.8323999999999998</v>
      </c>
      <c r="AF3056">
        <v>-2.6134867180552099</v>
      </c>
      <c r="AG3056">
        <v>0.519432</v>
      </c>
      <c r="AH3056">
        <v>146.935402058493</v>
      </c>
      <c r="AI3056">
        <v>89.797486307413607</v>
      </c>
      <c r="AJ3056">
        <v>91.018991806375396</v>
      </c>
      <c r="AK3056">
        <v>146.959560765943</v>
      </c>
      <c r="AL3056">
        <v>89.906709657673204</v>
      </c>
      <c r="AM3056">
        <v>93.302632318326104</v>
      </c>
      <c r="AN3056">
        <v>1.00000005252348</v>
      </c>
    </row>
    <row r="3057" spans="1:40" x14ac:dyDescent="0.25">
      <c r="A3057" t="str">
        <f>"20190305135852055"</f>
        <v>20190305135852055</v>
      </c>
      <c r="B3057" t="str">
        <f>"1551765532052177"</f>
        <v>1551765532052177</v>
      </c>
      <c r="C3057" t="s">
        <v>40</v>
      </c>
      <c r="D3057">
        <v>4.0896410000000003</v>
      </c>
      <c r="E3057">
        <v>0.51544579999999995</v>
      </c>
      <c r="F3057" t="s">
        <v>73</v>
      </c>
      <c r="G3057">
        <v>-157.8382</v>
      </c>
      <c r="H3057">
        <v>1.47736</v>
      </c>
      <c r="I3057">
        <v>219.8</v>
      </c>
      <c r="J3057">
        <v>-304.26440000000002</v>
      </c>
      <c r="K3057">
        <v>1.1090040000000001</v>
      </c>
      <c r="L3057">
        <v>216.1764</v>
      </c>
      <c r="M3057">
        <v>0.99977360000000004</v>
      </c>
      <c r="N3057">
        <v>-1.978655E-2</v>
      </c>
      <c r="O3057">
        <v>7.8470880000000003E-3</v>
      </c>
      <c r="P3057">
        <v>0.99770429999999999</v>
      </c>
      <c r="Q3057">
        <v>-1.8923949999999998E-2</v>
      </c>
      <c r="R3057">
        <v>6.5025550000000001E-2</v>
      </c>
      <c r="S3057">
        <v>3.0022579999999999</v>
      </c>
      <c r="T3057">
        <v>7.5291400000000001E-3</v>
      </c>
      <c r="U3057">
        <v>7.4127199999999893E-2</v>
      </c>
      <c r="V3057">
        <v>-5.719142E-2</v>
      </c>
      <c r="W3057">
        <v>9.3013440000000002E-4</v>
      </c>
      <c r="X3057">
        <v>0.99836279999999999</v>
      </c>
      <c r="Y3057">
        <v>-1.6838280000000001E-2</v>
      </c>
      <c r="Z3057">
        <v>3.2045179999999997E-4</v>
      </c>
      <c r="AA3057">
        <v>0.99985820000000003</v>
      </c>
      <c r="AB3057">
        <v>49</v>
      </c>
      <c r="AC3057">
        <v>146.42619999999999</v>
      </c>
      <c r="AD3057">
        <v>0.36835599999999902</v>
      </c>
      <c r="AE3057">
        <v>3.6236000000000002</v>
      </c>
      <c r="AF3057">
        <v>-2.4742286664094602</v>
      </c>
      <c r="AG3057">
        <v>0.36835599999999902</v>
      </c>
      <c r="AH3057">
        <v>146.44920397938401</v>
      </c>
      <c r="AI3057">
        <v>89.855907798302098</v>
      </c>
      <c r="AJ3057">
        <v>90.9679081252429</v>
      </c>
      <c r="AK3057">
        <v>146.47056646245201</v>
      </c>
      <c r="AL3057">
        <v>89.946707216924807</v>
      </c>
      <c r="AM3057">
        <v>93.278617377437399</v>
      </c>
      <c r="AN3057">
        <v>1.00000000204772</v>
      </c>
    </row>
    <row r="3058" spans="1:40" x14ac:dyDescent="0.25">
      <c r="A3058" t="str">
        <f>"20190305135852070"</f>
        <v>20190305135852070</v>
      </c>
      <c r="B3058" t="str">
        <f>"1551765532061935"</f>
        <v>1551765532061935</v>
      </c>
      <c r="C3058" t="s">
        <v>40</v>
      </c>
      <c r="D3058">
        <v>4.2231969999999999</v>
      </c>
      <c r="E3058">
        <v>0.51544579999999995</v>
      </c>
      <c r="F3058" t="s">
        <v>73</v>
      </c>
      <c r="G3058">
        <v>-157.8382</v>
      </c>
      <c r="H3058">
        <v>1.2084239999999999</v>
      </c>
      <c r="I3058">
        <v>219.78880000000001</v>
      </c>
      <c r="J3058">
        <v>-303.91090000000003</v>
      </c>
      <c r="K3058">
        <v>1.1090150000000001</v>
      </c>
      <c r="L3058">
        <v>216.1789</v>
      </c>
      <c r="M3058">
        <v>0.99977709999999997</v>
      </c>
      <c r="N3058">
        <v>-1.9733210000000001E-2</v>
      </c>
      <c r="O3058">
        <v>7.5213349999999997E-3</v>
      </c>
      <c r="P3058">
        <v>0.99774819999999997</v>
      </c>
      <c r="Q3058">
        <v>-1.967642E-2</v>
      </c>
      <c r="R3058">
        <v>6.4123719999999995E-2</v>
      </c>
      <c r="S3058">
        <v>3.002167</v>
      </c>
      <c r="T3058">
        <v>2.039552E-3</v>
      </c>
      <c r="U3058">
        <v>7.4066160000000006E-2</v>
      </c>
      <c r="V3058">
        <v>-5.6616359999999998E-2</v>
      </c>
      <c r="W3058">
        <v>1.214186E-4</v>
      </c>
      <c r="X3058">
        <v>0.99839599999999995</v>
      </c>
      <c r="Y3058">
        <v>-1.7143869999999999E-2</v>
      </c>
      <c r="Z3058">
        <v>3.1689560000000002E-4</v>
      </c>
      <c r="AA3058">
        <v>0.99985299999999999</v>
      </c>
      <c r="AB3058">
        <v>49</v>
      </c>
      <c r="AC3058">
        <v>146.0727</v>
      </c>
      <c r="AD3058">
        <v>9.9408999999999997E-2</v>
      </c>
      <c r="AE3058">
        <v>3.6099000000000001</v>
      </c>
      <c r="AF3058">
        <v>-2.5109211277439401</v>
      </c>
      <c r="AG3058">
        <v>9.9408999999999997E-2</v>
      </c>
      <c r="AH3058">
        <v>146.09565556205001</v>
      </c>
      <c r="AI3058">
        <v>89.9610195511234</v>
      </c>
      <c r="AJ3058">
        <v>90.984635853541803</v>
      </c>
      <c r="AK3058">
        <v>146.117265171383</v>
      </c>
      <c r="AL3058">
        <v>89.9930432266477</v>
      </c>
      <c r="AM3058">
        <v>93.245614002835794</v>
      </c>
      <c r="AN3058">
        <v>0.99999999988906296</v>
      </c>
    </row>
    <row r="3059" spans="1:40" x14ac:dyDescent="0.25">
      <c r="A3059" t="str">
        <f>"20190305135852089"</f>
        <v>20190305135852089</v>
      </c>
      <c r="B3059" t="str">
        <f>"1551765532082431"</f>
        <v>1551765532082431</v>
      </c>
      <c r="C3059" t="s">
        <v>40</v>
      </c>
      <c r="D3059">
        <v>4.1205069999999999</v>
      </c>
      <c r="E3059">
        <v>0.5508651</v>
      </c>
      <c r="F3059" t="s">
        <v>73</v>
      </c>
      <c r="G3059">
        <v>-157.8382</v>
      </c>
      <c r="H3059">
        <v>1.099585</v>
      </c>
      <c r="I3059">
        <v>219.65270000000001</v>
      </c>
      <c r="J3059">
        <v>-303.52879999999999</v>
      </c>
      <c r="K3059">
        <v>1.109013</v>
      </c>
      <c r="L3059">
        <v>216.1815</v>
      </c>
      <c r="M3059">
        <v>0.99978049999999996</v>
      </c>
      <c r="N3059">
        <v>-1.9682990000000001E-2</v>
      </c>
      <c r="O3059">
        <v>7.1694840000000003E-3</v>
      </c>
      <c r="P3059">
        <v>0.99776600000000004</v>
      </c>
      <c r="Q3059">
        <v>-2.2140819999999999E-2</v>
      </c>
      <c r="R3059">
        <v>6.3029710000000003E-2</v>
      </c>
      <c r="S3059">
        <v>3.002167</v>
      </c>
      <c r="T3059">
        <v>-1.9264219999999999E-4</v>
      </c>
      <c r="U3059">
        <v>7.139587E-2</v>
      </c>
      <c r="V3059">
        <v>-5.5877320000000001E-2</v>
      </c>
      <c r="W3059">
        <v>-2.3964580000000002E-3</v>
      </c>
      <c r="X3059">
        <v>0.99843479999999996</v>
      </c>
      <c r="Y3059">
        <v>-1.6606639999999999E-2</v>
      </c>
      <c r="Z3059">
        <v>3.0466050000000001E-4</v>
      </c>
      <c r="AA3059">
        <v>0.99986209999999998</v>
      </c>
      <c r="AB3059">
        <v>49</v>
      </c>
      <c r="AC3059">
        <v>145.69059999999999</v>
      </c>
      <c r="AD3059">
        <v>-9.4279999999999902E-3</v>
      </c>
      <c r="AE3059">
        <v>3.4712000000000098</v>
      </c>
      <c r="AF3059">
        <v>-2.4263818538897302</v>
      </c>
      <c r="AG3059">
        <v>-9.4279999999999902E-3</v>
      </c>
      <c r="AH3059">
        <v>145.71174506924501</v>
      </c>
      <c r="AI3059">
        <v>90.003706700038293</v>
      </c>
      <c r="AJ3059">
        <v>90.9539971687487</v>
      </c>
      <c r="AK3059">
        <v>145.73194594498699</v>
      </c>
      <c r="AL3059">
        <v>90.137307055955105</v>
      </c>
      <c r="AM3059">
        <v>93.203212062522795</v>
      </c>
      <c r="AN3059">
        <v>1.0000000338761801</v>
      </c>
    </row>
    <row r="3060" spans="1:40" x14ac:dyDescent="0.25">
      <c r="A3060" t="str">
        <f>"20190305135852111"</f>
        <v>20190305135852111</v>
      </c>
      <c r="B3060" t="str">
        <f>"1551765532101955"</f>
        <v>1551765532101955</v>
      </c>
      <c r="C3060" t="s">
        <v>40</v>
      </c>
      <c r="D3060">
        <v>4.0514859999999997</v>
      </c>
      <c r="E3060">
        <v>0.56172390000000005</v>
      </c>
      <c r="F3060" t="s">
        <v>70</v>
      </c>
      <c r="G3060">
        <v>-168.41079999999999</v>
      </c>
      <c r="H3060">
        <v>1.1431690000000001</v>
      </c>
      <c r="I3060">
        <v>206.62379999999999</v>
      </c>
      <c r="J3060">
        <v>-303.02769999999998</v>
      </c>
      <c r="K3060">
        <v>1.109016</v>
      </c>
      <c r="L3060">
        <v>216.18469999999999</v>
      </c>
      <c r="M3060">
        <v>0.99978480000000003</v>
      </c>
      <c r="N3060">
        <v>-1.9631139999999998E-2</v>
      </c>
      <c r="O3060">
        <v>6.7082180000000002E-3</v>
      </c>
      <c r="P3060">
        <v>0.99779439999999997</v>
      </c>
      <c r="Q3060">
        <v>-2.447146E-2</v>
      </c>
      <c r="R3060">
        <v>6.1704460000000003E-2</v>
      </c>
      <c r="S3060">
        <v>3.0202330000000002</v>
      </c>
      <c r="T3060">
        <v>7.6425080000000001E-4</v>
      </c>
      <c r="U3060">
        <v>-0.2136383</v>
      </c>
      <c r="V3060">
        <v>-5.5016059999999999E-2</v>
      </c>
      <c r="W3060">
        <v>-4.7825100000000002E-3</v>
      </c>
      <c r="X3060">
        <v>0.99847399999999997</v>
      </c>
      <c r="Y3060">
        <v>7.7249449999999997E-2</v>
      </c>
      <c r="Z3060">
        <v>-6.1627760000000002E-4</v>
      </c>
      <c r="AA3060">
        <v>0.9970116</v>
      </c>
      <c r="AB3060">
        <v>49</v>
      </c>
      <c r="AC3060">
        <v>134.61689999999999</v>
      </c>
      <c r="AD3060">
        <v>3.41530000000001E-2</v>
      </c>
      <c r="AE3060">
        <v>-9.5609000000000002</v>
      </c>
      <c r="AF3060">
        <v>10.4638976800598</v>
      </c>
      <c r="AG3060">
        <v>3.41530000000001E-2</v>
      </c>
      <c r="AH3060">
        <v>134.549712325618</v>
      </c>
      <c r="AI3060">
        <v>89.985500289617306</v>
      </c>
      <c r="AJ3060">
        <v>85.553072261859</v>
      </c>
      <c r="AK3060">
        <v>134.95599063395699</v>
      </c>
      <c r="AL3060">
        <v>90.274018687456504</v>
      </c>
      <c r="AM3060">
        <v>93.153816524567304</v>
      </c>
      <c r="AN3060">
        <v>0.99999998396791101</v>
      </c>
    </row>
    <row r="3061" spans="1:40" x14ac:dyDescent="0.25">
      <c r="A3061" t="str">
        <f>"20190305135852125"</f>
        <v>20190305135852125</v>
      </c>
      <c r="B3061" t="str">
        <f>"1551765532122448"</f>
        <v>1551765532122448</v>
      </c>
      <c r="C3061" t="s">
        <v>40</v>
      </c>
      <c r="D3061">
        <v>4.0221640000000001</v>
      </c>
      <c r="E3061">
        <v>0.5652239</v>
      </c>
      <c r="F3061" t="s">
        <v>70</v>
      </c>
      <c r="G3061">
        <v>-168.41229999999999</v>
      </c>
      <c r="H3061">
        <v>1.615599</v>
      </c>
      <c r="I3061">
        <v>202.685</v>
      </c>
      <c r="J3061">
        <v>-302.72930000000002</v>
      </c>
      <c r="K3061">
        <v>1.1090199999999999</v>
      </c>
      <c r="L3061">
        <v>216.18639999999999</v>
      </c>
      <c r="M3061">
        <v>0.99978719999999999</v>
      </c>
      <c r="N3061">
        <v>-1.9606499999999999E-2</v>
      </c>
      <c r="O3061">
        <v>6.4330139999999999E-3</v>
      </c>
      <c r="P3061">
        <v>0.99777859999999996</v>
      </c>
      <c r="Q3061">
        <v>-2.5989399999999999E-2</v>
      </c>
      <c r="R3061">
        <v>6.1340760000000001E-2</v>
      </c>
      <c r="S3061">
        <v>3.0256349999999999</v>
      </c>
      <c r="T3061">
        <v>1.1386749999999999E-2</v>
      </c>
      <c r="U3061">
        <v>-0.303421</v>
      </c>
      <c r="V3061">
        <v>-5.492988E-2</v>
      </c>
      <c r="W3061">
        <v>-6.3267899999999997E-3</v>
      </c>
      <c r="X3061">
        <v>0.99847019999999997</v>
      </c>
      <c r="Y3061">
        <v>0.1061844</v>
      </c>
      <c r="Z3061">
        <v>-6.9436859999999999E-4</v>
      </c>
      <c r="AA3061">
        <v>0.99434619999999996</v>
      </c>
      <c r="AB3061">
        <v>49</v>
      </c>
      <c r="AC3061">
        <v>134.31700000000001</v>
      </c>
      <c r="AD3061">
        <v>0.506578999999999</v>
      </c>
      <c r="AE3061">
        <v>-13.501399999999901</v>
      </c>
      <c r="AF3061">
        <v>14.3651473933903</v>
      </c>
      <c r="AG3061">
        <v>0.506578999999999</v>
      </c>
      <c r="AH3061">
        <v>134.22545808303499</v>
      </c>
      <c r="AI3061">
        <v>89.784989409617594</v>
      </c>
      <c r="AJ3061">
        <v>83.891312817502495</v>
      </c>
      <c r="AK3061">
        <v>134.992917145744</v>
      </c>
      <c r="AL3061">
        <v>90.362500772347602</v>
      </c>
      <c r="AM3061">
        <v>93.148898132988407</v>
      </c>
      <c r="AN3061">
        <v>1.0000000301382701</v>
      </c>
    </row>
    <row r="3062" spans="1:40" x14ac:dyDescent="0.25">
      <c r="A3062" t="str">
        <f>"20190305135852139"</f>
        <v>20190305135852139</v>
      </c>
      <c r="B3062" t="str">
        <f>"1551765532132207"</f>
        <v>1551765532132207</v>
      </c>
      <c r="C3062" t="s">
        <v>40</v>
      </c>
      <c r="D3062">
        <v>4.0484</v>
      </c>
      <c r="E3062">
        <v>0.56586099999999995</v>
      </c>
      <c r="F3062" t="s">
        <v>70</v>
      </c>
      <c r="G3062">
        <v>-168.4127</v>
      </c>
      <c r="H3062">
        <v>1.5378339999999999</v>
      </c>
      <c r="I3062">
        <v>201.44210000000001</v>
      </c>
      <c r="J3062">
        <v>-302.42579999999998</v>
      </c>
      <c r="K3062">
        <v>1.1090249999999999</v>
      </c>
      <c r="L3062">
        <v>216.18819999999999</v>
      </c>
      <c r="M3062">
        <v>0.99978929999999999</v>
      </c>
      <c r="N3062">
        <v>-1.9584319999999999E-2</v>
      </c>
      <c r="O3062">
        <v>6.1522069999999998E-3</v>
      </c>
      <c r="P3062">
        <v>0.99778820000000001</v>
      </c>
      <c r="Q3062">
        <v>-2.7039879999999999E-2</v>
      </c>
      <c r="R3062">
        <v>6.0727370000000003E-2</v>
      </c>
      <c r="S3062">
        <v>3.0273439999999998</v>
      </c>
      <c r="T3062">
        <v>9.6657280000000002E-3</v>
      </c>
      <c r="U3062">
        <v>-0.33232119999999998</v>
      </c>
      <c r="V3062">
        <v>-5.4598099999999997E-2</v>
      </c>
      <c r="W3062">
        <v>-7.400991E-3</v>
      </c>
      <c r="X3062">
        <v>0.99848099999999995</v>
      </c>
      <c r="Y3062">
        <v>0.11523369999999999</v>
      </c>
      <c r="Z3062">
        <v>-8.0873999999999996E-4</v>
      </c>
      <c r="AA3062">
        <v>0.9933381</v>
      </c>
      <c r="AB3062">
        <v>49</v>
      </c>
      <c r="AC3062">
        <v>134.01309999999901</v>
      </c>
      <c r="AD3062">
        <v>0.428809</v>
      </c>
      <c r="AE3062">
        <v>-14.746099999999901</v>
      </c>
      <c r="AF3062">
        <v>15.5702977877976</v>
      </c>
      <c r="AG3062">
        <v>0.428809</v>
      </c>
      <c r="AH3062">
        <v>133.918469655542</v>
      </c>
      <c r="AI3062">
        <v>89.817766235776105</v>
      </c>
      <c r="AJ3062">
        <v>83.3681680968986</v>
      </c>
      <c r="AK3062">
        <v>134.82126896466099</v>
      </c>
      <c r="AL3062">
        <v>90.424049412442599</v>
      </c>
      <c r="AM3062">
        <v>93.129882729028793</v>
      </c>
      <c r="AN3062">
        <v>1.00000001727619</v>
      </c>
    </row>
    <row r="3063" spans="1:40" x14ac:dyDescent="0.25">
      <c r="A3063" t="str">
        <f>"20190305135852154"</f>
        <v>20190305135852154</v>
      </c>
      <c r="B3063" t="str">
        <f>"1551765532151728"</f>
        <v>1551765532151728</v>
      </c>
      <c r="C3063" t="s">
        <v>40</v>
      </c>
      <c r="D3063">
        <v>4.0520360000000002</v>
      </c>
      <c r="E3063">
        <v>0.56693979999999999</v>
      </c>
      <c r="F3063" t="s">
        <v>70</v>
      </c>
      <c r="G3063">
        <v>-168.4127</v>
      </c>
      <c r="H3063">
        <v>1.3035870000000001</v>
      </c>
      <c r="I3063">
        <v>201.1688</v>
      </c>
      <c r="J3063">
        <v>-302.08879999999999</v>
      </c>
      <c r="K3063">
        <v>1.109019</v>
      </c>
      <c r="L3063">
        <v>216.19</v>
      </c>
      <c r="M3063">
        <v>0.99979169999999995</v>
      </c>
      <c r="N3063">
        <v>-1.9563069999999998E-2</v>
      </c>
      <c r="O3063">
        <v>5.8364619999999997E-3</v>
      </c>
      <c r="P3063">
        <v>0.99775270000000005</v>
      </c>
      <c r="Q3063">
        <v>-2.8680669999999998E-2</v>
      </c>
      <c r="R3063">
        <v>6.0559179999999997E-2</v>
      </c>
      <c r="S3063">
        <v>3.0274049999999999</v>
      </c>
      <c r="T3063">
        <v>4.3959619999999998E-3</v>
      </c>
      <c r="U3063">
        <v>-0.3392944</v>
      </c>
      <c r="V3063">
        <v>-5.4747810000000001E-2</v>
      </c>
      <c r="W3063">
        <v>-9.0642480000000004E-3</v>
      </c>
      <c r="X3063">
        <v>0.99845910000000004</v>
      </c>
      <c r="Y3063">
        <v>0.11717660000000001</v>
      </c>
      <c r="Z3063">
        <v>-9.4276560000000002E-4</v>
      </c>
      <c r="AA3063">
        <v>0.99311070000000001</v>
      </c>
      <c r="AB3063">
        <v>48</v>
      </c>
      <c r="AC3063">
        <v>133.67609999999999</v>
      </c>
      <c r="AD3063">
        <v>0.19456799999999999</v>
      </c>
      <c r="AE3063">
        <v>-15.021199999999901</v>
      </c>
      <c r="AF3063">
        <v>15.801255728781999</v>
      </c>
      <c r="AG3063">
        <v>0.19456799999999999</v>
      </c>
      <c r="AH3063">
        <v>133.585855407179</v>
      </c>
      <c r="AI3063">
        <v>89.917126415191404</v>
      </c>
      <c r="AJ3063">
        <v>83.254091179992201</v>
      </c>
      <c r="AK3063">
        <v>134.51727883131201</v>
      </c>
      <c r="AL3063">
        <v>90.519350251738501</v>
      </c>
      <c r="AM3063">
        <v>93.138516549819698</v>
      </c>
      <c r="AN3063">
        <v>1.0000000288322</v>
      </c>
    </row>
    <row r="3064" spans="1:40" x14ac:dyDescent="0.25">
      <c r="A3064" t="str">
        <f>"20190305135852170"</f>
        <v>20190305135852170</v>
      </c>
      <c r="B3064" t="str">
        <f>"1551765532162464"</f>
        <v>1551765532162464</v>
      </c>
      <c r="C3064" t="s">
        <v>40</v>
      </c>
      <c r="D3064">
        <v>4.0218730000000003</v>
      </c>
      <c r="E3064">
        <v>0.56738230000000001</v>
      </c>
      <c r="F3064" t="s">
        <v>70</v>
      </c>
      <c r="G3064">
        <v>-168.4127</v>
      </c>
      <c r="H3064">
        <v>0.94326500000000002</v>
      </c>
      <c r="I3064">
        <v>200.80160000000001</v>
      </c>
      <c r="J3064">
        <v>-301.74369999999999</v>
      </c>
      <c r="K3064">
        <v>1.1090199999999999</v>
      </c>
      <c r="L3064">
        <v>216.1918</v>
      </c>
      <c r="M3064">
        <v>0.99979379999999995</v>
      </c>
      <c r="N3064">
        <v>-1.9548050000000001E-2</v>
      </c>
      <c r="O3064">
        <v>5.5082380000000004E-3</v>
      </c>
      <c r="P3064">
        <v>0.99777780000000005</v>
      </c>
      <c r="Q3064">
        <v>-2.896147E-2</v>
      </c>
      <c r="R3064">
        <v>6.000776E-2</v>
      </c>
      <c r="S3064">
        <v>3.0278320000000001</v>
      </c>
      <c r="T3064">
        <v>-3.7536620000000001E-3</v>
      </c>
      <c r="U3064">
        <v>-0.34855649999999999</v>
      </c>
      <c r="V3064">
        <v>-5.4524370000000003E-2</v>
      </c>
      <c r="W3064">
        <v>-9.3606030000000003E-3</v>
      </c>
      <c r="X3064">
        <v>0.99846860000000004</v>
      </c>
      <c r="Y3064">
        <v>0.1198311</v>
      </c>
      <c r="Z3064">
        <v>-1.1487239999999901E-3</v>
      </c>
      <c r="AA3064">
        <v>0.99279360000000005</v>
      </c>
      <c r="AB3064">
        <v>48</v>
      </c>
      <c r="AC3064">
        <v>133.33099999999999</v>
      </c>
      <c r="AD3064">
        <v>-0.16575500000000001</v>
      </c>
      <c r="AE3064">
        <v>-15.390199999999901</v>
      </c>
      <c r="AF3064">
        <v>16.124501042685399</v>
      </c>
      <c r="AG3064">
        <v>-0.16575500000000001</v>
      </c>
      <c r="AH3064">
        <v>133.243984231372</v>
      </c>
      <c r="AI3064">
        <v>90.070759452841898</v>
      </c>
      <c r="AJ3064">
        <v>83.099912173032905</v>
      </c>
      <c r="AK3064">
        <v>134.21619254935499</v>
      </c>
      <c r="AL3064">
        <v>90.536330858513693</v>
      </c>
      <c r="AM3064">
        <v>93.125703220929395</v>
      </c>
      <c r="AN3064">
        <v>1.0000000364991799</v>
      </c>
    </row>
    <row r="3065" spans="1:40" x14ac:dyDescent="0.25">
      <c r="A3065" t="str">
        <f>"20190305135852183"</f>
        <v>20190305135852183</v>
      </c>
      <c r="B3065" t="str">
        <f>"1551765532172224"</f>
        <v>1551765532172224</v>
      </c>
      <c r="C3065" t="s">
        <v>40</v>
      </c>
      <c r="D3065">
        <v>4.0769089999999997</v>
      </c>
      <c r="E3065">
        <v>0.56794579999999995</v>
      </c>
      <c r="F3065" t="s">
        <v>70</v>
      </c>
      <c r="G3065">
        <v>-168.4127</v>
      </c>
      <c r="H3065">
        <v>0.88178539999999905</v>
      </c>
      <c r="I3065">
        <v>200.6259</v>
      </c>
      <c r="J3065">
        <v>-301.46600000000001</v>
      </c>
      <c r="K3065">
        <v>1.1090199999999999</v>
      </c>
      <c r="L3065">
        <v>216.19309999999999</v>
      </c>
      <c r="M3065">
        <v>0.9997954</v>
      </c>
      <c r="N3065">
        <v>-1.9540109999999999E-2</v>
      </c>
      <c r="O3065">
        <v>5.2379690000000003E-3</v>
      </c>
      <c r="P3065">
        <v>0.99775630000000004</v>
      </c>
      <c r="Q3065">
        <v>-2.9741500000000001E-2</v>
      </c>
      <c r="R3065">
        <v>5.9984660000000002E-2</v>
      </c>
      <c r="S3065">
        <v>3.0278019999999999</v>
      </c>
      <c r="T3065">
        <v>-5.1594969999999999E-3</v>
      </c>
      <c r="U3065">
        <v>-0.353485099999999</v>
      </c>
      <c r="V3065">
        <v>-5.4772950000000001E-2</v>
      </c>
      <c r="W3065">
        <v>-1.014868E-2</v>
      </c>
      <c r="X3065">
        <v>0.99844719999999998</v>
      </c>
      <c r="Y3065">
        <v>0.1211579</v>
      </c>
      <c r="Z3065">
        <v>-1.1976179999999999E-3</v>
      </c>
      <c r="AA3065">
        <v>0.99263250000000003</v>
      </c>
      <c r="AB3065">
        <v>48</v>
      </c>
      <c r="AC3065">
        <v>133.05330000000001</v>
      </c>
      <c r="AD3065">
        <v>-0.22723460000000001</v>
      </c>
      <c r="AE3065">
        <v>-15.5671999999999</v>
      </c>
      <c r="AF3065">
        <v>16.264001681757399</v>
      </c>
      <c r="AG3065">
        <v>-0.22723460000000001</v>
      </c>
      <c r="AH3065">
        <v>132.969535365604</v>
      </c>
      <c r="AI3065">
        <v>90.097189628465102</v>
      </c>
      <c r="AJ3065">
        <v>83.026576695872507</v>
      </c>
      <c r="AK3065">
        <v>133.96069095675799</v>
      </c>
      <c r="AL3065">
        <v>90.581486547723102</v>
      </c>
      <c r="AM3065">
        <v>93.139992210977397</v>
      </c>
      <c r="AN3065">
        <v>0.99999994147264004</v>
      </c>
    </row>
    <row r="3066" spans="1:40" x14ac:dyDescent="0.25">
      <c r="A3066" t="str">
        <f>"20190305135852202"</f>
        <v>20190305135852202</v>
      </c>
      <c r="B3066" t="str">
        <f>"1551765532191743"</f>
        <v>1551765532191743</v>
      </c>
      <c r="C3066" t="s">
        <v>40</v>
      </c>
      <c r="D3066">
        <v>4.074287</v>
      </c>
      <c r="E3066">
        <v>0.56868019999999997</v>
      </c>
      <c r="F3066" t="s">
        <v>70</v>
      </c>
      <c r="G3066">
        <v>-168.4128</v>
      </c>
      <c r="H3066">
        <v>0.83589740000000001</v>
      </c>
      <c r="I3066">
        <v>200.46260000000001</v>
      </c>
      <c r="J3066">
        <v>-301.07769999999999</v>
      </c>
      <c r="K3066">
        <v>1.1090150000000001</v>
      </c>
      <c r="L3066">
        <v>216.19489999999999</v>
      </c>
      <c r="M3066">
        <v>0.99979750000000001</v>
      </c>
      <c r="N3066">
        <v>-1.9536299999999999E-2</v>
      </c>
      <c r="O3066">
        <v>4.8462979999999998E-3</v>
      </c>
      <c r="P3066">
        <v>0.99772780000000005</v>
      </c>
      <c r="Q3066">
        <v>-3.0901350000000001E-2</v>
      </c>
      <c r="R3066">
        <v>5.9870720000000002E-2</v>
      </c>
      <c r="S3066">
        <v>3.028076</v>
      </c>
      <c r="T3066">
        <v>-6.2150959999999998E-3</v>
      </c>
      <c r="U3066">
        <v>-0.35800169999999998</v>
      </c>
      <c r="V3066">
        <v>-5.505173E-2</v>
      </c>
      <c r="W3066">
        <v>-1.13119E-2</v>
      </c>
      <c r="X3066">
        <v>0.99841939999999996</v>
      </c>
      <c r="Y3066">
        <v>0.1222186</v>
      </c>
      <c r="Z3066">
        <v>-1.2386700000000001E-3</v>
      </c>
      <c r="AA3066">
        <v>0.99250249999999995</v>
      </c>
      <c r="AB3066">
        <v>48</v>
      </c>
      <c r="AC3066">
        <v>132.66489999999999</v>
      </c>
      <c r="AD3066">
        <v>-0.27311759999999902</v>
      </c>
      <c r="AE3066">
        <v>-15.732299999999899</v>
      </c>
      <c r="AF3066">
        <v>16.375103045164</v>
      </c>
      <c r="AG3066">
        <v>-0.27311759999999902</v>
      </c>
      <c r="AH3066">
        <v>132.58652936874299</v>
      </c>
      <c r="AI3066">
        <v>90.117134564267303</v>
      </c>
      <c r="AJ3066">
        <v>82.959336908904305</v>
      </c>
      <c r="AK3066">
        <v>133.59418536377899</v>
      </c>
      <c r="AL3066">
        <v>90.648137967387399</v>
      </c>
      <c r="AM3066">
        <v>93.156029422723094</v>
      </c>
      <c r="AN3066">
        <v>0.99999997517698103</v>
      </c>
    </row>
    <row r="3067" spans="1:40" x14ac:dyDescent="0.25">
      <c r="A3067" t="str">
        <f>"20190305135852223"</f>
        <v>20190305135852223</v>
      </c>
      <c r="B3067" t="str">
        <f>"1551765532212240"</f>
        <v>1551765532212240</v>
      </c>
      <c r="C3067" t="s">
        <v>40</v>
      </c>
      <c r="D3067">
        <v>4.029242</v>
      </c>
      <c r="E3067">
        <v>0.56910550000000004</v>
      </c>
      <c r="F3067" t="s">
        <v>70</v>
      </c>
      <c r="G3067">
        <v>-168.4128</v>
      </c>
      <c r="H3067">
        <v>0.78584189999999998</v>
      </c>
      <c r="I3067">
        <v>200.24340000000001</v>
      </c>
      <c r="J3067">
        <v>-300.60930000000002</v>
      </c>
      <c r="K3067">
        <v>1.109003</v>
      </c>
      <c r="L3067">
        <v>216.1968</v>
      </c>
      <c r="M3067">
        <v>0.99979960000000001</v>
      </c>
      <c r="N3067">
        <v>-1.9545280000000002E-2</v>
      </c>
      <c r="O3067">
        <v>4.3427600000000002E-3</v>
      </c>
      <c r="P3067">
        <v>0.99770219999999998</v>
      </c>
      <c r="Q3067">
        <v>-3.1907959999999999E-2</v>
      </c>
      <c r="R3067">
        <v>5.976795E-2</v>
      </c>
      <c r="S3067">
        <v>3.0284420000000001</v>
      </c>
      <c r="T3067">
        <v>-7.3765519999999998E-3</v>
      </c>
      <c r="U3067">
        <v>-0.36413570000000001</v>
      </c>
      <c r="V3067">
        <v>-5.5453839999999997E-2</v>
      </c>
      <c r="W3067">
        <v>-1.230755E-2</v>
      </c>
      <c r="X3067">
        <v>0.99838539999999998</v>
      </c>
      <c r="Y3067">
        <v>0.1236862</v>
      </c>
      <c r="Z3067">
        <v>-1.2892660000000001E-3</v>
      </c>
      <c r="AA3067">
        <v>0.99232050000000005</v>
      </c>
      <c r="AB3067">
        <v>48</v>
      </c>
      <c r="AC3067">
        <v>132.19649999999999</v>
      </c>
      <c r="AD3067">
        <v>-0.32316109999999998</v>
      </c>
      <c r="AE3067">
        <v>-15.953399999999901</v>
      </c>
      <c r="AF3067">
        <v>16.5273594855305</v>
      </c>
      <c r="AG3067">
        <v>-0.32316109999999998</v>
      </c>
      <c r="AH3067">
        <v>132.12517968917999</v>
      </c>
      <c r="AI3067">
        <v>90.1390541118149</v>
      </c>
      <c r="AJ3067">
        <v>82.869982950106305</v>
      </c>
      <c r="AK3067">
        <v>133.15525206524401</v>
      </c>
      <c r="AL3067">
        <v>90.705188471162799</v>
      </c>
      <c r="AM3067">
        <v>93.179142687134899</v>
      </c>
      <c r="AN3067">
        <v>1.0000000055454501</v>
      </c>
    </row>
    <row r="3068" spans="1:40" x14ac:dyDescent="0.25">
      <c r="A3068" t="str">
        <f>"20190305135852244"</f>
        <v>20190305135852244</v>
      </c>
      <c r="B3068" t="str">
        <f>"1551765532242496"</f>
        <v>1551765532242496</v>
      </c>
      <c r="C3068" t="s">
        <v>40</v>
      </c>
      <c r="D3068">
        <v>4.0992480000000002</v>
      </c>
      <c r="E3068">
        <v>0.56963859999999999</v>
      </c>
      <c r="F3068" t="s">
        <v>70</v>
      </c>
      <c r="G3068">
        <v>-168.4128</v>
      </c>
      <c r="H3068">
        <v>0.68059440000000004</v>
      </c>
      <c r="I3068">
        <v>200.14510000000001</v>
      </c>
      <c r="J3068">
        <v>-300.17079999999999</v>
      </c>
      <c r="K3068">
        <v>1.1089880000000001</v>
      </c>
      <c r="L3068">
        <v>216.19829999999999</v>
      </c>
      <c r="M3068">
        <v>0.99980139999999995</v>
      </c>
      <c r="N3068">
        <v>-1.9561869999999999E-2</v>
      </c>
      <c r="O3068">
        <v>3.8364990000000002E-3</v>
      </c>
      <c r="P3068">
        <v>0.99766779999999999</v>
      </c>
      <c r="Q3068">
        <v>-3.2328099999999999E-2</v>
      </c>
      <c r="R3068">
        <v>6.0116280000000001E-2</v>
      </c>
      <c r="S3068">
        <v>3.0286870000000001</v>
      </c>
      <c r="T3068">
        <v>-9.8142620000000007E-3</v>
      </c>
      <c r="U3068">
        <v>-0.36775210000000003</v>
      </c>
      <c r="V3068">
        <v>-5.6309039999999998E-2</v>
      </c>
      <c r="W3068">
        <v>-1.270754E-2</v>
      </c>
      <c r="X3068">
        <v>0.99833249999999996</v>
      </c>
      <c r="Y3068">
        <v>0.1243408</v>
      </c>
      <c r="Z3068">
        <v>-1.359089E-3</v>
      </c>
      <c r="AA3068">
        <v>0.99223859999999997</v>
      </c>
      <c r="AB3068">
        <v>48</v>
      </c>
      <c r="AC3068">
        <v>131.75799999999899</v>
      </c>
      <c r="AD3068">
        <v>-0.42839359999999899</v>
      </c>
      <c r="AE3068">
        <v>-16.053199999999901</v>
      </c>
      <c r="AF3068">
        <v>16.558495450407701</v>
      </c>
      <c r="AG3068">
        <v>-0.42839359999999899</v>
      </c>
      <c r="AH3068">
        <v>131.694058279942</v>
      </c>
      <c r="AI3068">
        <v>90.1849233917617</v>
      </c>
      <c r="AJ3068">
        <v>82.833547292976505</v>
      </c>
      <c r="AK3068">
        <v>132.73165515015</v>
      </c>
      <c r="AL3068">
        <v>90.728108017775099</v>
      </c>
      <c r="AM3068">
        <v>93.228238690005199</v>
      </c>
      <c r="AN3068">
        <v>0.99999998505741095</v>
      </c>
    </row>
    <row r="3069" spans="1:40" x14ac:dyDescent="0.25">
      <c r="A3069" t="str">
        <f>"20190305135852267"</f>
        <v>20190305135852267</v>
      </c>
      <c r="B3069" t="str">
        <f>"1551765532262016"</f>
        <v>1551765532262016</v>
      </c>
      <c r="C3069" t="s">
        <v>40</v>
      </c>
      <c r="D3069">
        <v>4.1059510000000001</v>
      </c>
      <c r="E3069">
        <v>0.56993110000000002</v>
      </c>
      <c r="F3069" t="s">
        <v>70</v>
      </c>
      <c r="G3069">
        <v>-168.4128</v>
      </c>
      <c r="H3069">
        <v>0.68690779999999996</v>
      </c>
      <c r="I3069">
        <v>200.06970000000001</v>
      </c>
      <c r="J3069">
        <v>-299.68579999999997</v>
      </c>
      <c r="K3069">
        <v>1.1089549999999999</v>
      </c>
      <c r="L3069">
        <v>216.1996</v>
      </c>
      <c r="M3069">
        <v>0.99980309999999994</v>
      </c>
      <c r="N3069">
        <v>-1.958352E-2</v>
      </c>
      <c r="O3069">
        <v>3.2241539999999999E-3</v>
      </c>
      <c r="P3069">
        <v>0.99765499999999996</v>
      </c>
      <c r="Q3069">
        <v>-3.2569599999999997E-2</v>
      </c>
      <c r="R3069">
        <v>6.019708E-2</v>
      </c>
      <c r="S3069">
        <v>3.0290530000000002</v>
      </c>
      <c r="T3069">
        <v>-9.7026820000000007E-3</v>
      </c>
      <c r="U3069">
        <v>-0.37078860000000002</v>
      </c>
      <c r="V3069">
        <v>-5.7002450000000003E-2</v>
      </c>
      <c r="W3069">
        <v>-1.292185E-2</v>
      </c>
      <c r="X3069">
        <v>0.99829040000000002</v>
      </c>
      <c r="Y3069">
        <v>0.124699</v>
      </c>
      <c r="Z3069">
        <v>-1.3720589999999999E-3</v>
      </c>
      <c r="AA3069">
        <v>0.99219369999999996</v>
      </c>
      <c r="AB3069">
        <v>48</v>
      </c>
      <c r="AC3069">
        <v>131.272999999999</v>
      </c>
      <c r="AD3069">
        <v>-0.42204719999999901</v>
      </c>
      <c r="AE3069">
        <v>-16.1298999999999</v>
      </c>
      <c r="AF3069">
        <v>16.552973097132998</v>
      </c>
      <c r="AG3069">
        <v>-0.42204719999999901</v>
      </c>
      <c r="AH3069">
        <v>131.21896601642101</v>
      </c>
      <c r="AI3069">
        <v>90.182834125461198</v>
      </c>
      <c r="AJ3069">
        <v>82.810245119413196</v>
      </c>
      <c r="AK3069">
        <v>132.259578422934</v>
      </c>
      <c r="AL3069">
        <v>90.740388082555498</v>
      </c>
      <c r="AM3069">
        <v>93.268044275029894</v>
      </c>
      <c r="AN3069">
        <v>0.99999998812279201</v>
      </c>
    </row>
    <row r="3070" spans="1:40" x14ac:dyDescent="0.25">
      <c r="A3070" t="str">
        <f>"20190305135852282"</f>
        <v>20190305135852282</v>
      </c>
      <c r="B3070" t="str">
        <f>"1551765532271776"</f>
        <v>1551765532271776</v>
      </c>
      <c r="C3070" t="s">
        <v>40</v>
      </c>
      <c r="D3070">
        <v>4.131157</v>
      </c>
      <c r="E3070">
        <v>0.57001749999999995</v>
      </c>
      <c r="F3070" t="s">
        <v>70</v>
      </c>
      <c r="G3070">
        <v>-168.4128</v>
      </c>
      <c r="H3070">
        <v>0.63987919999999998</v>
      </c>
      <c r="I3070">
        <v>200.03790000000001</v>
      </c>
      <c r="J3070">
        <v>-299.35770000000002</v>
      </c>
      <c r="K3070">
        <v>1.1089249999999999</v>
      </c>
      <c r="L3070">
        <v>216.2003</v>
      </c>
      <c r="M3070">
        <v>0.99980409999999997</v>
      </c>
      <c r="N3070">
        <v>-1.959847E-2</v>
      </c>
      <c r="O3070">
        <v>2.7738789999999999E-3</v>
      </c>
      <c r="P3070">
        <v>0.99767039999999996</v>
      </c>
      <c r="Q3070">
        <v>-3.2478359999999998E-2</v>
      </c>
      <c r="R3070">
        <v>5.9987970000000002E-2</v>
      </c>
      <c r="S3070">
        <v>3.0292050000000001</v>
      </c>
      <c r="T3070">
        <v>-1.082349E-2</v>
      </c>
      <c r="U3070">
        <v>-0.3729401</v>
      </c>
      <c r="V3070">
        <v>-5.72434E-2</v>
      </c>
      <c r="W3070">
        <v>-1.281091E-2</v>
      </c>
      <c r="X3070">
        <v>0.99827809999999995</v>
      </c>
      <c r="Y3070">
        <v>0.1249398</v>
      </c>
      <c r="Z3070">
        <v>-1.4071419999999999E-3</v>
      </c>
      <c r="AA3070">
        <v>0.99216329999999997</v>
      </c>
      <c r="AB3070">
        <v>48</v>
      </c>
      <c r="AC3070">
        <v>130.94489999999999</v>
      </c>
      <c r="AD3070">
        <v>-0.46904580000000001</v>
      </c>
      <c r="AE3070">
        <v>-16.162399999999899</v>
      </c>
      <c r="AF3070">
        <v>16.525424023396202</v>
      </c>
      <c r="AG3070">
        <v>-0.46904580000000001</v>
      </c>
      <c r="AH3070">
        <v>130.897900560067</v>
      </c>
      <c r="AI3070">
        <v>90.203690007139301</v>
      </c>
      <c r="AJ3070">
        <v>82.804664467007299</v>
      </c>
      <c r="AK3070">
        <v>131.93775052709</v>
      </c>
      <c r="AL3070">
        <v>90.734031120309893</v>
      </c>
      <c r="AM3070">
        <v>93.281868551391298</v>
      </c>
      <c r="AN3070">
        <v>1.0000000455990901</v>
      </c>
    </row>
    <row r="3071" spans="1:40" x14ac:dyDescent="0.25">
      <c r="A3071" t="str">
        <f>"20190305135852301"</f>
        <v>20190305135852301</v>
      </c>
      <c r="B3071" t="str">
        <f>"1551765532292271"</f>
        <v>1551765532292271</v>
      </c>
      <c r="C3071" t="s">
        <v>40</v>
      </c>
      <c r="D3071">
        <v>4.1425769999999904</v>
      </c>
      <c r="E3071">
        <v>0.57009449999999995</v>
      </c>
      <c r="F3071" t="s">
        <v>70</v>
      </c>
      <c r="G3071">
        <v>-168.4128</v>
      </c>
      <c r="H3071">
        <v>0.6529703</v>
      </c>
      <c r="I3071">
        <v>200.0189</v>
      </c>
      <c r="J3071">
        <v>-298.95819999999998</v>
      </c>
      <c r="K3071">
        <v>1.1088739999999999</v>
      </c>
      <c r="L3071">
        <v>216.20099999999999</v>
      </c>
      <c r="M3071">
        <v>0.99980519999999995</v>
      </c>
      <c r="N3071">
        <v>-1.9616459999999999E-2</v>
      </c>
      <c r="O3071">
        <v>2.1734269999999999E-3</v>
      </c>
      <c r="P3071">
        <v>0.99767669999999997</v>
      </c>
      <c r="Q3071">
        <v>-3.2740180000000001E-2</v>
      </c>
      <c r="R3071">
        <v>5.9744560000000002E-2</v>
      </c>
      <c r="S3071">
        <v>3.029175</v>
      </c>
      <c r="T3071">
        <v>-1.054692E-2</v>
      </c>
      <c r="U3071">
        <v>-0.37432860000000001</v>
      </c>
      <c r="V3071">
        <v>-5.7601659999999999E-2</v>
      </c>
      <c r="W3071">
        <v>-1.304772E-2</v>
      </c>
      <c r="X3071">
        <v>0.99825439999999999</v>
      </c>
      <c r="Y3071">
        <v>0.1247934</v>
      </c>
      <c r="Z3071">
        <v>-1.4102730000000001E-3</v>
      </c>
      <c r="AA3071">
        <v>0.9921818</v>
      </c>
      <c r="AB3071">
        <v>48</v>
      </c>
      <c r="AC3071">
        <v>130.54539999999901</v>
      </c>
      <c r="AD3071">
        <v>-0.45590369999999902</v>
      </c>
      <c r="AE3071">
        <v>-16.182099999999899</v>
      </c>
      <c r="AF3071">
        <v>16.465649494247199</v>
      </c>
      <c r="AG3071">
        <v>-0.45590369999999902</v>
      </c>
      <c r="AH3071">
        <v>130.50834655080399</v>
      </c>
      <c r="AI3071">
        <v>90.198575860319707</v>
      </c>
      <c r="AJ3071">
        <v>82.8092427995512</v>
      </c>
      <c r="AK3071">
        <v>131.543734099636</v>
      </c>
      <c r="AL3071">
        <v>90.747600486125293</v>
      </c>
      <c r="AM3071">
        <v>93.302441162103193</v>
      </c>
      <c r="AN3071">
        <v>1.0000000206756501</v>
      </c>
    </row>
    <row r="3072" spans="1:40" x14ac:dyDescent="0.25">
      <c r="A3072" t="str">
        <f>"20190305135852315"</f>
        <v>20190305135852315</v>
      </c>
      <c r="B3072" t="str">
        <f>"1551765532312278"</f>
        <v>1551765532312278</v>
      </c>
      <c r="C3072" t="s">
        <v>40</v>
      </c>
      <c r="D3072">
        <v>4.1612200000000001</v>
      </c>
      <c r="E3072">
        <v>0.57031169999999998</v>
      </c>
      <c r="F3072" t="s">
        <v>70</v>
      </c>
      <c r="G3072">
        <v>-168.4128</v>
      </c>
      <c r="H3072">
        <v>0.54802510000000004</v>
      </c>
      <c r="I3072">
        <v>200.0189</v>
      </c>
      <c r="J3072">
        <v>-298.65589999999997</v>
      </c>
      <c r="K3072">
        <v>1.1088290000000001</v>
      </c>
      <c r="L3072">
        <v>216.2012</v>
      </c>
      <c r="M3072">
        <v>0.99980599999999997</v>
      </c>
      <c r="N3072">
        <v>-1.9629589999999999E-2</v>
      </c>
      <c r="O3072">
        <v>1.676681E-3</v>
      </c>
      <c r="P3072">
        <v>0.99768009999999996</v>
      </c>
      <c r="Q3072">
        <v>-3.3294959999999998E-2</v>
      </c>
      <c r="R3072">
        <v>5.9381570000000002E-2</v>
      </c>
      <c r="S3072">
        <v>3.0290530000000002</v>
      </c>
      <c r="T3072">
        <v>-1.3012650000000001E-2</v>
      </c>
      <c r="U3072">
        <v>-0.375473</v>
      </c>
      <c r="V3072">
        <v>-5.7736910000000002E-2</v>
      </c>
      <c r="W3072">
        <v>-1.3583339999999999E-2</v>
      </c>
      <c r="X3072">
        <v>0.9982394</v>
      </c>
      <c r="Y3072">
        <v>0.1246732</v>
      </c>
      <c r="Z3072">
        <v>-1.4696150000000001E-3</v>
      </c>
      <c r="AA3072">
        <v>0.99219679999999999</v>
      </c>
      <c r="AB3072">
        <v>48</v>
      </c>
      <c r="AC3072">
        <v>130.243099999999</v>
      </c>
      <c r="AD3072">
        <v>-0.56080390000000002</v>
      </c>
      <c r="AE3072">
        <v>-16.182299999999898</v>
      </c>
      <c r="AF3072">
        <v>16.400395999339501</v>
      </c>
      <c r="AG3072">
        <v>-0.56080390000000002</v>
      </c>
      <c r="AH3072">
        <v>130.213401603531</v>
      </c>
      <c r="AI3072">
        <v>90.244826072276098</v>
      </c>
      <c r="AJ3072">
        <v>82.8213885158723</v>
      </c>
      <c r="AK3072">
        <v>131.24335201110901</v>
      </c>
      <c r="AL3072">
        <v>90.778292004840694</v>
      </c>
      <c r="AM3072">
        <v>93.310227775343606</v>
      </c>
      <c r="AN3072">
        <v>0.99999997880713098</v>
      </c>
    </row>
    <row r="3073" spans="1:40" x14ac:dyDescent="0.25">
      <c r="A3073" t="str">
        <f>"20190305135852328"</f>
        <v>20190305135852328</v>
      </c>
      <c r="B3073" t="str">
        <f>"1551765532322038"</f>
        <v>1551765532322038</v>
      </c>
      <c r="C3073" t="s">
        <v>40</v>
      </c>
      <c r="D3073">
        <v>4.1395140000000001</v>
      </c>
      <c r="E3073">
        <v>0.57030369999999997</v>
      </c>
      <c r="F3073" t="s">
        <v>70</v>
      </c>
      <c r="G3073">
        <v>-168.4128</v>
      </c>
      <c r="H3073">
        <v>0.4524765</v>
      </c>
      <c r="I3073">
        <v>199.92529999999999</v>
      </c>
      <c r="J3073">
        <v>-298.37240000000003</v>
      </c>
      <c r="K3073">
        <v>1.1087819999999999</v>
      </c>
      <c r="L3073">
        <v>216.2013</v>
      </c>
      <c r="M3073">
        <v>0.99980650000000004</v>
      </c>
      <c r="N3073">
        <v>-1.9641269999999999E-2</v>
      </c>
      <c r="O3073">
        <v>1.172672E-3</v>
      </c>
      <c r="P3073">
        <v>0.99767700000000004</v>
      </c>
      <c r="Q3073">
        <v>-3.40933E-2</v>
      </c>
      <c r="R3073">
        <v>5.8979240000000002E-2</v>
      </c>
      <c r="S3073">
        <v>3.0290219999999999</v>
      </c>
      <c r="T3073">
        <v>-1.5263799999999999E-2</v>
      </c>
      <c r="U3073">
        <v>-0.37852479999999999</v>
      </c>
      <c r="V3073">
        <v>-5.7840999999999997E-2</v>
      </c>
      <c r="W3073">
        <v>-1.4363799999999999E-2</v>
      </c>
      <c r="X3073">
        <v>0.99822250000000001</v>
      </c>
      <c r="Y3073">
        <v>0.1251573</v>
      </c>
      <c r="Z3073">
        <v>-1.531106E-3</v>
      </c>
      <c r="AA3073">
        <v>0.99213569999999995</v>
      </c>
      <c r="AB3073">
        <v>48</v>
      </c>
      <c r="AC3073">
        <v>129.95959999999999</v>
      </c>
      <c r="AD3073">
        <v>-0.65630549999999899</v>
      </c>
      <c r="AE3073">
        <v>-16.276</v>
      </c>
      <c r="AF3073">
        <v>16.428005681502899</v>
      </c>
      <c r="AG3073">
        <v>-0.65630549999999899</v>
      </c>
      <c r="AH3073">
        <v>129.937157873009</v>
      </c>
      <c r="AI3073">
        <v>90.287109859072004</v>
      </c>
      <c r="AJ3073">
        <v>82.794303389806799</v>
      </c>
      <c r="AK3073">
        <v>130.97318467417699</v>
      </c>
      <c r="AL3073">
        <v>90.823013395439403</v>
      </c>
      <c r="AM3073">
        <v>93.316238274022098</v>
      </c>
      <c r="AN3073">
        <v>1.0000000297688401</v>
      </c>
    </row>
    <row r="3074" spans="1:40" x14ac:dyDescent="0.25">
      <c r="A3074" t="str">
        <f>"20190305135852344"</f>
        <v>20190305135852344</v>
      </c>
      <c r="B3074" t="str">
        <f>"1551765532342533"</f>
        <v>1551765532342533</v>
      </c>
      <c r="C3074" t="s">
        <v>40</v>
      </c>
      <c r="D3074">
        <v>4.1725810000000001</v>
      </c>
      <c r="E3074">
        <v>0.5702547</v>
      </c>
      <c r="F3074" t="s">
        <v>70</v>
      </c>
      <c r="G3074">
        <v>-168.4128</v>
      </c>
      <c r="H3074">
        <v>0.30416769999999999</v>
      </c>
      <c r="I3074">
        <v>199.91120000000001</v>
      </c>
      <c r="J3074">
        <v>-298.04559999999998</v>
      </c>
      <c r="K3074">
        <v>1.108717</v>
      </c>
      <c r="L3074">
        <v>216.2012</v>
      </c>
      <c r="M3074">
        <v>0.9998068</v>
      </c>
      <c r="N3074">
        <v>-1.9654049999999999E-2</v>
      </c>
      <c r="O3074">
        <v>5.5317669999999997E-4</v>
      </c>
      <c r="P3074">
        <v>0.99762810000000002</v>
      </c>
      <c r="Q3074">
        <v>-3.6095210000000003E-2</v>
      </c>
      <c r="R3074">
        <v>5.861355E-2</v>
      </c>
      <c r="S3074">
        <v>3.0288089999999999</v>
      </c>
      <c r="T3074">
        <v>-1.8751380000000002E-2</v>
      </c>
      <c r="U3074">
        <v>-0.37965389999999999</v>
      </c>
      <c r="V3074">
        <v>-5.809959E-2</v>
      </c>
      <c r="W3074">
        <v>-1.6345430000000001E-2</v>
      </c>
      <c r="X3074">
        <v>0.99817699999999998</v>
      </c>
      <c r="Y3074">
        <v>0.1249132</v>
      </c>
      <c r="Z3074">
        <v>-1.6102179999999901E-3</v>
      </c>
      <c r="AA3074">
        <v>0.99216629999999995</v>
      </c>
      <c r="AB3074">
        <v>47</v>
      </c>
      <c r="AC3074">
        <v>129.63279999999901</v>
      </c>
      <c r="AD3074">
        <v>-0.80454929999999902</v>
      </c>
      <c r="AE3074">
        <v>-16.2899999999999</v>
      </c>
      <c r="AF3074">
        <v>16.361100780263801</v>
      </c>
      <c r="AG3074">
        <v>-0.80454929999999902</v>
      </c>
      <c r="AH3074">
        <v>129.61885199144101</v>
      </c>
      <c r="AI3074">
        <v>90.352832976902704</v>
      </c>
      <c r="AJ3074">
        <v>82.805903464758202</v>
      </c>
      <c r="AK3074">
        <v>130.64983624137199</v>
      </c>
      <c r="AL3074">
        <v>90.936565833158795</v>
      </c>
      <c r="AM3074">
        <v>93.331182380305094</v>
      </c>
      <c r="AN3074">
        <v>1.0000000293845199</v>
      </c>
    </row>
    <row r="3075" spans="1:40" x14ac:dyDescent="0.25">
      <c r="A3075" t="str">
        <f>"20190305135852367"</f>
        <v>20190305135852367</v>
      </c>
      <c r="B3075" t="str">
        <f>"1551765532362053"</f>
        <v>1551765532362053</v>
      </c>
      <c r="C3075" t="s">
        <v>40</v>
      </c>
      <c r="D3075">
        <v>4.1864589999999904</v>
      </c>
      <c r="E3075">
        <v>0.57028540000000005</v>
      </c>
      <c r="F3075" t="s">
        <v>58</v>
      </c>
      <c r="G3075">
        <v>-177.67250000000001</v>
      </c>
      <c r="H3075">
        <v>8.0001180000000005E-2</v>
      </c>
      <c r="I3075">
        <v>201.08699999999999</v>
      </c>
      <c r="J3075">
        <v>-297.54680000000002</v>
      </c>
      <c r="K3075">
        <v>1.108609</v>
      </c>
      <c r="L3075">
        <v>216.20060000000001</v>
      </c>
      <c r="M3075">
        <v>0.99980650000000004</v>
      </c>
      <c r="N3075">
        <v>-1.9671629999999999E-2</v>
      </c>
      <c r="O3075">
        <v>-4.9886850000000003E-4</v>
      </c>
      <c r="P3075">
        <v>0.99758210000000003</v>
      </c>
      <c r="Q3075">
        <v>-3.8579620000000002E-2</v>
      </c>
      <c r="R3075">
        <v>5.7809800000000001E-2</v>
      </c>
      <c r="S3075">
        <v>3.0285030000000002</v>
      </c>
      <c r="T3075">
        <v>-2.5881769999999998E-2</v>
      </c>
      <c r="U3075">
        <v>-0.3802643</v>
      </c>
      <c r="V3075">
        <v>-5.8355990000000003E-2</v>
      </c>
      <c r="W3075">
        <v>-1.879894E-2</v>
      </c>
      <c r="X3075">
        <v>0.99811879999999997</v>
      </c>
      <c r="Y3075">
        <v>0.12407360000000001</v>
      </c>
      <c r="Z3075">
        <v>-1.7589459999999999E-3</v>
      </c>
      <c r="AA3075">
        <v>0.99227149999999997</v>
      </c>
      <c r="AB3075">
        <v>47</v>
      </c>
      <c r="AC3075">
        <v>119.87430000000001</v>
      </c>
      <c r="AD3075">
        <v>-1.02860782</v>
      </c>
      <c r="AE3075">
        <v>-15.1135999999999</v>
      </c>
      <c r="AF3075">
        <v>15.052694070708</v>
      </c>
      <c r="AG3075">
        <v>-1.02860782</v>
      </c>
      <c r="AH3075">
        <v>119.873138227857</v>
      </c>
      <c r="AI3075">
        <v>90.487801082005603</v>
      </c>
      <c r="AJ3075">
        <v>82.842724303807998</v>
      </c>
      <c r="AK3075">
        <v>120.818917812686</v>
      </c>
      <c r="AL3075">
        <v>91.077163393830105</v>
      </c>
      <c r="AM3075">
        <v>93.346044588447597</v>
      </c>
      <c r="AN3075">
        <v>0.99999998031372095</v>
      </c>
    </row>
    <row r="3076" spans="1:40" x14ac:dyDescent="0.25">
      <c r="A3076" t="str">
        <f>"20190305135852390"</f>
        <v>20190305135852390</v>
      </c>
      <c r="B3076" t="str">
        <f>"1551765532382550"</f>
        <v>1551765532382550</v>
      </c>
      <c r="C3076" t="s">
        <v>40</v>
      </c>
      <c r="D3076">
        <v>4.1965700000000004</v>
      </c>
      <c r="E3076">
        <v>0.57029219999999903</v>
      </c>
      <c r="F3076" t="s">
        <v>59</v>
      </c>
      <c r="G3076">
        <v>-210.25239999999999</v>
      </c>
      <c r="H3076">
        <v>8.0001810000000007E-2</v>
      </c>
      <c r="I3076">
        <v>205.15520000000001</v>
      </c>
      <c r="J3076">
        <v>-297.07670000000002</v>
      </c>
      <c r="K3076">
        <v>1.1085020000000001</v>
      </c>
      <c r="L3076">
        <v>216.1994</v>
      </c>
      <c r="M3076">
        <v>0.99980480000000005</v>
      </c>
      <c r="N3076">
        <v>-1.9690550000000001E-2</v>
      </c>
      <c r="O3076">
        <v>-1.601884E-3</v>
      </c>
      <c r="P3076">
        <v>0.9975752</v>
      </c>
      <c r="Q3076">
        <v>-4.0308620000000003E-2</v>
      </c>
      <c r="R3076">
        <v>5.6736830000000002E-2</v>
      </c>
      <c r="S3076">
        <v>3.0281069999999999</v>
      </c>
      <c r="T3076">
        <v>-3.5680770000000001E-2</v>
      </c>
      <c r="U3076">
        <v>-0.38314819999999999</v>
      </c>
      <c r="V3076">
        <v>-5.8393559999999997E-2</v>
      </c>
      <c r="W3076">
        <v>-2.049517E-2</v>
      </c>
      <c r="X3076">
        <v>0.99808319999999995</v>
      </c>
      <c r="Y3076">
        <v>0.12391720000000001</v>
      </c>
      <c r="Z3076">
        <v>-1.9648439999999999E-3</v>
      </c>
      <c r="AA3076">
        <v>0.99229060000000002</v>
      </c>
      <c r="AB3076">
        <v>47</v>
      </c>
      <c r="AC3076">
        <v>86.824299999999994</v>
      </c>
      <c r="AD3076">
        <v>-1.0285001899999999</v>
      </c>
      <c r="AE3076">
        <v>-11.044199999999901</v>
      </c>
      <c r="AF3076">
        <v>10.903570741537701</v>
      </c>
      <c r="AG3076">
        <v>-1.0285001899999999</v>
      </c>
      <c r="AH3076">
        <v>86.829893366657501</v>
      </c>
      <c r="AI3076">
        <v>90.673349139511203</v>
      </c>
      <c r="AJ3076">
        <v>82.842608215258807</v>
      </c>
      <c r="AK3076">
        <v>87.5178613176857</v>
      </c>
      <c r="AL3076">
        <v>91.174369005974498</v>
      </c>
      <c r="AM3076">
        <v>93.348313049251502</v>
      </c>
      <c r="AN3076">
        <v>0.99999996698252003</v>
      </c>
    </row>
    <row r="3077" spans="1:40" x14ac:dyDescent="0.25">
      <c r="A3077" t="str">
        <f>"20190305135852412"</f>
        <v>20190305135852412</v>
      </c>
      <c r="B3077" t="str">
        <f>"1551765532402069"</f>
        <v>1551765532402069</v>
      </c>
      <c r="C3077" t="s">
        <v>40</v>
      </c>
      <c r="D3077">
        <v>4.278111</v>
      </c>
      <c r="E3077">
        <v>0.57027380000000005</v>
      </c>
      <c r="F3077" t="s">
        <v>59</v>
      </c>
      <c r="G3077">
        <v>-226.8646</v>
      </c>
      <c r="H3077">
        <v>8.0001230000000007E-2</v>
      </c>
      <c r="I3077">
        <v>207.23509999999999</v>
      </c>
      <c r="J3077">
        <v>-296.60359999999997</v>
      </c>
      <c r="K3077">
        <v>1.1083879999999999</v>
      </c>
      <c r="L3077">
        <v>216.19759999999999</v>
      </c>
      <c r="M3077">
        <v>0.99980159999999996</v>
      </c>
      <c r="N3077">
        <v>-1.9716319999999999E-2</v>
      </c>
      <c r="O3077">
        <v>-2.8246360000000002E-3</v>
      </c>
      <c r="P3077">
        <v>0.99759010000000004</v>
      </c>
      <c r="Q3077">
        <v>-4.1252560000000001E-2</v>
      </c>
      <c r="R3077">
        <v>5.5791750000000001E-2</v>
      </c>
      <c r="S3077">
        <v>3.0274960000000002</v>
      </c>
      <c r="T3077">
        <v>-4.4348239999999997E-2</v>
      </c>
      <c r="U3077">
        <v>-0.38653559999999998</v>
      </c>
      <c r="V3077">
        <v>-5.8676569999999997E-2</v>
      </c>
      <c r="W3077">
        <v>-2.1397619999999999E-2</v>
      </c>
      <c r="X3077">
        <v>0.99804769999999998</v>
      </c>
      <c r="Y3077">
        <v>0.1238131</v>
      </c>
      <c r="Z3077">
        <v>-2.1431689999999999E-3</v>
      </c>
      <c r="AA3077">
        <v>0.9923033</v>
      </c>
      <c r="AB3077">
        <v>47</v>
      </c>
      <c r="AC3077">
        <v>69.738999999999905</v>
      </c>
      <c r="AD3077">
        <v>-1.02838677</v>
      </c>
      <c r="AE3077">
        <v>-8.9625000000000004</v>
      </c>
      <c r="AF3077">
        <v>8.7635639544720707</v>
      </c>
      <c r="AG3077">
        <v>-1.02838677</v>
      </c>
      <c r="AH3077">
        <v>69.749121814404305</v>
      </c>
      <c r="AI3077">
        <v>90.838123826271797</v>
      </c>
      <c r="AJ3077">
        <v>82.838651441750898</v>
      </c>
      <c r="AK3077">
        <v>70.305032724645301</v>
      </c>
      <c r="AL3077">
        <v>91.226086886261101</v>
      </c>
      <c r="AM3077">
        <v>93.364623178974995</v>
      </c>
      <c r="AN3077">
        <v>1.0000000047419499</v>
      </c>
    </row>
    <row r="3078" spans="1:40" x14ac:dyDescent="0.25">
      <c r="A3078" t="str">
        <f>"20190305135852433"</f>
        <v>20190305135852433</v>
      </c>
      <c r="B3078" t="str">
        <f>"1551765532422097"</f>
        <v>1551765532422097</v>
      </c>
      <c r="C3078" t="s">
        <v>40</v>
      </c>
      <c r="D3078">
        <v>4.1052850000000003</v>
      </c>
      <c r="E3078">
        <v>0.58454200000000001</v>
      </c>
      <c r="F3078" t="s">
        <v>59</v>
      </c>
      <c r="G3078">
        <v>-233.428</v>
      </c>
      <c r="H3078">
        <v>8.0000740000000001E-2</v>
      </c>
      <c r="I3078">
        <v>208.07130000000001</v>
      </c>
      <c r="J3078">
        <v>-296.16879999999998</v>
      </c>
      <c r="K3078">
        <v>1.108274</v>
      </c>
      <c r="L3078">
        <v>216.19540000000001</v>
      </c>
      <c r="M3078">
        <v>0.99979700000000005</v>
      </c>
      <c r="N3078">
        <v>-1.9742630000000001E-2</v>
      </c>
      <c r="O3078">
        <v>-4.0552089999999997E-3</v>
      </c>
      <c r="P3078">
        <v>0.99759739999999997</v>
      </c>
      <c r="Q3078">
        <v>-4.1851760000000002E-2</v>
      </c>
      <c r="R3078">
        <v>5.5210299999999997E-2</v>
      </c>
      <c r="S3078">
        <v>3.0269469999999998</v>
      </c>
      <c r="T3078">
        <v>-4.9273369999999997E-2</v>
      </c>
      <c r="U3078">
        <v>-0.3893585</v>
      </c>
      <c r="V3078">
        <v>-5.9330220000000003E-2</v>
      </c>
      <c r="W3078">
        <v>-2.195414E-2</v>
      </c>
      <c r="X3078">
        <v>0.99799700000000002</v>
      </c>
      <c r="Y3078">
        <v>0.1235198</v>
      </c>
      <c r="Z3078">
        <v>-2.239769E-3</v>
      </c>
      <c r="AA3078">
        <v>0.99233959999999999</v>
      </c>
      <c r="AB3078">
        <v>47</v>
      </c>
      <c r="AC3078">
        <v>62.740799999999901</v>
      </c>
      <c r="AD3078">
        <v>-1.02827326</v>
      </c>
      <c r="AE3078">
        <v>-8.1240999999999897</v>
      </c>
      <c r="AF3078">
        <v>7.8674781419347299</v>
      </c>
      <c r="AG3078">
        <v>-1.02827326</v>
      </c>
      <c r="AH3078">
        <v>62.756656372270399</v>
      </c>
      <c r="AI3078">
        <v>90.931422872325697</v>
      </c>
      <c r="AJ3078">
        <v>82.854402419507295</v>
      </c>
      <c r="AK3078">
        <v>63.256244571095699</v>
      </c>
      <c r="AL3078">
        <v>91.257980588281001</v>
      </c>
      <c r="AM3078">
        <v>93.402189552658498</v>
      </c>
      <c r="AN3078">
        <v>1.00000003563869</v>
      </c>
    </row>
    <row r="3079" spans="1:40" x14ac:dyDescent="0.25">
      <c r="A3079" t="str">
        <f>"20190305135852450"</f>
        <v>20190305135852450</v>
      </c>
      <c r="B3079" t="str">
        <f>"1551765532441617"</f>
        <v>1551765532441617</v>
      </c>
      <c r="C3079" t="s">
        <v>40</v>
      </c>
      <c r="D3079">
        <v>4.1258330000000001</v>
      </c>
      <c r="E3079">
        <v>0.58570599999999995</v>
      </c>
      <c r="F3079" t="s">
        <v>70</v>
      </c>
      <c r="G3079">
        <v>-168.41560000000001</v>
      </c>
      <c r="H3079">
        <v>4.0135839999999998</v>
      </c>
      <c r="I3079">
        <v>195.19220000000001</v>
      </c>
      <c r="J3079">
        <v>-295.8177</v>
      </c>
      <c r="K3079">
        <v>1.10819</v>
      </c>
      <c r="L3079">
        <v>216.19309999999999</v>
      </c>
      <c r="M3079">
        <v>0.9997914</v>
      </c>
      <c r="N3079">
        <v>-1.9767860000000002E-2</v>
      </c>
      <c r="O3079">
        <v>-5.1294419999999997E-3</v>
      </c>
      <c r="P3079">
        <v>0.99761029999999995</v>
      </c>
      <c r="Q3079">
        <v>-4.2060880000000002E-2</v>
      </c>
      <c r="R3079">
        <v>5.4814099999999998E-2</v>
      </c>
      <c r="S3079">
        <v>3.03775</v>
      </c>
      <c r="T3079">
        <v>6.9084049999999994E-2</v>
      </c>
      <c r="U3079">
        <v>-0.49942019999999998</v>
      </c>
      <c r="V3079">
        <v>-6.0010969999999997E-2</v>
      </c>
      <c r="W3079">
        <v>-2.2123380000000002E-2</v>
      </c>
      <c r="X3079">
        <v>0.99795250000000002</v>
      </c>
      <c r="Y3079">
        <v>0.1571621</v>
      </c>
      <c r="Z3079" s="1">
        <v>-5.5399720000000004E-6</v>
      </c>
      <c r="AA3079">
        <v>0.98757280000000003</v>
      </c>
      <c r="AB3079">
        <v>47</v>
      </c>
      <c r="AC3079">
        <v>127.4021</v>
      </c>
      <c r="AD3079">
        <v>2.9053939999999998</v>
      </c>
      <c r="AE3079">
        <v>-21.000899999999898</v>
      </c>
      <c r="AF3079">
        <v>20.336697575078102</v>
      </c>
      <c r="AG3079">
        <v>2.9053939999999998</v>
      </c>
      <c r="AH3079">
        <v>127.443641667216</v>
      </c>
      <c r="AI3079">
        <v>88.710337837325596</v>
      </c>
      <c r="AJ3079">
        <v>80.933520827020303</v>
      </c>
      <c r="AK3079">
        <v>129.08874615533799</v>
      </c>
      <c r="AL3079">
        <v>91.267679756575404</v>
      </c>
      <c r="AM3079">
        <v>93.441285793523704</v>
      </c>
      <c r="AN3079">
        <v>0.99999997635960702</v>
      </c>
    </row>
    <row r="3080" spans="1:40" x14ac:dyDescent="0.25">
      <c r="A3080" t="str">
        <f>"20190305135852463"</f>
        <v>20190305135852463</v>
      </c>
      <c r="B3080" t="str">
        <f>"1551765532452353"</f>
        <v>1551765532452353</v>
      </c>
      <c r="C3080" t="s">
        <v>40</v>
      </c>
      <c r="D3080">
        <v>4.1573669999999998</v>
      </c>
      <c r="E3080">
        <v>0.58563319999999996</v>
      </c>
      <c r="F3080" t="s">
        <v>70</v>
      </c>
      <c r="G3080">
        <v>-168.41589999999999</v>
      </c>
      <c r="H3080">
        <v>4.5882399999999999</v>
      </c>
      <c r="I3080">
        <v>194.8501</v>
      </c>
      <c r="J3080">
        <v>-295.55250000000001</v>
      </c>
      <c r="K3080">
        <v>1.1081190000000001</v>
      </c>
      <c r="L3080">
        <v>216.19120000000001</v>
      </c>
      <c r="M3080">
        <v>0.99978639999999996</v>
      </c>
      <c r="N3080">
        <v>-1.9789210000000002E-2</v>
      </c>
      <c r="O3080">
        <v>-5.9829280000000002E-3</v>
      </c>
      <c r="P3080">
        <v>0.99761960000000005</v>
      </c>
      <c r="Q3080">
        <v>-4.2686500000000002E-2</v>
      </c>
      <c r="R3080">
        <v>5.4161710000000002E-2</v>
      </c>
      <c r="S3080">
        <v>3.0386350000000002</v>
      </c>
      <c r="T3080">
        <v>8.3002809999999996E-2</v>
      </c>
      <c r="U3080">
        <v>-0.50904850000000001</v>
      </c>
      <c r="V3080">
        <v>-6.0216209999999999E-2</v>
      </c>
      <c r="W3080">
        <v>-2.27171E-2</v>
      </c>
      <c r="X3080">
        <v>0.9979268</v>
      </c>
      <c r="Y3080">
        <v>0.15930929999999999</v>
      </c>
      <c r="Z3080">
        <v>2.931284E-4</v>
      </c>
      <c r="AA3080">
        <v>0.98722869999999996</v>
      </c>
      <c r="AB3080">
        <v>47</v>
      </c>
      <c r="AC3080">
        <v>127.1366</v>
      </c>
      <c r="AD3080">
        <v>3.480121</v>
      </c>
      <c r="AE3080">
        <v>-21.341100000000001</v>
      </c>
      <c r="AF3080">
        <v>20.564933145579001</v>
      </c>
      <c r="AG3080">
        <v>3.480121</v>
      </c>
      <c r="AH3080">
        <v>127.169355985256</v>
      </c>
      <c r="AI3080">
        <v>88.452526456169593</v>
      </c>
      <c r="AJ3080">
        <v>80.8140530886607</v>
      </c>
      <c r="AK3080">
        <v>128.86843220572499</v>
      </c>
      <c r="AL3080">
        <v>91.301705958480198</v>
      </c>
      <c r="AM3080">
        <v>93.453115416239896</v>
      </c>
      <c r="AN3080">
        <v>0.99999997836870602</v>
      </c>
    </row>
    <row r="3081" spans="1:40" x14ac:dyDescent="0.25">
      <c r="A3081" t="str">
        <f>"20190305135852479"</f>
        <v>20190305135852479</v>
      </c>
      <c r="B3081" t="str">
        <f>"1551765532471876"</f>
        <v>1551765532471876</v>
      </c>
      <c r="C3081" t="s">
        <v>40</v>
      </c>
      <c r="D3081">
        <v>4.1868290000000004</v>
      </c>
      <c r="E3081">
        <v>0.58509460000000002</v>
      </c>
      <c r="F3081" t="s">
        <v>70</v>
      </c>
      <c r="G3081">
        <v>-168.41579999999999</v>
      </c>
      <c r="H3081">
        <v>4.4564849999999998</v>
      </c>
      <c r="I3081">
        <v>194.82830000000001</v>
      </c>
      <c r="J3081">
        <v>-295.20729999999998</v>
      </c>
      <c r="K3081">
        <v>1.1080190000000001</v>
      </c>
      <c r="L3081">
        <v>216.18819999999999</v>
      </c>
      <c r="M3081">
        <v>0.99977800000000006</v>
      </c>
      <c r="N3081">
        <v>-1.9819590000000002E-2</v>
      </c>
      <c r="O3081">
        <v>-7.1527750000000001E-3</v>
      </c>
      <c r="P3081">
        <v>0.99756</v>
      </c>
      <c r="Q3081">
        <v>-4.4383289999999999E-2</v>
      </c>
      <c r="R3081">
        <v>5.3892620000000002E-2</v>
      </c>
      <c r="S3081">
        <v>3.0383</v>
      </c>
      <c r="T3081">
        <v>8.0019709999999994E-2</v>
      </c>
      <c r="U3081">
        <v>-0.5105286</v>
      </c>
      <c r="V3081">
        <v>-6.1125529999999997E-2</v>
      </c>
      <c r="W3081">
        <v>-2.4368069999999999E-2</v>
      </c>
      <c r="X3081">
        <v>0.99783259999999996</v>
      </c>
      <c r="Y3081">
        <v>0.15864329999999999</v>
      </c>
      <c r="Z3081">
        <v>1.6313610000000001E-4</v>
      </c>
      <c r="AA3081">
        <v>0.98733599999999999</v>
      </c>
      <c r="AB3081">
        <v>47</v>
      </c>
      <c r="AC3081">
        <v>126.791499999999</v>
      </c>
      <c r="AD3081">
        <v>3.3484660000000002</v>
      </c>
      <c r="AE3081">
        <v>-21.3598999999999</v>
      </c>
      <c r="AF3081">
        <v>20.4384028097233</v>
      </c>
      <c r="AG3081">
        <v>3.3484660000000002</v>
      </c>
      <c r="AH3081">
        <v>126.855034718844</v>
      </c>
      <c r="AI3081">
        <v>88.507213665960705</v>
      </c>
      <c r="AJ3081">
        <v>80.847376022788396</v>
      </c>
      <c r="AK3081">
        <v>128.534588214553</v>
      </c>
      <c r="AL3081">
        <v>91.396325757943202</v>
      </c>
      <c r="AM3081">
        <v>93.505461659414095</v>
      </c>
      <c r="AN3081">
        <v>1.00000001543803</v>
      </c>
    </row>
    <row r="3082" spans="1:40" x14ac:dyDescent="0.25">
      <c r="A3082" t="str">
        <f>"20190305135852494"</f>
        <v>20190305135852494</v>
      </c>
      <c r="B3082" t="str">
        <f>"1551765532481634"</f>
        <v>1551765532481634</v>
      </c>
      <c r="C3082" t="s">
        <v>40</v>
      </c>
      <c r="D3082">
        <v>4.0872120000000001</v>
      </c>
      <c r="E3082">
        <v>0.58501020000000004</v>
      </c>
      <c r="F3082" t="s">
        <v>70</v>
      </c>
      <c r="G3082">
        <v>-168.41560000000001</v>
      </c>
      <c r="H3082">
        <v>3.8245529999999999</v>
      </c>
      <c r="I3082">
        <v>194.9973</v>
      </c>
      <c r="J3082">
        <v>-294.90289999999999</v>
      </c>
      <c r="K3082">
        <v>1.1079349999999999</v>
      </c>
      <c r="L3082">
        <v>216.18520000000001</v>
      </c>
      <c r="M3082">
        <v>0.99976909999999997</v>
      </c>
      <c r="N3082">
        <v>-1.9847110000000001E-2</v>
      </c>
      <c r="O3082">
        <v>-8.2518069999999999E-3</v>
      </c>
      <c r="P3082">
        <v>0.99756279999999997</v>
      </c>
      <c r="Q3082">
        <v>-4.5071939999999998E-2</v>
      </c>
      <c r="R3082">
        <v>5.3265779999999999E-2</v>
      </c>
      <c r="S3082">
        <v>3.0376590000000001</v>
      </c>
      <c r="T3082">
        <v>6.5083150000000006E-2</v>
      </c>
      <c r="U3082">
        <v>-0.50769039999999999</v>
      </c>
      <c r="V3082">
        <v>-6.160272E-2</v>
      </c>
      <c r="W3082">
        <v>-2.5015249999999999E-2</v>
      </c>
      <c r="X3082">
        <v>0.99778719999999999</v>
      </c>
      <c r="Y3082">
        <v>0.15670429999999999</v>
      </c>
      <c r="Z3082">
        <v>-2.3714499999999999E-4</v>
      </c>
      <c r="AA3082">
        <v>0.98764560000000001</v>
      </c>
      <c r="AB3082">
        <v>46</v>
      </c>
      <c r="AC3082">
        <v>126.487299999999</v>
      </c>
      <c r="AD3082">
        <v>2.7166179999999902</v>
      </c>
      <c r="AE3082">
        <v>-21.187899999999999</v>
      </c>
      <c r="AF3082">
        <v>20.1341900699002</v>
      </c>
      <c r="AG3082">
        <v>2.7166179999999902</v>
      </c>
      <c r="AH3082">
        <v>126.601060261185</v>
      </c>
      <c r="AI3082">
        <v>88.785982491800297</v>
      </c>
      <c r="AJ3082">
        <v>80.963557437229497</v>
      </c>
      <c r="AK3082">
        <v>128.22088005619401</v>
      </c>
      <c r="AL3082">
        <v>91.433417804289505</v>
      </c>
      <c r="AM3082">
        <v>93.532919119422303</v>
      </c>
      <c r="AN3082">
        <v>0.99999997716389999</v>
      </c>
    </row>
    <row r="3083" spans="1:40" x14ac:dyDescent="0.25">
      <c r="A3083" t="str">
        <f>"20190305135852507"</f>
        <v>20190305135852507</v>
      </c>
      <c r="B3083" t="str">
        <f>"1551765532502129"</f>
        <v>1551765532502129</v>
      </c>
      <c r="C3083" t="s">
        <v>40</v>
      </c>
      <c r="D3083">
        <v>4.1342220000000003</v>
      </c>
      <c r="E3083">
        <v>0.58503850000000002</v>
      </c>
      <c r="F3083" t="s">
        <v>70</v>
      </c>
      <c r="G3083">
        <v>-168.41550000000001</v>
      </c>
      <c r="H3083">
        <v>3.495886</v>
      </c>
      <c r="I3083">
        <v>194.98410000000001</v>
      </c>
      <c r="J3083">
        <v>-294.64479999999998</v>
      </c>
      <c r="K3083">
        <v>1.1078589999999999</v>
      </c>
      <c r="L3083">
        <v>216.1823</v>
      </c>
      <c r="M3083">
        <v>0.99976019999999999</v>
      </c>
      <c r="N3083">
        <v>-1.9869640000000001E-2</v>
      </c>
      <c r="O3083">
        <v>-9.2234759999999996E-3</v>
      </c>
      <c r="P3083">
        <v>0.99756659999999997</v>
      </c>
      <c r="Q3083">
        <v>-4.5695810000000003E-2</v>
      </c>
      <c r="R3083">
        <v>5.2658799999999999E-2</v>
      </c>
      <c r="S3083">
        <v>3.0371090000000001</v>
      </c>
      <c r="T3083">
        <v>5.7338239999999999E-2</v>
      </c>
      <c r="U3083">
        <v>-0.50906370000000001</v>
      </c>
      <c r="V3083">
        <v>-6.197242E-2</v>
      </c>
      <c r="W3083">
        <v>-2.5604729999999999E-2</v>
      </c>
      <c r="X3083">
        <v>0.99774940000000001</v>
      </c>
      <c r="Y3083">
        <v>0.15621160000000001</v>
      </c>
      <c r="Z3083">
        <v>-4.5349030000000002E-4</v>
      </c>
      <c r="AA3083">
        <v>0.98772349999999998</v>
      </c>
      <c r="AB3083">
        <v>46</v>
      </c>
      <c r="AC3083">
        <v>126.229299999999</v>
      </c>
      <c r="AD3083">
        <v>2.3880270000000001</v>
      </c>
      <c r="AE3083">
        <v>-21.1981999999999</v>
      </c>
      <c r="AF3083">
        <v>20.025824710817002</v>
      </c>
      <c r="AG3083">
        <v>2.3880270000000001</v>
      </c>
      <c r="AH3083">
        <v>126.375499257893</v>
      </c>
      <c r="AI3083">
        <v>88.930789471991801</v>
      </c>
      <c r="AJ3083">
        <v>80.995616154913407</v>
      </c>
      <c r="AK3083">
        <v>127.974619128103</v>
      </c>
      <c r="AL3083">
        <v>91.467203275917996</v>
      </c>
      <c r="AM3083">
        <v>93.554201550738497</v>
      </c>
      <c r="AN3083">
        <v>1.00000002411969</v>
      </c>
    </row>
    <row r="3084" spans="1:40" x14ac:dyDescent="0.25">
      <c r="A3084" t="str">
        <f>"20190305135852522"</f>
        <v>20190305135852522</v>
      </c>
      <c r="B3084" t="str">
        <f>"1551765532511889"</f>
        <v>1551765532511889</v>
      </c>
      <c r="C3084" t="s">
        <v>40</v>
      </c>
      <c r="D3084">
        <v>4.1586780000000001</v>
      </c>
      <c r="E3084">
        <v>0.58502349999999903</v>
      </c>
      <c r="F3084" t="s">
        <v>70</v>
      </c>
      <c r="G3084">
        <v>-168.41540000000001</v>
      </c>
      <c r="H3084">
        <v>3.4093429999999998</v>
      </c>
      <c r="I3084">
        <v>194.93610000000001</v>
      </c>
      <c r="J3084">
        <v>-294.32049999999998</v>
      </c>
      <c r="K3084">
        <v>1.1077699999999999</v>
      </c>
      <c r="L3084">
        <v>216.17840000000001</v>
      </c>
      <c r="M3084">
        <v>0.9997471</v>
      </c>
      <c r="N3084">
        <v>-1.9896879999999999E-2</v>
      </c>
      <c r="O3084">
        <v>-1.0489409999999999E-2</v>
      </c>
      <c r="P3084">
        <v>0.99751920000000005</v>
      </c>
      <c r="Q3084">
        <v>-4.6643150000000001E-2</v>
      </c>
      <c r="R3084">
        <v>5.2726139999999998E-2</v>
      </c>
      <c r="S3084">
        <v>3.0368040000000001</v>
      </c>
      <c r="T3084">
        <v>5.5369500000000002E-2</v>
      </c>
      <c r="U3084">
        <v>-0.51113889999999995</v>
      </c>
      <c r="V3084">
        <v>-6.3311590000000001E-2</v>
      </c>
      <c r="W3084">
        <v>-2.6506789999999999E-2</v>
      </c>
      <c r="X3084">
        <v>0.99764169999999996</v>
      </c>
      <c r="Y3084">
        <v>0.155635</v>
      </c>
      <c r="Z3084">
        <v>-5.4760949999999996E-4</v>
      </c>
      <c r="AA3084">
        <v>0.98781450000000004</v>
      </c>
      <c r="AB3084">
        <v>46</v>
      </c>
      <c r="AC3084">
        <v>125.905099999999</v>
      </c>
      <c r="AD3084">
        <v>2.3015729999999999</v>
      </c>
      <c r="AE3084">
        <v>-21.2423</v>
      </c>
      <c r="AF3084">
        <v>19.913728971102501</v>
      </c>
      <c r="AG3084">
        <v>2.3015729999999999</v>
      </c>
      <c r="AH3084">
        <v>126.08006820460599</v>
      </c>
      <c r="AI3084">
        <v>88.966993011115306</v>
      </c>
      <c r="AJ3084">
        <v>81.024558004945206</v>
      </c>
      <c r="AK3084">
        <v>127.66376713181801</v>
      </c>
      <c r="AL3084">
        <v>91.518905151149795</v>
      </c>
      <c r="AM3084">
        <v>93.631192379617801</v>
      </c>
      <c r="AN3084">
        <v>0.99999996446165995</v>
      </c>
    </row>
    <row r="3085" spans="1:40" x14ac:dyDescent="0.25">
      <c r="A3085" t="str">
        <f>"20190305135852546"</f>
        <v>20190305135852546</v>
      </c>
      <c r="B3085" t="str">
        <f>"1551765532542144"</f>
        <v>1551765532542144</v>
      </c>
      <c r="C3085" t="s">
        <v>40</v>
      </c>
      <c r="D3085">
        <v>4.1655329999999999</v>
      </c>
      <c r="E3085">
        <v>0.58534090000000005</v>
      </c>
      <c r="F3085" t="s">
        <v>70</v>
      </c>
      <c r="G3085">
        <v>-168.41540000000001</v>
      </c>
      <c r="H3085">
        <v>3.2895029999999998</v>
      </c>
      <c r="I3085">
        <v>194.99539999999999</v>
      </c>
      <c r="J3085">
        <v>-293.84100000000001</v>
      </c>
      <c r="K3085">
        <v>1.107631</v>
      </c>
      <c r="L3085">
        <v>216.17169999999999</v>
      </c>
      <c r="M3085">
        <v>0.99972340000000004</v>
      </c>
      <c r="N3085">
        <v>-1.9933949999999999E-2</v>
      </c>
      <c r="O3085">
        <v>-1.248764E-2</v>
      </c>
      <c r="P3085">
        <v>0.99752660000000004</v>
      </c>
      <c r="Q3085">
        <v>-4.7354269999999997E-2</v>
      </c>
      <c r="R3085">
        <v>5.1947340000000002E-2</v>
      </c>
      <c r="S3085">
        <v>3.0369570000000001</v>
      </c>
      <c r="T3085">
        <v>5.2626369999999999E-2</v>
      </c>
      <c r="U3085">
        <v>-0.51095579999999996</v>
      </c>
      <c r="V3085">
        <v>-6.4538230000000002E-2</v>
      </c>
      <c r="W3085">
        <v>-2.7154890000000001E-2</v>
      </c>
      <c r="X3085">
        <v>0.99754569999999998</v>
      </c>
      <c r="Y3085">
        <v>0.15359629999999999</v>
      </c>
      <c r="Z3085">
        <v>-6.8233669999999999E-4</v>
      </c>
      <c r="AA3085">
        <v>0.98813340000000005</v>
      </c>
      <c r="AB3085">
        <v>46</v>
      </c>
      <c r="AC3085">
        <v>125.4256</v>
      </c>
      <c r="AD3085">
        <v>2.1818719999999998</v>
      </c>
      <c r="AE3085">
        <v>-21.176300000000001</v>
      </c>
      <c r="AF3085">
        <v>19.602299784960699</v>
      </c>
      <c r="AG3085">
        <v>2.1818719999999998</v>
      </c>
      <c r="AH3085">
        <v>125.64334335620801</v>
      </c>
      <c r="AI3085">
        <v>89.017013472596105</v>
      </c>
      <c r="AJ3085">
        <v>81.132461090416896</v>
      </c>
      <c r="AK3085">
        <v>127.181997358155</v>
      </c>
      <c r="AL3085">
        <v>91.556051869856105</v>
      </c>
      <c r="AM3085">
        <v>93.701706959879402</v>
      </c>
      <c r="AN3085">
        <v>0.99999999738546697</v>
      </c>
    </row>
    <row r="3086" spans="1:40" x14ac:dyDescent="0.25">
      <c r="A3086" t="str">
        <f>"20190305135852561"</f>
        <v>20190305135852561</v>
      </c>
      <c r="B3086" t="str">
        <f>"1551765532551904"</f>
        <v>1551765532551904</v>
      </c>
      <c r="C3086" t="s">
        <v>40</v>
      </c>
      <c r="D3086">
        <v>4.173108</v>
      </c>
      <c r="E3086">
        <v>0.58540300000000001</v>
      </c>
      <c r="F3086" t="s">
        <v>70</v>
      </c>
      <c r="G3086">
        <v>-168.41540000000001</v>
      </c>
      <c r="H3086">
        <v>3.1672419999999999</v>
      </c>
      <c r="I3086">
        <v>194.86949999999999</v>
      </c>
      <c r="J3086">
        <v>-293.51389999999998</v>
      </c>
      <c r="K3086">
        <v>1.1075330000000001</v>
      </c>
      <c r="L3086">
        <v>216.16650000000001</v>
      </c>
      <c r="M3086">
        <v>0.99970389999999998</v>
      </c>
      <c r="N3086">
        <v>-1.9957349999999999E-2</v>
      </c>
      <c r="O3086">
        <v>-1.392201E-2</v>
      </c>
      <c r="P3086">
        <v>0.99757739999999995</v>
      </c>
      <c r="Q3086">
        <v>-4.7232999999999997E-2</v>
      </c>
      <c r="R3086">
        <v>5.1073889999999997E-2</v>
      </c>
      <c r="S3086">
        <v>3.0366819999999999</v>
      </c>
      <c r="T3086">
        <v>4.986608E-2</v>
      </c>
      <c r="U3086">
        <v>-0.51574709999999901</v>
      </c>
      <c r="V3086">
        <v>-6.5101690000000004E-2</v>
      </c>
      <c r="W3086">
        <v>-2.6992639999999998E-2</v>
      </c>
      <c r="X3086">
        <v>0.99751350000000005</v>
      </c>
      <c r="Y3086">
        <v>0.1537104</v>
      </c>
      <c r="Z3086">
        <v>-7.9470899999999902E-4</v>
      </c>
      <c r="AA3086">
        <v>0.98811559999999998</v>
      </c>
      <c r="AB3086">
        <v>46</v>
      </c>
      <c r="AC3086">
        <v>125.09849999999901</v>
      </c>
      <c r="AD3086">
        <v>2.0597089999999998</v>
      </c>
      <c r="AE3086">
        <v>-21.297000000000001</v>
      </c>
      <c r="AF3086">
        <v>19.547815764108901</v>
      </c>
      <c r="AG3086">
        <v>2.0597089999999998</v>
      </c>
      <c r="AH3086">
        <v>125.349903707934</v>
      </c>
      <c r="AI3086">
        <v>89.069859203204402</v>
      </c>
      <c r="AJ3086">
        <v>81.136344589310099</v>
      </c>
      <c r="AK3086">
        <v>126.881668738634</v>
      </c>
      <c r="AL3086">
        <v>91.546752204792298</v>
      </c>
      <c r="AM3086">
        <v>93.7340543856793</v>
      </c>
      <c r="AN3086">
        <v>1.00000000766863</v>
      </c>
    </row>
    <row r="3087" spans="1:40" x14ac:dyDescent="0.25">
      <c r="A3087" t="str">
        <f>"20190305135852574"</f>
        <v>20190305135852574</v>
      </c>
      <c r="B3087" t="str">
        <f>"1551765532572401"</f>
        <v>1551765532572401</v>
      </c>
      <c r="C3087" t="s">
        <v>40</v>
      </c>
      <c r="D3087">
        <v>4.13917</v>
      </c>
      <c r="E3087">
        <v>0.58517159999999901</v>
      </c>
      <c r="F3087" t="s">
        <v>70</v>
      </c>
      <c r="G3087">
        <v>-168.41540000000001</v>
      </c>
      <c r="H3087">
        <v>3.1024929999999999</v>
      </c>
      <c r="I3087">
        <v>194.77789999999999</v>
      </c>
      <c r="J3087">
        <v>-293.25060000000002</v>
      </c>
      <c r="K3087">
        <v>1.1074569999999999</v>
      </c>
      <c r="L3087">
        <v>216.1619</v>
      </c>
      <c r="M3087">
        <v>0.99968619999999997</v>
      </c>
      <c r="N3087">
        <v>-1.9974849999999999E-2</v>
      </c>
      <c r="O3087">
        <v>-1.5124840000000001E-2</v>
      </c>
      <c r="P3087">
        <v>0.99760289999999996</v>
      </c>
      <c r="Q3087">
        <v>-4.7461070000000001E-2</v>
      </c>
      <c r="R3087">
        <v>5.0359300000000003E-2</v>
      </c>
      <c r="S3087">
        <v>3.0361630000000002</v>
      </c>
      <c r="T3087">
        <v>4.8418879999999997E-2</v>
      </c>
      <c r="U3087">
        <v>-0.51910400000000001</v>
      </c>
      <c r="V3087">
        <v>-6.559268E-2</v>
      </c>
      <c r="W3087">
        <v>-2.7189120000000001E-2</v>
      </c>
      <c r="X3087">
        <v>0.99747600000000003</v>
      </c>
      <c r="Y3087">
        <v>0.153612</v>
      </c>
      <c r="Z3087">
        <v>-8.6881009999999995E-4</v>
      </c>
      <c r="AA3087">
        <v>0.98813090000000003</v>
      </c>
      <c r="AB3087">
        <v>46</v>
      </c>
      <c r="AC3087">
        <v>124.8352</v>
      </c>
      <c r="AD3087">
        <v>1.995036</v>
      </c>
      <c r="AE3087">
        <v>-21.384</v>
      </c>
      <c r="AF3087">
        <v>19.488228521024499</v>
      </c>
      <c r="AG3087">
        <v>1.995036</v>
      </c>
      <c r="AH3087">
        <v>125.11336534761401</v>
      </c>
      <c r="AI3087">
        <v>89.097331946723202</v>
      </c>
      <c r="AJ3087">
        <v>81.146493562478099</v>
      </c>
      <c r="AK3087">
        <v>126.637772438299</v>
      </c>
      <c r="AL3087">
        <v>91.558013810319096</v>
      </c>
      <c r="AM3087">
        <v>93.762276681779994</v>
      </c>
      <c r="AN3087">
        <v>1.00000000924597</v>
      </c>
    </row>
    <row r="3088" spans="1:40" x14ac:dyDescent="0.25">
      <c r="A3088" t="str">
        <f>"20190305135852590"</f>
        <v>20190305135852590</v>
      </c>
      <c r="B3088" t="str">
        <f>"1551765532582161"</f>
        <v>1551765532582161</v>
      </c>
      <c r="C3088" t="s">
        <v>40</v>
      </c>
      <c r="D3088">
        <v>4.2061229999999998</v>
      </c>
      <c r="E3088">
        <v>0.58507679999999995</v>
      </c>
      <c r="F3088" t="s">
        <v>70</v>
      </c>
      <c r="G3088">
        <v>-168.4153</v>
      </c>
      <c r="H3088">
        <v>2.9643980000000001</v>
      </c>
      <c r="I3088">
        <v>194.80029999999999</v>
      </c>
      <c r="J3088">
        <v>-292.9049</v>
      </c>
      <c r="K3088">
        <v>1.107356</v>
      </c>
      <c r="L3088">
        <v>216.15530000000001</v>
      </c>
      <c r="M3088">
        <v>0.99965930000000003</v>
      </c>
      <c r="N3088">
        <v>-2.0001080000000001E-2</v>
      </c>
      <c r="O3088">
        <v>-1.6766440000000001E-2</v>
      </c>
      <c r="P3088">
        <v>0.99764359999999996</v>
      </c>
      <c r="Q3088">
        <v>-4.7651489999999998E-2</v>
      </c>
      <c r="R3088">
        <v>4.93602E-2</v>
      </c>
      <c r="S3088">
        <v>3.0355530000000002</v>
      </c>
      <c r="T3088">
        <v>4.5155050000000002E-2</v>
      </c>
      <c r="U3088">
        <v>-0.51943969999999995</v>
      </c>
      <c r="V3088">
        <v>-6.6238309999999995E-2</v>
      </c>
      <c r="W3088">
        <v>-2.733468E-2</v>
      </c>
      <c r="X3088">
        <v>0.99742940000000002</v>
      </c>
      <c r="Y3088">
        <v>0.1521296</v>
      </c>
      <c r="Z3088">
        <v>-9.897567999999999E-4</v>
      </c>
      <c r="AA3088">
        <v>0.98836000000000002</v>
      </c>
      <c r="AB3088">
        <v>46</v>
      </c>
      <c r="AC3088">
        <v>124.4896</v>
      </c>
      <c r="AD3088">
        <v>1.8570419999999901</v>
      </c>
      <c r="AE3088">
        <v>-21.355</v>
      </c>
      <c r="AF3088">
        <v>19.260168492834602</v>
      </c>
      <c r="AG3088">
        <v>1.8570419999999901</v>
      </c>
      <c r="AH3088">
        <v>124.803235008352</v>
      </c>
      <c r="AI3088">
        <v>89.157487680256907</v>
      </c>
      <c r="AJ3088">
        <v>81.227078852705603</v>
      </c>
      <c r="AK3088">
        <v>126.29429980768001</v>
      </c>
      <c r="AL3088">
        <v>91.566356815938903</v>
      </c>
      <c r="AM3088">
        <v>93.7993778942853</v>
      </c>
      <c r="AN3088">
        <v>1.0000000532133499</v>
      </c>
    </row>
    <row r="3089" spans="1:40" x14ac:dyDescent="0.25">
      <c r="A3089" t="str">
        <f>"20190305135852607"</f>
        <v>20190305135852607</v>
      </c>
      <c r="B3089" t="str">
        <f>"1551765532601681"</f>
        <v>1551765532601681</v>
      </c>
      <c r="C3089" t="s">
        <v>40</v>
      </c>
      <c r="D3089">
        <v>4.1479220000000003</v>
      </c>
      <c r="E3089">
        <v>0.58479419999999904</v>
      </c>
      <c r="F3089" t="s">
        <v>70</v>
      </c>
      <c r="G3089">
        <v>-168.4153</v>
      </c>
      <c r="H3089">
        <v>2.8851390000000001</v>
      </c>
      <c r="I3089">
        <v>194.7593</v>
      </c>
      <c r="J3089">
        <v>-292.58170000000001</v>
      </c>
      <c r="K3089">
        <v>1.1072690000000001</v>
      </c>
      <c r="L3089">
        <v>216.14869999999999</v>
      </c>
      <c r="M3089">
        <v>0.99963089999999999</v>
      </c>
      <c r="N3089">
        <v>-2.0028109999999998E-2</v>
      </c>
      <c r="O3089">
        <v>-1.836173E-2</v>
      </c>
      <c r="P3089">
        <v>0.99769399999999997</v>
      </c>
      <c r="Q3089">
        <v>-4.800107E-2</v>
      </c>
      <c r="R3089">
        <v>4.7987920000000003E-2</v>
      </c>
      <c r="S3089">
        <v>3.0349729999999999</v>
      </c>
      <c r="T3089">
        <v>4.3341989999999997E-2</v>
      </c>
      <c r="U3089">
        <v>-0.52162169999999997</v>
      </c>
      <c r="V3089">
        <v>-6.6466059999999993E-2</v>
      </c>
      <c r="W3089">
        <v>-2.7641530000000001E-2</v>
      </c>
      <c r="X3089">
        <v>0.99740580000000001</v>
      </c>
      <c r="Y3089">
        <v>0.15127489999999999</v>
      </c>
      <c r="Z3089">
        <v>-1.0791819999999999E-3</v>
      </c>
      <c r="AA3089">
        <v>0.98849109999999996</v>
      </c>
      <c r="AB3089">
        <v>46</v>
      </c>
      <c r="AC3089">
        <v>124.1664</v>
      </c>
      <c r="AD3089">
        <v>1.7778700000000001</v>
      </c>
      <c r="AE3089">
        <v>-21.389399999999899</v>
      </c>
      <c r="AF3089">
        <v>19.101622116648599</v>
      </c>
      <c r="AG3089">
        <v>1.7778700000000001</v>
      </c>
      <c r="AH3089">
        <v>124.513491630046</v>
      </c>
      <c r="AI3089">
        <v>89.191414190652097</v>
      </c>
      <c r="AJ3089">
        <v>81.278248001163604</v>
      </c>
      <c r="AK3089">
        <v>125.98270669869601</v>
      </c>
      <c r="AL3089">
        <v>91.583944659234604</v>
      </c>
      <c r="AM3089">
        <v>93.812492938766894</v>
      </c>
      <c r="AN3089">
        <v>1.0000000605931501</v>
      </c>
    </row>
    <row r="3090" spans="1:40" x14ac:dyDescent="0.25">
      <c r="A3090" t="str">
        <f>"20190305135852624"</f>
        <v>20190305135852624</v>
      </c>
      <c r="B3090" t="str">
        <f>"1551765532612416"</f>
        <v>1551765532612416</v>
      </c>
      <c r="C3090" t="s">
        <v>40</v>
      </c>
      <c r="D3090">
        <v>4.1716309999999996</v>
      </c>
      <c r="E3090">
        <v>0.58484519999999995</v>
      </c>
      <c r="F3090" t="s">
        <v>70</v>
      </c>
      <c r="G3090">
        <v>-168.4153</v>
      </c>
      <c r="H3090">
        <v>2.7113520000000002</v>
      </c>
      <c r="I3090">
        <v>194.71029999999999</v>
      </c>
      <c r="J3090">
        <v>-292.24259999999998</v>
      </c>
      <c r="K3090">
        <v>1.1071799999999901</v>
      </c>
      <c r="L3090">
        <v>216.14109999999999</v>
      </c>
      <c r="M3090">
        <v>0.99959679999999995</v>
      </c>
      <c r="N3090">
        <v>-2.0057749999999999E-2</v>
      </c>
      <c r="O3090">
        <v>-2.009534E-2</v>
      </c>
      <c r="P3090">
        <v>0.9977007</v>
      </c>
      <c r="Q3090">
        <v>-4.8648080000000003E-2</v>
      </c>
      <c r="R3090">
        <v>4.7189439999999999E-2</v>
      </c>
      <c r="S3090">
        <v>3.034027</v>
      </c>
      <c r="T3090">
        <v>3.9196849999999998E-2</v>
      </c>
      <c r="U3090">
        <v>-0.52384949999999997</v>
      </c>
      <c r="V3090">
        <v>-6.7406569999999999E-2</v>
      </c>
      <c r="W3090">
        <v>-2.8239400000000001E-2</v>
      </c>
      <c r="X3090">
        <v>0.99732589999999999</v>
      </c>
      <c r="Y3090">
        <v>0.1503176</v>
      </c>
      <c r="Z3090">
        <v>-1.2127640000000001E-3</v>
      </c>
      <c r="AA3090">
        <v>0.98863699999999999</v>
      </c>
      <c r="AB3090">
        <v>46</v>
      </c>
      <c r="AC3090">
        <v>123.827299999999</v>
      </c>
      <c r="AD3090">
        <v>1.6041719999999999</v>
      </c>
      <c r="AE3090">
        <v>-21.430800000000001</v>
      </c>
      <c r="AF3090">
        <v>18.9345328163405</v>
      </c>
      <c r="AG3090">
        <v>1.6041719999999999</v>
      </c>
      <c r="AH3090">
        <v>124.212790819042</v>
      </c>
      <c r="AI3090">
        <v>89.268531596425603</v>
      </c>
      <c r="AJ3090">
        <v>81.332767818514995</v>
      </c>
      <c r="AK3090">
        <v>125.65789789676499</v>
      </c>
      <c r="AL3090">
        <v>91.618213513640796</v>
      </c>
      <c r="AM3090">
        <v>93.866586912684099</v>
      </c>
      <c r="AN3090">
        <v>1.00000003010116</v>
      </c>
    </row>
    <row r="3091" spans="1:40" x14ac:dyDescent="0.25">
      <c r="A3091" t="str">
        <f>"20190305135852645"</f>
        <v>20190305135852645</v>
      </c>
      <c r="B3091" t="str">
        <f>"1551765532641697"</f>
        <v>1551765532641697</v>
      </c>
      <c r="C3091" t="s">
        <v>40</v>
      </c>
      <c r="D3091">
        <v>4.1486919999999996</v>
      </c>
      <c r="E3091">
        <v>0.58476139999999999</v>
      </c>
      <c r="F3091" t="s">
        <v>70</v>
      </c>
      <c r="G3091">
        <v>-168.4153</v>
      </c>
      <c r="H3091">
        <v>2.5716450000000002</v>
      </c>
      <c r="I3091">
        <v>194.63560000000001</v>
      </c>
      <c r="J3091">
        <v>-291.80110000000002</v>
      </c>
      <c r="K3091">
        <v>1.1070629999999999</v>
      </c>
      <c r="L3091">
        <v>216.1302</v>
      </c>
      <c r="M3091">
        <v>0.99954620000000005</v>
      </c>
      <c r="N3091">
        <v>-2.0095539999999999E-2</v>
      </c>
      <c r="O3091">
        <v>-2.2446549999999999E-2</v>
      </c>
      <c r="P3091">
        <v>0.99772810000000001</v>
      </c>
      <c r="Q3091">
        <v>-4.9449989999999999E-2</v>
      </c>
      <c r="R3091">
        <v>4.575427E-2</v>
      </c>
      <c r="S3091">
        <v>3.0335999999999999</v>
      </c>
      <c r="T3091">
        <v>3.5878180000000003E-2</v>
      </c>
      <c r="U3091">
        <v>-0.52685550000000003</v>
      </c>
      <c r="V3091">
        <v>-6.8329589999999996E-2</v>
      </c>
      <c r="W3091">
        <v>-2.897957E-2</v>
      </c>
      <c r="X3091">
        <v>0.99724179999999996</v>
      </c>
      <c r="Y3091">
        <v>0.14896719999999999</v>
      </c>
      <c r="Z3091">
        <v>-1.34501E-3</v>
      </c>
      <c r="AA3091">
        <v>0.98884119999999998</v>
      </c>
      <c r="AB3091">
        <v>46</v>
      </c>
      <c r="AC3091">
        <v>123.3858</v>
      </c>
      <c r="AD3091">
        <v>1.4645820000000001</v>
      </c>
      <c r="AE3091">
        <v>-21.494599999999899</v>
      </c>
      <c r="AF3091">
        <v>18.716478208585301</v>
      </c>
      <c r="AG3091">
        <v>1.4645820000000001</v>
      </c>
      <c r="AH3091">
        <v>123.820344827477</v>
      </c>
      <c r="AI3091">
        <v>89.329932142359496</v>
      </c>
      <c r="AJ3091">
        <v>81.404337679840296</v>
      </c>
      <c r="AK3091">
        <v>125.235495567999</v>
      </c>
      <c r="AL3091">
        <v>91.660639583434104</v>
      </c>
      <c r="AM3091">
        <v>93.919698933310997</v>
      </c>
      <c r="AN3091">
        <v>0.99999997800709595</v>
      </c>
    </row>
    <row r="3092" spans="1:40" x14ac:dyDescent="0.25">
      <c r="A3092" t="str">
        <f>"20190305135852661"</f>
        <v>20190305135852661</v>
      </c>
      <c r="B3092" t="str">
        <f>"1551765532652434"</f>
        <v>1551765532652434</v>
      </c>
      <c r="C3092" t="s">
        <v>40</v>
      </c>
      <c r="D3092">
        <v>4.1350980000000002</v>
      </c>
      <c r="E3092">
        <v>0.58474930000000003</v>
      </c>
      <c r="F3092" t="s">
        <v>70</v>
      </c>
      <c r="G3092">
        <v>-168.4152</v>
      </c>
      <c r="H3092">
        <v>2.402704</v>
      </c>
      <c r="I3092">
        <v>194.54509999999999</v>
      </c>
      <c r="J3092">
        <v>-291.48570000000001</v>
      </c>
      <c r="K3092">
        <v>1.1069819999999999</v>
      </c>
      <c r="L3092">
        <v>216.12190000000001</v>
      </c>
      <c r="M3092">
        <v>0.99950530000000004</v>
      </c>
      <c r="N3092">
        <v>-2.0120909999999999E-2</v>
      </c>
      <c r="O3092">
        <v>-2.4175829999999999E-2</v>
      </c>
      <c r="P3092">
        <v>0.99776260000000006</v>
      </c>
      <c r="Q3092">
        <v>-5.0075689999999999E-2</v>
      </c>
      <c r="R3092">
        <v>4.4298869999999997E-2</v>
      </c>
      <c r="S3092">
        <v>3.0327449999999998</v>
      </c>
      <c r="T3092">
        <v>3.1846880000000001E-2</v>
      </c>
      <c r="U3092">
        <v>-0.53054809999999997</v>
      </c>
      <c r="V3092">
        <v>-6.860898E-2</v>
      </c>
      <c r="W3092">
        <v>-2.9565170000000002E-2</v>
      </c>
      <c r="X3092">
        <v>0.99720540000000002</v>
      </c>
      <c r="Y3092">
        <v>0.14847189999999999</v>
      </c>
      <c r="Z3092">
        <v>-1.4662869999999999E-3</v>
      </c>
      <c r="AA3092">
        <v>0.98891560000000001</v>
      </c>
      <c r="AB3092">
        <v>45</v>
      </c>
      <c r="AC3092">
        <v>123.0705</v>
      </c>
      <c r="AD3092">
        <v>1.295722</v>
      </c>
      <c r="AE3092">
        <v>-21.576799999999999</v>
      </c>
      <c r="AF3092">
        <v>18.592557883389201</v>
      </c>
      <c r="AG3092">
        <v>1.295722</v>
      </c>
      <c r="AH3092">
        <v>123.542971513579</v>
      </c>
      <c r="AI3092">
        <v>89.405793185295707</v>
      </c>
      <c r="AJ3092">
        <v>81.441517957348694</v>
      </c>
      <c r="AK3092">
        <v>124.94089768587899</v>
      </c>
      <c r="AL3092">
        <v>91.694206423880004</v>
      </c>
      <c r="AM3092">
        <v>93.935818969693202</v>
      </c>
      <c r="AN3092">
        <v>0.99999995060146296</v>
      </c>
    </row>
    <row r="3093" spans="1:40" x14ac:dyDescent="0.25">
      <c r="A3093" t="str">
        <f>"20190305135852673"</f>
        <v>20190305135852673</v>
      </c>
      <c r="B3093" t="str">
        <f>"1551765532662193"</f>
        <v>1551765532662193</v>
      </c>
      <c r="C3093" t="s">
        <v>40</v>
      </c>
      <c r="D3093">
        <v>4.1441350000000003</v>
      </c>
      <c r="E3093">
        <v>0.58469230000000005</v>
      </c>
      <c r="F3093" t="s">
        <v>70</v>
      </c>
      <c r="G3093">
        <v>-168.4153</v>
      </c>
      <c r="H3093">
        <v>2.3250259999999998</v>
      </c>
      <c r="I3093">
        <v>194.41159999999999</v>
      </c>
      <c r="J3093">
        <v>-291.2253</v>
      </c>
      <c r="K3093">
        <v>1.106916</v>
      </c>
      <c r="L3093">
        <v>216.11439999999999</v>
      </c>
      <c r="M3093">
        <v>0.99946849999999998</v>
      </c>
      <c r="N3093">
        <v>-2.014022E-2</v>
      </c>
      <c r="O3093">
        <v>-2.563909E-2</v>
      </c>
      <c r="P3093">
        <v>0.99777329999999997</v>
      </c>
      <c r="Q3093">
        <v>-5.0514870000000003E-2</v>
      </c>
      <c r="R3093">
        <v>4.3551760000000002E-2</v>
      </c>
      <c r="S3093">
        <v>3.031952</v>
      </c>
      <c r="T3093">
        <v>3.0008440000000001E-2</v>
      </c>
      <c r="U3093">
        <v>-0.53485109999999902</v>
      </c>
      <c r="V3093">
        <v>-6.9328500000000001E-2</v>
      </c>
      <c r="W3093">
        <v>-2.9970879999999998E-2</v>
      </c>
      <c r="X3093">
        <v>0.99714360000000002</v>
      </c>
      <c r="Y3093">
        <v>0.1484297</v>
      </c>
      <c r="Z3093">
        <v>-1.5417979999999901E-3</v>
      </c>
      <c r="AA3093">
        <v>0.98892179999999996</v>
      </c>
      <c r="AB3093">
        <v>45</v>
      </c>
      <c r="AC3093">
        <v>122.81</v>
      </c>
      <c r="AD3093">
        <v>1.21810999999999</v>
      </c>
      <c r="AE3093">
        <v>-21.7028</v>
      </c>
      <c r="AF3093">
        <v>18.5445184564153</v>
      </c>
      <c r="AG3093">
        <v>1.21810999999999</v>
      </c>
      <c r="AH3093">
        <v>123.31440022853999</v>
      </c>
      <c r="AI3093">
        <v>89.440338570839799</v>
      </c>
      <c r="AJ3093">
        <v>81.447715579727102</v>
      </c>
      <c r="AK3093">
        <v>124.70695353699</v>
      </c>
      <c r="AL3093">
        <v>91.717462071171198</v>
      </c>
      <c r="AM3093">
        <v>93.977208839672301</v>
      </c>
      <c r="AN3093">
        <v>1.00000002679059</v>
      </c>
    </row>
    <row r="3094" spans="1:40" x14ac:dyDescent="0.25">
      <c r="A3094" t="str">
        <f>"20190305135852686"</f>
        <v>20190305135852686</v>
      </c>
      <c r="B3094" t="str">
        <f>"1551765532681713"</f>
        <v>1551765532681713</v>
      </c>
      <c r="C3094" t="s">
        <v>40</v>
      </c>
      <c r="D3094">
        <v>4.2164950000000001</v>
      </c>
      <c r="E3094">
        <v>0.58456709999999901</v>
      </c>
      <c r="F3094" t="s">
        <v>70</v>
      </c>
      <c r="G3094">
        <v>-168.4152</v>
      </c>
      <c r="H3094">
        <v>2.221444</v>
      </c>
      <c r="I3094">
        <v>194.37100000000001</v>
      </c>
      <c r="J3094">
        <v>-290.96660000000003</v>
      </c>
      <c r="K3094">
        <v>1.1068579999999999</v>
      </c>
      <c r="L3094">
        <v>216.10659999999999</v>
      </c>
      <c r="M3094">
        <v>0.99942900000000001</v>
      </c>
      <c r="N3094">
        <v>-2.015815E-2</v>
      </c>
      <c r="O3094">
        <v>-2.7116339999999999E-2</v>
      </c>
      <c r="P3094">
        <v>0.99778880000000003</v>
      </c>
      <c r="Q3094">
        <v>-5.1103389999999999E-2</v>
      </c>
      <c r="R3094">
        <v>4.2495730000000002E-2</v>
      </c>
      <c r="S3094">
        <v>3.0315249999999998</v>
      </c>
      <c r="T3094">
        <v>2.751255E-2</v>
      </c>
      <c r="U3094">
        <v>-0.53672790000000004</v>
      </c>
      <c r="V3094">
        <v>-6.9754300000000005E-2</v>
      </c>
      <c r="W3094">
        <v>-3.0529799999999999E-2</v>
      </c>
      <c r="X3094">
        <v>0.99709689999999995</v>
      </c>
      <c r="Y3094">
        <v>0.14758540000000001</v>
      </c>
      <c r="Z3094">
        <v>-1.621412E-3</v>
      </c>
      <c r="AA3094">
        <v>0.98904800000000004</v>
      </c>
      <c r="AB3094">
        <v>45</v>
      </c>
      <c r="AC3094">
        <v>122.5514</v>
      </c>
      <c r="AD3094">
        <v>1.1145860000000001</v>
      </c>
      <c r="AE3094">
        <v>-21.735600000000002</v>
      </c>
      <c r="AF3094">
        <v>18.402307621803502</v>
      </c>
      <c r="AG3094">
        <v>1.1145860000000001</v>
      </c>
      <c r="AH3094">
        <v>123.08595662565099</v>
      </c>
      <c r="AI3094">
        <v>89.4868837690899</v>
      </c>
      <c r="AJ3094">
        <v>81.496818152321296</v>
      </c>
      <c r="AK3094">
        <v>124.458989013291</v>
      </c>
      <c r="AL3094">
        <v>91.749500572798993</v>
      </c>
      <c r="AM3094">
        <v>94.001743653372301</v>
      </c>
      <c r="AN3094">
        <v>0.99999997952306896</v>
      </c>
    </row>
    <row r="3095" spans="1:40" x14ac:dyDescent="0.25">
      <c r="A3095" t="str">
        <f>"20190305135852702"</f>
        <v>20190305135852702</v>
      </c>
      <c r="B3095" t="str">
        <f>"1551765532692449"</f>
        <v>1551765532692449</v>
      </c>
      <c r="C3095" t="s">
        <v>40</v>
      </c>
      <c r="D3095">
        <v>4.1588200000000004</v>
      </c>
      <c r="E3095">
        <v>0.58455249999999903</v>
      </c>
      <c r="F3095" t="s">
        <v>70</v>
      </c>
      <c r="G3095">
        <v>-168.4152</v>
      </c>
      <c r="H3095">
        <v>2.0542509999999998</v>
      </c>
      <c r="I3095">
        <v>194.3092</v>
      </c>
      <c r="J3095">
        <v>-290.6635</v>
      </c>
      <c r="K3095">
        <v>1.106792</v>
      </c>
      <c r="L3095">
        <v>216.09700000000001</v>
      </c>
      <c r="M3095">
        <v>0.99937949999999998</v>
      </c>
      <c r="N3095">
        <v>-2.0177790000000001E-2</v>
      </c>
      <c r="O3095">
        <v>-2.8869740000000001E-2</v>
      </c>
      <c r="P3095">
        <v>0.99780029999999997</v>
      </c>
      <c r="Q3095">
        <v>-5.1989519999999997E-2</v>
      </c>
      <c r="R3095">
        <v>4.1130569999999998E-2</v>
      </c>
      <c r="S3095">
        <v>3.030853</v>
      </c>
      <c r="T3095">
        <v>2.343106E-2</v>
      </c>
      <c r="U3095">
        <v>-0.53907780000000005</v>
      </c>
      <c r="V3095">
        <v>-7.0148500000000003E-2</v>
      </c>
      <c r="W3095">
        <v>-3.1384130000000003E-2</v>
      </c>
      <c r="X3095">
        <v>0.99704269999999995</v>
      </c>
      <c r="Y3095">
        <v>0.14663029999999999</v>
      </c>
      <c r="Z3095">
        <v>-1.7283439999999999E-3</v>
      </c>
      <c r="AA3095">
        <v>0.98918989999999996</v>
      </c>
      <c r="AB3095">
        <v>45</v>
      </c>
      <c r="AC3095">
        <v>122.2483</v>
      </c>
      <c r="AD3095">
        <v>0.94745899999999905</v>
      </c>
      <c r="AE3095">
        <v>-21.787800000000001</v>
      </c>
      <c r="AF3095">
        <v>18.247657087507601</v>
      </c>
      <c r="AG3095">
        <v>0.94745899999999905</v>
      </c>
      <c r="AH3095">
        <v>122.81930993212499</v>
      </c>
      <c r="AI3095">
        <v>89.562813434986296</v>
      </c>
      <c r="AJ3095">
        <v>81.549202173132002</v>
      </c>
      <c r="AK3095">
        <v>124.171081818365</v>
      </c>
      <c r="AL3095">
        <v>91.798473584421501</v>
      </c>
      <c r="AM3095">
        <v>94.024502514136799</v>
      </c>
      <c r="AN3095">
        <v>0.99999996064569696</v>
      </c>
    </row>
    <row r="3096" spans="1:40" x14ac:dyDescent="0.25">
      <c r="A3096" t="str">
        <f>"20190305135852715"</f>
        <v>20190305135852715</v>
      </c>
      <c r="B3096" t="str">
        <f>"1551765532711969"</f>
        <v>1551765532711969</v>
      </c>
      <c r="C3096" t="s">
        <v>40</v>
      </c>
      <c r="D3096">
        <v>4.1271690000000003</v>
      </c>
      <c r="E3096">
        <v>0.58446899999999902</v>
      </c>
      <c r="F3096" t="s">
        <v>70</v>
      </c>
      <c r="G3096">
        <v>-168.4152</v>
      </c>
      <c r="H3096">
        <v>1.9358679999999999</v>
      </c>
      <c r="I3096">
        <v>194.1831</v>
      </c>
      <c r="J3096">
        <v>-290.37220000000002</v>
      </c>
      <c r="K3096">
        <v>1.106738</v>
      </c>
      <c r="L3096">
        <v>216.0873</v>
      </c>
      <c r="M3096">
        <v>0.99932829999999995</v>
      </c>
      <c r="N3096">
        <v>-2.019491E-2</v>
      </c>
      <c r="O3096">
        <v>-3.0580110000000001E-2</v>
      </c>
      <c r="P3096">
        <v>0.99784110000000004</v>
      </c>
      <c r="Q3096">
        <v>-5.2331900000000001E-2</v>
      </c>
      <c r="R3096">
        <v>3.9678789999999999E-2</v>
      </c>
      <c r="S3096">
        <v>3.03009</v>
      </c>
      <c r="T3096">
        <v>2.055061E-2</v>
      </c>
      <c r="U3096">
        <v>-0.54316709999999901</v>
      </c>
      <c r="V3096">
        <v>-7.0410230000000004E-2</v>
      </c>
      <c r="W3096">
        <v>-3.1699110000000003E-2</v>
      </c>
      <c r="X3096">
        <v>0.99701430000000002</v>
      </c>
      <c r="Y3096">
        <v>0.1462734</v>
      </c>
      <c r="Z3096">
        <v>-1.8154919999999999E-3</v>
      </c>
      <c r="AA3096">
        <v>0.98924259999999997</v>
      </c>
      <c r="AB3096">
        <v>45</v>
      </c>
      <c r="AC3096">
        <v>121.95699999999999</v>
      </c>
      <c r="AD3096">
        <v>0.82912999999999903</v>
      </c>
      <c r="AE3096">
        <v>-21.904199999999999</v>
      </c>
      <c r="AF3096">
        <v>18.1629192286501</v>
      </c>
      <c r="AG3096">
        <v>0.82912999999999903</v>
      </c>
      <c r="AH3096">
        <v>122.564421309605</v>
      </c>
      <c r="AI3096">
        <v>89.616595414597597</v>
      </c>
      <c r="AJ3096">
        <v>81.570639896518301</v>
      </c>
      <c r="AK3096">
        <v>123.905675666701</v>
      </c>
      <c r="AL3096">
        <v>91.816529569106905</v>
      </c>
      <c r="AM3096">
        <v>94.039583341465502</v>
      </c>
      <c r="AN3096">
        <v>0.99999997423396703</v>
      </c>
    </row>
    <row r="3097" spans="1:40" x14ac:dyDescent="0.25">
      <c r="A3097" t="str">
        <f>"20190305135852730"</f>
        <v>20190305135852730</v>
      </c>
      <c r="B3097" t="str">
        <f>"1551765532721729"</f>
        <v>1551765532721729</v>
      </c>
      <c r="C3097" t="s">
        <v>40</v>
      </c>
      <c r="D3097">
        <v>4.1835009999999997</v>
      </c>
      <c r="E3097">
        <v>0.58444240000000003</v>
      </c>
      <c r="F3097" t="s">
        <v>70</v>
      </c>
      <c r="G3097">
        <v>-168.4152</v>
      </c>
      <c r="H3097">
        <v>1.8238380000000001</v>
      </c>
      <c r="I3097">
        <v>194.06379999999999</v>
      </c>
      <c r="J3097">
        <v>-290.10109999999997</v>
      </c>
      <c r="K3097">
        <v>1.106697</v>
      </c>
      <c r="L3097">
        <v>216.07769999999999</v>
      </c>
      <c r="M3097">
        <v>0.99927750000000004</v>
      </c>
      <c r="N3097">
        <v>-2.020897E-2</v>
      </c>
      <c r="O3097">
        <v>-3.2191369999999997E-2</v>
      </c>
      <c r="P3097">
        <v>0.99785979999999996</v>
      </c>
      <c r="Q3097">
        <v>-5.3133550000000002E-2</v>
      </c>
      <c r="R3097">
        <v>3.8116900000000002E-2</v>
      </c>
      <c r="S3097">
        <v>3.0292050000000001</v>
      </c>
      <c r="T3097">
        <v>1.7812370000000001E-2</v>
      </c>
      <c r="U3097">
        <v>-0.54702759999999995</v>
      </c>
      <c r="V3097">
        <v>-7.0464550000000001E-2</v>
      </c>
      <c r="W3097">
        <v>-3.2479929999999997E-2</v>
      </c>
      <c r="X3097">
        <v>0.99698540000000002</v>
      </c>
      <c r="Y3097">
        <v>0.1459491</v>
      </c>
      <c r="Z3097">
        <v>-1.8945800000000001E-3</v>
      </c>
      <c r="AA3097">
        <v>0.98929029999999996</v>
      </c>
      <c r="AB3097">
        <v>45</v>
      </c>
      <c r="AC3097">
        <v>121.68589999999899</v>
      </c>
      <c r="AD3097">
        <v>0.71714100000000003</v>
      </c>
      <c r="AE3097">
        <v>-22.0139</v>
      </c>
      <c r="AF3097">
        <v>18.083842300636299</v>
      </c>
      <c r="AG3097">
        <v>0.71714100000000003</v>
      </c>
      <c r="AH3097">
        <v>122.32749555649499</v>
      </c>
      <c r="AI3097">
        <v>89.667720321035105</v>
      </c>
      <c r="AJ3097">
        <v>81.5907915662943</v>
      </c>
      <c r="AK3097">
        <v>123.659030453471</v>
      </c>
      <c r="AL3097">
        <v>91.861290185322602</v>
      </c>
      <c r="AM3097">
        <v>94.042806263635697</v>
      </c>
      <c r="AN3097">
        <v>1.0000000432363301</v>
      </c>
    </row>
    <row r="3098" spans="1:40" x14ac:dyDescent="0.25">
      <c r="A3098" t="str">
        <f>"20190305135852747"</f>
        <v>20190305135852747</v>
      </c>
      <c r="B3098" t="str">
        <f>"1551765532742226"</f>
        <v>1551765532742226</v>
      </c>
      <c r="C3098" t="s">
        <v>40</v>
      </c>
      <c r="D3098">
        <v>4.1620569999999999</v>
      </c>
      <c r="E3098">
        <v>0.56411840000000002</v>
      </c>
      <c r="F3098" t="s">
        <v>70</v>
      </c>
      <c r="G3098">
        <v>-168.4152</v>
      </c>
      <c r="H3098">
        <v>1.7192419999999899</v>
      </c>
      <c r="I3098">
        <v>193.91249999999999</v>
      </c>
      <c r="J3098">
        <v>-289.77080000000001</v>
      </c>
      <c r="K3098">
        <v>1.106641</v>
      </c>
      <c r="L3098">
        <v>216.06549999999999</v>
      </c>
      <c r="M3098">
        <v>0.99921150000000003</v>
      </c>
      <c r="N3098">
        <v>-2.0224450000000001E-2</v>
      </c>
      <c r="O3098">
        <v>-3.4168329999999997E-2</v>
      </c>
      <c r="P3098">
        <v>0.99787760000000003</v>
      </c>
      <c r="Q3098">
        <v>-5.4104270000000003E-2</v>
      </c>
      <c r="R3098">
        <v>3.6240870000000001E-2</v>
      </c>
      <c r="S3098">
        <v>3.0282900000000001</v>
      </c>
      <c r="T3098">
        <v>1.524472E-2</v>
      </c>
      <c r="U3098">
        <v>-0.55160520000000002</v>
      </c>
      <c r="V3098">
        <v>-7.0571209999999995E-2</v>
      </c>
      <c r="W3098">
        <v>-3.3427789999999999E-2</v>
      </c>
      <c r="X3098">
        <v>0.99694649999999996</v>
      </c>
      <c r="Y3098">
        <v>0.14549119999999999</v>
      </c>
      <c r="Z3098">
        <v>-1.976682E-3</v>
      </c>
      <c r="AA3098">
        <v>0.98935759999999995</v>
      </c>
      <c r="AB3098">
        <v>45</v>
      </c>
      <c r="AC3098">
        <v>121.3556</v>
      </c>
      <c r="AD3098">
        <v>0.61260099999999895</v>
      </c>
      <c r="AE3098">
        <v>-22.152999999999899</v>
      </c>
      <c r="AF3098">
        <v>17.9922494894635</v>
      </c>
      <c r="AG3098">
        <v>0.61260099999999895</v>
      </c>
      <c r="AH3098">
        <v>122.038786811657</v>
      </c>
      <c r="AI3098">
        <v>89.715469005605897</v>
      </c>
      <c r="AJ3098">
        <v>81.613265637670693</v>
      </c>
      <c r="AK3098">
        <v>123.359482035786</v>
      </c>
      <c r="AL3098">
        <v>91.915628122603195</v>
      </c>
      <c r="AM3098">
        <v>94.049062855976402</v>
      </c>
      <c r="AN3098">
        <v>1.0000000183436899</v>
      </c>
    </row>
    <row r="3099" spans="1:40" x14ac:dyDescent="0.25">
      <c r="A3099" t="str">
        <f>"20190305135852761"</f>
        <v>20190305135852761</v>
      </c>
      <c r="B3099" t="str">
        <f>"1551765532751984"</f>
        <v>1551765532751984</v>
      </c>
      <c r="C3099" t="s">
        <v>40</v>
      </c>
      <c r="D3099">
        <v>4.1723160000000004</v>
      </c>
      <c r="E3099">
        <v>0.56016840000000001</v>
      </c>
      <c r="F3099" t="s">
        <v>58</v>
      </c>
      <c r="G3099">
        <v>-181.7107</v>
      </c>
      <c r="H3099" s="1">
        <v>5.15877399999999E-6</v>
      </c>
      <c r="I3099">
        <v>201.8484</v>
      </c>
      <c r="J3099">
        <v>-289.47199999999998</v>
      </c>
      <c r="K3099">
        <v>1.1066049999999901</v>
      </c>
      <c r="L3099">
        <v>216.0539</v>
      </c>
      <c r="M3099">
        <v>0.99914809999999998</v>
      </c>
      <c r="N3099">
        <v>-2.0236870000000001E-2</v>
      </c>
      <c r="O3099">
        <v>-3.5970149999999999E-2</v>
      </c>
      <c r="P3099">
        <v>0.99789320000000004</v>
      </c>
      <c r="Q3099">
        <v>-5.4930109999999997E-2</v>
      </c>
      <c r="R3099">
        <v>3.4526859999999999E-2</v>
      </c>
      <c r="S3099">
        <v>3.0191349999999999</v>
      </c>
      <c r="T3099">
        <v>-3.091872E-2</v>
      </c>
      <c r="U3099">
        <v>-0.39721679999999998</v>
      </c>
      <c r="V3099">
        <v>-7.0663879999999998E-2</v>
      </c>
      <c r="W3099">
        <v>-3.423557E-2</v>
      </c>
      <c r="X3099">
        <v>0.99691249999999998</v>
      </c>
      <c r="Y3099">
        <v>9.4674800000000003E-2</v>
      </c>
      <c r="Z3099">
        <v>-1.80387E-3</v>
      </c>
      <c r="AA3099">
        <v>0.99550660000000002</v>
      </c>
      <c r="AB3099">
        <v>45</v>
      </c>
      <c r="AC3099">
        <v>107.761299999999</v>
      </c>
      <c r="AD3099">
        <v>-1.1065998412260001</v>
      </c>
      <c r="AE3099">
        <v>-14.205500000000001</v>
      </c>
      <c r="AF3099">
        <v>10.318250377926899</v>
      </c>
      <c r="AG3099">
        <v>-1.1065998412260001</v>
      </c>
      <c r="AH3099">
        <v>108.191399710837</v>
      </c>
      <c r="AI3099">
        <v>90.583363636228896</v>
      </c>
      <c r="AJ3099">
        <v>84.552159208191</v>
      </c>
      <c r="AK3099">
        <v>108.687947010974</v>
      </c>
      <c r="AL3099">
        <v>91.961937062543697</v>
      </c>
      <c r="AM3099">
        <v>94.0544999437233</v>
      </c>
      <c r="AN3099">
        <v>0.99999999542306395</v>
      </c>
    </row>
    <row r="3100" spans="1:40" x14ac:dyDescent="0.25">
      <c r="A3100" t="str">
        <f>"20190305135852777"</f>
        <v>20190305135852777</v>
      </c>
      <c r="B3100" t="str">
        <f>"1551765532772481"</f>
        <v>1551765532772481</v>
      </c>
      <c r="C3100" t="s">
        <v>40</v>
      </c>
      <c r="D3100">
        <v>4.1744059999999896</v>
      </c>
      <c r="E3100">
        <v>0.55708669999999905</v>
      </c>
      <c r="F3100" t="s">
        <v>58</v>
      </c>
      <c r="G3100">
        <v>-208.99469999999999</v>
      </c>
      <c r="H3100">
        <v>8.0000680000000005E-2</v>
      </c>
      <c r="I3100">
        <v>206.15610000000001</v>
      </c>
      <c r="J3100">
        <v>-289.16199999999998</v>
      </c>
      <c r="K3100">
        <v>1.1065739999999999</v>
      </c>
      <c r="L3100">
        <v>216.04130000000001</v>
      </c>
      <c r="M3100">
        <v>0.99907840000000003</v>
      </c>
      <c r="N3100">
        <v>-2.024807E-2</v>
      </c>
      <c r="O3100">
        <v>-3.7847829999999999E-2</v>
      </c>
      <c r="P3100">
        <v>0.99793880000000001</v>
      </c>
      <c r="Q3100">
        <v>-5.5268820000000003E-2</v>
      </c>
      <c r="R3100">
        <v>3.2613280000000001E-2</v>
      </c>
      <c r="S3100">
        <v>3.0170590000000002</v>
      </c>
      <c r="T3100">
        <v>-3.8486960000000001E-2</v>
      </c>
      <c r="U3100">
        <v>-0.37106319999999998</v>
      </c>
      <c r="V3100">
        <v>-7.0630289999999998E-2</v>
      </c>
      <c r="W3100">
        <v>-3.455867E-2</v>
      </c>
      <c r="X3100">
        <v>0.99690369999999995</v>
      </c>
      <c r="Y3100">
        <v>8.4391999999999995E-2</v>
      </c>
      <c r="Z3100">
        <v>-1.6775430000000001E-3</v>
      </c>
      <c r="AA3100">
        <v>0.99643119999999996</v>
      </c>
      <c r="AB3100">
        <v>45</v>
      </c>
      <c r="AC3100">
        <v>80.167299999999997</v>
      </c>
      <c r="AD3100">
        <v>-1.02657332</v>
      </c>
      <c r="AE3100">
        <v>-9.8851999999999904</v>
      </c>
      <c r="AF3100">
        <v>6.8422289459668404</v>
      </c>
      <c r="AG3100">
        <v>-1.02657332</v>
      </c>
      <c r="AH3100">
        <v>80.4710499270995</v>
      </c>
      <c r="AI3100">
        <v>90.728258065703201</v>
      </c>
      <c r="AJ3100">
        <v>85.139989189456301</v>
      </c>
      <c r="AK3100">
        <v>80.767938107271902</v>
      </c>
      <c r="AL3100">
        <v>91.980460353934106</v>
      </c>
      <c r="AM3100">
        <v>94.052614718861406</v>
      </c>
      <c r="AN3100">
        <v>0.99999996330566998</v>
      </c>
    </row>
    <row r="3101" spans="1:40" x14ac:dyDescent="0.25">
      <c r="A3101" t="str">
        <f>"20190305135852791"</f>
        <v>20190305135852791</v>
      </c>
      <c r="B3101" t="str">
        <f>"1551765532782240"</f>
        <v>1551765532782240</v>
      </c>
      <c r="C3101" t="s">
        <v>40</v>
      </c>
      <c r="D3101">
        <v>4.171411</v>
      </c>
      <c r="E3101">
        <v>0.55645880000000003</v>
      </c>
      <c r="F3101" t="s">
        <v>58</v>
      </c>
      <c r="G3101">
        <v>-203.1465</v>
      </c>
      <c r="H3101">
        <v>8.0001359999999994E-2</v>
      </c>
      <c r="I3101">
        <v>206.00299999999999</v>
      </c>
      <c r="J3101">
        <v>-288.8784</v>
      </c>
      <c r="K3101">
        <v>1.106541</v>
      </c>
      <c r="L3101">
        <v>216.0291</v>
      </c>
      <c r="M3101">
        <v>0.99901150000000005</v>
      </c>
      <c r="N3101">
        <v>-2.02566E-2</v>
      </c>
      <c r="O3101">
        <v>-3.9570800000000003E-2</v>
      </c>
      <c r="P3101">
        <v>0.99792809999999998</v>
      </c>
      <c r="Q3101">
        <v>-5.641289E-2</v>
      </c>
      <c r="R3101">
        <v>3.0934900000000001E-2</v>
      </c>
      <c r="S3101">
        <v>3.015717</v>
      </c>
      <c r="T3101">
        <v>-3.5991790000000003E-2</v>
      </c>
      <c r="U3101">
        <v>-0.35194399999999998</v>
      </c>
      <c r="V3101">
        <v>-7.0680720000000002E-2</v>
      </c>
      <c r="W3101">
        <v>-3.569162E-2</v>
      </c>
      <c r="X3101">
        <v>0.99686030000000003</v>
      </c>
      <c r="Y3101">
        <v>7.6500349999999995E-2</v>
      </c>
      <c r="Z3101">
        <v>-1.561829E-3</v>
      </c>
      <c r="AA3101">
        <v>0.99706830000000002</v>
      </c>
      <c r="AB3101">
        <v>45</v>
      </c>
      <c r="AC3101">
        <v>85.731899999999996</v>
      </c>
      <c r="AD3101">
        <v>-1.02653964</v>
      </c>
      <c r="AE3101">
        <v>-10.0261</v>
      </c>
      <c r="AF3101">
        <v>6.6241312824574701</v>
      </c>
      <c r="AG3101">
        <v>-1.02653964</v>
      </c>
      <c r="AH3101">
        <v>86.049376077689601</v>
      </c>
      <c r="AI3101">
        <v>90.681470612611093</v>
      </c>
      <c r="AJ3101">
        <v>85.598019089292194</v>
      </c>
      <c r="AK3101">
        <v>86.3100690663574</v>
      </c>
      <c r="AL3101">
        <v>92.045413503153497</v>
      </c>
      <c r="AM3101">
        <v>94.055674606512099</v>
      </c>
      <c r="AN3101">
        <v>1.00000005681701</v>
      </c>
    </row>
    <row r="3102" spans="1:40" x14ac:dyDescent="0.25">
      <c r="A3102" t="str">
        <f>"20190305135852808"</f>
        <v>20190305135852808</v>
      </c>
      <c r="B3102" t="str">
        <f>"1551765532801763"</f>
        <v>1551765532801763</v>
      </c>
      <c r="C3102" t="s">
        <v>40</v>
      </c>
      <c r="D3102">
        <v>4.1689439999999998</v>
      </c>
      <c r="E3102">
        <v>0.55607459999999997</v>
      </c>
      <c r="F3102" t="s">
        <v>59</v>
      </c>
      <c r="G3102">
        <v>-211.48480000000001</v>
      </c>
      <c r="H3102">
        <v>8.0001359999999994E-2</v>
      </c>
      <c r="I3102">
        <v>206.9906</v>
      </c>
      <c r="J3102">
        <v>-288.5385</v>
      </c>
      <c r="K3102">
        <v>1.106525</v>
      </c>
      <c r="L3102">
        <v>216.01400000000001</v>
      </c>
      <c r="M3102">
        <v>0.99892780000000003</v>
      </c>
      <c r="N3102">
        <v>-2.026559E-2</v>
      </c>
      <c r="O3102">
        <v>-4.1628709999999999E-2</v>
      </c>
      <c r="P3102">
        <v>0.99795100000000003</v>
      </c>
      <c r="Q3102">
        <v>-5.703047E-2</v>
      </c>
      <c r="R3102">
        <v>2.9013819999999999E-2</v>
      </c>
      <c r="S3102">
        <v>3.0148929999999998</v>
      </c>
      <c r="T3102">
        <v>-3.9989230000000001E-2</v>
      </c>
      <c r="U3102">
        <v>-0.35209659999999998</v>
      </c>
      <c r="V3102">
        <v>-7.0819869999999993E-2</v>
      </c>
      <c r="W3102">
        <v>-3.6297259999999998E-2</v>
      </c>
      <c r="X3102">
        <v>0.99682850000000001</v>
      </c>
      <c r="Y3102">
        <v>7.4525149999999998E-2</v>
      </c>
      <c r="Z3102">
        <v>-1.5421810000000001E-3</v>
      </c>
      <c r="AA3102">
        <v>0.99721800000000005</v>
      </c>
      <c r="AB3102">
        <v>44</v>
      </c>
      <c r="AC3102">
        <v>77.053699999999907</v>
      </c>
      <c r="AD3102">
        <v>-1.02652364</v>
      </c>
      <c r="AE3102">
        <v>-9.0234000000000094</v>
      </c>
      <c r="AF3102">
        <v>5.8062539083695697</v>
      </c>
      <c r="AG3102">
        <v>-1.02652364</v>
      </c>
      <c r="AH3102">
        <v>77.3490458801936</v>
      </c>
      <c r="AI3102">
        <v>90.758212809773596</v>
      </c>
      <c r="AJ3102">
        <v>85.707108101127801</v>
      </c>
      <c r="AK3102">
        <v>77.573457018546094</v>
      </c>
      <c r="AL3102">
        <v>92.080136733151704</v>
      </c>
      <c r="AM3102">
        <v>94.063761540728294</v>
      </c>
      <c r="AN3102">
        <v>1.00000000174128</v>
      </c>
    </row>
    <row r="3103" spans="1:40" x14ac:dyDescent="0.25">
      <c r="A3103" t="str">
        <f>"20190305135852826"</f>
        <v>20190305135852826</v>
      </c>
      <c r="B3103" t="str">
        <f>"1551765532822259"</f>
        <v>1551765532822259</v>
      </c>
      <c r="C3103" t="s">
        <v>40</v>
      </c>
      <c r="D3103">
        <v>4.1800110000000004</v>
      </c>
      <c r="E3103">
        <v>0.55607689999999999</v>
      </c>
      <c r="F3103" t="s">
        <v>59</v>
      </c>
      <c r="G3103">
        <v>-215.4417</v>
      </c>
      <c r="H3103">
        <v>8.0001639999999999E-2</v>
      </c>
      <c r="I3103">
        <v>207.40880000000001</v>
      </c>
      <c r="J3103">
        <v>-288.2022</v>
      </c>
      <c r="K3103">
        <v>1.1065160000000001</v>
      </c>
      <c r="L3103">
        <v>215.9983</v>
      </c>
      <c r="M3103">
        <v>0.99884110000000004</v>
      </c>
      <c r="N3103">
        <v>-2.0272910000000002E-2</v>
      </c>
      <c r="O3103">
        <v>-4.3653450000000003E-2</v>
      </c>
      <c r="P3103">
        <v>0.99791249999999998</v>
      </c>
      <c r="Q3103">
        <v>-5.8424469999999999E-2</v>
      </c>
      <c r="R3103">
        <v>2.75223E-2</v>
      </c>
      <c r="S3103">
        <v>3.0140989999999999</v>
      </c>
      <c r="T3103">
        <v>-4.2327999999999998E-2</v>
      </c>
      <c r="U3103">
        <v>-0.35482789999999997</v>
      </c>
      <c r="V3103">
        <v>-7.1357589999999999E-2</v>
      </c>
      <c r="W3103">
        <v>-3.7681100000000002E-2</v>
      </c>
      <c r="X3103">
        <v>0.99673880000000004</v>
      </c>
      <c r="Y3103">
        <v>7.3424089999999997E-2</v>
      </c>
      <c r="Z3103">
        <v>-1.533211E-3</v>
      </c>
      <c r="AA3103">
        <v>0.99729959999999995</v>
      </c>
      <c r="AB3103">
        <v>44</v>
      </c>
      <c r="AC3103">
        <v>72.760499999999993</v>
      </c>
      <c r="AD3103">
        <v>-1.02651436</v>
      </c>
      <c r="AE3103">
        <v>-8.5894999999999797</v>
      </c>
      <c r="AF3103">
        <v>5.4033483529659696</v>
      </c>
      <c r="AG3103">
        <v>-1.02651436</v>
      </c>
      <c r="AH3103">
        <v>73.051809382145194</v>
      </c>
      <c r="AI3103">
        <v>90.802866783746396</v>
      </c>
      <c r="AJ3103">
        <v>85.769765035663895</v>
      </c>
      <c r="AK3103">
        <v>73.258560995695603</v>
      </c>
      <c r="AL3103">
        <v>92.159479224530102</v>
      </c>
      <c r="AM3103">
        <v>94.094879481997907</v>
      </c>
      <c r="AN3103">
        <v>1.0000000031866201</v>
      </c>
    </row>
    <row r="3104" spans="1:40" x14ac:dyDescent="0.25">
      <c r="A3104" t="str">
        <f>"20190305135852847"</f>
        <v>20190305135852847</v>
      </c>
      <c r="B3104" t="str">
        <f>"1551765532841777"</f>
        <v>1551765532841777</v>
      </c>
      <c r="C3104" t="s">
        <v>40</v>
      </c>
      <c r="D3104">
        <v>4.1088879999999897</v>
      </c>
      <c r="E3104">
        <v>0.55608000000000002</v>
      </c>
      <c r="F3104" t="s">
        <v>59</v>
      </c>
      <c r="G3104">
        <v>-218.5343</v>
      </c>
      <c r="H3104">
        <v>8.0000740000000001E-2</v>
      </c>
      <c r="I3104">
        <v>207.69659999999999</v>
      </c>
      <c r="J3104">
        <v>-287.76960000000003</v>
      </c>
      <c r="K3104">
        <v>1.1065259999999999</v>
      </c>
      <c r="L3104">
        <v>215.97710000000001</v>
      </c>
      <c r="M3104">
        <v>0.99872510000000003</v>
      </c>
      <c r="N3104">
        <v>-2.027603E-2</v>
      </c>
      <c r="O3104">
        <v>-4.6228320000000003E-2</v>
      </c>
      <c r="P3104">
        <v>0.99785239999999997</v>
      </c>
      <c r="Q3104">
        <v>-6.009304E-2</v>
      </c>
      <c r="R3104">
        <v>2.606172E-2</v>
      </c>
      <c r="S3104">
        <v>3.0135800000000001</v>
      </c>
      <c r="T3104">
        <v>-4.4403310000000001E-2</v>
      </c>
      <c r="U3104">
        <v>-0.35910029999999998</v>
      </c>
      <c r="V3104">
        <v>-7.24741E-2</v>
      </c>
      <c r="W3104">
        <v>-3.9343099999999999E-2</v>
      </c>
      <c r="X3104">
        <v>0.99659399999999998</v>
      </c>
      <c r="Y3104">
        <v>7.2266239999999995E-2</v>
      </c>
      <c r="Z3104">
        <v>-1.522855E-3</v>
      </c>
      <c r="AA3104">
        <v>0.99738419999999905</v>
      </c>
      <c r="AB3104">
        <v>44</v>
      </c>
      <c r="AC3104">
        <v>69.235299999999995</v>
      </c>
      <c r="AD3104">
        <v>-1.0265252600000001</v>
      </c>
      <c r="AE3104">
        <v>-8.2805000000000106</v>
      </c>
      <c r="AF3104">
        <v>5.0692552965205699</v>
      </c>
      <c r="AG3104">
        <v>-1.0265252600000001</v>
      </c>
      <c r="AH3104">
        <v>69.529053451039502</v>
      </c>
      <c r="AI3104">
        <v>90.843613169468796</v>
      </c>
      <c r="AJ3104">
        <v>85.830031946726905</v>
      </c>
      <c r="AK3104">
        <v>69.721161616601194</v>
      </c>
      <c r="AL3104">
        <v>92.254775552688699</v>
      </c>
      <c r="AM3104">
        <v>94.159329833098397</v>
      </c>
      <c r="AN3104">
        <v>0.99999998776221</v>
      </c>
    </row>
    <row r="3105" spans="1:40" x14ac:dyDescent="0.25">
      <c r="A3105" t="str">
        <f>"20190305135852863"</f>
        <v>20190305135852863</v>
      </c>
      <c r="B3105" t="str">
        <f>"1551765532851536"</f>
        <v>1551765532851536</v>
      </c>
      <c r="C3105" t="s">
        <v>40</v>
      </c>
      <c r="D3105">
        <v>4.1104969999999996</v>
      </c>
      <c r="E3105">
        <v>0.55613570000000001</v>
      </c>
      <c r="F3105" t="s">
        <v>59</v>
      </c>
      <c r="G3105">
        <v>-224.0042</v>
      </c>
      <c r="H3105">
        <v>8.0000559999999998E-2</v>
      </c>
      <c r="I3105">
        <v>208.2818</v>
      </c>
      <c r="J3105">
        <v>-287.45920000000001</v>
      </c>
      <c r="K3105">
        <v>1.1065400000000001</v>
      </c>
      <c r="L3105">
        <v>215.96129999999999</v>
      </c>
      <c r="M3105">
        <v>0.99863939999999995</v>
      </c>
      <c r="N3105">
        <v>-2.02694E-2</v>
      </c>
      <c r="O3105">
        <v>-4.8049420000000002E-2</v>
      </c>
      <c r="P3105">
        <v>0.99785109999999999</v>
      </c>
      <c r="Q3105">
        <v>-6.0641069999999998E-2</v>
      </c>
      <c r="R3105">
        <v>2.482036E-2</v>
      </c>
      <c r="S3105">
        <v>3.0130309999999998</v>
      </c>
      <c r="T3105">
        <v>-4.8505189999999997E-2</v>
      </c>
      <c r="U3105">
        <v>-0.36361690000000002</v>
      </c>
      <c r="V3105">
        <v>-7.3052240000000004E-2</v>
      </c>
      <c r="W3105">
        <v>-3.9898030000000001E-2</v>
      </c>
      <c r="X3105">
        <v>0.99652980000000002</v>
      </c>
      <c r="Y3105">
        <v>7.1940069999999995E-2</v>
      </c>
      <c r="Z3105">
        <v>-1.510459E-3</v>
      </c>
      <c r="AA3105">
        <v>0.99740779999999996</v>
      </c>
      <c r="AB3105">
        <v>44</v>
      </c>
      <c r="AC3105">
        <v>63.454999999999998</v>
      </c>
      <c r="AD3105">
        <v>-1.0265394400000001</v>
      </c>
      <c r="AE3105">
        <v>-7.6794999999999902</v>
      </c>
      <c r="AF3105">
        <v>4.6198325229718797</v>
      </c>
      <c r="AG3105">
        <v>-1.0265394400000001</v>
      </c>
      <c r="AH3105">
        <v>63.734308981882499</v>
      </c>
      <c r="AI3105">
        <v>90.9203429499333</v>
      </c>
      <c r="AJ3105">
        <v>85.854120387583706</v>
      </c>
      <c r="AK3105">
        <v>63.909770592298798</v>
      </c>
      <c r="AL3105">
        <v>92.286595514853502</v>
      </c>
      <c r="AM3105">
        <v>94.192660904846605</v>
      </c>
      <c r="AN3105">
        <v>1.0000000624274601</v>
      </c>
    </row>
    <row r="3106" spans="1:40" x14ac:dyDescent="0.25">
      <c r="A3106" t="str">
        <f>"20190305135852875"</f>
        <v>20190305135852875</v>
      </c>
      <c r="B3106" t="str">
        <f>"1551765532872033"</f>
        <v>1551765532872033</v>
      </c>
      <c r="C3106" t="s">
        <v>40</v>
      </c>
      <c r="D3106">
        <v>4.0784789999999997</v>
      </c>
      <c r="E3106">
        <v>0.55612930000000005</v>
      </c>
      <c r="F3106" t="s">
        <v>59</v>
      </c>
      <c r="G3106">
        <v>-224.1044</v>
      </c>
      <c r="H3106">
        <v>8.000053E-2</v>
      </c>
      <c r="I3106">
        <v>208.22919999999999</v>
      </c>
      <c r="J3106">
        <v>-287.20119999999997</v>
      </c>
      <c r="K3106">
        <v>1.1065579999999999</v>
      </c>
      <c r="L3106">
        <v>215.9477</v>
      </c>
      <c r="M3106">
        <v>0.99856670000000003</v>
      </c>
      <c r="N3106">
        <v>-2.0256199999999999E-2</v>
      </c>
      <c r="O3106">
        <v>-4.9540720000000003E-2</v>
      </c>
      <c r="P3106">
        <v>0.99783949999999999</v>
      </c>
      <c r="Q3106">
        <v>-6.1164080000000003E-2</v>
      </c>
      <c r="R3106">
        <v>2.3988260000000001E-2</v>
      </c>
      <c r="S3106">
        <v>3.0126339999999998</v>
      </c>
      <c r="T3106">
        <v>-4.8813820000000001E-2</v>
      </c>
      <c r="U3106">
        <v>-0.3676758</v>
      </c>
      <c r="V3106">
        <v>-7.3708770000000007E-2</v>
      </c>
      <c r="W3106">
        <v>-4.0434770000000002E-2</v>
      </c>
      <c r="X3106">
        <v>0.99645980000000001</v>
      </c>
      <c r="Y3106">
        <v>7.1790320000000005E-2</v>
      </c>
      <c r="Z3106">
        <v>-1.5115319999999999E-3</v>
      </c>
      <c r="AA3106">
        <v>0.99741860000000004</v>
      </c>
      <c r="AB3106">
        <v>44</v>
      </c>
      <c r="AC3106">
        <v>63.096799999999902</v>
      </c>
      <c r="AD3106">
        <v>-1.02655747</v>
      </c>
      <c r="AE3106">
        <v>-7.7184999999999997</v>
      </c>
      <c r="AF3106">
        <v>4.58132149545707</v>
      </c>
      <c r="AG3106">
        <v>-1.02655747</v>
      </c>
      <c r="AH3106">
        <v>63.385219803807601</v>
      </c>
      <c r="AI3106">
        <v>90.925440920993097</v>
      </c>
      <c r="AJ3106">
        <v>85.865996383492103</v>
      </c>
      <c r="AK3106">
        <v>63.558857891414</v>
      </c>
      <c r="AL3106">
        <v>92.317373332084003</v>
      </c>
      <c r="AM3106">
        <v>94.230500807598304</v>
      </c>
      <c r="AN3106">
        <v>1.0000000432079501</v>
      </c>
    </row>
    <row r="3107" spans="1:40" x14ac:dyDescent="0.25">
      <c r="A3107" t="str">
        <f>"20190305135852891"</f>
        <v>20190305135852891</v>
      </c>
      <c r="B3107" t="str">
        <f>"1551765532881793"</f>
        <v>1551765532881793</v>
      </c>
      <c r="C3107" t="s">
        <v>40</v>
      </c>
      <c r="D3107">
        <v>4.0766280000000004</v>
      </c>
      <c r="E3107">
        <v>0.55619819999999998</v>
      </c>
      <c r="F3107" t="s">
        <v>59</v>
      </c>
      <c r="G3107">
        <v>-221.92349999999999</v>
      </c>
      <c r="H3107">
        <v>8.000119E-2</v>
      </c>
      <c r="I3107">
        <v>207.93190000000001</v>
      </c>
      <c r="J3107">
        <v>-286.9051</v>
      </c>
      <c r="K3107">
        <v>1.106573</v>
      </c>
      <c r="L3107">
        <v>215.9316</v>
      </c>
      <c r="M3107">
        <v>0.99848309999999996</v>
      </c>
      <c r="N3107">
        <v>-2.022842E-2</v>
      </c>
      <c r="O3107">
        <v>-5.1209339999999999E-2</v>
      </c>
      <c r="P3107">
        <v>0.99779980000000001</v>
      </c>
      <c r="Q3107">
        <v>-6.2030490000000001E-2</v>
      </c>
      <c r="R3107">
        <v>2.340923E-2</v>
      </c>
      <c r="S3107">
        <v>3.0124819999999999</v>
      </c>
      <c r="T3107">
        <v>-4.737425E-2</v>
      </c>
      <c r="U3107">
        <v>-0.36991879999999999</v>
      </c>
      <c r="V3107">
        <v>-7.4794540000000007E-2</v>
      </c>
      <c r="W3107">
        <v>-4.1330319999999997E-2</v>
      </c>
      <c r="X3107">
        <v>0.99634210000000001</v>
      </c>
      <c r="Y3107">
        <v>7.0862599999999998E-2</v>
      </c>
      <c r="Z3107">
        <v>-1.5065720000000001E-3</v>
      </c>
      <c r="AA3107">
        <v>0.99748490000000001</v>
      </c>
      <c r="AB3107">
        <v>44</v>
      </c>
      <c r="AC3107">
        <v>64.9816</v>
      </c>
      <c r="AD3107">
        <v>-1.0265718100000001</v>
      </c>
      <c r="AE3107">
        <v>-7.99969999999999</v>
      </c>
      <c r="AF3107">
        <v>4.6597083115061597</v>
      </c>
      <c r="AG3107">
        <v>-1.0265718100000001</v>
      </c>
      <c r="AH3107">
        <v>65.2899972028099</v>
      </c>
      <c r="AI3107">
        <v>90.898517335979705</v>
      </c>
      <c r="AJ3107">
        <v>85.917755961551904</v>
      </c>
      <c r="AK3107">
        <v>65.464115864894495</v>
      </c>
      <c r="AL3107">
        <v>92.368727604940304</v>
      </c>
      <c r="AM3107">
        <v>94.293092317657994</v>
      </c>
      <c r="AN3107">
        <v>0.99999999939876205</v>
      </c>
    </row>
    <row r="3108" spans="1:40" x14ac:dyDescent="0.25">
      <c r="A3108" t="str">
        <f>"20190305135852909"</f>
        <v>20190305135852909</v>
      </c>
      <c r="B3108" t="str">
        <f>"1551765532902289"</f>
        <v>1551765532902289</v>
      </c>
      <c r="C3108" t="s">
        <v>40</v>
      </c>
      <c r="D3108">
        <v>4.083742</v>
      </c>
      <c r="E3108">
        <v>0.55632250000000005</v>
      </c>
      <c r="F3108" t="s">
        <v>59</v>
      </c>
      <c r="G3108">
        <v>-225.2731</v>
      </c>
      <c r="H3108">
        <v>8.0001660000000002E-2</v>
      </c>
      <c r="I3108">
        <v>208.31319999999999</v>
      </c>
      <c r="J3108">
        <v>-286.56200000000001</v>
      </c>
      <c r="K3108">
        <v>1.1066240000000001</v>
      </c>
      <c r="L3108">
        <v>215.91239999999999</v>
      </c>
      <c r="M3108">
        <v>0.99838629999999995</v>
      </c>
      <c r="N3108">
        <v>-2.0183980000000001E-2</v>
      </c>
      <c r="O3108">
        <v>-5.3079199999999903E-2</v>
      </c>
      <c r="P3108">
        <v>0.99782570000000004</v>
      </c>
      <c r="Q3108">
        <v>-6.2140199999999902E-2</v>
      </c>
      <c r="R3108">
        <v>2.196128E-2</v>
      </c>
      <c r="S3108">
        <v>3.012238</v>
      </c>
      <c r="T3108">
        <v>-5.0173280000000001E-2</v>
      </c>
      <c r="U3108">
        <v>-0.37234499999999998</v>
      </c>
      <c r="V3108">
        <v>-7.5208300000000006E-2</v>
      </c>
      <c r="W3108">
        <v>-4.149357E-2</v>
      </c>
      <c r="X3108">
        <v>0.99630419999999997</v>
      </c>
      <c r="Y3108">
        <v>6.9794140000000005E-2</v>
      </c>
      <c r="Z3108">
        <v>-1.4752299999999999E-3</v>
      </c>
      <c r="AA3108">
        <v>0.99756029999999996</v>
      </c>
      <c r="AB3108">
        <v>44</v>
      </c>
      <c r="AC3108">
        <v>61.288899999999998</v>
      </c>
      <c r="AD3108">
        <v>-1.0266223400000001</v>
      </c>
      <c r="AE3108">
        <v>-7.59919999999999</v>
      </c>
      <c r="AF3108">
        <v>4.3334569622548296</v>
      </c>
      <c r="AG3108">
        <v>-1.0266223400000001</v>
      </c>
      <c r="AH3108">
        <v>61.588888779967697</v>
      </c>
      <c r="AI3108">
        <v>90.952617556913395</v>
      </c>
      <c r="AJ3108">
        <v>85.975243584940301</v>
      </c>
      <c r="AK3108">
        <v>61.749688451229702</v>
      </c>
      <c r="AL3108">
        <v>92.378089094522096</v>
      </c>
      <c r="AM3108">
        <v>94.316915575517001</v>
      </c>
      <c r="AN3108">
        <v>1.0000000318389299</v>
      </c>
    </row>
    <row r="3109" spans="1:40" x14ac:dyDescent="0.25">
      <c r="A3109" t="str">
        <f>"20190305135852925"</f>
        <v>20190305135852925</v>
      </c>
      <c r="B3109" t="str">
        <f>"1551765532921809"</f>
        <v>1551765532921809</v>
      </c>
      <c r="C3109" t="s">
        <v>40</v>
      </c>
      <c r="D3109">
        <v>4.0700539999999998</v>
      </c>
      <c r="E3109">
        <v>0.55644799999999905</v>
      </c>
      <c r="F3109" t="s">
        <v>59</v>
      </c>
      <c r="G3109">
        <v>-222.56139999999999</v>
      </c>
      <c r="H3109">
        <v>8.0001000000000003E-2</v>
      </c>
      <c r="I3109">
        <v>207.8853</v>
      </c>
      <c r="J3109">
        <v>-286.24869999999999</v>
      </c>
      <c r="K3109">
        <v>1.1066849999999999</v>
      </c>
      <c r="L3109">
        <v>215.89439999999999</v>
      </c>
      <c r="M3109">
        <v>0.99829939999999995</v>
      </c>
      <c r="N3109">
        <v>-2.0133999999999999E-2</v>
      </c>
      <c r="O3109">
        <v>-5.4708560000000003E-2</v>
      </c>
      <c r="P3109">
        <v>0.99780029999999997</v>
      </c>
      <c r="Q3109">
        <v>-6.2833509999999995E-2</v>
      </c>
      <c r="R3109">
        <v>2.11322E-2</v>
      </c>
      <c r="S3109">
        <v>3.0118100000000001</v>
      </c>
      <c r="T3109">
        <v>-4.8311949999999999E-2</v>
      </c>
      <c r="U3109">
        <v>-0.37774659999999999</v>
      </c>
      <c r="V3109">
        <v>-7.6001139999999995E-2</v>
      </c>
      <c r="W3109">
        <v>-4.2247380000000001E-2</v>
      </c>
      <c r="X3109">
        <v>0.99621230000000005</v>
      </c>
      <c r="Y3109">
        <v>6.9946380000000002E-2</v>
      </c>
      <c r="Z3109">
        <v>-1.4915200000000001E-3</v>
      </c>
      <c r="AA3109">
        <v>0.99754969999999998</v>
      </c>
      <c r="AB3109">
        <v>44</v>
      </c>
      <c r="AC3109">
        <v>63.687299999999901</v>
      </c>
      <c r="AD3109">
        <v>-1.0266839999999999</v>
      </c>
      <c r="AE3109">
        <v>-8.0090999999999894</v>
      </c>
      <c r="AF3109">
        <v>4.5109996357630902</v>
      </c>
      <c r="AG3109">
        <v>-1.0266839999999999</v>
      </c>
      <c r="AH3109">
        <v>64.013759419659493</v>
      </c>
      <c r="AI3109">
        <v>90.916586333730507</v>
      </c>
      <c r="AJ3109">
        <v>85.969074754096397</v>
      </c>
      <c r="AK3109">
        <v>64.180718232096496</v>
      </c>
      <c r="AL3109">
        <v>92.421317258980395</v>
      </c>
      <c r="AM3109">
        <v>94.362650272446302</v>
      </c>
      <c r="AN3109">
        <v>0.99999998053472605</v>
      </c>
    </row>
    <row r="3110" spans="1:40" x14ac:dyDescent="0.25">
      <c r="A3110" t="str">
        <f>"20190305135852942"</f>
        <v>20190305135852942</v>
      </c>
      <c r="B3110" t="str">
        <f>"1551765532931570"</f>
        <v>1551765532931570</v>
      </c>
      <c r="C3110" t="s">
        <v>40</v>
      </c>
      <c r="D3110">
        <v>4.0465169999999997</v>
      </c>
      <c r="E3110">
        <v>0.55649999999999999</v>
      </c>
      <c r="F3110" t="s">
        <v>59</v>
      </c>
      <c r="G3110">
        <v>-220.2473</v>
      </c>
      <c r="H3110">
        <v>8.0001699999999995E-2</v>
      </c>
      <c r="I3110">
        <v>207.5376</v>
      </c>
      <c r="J3110">
        <v>-285.91480000000001</v>
      </c>
      <c r="K3110">
        <v>1.106773</v>
      </c>
      <c r="L3110">
        <v>215.87469999999999</v>
      </c>
      <c r="M3110">
        <v>0.99820940000000002</v>
      </c>
      <c r="N3110">
        <v>-2.0073379999999998E-2</v>
      </c>
      <c r="O3110">
        <v>-5.63501E-2</v>
      </c>
      <c r="P3110">
        <v>0.99779229999999997</v>
      </c>
      <c r="Q3110">
        <v>-6.3473749999999995E-2</v>
      </c>
      <c r="R3110">
        <v>1.9538050000000001E-2</v>
      </c>
      <c r="S3110">
        <v>3.011749</v>
      </c>
      <c r="T3110">
        <v>-4.6849130000000003E-2</v>
      </c>
      <c r="U3110">
        <v>-0.38133240000000002</v>
      </c>
      <c r="V3110">
        <v>-7.6039179999999998E-2</v>
      </c>
      <c r="W3110">
        <v>-4.2968199999999998E-2</v>
      </c>
      <c r="X3110">
        <v>0.99617860000000003</v>
      </c>
      <c r="Y3110">
        <v>6.9478799999999993E-2</v>
      </c>
      <c r="Z3110">
        <v>-1.4948229999999999E-3</v>
      </c>
      <c r="AA3110">
        <v>0.99758230000000003</v>
      </c>
      <c r="AB3110">
        <v>44</v>
      </c>
      <c r="AC3110">
        <v>65.667500000000004</v>
      </c>
      <c r="AD3110">
        <v>-1.0267713000000001</v>
      </c>
      <c r="AE3110">
        <v>-8.3370999999999906</v>
      </c>
      <c r="AF3110">
        <v>4.6216202070544004</v>
      </c>
      <c r="AG3110">
        <v>-1.0267713000000001</v>
      </c>
      <c r="AH3110">
        <v>66.017124001642998</v>
      </c>
      <c r="AI3110">
        <v>90.888880322895304</v>
      </c>
      <c r="AJ3110">
        <v>85.995463003177804</v>
      </c>
      <c r="AK3110">
        <v>66.186662509066494</v>
      </c>
      <c r="AL3110">
        <v>92.462654663795107</v>
      </c>
      <c r="AM3110">
        <v>94.364972512807896</v>
      </c>
      <c r="AN3110">
        <v>1.00000001310213</v>
      </c>
    </row>
    <row r="3111" spans="1:40" x14ac:dyDescent="0.25">
      <c r="A3111" t="str">
        <f>"20190305135852959"</f>
        <v>20190305135852959</v>
      </c>
      <c r="B3111" t="str">
        <f>"1551765532952068"</f>
        <v>1551765532952068</v>
      </c>
      <c r="C3111" t="s">
        <v>40</v>
      </c>
      <c r="D3111">
        <v>4.0719130000000003</v>
      </c>
      <c r="E3111">
        <v>0.55681630000000004</v>
      </c>
      <c r="F3111" t="s">
        <v>59</v>
      </c>
      <c r="G3111">
        <v>-219.82900000000001</v>
      </c>
      <c r="H3111">
        <v>8.0000360000000006E-2</v>
      </c>
      <c r="I3111">
        <v>207.3921</v>
      </c>
      <c r="J3111">
        <v>-285.57830000000001</v>
      </c>
      <c r="K3111">
        <v>1.106873</v>
      </c>
      <c r="L3111">
        <v>215.8544</v>
      </c>
      <c r="M3111">
        <v>0.99812250000000002</v>
      </c>
      <c r="N3111">
        <v>-2.0004040000000001E-2</v>
      </c>
      <c r="O3111">
        <v>-5.7891989999999997E-2</v>
      </c>
      <c r="P3111">
        <v>0.99768950000000001</v>
      </c>
      <c r="Q3111">
        <v>-6.5147919999999998E-2</v>
      </c>
      <c r="R3111">
        <v>1.928272E-2</v>
      </c>
      <c r="S3111">
        <v>3.0112610000000002</v>
      </c>
      <c r="T3111">
        <v>-4.678583E-2</v>
      </c>
      <c r="U3111">
        <v>-0.38652039999999999</v>
      </c>
      <c r="V3111">
        <v>-7.7312829999999999E-2</v>
      </c>
      <c r="W3111">
        <v>-4.4731029999999998E-2</v>
      </c>
      <c r="X3111">
        <v>0.99600299999999997</v>
      </c>
      <c r="Y3111">
        <v>6.9649290000000003E-2</v>
      </c>
      <c r="Z3111">
        <v>-1.4989789999999999E-3</v>
      </c>
      <c r="AA3111">
        <v>0.99757039999999997</v>
      </c>
      <c r="AB3111">
        <v>44</v>
      </c>
      <c r="AC3111">
        <v>65.749300000000005</v>
      </c>
      <c r="AD3111">
        <v>-1.0268726399999999</v>
      </c>
      <c r="AE3111">
        <v>-8.4622999999999902</v>
      </c>
      <c r="AF3111">
        <v>4.6398691619080701</v>
      </c>
      <c r="AG3111">
        <v>-1.0268726399999999</v>
      </c>
      <c r="AH3111">
        <v>66.113118289107803</v>
      </c>
      <c r="AI3111">
        <v>90.8876666956333</v>
      </c>
      <c r="AJ3111">
        <v>85.985520668214207</v>
      </c>
      <c r="AK3111">
        <v>66.283687760775393</v>
      </c>
      <c r="AL3111">
        <v>92.563754524797403</v>
      </c>
      <c r="AM3111">
        <v>94.438575051902703</v>
      </c>
      <c r="AN3111">
        <v>1.0000000573682299</v>
      </c>
    </row>
    <row r="3112" spans="1:40" x14ac:dyDescent="0.25">
      <c r="A3112" t="str">
        <f>"20190305135852973"</f>
        <v>20190305135852973</v>
      </c>
      <c r="B3112" t="str">
        <f>"1551765532961826"</f>
        <v>1551765532961826</v>
      </c>
      <c r="C3112" t="s">
        <v>40</v>
      </c>
      <c r="D3112">
        <v>4.0056079999999996</v>
      </c>
      <c r="E3112">
        <v>0.5568379</v>
      </c>
      <c r="F3112" t="s">
        <v>59</v>
      </c>
      <c r="G3112">
        <v>-220.51</v>
      </c>
      <c r="H3112">
        <v>8.0001619999999996E-2</v>
      </c>
      <c r="I3112">
        <v>207.4357</v>
      </c>
      <c r="J3112">
        <v>-285.30360000000002</v>
      </c>
      <c r="K3112">
        <v>1.106973</v>
      </c>
      <c r="L3112">
        <v>215.83750000000001</v>
      </c>
      <c r="M3112">
        <v>0.99805670000000002</v>
      </c>
      <c r="N3112">
        <v>-1.9937860000000002E-2</v>
      </c>
      <c r="O3112">
        <v>-5.9037300000000001E-2</v>
      </c>
      <c r="P3112">
        <v>0.99762200000000001</v>
      </c>
      <c r="Q3112">
        <v>-6.6260920000000001E-2</v>
      </c>
      <c r="R3112">
        <v>1.8977999999999998E-2</v>
      </c>
      <c r="S3112">
        <v>3.0113530000000002</v>
      </c>
      <c r="T3112">
        <v>-4.7523500000000003E-2</v>
      </c>
      <c r="U3112">
        <v>-0.38961790000000002</v>
      </c>
      <c r="V3112">
        <v>-7.8139689999999998E-2</v>
      </c>
      <c r="W3112">
        <v>-4.5930539999999999E-2</v>
      </c>
      <c r="X3112">
        <v>0.99588379999999999</v>
      </c>
      <c r="Y3112">
        <v>6.9509749999999995E-2</v>
      </c>
      <c r="Z3112">
        <v>-1.489635E-3</v>
      </c>
      <c r="AA3112">
        <v>0.99758020000000003</v>
      </c>
      <c r="AB3112">
        <v>43</v>
      </c>
      <c r="AC3112">
        <v>64.793599999999998</v>
      </c>
      <c r="AD3112">
        <v>-1.02697138</v>
      </c>
      <c r="AE3112">
        <v>-8.4017999999999997</v>
      </c>
      <c r="AF3112">
        <v>4.5600133982188504</v>
      </c>
      <c r="AG3112">
        <v>-1.02697138</v>
      </c>
      <c r="AH3112">
        <v>65.160559873557304</v>
      </c>
      <c r="AI3112">
        <v>90.900740170889506</v>
      </c>
      <c r="AJ3112">
        <v>85.996899646614906</v>
      </c>
      <c r="AK3112">
        <v>65.327995189219806</v>
      </c>
      <c r="AL3112">
        <v>92.632552299504894</v>
      </c>
      <c r="AM3112">
        <v>94.4863875698302</v>
      </c>
      <c r="AN3112">
        <v>0.99999998438021298</v>
      </c>
    </row>
    <row r="3113" spans="1:40" x14ac:dyDescent="0.25">
      <c r="A3113" t="str">
        <f>"20190305135852993"</f>
        <v>20190305135852993</v>
      </c>
      <c r="B3113" t="str">
        <f>"1551765532982321"</f>
        <v>1551765532982321</v>
      </c>
      <c r="C3113" t="s">
        <v>40</v>
      </c>
      <c r="D3113">
        <v>4.0254669999999999</v>
      </c>
      <c r="E3113">
        <v>0.55692189999999997</v>
      </c>
      <c r="F3113" t="s">
        <v>59</v>
      </c>
      <c r="G3113">
        <v>-222.09950000000001</v>
      </c>
      <c r="H3113">
        <v>8.0001149999999993E-2</v>
      </c>
      <c r="I3113">
        <v>207.63800000000001</v>
      </c>
      <c r="J3113">
        <v>-284.94439999999997</v>
      </c>
      <c r="K3113">
        <v>1.10711</v>
      </c>
      <c r="L3113">
        <v>215.8151</v>
      </c>
      <c r="M3113">
        <v>0.99797729999999996</v>
      </c>
      <c r="N3113">
        <v>-1.9846510000000001E-2</v>
      </c>
      <c r="O3113">
        <v>-6.0395530000000003E-2</v>
      </c>
      <c r="P3113">
        <v>0.99741469999999999</v>
      </c>
      <c r="Q3113">
        <v>-6.9013379999999999E-2</v>
      </c>
      <c r="R3113">
        <v>2.00316E-2</v>
      </c>
      <c r="S3113">
        <v>3.0112920000000001</v>
      </c>
      <c r="T3113">
        <v>-4.8928979999999997E-2</v>
      </c>
      <c r="U3113">
        <v>-0.39065549999999999</v>
      </c>
      <c r="V3113">
        <v>-8.0528939999999993E-2</v>
      </c>
      <c r="W3113">
        <v>-4.88011E-2</v>
      </c>
      <c r="X3113">
        <v>0.99555689999999997</v>
      </c>
      <c r="Y3113">
        <v>6.8492230000000001E-2</v>
      </c>
      <c r="Z3113">
        <v>-1.4564739999999999E-3</v>
      </c>
      <c r="AA3113">
        <v>0.99765060000000005</v>
      </c>
      <c r="AB3113">
        <v>43</v>
      </c>
      <c r="AC3113">
        <v>62.844899999999903</v>
      </c>
      <c r="AD3113">
        <v>-1.0271088500000001</v>
      </c>
      <c r="AE3113">
        <v>-8.1770999999999905</v>
      </c>
      <c r="AF3113">
        <v>4.3647221589614604</v>
      </c>
      <c r="AG3113">
        <v>-1.0271088500000001</v>
      </c>
      <c r="AH3113">
        <v>63.2074880589402</v>
      </c>
      <c r="AI3113">
        <v>90.928751525090703</v>
      </c>
      <c r="AJ3113">
        <v>86.049775077582794</v>
      </c>
      <c r="AK3113">
        <v>63.366334112332403</v>
      </c>
      <c r="AL3113">
        <v>92.797208098146498</v>
      </c>
      <c r="AM3113">
        <v>94.624491845112004</v>
      </c>
      <c r="AN3113">
        <v>0.99999999933817096</v>
      </c>
    </row>
    <row r="3114" spans="1:40" x14ac:dyDescent="0.25">
      <c r="A3114" t="str">
        <f>"20190305135853015"</f>
        <v>20190305135853015</v>
      </c>
      <c r="B3114" t="str">
        <f>"1551765533011601"</f>
        <v>1551765533011601</v>
      </c>
      <c r="C3114" t="s">
        <v>40</v>
      </c>
      <c r="D3114">
        <v>4.036448</v>
      </c>
      <c r="E3114">
        <v>0.56053390000000003</v>
      </c>
      <c r="F3114" t="s">
        <v>59</v>
      </c>
      <c r="G3114">
        <v>-228.37469999999999</v>
      </c>
      <c r="H3114">
        <v>8.0000740000000001E-2</v>
      </c>
      <c r="I3114">
        <v>208.52510000000001</v>
      </c>
      <c r="J3114">
        <v>-284.50889999999998</v>
      </c>
      <c r="K3114">
        <v>1.1073299999999999</v>
      </c>
      <c r="L3114">
        <v>215.78749999999999</v>
      </c>
      <c r="M3114">
        <v>0.99789570000000005</v>
      </c>
      <c r="N3114">
        <v>-1.972749E-2</v>
      </c>
      <c r="O3114">
        <v>-6.1766769999999999E-2</v>
      </c>
      <c r="P3114">
        <v>0.99716039999999995</v>
      </c>
      <c r="Q3114">
        <v>-7.1995989999999996E-2</v>
      </c>
      <c r="R3114">
        <v>2.2088790000000001E-2</v>
      </c>
      <c r="S3114">
        <v>3.0117799999999999</v>
      </c>
      <c r="T3114">
        <v>-5.4683450000000002E-2</v>
      </c>
      <c r="U3114">
        <v>-0.38812259999999998</v>
      </c>
      <c r="V3114">
        <v>-8.3918419999999994E-2</v>
      </c>
      <c r="W3114">
        <v>-5.1944249999999997E-2</v>
      </c>
      <c r="X3114">
        <v>0.99511780000000005</v>
      </c>
      <c r="Y3114">
        <v>6.6272520000000001E-2</v>
      </c>
      <c r="Z3114">
        <v>-1.3559620000000001E-3</v>
      </c>
      <c r="AA3114">
        <v>0.99780060000000004</v>
      </c>
      <c r="AB3114">
        <v>43</v>
      </c>
      <c r="AC3114">
        <v>56.1341999999999</v>
      </c>
      <c r="AD3114">
        <v>-1.0273292599999999</v>
      </c>
      <c r="AE3114">
        <v>-7.26239999999998</v>
      </c>
      <c r="AF3114">
        <v>3.7793799679231901</v>
      </c>
      <c r="AG3114">
        <v>-1.0273292599999999</v>
      </c>
      <c r="AH3114">
        <v>56.457040147448701</v>
      </c>
      <c r="AI3114">
        <v>91.040148963592102</v>
      </c>
      <c r="AJ3114">
        <v>86.170186692958595</v>
      </c>
      <c r="AK3114">
        <v>56.592724802407403</v>
      </c>
      <c r="AL3114">
        <v>92.977526402292597</v>
      </c>
      <c r="AM3114">
        <v>94.820355733270205</v>
      </c>
      <c r="AN3114">
        <v>0.99999997110009897</v>
      </c>
    </row>
    <row r="3115" spans="1:40" x14ac:dyDescent="0.25">
      <c r="A3115" t="str">
        <f>"20190305135853038"</f>
        <v>20190305135853038</v>
      </c>
      <c r="B3115" t="str">
        <f>"1551765533032098"</f>
        <v>1551765533032098</v>
      </c>
      <c r="C3115" t="s">
        <v>40</v>
      </c>
      <c r="D3115">
        <v>4.0271610000000004</v>
      </c>
      <c r="E3115">
        <v>0.56081569999999903</v>
      </c>
      <c r="F3115" t="s">
        <v>70</v>
      </c>
      <c r="G3115">
        <v>-168.41319999999999</v>
      </c>
      <c r="H3115">
        <v>1.706129</v>
      </c>
      <c r="I3115">
        <v>200.11609999999999</v>
      </c>
      <c r="J3115">
        <v>-284.06470000000002</v>
      </c>
      <c r="K3115">
        <v>1.107605</v>
      </c>
      <c r="L3115">
        <v>215.75899999999999</v>
      </c>
      <c r="M3115">
        <v>0.99783379999999999</v>
      </c>
      <c r="N3115">
        <v>-1.958466E-2</v>
      </c>
      <c r="O3115">
        <v>-6.2803860000000003E-2</v>
      </c>
      <c r="P3115">
        <v>0.99691200000000002</v>
      </c>
      <c r="Q3115">
        <v>-7.4767189999999997E-2</v>
      </c>
      <c r="R3115">
        <v>2.4013280000000001E-2</v>
      </c>
      <c r="S3115">
        <v>3.018707</v>
      </c>
      <c r="T3115">
        <v>1.5570759999999999E-2</v>
      </c>
      <c r="U3115">
        <v>-0.40748600000000001</v>
      </c>
      <c r="V3115">
        <v>-8.6829080000000003E-2</v>
      </c>
      <c r="W3115">
        <v>-5.4916810000000003E-2</v>
      </c>
      <c r="X3115">
        <v>0.99470840000000005</v>
      </c>
      <c r="Y3115">
        <v>7.127965E-2</v>
      </c>
      <c r="Z3115">
        <v>-2.0666119999999998E-3</v>
      </c>
      <c r="AA3115">
        <v>0.99745419999999996</v>
      </c>
      <c r="AB3115">
        <v>43</v>
      </c>
      <c r="AC3115">
        <v>115.6515</v>
      </c>
      <c r="AD3115">
        <v>0.59852399999999994</v>
      </c>
      <c r="AE3115">
        <v>-15.642899999999999</v>
      </c>
      <c r="AF3115">
        <v>8.3470344424005098</v>
      </c>
      <c r="AG3115">
        <v>0.59852399999999994</v>
      </c>
      <c r="AH3115">
        <v>116.40266472459101</v>
      </c>
      <c r="AI3115">
        <v>89.706151319344897</v>
      </c>
      <c r="AJ3115">
        <v>85.898438979361899</v>
      </c>
      <c r="AK3115">
        <v>116.70309151837699</v>
      </c>
      <c r="AL3115">
        <v>93.148085238258304</v>
      </c>
      <c r="AM3115">
        <v>94.988759924087006</v>
      </c>
      <c r="AN3115">
        <v>0.99999997309238997</v>
      </c>
    </row>
    <row r="3116" spans="1:40" x14ac:dyDescent="0.25">
      <c r="A3116" t="str">
        <f>"20190305135853061"</f>
        <v>20190305135853061</v>
      </c>
      <c r="B3116" t="str">
        <f>"1551765533051619"</f>
        <v>1551765533051619</v>
      </c>
      <c r="C3116" t="s">
        <v>40</v>
      </c>
      <c r="D3116">
        <v>3.987679</v>
      </c>
      <c r="E3116">
        <v>0.56061179999999999</v>
      </c>
      <c r="F3116" t="s">
        <v>70</v>
      </c>
      <c r="G3116">
        <v>-168.41309999999999</v>
      </c>
      <c r="H3116">
        <v>1.6703300000000001</v>
      </c>
      <c r="I3116">
        <v>200.30500000000001</v>
      </c>
      <c r="J3116">
        <v>-283.62740000000002</v>
      </c>
      <c r="K3116">
        <v>1.1079079999999999</v>
      </c>
      <c r="L3116">
        <v>215.73079999999999</v>
      </c>
      <c r="M3116">
        <v>0.99779899999999999</v>
      </c>
      <c r="N3116">
        <v>-1.940621E-2</v>
      </c>
      <c r="O3116">
        <v>-6.3408809999999996E-2</v>
      </c>
      <c r="P3116">
        <v>0.99665550000000003</v>
      </c>
      <c r="Q3116">
        <v>-7.7151159999999996E-2</v>
      </c>
      <c r="R3116">
        <v>2.693622E-2</v>
      </c>
      <c r="S3116">
        <v>3.020111</v>
      </c>
      <c r="T3116">
        <v>1.469576E-2</v>
      </c>
      <c r="U3116">
        <v>-0.40356449999999999</v>
      </c>
      <c r="V3116">
        <v>-9.029471E-2</v>
      </c>
      <c r="W3116">
        <v>-5.7548729999999999E-2</v>
      </c>
      <c r="X3116">
        <v>0.994251</v>
      </c>
      <c r="Y3116">
        <v>6.9340579999999999E-2</v>
      </c>
      <c r="Z3116">
        <v>-2.0416739999999998E-3</v>
      </c>
      <c r="AA3116">
        <v>0.99759100000000001</v>
      </c>
      <c r="AB3116">
        <v>43</v>
      </c>
      <c r="AC3116">
        <v>115.21429999999999</v>
      </c>
      <c r="AD3116">
        <v>0.56242199999999998</v>
      </c>
      <c r="AE3116">
        <v>-15.425799999999899</v>
      </c>
      <c r="AF3116">
        <v>8.0875794069903204</v>
      </c>
      <c r="AG3116">
        <v>0.56242199999999998</v>
      </c>
      <c r="AH3116">
        <v>115.95796080764499</v>
      </c>
      <c r="AI3116">
        <v>89.722778296448695</v>
      </c>
      <c r="AJ3116">
        <v>86.010321541180204</v>
      </c>
      <c r="AK3116">
        <v>116.241016572628</v>
      </c>
      <c r="AL3116">
        <v>93.299122024109906</v>
      </c>
      <c r="AM3116">
        <v>95.189185229903998</v>
      </c>
      <c r="AN3116">
        <v>1.0000000209897899</v>
      </c>
    </row>
    <row r="3117" spans="1:40" x14ac:dyDescent="0.25">
      <c r="A3117" t="str">
        <f>"20190305135853081"</f>
        <v>20190305135853081</v>
      </c>
      <c r="B3117" t="str">
        <f>"1551765533072117"</f>
        <v>1551765533072117</v>
      </c>
      <c r="C3117" t="s">
        <v>40</v>
      </c>
      <c r="D3117">
        <v>4.0685599999999997</v>
      </c>
      <c r="E3117">
        <v>0.55349709999999996</v>
      </c>
      <c r="F3117" t="s">
        <v>70</v>
      </c>
      <c r="G3117">
        <v>-168.41290000000001</v>
      </c>
      <c r="H3117">
        <v>1.5271749999999999</v>
      </c>
      <c r="I3117">
        <v>200.7345</v>
      </c>
      <c r="J3117">
        <v>-283.2321</v>
      </c>
      <c r="K3117">
        <v>1.1082099999999999</v>
      </c>
      <c r="L3117">
        <v>215.7054</v>
      </c>
      <c r="M3117">
        <v>0.9977895</v>
      </c>
      <c r="N3117">
        <v>-1.9200350000000001E-2</v>
      </c>
      <c r="O3117">
        <v>-6.3620309999999999E-2</v>
      </c>
      <c r="P3117">
        <v>0.99657399999999996</v>
      </c>
      <c r="Q3117">
        <v>-7.7567330000000004E-2</v>
      </c>
      <c r="R3117">
        <v>2.870381E-2</v>
      </c>
      <c r="S3117">
        <v>3.021515</v>
      </c>
      <c r="T3117">
        <v>1.0996219999999999E-2</v>
      </c>
      <c r="U3117">
        <v>-0.39328000000000002</v>
      </c>
      <c r="V3117">
        <v>-9.2218019999999998E-2</v>
      </c>
      <c r="W3117">
        <v>-5.8242910000000002E-2</v>
      </c>
      <c r="X3117">
        <v>0.99403399999999997</v>
      </c>
      <c r="Y3117">
        <v>6.5727930000000004E-2</v>
      </c>
      <c r="Z3117">
        <v>-1.9631800000000001E-3</v>
      </c>
      <c r="AA3117">
        <v>0.99783560000000004</v>
      </c>
      <c r="AB3117">
        <v>43</v>
      </c>
      <c r="AC3117">
        <v>114.8192</v>
      </c>
      <c r="AD3117">
        <v>0.41896499999999898</v>
      </c>
      <c r="AE3117">
        <v>-14.9709</v>
      </c>
      <c r="AF3117">
        <v>7.6342808107028999</v>
      </c>
      <c r="AG3117">
        <v>0.41896499999999898</v>
      </c>
      <c r="AH3117">
        <v>115.537626925192</v>
      </c>
      <c r="AI3117">
        <v>89.792685812317401</v>
      </c>
      <c r="AJ3117">
        <v>86.219611259957404</v>
      </c>
      <c r="AK3117">
        <v>115.790332112283</v>
      </c>
      <c r="AL3117">
        <v>93.338962517379102</v>
      </c>
      <c r="AM3117">
        <v>95.300244243100096</v>
      </c>
      <c r="AN3117">
        <v>0.999999996466994</v>
      </c>
    </row>
    <row r="3118" spans="1:40" x14ac:dyDescent="0.25">
      <c r="A3118" t="str">
        <f>"20190305135853097"</f>
        <v>20190305135853097</v>
      </c>
      <c r="B3118" t="str">
        <f>"1551765533091634"</f>
        <v>1551765533091634</v>
      </c>
      <c r="C3118" t="s">
        <v>40</v>
      </c>
      <c r="D3118">
        <v>4.036689</v>
      </c>
      <c r="E3118">
        <v>0.48348849999999999</v>
      </c>
      <c r="F3118" t="s">
        <v>70</v>
      </c>
      <c r="G3118">
        <v>-168.41200000000001</v>
      </c>
      <c r="H3118">
        <v>1.0709820000000001</v>
      </c>
      <c r="I3118">
        <v>203.09719999999999</v>
      </c>
      <c r="J3118">
        <v>-282.94009999999997</v>
      </c>
      <c r="K3118">
        <v>1.108419</v>
      </c>
      <c r="L3118">
        <v>215.68680000000001</v>
      </c>
      <c r="M3118">
        <v>0.99779450000000003</v>
      </c>
      <c r="N3118">
        <v>-1.9005279999999999E-2</v>
      </c>
      <c r="O3118">
        <v>-6.3600299999999999E-2</v>
      </c>
      <c r="P3118">
        <v>0.99650689999999997</v>
      </c>
      <c r="Q3118">
        <v>-7.7726480000000001E-2</v>
      </c>
      <c r="R3118">
        <v>3.0540589999999999E-2</v>
      </c>
      <c r="S3118">
        <v>3.0198360000000002</v>
      </c>
      <c r="T3118">
        <v>-9.782313999999999E-4</v>
      </c>
      <c r="U3118">
        <v>-0.33160400000000001</v>
      </c>
      <c r="V3118">
        <v>-9.3991669999999999E-2</v>
      </c>
      <c r="W3118">
        <v>-5.8651870000000002E-2</v>
      </c>
      <c r="X3118">
        <v>0.99384380000000005</v>
      </c>
      <c r="Y3118">
        <v>4.5710550000000003E-2</v>
      </c>
      <c r="Z3118">
        <v>-1.62948E-3</v>
      </c>
      <c r="AA3118">
        <v>0.99895339999999999</v>
      </c>
      <c r="AB3118">
        <v>43</v>
      </c>
      <c r="AC3118">
        <v>114.528099999999</v>
      </c>
      <c r="AD3118">
        <v>-3.7437000000000102E-2</v>
      </c>
      <c r="AE3118">
        <v>-12.589600000000001</v>
      </c>
      <c r="AF3118">
        <v>5.2787648278932897</v>
      </c>
      <c r="AG3118">
        <v>-3.7437000000000102E-2</v>
      </c>
      <c r="AH3118">
        <v>115.096983264568</v>
      </c>
      <c r="AI3118">
        <v>90.018616731379694</v>
      </c>
      <c r="AJ3118">
        <v>87.3740480536799</v>
      </c>
      <c r="AK3118">
        <v>115.21797740041001</v>
      </c>
      <c r="AL3118">
        <v>93.362434355625297</v>
      </c>
      <c r="AM3118">
        <v>95.402615351950402</v>
      </c>
      <c r="AN3118">
        <v>0.99999998734116202</v>
      </c>
    </row>
    <row r="3119" spans="1:40" x14ac:dyDescent="0.25">
      <c r="A3119" t="str">
        <f>"20190305135853115"</f>
        <v>20190305135853115</v>
      </c>
      <c r="B3119" t="str">
        <f>"1551765533112129"</f>
        <v>1551765533112129</v>
      </c>
      <c r="C3119" t="s">
        <v>40</v>
      </c>
      <c r="D3119">
        <v>4.0771100000000002</v>
      </c>
      <c r="E3119">
        <v>0.47750019999999999</v>
      </c>
      <c r="F3119" t="s">
        <v>73</v>
      </c>
      <c r="G3119">
        <v>-168.35059999999999</v>
      </c>
      <c r="H3119">
        <v>0.20380210000000001</v>
      </c>
      <c r="I3119">
        <v>224.51779999999999</v>
      </c>
      <c r="J3119">
        <v>-282.59829999999999</v>
      </c>
      <c r="K3119">
        <v>1.1086510000000001</v>
      </c>
      <c r="L3119">
        <v>215.6651</v>
      </c>
      <c r="M3119">
        <v>0.99781549999999997</v>
      </c>
      <c r="N3119">
        <v>-1.874578E-2</v>
      </c>
      <c r="O3119">
        <v>-6.3349340000000004E-2</v>
      </c>
      <c r="P3119">
        <v>0.99627639999999995</v>
      </c>
      <c r="Q3119">
        <v>-7.898268E-2</v>
      </c>
      <c r="R3119">
        <v>3.4577160000000003E-2</v>
      </c>
      <c r="S3119">
        <v>3.0015869999999998</v>
      </c>
      <c r="T3119">
        <v>-2.3694280000000002E-2</v>
      </c>
      <c r="U3119">
        <v>0.23132320000000001</v>
      </c>
      <c r="V3119">
        <v>-9.7716579999999997E-2</v>
      </c>
      <c r="W3119">
        <v>-6.0235530000000002E-2</v>
      </c>
      <c r="X3119">
        <v>0.99338970000000004</v>
      </c>
      <c r="Y3119">
        <v>-0.13983960000000001</v>
      </c>
      <c r="Z3119">
        <v>1.177544E-3</v>
      </c>
      <c r="AA3119">
        <v>0.99017350000000004</v>
      </c>
      <c r="AB3119">
        <v>43</v>
      </c>
      <c r="AC3119">
        <v>114.24769999999999</v>
      </c>
      <c r="AD3119">
        <v>-0.90484889999999996</v>
      </c>
      <c r="AE3119">
        <v>8.8526999999999898</v>
      </c>
      <c r="AF3119">
        <v>-16.072697385293001</v>
      </c>
      <c r="AG3119">
        <v>-0.90484889999999996</v>
      </c>
      <c r="AH3119">
        <v>113.450157784902</v>
      </c>
      <c r="AI3119">
        <v>90.452448736343996</v>
      </c>
      <c r="AJ3119">
        <v>98.063539112243703</v>
      </c>
      <c r="AK3119">
        <v>114.586598929326</v>
      </c>
      <c r="AL3119">
        <v>93.453332189845796</v>
      </c>
      <c r="AM3119">
        <v>95.617930059981504</v>
      </c>
      <c r="AN3119">
        <v>0.999999972573683</v>
      </c>
    </row>
    <row r="3120" spans="1:40" x14ac:dyDescent="0.25">
      <c r="A3120" t="str">
        <f>"20190305135853130"</f>
        <v>20190305135853130</v>
      </c>
      <c r="B3120" t="str">
        <f>"1551765533121890"</f>
        <v>1551765533121890</v>
      </c>
      <c r="C3120" t="s">
        <v>40</v>
      </c>
      <c r="D3120">
        <v>4.072235</v>
      </c>
      <c r="E3120">
        <v>0.47755880000000001</v>
      </c>
      <c r="F3120" t="s">
        <v>59</v>
      </c>
      <c r="G3120">
        <v>-219.6114</v>
      </c>
      <c r="H3120">
        <v>8.0001059999999999E-2</v>
      </c>
      <c r="I3120">
        <v>221.76329999999999</v>
      </c>
      <c r="J3120">
        <v>-282.29939999999999</v>
      </c>
      <c r="K3120">
        <v>1.108868</v>
      </c>
      <c r="L3120">
        <v>215.6464</v>
      </c>
      <c r="M3120">
        <v>0.99784720000000005</v>
      </c>
      <c r="N3120">
        <v>-1.8499740000000001E-2</v>
      </c>
      <c r="O3120">
        <v>-6.2919530000000001E-2</v>
      </c>
      <c r="P3120">
        <v>0.99621729999999997</v>
      </c>
      <c r="Q3120">
        <v>-7.8821020000000006E-2</v>
      </c>
      <c r="R3120">
        <v>3.6588099999999998E-2</v>
      </c>
      <c r="S3120">
        <v>2.9971920000000001</v>
      </c>
      <c r="T3120">
        <v>-4.8947690000000002E-2</v>
      </c>
      <c r="U3120">
        <v>0.2901764</v>
      </c>
      <c r="V3120">
        <v>-9.9253659999999994E-2</v>
      </c>
      <c r="W3120">
        <v>-6.0382140000000001E-2</v>
      </c>
      <c r="X3120">
        <v>0.99322840000000001</v>
      </c>
      <c r="Y3120">
        <v>-0.15876689999999999</v>
      </c>
      <c r="Z3120">
        <v>2.6299240000000001E-3</v>
      </c>
      <c r="AA3120">
        <v>0.98731259999999998</v>
      </c>
      <c r="AB3120">
        <v>43</v>
      </c>
      <c r="AC3120">
        <v>62.687999999999903</v>
      </c>
      <c r="AD3120">
        <v>-1.0288669399999999</v>
      </c>
      <c r="AE3120">
        <v>6.1168999999999798</v>
      </c>
      <c r="AF3120">
        <v>-10.047069325799299</v>
      </c>
      <c r="AG3120">
        <v>-1.0288669399999999</v>
      </c>
      <c r="AH3120">
        <v>62.1622226137561</v>
      </c>
      <c r="AI3120">
        <v>90.936088525495194</v>
      </c>
      <c r="AJ3120">
        <v>99.181125379605604</v>
      </c>
      <c r="AK3120">
        <v>62.977329964835903</v>
      </c>
      <c r="AL3120">
        <v>93.461747640208401</v>
      </c>
      <c r="AM3120">
        <v>95.706641876830702</v>
      </c>
      <c r="AN3120">
        <v>0.99999997321046696</v>
      </c>
    </row>
    <row r="3121" spans="1:40" x14ac:dyDescent="0.25">
      <c r="A3121" t="str">
        <f>"20190305135853143"</f>
        <v>20190305135853143</v>
      </c>
      <c r="B3121" t="str">
        <f>"1551765533131650"</f>
        <v>1551765533131650</v>
      </c>
      <c r="C3121" t="s">
        <v>40</v>
      </c>
      <c r="D3121">
        <v>4.0238620000000003</v>
      </c>
      <c r="E3121">
        <v>0.47803649999999998</v>
      </c>
      <c r="F3121" t="s">
        <v>59</v>
      </c>
      <c r="G3121">
        <v>-219.13040000000001</v>
      </c>
      <c r="H3121">
        <v>8.0000909999999995E-2</v>
      </c>
      <c r="I3121">
        <v>221.88</v>
      </c>
      <c r="J3121">
        <v>-282.05459999999999</v>
      </c>
      <c r="K3121">
        <v>1.109048</v>
      </c>
      <c r="L3121">
        <v>215.63130000000001</v>
      </c>
      <c r="M3121">
        <v>0.99788100000000002</v>
      </c>
      <c r="N3121">
        <v>-1.828954E-2</v>
      </c>
      <c r="O3121">
        <v>-6.244417E-2</v>
      </c>
      <c r="P3121">
        <v>0.99612769999999995</v>
      </c>
      <c r="Q3121">
        <v>-7.8890890000000005E-2</v>
      </c>
      <c r="R3121">
        <v>3.8809110000000001E-2</v>
      </c>
      <c r="S3121">
        <v>2.9966740000000001</v>
      </c>
      <c r="T3121">
        <v>-4.8808459999999998E-2</v>
      </c>
      <c r="U3121">
        <v>0.29571530000000001</v>
      </c>
      <c r="V3121">
        <v>-0.1009597</v>
      </c>
      <c r="W3121">
        <v>-6.071675E-2</v>
      </c>
      <c r="X3121">
        <v>0.99303600000000003</v>
      </c>
      <c r="Y3121">
        <v>-0.16012019999999999</v>
      </c>
      <c r="Z3121">
        <v>2.6446019999999998E-3</v>
      </c>
      <c r="AA3121">
        <v>0.98709400000000003</v>
      </c>
      <c r="AB3121">
        <v>43</v>
      </c>
      <c r="AC3121">
        <v>62.9241999999999</v>
      </c>
      <c r="AD3121">
        <v>-1.0290470899999999</v>
      </c>
      <c r="AE3121">
        <v>6.2486999999999799</v>
      </c>
      <c r="AF3121">
        <v>-10.1637158810187</v>
      </c>
      <c r="AG3121">
        <v>-1.0290470899999999</v>
      </c>
      <c r="AH3121">
        <v>62.394575421453403</v>
      </c>
      <c r="AI3121">
        <v>90.932579602249604</v>
      </c>
      <c r="AJ3121">
        <v>99.251891080294499</v>
      </c>
      <c r="AK3121">
        <v>63.225335906161398</v>
      </c>
      <c r="AL3121">
        <v>93.480954734758996</v>
      </c>
      <c r="AM3121">
        <v>95.805184334951207</v>
      </c>
      <c r="AN3121">
        <v>0.99999994102532397</v>
      </c>
    </row>
    <row r="3122" spans="1:40" x14ac:dyDescent="0.25">
      <c r="A3122" t="str">
        <f>"20190305135853157"</f>
        <v>20190305135853157</v>
      </c>
      <c r="B3122" t="str">
        <f>"1551765533152145"</f>
        <v>1551765533152145</v>
      </c>
      <c r="C3122" t="s">
        <v>40</v>
      </c>
      <c r="D3122">
        <v>4.038386</v>
      </c>
      <c r="E3122">
        <v>0.47947020000000001</v>
      </c>
      <c r="F3122" t="s">
        <v>59</v>
      </c>
      <c r="G3122">
        <v>-218.8689</v>
      </c>
      <c r="H3122">
        <v>8.0000840000000004E-2</v>
      </c>
      <c r="I3122">
        <v>221.9248</v>
      </c>
      <c r="J3122">
        <v>-281.79790000000003</v>
      </c>
      <c r="K3122">
        <v>1.1092379999999999</v>
      </c>
      <c r="L3122">
        <v>215.6156</v>
      </c>
      <c r="M3122">
        <v>0.99792389999999997</v>
      </c>
      <c r="N3122">
        <v>-1.8061299999999999E-2</v>
      </c>
      <c r="O3122">
        <v>-6.1819609999999997E-2</v>
      </c>
      <c r="P3122">
        <v>0.99597009999999997</v>
      </c>
      <c r="Q3122">
        <v>-7.9677199999999906E-2</v>
      </c>
      <c r="R3122">
        <v>4.1173479999999998E-2</v>
      </c>
      <c r="S3122">
        <v>2.9961850000000001</v>
      </c>
      <c r="T3122">
        <v>-4.8796060000000002E-2</v>
      </c>
      <c r="U3122">
        <v>0.29843140000000001</v>
      </c>
      <c r="V3122">
        <v>-0.1026537</v>
      </c>
      <c r="W3122">
        <v>-6.179225E-2</v>
      </c>
      <c r="X3122">
        <v>0.99279600000000001</v>
      </c>
      <c r="Y3122">
        <v>-0.1604043</v>
      </c>
      <c r="Z3122">
        <v>2.6462949999999999E-3</v>
      </c>
      <c r="AA3122">
        <v>0.98704789999999998</v>
      </c>
      <c r="AB3122">
        <v>43</v>
      </c>
      <c r="AC3122">
        <v>62.929000000000002</v>
      </c>
      <c r="AD3122">
        <v>-1.0292371600000001</v>
      </c>
      <c r="AE3122">
        <v>6.3091999999999997</v>
      </c>
      <c r="AF3122">
        <v>-10.185312147567</v>
      </c>
      <c r="AG3122">
        <v>-1.0292371600000001</v>
      </c>
      <c r="AH3122">
        <v>62.401976292410097</v>
      </c>
      <c r="AI3122">
        <v>90.932592823470799</v>
      </c>
      <c r="AJ3122">
        <v>99.270128377963601</v>
      </c>
      <c r="AK3122">
        <v>63.236117511066503</v>
      </c>
      <c r="AL3122">
        <v>93.542692142671498</v>
      </c>
      <c r="AM3122">
        <v>95.903324077286896</v>
      </c>
      <c r="AN3122">
        <v>0.99999998094987597</v>
      </c>
    </row>
    <row r="3123" spans="1:40" x14ac:dyDescent="0.25">
      <c r="A3123" t="str">
        <f>"20190305135853171"</f>
        <v>20190305135853171</v>
      </c>
      <c r="B3123" t="str">
        <f>"1551765533161905"</f>
        <v>1551765533161905</v>
      </c>
      <c r="C3123" t="s">
        <v>40</v>
      </c>
      <c r="D3123">
        <v>4.0499239999999999</v>
      </c>
      <c r="E3123">
        <v>0.4800121</v>
      </c>
      <c r="F3123" t="s">
        <v>59</v>
      </c>
      <c r="G3123">
        <v>-216.60849999999999</v>
      </c>
      <c r="H3123">
        <v>8.0000169999999995E-2</v>
      </c>
      <c r="I3123">
        <v>222.01320000000001</v>
      </c>
      <c r="J3123">
        <v>-281.51679999999999</v>
      </c>
      <c r="K3123">
        <v>1.10944</v>
      </c>
      <c r="L3123">
        <v>215.59889999999999</v>
      </c>
      <c r="M3123">
        <v>0.99798200000000004</v>
      </c>
      <c r="N3123">
        <v>-1.7811859999999999E-2</v>
      </c>
      <c r="O3123">
        <v>-6.0951489999999997E-2</v>
      </c>
      <c r="P3123">
        <v>0.99565490000000001</v>
      </c>
      <c r="Q3123">
        <v>-8.1423099999999998E-2</v>
      </c>
      <c r="R3123">
        <v>4.5191389999999998E-2</v>
      </c>
      <c r="S3123">
        <v>2.9961549999999999</v>
      </c>
      <c r="T3123">
        <v>-4.7304510000000001E-2</v>
      </c>
      <c r="U3123">
        <v>0.29403689999999999</v>
      </c>
      <c r="V3123">
        <v>-0.1057411</v>
      </c>
      <c r="W3123">
        <v>-6.3861109999999999E-2</v>
      </c>
      <c r="X3123">
        <v>0.99234100000000003</v>
      </c>
      <c r="Y3123">
        <v>-0.15811510000000001</v>
      </c>
      <c r="Z3123">
        <v>2.5343449999999999E-3</v>
      </c>
      <c r="AA3123">
        <v>0.98741749999999995</v>
      </c>
      <c r="AB3123">
        <v>43</v>
      </c>
      <c r="AC3123">
        <v>64.908299999999997</v>
      </c>
      <c r="AD3123">
        <v>-1.0294398300000001</v>
      </c>
      <c r="AE3123">
        <v>6.4143000000000203</v>
      </c>
      <c r="AF3123">
        <v>-10.3566749121367</v>
      </c>
      <c r="AG3123">
        <v>-1.0294398300000001</v>
      </c>
      <c r="AH3123">
        <v>64.380519080819099</v>
      </c>
      <c r="AI3123">
        <v>90.904451282936094</v>
      </c>
      <c r="AJ3123">
        <v>99.138683251899906</v>
      </c>
      <c r="AK3123">
        <v>65.216345333934399</v>
      </c>
      <c r="AL3123">
        <v>93.661463531791895</v>
      </c>
      <c r="AM3123">
        <v>96.0823278958418</v>
      </c>
      <c r="AN3123">
        <v>1.00000004094032</v>
      </c>
    </row>
    <row r="3124" spans="1:40" x14ac:dyDescent="0.25">
      <c r="A3124" t="str">
        <f>"20190305135853186"</f>
        <v>20190305135853186</v>
      </c>
      <c r="B3124" t="str">
        <f>"1551765533182402"</f>
        <v>1551765533182402</v>
      </c>
      <c r="C3124" t="s">
        <v>40</v>
      </c>
      <c r="D3124">
        <v>4.0160530000000003</v>
      </c>
      <c r="E3124">
        <v>0.48112379999999999</v>
      </c>
      <c r="F3124" t="s">
        <v>59</v>
      </c>
      <c r="G3124">
        <v>-220.28710000000001</v>
      </c>
      <c r="H3124">
        <v>7.9999780000000006E-2</v>
      </c>
      <c r="I3124">
        <v>221.76840000000001</v>
      </c>
      <c r="J3124">
        <v>-281.23430000000002</v>
      </c>
      <c r="K3124">
        <v>1.1096569999999999</v>
      </c>
      <c r="L3124">
        <v>215.5823</v>
      </c>
      <c r="M3124">
        <v>0.99804660000000001</v>
      </c>
      <c r="N3124">
        <v>-1.7567059999999999E-2</v>
      </c>
      <c r="O3124">
        <v>-5.9955090000000003E-2</v>
      </c>
      <c r="P3124">
        <v>0.99544840000000001</v>
      </c>
      <c r="Q3124">
        <v>-8.245268E-2</v>
      </c>
      <c r="R3124">
        <v>4.7793200000000001E-2</v>
      </c>
      <c r="S3124">
        <v>2.9952700000000001</v>
      </c>
      <c r="T3124">
        <v>-5.0358769999999997E-2</v>
      </c>
      <c r="U3124">
        <v>0.30180359999999901</v>
      </c>
      <c r="V3124">
        <v>-0.1072946</v>
      </c>
      <c r="W3124">
        <v>-6.5205899999999997E-2</v>
      </c>
      <c r="X3124">
        <v>0.99208669999999999</v>
      </c>
      <c r="Y3124">
        <v>-0.15968840000000001</v>
      </c>
      <c r="Z3124">
        <v>2.70076E-3</v>
      </c>
      <c r="AA3124">
        <v>0.98716380000000004</v>
      </c>
      <c r="AB3124">
        <v>43</v>
      </c>
      <c r="AC3124">
        <v>60.947200000000002</v>
      </c>
      <c r="AD3124">
        <v>-1.02965721999999</v>
      </c>
      <c r="AE3124">
        <v>6.1860999999999997</v>
      </c>
      <c r="AF3124">
        <v>-9.8268505011947092</v>
      </c>
      <c r="AG3124">
        <v>-1.02965721999999</v>
      </c>
      <c r="AH3124">
        <v>60.449504054943397</v>
      </c>
      <c r="AI3124">
        <v>90.963202654008398</v>
      </c>
      <c r="AJ3124">
        <v>99.233400922066707</v>
      </c>
      <c r="AK3124">
        <v>61.251691611351802</v>
      </c>
      <c r="AL3124">
        <v>93.738675497045605</v>
      </c>
      <c r="AM3124">
        <v>96.172571754282401</v>
      </c>
      <c r="AN3124">
        <v>0.99999998045042904</v>
      </c>
    </row>
    <row r="3125" spans="1:40" x14ac:dyDescent="0.25">
      <c r="A3125" t="str">
        <f>"20190305135853199"</f>
        <v>20190305135853199</v>
      </c>
      <c r="B3125" t="str">
        <f>"1551765533192162"</f>
        <v>1551765533192162</v>
      </c>
      <c r="C3125" t="s">
        <v>40</v>
      </c>
      <c r="D3125">
        <v>4.0480210000000003</v>
      </c>
      <c r="E3125">
        <v>0.48166720000000002</v>
      </c>
      <c r="F3125" t="s">
        <v>59</v>
      </c>
      <c r="G3125">
        <v>-216.83799999999999</v>
      </c>
      <c r="H3125">
        <v>8.0000230000000006E-2</v>
      </c>
      <c r="I3125">
        <v>222.0531</v>
      </c>
      <c r="J3125">
        <v>-280.98020000000002</v>
      </c>
      <c r="K3125">
        <v>1.109847</v>
      </c>
      <c r="L3125">
        <v>215.5677</v>
      </c>
      <c r="M3125">
        <v>0.99810940000000004</v>
      </c>
      <c r="N3125">
        <v>-1.7352469999999998E-2</v>
      </c>
      <c r="O3125">
        <v>-5.896436E-2</v>
      </c>
      <c r="P3125">
        <v>0.99524060000000003</v>
      </c>
      <c r="Q3125">
        <v>-8.347976E-2</v>
      </c>
      <c r="R3125">
        <v>5.0276179999999997E-2</v>
      </c>
      <c r="S3125">
        <v>2.9952999999999999</v>
      </c>
      <c r="T3125">
        <v>-4.789293E-2</v>
      </c>
      <c r="U3125">
        <v>0.30097960000000001</v>
      </c>
      <c r="V3125">
        <v>-0.10873919999999999</v>
      </c>
      <c r="W3125">
        <v>-6.6511749999999994E-2</v>
      </c>
      <c r="X3125">
        <v>0.99184269999999997</v>
      </c>
      <c r="Y3125">
        <v>-0.15844220000000001</v>
      </c>
      <c r="Z3125">
        <v>2.5621350000000001E-3</v>
      </c>
      <c r="AA3125">
        <v>0.98736489999999999</v>
      </c>
      <c r="AB3125">
        <v>43</v>
      </c>
      <c r="AC3125">
        <v>64.142200000000003</v>
      </c>
      <c r="AD3125">
        <v>-1.02984677</v>
      </c>
      <c r="AE3125">
        <v>6.4853999999999896</v>
      </c>
      <c r="AF3125">
        <v>-10.25416874459</v>
      </c>
      <c r="AG3125">
        <v>-1.02984677</v>
      </c>
      <c r="AH3125">
        <v>63.631862303799302</v>
      </c>
      <c r="AI3125">
        <v>90.915411956070997</v>
      </c>
      <c r="AJ3125">
        <v>99.154417921106898</v>
      </c>
      <c r="AK3125">
        <v>64.461015049888005</v>
      </c>
      <c r="AL3125">
        <v>93.813657974625599</v>
      </c>
      <c r="AM3125">
        <v>96.256550571870207</v>
      </c>
      <c r="AN3125">
        <v>0.99999998402399604</v>
      </c>
    </row>
    <row r="3126" spans="1:40" x14ac:dyDescent="0.25">
      <c r="A3126" t="str">
        <f>"20190305135853215"</f>
        <v>20190305135853215</v>
      </c>
      <c r="B3126" t="str">
        <f>"1551765533211681"</f>
        <v>1551765533211681</v>
      </c>
      <c r="C3126" t="s">
        <v>40</v>
      </c>
      <c r="D3126">
        <v>4.0379820000000004</v>
      </c>
      <c r="E3126">
        <v>0.48259340000000001</v>
      </c>
      <c r="F3126" t="s">
        <v>59</v>
      </c>
      <c r="G3126">
        <v>-217.16640000000001</v>
      </c>
      <c r="H3126">
        <v>8.0000329999999995E-2</v>
      </c>
      <c r="I3126">
        <v>222.0506</v>
      </c>
      <c r="J3126">
        <v>-280.67590000000001</v>
      </c>
      <c r="K3126">
        <v>1.11006</v>
      </c>
      <c r="L3126">
        <v>215.55070000000001</v>
      </c>
      <c r="M3126">
        <v>0.99819219999999997</v>
      </c>
      <c r="N3126">
        <v>-1.7109619999999999E-2</v>
      </c>
      <c r="O3126">
        <v>-5.7617979999999999E-2</v>
      </c>
      <c r="P3126">
        <v>0.99484459999999997</v>
      </c>
      <c r="Q3126">
        <v>-8.5397360000000005E-2</v>
      </c>
      <c r="R3126">
        <v>5.4696809999999998E-2</v>
      </c>
      <c r="S3126">
        <v>2.9949340000000002</v>
      </c>
      <c r="T3126">
        <v>-4.8333170000000002E-2</v>
      </c>
      <c r="U3126">
        <v>0.30426029999999998</v>
      </c>
      <c r="V3126">
        <v>-0.1117457</v>
      </c>
      <c r="W3126">
        <v>-6.8754460000000003E-2</v>
      </c>
      <c r="X3126">
        <v>0.99135549999999995</v>
      </c>
      <c r="Y3126">
        <v>-0.15819250000000001</v>
      </c>
      <c r="Z3126">
        <v>2.5748279999999999E-3</v>
      </c>
      <c r="AA3126">
        <v>0.98740490000000003</v>
      </c>
      <c r="AB3126">
        <v>43</v>
      </c>
      <c r="AC3126">
        <v>63.509500000000003</v>
      </c>
      <c r="AD3126">
        <v>-1.03005967</v>
      </c>
      <c r="AE3126">
        <v>6.4998999999999896</v>
      </c>
      <c r="AF3126">
        <v>-10.1462816033848</v>
      </c>
      <c r="AG3126">
        <v>-1.03005967</v>
      </c>
      <c r="AH3126">
        <v>63.012991060525003</v>
      </c>
      <c r="AI3126">
        <v>90.924610821781002</v>
      </c>
      <c r="AJ3126">
        <v>99.147188535240502</v>
      </c>
      <c r="AK3126">
        <v>63.832946788416002</v>
      </c>
      <c r="AL3126">
        <v>93.942450651479504</v>
      </c>
      <c r="AM3126">
        <v>96.431240124106793</v>
      </c>
      <c r="AN3126">
        <v>1.0000000023093101</v>
      </c>
    </row>
    <row r="3127" spans="1:40" x14ac:dyDescent="0.25">
      <c r="A3127" t="str">
        <f>"20190305135853239"</f>
        <v>20190305135853239</v>
      </c>
      <c r="B3127" t="str">
        <f>"1551765533232177"</f>
        <v>1551765533232177</v>
      </c>
      <c r="C3127" t="s">
        <v>40</v>
      </c>
      <c r="D3127">
        <v>4.0393819999999998</v>
      </c>
      <c r="E3127">
        <v>0.48379680000000003</v>
      </c>
      <c r="F3127" t="s">
        <v>59</v>
      </c>
      <c r="G3127">
        <v>-216.75710000000001</v>
      </c>
      <c r="H3127">
        <v>8.0000199999999994E-2</v>
      </c>
      <c r="I3127">
        <v>222.18029999999999</v>
      </c>
      <c r="J3127">
        <v>-280.24930000000001</v>
      </c>
      <c r="K3127">
        <v>1.110344</v>
      </c>
      <c r="L3127">
        <v>215.52770000000001</v>
      </c>
      <c r="M3127">
        <v>0.99831619999999999</v>
      </c>
      <c r="N3127">
        <v>-1.679139E-2</v>
      </c>
      <c r="O3127">
        <v>-5.552493E-2</v>
      </c>
      <c r="P3127">
        <v>0.99444010000000005</v>
      </c>
      <c r="Q3127">
        <v>-8.6950639999999996E-2</v>
      </c>
      <c r="R3127">
        <v>5.9403320000000003E-2</v>
      </c>
      <c r="S3127">
        <v>2.9942929999999999</v>
      </c>
      <c r="T3127">
        <v>-4.8253419999999998E-2</v>
      </c>
      <c r="U3127">
        <v>0.31056209999999901</v>
      </c>
      <c r="V3127">
        <v>-0.1142841</v>
      </c>
      <c r="W3127">
        <v>-7.0729429999999996E-2</v>
      </c>
      <c r="X3127">
        <v>0.99092709999999995</v>
      </c>
      <c r="Y3127">
        <v>-0.15820020000000001</v>
      </c>
      <c r="Z3127">
        <v>2.5662720000000001E-3</v>
      </c>
      <c r="AA3127">
        <v>0.98740380000000005</v>
      </c>
      <c r="AB3127">
        <v>43</v>
      </c>
      <c r="AC3127">
        <v>63.492199999999997</v>
      </c>
      <c r="AD3127">
        <v>-1.0303438</v>
      </c>
      <c r="AE3127">
        <v>6.6525999999999703</v>
      </c>
      <c r="AF3127">
        <v>-10.165582872257</v>
      </c>
      <c r="AG3127">
        <v>-1.0303438</v>
      </c>
      <c r="AH3127">
        <v>63.008373134718902</v>
      </c>
      <c r="AI3127">
        <v>90.924887376511194</v>
      </c>
      <c r="AJ3127">
        <v>99.164954500742994</v>
      </c>
      <c r="AK3127">
        <v>63.831463782079197</v>
      </c>
      <c r="AL3127">
        <v>94.055884277114302</v>
      </c>
      <c r="AM3127">
        <v>96.578883768996704</v>
      </c>
      <c r="AN3127">
        <v>1.00000001264767</v>
      </c>
    </row>
    <row r="3128" spans="1:40" x14ac:dyDescent="0.25">
      <c r="A3128" t="str">
        <f>"20190305135853260"</f>
        <v>20190305135853260</v>
      </c>
      <c r="B3128" t="str">
        <f>"1551765533251700"</f>
        <v>1551765533251700</v>
      </c>
      <c r="C3128" t="s">
        <v>40</v>
      </c>
      <c r="D3128">
        <v>4.0933029999999997</v>
      </c>
      <c r="E3128">
        <v>0.484844</v>
      </c>
      <c r="F3128" t="s">
        <v>59</v>
      </c>
      <c r="G3128">
        <v>-213.68270000000001</v>
      </c>
      <c r="H3128">
        <v>8.0000740000000001E-2</v>
      </c>
      <c r="I3128">
        <v>222.54480000000001</v>
      </c>
      <c r="J3128">
        <v>-279.83010000000002</v>
      </c>
      <c r="K3128">
        <v>1.110592</v>
      </c>
      <c r="L3128">
        <v>215.50630000000001</v>
      </c>
      <c r="M3128">
        <v>0.99844630000000001</v>
      </c>
      <c r="N3128">
        <v>-1.6508849999999999E-2</v>
      </c>
      <c r="O3128">
        <v>-5.3222499999999999E-2</v>
      </c>
      <c r="P3128">
        <v>0.9941181</v>
      </c>
      <c r="Q3128">
        <v>-8.7362239999999994E-2</v>
      </c>
      <c r="R3128">
        <v>6.4009629999999998E-2</v>
      </c>
      <c r="S3128">
        <v>2.9938660000000001</v>
      </c>
      <c r="T3128">
        <v>-4.6340230000000003E-2</v>
      </c>
      <c r="U3128">
        <v>0.31559749999999998</v>
      </c>
      <c r="V3128">
        <v>-0.1165306</v>
      </c>
      <c r="W3128">
        <v>-7.1517499999999998E-2</v>
      </c>
      <c r="X3128">
        <v>0.99060879999999996</v>
      </c>
      <c r="Y3128">
        <v>-0.1575829</v>
      </c>
      <c r="Z3128">
        <v>2.4665070000000002E-3</v>
      </c>
      <c r="AA3128">
        <v>0.98750269999999996</v>
      </c>
      <c r="AB3128">
        <v>43</v>
      </c>
      <c r="AC3128">
        <v>66.147400000000005</v>
      </c>
      <c r="AD3128">
        <v>-1.03059126</v>
      </c>
      <c r="AE3128">
        <v>7.0384999999999902</v>
      </c>
      <c r="AF3128">
        <v>-10.546999416161499</v>
      </c>
      <c r="AG3128">
        <v>-1.03059126</v>
      </c>
      <c r="AH3128">
        <v>65.663203852671998</v>
      </c>
      <c r="AI3128">
        <v>90.887811949541401</v>
      </c>
      <c r="AJ3128">
        <v>99.125059632039196</v>
      </c>
      <c r="AK3128">
        <v>66.512838273729201</v>
      </c>
      <c r="AL3128">
        <v>94.101152201801796</v>
      </c>
      <c r="AM3128">
        <v>96.7091743632689</v>
      </c>
      <c r="AN3128">
        <v>0.99999996409002401</v>
      </c>
    </row>
    <row r="3129" spans="1:40" x14ac:dyDescent="0.25">
      <c r="A3129" t="str">
        <f>"20190305135853276"</f>
        <v>20190305135853276</v>
      </c>
      <c r="B3129" t="str">
        <f>"1551765533272193"</f>
        <v>1551765533272193</v>
      </c>
      <c r="C3129" t="s">
        <v>40</v>
      </c>
      <c r="D3129">
        <v>4.1074999999999999</v>
      </c>
      <c r="E3129">
        <v>0.48563820000000002</v>
      </c>
      <c r="F3129" t="s">
        <v>58</v>
      </c>
      <c r="G3129">
        <v>-204.2756</v>
      </c>
      <c r="H3129">
        <v>7.9999689999999998E-2</v>
      </c>
      <c r="I3129">
        <v>223.61439999999999</v>
      </c>
      <c r="J3129">
        <v>-279.52800000000002</v>
      </c>
      <c r="K3129">
        <v>1.1107590000000001</v>
      </c>
      <c r="L3129">
        <v>215.4914</v>
      </c>
      <c r="M3129">
        <v>0.99854200000000004</v>
      </c>
      <c r="N3129">
        <v>-1.632161E-2</v>
      </c>
      <c r="O3129">
        <v>-5.1455029999999999E-2</v>
      </c>
      <c r="P3129">
        <v>0.99385299999999999</v>
      </c>
      <c r="Q3129">
        <v>-8.8185109999999997E-2</v>
      </c>
      <c r="R3129">
        <v>6.6928409999999994E-2</v>
      </c>
      <c r="S3129">
        <v>2.9934690000000002</v>
      </c>
      <c r="T3129">
        <v>-4.083204E-2</v>
      </c>
      <c r="U3129">
        <v>0.32124330000000001</v>
      </c>
      <c r="V3129">
        <v>-0.11764189999999999</v>
      </c>
      <c r="W3129">
        <v>-7.2589130000000002E-2</v>
      </c>
      <c r="X3129">
        <v>0.99039949999999999</v>
      </c>
      <c r="Y3129">
        <v>-0.15769649999999999</v>
      </c>
      <c r="Z3129">
        <v>2.2261109999999998E-3</v>
      </c>
      <c r="AA3129">
        <v>0.9874851</v>
      </c>
      <c r="AB3129">
        <v>43</v>
      </c>
      <c r="AC3129">
        <v>75.252399999999994</v>
      </c>
      <c r="AD3129">
        <v>-1.0307593100000001</v>
      </c>
      <c r="AE3129">
        <v>8.1229999999999905</v>
      </c>
      <c r="AF3129">
        <v>-11.9826445189276</v>
      </c>
      <c r="AG3129">
        <v>-1.0307593100000001</v>
      </c>
      <c r="AH3129">
        <v>74.720805178748805</v>
      </c>
      <c r="AI3129">
        <v>90.780364848995106</v>
      </c>
      <c r="AJ3129">
        <v>99.110698554033405</v>
      </c>
      <c r="AK3129">
        <v>75.682527448431998</v>
      </c>
      <c r="AL3129">
        <v>94.162712007704897</v>
      </c>
      <c r="AM3129">
        <v>96.773983137114996</v>
      </c>
      <c r="AN3129">
        <v>0.999999984015008</v>
      </c>
    </row>
    <row r="3130" spans="1:40" x14ac:dyDescent="0.25">
      <c r="A3130" t="str">
        <f>"20190305135853290"</f>
        <v>20190305135853290</v>
      </c>
      <c r="B3130" t="str">
        <f>"1551765533281953"</f>
        <v>1551765533281953</v>
      </c>
      <c r="C3130" t="s">
        <v>40</v>
      </c>
      <c r="D3130">
        <v>4.0726500000000003</v>
      </c>
      <c r="E3130">
        <v>0.48602119999999999</v>
      </c>
      <c r="F3130" t="s">
        <v>58</v>
      </c>
      <c r="G3130">
        <v>-191.3066</v>
      </c>
      <c r="H3130" s="1">
        <v>1.4981140000000001E-6</v>
      </c>
      <c r="I3130">
        <v>225.03989999999999</v>
      </c>
      <c r="J3130">
        <v>-279.2679</v>
      </c>
      <c r="K3130">
        <v>1.110887</v>
      </c>
      <c r="L3130">
        <v>215.47919999999999</v>
      </c>
      <c r="M3130">
        <v>0.99862550000000005</v>
      </c>
      <c r="N3130">
        <v>-1.6173969999999999E-2</v>
      </c>
      <c r="O3130">
        <v>-4.9857779999999997E-2</v>
      </c>
      <c r="P3130">
        <v>0.99354929999999997</v>
      </c>
      <c r="Q3130">
        <v>-8.9085490000000003E-2</v>
      </c>
      <c r="R3130">
        <v>7.0170979999999994E-2</v>
      </c>
      <c r="S3130">
        <v>2.993439</v>
      </c>
      <c r="T3130">
        <v>-3.7689090000000001E-2</v>
      </c>
      <c r="U3130">
        <v>0.3239899</v>
      </c>
      <c r="V3130">
        <v>-0.11925090000000001</v>
      </c>
      <c r="W3130">
        <v>-7.3691660000000006E-2</v>
      </c>
      <c r="X3130">
        <v>0.99012560000000005</v>
      </c>
      <c r="Y3130">
        <v>-0.1570172</v>
      </c>
      <c r="Z3130">
        <v>2.0815349999999998E-3</v>
      </c>
      <c r="AA3130">
        <v>0.98759370000000002</v>
      </c>
      <c r="AB3130">
        <v>43</v>
      </c>
      <c r="AC3130">
        <v>87.961299999999994</v>
      </c>
      <c r="AD3130">
        <v>-1.110885501886</v>
      </c>
      <c r="AE3130">
        <v>9.56069999999999</v>
      </c>
      <c r="AF3130">
        <v>-13.9327384698919</v>
      </c>
      <c r="AG3130">
        <v>-1.110885501886</v>
      </c>
      <c r="AH3130">
        <v>87.361367498393093</v>
      </c>
      <c r="AI3130">
        <v>90.719441662675294</v>
      </c>
      <c r="AJ3130">
        <v>99.061446750485999</v>
      </c>
      <c r="AK3130">
        <v>88.472390038124303</v>
      </c>
      <c r="AL3130">
        <v>94.226052029866594</v>
      </c>
      <c r="AM3130">
        <v>96.8676342406835</v>
      </c>
      <c r="AN3130">
        <v>0.99999997083986203</v>
      </c>
    </row>
    <row r="3131" spans="1:40" x14ac:dyDescent="0.25">
      <c r="A3131" t="str">
        <f>"20190305135853304"</f>
        <v>20190305135853304</v>
      </c>
      <c r="B3131" t="str">
        <f>"1551765533302449"</f>
        <v>1551765533302449</v>
      </c>
      <c r="C3131" t="s">
        <v>40</v>
      </c>
      <c r="D3131">
        <v>4.0873739999999996</v>
      </c>
      <c r="E3131">
        <v>0.48671819999999999</v>
      </c>
      <c r="F3131" t="s">
        <v>58</v>
      </c>
      <c r="G3131">
        <v>-191.0813</v>
      </c>
      <c r="H3131" s="1">
        <v>1.4506379999999999E-6</v>
      </c>
      <c r="I3131">
        <v>225.23079999999999</v>
      </c>
      <c r="J3131">
        <v>-279.00749999999999</v>
      </c>
      <c r="K3131">
        <v>1.110989</v>
      </c>
      <c r="L3131">
        <v>215.4674</v>
      </c>
      <c r="M3131">
        <v>0.99870820000000005</v>
      </c>
      <c r="N3131">
        <v>-1.603417E-2</v>
      </c>
      <c r="O3131">
        <v>-4.8218360000000002E-2</v>
      </c>
      <c r="P3131">
        <v>0.99294590000000005</v>
      </c>
      <c r="Q3131">
        <v>-9.195536E-2</v>
      </c>
      <c r="R3131">
        <v>7.4852089999999996E-2</v>
      </c>
      <c r="S3131">
        <v>2.992737</v>
      </c>
      <c r="T3131">
        <v>-3.7699459999999997E-2</v>
      </c>
      <c r="U3131">
        <v>0.33093260000000002</v>
      </c>
      <c r="V3131">
        <v>-0.1222322</v>
      </c>
      <c r="W3131">
        <v>-7.6767470000000004E-2</v>
      </c>
      <c r="X3131">
        <v>0.98952819999999997</v>
      </c>
      <c r="Y3131">
        <v>-0.15768460000000001</v>
      </c>
      <c r="Z3131">
        <v>2.0935300000000001E-3</v>
      </c>
      <c r="AA3131">
        <v>0.98748729999999996</v>
      </c>
      <c r="AB3131">
        <v>42</v>
      </c>
      <c r="AC3131">
        <v>87.926199999999994</v>
      </c>
      <c r="AD3131">
        <v>-1.1109875493619901</v>
      </c>
      <c r="AE3131">
        <v>9.7633999999999901</v>
      </c>
      <c r="AF3131">
        <v>-13.9900360002685</v>
      </c>
      <c r="AG3131">
        <v>-1.1109875493619901</v>
      </c>
      <c r="AH3131">
        <v>87.3392896461867</v>
      </c>
      <c r="AI3131">
        <v>90.719611511642199</v>
      </c>
      <c r="AJ3131">
        <v>99.100350732774402</v>
      </c>
      <c r="AK3131">
        <v>88.459634390631194</v>
      </c>
      <c r="AL3131">
        <v>94.402783694043706</v>
      </c>
      <c r="AM3131">
        <v>97.0418317790255</v>
      </c>
      <c r="AN3131">
        <v>1.0000000068811401</v>
      </c>
    </row>
    <row r="3132" spans="1:40" x14ac:dyDescent="0.25">
      <c r="A3132" t="str">
        <f>"20190305135853320"</f>
        <v>20190305135853320</v>
      </c>
      <c r="B3132" t="str">
        <f>"1551765533312210"</f>
        <v>1551765533312210</v>
      </c>
      <c r="C3132" t="s">
        <v>40</v>
      </c>
      <c r="D3132">
        <v>4.1002660000000004</v>
      </c>
      <c r="E3132">
        <v>0.48706949999999999</v>
      </c>
      <c r="F3132" t="s">
        <v>58</v>
      </c>
      <c r="G3132">
        <v>-206.72929999999999</v>
      </c>
      <c r="H3132">
        <v>7.9999940000000005E-2</v>
      </c>
      <c r="I3132">
        <v>223.68279999999999</v>
      </c>
      <c r="J3132">
        <v>-278.70659999999998</v>
      </c>
      <c r="K3132">
        <v>1.111113</v>
      </c>
      <c r="L3132">
        <v>215.45419999999999</v>
      </c>
      <c r="M3132">
        <v>0.99880270000000004</v>
      </c>
      <c r="N3132">
        <v>-1.5883999999999999E-2</v>
      </c>
      <c r="O3132">
        <v>-4.6269690000000002E-2</v>
      </c>
      <c r="P3132">
        <v>0.99255789999999999</v>
      </c>
      <c r="Q3132">
        <v>-9.3125819999999998E-2</v>
      </c>
      <c r="R3132">
        <v>7.8461039999999996E-2</v>
      </c>
      <c r="S3132">
        <v>2.9917600000000002</v>
      </c>
      <c r="T3132">
        <v>-4.2675020000000001E-2</v>
      </c>
      <c r="U3132">
        <v>0.34005740000000001</v>
      </c>
      <c r="V3132">
        <v>-0.1238551</v>
      </c>
      <c r="W3132">
        <v>-7.8146220000000002E-2</v>
      </c>
      <c r="X3132">
        <v>0.98921840000000005</v>
      </c>
      <c r="Y3132">
        <v>-0.15876189999999901</v>
      </c>
      <c r="Z3132">
        <v>2.319513E-3</v>
      </c>
      <c r="AA3132">
        <v>0.98731420000000003</v>
      </c>
      <c r="AB3132">
        <v>42</v>
      </c>
      <c r="AC3132">
        <v>71.9772999999999</v>
      </c>
      <c r="AD3132">
        <v>-1.03111306</v>
      </c>
      <c r="AE3132">
        <v>8.2286000000000001</v>
      </c>
      <c r="AF3132">
        <v>-11.548232985716901</v>
      </c>
      <c r="AG3132">
        <v>-1.03111306</v>
      </c>
      <c r="AH3132">
        <v>71.504923927114007</v>
      </c>
      <c r="AI3132">
        <v>90.815590896021206</v>
      </c>
      <c r="AJ3132">
        <v>99.174202319321793</v>
      </c>
      <c r="AK3132">
        <v>72.438795027645696</v>
      </c>
      <c r="AL3132">
        <v>94.482018419826503</v>
      </c>
      <c r="AM3132">
        <v>97.136581572951201</v>
      </c>
      <c r="AN3132">
        <v>0.99999998019742897</v>
      </c>
    </row>
    <row r="3133" spans="1:40" x14ac:dyDescent="0.25">
      <c r="A3133" t="str">
        <f>"20190305135853331"</f>
        <v>20190305135853331</v>
      </c>
      <c r="B3133" t="str">
        <f>"1551765533321975"</f>
        <v>1551765533321975</v>
      </c>
      <c r="C3133" t="s">
        <v>40</v>
      </c>
      <c r="D3133">
        <v>4.0886820000000004</v>
      </c>
      <c r="E3133">
        <v>0.48741519999999999</v>
      </c>
      <c r="F3133" t="s">
        <v>58</v>
      </c>
      <c r="G3133">
        <v>-209.6806</v>
      </c>
      <c r="H3133">
        <v>8.0000500000000002E-2</v>
      </c>
      <c r="I3133">
        <v>223.49260000000001</v>
      </c>
      <c r="J3133">
        <v>-278.46699999999998</v>
      </c>
      <c r="K3133">
        <v>1.1112010000000001</v>
      </c>
      <c r="L3133">
        <v>215.4442</v>
      </c>
      <c r="M3133">
        <v>0.99887709999999996</v>
      </c>
      <c r="N3133">
        <v>-1.577574E-2</v>
      </c>
      <c r="O3133">
        <v>-4.4675140000000002E-2</v>
      </c>
      <c r="P3133">
        <v>0.99219040000000003</v>
      </c>
      <c r="Q3133">
        <v>-9.4381900000000005E-2</v>
      </c>
      <c r="R3133">
        <v>8.1549559999999993E-2</v>
      </c>
      <c r="S3133">
        <v>2.9908139999999999</v>
      </c>
      <c r="T3133">
        <v>-4.4676899999999999E-2</v>
      </c>
      <c r="U3133">
        <v>0.34829710000000003</v>
      </c>
      <c r="V3133">
        <v>-0.12531780000000001</v>
      </c>
      <c r="W3133">
        <v>-7.9555719999999996E-2</v>
      </c>
      <c r="X3133">
        <v>0.98892179999999996</v>
      </c>
      <c r="Y3133">
        <v>-0.15990270000000001</v>
      </c>
      <c r="Z3133">
        <v>2.4191569999999999E-3</v>
      </c>
      <c r="AA3133">
        <v>0.98712979999999995</v>
      </c>
      <c r="AB3133">
        <v>42</v>
      </c>
      <c r="AC3133">
        <v>68.786399999999901</v>
      </c>
      <c r="AD3133">
        <v>-1.0312005</v>
      </c>
      <c r="AE3133">
        <v>8.0484000000000098</v>
      </c>
      <c r="AF3133">
        <v>-11.1113229881992</v>
      </c>
      <c r="AG3133">
        <v>-1.0312005</v>
      </c>
      <c r="AH3133">
        <v>68.342944237772301</v>
      </c>
      <c r="AI3133">
        <v>90.853246828922295</v>
      </c>
      <c r="AJ3133">
        <v>99.2344557487217</v>
      </c>
      <c r="AK3133">
        <v>69.247981198779598</v>
      </c>
      <c r="AL3133">
        <v>94.563028995122295</v>
      </c>
      <c r="AM3133">
        <v>97.222121243280995</v>
      </c>
      <c r="AN3133">
        <v>0.99999999504839898</v>
      </c>
    </row>
    <row r="3134" spans="1:40" x14ac:dyDescent="0.25">
      <c r="A3134" t="str">
        <f>"20190305135853350"</f>
        <v>20190305135853350</v>
      </c>
      <c r="B3134" t="str">
        <f>"1551765533342470"</f>
        <v>1551765533342470</v>
      </c>
      <c r="C3134" t="s">
        <v>40</v>
      </c>
      <c r="D3134">
        <v>4.060543</v>
      </c>
      <c r="E3134">
        <v>0.4967742</v>
      </c>
      <c r="F3134" t="s">
        <v>59</v>
      </c>
      <c r="G3134">
        <v>-211.9401</v>
      </c>
      <c r="H3134">
        <v>8.0000210000000002E-2</v>
      </c>
      <c r="I3134">
        <v>223.34790000000001</v>
      </c>
      <c r="J3134">
        <v>-278.1379</v>
      </c>
      <c r="K3134">
        <v>1.1112820000000001</v>
      </c>
      <c r="L3134">
        <v>215.43119999999999</v>
      </c>
      <c r="M3134">
        <v>0.99897619999999998</v>
      </c>
      <c r="N3134">
        <v>-1.56379E-2</v>
      </c>
      <c r="O3134">
        <v>-4.2451200000000001E-2</v>
      </c>
      <c r="P3134">
        <v>0.99128289999999997</v>
      </c>
      <c r="Q3134">
        <v>-9.7485569999999994E-2</v>
      </c>
      <c r="R3134">
        <v>8.8626640000000007E-2</v>
      </c>
      <c r="S3134">
        <v>2.990021</v>
      </c>
      <c r="T3134">
        <v>-4.6346779999999997E-2</v>
      </c>
      <c r="U3134">
        <v>0.355224599999999</v>
      </c>
      <c r="V3134">
        <v>-0.13010350000000001</v>
      </c>
      <c r="W3134">
        <v>-8.2881830000000004E-2</v>
      </c>
      <c r="X3134">
        <v>0.98803019999999997</v>
      </c>
      <c r="Y3134">
        <v>-0.15998899999999999</v>
      </c>
      <c r="Z3134">
        <v>2.485732E-3</v>
      </c>
      <c r="AA3134">
        <v>0.98711570000000004</v>
      </c>
      <c r="AB3134">
        <v>42</v>
      </c>
      <c r="AC3134">
        <v>66.197800000000001</v>
      </c>
      <c r="AD3134">
        <v>-1.03128179</v>
      </c>
      <c r="AE3134">
        <v>7.9167000000000103</v>
      </c>
      <c r="AF3134">
        <v>-10.717516807207099</v>
      </c>
      <c r="AG3134">
        <v>-1.03128179</v>
      </c>
      <c r="AH3134">
        <v>65.786255222160307</v>
      </c>
      <c r="AI3134">
        <v>90.886425017991002</v>
      </c>
      <c r="AJ3134">
        <v>99.253007503797605</v>
      </c>
      <c r="AK3134">
        <v>66.661533771721594</v>
      </c>
      <c r="AL3134">
        <v>94.754232821289904</v>
      </c>
      <c r="AM3134">
        <v>97.501530865653294</v>
      </c>
      <c r="AN3134">
        <v>0.99999999728421896</v>
      </c>
    </row>
    <row r="3135" spans="1:40" x14ac:dyDescent="0.25">
      <c r="A3135" t="str">
        <f>"20190305135853365"</f>
        <v>20190305135853365</v>
      </c>
      <c r="B3135" t="str">
        <f>"1551765533361991"</f>
        <v>1551765533361991</v>
      </c>
      <c r="C3135" t="s">
        <v>40</v>
      </c>
      <c r="D3135">
        <v>4.0357979999999998</v>
      </c>
      <c r="E3135">
        <v>0.49814710000000001</v>
      </c>
      <c r="F3135" t="s">
        <v>73</v>
      </c>
      <c r="G3135">
        <v>-157.25</v>
      </c>
      <c r="H3135">
        <v>1.178903</v>
      </c>
      <c r="I3135">
        <v>227.7397</v>
      </c>
      <c r="J3135">
        <v>-277.85449999999997</v>
      </c>
      <c r="K3135">
        <v>1.1113679999999999</v>
      </c>
      <c r="L3135">
        <v>215.42060000000001</v>
      </c>
      <c r="M3135">
        <v>0.99905840000000001</v>
      </c>
      <c r="N3135">
        <v>-1.5529309999999999E-2</v>
      </c>
      <c r="O3135">
        <v>-4.0509740000000002E-2</v>
      </c>
      <c r="P3135">
        <v>0.99093830000000005</v>
      </c>
      <c r="Q3135">
        <v>-9.8197969999999996E-2</v>
      </c>
      <c r="R3135">
        <v>9.1641959999999995E-2</v>
      </c>
      <c r="S3135">
        <v>2.9992369999999999</v>
      </c>
      <c r="T3135">
        <v>1.679063E-3</v>
      </c>
      <c r="U3135">
        <v>0.30537409999999998</v>
      </c>
      <c r="V3135">
        <v>-0.13115869999999999</v>
      </c>
      <c r="W3135">
        <v>-8.3744390000000002E-2</v>
      </c>
      <c r="X3135">
        <v>0.98781790000000003</v>
      </c>
      <c r="Y3135">
        <v>-0.1415121</v>
      </c>
      <c r="Z3135">
        <v>4.1224589999999998E-4</v>
      </c>
      <c r="AA3135">
        <v>0.9899365</v>
      </c>
      <c r="AB3135">
        <v>42</v>
      </c>
      <c r="AC3135">
        <v>120.60449999999901</v>
      </c>
      <c r="AD3135">
        <v>6.7534999999999901E-2</v>
      </c>
      <c r="AE3135">
        <v>12.319099999999899</v>
      </c>
      <c r="AF3135">
        <v>-17.195226446448299</v>
      </c>
      <c r="AG3135">
        <v>6.7534999999999901E-2</v>
      </c>
      <c r="AH3135">
        <v>120.006336126752</v>
      </c>
      <c r="AI3135">
        <v>89.968082105051494</v>
      </c>
      <c r="AJ3135">
        <v>98.154180507409507</v>
      </c>
      <c r="AK3135">
        <v>121.232013445657</v>
      </c>
      <c r="AL3135">
        <v>94.803826439286397</v>
      </c>
      <c r="AM3135">
        <v>97.563276870565602</v>
      </c>
      <c r="AN3135">
        <v>0.999999965501285</v>
      </c>
    </row>
    <row r="3136" spans="1:40" x14ac:dyDescent="0.25">
      <c r="A3136" t="str">
        <f>"20190305135853379"</f>
        <v>20190305135853379</v>
      </c>
      <c r="B3136" t="str">
        <f>"1551765533371751"</f>
        <v>1551765533371751</v>
      </c>
      <c r="C3136" t="s">
        <v>40</v>
      </c>
      <c r="D3136">
        <v>4.0639609999999999</v>
      </c>
      <c r="E3136">
        <v>0.49867879999999998</v>
      </c>
      <c r="F3136" t="s">
        <v>73</v>
      </c>
      <c r="G3136">
        <v>-157.25</v>
      </c>
      <c r="H3136">
        <v>1.347224</v>
      </c>
      <c r="I3136">
        <v>227.63550000000001</v>
      </c>
      <c r="J3136">
        <v>-277.58550000000002</v>
      </c>
      <c r="K3136">
        <v>1.11144</v>
      </c>
      <c r="L3136">
        <v>215.4109</v>
      </c>
      <c r="M3136">
        <v>0.99913359999999996</v>
      </c>
      <c r="N3136">
        <v>-1.543346E-2</v>
      </c>
      <c r="O3136">
        <v>-3.8650669999999998E-2</v>
      </c>
      <c r="P3136">
        <v>0.99059680000000006</v>
      </c>
      <c r="Q3136">
        <v>-9.8687590000000006E-2</v>
      </c>
      <c r="R3136">
        <v>9.4755649999999997E-2</v>
      </c>
      <c r="S3136">
        <v>2.999908</v>
      </c>
      <c r="T3136">
        <v>5.8680769999999898E-3</v>
      </c>
      <c r="U3136">
        <v>0.30383300000000002</v>
      </c>
      <c r="V3136">
        <v>-0.13239890000000001</v>
      </c>
      <c r="W3136">
        <v>-8.4368529999999997E-2</v>
      </c>
      <c r="X3136">
        <v>0.98759940000000002</v>
      </c>
      <c r="Y3136">
        <v>-0.1391445</v>
      </c>
      <c r="Z3136">
        <v>2.7052000000000001E-4</v>
      </c>
      <c r="AA3136">
        <v>0.99027200000000004</v>
      </c>
      <c r="AB3136">
        <v>42</v>
      </c>
      <c r="AC3136">
        <v>120.3355</v>
      </c>
      <c r="AD3136">
        <v>0.23578399999999999</v>
      </c>
      <c r="AE3136">
        <v>12.224600000000001</v>
      </c>
      <c r="AF3136">
        <v>-16.867000988686598</v>
      </c>
      <c r="AG3136">
        <v>0.23578399999999999</v>
      </c>
      <c r="AH3136">
        <v>119.772561530185</v>
      </c>
      <c r="AI3136">
        <v>89.8883098662225</v>
      </c>
      <c r="AJ3136">
        <v>98.015979565576004</v>
      </c>
      <c r="AK3136">
        <v>120.95461054440599</v>
      </c>
      <c r="AL3136">
        <v>94.839713643761797</v>
      </c>
      <c r="AM3136">
        <v>97.6356226339785</v>
      </c>
      <c r="AN3136">
        <v>1.0000000462279599</v>
      </c>
    </row>
    <row r="3137" spans="1:40" x14ac:dyDescent="0.25">
      <c r="A3137" t="str">
        <f>"20190305135853393"</f>
        <v>20190305135853393</v>
      </c>
      <c r="B3137" t="str">
        <f>"1551765533382487"</f>
        <v>1551765533382487</v>
      </c>
      <c r="C3137" t="s">
        <v>40</v>
      </c>
      <c r="D3137">
        <v>4.0531069999999998</v>
      </c>
      <c r="E3137">
        <v>0.49921219999999999</v>
      </c>
      <c r="F3137" t="s">
        <v>73</v>
      </c>
      <c r="G3137">
        <v>-157.25</v>
      </c>
      <c r="H3137">
        <v>1.3547</v>
      </c>
      <c r="I3137">
        <v>227.82</v>
      </c>
      <c r="J3137">
        <v>-277.3252</v>
      </c>
      <c r="K3137">
        <v>1.111486</v>
      </c>
      <c r="L3137">
        <v>215.40209999999999</v>
      </c>
      <c r="M3137">
        <v>0.99920350000000002</v>
      </c>
      <c r="N3137">
        <v>-1.5350290000000001E-2</v>
      </c>
      <c r="O3137">
        <v>-3.6834510000000001E-2</v>
      </c>
      <c r="P3137">
        <v>0.99019349999999995</v>
      </c>
      <c r="Q3137">
        <v>-9.9193050000000005E-2</v>
      </c>
      <c r="R3137">
        <v>9.8373870000000002E-2</v>
      </c>
      <c r="S3137">
        <v>2.9994809999999998</v>
      </c>
      <c r="T3137">
        <v>6.0648919999999997E-3</v>
      </c>
      <c r="U3137">
        <v>0.3093109</v>
      </c>
      <c r="V3137">
        <v>-0.13418849999999999</v>
      </c>
      <c r="W3137">
        <v>-8.4996440000000006E-2</v>
      </c>
      <c r="X3137">
        <v>0.98730390000000001</v>
      </c>
      <c r="Y3137">
        <v>-0.13914879999999999</v>
      </c>
      <c r="Z3137">
        <v>2.9247589999999998E-4</v>
      </c>
      <c r="AA3137">
        <v>0.99027140000000002</v>
      </c>
      <c r="AB3137">
        <v>42</v>
      </c>
      <c r="AC3137">
        <v>120.0752</v>
      </c>
      <c r="AD3137">
        <v>0.24321400000000001</v>
      </c>
      <c r="AE3137">
        <v>12.417899999999999</v>
      </c>
      <c r="AF3137">
        <v>-16.832834870414299</v>
      </c>
      <c r="AG3137">
        <v>0.24321400000000001</v>
      </c>
      <c r="AH3137">
        <v>119.535748879973</v>
      </c>
      <c r="AI3137">
        <v>89.884561957501205</v>
      </c>
      <c r="AJ3137">
        <v>98.015595615383901</v>
      </c>
      <c r="AK3137">
        <v>120.71536249840101</v>
      </c>
      <c r="AL3137">
        <v>94.875820304138699</v>
      </c>
      <c r="AM3137">
        <v>97.739876966002896</v>
      </c>
      <c r="AN3137">
        <v>0.99999996965006599</v>
      </c>
    </row>
    <row r="3138" spans="1:40" x14ac:dyDescent="0.25">
      <c r="A3138" t="str">
        <f>"20190305135853417"</f>
        <v>20190305135853417</v>
      </c>
      <c r="B3138" t="str">
        <f>"1551765533411766"</f>
        <v>1551765533411766</v>
      </c>
      <c r="C3138" t="s">
        <v>40</v>
      </c>
      <c r="D3138">
        <v>4.0683179999999997</v>
      </c>
      <c r="E3138">
        <v>0.49842890000000001</v>
      </c>
      <c r="F3138" t="s">
        <v>73</v>
      </c>
      <c r="G3138">
        <v>-157.25</v>
      </c>
      <c r="H3138">
        <v>1.3642019999999999</v>
      </c>
      <c r="I3138">
        <v>228.0574</v>
      </c>
      <c r="J3138">
        <v>-276.88959999999997</v>
      </c>
      <c r="K3138">
        <v>1.1115600000000001</v>
      </c>
      <c r="L3138">
        <v>215.38839999999999</v>
      </c>
      <c r="M3138">
        <v>0.99931349999999997</v>
      </c>
      <c r="N3138">
        <v>-1.5223570000000001E-2</v>
      </c>
      <c r="O3138">
        <v>-3.3780339999999999E-2</v>
      </c>
      <c r="P3138">
        <v>0.98969189999999996</v>
      </c>
      <c r="Q3138">
        <v>-0.1002031</v>
      </c>
      <c r="R3138">
        <v>0.1023213</v>
      </c>
      <c r="S3138">
        <v>2.9989319999999999</v>
      </c>
      <c r="T3138">
        <v>6.3130859999999999E-3</v>
      </c>
      <c r="U3138">
        <v>0.31607059999999998</v>
      </c>
      <c r="V3138">
        <v>-0.135073</v>
      </c>
      <c r="W3138">
        <v>-8.6175509999999997E-2</v>
      </c>
      <c r="X3138">
        <v>0.98708110000000004</v>
      </c>
      <c r="Y3138">
        <v>-0.1383491</v>
      </c>
      <c r="Z3138">
        <v>3.2718439999999998E-4</v>
      </c>
      <c r="AA3138">
        <v>0.99038340000000002</v>
      </c>
      <c r="AB3138">
        <v>42</v>
      </c>
      <c r="AC3138">
        <v>119.63959999999901</v>
      </c>
      <c r="AD3138">
        <v>0.25264199999999998</v>
      </c>
      <c r="AE3138">
        <v>12.669</v>
      </c>
      <c r="AF3138">
        <v>-16.703628312417301</v>
      </c>
      <c r="AG3138">
        <v>0.25264199999999998</v>
      </c>
      <c r="AH3138">
        <v>119.142765601796</v>
      </c>
      <c r="AI3138">
        <v>89.879681304775303</v>
      </c>
      <c r="AJ3138">
        <v>97.980760564302003</v>
      </c>
      <c r="AK3138">
        <v>120.30824419807701</v>
      </c>
      <c r="AL3138">
        <v>94.943624604833303</v>
      </c>
      <c r="AM3138">
        <v>97.792006524959305</v>
      </c>
      <c r="AN3138">
        <v>1.00000001591498</v>
      </c>
    </row>
    <row r="3139" spans="1:40" x14ac:dyDescent="0.25">
      <c r="A3139" t="str">
        <f>"20190305135853440"</f>
        <v>20190305135853440</v>
      </c>
      <c r="B3139" t="str">
        <f>"1551765533431795"</f>
        <v>1551765533431795</v>
      </c>
      <c r="C3139" t="s">
        <v>40</v>
      </c>
      <c r="D3139">
        <v>4.1114660000000001</v>
      </c>
      <c r="E3139">
        <v>0.4984556</v>
      </c>
      <c r="F3139" t="s">
        <v>73</v>
      </c>
      <c r="G3139">
        <v>-157.25</v>
      </c>
      <c r="H3139">
        <v>1.0427280000000001</v>
      </c>
      <c r="I3139">
        <v>228.72059999999999</v>
      </c>
      <c r="J3139">
        <v>-276.45460000000003</v>
      </c>
      <c r="K3139">
        <v>1.111612</v>
      </c>
      <c r="L3139">
        <v>215.37620000000001</v>
      </c>
      <c r="M3139">
        <v>0.99941409999999997</v>
      </c>
      <c r="N3139">
        <v>-1.511433E-2</v>
      </c>
      <c r="O3139">
        <v>-3.0712779999999999E-2</v>
      </c>
      <c r="P3139">
        <v>0.989209</v>
      </c>
      <c r="Q3139">
        <v>-0.1014882</v>
      </c>
      <c r="R3139">
        <v>0.1056687</v>
      </c>
      <c r="S3139">
        <v>2.9965519999999999</v>
      </c>
      <c r="T3139">
        <v>-1.7225739999999999E-3</v>
      </c>
      <c r="U3139">
        <v>0.33392329999999998</v>
      </c>
      <c r="V3139">
        <v>-0.13534979999999999</v>
      </c>
      <c r="W3139">
        <v>-8.7600280000000003E-2</v>
      </c>
      <c r="X3139">
        <v>0.98691770000000001</v>
      </c>
      <c r="Y3139">
        <v>-0.1412216</v>
      </c>
      <c r="Z3139">
        <v>6.6600860000000004E-4</v>
      </c>
      <c r="AA3139">
        <v>0.98997780000000002</v>
      </c>
      <c r="AB3139">
        <v>42</v>
      </c>
      <c r="AC3139">
        <v>119.2046</v>
      </c>
      <c r="AD3139">
        <v>-6.8883999999999904E-2</v>
      </c>
      <c r="AE3139">
        <v>13.344399999999901</v>
      </c>
      <c r="AF3139">
        <v>-16.9996201782822</v>
      </c>
      <c r="AG3139">
        <v>-6.8883999999999904E-2</v>
      </c>
      <c r="AH3139">
        <v>118.738422999077</v>
      </c>
      <c r="AI3139">
        <v>90.0329036247701</v>
      </c>
      <c r="AJ3139">
        <v>98.147592889374096</v>
      </c>
      <c r="AK3139">
        <v>119.949176435352</v>
      </c>
      <c r="AL3139">
        <v>95.025568091511801</v>
      </c>
      <c r="AM3139">
        <v>97.809054393232998</v>
      </c>
      <c r="AN3139">
        <v>0.99999996199470298</v>
      </c>
    </row>
    <row r="3140" spans="1:40" x14ac:dyDescent="0.25">
      <c r="A3140" t="str">
        <f>"20190305135853461"</f>
        <v>20190305135853461</v>
      </c>
      <c r="B3140" t="str">
        <f>"1551765533452290"</f>
        <v>1551765533452290</v>
      </c>
      <c r="C3140" t="s">
        <v>40</v>
      </c>
      <c r="D3140">
        <v>4.1014350000000004</v>
      </c>
      <c r="E3140">
        <v>0.4953497</v>
      </c>
      <c r="F3140" t="s">
        <v>73</v>
      </c>
      <c r="G3140">
        <v>-157.25</v>
      </c>
      <c r="H3140">
        <v>0.83752579999999999</v>
      </c>
      <c r="I3140">
        <v>229.05889999999999</v>
      </c>
      <c r="J3140">
        <v>-276.05160000000001</v>
      </c>
      <c r="K3140">
        <v>1.111642</v>
      </c>
      <c r="L3140">
        <v>215.36609999999999</v>
      </c>
      <c r="M3140">
        <v>0.99949880000000002</v>
      </c>
      <c r="N3140">
        <v>-1.502674E-2</v>
      </c>
      <c r="O3140">
        <v>-2.786247E-2</v>
      </c>
      <c r="P3140">
        <v>0.98874620000000002</v>
      </c>
      <c r="Q3140">
        <v>-0.1033805</v>
      </c>
      <c r="R3140">
        <v>0.10813490000000001</v>
      </c>
      <c r="S3140">
        <v>2.9952999999999999</v>
      </c>
      <c r="T3140">
        <v>-6.8856480000000003E-3</v>
      </c>
      <c r="U3140">
        <v>0.34381099999999998</v>
      </c>
      <c r="V3140">
        <v>-0.1349629</v>
      </c>
      <c r="W3140">
        <v>-8.959831E-2</v>
      </c>
      <c r="X3140">
        <v>0.98679139999999999</v>
      </c>
      <c r="Y3140">
        <v>-0.1416692</v>
      </c>
      <c r="Z3140">
        <v>8.7691859999999996E-4</v>
      </c>
      <c r="AA3140">
        <v>0.98991359999999995</v>
      </c>
      <c r="AB3140">
        <v>42</v>
      </c>
      <c r="AC3140">
        <v>118.80159999999999</v>
      </c>
      <c r="AD3140">
        <v>-0.27411619999999998</v>
      </c>
      <c r="AE3140">
        <v>13.6928</v>
      </c>
      <c r="AF3140">
        <v>-16.997873323678199</v>
      </c>
      <c r="AG3140">
        <v>-0.27411619999999998</v>
      </c>
      <c r="AH3140">
        <v>118.37328650787001</v>
      </c>
      <c r="AI3140">
        <v>90.131332103841402</v>
      </c>
      <c r="AJ3140">
        <v>98.171557692276593</v>
      </c>
      <c r="AK3140">
        <v>119.587782803651</v>
      </c>
      <c r="AL3140">
        <v>95.140498308231997</v>
      </c>
      <c r="AM3140">
        <v>97.787990746493094</v>
      </c>
      <c r="AN3140">
        <v>1.00000005432261</v>
      </c>
    </row>
    <row r="3141" spans="1:40" x14ac:dyDescent="0.25">
      <c r="A3141" t="str">
        <f>"20190305135853476"</f>
        <v>20190305135853476</v>
      </c>
      <c r="B3141" t="str">
        <f>"1551765533471810"</f>
        <v>1551765533471810</v>
      </c>
      <c r="C3141" t="s">
        <v>40</v>
      </c>
      <c r="D3141">
        <v>4.092441</v>
      </c>
      <c r="E3141">
        <v>0.49782419999999999</v>
      </c>
      <c r="F3141" t="s">
        <v>59</v>
      </c>
      <c r="G3141">
        <v>-245.8511</v>
      </c>
      <c r="H3141" s="1">
        <v>1.379741E-6</v>
      </c>
      <c r="I3141">
        <v>219.1258</v>
      </c>
      <c r="J3141">
        <v>-275.75790000000001</v>
      </c>
      <c r="K3141">
        <v>1.111664</v>
      </c>
      <c r="L3141">
        <v>215.35939999999999</v>
      </c>
      <c r="M3141">
        <v>0.99955559999999999</v>
      </c>
      <c r="N3141">
        <v>-1.496958E-2</v>
      </c>
      <c r="O3141">
        <v>-2.5782070000000001E-2</v>
      </c>
      <c r="P3141">
        <v>0.98847119999999999</v>
      </c>
      <c r="Q3141">
        <v>-0.10433439999999999</v>
      </c>
      <c r="R3141">
        <v>0.1097231</v>
      </c>
      <c r="S3141">
        <v>2.982056</v>
      </c>
      <c r="T3141">
        <v>-0.1097653</v>
      </c>
      <c r="U3141">
        <v>0.37124629999999997</v>
      </c>
      <c r="V3141">
        <v>-0.1344766</v>
      </c>
      <c r="W3141">
        <v>-9.0617649999999994E-2</v>
      </c>
      <c r="X3141">
        <v>0.98676470000000005</v>
      </c>
      <c r="Y3141">
        <v>-0.14893970000000001</v>
      </c>
      <c r="Z3141">
        <v>4.4103859999999996E-3</v>
      </c>
      <c r="AA3141">
        <v>0.98883650000000001</v>
      </c>
      <c r="AB3141">
        <v>42</v>
      </c>
      <c r="AC3141">
        <v>29.9068</v>
      </c>
      <c r="AD3141">
        <v>-1.1116626202590001</v>
      </c>
      <c r="AE3141">
        <v>3.7664</v>
      </c>
      <c r="AF3141">
        <v>-4.5301318106031099</v>
      </c>
      <c r="AG3141">
        <v>-1.1116626202590001</v>
      </c>
      <c r="AH3141">
        <v>29.759264216563</v>
      </c>
      <c r="AI3141">
        <v>92.114957534905997</v>
      </c>
      <c r="AJ3141">
        <v>98.655454928737598</v>
      </c>
      <c r="AK3141">
        <v>30.122611020858098</v>
      </c>
      <c r="AL3141">
        <v>95.199140799714399</v>
      </c>
      <c r="AM3141">
        <v>97.760478918725696</v>
      </c>
      <c r="AN3141">
        <v>1.00000004380258</v>
      </c>
    </row>
    <row r="3142" spans="1:40" x14ac:dyDescent="0.25">
      <c r="A3142" t="str">
        <f>"20190305135853490"</f>
        <v>20190305135853490</v>
      </c>
      <c r="B3142" t="str">
        <f>"1551765533481570"</f>
        <v>1551765533481570</v>
      </c>
      <c r="C3142" t="s">
        <v>40</v>
      </c>
      <c r="D3142">
        <v>4.0846260000000001</v>
      </c>
      <c r="E3142">
        <v>0.49856020000000001</v>
      </c>
      <c r="F3142" t="s">
        <v>59</v>
      </c>
      <c r="G3142">
        <v>-242.78960000000001</v>
      </c>
      <c r="H3142" s="1">
        <v>-2.5712239999999999E-7</v>
      </c>
      <c r="I3142">
        <v>219.30199999999999</v>
      </c>
      <c r="J3142">
        <v>-275.5077</v>
      </c>
      <c r="K3142">
        <v>1.1116820000000001</v>
      </c>
      <c r="L3142">
        <v>215.35429999999999</v>
      </c>
      <c r="M3142">
        <v>0.9996003</v>
      </c>
      <c r="N3142">
        <v>-1.4926099999999999E-2</v>
      </c>
      <c r="O3142">
        <v>-2.400853E-2</v>
      </c>
      <c r="P3142">
        <v>0.98820669999999999</v>
      </c>
      <c r="Q3142">
        <v>-0.1053978</v>
      </c>
      <c r="R3142">
        <v>0.1110806</v>
      </c>
      <c r="S3142">
        <v>2.984772</v>
      </c>
      <c r="T3142">
        <v>-0.1006441</v>
      </c>
      <c r="U3142">
        <v>0.35694890000000001</v>
      </c>
      <c r="V3142">
        <v>-0.13406390000000001</v>
      </c>
      <c r="W3142">
        <v>-9.1730320000000004E-2</v>
      </c>
      <c r="X3142">
        <v>0.98671799999999998</v>
      </c>
      <c r="Y3142">
        <v>-0.14243120000000001</v>
      </c>
      <c r="Z3142">
        <v>3.9091059999999999E-3</v>
      </c>
      <c r="AA3142">
        <v>0.98979700000000004</v>
      </c>
      <c r="AB3142">
        <v>42</v>
      </c>
      <c r="AC3142">
        <v>32.7180999999999</v>
      </c>
      <c r="AD3142">
        <v>-1.1116822571223901</v>
      </c>
      <c r="AE3142">
        <v>3.9477000000000202</v>
      </c>
      <c r="AF3142">
        <v>-4.7267841965681203</v>
      </c>
      <c r="AG3142">
        <v>-1.1116822571223901</v>
      </c>
      <c r="AH3142">
        <v>32.576808493213797</v>
      </c>
      <c r="AI3142">
        <v>91.934218803292694</v>
      </c>
      <c r="AJ3142">
        <v>98.255808032625495</v>
      </c>
      <c r="AK3142">
        <v>32.936708668069002</v>
      </c>
      <c r="AL3142">
        <v>95.263158982557499</v>
      </c>
      <c r="AM3142">
        <v>97.737313155854395</v>
      </c>
      <c r="AN3142">
        <v>0.99999999620725599</v>
      </c>
    </row>
    <row r="3143" spans="1:40" x14ac:dyDescent="0.25">
      <c r="A3143" t="str">
        <f>"20190305135853505"</f>
        <v>20190305135853505</v>
      </c>
      <c r="B3143" t="str">
        <f>"1551765533501880"</f>
        <v>1551765533501880</v>
      </c>
      <c r="C3143" t="s">
        <v>40</v>
      </c>
      <c r="D3143">
        <v>4.1014699999999999</v>
      </c>
      <c r="E3143">
        <v>0.49998300000000001</v>
      </c>
      <c r="F3143" t="s">
        <v>59</v>
      </c>
      <c r="G3143">
        <v>-242.8947</v>
      </c>
      <c r="H3143" s="1">
        <v>-1.9844479999999999E-7</v>
      </c>
      <c r="I3143">
        <v>219.23929999999999</v>
      </c>
      <c r="J3143">
        <v>-275.22109999999998</v>
      </c>
      <c r="K3143">
        <v>1.1116889999999999</v>
      </c>
      <c r="L3143">
        <v>215.34889999999999</v>
      </c>
      <c r="M3143">
        <v>0.99964770000000003</v>
      </c>
      <c r="N3143">
        <v>-1.4879750000000001E-2</v>
      </c>
      <c r="O3143">
        <v>-2.1978810000000001E-2</v>
      </c>
      <c r="P3143">
        <v>0.98791519999999999</v>
      </c>
      <c r="Q3143">
        <v>-0.1068679</v>
      </c>
      <c r="R3143">
        <v>0.11226129999999999</v>
      </c>
      <c r="S3143">
        <v>2.984985</v>
      </c>
      <c r="T3143">
        <v>-0.1017494</v>
      </c>
      <c r="U3143">
        <v>0.35559079999999998</v>
      </c>
      <c r="V3143">
        <v>-0.13321920000000001</v>
      </c>
      <c r="W3143">
        <v>-9.3248570000000003E-2</v>
      </c>
      <c r="X3143">
        <v>0.98669010000000001</v>
      </c>
      <c r="Y3143">
        <v>-0.13996879999999901</v>
      </c>
      <c r="Z3143">
        <v>3.842757E-3</v>
      </c>
      <c r="AA3143">
        <v>0.99014849999999999</v>
      </c>
      <c r="AB3143">
        <v>42</v>
      </c>
      <c r="AC3143">
        <v>32.3263999999999</v>
      </c>
      <c r="AD3143">
        <v>-1.1116891984448001</v>
      </c>
      <c r="AE3143">
        <v>3.8904000000000001</v>
      </c>
      <c r="AF3143">
        <v>-4.5946782188659299</v>
      </c>
      <c r="AG3143">
        <v>-1.1116891984448001</v>
      </c>
      <c r="AH3143">
        <v>32.195541474434698</v>
      </c>
      <c r="AI3143">
        <v>91.957776437152006</v>
      </c>
      <c r="AJ3143">
        <v>98.121931689090005</v>
      </c>
      <c r="AK3143">
        <v>32.540740797359</v>
      </c>
      <c r="AL3143">
        <v>95.350522746876095</v>
      </c>
      <c r="AM3143">
        <v>97.689362318438199</v>
      </c>
      <c r="AN3143">
        <v>1.00000000224684</v>
      </c>
    </row>
    <row r="3144" spans="1:40" x14ac:dyDescent="0.25">
      <c r="A3144" t="str">
        <f>"20190305135853521"</f>
        <v>20190305135853521</v>
      </c>
      <c r="B3144" t="str">
        <f>"1551765533511641"</f>
        <v>1551765533511641</v>
      </c>
      <c r="C3144" t="s">
        <v>40</v>
      </c>
      <c r="D3144">
        <v>4.0595730000000003</v>
      </c>
      <c r="E3144">
        <v>0.50044690000000003</v>
      </c>
      <c r="F3144" t="s">
        <v>59</v>
      </c>
      <c r="G3144">
        <v>-243.24109999999999</v>
      </c>
      <c r="H3144" s="1">
        <v>-7.0633209999999999E-9</v>
      </c>
      <c r="I3144">
        <v>219.07759999999999</v>
      </c>
      <c r="J3144">
        <v>-274.91609999999997</v>
      </c>
      <c r="K3144">
        <v>1.1116919999999999</v>
      </c>
      <c r="L3144">
        <v>215.34379999999999</v>
      </c>
      <c r="M3144">
        <v>0.99969350000000001</v>
      </c>
      <c r="N3144">
        <v>-1.483491E-2</v>
      </c>
      <c r="O3144">
        <v>-1.982399E-2</v>
      </c>
      <c r="P3144">
        <v>0.98769459999999998</v>
      </c>
      <c r="Q3144">
        <v>-0.1072294</v>
      </c>
      <c r="R3144">
        <v>0.11384909999999999</v>
      </c>
      <c r="S3144">
        <v>2.9859010000000001</v>
      </c>
      <c r="T3144">
        <v>-0.10379579999999999</v>
      </c>
      <c r="U3144">
        <v>0.34814450000000002</v>
      </c>
      <c r="V3144">
        <v>-0.1326707</v>
      </c>
      <c r="W3144">
        <v>-9.3656059999999999E-2</v>
      </c>
      <c r="X3144">
        <v>0.98672539999999997</v>
      </c>
      <c r="Y3144">
        <v>-0.13536219999999999</v>
      </c>
      <c r="Z3144">
        <v>3.745764E-3</v>
      </c>
      <c r="AA3144">
        <v>0.99078909999999998</v>
      </c>
      <c r="AB3144">
        <v>42</v>
      </c>
      <c r="AC3144">
        <v>31.674999999999901</v>
      </c>
      <c r="AD3144">
        <v>-1.1116920070633201</v>
      </c>
      <c r="AE3144">
        <v>3.7338</v>
      </c>
      <c r="AF3144">
        <v>-4.3557681842948801</v>
      </c>
      <c r="AG3144">
        <v>-1.1116920070633201</v>
      </c>
      <c r="AH3144">
        <v>31.5564090130556</v>
      </c>
      <c r="AI3144">
        <v>91.998688101649904</v>
      </c>
      <c r="AJ3144">
        <v>97.8589436799314</v>
      </c>
      <c r="AK3144">
        <v>31.8749984375394</v>
      </c>
      <c r="AL3144">
        <v>95.373972873998397</v>
      </c>
      <c r="AM3144">
        <v>97.657808858796201</v>
      </c>
      <c r="AN3144">
        <v>0.99999999360918601</v>
      </c>
    </row>
    <row r="3145" spans="1:40" x14ac:dyDescent="0.25">
      <c r="A3145" t="str">
        <f>"20190305135853534"</f>
        <v>20190305135853534</v>
      </c>
      <c r="B3145" t="str">
        <f>"1551765533532136"</f>
        <v>1551765533532136</v>
      </c>
      <c r="C3145" t="s">
        <v>40</v>
      </c>
      <c r="D3145">
        <v>4.1138529999999998</v>
      </c>
      <c r="E3145">
        <v>0.5012221</v>
      </c>
      <c r="F3145" t="s">
        <v>59</v>
      </c>
      <c r="G3145">
        <v>-242.73740000000001</v>
      </c>
      <c r="H3145" s="1">
        <v>-2.766254E-7</v>
      </c>
      <c r="I3145">
        <v>219.11269999999999</v>
      </c>
      <c r="J3145">
        <v>-274.66730000000001</v>
      </c>
      <c r="K3145">
        <v>1.111693</v>
      </c>
      <c r="L3145">
        <v>215.34010000000001</v>
      </c>
      <c r="M3145">
        <v>0.99972709999999998</v>
      </c>
      <c r="N3145">
        <v>-1.48018E-2</v>
      </c>
      <c r="O3145">
        <v>-1.8073039999999999E-2</v>
      </c>
      <c r="P3145">
        <v>0.98750640000000001</v>
      </c>
      <c r="Q3145">
        <v>-0.10787819999999999</v>
      </c>
      <c r="R3145">
        <v>0.1148623</v>
      </c>
      <c r="S3145">
        <v>2.9858699999999998</v>
      </c>
      <c r="T3145">
        <v>-0.1031542</v>
      </c>
      <c r="U3145">
        <v>0.34971619999999998</v>
      </c>
      <c r="V3145">
        <v>-0.13194700000000001</v>
      </c>
      <c r="W3145">
        <v>-9.4334650000000006E-2</v>
      </c>
      <c r="X3145">
        <v>0.98675780000000002</v>
      </c>
      <c r="Y3145">
        <v>-0.13414509999999999</v>
      </c>
      <c r="Z3145">
        <v>3.6609540000000001E-3</v>
      </c>
      <c r="AA3145">
        <v>0.99095489999999997</v>
      </c>
      <c r="AB3145">
        <v>42</v>
      </c>
      <c r="AC3145">
        <v>31.9299</v>
      </c>
      <c r="AD3145">
        <v>-1.1116932766254</v>
      </c>
      <c r="AE3145">
        <v>3.7725999999999802</v>
      </c>
      <c r="AF3145">
        <v>-4.3439240550205804</v>
      </c>
      <c r="AG3145">
        <v>-1.1116932766254</v>
      </c>
      <c r="AH3145">
        <v>31.8184545523625</v>
      </c>
      <c r="AI3145">
        <v>91.982645812372397</v>
      </c>
      <c r="AJ3145">
        <v>97.774082597707206</v>
      </c>
      <c r="AK3145">
        <v>32.132842828449498</v>
      </c>
      <c r="AL3145">
        <v>95.413026105671605</v>
      </c>
      <c r="AM3145">
        <v>97.616281134605899</v>
      </c>
      <c r="AN3145">
        <v>0.99999999643023096</v>
      </c>
    </row>
    <row r="3146" spans="1:40" x14ac:dyDescent="0.25">
      <c r="A3146" t="str">
        <f>"20190305135853550"</f>
        <v>20190305135853550</v>
      </c>
      <c r="B3146" t="str">
        <f>"1551765533541896"</f>
        <v>1551765533541896</v>
      </c>
      <c r="C3146" t="s">
        <v>40</v>
      </c>
      <c r="D3146">
        <v>4.0918130000000001</v>
      </c>
      <c r="E3146">
        <v>0.5014052</v>
      </c>
      <c r="F3146" t="s">
        <v>59</v>
      </c>
      <c r="G3146">
        <v>-241.6823</v>
      </c>
      <c r="H3146" s="1">
        <v>-8.4074800000000001E-7</v>
      </c>
      <c r="I3146">
        <v>219.1728</v>
      </c>
      <c r="J3146">
        <v>-274.37549999999999</v>
      </c>
      <c r="K3146">
        <v>1.1116790000000001</v>
      </c>
      <c r="L3146">
        <v>215.3364</v>
      </c>
      <c r="M3146">
        <v>0.99976240000000005</v>
      </c>
      <c r="N3146">
        <v>-1.4766349999999999E-2</v>
      </c>
      <c r="O3146">
        <v>-1.60345E-2</v>
      </c>
      <c r="P3146">
        <v>0.9873381</v>
      </c>
      <c r="Q3146">
        <v>-0.10865379999999999</v>
      </c>
      <c r="R3146">
        <v>0.11557580000000001</v>
      </c>
      <c r="S3146">
        <v>2.9866329999999999</v>
      </c>
      <c r="T3146">
        <v>-0.10065830000000001</v>
      </c>
      <c r="U3146">
        <v>0.34703060000000002</v>
      </c>
      <c r="V3146">
        <v>-0.13064110000000001</v>
      </c>
      <c r="W3146">
        <v>-9.5134380000000004E-2</v>
      </c>
      <c r="X3146">
        <v>0.98685480000000003</v>
      </c>
      <c r="Y3146">
        <v>-0.13122329999999999</v>
      </c>
      <c r="Z3146">
        <v>3.4784600000000001E-3</v>
      </c>
      <c r="AA3146">
        <v>0.99134670000000003</v>
      </c>
      <c r="AB3146">
        <v>42</v>
      </c>
      <c r="AC3146">
        <v>32.693199999999898</v>
      </c>
      <c r="AD3146">
        <v>-1.111679840748</v>
      </c>
      <c r="AE3146">
        <v>3.83639999999999</v>
      </c>
      <c r="AF3146">
        <v>-4.35521571962403</v>
      </c>
      <c r="AG3146">
        <v>-1.111679840748</v>
      </c>
      <c r="AH3146">
        <v>32.590304465798503</v>
      </c>
      <c r="AI3146">
        <v>91.936443632488206</v>
      </c>
      <c r="AJ3146">
        <v>97.611642948460698</v>
      </c>
      <c r="AK3146">
        <v>32.898809723244298</v>
      </c>
      <c r="AL3146">
        <v>95.459054130405605</v>
      </c>
      <c r="AM3146">
        <v>97.541040784331699</v>
      </c>
      <c r="AN3146">
        <v>1.0000000217751099</v>
      </c>
    </row>
    <row r="3147" spans="1:40" x14ac:dyDescent="0.25">
      <c r="A3147" t="str">
        <f>"20190305135853572"</f>
        <v>20190305135853572</v>
      </c>
      <c r="B3147" t="str">
        <f>"1551765533562392"</f>
        <v>1551765533562392</v>
      </c>
      <c r="C3147" t="s">
        <v>40</v>
      </c>
      <c r="D3147">
        <v>4.1351809999999896</v>
      </c>
      <c r="E3147">
        <v>0.50173319999999999</v>
      </c>
      <c r="F3147" t="s">
        <v>59</v>
      </c>
      <c r="G3147">
        <v>-242.21010000000001</v>
      </c>
      <c r="H3147" s="1">
        <v>-5.5601599999999997E-7</v>
      </c>
      <c r="I3147">
        <v>219.0847</v>
      </c>
      <c r="J3147">
        <v>-273.96460000000002</v>
      </c>
      <c r="K3147">
        <v>1.111645</v>
      </c>
      <c r="L3147">
        <v>215.3321</v>
      </c>
      <c r="M3147">
        <v>0.99980460000000004</v>
      </c>
      <c r="N3147">
        <v>-1.472126E-2</v>
      </c>
      <c r="O3147">
        <v>-1.320561E-2</v>
      </c>
      <c r="P3147">
        <v>0.98699990000000004</v>
      </c>
      <c r="Q3147">
        <v>-0.1108085</v>
      </c>
      <c r="R3147">
        <v>0.11641700000000001</v>
      </c>
      <c r="S3147">
        <v>2.986389</v>
      </c>
      <c r="T3147">
        <v>-0.10321370000000001</v>
      </c>
      <c r="U3147">
        <v>0.34800720000000002</v>
      </c>
      <c r="V3147">
        <v>-0.12867529999999999</v>
      </c>
      <c r="W3147">
        <v>-9.7313010000000005E-2</v>
      </c>
      <c r="X3147">
        <v>0.98690060000000002</v>
      </c>
      <c r="Y3147">
        <v>-0.1287449</v>
      </c>
      <c r="Z3147">
        <v>3.4290480000000001E-3</v>
      </c>
      <c r="AA3147">
        <v>0.99167179999999999</v>
      </c>
      <c r="AB3147">
        <v>42</v>
      </c>
      <c r="AC3147">
        <v>31.7545</v>
      </c>
      <c r="AD3147">
        <v>-1.1116455560159999</v>
      </c>
      <c r="AE3147">
        <v>3.7526000000000002</v>
      </c>
      <c r="AF3147">
        <v>-4.1666196609025103</v>
      </c>
      <c r="AG3147">
        <v>-1.1116455560159999</v>
      </c>
      <c r="AH3147">
        <v>31.663899309615999</v>
      </c>
      <c r="AI3147">
        <v>91.993523723802994</v>
      </c>
      <c r="AJ3147">
        <v>97.496421701840603</v>
      </c>
      <c r="AK3147">
        <v>31.956204322953099</v>
      </c>
      <c r="AL3147">
        <v>95.584462649803498</v>
      </c>
      <c r="AM3147">
        <v>97.428504306965493</v>
      </c>
      <c r="AN3147">
        <v>0.99999997451285405</v>
      </c>
    </row>
    <row r="3148" spans="1:40" x14ac:dyDescent="0.25">
      <c r="A3148" t="str">
        <f>"20190305135853589"</f>
        <v>20190305135853589</v>
      </c>
      <c r="B3148" t="str">
        <f>"1551765533581912"</f>
        <v>1551765533581912</v>
      </c>
      <c r="C3148" t="s">
        <v>40</v>
      </c>
      <c r="D3148">
        <v>4.0979140000000003</v>
      </c>
      <c r="E3148">
        <v>0.50222290000000003</v>
      </c>
      <c r="F3148" t="s">
        <v>59</v>
      </c>
      <c r="G3148">
        <v>-243.29060000000001</v>
      </c>
      <c r="H3148" s="1">
        <v>2.6495230000000001E-8</v>
      </c>
      <c r="I3148">
        <v>218.91329999999999</v>
      </c>
      <c r="J3148">
        <v>-273.64909999999998</v>
      </c>
      <c r="K3148">
        <v>1.111605</v>
      </c>
      <c r="L3148">
        <v>215.3296</v>
      </c>
      <c r="M3148">
        <v>0.99983069999999996</v>
      </c>
      <c r="N3148">
        <v>-1.4690109999999999E-2</v>
      </c>
      <c r="O3148">
        <v>-1.108486E-2</v>
      </c>
      <c r="P3148">
        <v>0.98676220000000003</v>
      </c>
      <c r="Q3148">
        <v>-0.1118276</v>
      </c>
      <c r="R3148">
        <v>0.1174519</v>
      </c>
      <c r="S3148">
        <v>2.986237</v>
      </c>
      <c r="T3148">
        <v>-0.10822329999999999</v>
      </c>
      <c r="U3148">
        <v>0.34864810000000002</v>
      </c>
      <c r="V3148">
        <v>-0.1276156</v>
      </c>
      <c r="W3148">
        <v>-9.8344810000000005E-2</v>
      </c>
      <c r="X3148">
        <v>0.98693589999999998</v>
      </c>
      <c r="Y3148">
        <v>-0.12684970000000001</v>
      </c>
      <c r="Z3148">
        <v>3.4634370000000002E-3</v>
      </c>
      <c r="AA3148">
        <v>0.99191589999999996</v>
      </c>
      <c r="AB3148">
        <v>42</v>
      </c>
      <c r="AC3148">
        <v>30.3584999999999</v>
      </c>
      <c r="AD3148">
        <v>-1.1116049735047699</v>
      </c>
      <c r="AE3148">
        <v>3.5836999999999901</v>
      </c>
      <c r="AF3148">
        <v>-3.9148591733634701</v>
      </c>
      <c r="AG3148">
        <v>-1.1116049735047699</v>
      </c>
      <c r="AH3148">
        <v>30.276870173381699</v>
      </c>
      <c r="AI3148">
        <v>92.085306255026495</v>
      </c>
      <c r="AJ3148">
        <v>97.367579519674507</v>
      </c>
      <c r="AK3148">
        <v>30.549151468742998</v>
      </c>
      <c r="AL3148">
        <v>95.643865479463898</v>
      </c>
      <c r="AM3148">
        <v>97.367741503858298</v>
      </c>
      <c r="AN3148">
        <v>0.99999995686305199</v>
      </c>
    </row>
    <row r="3149" spans="1:40" x14ac:dyDescent="0.25">
      <c r="A3149" t="str">
        <f>"20190305135853602"</f>
        <v>20190305135853602</v>
      </c>
      <c r="B3149" t="str">
        <f>"1551765533592648"</f>
        <v>1551765533592648</v>
      </c>
      <c r="C3149" t="s">
        <v>40</v>
      </c>
      <c r="D3149">
        <v>4.0853479999999998</v>
      </c>
      <c r="E3149">
        <v>0.50257580000000002</v>
      </c>
      <c r="F3149" t="s">
        <v>59</v>
      </c>
      <c r="G3149">
        <v>-243.09119999999999</v>
      </c>
      <c r="H3149" s="1">
        <v>-7.8719850000000005E-8</v>
      </c>
      <c r="I3149">
        <v>218.8922</v>
      </c>
      <c r="J3149">
        <v>-273.39330000000001</v>
      </c>
      <c r="K3149">
        <v>1.1115630000000001</v>
      </c>
      <c r="L3149">
        <v>215.328</v>
      </c>
      <c r="M3149">
        <v>0.99984830000000002</v>
      </c>
      <c r="N3149">
        <v>-1.466655E-2</v>
      </c>
      <c r="O3149">
        <v>-9.4024959999999998E-3</v>
      </c>
      <c r="P3149">
        <v>0.98653769999999996</v>
      </c>
      <c r="Q3149">
        <v>-0.11284139999999999</v>
      </c>
      <c r="R3149">
        <v>0.1183645</v>
      </c>
      <c r="S3149">
        <v>2.9864809999999999</v>
      </c>
      <c r="T3149">
        <v>-0.10863920000000001</v>
      </c>
      <c r="U3149">
        <v>0.34817500000000001</v>
      </c>
      <c r="V3149">
        <v>-0.12686810000000001</v>
      </c>
      <c r="W3149">
        <v>-9.9365289999999995E-2</v>
      </c>
      <c r="X3149">
        <v>0.98693010000000003</v>
      </c>
      <c r="Y3149">
        <v>-0.1250175</v>
      </c>
      <c r="Z3149">
        <v>3.3892280000000002E-3</v>
      </c>
      <c r="AA3149">
        <v>0.99214880000000005</v>
      </c>
      <c r="AB3149">
        <v>42</v>
      </c>
      <c r="AC3149">
        <v>30.302099999999999</v>
      </c>
      <c r="AD3149">
        <v>-1.1115630787198401</v>
      </c>
      <c r="AE3149">
        <v>3.5642</v>
      </c>
      <c r="AF3149">
        <v>-3.8438865848215502</v>
      </c>
      <c r="AG3149">
        <v>-1.1115630787198401</v>
      </c>
      <c r="AH3149">
        <v>30.2271250385663</v>
      </c>
      <c r="AI3149">
        <v>92.089218585976894</v>
      </c>
      <c r="AJ3149">
        <v>97.247221756646198</v>
      </c>
      <c r="AK3149">
        <v>30.490820334193501</v>
      </c>
      <c r="AL3149">
        <v>95.702622241802004</v>
      </c>
      <c r="AM3149">
        <v>97.325098092160601</v>
      </c>
      <c r="AN3149">
        <v>0.99999999897020198</v>
      </c>
    </row>
    <row r="3150" spans="1:40" x14ac:dyDescent="0.25">
      <c r="A3150" t="str">
        <f>"20190305135853618"</f>
        <v>20190305135853618</v>
      </c>
      <c r="B3150" t="str">
        <f>"1551765533612167"</f>
        <v>1551765533612167</v>
      </c>
      <c r="C3150" t="s">
        <v>40</v>
      </c>
      <c r="D3150">
        <v>4.0818629999999896</v>
      </c>
      <c r="E3150">
        <v>0.5026853</v>
      </c>
      <c r="F3150" t="s">
        <v>59</v>
      </c>
      <c r="G3150">
        <v>-243.1601</v>
      </c>
      <c r="H3150" s="1">
        <v>-4.0402070000000003E-8</v>
      </c>
      <c r="I3150">
        <v>218.85489999999999</v>
      </c>
      <c r="J3150">
        <v>-273.11250000000001</v>
      </c>
      <c r="K3150">
        <v>1.11149599999999</v>
      </c>
      <c r="L3150">
        <v>215.32660000000001</v>
      </c>
      <c r="M3150">
        <v>0.99986399999999998</v>
      </c>
      <c r="N3150">
        <v>-1.464242E-2</v>
      </c>
      <c r="O3150">
        <v>-7.6005789999999997E-3</v>
      </c>
      <c r="P3150">
        <v>0.98624160000000005</v>
      </c>
      <c r="Q3150">
        <v>-0.11454880000000001</v>
      </c>
      <c r="R3150">
        <v>0.1191888</v>
      </c>
      <c r="S3150">
        <v>2.9865719999999998</v>
      </c>
      <c r="T3150">
        <v>-0.10980529999999999</v>
      </c>
      <c r="U3150">
        <v>0.34840389999999999</v>
      </c>
      <c r="V3150">
        <v>-0.12591340000000001</v>
      </c>
      <c r="W3150">
        <v>-0.1010746</v>
      </c>
      <c r="X3150">
        <v>0.98687879999999994</v>
      </c>
      <c r="Y3150">
        <v>-0.1233007</v>
      </c>
      <c r="Z3150">
        <v>3.3320250000000002E-3</v>
      </c>
      <c r="AA3150">
        <v>0.99236380000000002</v>
      </c>
      <c r="AB3150">
        <v>42</v>
      </c>
      <c r="AC3150">
        <v>29.952400000000001</v>
      </c>
      <c r="AD3150">
        <v>-1.11149604040206</v>
      </c>
      <c r="AE3150">
        <v>3.52829999999997</v>
      </c>
      <c r="AF3150">
        <v>-3.7507836726281898</v>
      </c>
      <c r="AG3150">
        <v>-1.11149604040206</v>
      </c>
      <c r="AH3150">
        <v>29.884125658904299</v>
      </c>
      <c r="AI3150">
        <v>92.113483709455096</v>
      </c>
      <c r="AJ3150">
        <v>97.153836915501799</v>
      </c>
      <c r="AK3150">
        <v>30.1390903645725</v>
      </c>
      <c r="AL3150">
        <v>95.801053998619295</v>
      </c>
      <c r="AM3150">
        <v>97.270941641563695</v>
      </c>
      <c r="AN3150">
        <v>1.00000001247707</v>
      </c>
    </row>
    <row r="3151" spans="1:40" x14ac:dyDescent="0.25">
      <c r="A3151" t="str">
        <f>"20190305135853641"</f>
        <v>20190305135853641</v>
      </c>
      <c r="B3151" t="str">
        <f>"1551765533631687"</f>
        <v>1551765533631687</v>
      </c>
      <c r="C3151" t="s">
        <v>40</v>
      </c>
      <c r="D3151">
        <v>4.106331</v>
      </c>
      <c r="E3151">
        <v>0.50299419999999995</v>
      </c>
      <c r="F3151" t="s">
        <v>59</v>
      </c>
      <c r="G3151">
        <v>-244.1902</v>
      </c>
      <c r="H3151" s="1">
        <v>5.1361389999999996E-7</v>
      </c>
      <c r="I3151">
        <v>218.721</v>
      </c>
      <c r="J3151">
        <v>-272.68599999999998</v>
      </c>
      <c r="K3151">
        <v>1.1113770000000001</v>
      </c>
      <c r="L3151">
        <v>215.32560000000001</v>
      </c>
      <c r="M3151">
        <v>0.99988080000000001</v>
      </c>
      <c r="N3151">
        <v>-1.4609270000000001E-2</v>
      </c>
      <c r="O3151">
        <v>-4.9997130000000002E-3</v>
      </c>
      <c r="P3151">
        <v>0.98594470000000001</v>
      </c>
      <c r="Q3151">
        <v>-0.11465500000000001</v>
      </c>
      <c r="R3151">
        <v>0.12152110000000001</v>
      </c>
      <c r="S3151">
        <v>2.986145</v>
      </c>
      <c r="T3151">
        <v>-0.11475870000000001</v>
      </c>
      <c r="U3151">
        <v>0.35046389999999999</v>
      </c>
      <c r="V3151">
        <v>-0.1257055</v>
      </c>
      <c r="W3151">
        <v>-0.1011797</v>
      </c>
      <c r="X3151">
        <v>0.98689450000000001</v>
      </c>
      <c r="Y3151">
        <v>-0.1214042</v>
      </c>
      <c r="Z3151">
        <v>3.332972E-3</v>
      </c>
      <c r="AA3151">
        <v>0.99259759999999997</v>
      </c>
      <c r="AB3151">
        <v>42</v>
      </c>
      <c r="AC3151">
        <v>28.4957999999999</v>
      </c>
      <c r="AD3151">
        <v>-1.1113764863861</v>
      </c>
      <c r="AE3151">
        <v>3.39539999999996</v>
      </c>
      <c r="AF3151">
        <v>-3.53254540908712</v>
      </c>
      <c r="AG3151">
        <v>-1.1113764863861</v>
      </c>
      <c r="AH3151">
        <v>28.435817427665299</v>
      </c>
      <c r="AI3151">
        <v>92.221134714867205</v>
      </c>
      <c r="AJ3151">
        <v>97.081501413102202</v>
      </c>
      <c r="AK3151">
        <v>28.675943707945599</v>
      </c>
      <c r="AL3151">
        <v>95.807107008141699</v>
      </c>
      <c r="AM3151">
        <v>97.2589502488037</v>
      </c>
      <c r="AN3151">
        <v>0.99999997927629403</v>
      </c>
    </row>
    <row r="3152" spans="1:40" x14ac:dyDescent="0.25">
      <c r="A3152" t="str">
        <f>"20190305135853661"</f>
        <v>20190305135853661</v>
      </c>
      <c r="B3152" t="str">
        <f>"1551765533652184"</f>
        <v>1551765533652184</v>
      </c>
      <c r="C3152" t="s">
        <v>40</v>
      </c>
      <c r="D3152">
        <v>4.102805</v>
      </c>
      <c r="E3152">
        <v>0.50305959999999905</v>
      </c>
      <c r="F3152" t="s">
        <v>59</v>
      </c>
      <c r="G3152">
        <v>-243.4237</v>
      </c>
      <c r="H3152" s="1">
        <v>1.018708E-7</v>
      </c>
      <c r="I3152">
        <v>218.8091</v>
      </c>
      <c r="J3152">
        <v>-272.29399999999998</v>
      </c>
      <c r="K3152">
        <v>1.1112329999999999</v>
      </c>
      <c r="L3152">
        <v>215.32550000000001</v>
      </c>
      <c r="M3152">
        <v>0.99988999999999995</v>
      </c>
      <c r="N3152">
        <v>-1.4581439999999999E-2</v>
      </c>
      <c r="O3152">
        <v>-2.7656170000000002E-3</v>
      </c>
      <c r="P3152">
        <v>0.98562609999999995</v>
      </c>
      <c r="Q3152">
        <v>-0.11487310000000001</v>
      </c>
      <c r="R3152">
        <v>0.1238779</v>
      </c>
      <c r="S3152">
        <v>2.985779</v>
      </c>
      <c r="T3152">
        <v>-0.11339929999999999</v>
      </c>
      <c r="U3152">
        <v>0.35543819999999998</v>
      </c>
      <c r="V3152">
        <v>-0.12588779999999999</v>
      </c>
      <c r="W3152">
        <v>-0.1013896</v>
      </c>
      <c r="X3152">
        <v>0.98684970000000005</v>
      </c>
      <c r="Y3152">
        <v>-0.1208351</v>
      </c>
      <c r="Z3152">
        <v>3.2347719999999999E-3</v>
      </c>
      <c r="AA3152">
        <v>0.99266730000000003</v>
      </c>
      <c r="AB3152">
        <v>42</v>
      </c>
      <c r="AC3152">
        <v>28.8703</v>
      </c>
      <c r="AD3152">
        <v>-1.1112328981291999</v>
      </c>
      <c r="AE3152">
        <v>3.4835999999999898</v>
      </c>
      <c r="AF3152">
        <v>-3.55824338788462</v>
      </c>
      <c r="AG3152">
        <v>-1.1112328981291999</v>
      </c>
      <c r="AH3152">
        <v>28.818471801514502</v>
      </c>
      <c r="AI3152">
        <v>92.191590723157404</v>
      </c>
      <c r="AJ3152">
        <v>97.038738506419406</v>
      </c>
      <c r="AK3152">
        <v>29.0585658891831</v>
      </c>
      <c r="AL3152">
        <v>95.819195671883705</v>
      </c>
      <c r="AM3152">
        <v>97.269691237603894</v>
      </c>
      <c r="AN3152">
        <v>0.99999995978354395</v>
      </c>
    </row>
    <row r="3153" spans="1:40" x14ac:dyDescent="0.25">
      <c r="A3153" t="str">
        <f>"20190305135853678"</f>
        <v>20190305135853678</v>
      </c>
      <c r="B3153" t="str">
        <f>"1551765533671704"</f>
        <v>1551765533671704</v>
      </c>
      <c r="C3153" t="s">
        <v>40</v>
      </c>
      <c r="D3153">
        <v>4.1019139999999998</v>
      </c>
      <c r="E3153">
        <v>0.50318149999999995</v>
      </c>
      <c r="F3153" t="s">
        <v>59</v>
      </c>
      <c r="G3153">
        <v>-242.80950000000001</v>
      </c>
      <c r="H3153" s="1">
        <v>-2.2903429999999999E-7</v>
      </c>
      <c r="I3153">
        <v>218.90129999999999</v>
      </c>
      <c r="J3153">
        <v>-271.98849999999999</v>
      </c>
      <c r="K3153">
        <v>1.11112099999999</v>
      </c>
      <c r="L3153">
        <v>215.32589999999999</v>
      </c>
      <c r="M3153">
        <v>0.99989349999999999</v>
      </c>
      <c r="N3153">
        <v>-1.456151E-2</v>
      </c>
      <c r="O3153">
        <v>-1.1127719999999999E-3</v>
      </c>
      <c r="P3153">
        <v>0.98535439999999996</v>
      </c>
      <c r="Q3153">
        <v>-0.1152063</v>
      </c>
      <c r="R3153">
        <v>0.12571599999999999</v>
      </c>
      <c r="S3153">
        <v>2.9851679999999998</v>
      </c>
      <c r="T3153">
        <v>-0.112507</v>
      </c>
      <c r="U3153">
        <v>0.36203000000000002</v>
      </c>
      <c r="V3153">
        <v>-0.12611929999999999</v>
      </c>
      <c r="W3153">
        <v>-0.1017131</v>
      </c>
      <c r="X3153">
        <v>0.98678690000000002</v>
      </c>
      <c r="Y3153">
        <v>-0.1213804</v>
      </c>
      <c r="Z3153">
        <v>3.191256E-3</v>
      </c>
      <c r="AA3153">
        <v>0.99260090000000001</v>
      </c>
      <c r="AB3153">
        <v>42</v>
      </c>
      <c r="AC3153">
        <v>29.178999999999899</v>
      </c>
      <c r="AD3153">
        <v>-1.11112122903429</v>
      </c>
      <c r="AE3153">
        <v>3.5754000000000001</v>
      </c>
      <c r="AF3153">
        <v>-3.6027239560759399</v>
      </c>
      <c r="AG3153">
        <v>-1.11112122903429</v>
      </c>
      <c r="AH3153">
        <v>29.133383027421399</v>
      </c>
      <c r="AI3153">
        <v>92.167655610721695</v>
      </c>
      <c r="AJ3153">
        <v>97.049582721478203</v>
      </c>
      <c r="AK3153">
        <v>29.376320683702701</v>
      </c>
      <c r="AL3153">
        <v>95.837826886764105</v>
      </c>
      <c r="AM3153">
        <v>97.283374867434404</v>
      </c>
      <c r="AN3153">
        <v>1.00000000927785</v>
      </c>
    </row>
    <row r="3154" spans="1:40" x14ac:dyDescent="0.25">
      <c r="A3154" t="str">
        <f>"20190305135853691"</f>
        <v>20190305135853691</v>
      </c>
      <c r="B3154" t="str">
        <f>"1551765533682440"</f>
        <v>1551765533682440</v>
      </c>
      <c r="C3154" t="s">
        <v>40</v>
      </c>
      <c r="D3154">
        <v>4.0912839999999999</v>
      </c>
      <c r="E3154">
        <v>0.50325719999999996</v>
      </c>
      <c r="F3154" t="s">
        <v>59</v>
      </c>
      <c r="G3154">
        <v>-242.4314</v>
      </c>
      <c r="H3154" s="1">
        <v>-4.3271789999999998E-7</v>
      </c>
      <c r="I3154">
        <v>218.9588</v>
      </c>
      <c r="J3154">
        <v>-271.73579999999998</v>
      </c>
      <c r="K3154">
        <v>1.111022</v>
      </c>
      <c r="L3154">
        <v>215.32660000000001</v>
      </c>
      <c r="M3154">
        <v>0.99989419999999996</v>
      </c>
      <c r="N3154">
        <v>-1.454653E-2</v>
      </c>
      <c r="O3154">
        <v>1.5844080000000001E-4</v>
      </c>
      <c r="P3154">
        <v>0.98511769999999999</v>
      </c>
      <c r="Q3154">
        <v>-0.1156771</v>
      </c>
      <c r="R3154">
        <v>0.12712950000000001</v>
      </c>
      <c r="S3154">
        <v>2.98468</v>
      </c>
      <c r="T3154">
        <v>-0.1122015</v>
      </c>
      <c r="U3154">
        <v>0.36685180000000001</v>
      </c>
      <c r="V3154">
        <v>-0.1263001</v>
      </c>
      <c r="W3154">
        <v>-0.1021726</v>
      </c>
      <c r="X3154">
        <v>0.98671629999999999</v>
      </c>
      <c r="Y3154">
        <v>-0.1217184</v>
      </c>
      <c r="Z3154">
        <v>3.1639239999999998E-3</v>
      </c>
      <c r="AA3154">
        <v>0.99255959999999999</v>
      </c>
      <c r="AB3154">
        <v>42</v>
      </c>
      <c r="AC3154">
        <v>29.304399999999902</v>
      </c>
      <c r="AD3154">
        <v>-1.1110224327178999</v>
      </c>
      <c r="AE3154">
        <v>3.6321999999999801</v>
      </c>
      <c r="AF3154">
        <v>-3.6224283269370101</v>
      </c>
      <c r="AG3154">
        <v>-1.1110224327178999</v>
      </c>
      <c r="AH3154">
        <v>29.263547973400399</v>
      </c>
      <c r="AI3154">
        <v>92.157798875924001</v>
      </c>
      <c r="AJ3154">
        <v>97.056539962597597</v>
      </c>
      <c r="AK3154">
        <v>29.5078226547014</v>
      </c>
      <c r="AL3154">
        <v>95.864292193683397</v>
      </c>
      <c r="AM3154">
        <v>97.294219937958403</v>
      </c>
      <c r="AN3154">
        <v>1.0000000060682299</v>
      </c>
    </row>
    <row r="3155" spans="1:40" x14ac:dyDescent="0.25">
      <c r="A3155" t="str">
        <f>"20190305135853706"</f>
        <v>20190305135853706</v>
      </c>
      <c r="B3155" t="str">
        <f>"1551765533701960"</f>
        <v>1551765533701960</v>
      </c>
      <c r="C3155" t="s">
        <v>40</v>
      </c>
      <c r="D3155">
        <v>4.0846049999999998</v>
      </c>
      <c r="E3155">
        <v>0.50351040000000002</v>
      </c>
      <c r="F3155" t="s">
        <v>59</v>
      </c>
      <c r="G3155">
        <v>-242.50970000000001</v>
      </c>
      <c r="H3155" s="1">
        <v>-3.9082860000000002E-7</v>
      </c>
      <c r="I3155">
        <v>218.953</v>
      </c>
      <c r="J3155">
        <v>-271.4615</v>
      </c>
      <c r="K3155">
        <v>1.1109020000000001</v>
      </c>
      <c r="L3155">
        <v>215.32759999999999</v>
      </c>
      <c r="M3155">
        <v>0.99989349999999999</v>
      </c>
      <c r="N3155">
        <v>-1.453116E-2</v>
      </c>
      <c r="O3155">
        <v>1.464096E-3</v>
      </c>
      <c r="P3155">
        <v>0.98479249999999996</v>
      </c>
      <c r="Q3155">
        <v>-0.11643969999999999</v>
      </c>
      <c r="R3155">
        <v>0.128941</v>
      </c>
      <c r="S3155">
        <v>2.9841920000000002</v>
      </c>
      <c r="T3155">
        <v>-0.11344310000000001</v>
      </c>
      <c r="U3155">
        <v>0.37028499999999998</v>
      </c>
      <c r="V3155">
        <v>-0.12684780000000001</v>
      </c>
      <c r="W3155">
        <v>-0.1029225</v>
      </c>
      <c r="X3155">
        <v>0.98656809999999995</v>
      </c>
      <c r="Y3155">
        <v>-0.1215651</v>
      </c>
      <c r="Z3155">
        <v>3.1538460000000001E-3</v>
      </c>
      <c r="AA3155">
        <v>0.99257839999999997</v>
      </c>
      <c r="AB3155">
        <v>42</v>
      </c>
      <c r="AC3155">
        <v>28.951799999999899</v>
      </c>
      <c r="AD3155">
        <v>-1.1109023908286</v>
      </c>
      <c r="AE3155">
        <v>3.6254000000000102</v>
      </c>
      <c r="AF3155">
        <v>-3.5778170813876899</v>
      </c>
      <c r="AG3155">
        <v>-1.1109023908286</v>
      </c>
      <c r="AH3155">
        <v>28.9151624852556</v>
      </c>
      <c r="AI3155">
        <v>92.183550124348699</v>
      </c>
      <c r="AJ3155">
        <v>97.053640105273701</v>
      </c>
      <c r="AK3155">
        <v>29.156843120244599</v>
      </c>
      <c r="AL3155">
        <v>95.907485985679898</v>
      </c>
      <c r="AM3155">
        <v>97.326596907753398</v>
      </c>
      <c r="AN3155">
        <v>1.0000000106543401</v>
      </c>
    </row>
    <row r="3156" spans="1:40" x14ac:dyDescent="0.25">
      <c r="A3156" t="str">
        <f>"20190305135853722"</f>
        <v>20190305135853722</v>
      </c>
      <c r="B3156" t="str">
        <f>"1551765533711720"</f>
        <v>1551765533711720</v>
      </c>
      <c r="C3156" t="s">
        <v>40</v>
      </c>
      <c r="D3156">
        <v>4.0546530000000001</v>
      </c>
      <c r="E3156">
        <v>0.50362280000000004</v>
      </c>
      <c r="F3156" t="s">
        <v>59</v>
      </c>
      <c r="G3156">
        <v>-242.5496</v>
      </c>
      <c r="H3156" s="1">
        <v>-3.6929250000000001E-7</v>
      </c>
      <c r="I3156">
        <v>218.94649999999999</v>
      </c>
      <c r="J3156">
        <v>-271.16079999999999</v>
      </c>
      <c r="K3156">
        <v>1.1107739999999999</v>
      </c>
      <c r="L3156">
        <v>215.32910000000001</v>
      </c>
      <c r="M3156">
        <v>0.99989079999999997</v>
      </c>
      <c r="N3156">
        <v>-1.4515460000000001E-2</v>
      </c>
      <c r="O3156">
        <v>2.7928649999999998E-3</v>
      </c>
      <c r="P3156">
        <v>0.98449059999999999</v>
      </c>
      <c r="Q3156">
        <v>-0.11727120000000001</v>
      </c>
      <c r="R3156">
        <v>0.13048379999999901</v>
      </c>
      <c r="S3156">
        <v>2.9838559999999998</v>
      </c>
      <c r="T3156">
        <v>-0.11465060000000001</v>
      </c>
      <c r="U3156">
        <v>0.37348940000000003</v>
      </c>
      <c r="V3156">
        <v>-0.12710940000000001</v>
      </c>
      <c r="W3156">
        <v>-0.1037327</v>
      </c>
      <c r="X3156">
        <v>0.98644949999999998</v>
      </c>
      <c r="Y3156">
        <v>-0.1213077</v>
      </c>
      <c r="Z3156">
        <v>3.138493E-3</v>
      </c>
      <c r="AA3156">
        <v>0.99260999999999999</v>
      </c>
      <c r="AB3156">
        <v>42</v>
      </c>
      <c r="AC3156">
        <v>28.6112</v>
      </c>
      <c r="AD3156">
        <v>-1.1107743692924901</v>
      </c>
      <c r="AE3156">
        <v>3.6173999999999702</v>
      </c>
      <c r="AF3156">
        <v>-3.5322301361750301</v>
      </c>
      <c r="AG3156">
        <v>-1.1107743692924901</v>
      </c>
      <c r="AH3156">
        <v>28.5787952754666</v>
      </c>
      <c r="AI3156">
        <v>92.209007759745006</v>
      </c>
      <c r="AJ3156">
        <v>97.045807599644505</v>
      </c>
      <c r="AK3156">
        <v>28.8176683448091</v>
      </c>
      <c r="AL3156">
        <v>95.954157234797506</v>
      </c>
      <c r="AM3156">
        <v>97.342415011891205</v>
      </c>
      <c r="AN3156">
        <v>0.99999994433394801</v>
      </c>
    </row>
    <row r="3157" spans="1:40" x14ac:dyDescent="0.25">
      <c r="A3157" t="str">
        <f>"20190305135853737"</f>
        <v>20190305135853737</v>
      </c>
      <c r="B3157" t="str">
        <f>"1551765533732216"</f>
        <v>1551765533732216</v>
      </c>
      <c r="C3157" t="s">
        <v>40</v>
      </c>
      <c r="D3157">
        <v>4.1050519999999997</v>
      </c>
      <c r="E3157">
        <v>0.50389379999999995</v>
      </c>
      <c r="F3157" t="s">
        <v>59</v>
      </c>
      <c r="G3157">
        <v>-242.67429999999999</v>
      </c>
      <c r="H3157" s="1">
        <v>-3.0216569999999998E-7</v>
      </c>
      <c r="I3157">
        <v>218.92910000000001</v>
      </c>
      <c r="J3157">
        <v>-270.89609999999999</v>
      </c>
      <c r="K3157">
        <v>1.1106480000000001</v>
      </c>
      <c r="L3157">
        <v>215.3306</v>
      </c>
      <c r="M3157">
        <v>0.99988730000000003</v>
      </c>
      <c r="N3157">
        <v>-1.4502589999999999E-2</v>
      </c>
      <c r="O3157">
        <v>3.8698959999999998E-3</v>
      </c>
      <c r="P3157">
        <v>0.98424199999999995</v>
      </c>
      <c r="Q3157">
        <v>-0.11793430000000001</v>
      </c>
      <c r="R3157">
        <v>0.13175410000000001</v>
      </c>
      <c r="S3157">
        <v>2.9834290000000001</v>
      </c>
      <c r="T3157">
        <v>-0.1163328</v>
      </c>
      <c r="U3157">
        <v>0.37702940000000001</v>
      </c>
      <c r="V3157">
        <v>-0.12734680000000001</v>
      </c>
      <c r="W3157">
        <v>-0.1043733</v>
      </c>
      <c r="X3157">
        <v>0.98635139999999999</v>
      </c>
      <c r="Y3157">
        <v>-0.1214127</v>
      </c>
      <c r="Z3157">
        <v>3.1469060000000001E-3</v>
      </c>
      <c r="AA3157">
        <v>0.99259710000000001</v>
      </c>
      <c r="AB3157">
        <v>42</v>
      </c>
      <c r="AC3157">
        <v>28.221800000000002</v>
      </c>
      <c r="AD3157">
        <v>-1.1106483021657001</v>
      </c>
      <c r="AE3157">
        <v>3.5985</v>
      </c>
      <c r="AF3157">
        <v>-3.4839366716298801</v>
      </c>
      <c r="AG3157">
        <v>-1.1106483021657001</v>
      </c>
      <c r="AH3157">
        <v>28.1925509965264</v>
      </c>
      <c r="AI3157">
        <v>92.238992540045302</v>
      </c>
      <c r="AJ3157">
        <v>97.044696351545397</v>
      </c>
      <c r="AK3157">
        <v>28.428705318300601</v>
      </c>
      <c r="AL3157">
        <v>95.991060670155704</v>
      </c>
      <c r="AM3157">
        <v>97.356701847474199</v>
      </c>
      <c r="AN3157">
        <v>1.0000000387525401</v>
      </c>
    </row>
    <row r="3158" spans="1:40" x14ac:dyDescent="0.25">
      <c r="A3158" t="str">
        <f>"20190305135853751"</f>
        <v>20190305135853751</v>
      </c>
      <c r="B3158" t="str">
        <f>"1551765533741976"</f>
        <v>1551765533741976</v>
      </c>
      <c r="C3158" t="s">
        <v>40</v>
      </c>
      <c r="D3158">
        <v>4.0868849999999997</v>
      </c>
      <c r="E3158">
        <v>0.50400370000000005</v>
      </c>
      <c r="F3158" t="s">
        <v>59</v>
      </c>
      <c r="G3158">
        <v>-242.78280000000001</v>
      </c>
      <c r="H3158" s="1">
        <v>-2.4317880000000003E-7</v>
      </c>
      <c r="I3158">
        <v>218.9008</v>
      </c>
      <c r="J3158">
        <v>-270.6268</v>
      </c>
      <c r="K3158">
        <v>1.1105130000000001</v>
      </c>
      <c r="L3158">
        <v>215.33250000000001</v>
      </c>
      <c r="M3158">
        <v>0.99988319999999997</v>
      </c>
      <c r="N3158">
        <v>-1.4490299999999999E-2</v>
      </c>
      <c r="O3158">
        <v>4.8618359999999996E-3</v>
      </c>
      <c r="P3158">
        <v>0.98406170000000004</v>
      </c>
      <c r="Q3158">
        <v>-0.11875139999999999</v>
      </c>
      <c r="R3158">
        <v>0.13236609999999999</v>
      </c>
      <c r="S3158">
        <v>2.983215</v>
      </c>
      <c r="T3158">
        <v>-0.11785569999999999</v>
      </c>
      <c r="U3158">
        <v>0.37884519999999999</v>
      </c>
      <c r="V3158">
        <v>-0.12701029999999999</v>
      </c>
      <c r="W3158">
        <v>-0.1051618</v>
      </c>
      <c r="X3158">
        <v>0.98631100000000005</v>
      </c>
      <c r="Y3158">
        <v>-0.121029399999999</v>
      </c>
      <c r="Z3158">
        <v>3.1400669999999999E-3</v>
      </c>
      <c r="AA3158">
        <v>0.99264399999999997</v>
      </c>
      <c r="AB3158">
        <v>42</v>
      </c>
      <c r="AC3158">
        <v>27.843999999999902</v>
      </c>
      <c r="AD3158">
        <v>-1.1105132431787901</v>
      </c>
      <c r="AE3158">
        <v>3.56829999999999</v>
      </c>
      <c r="AF3158">
        <v>-3.42750665380933</v>
      </c>
      <c r="AG3158">
        <v>-1.1105132431787901</v>
      </c>
      <c r="AH3158">
        <v>27.817487263247902</v>
      </c>
      <c r="AI3158">
        <v>92.2689737605603</v>
      </c>
      <c r="AJ3158">
        <v>97.024243986371602</v>
      </c>
      <c r="AK3158">
        <v>28.049842052427799</v>
      </c>
      <c r="AL3158">
        <v>96.036488599353106</v>
      </c>
      <c r="AM3158">
        <v>97.337771957489096</v>
      </c>
      <c r="AN3158">
        <v>1.0000000046031601</v>
      </c>
    </row>
    <row r="3159" spans="1:40" x14ac:dyDescent="0.25">
      <c r="A3159" t="str">
        <f>"20190305135853768"</f>
        <v>20190305135853768</v>
      </c>
      <c r="B3159" t="str">
        <f>"1551765533762473"</f>
        <v>1551765533762473</v>
      </c>
      <c r="C3159" t="s">
        <v>40</v>
      </c>
      <c r="D3159">
        <v>4.1784049999999997</v>
      </c>
      <c r="E3159">
        <v>0.5040673</v>
      </c>
      <c r="F3159" t="s">
        <v>59</v>
      </c>
      <c r="G3159">
        <v>-242.9855</v>
      </c>
      <c r="H3159" s="1">
        <v>-1.3309610000000001E-7</v>
      </c>
      <c r="I3159">
        <v>218.8494</v>
      </c>
      <c r="J3159">
        <v>-270.31169999999997</v>
      </c>
      <c r="K3159">
        <v>1.1103609999999999</v>
      </c>
      <c r="L3159">
        <v>215.3349</v>
      </c>
      <c r="M3159">
        <v>0.99987780000000004</v>
      </c>
      <c r="N3159">
        <v>-1.4476889999999999E-2</v>
      </c>
      <c r="O3159">
        <v>5.9325189999999998E-3</v>
      </c>
      <c r="P3159">
        <v>0.98406450000000001</v>
      </c>
      <c r="Q3159">
        <v>-0.11878379999999999</v>
      </c>
      <c r="R3159">
        <v>0.13231760000000001</v>
      </c>
      <c r="S3159">
        <v>2.983063</v>
      </c>
      <c r="T3159">
        <v>-0.11984690000000001</v>
      </c>
      <c r="U3159">
        <v>0.37954710000000003</v>
      </c>
      <c r="V3159">
        <v>-0.12594549999999999</v>
      </c>
      <c r="W3159">
        <v>-0.10515380000000001</v>
      </c>
      <c r="X3159">
        <v>0.9864484</v>
      </c>
      <c r="Y3159">
        <v>-0.12020019999999999</v>
      </c>
      <c r="Z3159">
        <v>3.1262540000000002E-3</v>
      </c>
      <c r="AA3159">
        <v>0.99274470000000004</v>
      </c>
      <c r="AB3159">
        <v>42</v>
      </c>
      <c r="AC3159">
        <v>27.326199999999901</v>
      </c>
      <c r="AD3159">
        <v>-1.1103611330961001</v>
      </c>
      <c r="AE3159">
        <v>3.5144999999999902</v>
      </c>
      <c r="AF3159">
        <v>-3.3468719226492301</v>
      </c>
      <c r="AG3159">
        <v>-1.1103611330961001</v>
      </c>
      <c r="AH3159">
        <v>27.302226207061299</v>
      </c>
      <c r="AI3159">
        <v>92.311608194903499</v>
      </c>
      <c r="AJ3159">
        <v>96.9887945216405</v>
      </c>
      <c r="AK3159">
        <v>27.529003058121301</v>
      </c>
      <c r="AL3159">
        <v>96.036027594920299</v>
      </c>
      <c r="AM3159">
        <v>97.275914637680202</v>
      </c>
      <c r="AN3159">
        <v>1.0000000182436199</v>
      </c>
    </row>
    <row r="3160" spans="1:40" x14ac:dyDescent="0.25">
      <c r="A3160" t="str">
        <f>"20190305135853781"</f>
        <v>20190305135853781</v>
      </c>
      <c r="B3160" t="str">
        <f>"1551765533772232"</f>
        <v>1551765533772232</v>
      </c>
      <c r="C3160" t="s">
        <v>40</v>
      </c>
      <c r="D3160">
        <v>4.0520060000000004</v>
      </c>
      <c r="E3160">
        <v>0.50464730000000002</v>
      </c>
      <c r="F3160" t="s">
        <v>59</v>
      </c>
      <c r="G3160">
        <v>-242.6934</v>
      </c>
      <c r="H3160" s="1">
        <v>-2.8825559999999999E-7</v>
      </c>
      <c r="I3160">
        <v>218.84350000000001</v>
      </c>
      <c r="J3160">
        <v>-270.07600000000002</v>
      </c>
      <c r="K3160">
        <v>1.110249</v>
      </c>
      <c r="L3160">
        <v>215.33690000000001</v>
      </c>
      <c r="M3160">
        <v>0.99987309999999996</v>
      </c>
      <c r="N3160">
        <v>-1.446747E-2</v>
      </c>
      <c r="O3160">
        <v>6.6758859999999998E-3</v>
      </c>
      <c r="P3160">
        <v>0.98408989999999996</v>
      </c>
      <c r="Q3160">
        <v>-0.1190355</v>
      </c>
      <c r="R3160">
        <v>0.13190070000000001</v>
      </c>
      <c r="S3160">
        <v>2.9831240000000001</v>
      </c>
      <c r="T3160">
        <v>-0.1199329</v>
      </c>
      <c r="U3160">
        <v>0.37896730000000001</v>
      </c>
      <c r="V3160">
        <v>-0.1248235</v>
      </c>
      <c r="W3160">
        <v>-0.1053738</v>
      </c>
      <c r="X3160">
        <v>0.98656750000000004</v>
      </c>
      <c r="Y3160">
        <v>-0.1192708</v>
      </c>
      <c r="Z3160">
        <v>3.082764E-3</v>
      </c>
      <c r="AA3160">
        <v>0.99285699999999999</v>
      </c>
      <c r="AB3160">
        <v>42</v>
      </c>
      <c r="AC3160">
        <v>27.382599999999901</v>
      </c>
      <c r="AD3160">
        <v>-1.1102492882556001</v>
      </c>
      <c r="AE3160">
        <v>3.5065999999999899</v>
      </c>
      <c r="AF3160">
        <v>-3.3183324080072798</v>
      </c>
      <c r="AG3160">
        <v>-1.1102492882556001</v>
      </c>
      <c r="AH3160">
        <v>27.361146864307099</v>
      </c>
      <c r="AI3160">
        <v>92.3067653973239</v>
      </c>
      <c r="AJ3160">
        <v>96.915003224105504</v>
      </c>
      <c r="AK3160">
        <v>27.583987042889301</v>
      </c>
      <c r="AL3160">
        <v>96.048703270828995</v>
      </c>
      <c r="AM3160">
        <v>97.210920324887198</v>
      </c>
      <c r="AN3160">
        <v>0.99999998796746903</v>
      </c>
    </row>
    <row r="3161" spans="1:40" x14ac:dyDescent="0.25">
      <c r="A3161" t="str">
        <f>"20190305135853794"</f>
        <v>20190305135853794</v>
      </c>
      <c r="B3161" t="str">
        <f>"1551765533792028"</f>
        <v>1551765533792028</v>
      </c>
      <c r="C3161" t="s">
        <v>40</v>
      </c>
      <c r="D3161">
        <v>4.0651400000000004</v>
      </c>
      <c r="E3161">
        <v>0.5049939</v>
      </c>
      <c r="F3161" t="s">
        <v>59</v>
      </c>
      <c r="G3161">
        <v>-243.00139999999999</v>
      </c>
      <c r="H3161" s="1">
        <v>-1.1891629999999999E-7</v>
      </c>
      <c r="I3161">
        <v>218.71870000000001</v>
      </c>
      <c r="J3161">
        <v>-269.79939999999999</v>
      </c>
      <c r="K3161">
        <v>1.110128</v>
      </c>
      <c r="L3161">
        <v>215.33930000000001</v>
      </c>
      <c r="M3161">
        <v>0.99986759999999997</v>
      </c>
      <c r="N3161">
        <v>-1.445717E-2</v>
      </c>
      <c r="O3161">
        <v>7.4676259999999998E-3</v>
      </c>
      <c r="P3161">
        <v>0.98427580000000003</v>
      </c>
      <c r="Q3161">
        <v>-0.1196053</v>
      </c>
      <c r="R3161">
        <v>0.1299844</v>
      </c>
      <c r="S3161">
        <v>2.9837950000000002</v>
      </c>
      <c r="T3161">
        <v>-0.1223563</v>
      </c>
      <c r="U3161">
        <v>0.37269590000000002</v>
      </c>
      <c r="V3161">
        <v>-0.122155</v>
      </c>
      <c r="W3161">
        <v>-0.1058998</v>
      </c>
      <c r="X3161">
        <v>0.98684519999999998</v>
      </c>
      <c r="Y3161">
        <v>-0.11640109999999999</v>
      </c>
      <c r="Z3161">
        <v>3.02425E-3</v>
      </c>
      <c r="AA3161">
        <v>0.99319769999999996</v>
      </c>
      <c r="AB3161">
        <v>42</v>
      </c>
      <c r="AC3161">
        <v>26.797999999999998</v>
      </c>
      <c r="AD3161">
        <v>-1.1101281189162999</v>
      </c>
      <c r="AE3161">
        <v>3.3794</v>
      </c>
      <c r="AF3161">
        <v>-3.17380609886122</v>
      </c>
      <c r="AG3161">
        <v>-1.1101281189162999</v>
      </c>
      <c r="AH3161">
        <v>26.777258366727398</v>
      </c>
      <c r="AI3161">
        <v>92.357518365158796</v>
      </c>
      <c r="AJ3161">
        <v>96.759513918960494</v>
      </c>
      <c r="AK3161">
        <v>26.987534070975201</v>
      </c>
      <c r="AL3161">
        <v>96.0790101690027</v>
      </c>
      <c r="AM3161">
        <v>97.056369363345496</v>
      </c>
      <c r="AN3161">
        <v>1.0000000302140299</v>
      </c>
    </row>
    <row r="3162" spans="1:40" x14ac:dyDescent="0.25">
      <c r="A3162" t="str">
        <f>"20190305135853812"</f>
        <v>20190305135853812</v>
      </c>
      <c r="B3162" t="str">
        <f>"1551765533801788"</f>
        <v>1551765533801788</v>
      </c>
      <c r="C3162" t="s">
        <v>40</v>
      </c>
      <c r="D3162">
        <v>4.0757009999999996</v>
      </c>
      <c r="E3162">
        <v>0.50517120000000004</v>
      </c>
      <c r="F3162" t="s">
        <v>59</v>
      </c>
      <c r="G3162">
        <v>-242.48099999999999</v>
      </c>
      <c r="H3162" s="1">
        <v>-3.9392830000000001E-7</v>
      </c>
      <c r="I3162">
        <v>218.6748</v>
      </c>
      <c r="J3162">
        <v>-269.49020000000002</v>
      </c>
      <c r="K3162">
        <v>1.1099969999999999</v>
      </c>
      <c r="L3162">
        <v>215.34229999999999</v>
      </c>
      <c r="M3162">
        <v>0.99986140000000001</v>
      </c>
      <c r="N3162">
        <v>-1.444661E-2</v>
      </c>
      <c r="O3162">
        <v>8.2710560000000006E-3</v>
      </c>
      <c r="P3162">
        <v>0.98439790000000005</v>
      </c>
      <c r="Q3162">
        <v>-0.12001009999999999</v>
      </c>
      <c r="R3162">
        <v>0.12867880000000001</v>
      </c>
      <c r="S3162">
        <v>2.9850460000000001</v>
      </c>
      <c r="T3162">
        <v>-0.12130199999999999</v>
      </c>
      <c r="U3162">
        <v>0.36445620000000001</v>
      </c>
      <c r="V3162">
        <v>-0.1200885</v>
      </c>
      <c r="W3162">
        <v>-0.1062645</v>
      </c>
      <c r="X3162">
        <v>0.98705960000000004</v>
      </c>
      <c r="Y3162">
        <v>-0.1128569</v>
      </c>
      <c r="Z3162">
        <v>2.886708E-3</v>
      </c>
      <c r="AA3162">
        <v>0.99360700000000002</v>
      </c>
      <c r="AB3162">
        <v>42</v>
      </c>
      <c r="AC3162">
        <v>27.0092</v>
      </c>
      <c r="AD3162">
        <v>-1.1099973939283001</v>
      </c>
      <c r="AE3162">
        <v>3.3325000000000098</v>
      </c>
      <c r="AF3162">
        <v>-3.10380445060831</v>
      </c>
      <c r="AG3162">
        <v>-1.1099973939283001</v>
      </c>
      <c r="AH3162">
        <v>26.9909389621209</v>
      </c>
      <c r="AI3162">
        <v>92.339550730267106</v>
      </c>
      <c r="AJ3162">
        <v>96.559874744040599</v>
      </c>
      <c r="AK3162">
        <v>27.1914781197911</v>
      </c>
      <c r="AL3162">
        <v>96.100024560429404</v>
      </c>
      <c r="AM3162">
        <v>96.936677581752804</v>
      </c>
      <c r="AN3162">
        <v>1.00000002287232</v>
      </c>
    </row>
    <row r="3163" spans="1:40" x14ac:dyDescent="0.25">
      <c r="A3163" t="str">
        <f>"20190305135853829"</f>
        <v>20190305135853829</v>
      </c>
      <c r="B3163" t="str">
        <f>"1551765533822283"</f>
        <v>1551765533822283</v>
      </c>
      <c r="C3163" t="s">
        <v>40</v>
      </c>
      <c r="D3163">
        <v>4.0969340000000001</v>
      </c>
      <c r="E3163">
        <v>0.50544509999999998</v>
      </c>
      <c r="F3163" t="s">
        <v>59</v>
      </c>
      <c r="G3163">
        <v>-242.0847</v>
      </c>
      <c r="H3163" s="1">
        <v>-6.0340819999999895E-7</v>
      </c>
      <c r="I3163">
        <v>218.6421</v>
      </c>
      <c r="J3163">
        <v>-269.18860000000001</v>
      </c>
      <c r="K3163">
        <v>1.1098809999999999</v>
      </c>
      <c r="L3163">
        <v>215.34549999999999</v>
      </c>
      <c r="M3163">
        <v>0.9998553</v>
      </c>
      <c r="N3163">
        <v>-1.443706E-2</v>
      </c>
      <c r="O3163">
        <v>8.989538E-3</v>
      </c>
      <c r="P3163">
        <v>0.98443440000000004</v>
      </c>
      <c r="Q3163">
        <v>-0.1207305</v>
      </c>
      <c r="R3163">
        <v>0.12772229999999901</v>
      </c>
      <c r="S3163">
        <v>2.98584</v>
      </c>
      <c r="T3163">
        <v>-0.1209344</v>
      </c>
      <c r="U3163">
        <v>0.35951230000000001</v>
      </c>
      <c r="V3163">
        <v>-0.118451</v>
      </c>
      <c r="W3163">
        <v>-0.10695159999999999</v>
      </c>
      <c r="X3163">
        <v>0.98718320000000004</v>
      </c>
      <c r="Y3163">
        <v>-0.11049299999999999</v>
      </c>
      <c r="Z3163">
        <v>2.7963380000000002E-3</v>
      </c>
      <c r="AA3163">
        <v>0.99387289999999995</v>
      </c>
      <c r="AB3163">
        <v>42</v>
      </c>
      <c r="AC3163">
        <v>27.103899999999999</v>
      </c>
      <c r="AD3163">
        <v>-1.1098816034082</v>
      </c>
      <c r="AE3163">
        <v>3.29660000000001</v>
      </c>
      <c r="AF3163">
        <v>-3.04775374327102</v>
      </c>
      <c r="AG3163">
        <v>-1.1098816034082</v>
      </c>
      <c r="AH3163">
        <v>27.087683225721101</v>
      </c>
      <c r="AI3163">
        <v>92.331609839396407</v>
      </c>
      <c r="AJ3163">
        <v>96.419600051435594</v>
      </c>
      <c r="AK3163">
        <v>27.281188071457201</v>
      </c>
      <c r="AL3163">
        <v>96.139618410464706</v>
      </c>
      <c r="AM3163">
        <v>96.842144953946601</v>
      </c>
      <c r="AN3163">
        <v>0.99999997725289902</v>
      </c>
    </row>
    <row r="3164" spans="1:40" x14ac:dyDescent="0.25">
      <c r="A3164" t="str">
        <f>"20190305135853844"</f>
        <v>20190305135853844</v>
      </c>
      <c r="B3164" t="str">
        <f>"1551765533832043"</f>
        <v>1551765533832043</v>
      </c>
      <c r="C3164" t="s">
        <v>40</v>
      </c>
      <c r="D3164">
        <v>4.0662000000000003</v>
      </c>
      <c r="E3164">
        <v>0.50550589999999995</v>
      </c>
      <c r="F3164" t="s">
        <v>59</v>
      </c>
      <c r="G3164">
        <v>-241.86</v>
      </c>
      <c r="H3164" s="1">
        <v>-7.2078009999999997E-7</v>
      </c>
      <c r="I3164">
        <v>218.59180000000001</v>
      </c>
      <c r="J3164">
        <v>-268.9092</v>
      </c>
      <c r="K3164">
        <v>1.109782</v>
      </c>
      <c r="L3164">
        <v>215.3485</v>
      </c>
      <c r="M3164">
        <v>0.99984969999999995</v>
      </c>
      <c r="N3164">
        <v>-1.44288E-2</v>
      </c>
      <c r="O3164">
        <v>9.60687E-3</v>
      </c>
      <c r="P3164">
        <v>0.98474539999999999</v>
      </c>
      <c r="Q3164">
        <v>-0.1213606</v>
      </c>
      <c r="R3164">
        <v>0.12469180000000001</v>
      </c>
      <c r="S3164">
        <v>2.986542</v>
      </c>
      <c r="T3164">
        <v>-0.1212907</v>
      </c>
      <c r="U3164">
        <v>0.35476679999999999</v>
      </c>
      <c r="V3164">
        <v>-0.1148334</v>
      </c>
      <c r="W3164">
        <v>-0.1075421</v>
      </c>
      <c r="X3164">
        <v>0.98754640000000005</v>
      </c>
      <c r="Y3164">
        <v>-0.1082965</v>
      </c>
      <c r="Z3164">
        <v>2.7245479999999998E-3</v>
      </c>
      <c r="AA3164">
        <v>0.99411490000000002</v>
      </c>
      <c r="AB3164">
        <v>42</v>
      </c>
      <c r="AC3164">
        <v>27.0491999999999</v>
      </c>
      <c r="AD3164">
        <v>-1.1097827207801001</v>
      </c>
      <c r="AE3164">
        <v>3.2433000000000001</v>
      </c>
      <c r="AF3164">
        <v>-2.97832266768259</v>
      </c>
      <c r="AG3164">
        <v>-1.1097827207801001</v>
      </c>
      <c r="AH3164">
        <v>27.034250353540202</v>
      </c>
      <c r="AI3164">
        <v>92.336607315003306</v>
      </c>
      <c r="AJ3164">
        <v>96.286836934601098</v>
      </c>
      <c r="AK3164">
        <v>27.2204466491288</v>
      </c>
      <c r="AL3164">
        <v>96.173647989708599</v>
      </c>
      <c r="AM3164">
        <v>96.632653332745306</v>
      </c>
      <c r="AN3164">
        <v>0.99999995259046304</v>
      </c>
    </row>
    <row r="3165" spans="1:40" x14ac:dyDescent="0.25">
      <c r="A3165" t="str">
        <f>"20190305135853862"</f>
        <v>20190305135853862</v>
      </c>
      <c r="B3165" t="str">
        <f>"1551765533852540"</f>
        <v>1551765533852540</v>
      </c>
      <c r="C3165" t="s">
        <v>40</v>
      </c>
      <c r="D3165">
        <v>4.0697979999999996</v>
      </c>
      <c r="E3165">
        <v>0.50561140000000004</v>
      </c>
      <c r="F3165" t="s">
        <v>59</v>
      </c>
      <c r="G3165">
        <v>-241.86879999999999</v>
      </c>
      <c r="H3165" s="1">
        <v>-7.1097629999999995E-7</v>
      </c>
      <c r="I3165">
        <v>218.47470000000001</v>
      </c>
      <c r="J3165">
        <v>-268.55759999999998</v>
      </c>
      <c r="K3165">
        <v>1.109669</v>
      </c>
      <c r="L3165">
        <v>215.35249999999999</v>
      </c>
      <c r="M3165">
        <v>0.99984289999999998</v>
      </c>
      <c r="N3165">
        <v>-1.44192E-2</v>
      </c>
      <c r="O3165">
        <v>1.032316E-2</v>
      </c>
      <c r="P3165">
        <v>0.98507239999999996</v>
      </c>
      <c r="Q3165">
        <v>-0.1222253</v>
      </c>
      <c r="R3165">
        <v>0.1212167</v>
      </c>
      <c r="S3165">
        <v>2.9876100000000001</v>
      </c>
      <c r="T3165">
        <v>-0.12261610000000001</v>
      </c>
      <c r="U3165">
        <v>0.34539789999999998</v>
      </c>
      <c r="V3165">
        <v>-0.1106761</v>
      </c>
      <c r="W3165">
        <v>-0.1083645</v>
      </c>
      <c r="X3165">
        <v>0.98793109999999995</v>
      </c>
      <c r="Y3165">
        <v>-0.1044691</v>
      </c>
      <c r="Z3165">
        <v>2.6182459999999999E-3</v>
      </c>
      <c r="AA3165">
        <v>0.99452470000000004</v>
      </c>
      <c r="AB3165">
        <v>42</v>
      </c>
      <c r="AC3165">
        <v>26.688799999999901</v>
      </c>
      <c r="AD3165">
        <v>-1.1096697109763001</v>
      </c>
      <c r="AE3165">
        <v>3.1222000000000198</v>
      </c>
      <c r="AF3165">
        <v>-2.8416461004663498</v>
      </c>
      <c r="AG3165">
        <v>-1.1096697109763001</v>
      </c>
      <c r="AH3165">
        <v>26.6741218713371</v>
      </c>
      <c r="AI3165">
        <v>92.368798697068698</v>
      </c>
      <c r="AJ3165">
        <v>96.080895934465602</v>
      </c>
      <c r="AK3165">
        <v>26.847999870282699</v>
      </c>
      <c r="AL3165">
        <v>96.221044978835593</v>
      </c>
      <c r="AM3165">
        <v>96.392088579170306</v>
      </c>
      <c r="AN3165">
        <v>0.99999996115933398</v>
      </c>
    </row>
    <row r="3166" spans="1:40" x14ac:dyDescent="0.25">
      <c r="A3166" t="str">
        <f>"20190305135853879"</f>
        <v>20190305135853879</v>
      </c>
      <c r="B3166" t="str">
        <f>"1551765533872060"</f>
        <v>1551765533872060</v>
      </c>
      <c r="C3166" t="s">
        <v>40</v>
      </c>
      <c r="D3166">
        <v>4.1501910000000004</v>
      </c>
      <c r="E3166">
        <v>0.50594600000000001</v>
      </c>
      <c r="F3166" t="s">
        <v>59</v>
      </c>
      <c r="G3166">
        <v>-241.83529999999999</v>
      </c>
      <c r="H3166" s="1">
        <v>-7.2314589999999996E-7</v>
      </c>
      <c r="I3166">
        <v>218.3451</v>
      </c>
      <c r="J3166">
        <v>-268.24540000000002</v>
      </c>
      <c r="K3166">
        <v>1.10958</v>
      </c>
      <c r="L3166">
        <v>215.3563</v>
      </c>
      <c r="M3166">
        <v>0.99983650000000002</v>
      </c>
      <c r="N3166">
        <v>-1.4411419999999999E-2</v>
      </c>
      <c r="O3166">
        <v>1.0918010000000001E-2</v>
      </c>
      <c r="P3166">
        <v>0.98525529999999995</v>
      </c>
      <c r="Q3166">
        <v>-0.122129</v>
      </c>
      <c r="R3166">
        <v>0.1198191</v>
      </c>
      <c r="S3166">
        <v>2.988861</v>
      </c>
      <c r="T3166">
        <v>-0.12411510000000001</v>
      </c>
      <c r="U3166">
        <v>0.33471679999999998</v>
      </c>
      <c r="V3166">
        <v>-0.1087149</v>
      </c>
      <c r="W3166">
        <v>-0.10824110000000001</v>
      </c>
      <c r="X3166">
        <v>0.9881624</v>
      </c>
      <c r="Y3166">
        <v>-0.100323</v>
      </c>
      <c r="Z3166">
        <v>2.5063759999999998E-3</v>
      </c>
      <c r="AA3166">
        <v>0.99495180000000005</v>
      </c>
      <c r="AB3166">
        <v>42</v>
      </c>
      <c r="AC3166">
        <v>26.4101</v>
      </c>
      <c r="AD3166">
        <v>-1.1095807231458901</v>
      </c>
      <c r="AE3166">
        <v>2.9887999999999901</v>
      </c>
      <c r="AF3166">
        <v>-2.6955482871452898</v>
      </c>
      <c r="AG3166">
        <v>-1.1095807231458901</v>
      </c>
      <c r="AH3166">
        <v>26.395158841914</v>
      </c>
      <c r="AI3166">
        <v>92.394701313257897</v>
      </c>
      <c r="AJ3166">
        <v>95.830992535724207</v>
      </c>
      <c r="AK3166">
        <v>26.5556314223439</v>
      </c>
      <c r="AL3166">
        <v>96.213932621912903</v>
      </c>
      <c r="AM3166">
        <v>96.278274462366397</v>
      </c>
      <c r="AN3166">
        <v>0.99999999699248998</v>
      </c>
    </row>
    <row r="3167" spans="1:40" x14ac:dyDescent="0.25">
      <c r="A3167" t="str">
        <f>"20190305135853891"</f>
        <v>20190305135853891</v>
      </c>
      <c r="B3167" t="str">
        <f>"1551765533881820"</f>
        <v>1551765533881820</v>
      </c>
      <c r="C3167" t="s">
        <v>40</v>
      </c>
      <c r="D3167">
        <v>4.1104390000000004</v>
      </c>
      <c r="E3167">
        <v>0.50610010000000005</v>
      </c>
      <c r="F3167" t="s">
        <v>59</v>
      </c>
      <c r="G3167">
        <v>-241.84020000000001</v>
      </c>
      <c r="H3167" s="1">
        <v>-7.1647379999999998E-7</v>
      </c>
      <c r="I3167">
        <v>218.25229999999999</v>
      </c>
      <c r="J3167">
        <v>-268.00229999999999</v>
      </c>
      <c r="K3167">
        <v>1.109524</v>
      </c>
      <c r="L3167">
        <v>215.35939999999999</v>
      </c>
      <c r="M3167">
        <v>0.99983180000000005</v>
      </c>
      <c r="N3167">
        <v>-1.4405889999999999E-2</v>
      </c>
      <c r="O3167">
        <v>1.1353480000000001E-2</v>
      </c>
      <c r="P3167">
        <v>0.98545170000000004</v>
      </c>
      <c r="Q3167">
        <v>-0.1220286</v>
      </c>
      <c r="R3167">
        <v>0.1182962</v>
      </c>
      <c r="S3167">
        <v>2.9894409999999998</v>
      </c>
      <c r="T3167">
        <v>-0.12562019999999999</v>
      </c>
      <c r="U3167">
        <v>0.32786559999999998</v>
      </c>
      <c r="V3167">
        <v>-0.1067776</v>
      </c>
      <c r="W3167">
        <v>-0.1081197</v>
      </c>
      <c r="X3167">
        <v>0.98838689999999996</v>
      </c>
      <c r="Y3167">
        <v>-9.761649E-2</v>
      </c>
      <c r="Z3167">
        <v>2.4373250000000002E-3</v>
      </c>
      <c r="AA3167">
        <v>0.99522109999999997</v>
      </c>
      <c r="AB3167">
        <v>42</v>
      </c>
      <c r="AC3167">
        <v>26.162099999999899</v>
      </c>
      <c r="AD3167">
        <v>-1.1095247164738</v>
      </c>
      <c r="AE3167">
        <v>2.8928999999999898</v>
      </c>
      <c r="AF3167">
        <v>-2.5910479052270099</v>
      </c>
      <c r="AG3167">
        <v>-1.1095247164738</v>
      </c>
      <c r="AH3167">
        <v>26.146802366943501</v>
      </c>
      <c r="AI3167">
        <v>92.4180267086264</v>
      </c>
      <c r="AJ3167">
        <v>95.659315501645295</v>
      </c>
      <c r="AK3167">
        <v>26.298286034638299</v>
      </c>
      <c r="AL3167">
        <v>96.206935866200396</v>
      </c>
      <c r="AM3167">
        <v>96.165875444474594</v>
      </c>
      <c r="AN3167">
        <v>0.99999999474072898</v>
      </c>
    </row>
    <row r="3168" spans="1:40" x14ac:dyDescent="0.25">
      <c r="A3168" t="str">
        <f>"20190305135853908"</f>
        <v>20190305135853908</v>
      </c>
      <c r="B3168" t="str">
        <f>"1551765533902315"</f>
        <v>1551765533902315</v>
      </c>
      <c r="C3168" t="s">
        <v>40</v>
      </c>
      <c r="D3168">
        <v>4.1018879999999998</v>
      </c>
      <c r="E3168">
        <v>0.50645989999999996</v>
      </c>
      <c r="F3168" t="s">
        <v>59</v>
      </c>
      <c r="G3168">
        <v>-241.42230000000001</v>
      </c>
      <c r="H3168" s="1">
        <v>-9.3766660000000001E-7</v>
      </c>
      <c r="I3168">
        <v>218.22540000000001</v>
      </c>
      <c r="J3168">
        <v>-267.7176</v>
      </c>
      <c r="K3168">
        <v>1.109467</v>
      </c>
      <c r="L3168">
        <v>215.3631</v>
      </c>
      <c r="M3168">
        <v>0.99982610000000005</v>
      </c>
      <c r="N3168">
        <v>-1.439963E-2</v>
      </c>
      <c r="O3168">
        <v>1.184727E-2</v>
      </c>
      <c r="P3168">
        <v>0.985981</v>
      </c>
      <c r="Q3168">
        <v>-0.1214581</v>
      </c>
      <c r="R3168">
        <v>0.11440989999999999</v>
      </c>
      <c r="S3168">
        <v>2.9901430000000002</v>
      </c>
      <c r="T3168">
        <v>-0.12481730000000001</v>
      </c>
      <c r="U3168">
        <v>0.32241819999999999</v>
      </c>
      <c r="V3168">
        <v>-0.1024186</v>
      </c>
      <c r="W3168">
        <v>-0.107516899999999</v>
      </c>
      <c r="X3168">
        <v>0.98891379999999995</v>
      </c>
      <c r="Y3168">
        <v>-9.5311629999999994E-2</v>
      </c>
      <c r="Z3168">
        <v>2.3486150000000001E-3</v>
      </c>
      <c r="AA3168">
        <v>0.99544469999999996</v>
      </c>
      <c r="AB3168">
        <v>42</v>
      </c>
      <c r="AC3168">
        <v>26.295300000000001</v>
      </c>
      <c r="AD3168">
        <v>-1.1094679376665999</v>
      </c>
      <c r="AE3168">
        <v>2.8622999999999998</v>
      </c>
      <c r="AF3168">
        <v>-2.5460597812099102</v>
      </c>
      <c r="AG3168">
        <v>-1.1094679376665999</v>
      </c>
      <c r="AH3168">
        <v>26.2811298556026</v>
      </c>
      <c r="AI3168">
        <v>92.406076698827107</v>
      </c>
      <c r="AJ3168">
        <v>95.533424983941899</v>
      </c>
      <c r="AK3168">
        <v>26.427469156187701</v>
      </c>
      <c r="AL3168">
        <v>96.172195554266494</v>
      </c>
      <c r="AM3168">
        <v>95.912857897624306</v>
      </c>
      <c r="AN3168">
        <v>0.99999997862100398</v>
      </c>
    </row>
    <row r="3169" spans="1:40" x14ac:dyDescent="0.25">
      <c r="A3169" t="str">
        <f>"20190305135853923"</f>
        <v>20190305135853923</v>
      </c>
      <c r="B3169" t="str">
        <f>"1551765533912076"</f>
        <v>1551765533912076</v>
      </c>
      <c r="C3169" t="s">
        <v>40</v>
      </c>
      <c r="D3169">
        <v>4.1151980000000004</v>
      </c>
      <c r="E3169">
        <v>0.50660559999999999</v>
      </c>
      <c r="F3169" t="s">
        <v>59</v>
      </c>
      <c r="G3169">
        <v>-240.5761</v>
      </c>
      <c r="H3169" s="1">
        <v>-1.384906E-6</v>
      </c>
      <c r="I3169">
        <v>218.1551</v>
      </c>
      <c r="J3169">
        <v>-267.4237</v>
      </c>
      <c r="K3169">
        <v>1.1094010000000001</v>
      </c>
      <c r="L3169">
        <v>215.36709999999999</v>
      </c>
      <c r="M3169">
        <v>0.99982040000000005</v>
      </c>
      <c r="N3169">
        <v>-1.4393420000000001E-2</v>
      </c>
      <c r="O3169">
        <v>1.2338450000000001E-2</v>
      </c>
      <c r="P3169">
        <v>0.98621080000000005</v>
      </c>
      <c r="Q3169">
        <v>-0.12117360000000001</v>
      </c>
      <c r="R3169">
        <v>0.11271920000000001</v>
      </c>
      <c r="S3169">
        <v>2.9918819999999999</v>
      </c>
      <c r="T3169">
        <v>-0.1222999</v>
      </c>
      <c r="U3169">
        <v>0.30776979999999998</v>
      </c>
      <c r="V3169">
        <v>-0.10025870000000001</v>
      </c>
      <c r="W3169">
        <v>-0.107211899999999</v>
      </c>
      <c r="X3169">
        <v>0.98916820000000005</v>
      </c>
      <c r="Y3169">
        <v>-8.9949089999999995E-2</v>
      </c>
      <c r="Z3169">
        <v>2.1566570000000002E-3</v>
      </c>
      <c r="AA3169">
        <v>0.99594400000000005</v>
      </c>
      <c r="AB3169">
        <v>41</v>
      </c>
      <c r="AC3169">
        <v>26.8476</v>
      </c>
      <c r="AD3169">
        <v>-1.109402384906</v>
      </c>
      <c r="AE3169">
        <v>2.78800000000001</v>
      </c>
      <c r="AF3169">
        <v>-2.45235289950271</v>
      </c>
      <c r="AG3169">
        <v>-1.109402384906</v>
      </c>
      <c r="AH3169">
        <v>26.834627091916602</v>
      </c>
      <c r="AI3169">
        <v>92.357571900937799</v>
      </c>
      <c r="AJ3169">
        <v>95.221621109524406</v>
      </c>
      <c r="AK3169">
        <v>26.969279181275098</v>
      </c>
      <c r="AL3169">
        <v>96.154618838001596</v>
      </c>
      <c r="AM3169">
        <v>95.787539165003295</v>
      </c>
      <c r="AN3169">
        <v>0.99999996315926898</v>
      </c>
    </row>
    <row r="3170" spans="1:40" x14ac:dyDescent="0.25">
      <c r="A3170" t="str">
        <f>"20190305135853941"</f>
        <v>20190305135853941</v>
      </c>
      <c r="B3170" t="str">
        <f>"1551765533931595"</f>
        <v>1551765533931595</v>
      </c>
      <c r="C3170" t="s">
        <v>40</v>
      </c>
      <c r="D3170">
        <v>4.1105689999999999</v>
      </c>
      <c r="E3170">
        <v>0.50688310000000003</v>
      </c>
      <c r="F3170" t="s">
        <v>59</v>
      </c>
      <c r="G3170">
        <v>-240.01400000000001</v>
      </c>
      <c r="H3170" s="1">
        <v>-1.682844E-6</v>
      </c>
      <c r="I3170">
        <v>218.12790000000001</v>
      </c>
      <c r="J3170">
        <v>-267.10210000000001</v>
      </c>
      <c r="K3170">
        <v>1.1093459999999999</v>
      </c>
      <c r="L3170">
        <v>215.3715</v>
      </c>
      <c r="M3170">
        <v>0.99981390000000003</v>
      </c>
      <c r="N3170">
        <v>-1.4386940000000001E-2</v>
      </c>
      <c r="O3170">
        <v>1.2856569999999999E-2</v>
      </c>
      <c r="P3170">
        <v>0.98678809999999995</v>
      </c>
      <c r="Q3170">
        <v>-0.1204099</v>
      </c>
      <c r="R3170">
        <v>0.1084005</v>
      </c>
      <c r="S3170">
        <v>2.992645</v>
      </c>
      <c r="T3170">
        <v>-0.1211265</v>
      </c>
      <c r="U3170">
        <v>0.30143740000000002</v>
      </c>
      <c r="V3170">
        <v>-9.5441419999999999E-2</v>
      </c>
      <c r="W3170">
        <v>-0.1064177</v>
      </c>
      <c r="X3170">
        <v>0.98973040000000001</v>
      </c>
      <c r="Y3170">
        <v>-8.7325680000000003E-2</v>
      </c>
      <c r="Z3170">
        <v>2.057952E-3</v>
      </c>
      <c r="AA3170">
        <v>0.99617770000000005</v>
      </c>
      <c r="AB3170">
        <v>41</v>
      </c>
      <c r="AC3170">
        <v>27.088100000000001</v>
      </c>
      <c r="AD3170">
        <v>-1.1093476828440001</v>
      </c>
      <c r="AE3170">
        <v>2.75640000000001</v>
      </c>
      <c r="AF3170">
        <v>-2.4038856391785002</v>
      </c>
      <c r="AG3170">
        <v>-1.1093476828440001</v>
      </c>
      <c r="AH3170">
        <v>27.076355864523901</v>
      </c>
      <c r="AI3170">
        <v>92.336976152706995</v>
      </c>
      <c r="AJ3170">
        <v>95.073516020961193</v>
      </c>
      <c r="AK3170">
        <v>27.205484104312799</v>
      </c>
      <c r="AL3170">
        <v>96.108852297591696</v>
      </c>
      <c r="AM3170">
        <v>95.508100158966499</v>
      </c>
      <c r="AN3170">
        <v>1.00000002810453</v>
      </c>
    </row>
    <row r="3171" spans="1:40" x14ac:dyDescent="0.25">
      <c r="A3171" t="str">
        <f>"20190305135853956"</f>
        <v>20190305135853956</v>
      </c>
      <c r="B3171" t="str">
        <f>"1551765533952091"</f>
        <v>1551765533952091</v>
      </c>
      <c r="C3171" t="s">
        <v>40</v>
      </c>
      <c r="D3171">
        <v>4.1526480000000001</v>
      </c>
      <c r="E3171">
        <v>0.50704879999999997</v>
      </c>
      <c r="F3171" t="s">
        <v>59</v>
      </c>
      <c r="G3171">
        <v>-238.98269999999999</v>
      </c>
      <c r="H3171" s="1">
        <v>3.0927430000000002E-6</v>
      </c>
      <c r="I3171">
        <v>218.06180000000001</v>
      </c>
      <c r="J3171">
        <v>-266.81200000000001</v>
      </c>
      <c r="K3171">
        <v>1.1092979999999999</v>
      </c>
      <c r="L3171">
        <v>215.37569999999999</v>
      </c>
      <c r="M3171">
        <v>0.99980809999999998</v>
      </c>
      <c r="N3171">
        <v>-1.438153E-2</v>
      </c>
      <c r="O3171">
        <v>1.33072999999999E-2</v>
      </c>
      <c r="P3171">
        <v>0.98701899999999998</v>
      </c>
      <c r="Q3171">
        <v>-0.12009640000000001</v>
      </c>
      <c r="R3171">
        <v>0.1066336</v>
      </c>
      <c r="S3171">
        <v>2.9943240000000002</v>
      </c>
      <c r="T3171">
        <v>-0.1181297</v>
      </c>
      <c r="U3171">
        <v>0.28648380000000001</v>
      </c>
      <c r="V3171">
        <v>-9.3241480000000002E-2</v>
      </c>
      <c r="W3171">
        <v>-0.1060875</v>
      </c>
      <c r="X3171">
        <v>0.98997550000000001</v>
      </c>
      <c r="Y3171">
        <v>-8.1901909999999994E-2</v>
      </c>
      <c r="Z3171">
        <v>1.8693270000000001E-3</v>
      </c>
      <c r="AA3171">
        <v>0.99663869999999999</v>
      </c>
      <c r="AB3171">
        <v>41</v>
      </c>
      <c r="AC3171">
        <v>27.8293</v>
      </c>
      <c r="AD3171">
        <v>-1.109294907257</v>
      </c>
      <c r="AE3171">
        <v>2.6861000000000099</v>
      </c>
      <c r="AF3171">
        <v>-2.3118516512523</v>
      </c>
      <c r="AG3171">
        <v>-1.109294907257</v>
      </c>
      <c r="AH3171">
        <v>27.818791175080602</v>
      </c>
      <c r="AI3171">
        <v>92.275665488155497</v>
      </c>
      <c r="AJ3171">
        <v>94.750589836351196</v>
      </c>
      <c r="AK3171">
        <v>27.936720202833499</v>
      </c>
      <c r="AL3171">
        <v>96.0898256293342</v>
      </c>
      <c r="AM3171">
        <v>95.380567132912404</v>
      </c>
      <c r="AN3171">
        <v>1.0000000109245399</v>
      </c>
    </row>
    <row r="3172" spans="1:40" x14ac:dyDescent="0.25">
      <c r="A3172" t="str">
        <f>"20190305135853970"</f>
        <v>20190305135853970</v>
      </c>
      <c r="B3172" t="str">
        <f>"1551765533961852"</f>
        <v>1551765533961852</v>
      </c>
      <c r="C3172" t="s">
        <v>40</v>
      </c>
      <c r="D3172">
        <v>4.2877799999999997</v>
      </c>
      <c r="E3172">
        <v>0.50714840000000005</v>
      </c>
      <c r="F3172" t="s">
        <v>59</v>
      </c>
      <c r="G3172">
        <v>-238.44499999999999</v>
      </c>
      <c r="H3172" s="1">
        <v>2.808159E-6</v>
      </c>
      <c r="I3172">
        <v>218.02610000000001</v>
      </c>
      <c r="J3172">
        <v>-266.5521</v>
      </c>
      <c r="K3172">
        <v>1.1092580000000001</v>
      </c>
      <c r="L3172">
        <v>215.37950000000001</v>
      </c>
      <c r="M3172">
        <v>0.99980290000000005</v>
      </c>
      <c r="N3172">
        <v>-1.4376979999999999E-2</v>
      </c>
      <c r="O3172">
        <v>1.369774E-2</v>
      </c>
      <c r="P3172">
        <v>0.98721179999999997</v>
      </c>
      <c r="Q3172">
        <v>-0.120197499999999</v>
      </c>
      <c r="R3172">
        <v>0.1047167</v>
      </c>
      <c r="S3172">
        <v>2.9949340000000002</v>
      </c>
      <c r="T3172">
        <v>-0.1171172</v>
      </c>
      <c r="U3172">
        <v>0.27983089999999999</v>
      </c>
      <c r="V3172">
        <v>-9.0948089999999995E-2</v>
      </c>
      <c r="W3172">
        <v>-0.1061744</v>
      </c>
      <c r="X3172">
        <v>0.99017949999999999</v>
      </c>
      <c r="Y3172">
        <v>-7.9302880000000006E-2</v>
      </c>
      <c r="Z3172">
        <v>1.7805659999999999E-3</v>
      </c>
      <c r="AA3172">
        <v>0.99684899999999999</v>
      </c>
      <c r="AB3172">
        <v>41</v>
      </c>
      <c r="AC3172">
        <v>28.107099999999999</v>
      </c>
      <c r="AD3172">
        <v>-1.1092551918410001</v>
      </c>
      <c r="AE3172">
        <v>2.6465999999999998</v>
      </c>
      <c r="AF3172">
        <v>-2.2578224606874899</v>
      </c>
      <c r="AG3172">
        <v>-1.1092551918410001</v>
      </c>
      <c r="AH3172">
        <v>28.0973413797586</v>
      </c>
      <c r="AI3172">
        <v>92.253549862214598</v>
      </c>
      <c r="AJ3172">
        <v>94.594254112387404</v>
      </c>
      <c r="AK3172">
        <v>28.209728852920701</v>
      </c>
      <c r="AL3172">
        <v>96.094832978122895</v>
      </c>
      <c r="AM3172">
        <v>95.247898495985993</v>
      </c>
      <c r="AN3172">
        <v>1.0000000002551199</v>
      </c>
    </row>
    <row r="3173" spans="1:40" x14ac:dyDescent="0.25">
      <c r="A3173" t="str">
        <f>"20190305135853986"</f>
        <v>20190305135853986</v>
      </c>
      <c r="B3173" t="str">
        <f>"1551765533982348"</f>
        <v>1551765533982348</v>
      </c>
      <c r="C3173" t="s">
        <v>40</v>
      </c>
      <c r="D3173">
        <v>4.219436</v>
      </c>
      <c r="E3173">
        <v>0.56004670000000001</v>
      </c>
      <c r="F3173" t="s">
        <v>59</v>
      </c>
      <c r="G3173">
        <v>-238.00309999999999</v>
      </c>
      <c r="H3173" s="1">
        <v>2.5748249999999999E-6</v>
      </c>
      <c r="I3173">
        <v>217.98490000000001</v>
      </c>
      <c r="J3173">
        <v>-266.28390000000002</v>
      </c>
      <c r="K3173">
        <v>1.1092200000000001</v>
      </c>
      <c r="L3173">
        <v>215.3835</v>
      </c>
      <c r="M3173">
        <v>0.99979750000000001</v>
      </c>
      <c r="N3173">
        <v>-1.4370330000000001E-2</v>
      </c>
      <c r="O3173">
        <v>1.4091019999999999E-2</v>
      </c>
      <c r="P3173">
        <v>0.98764289999999999</v>
      </c>
      <c r="Q3173">
        <v>-0.12032320000000001</v>
      </c>
      <c r="R3173">
        <v>0.1004171</v>
      </c>
      <c r="S3173">
        <v>2.9956969999999998</v>
      </c>
      <c r="T3173">
        <v>-0.1163961</v>
      </c>
      <c r="U3173">
        <v>0.27339170000000002</v>
      </c>
      <c r="V3173">
        <v>-8.6265620000000001E-2</v>
      </c>
      <c r="W3173">
        <v>-0.106281</v>
      </c>
      <c r="X3173">
        <v>0.990587</v>
      </c>
      <c r="Y3173">
        <v>-7.6765949999999999E-2</v>
      </c>
      <c r="Z3173">
        <v>1.6967460000000001E-3</v>
      </c>
      <c r="AA3173">
        <v>0.99704769999999998</v>
      </c>
      <c r="AB3173">
        <v>41</v>
      </c>
      <c r="AC3173">
        <v>28.280799999999999</v>
      </c>
      <c r="AD3173">
        <v>-1.109217425175</v>
      </c>
      <c r="AE3173">
        <v>2.6014000000000101</v>
      </c>
      <c r="AF3173">
        <v>-2.1992404441048699</v>
      </c>
      <c r="AG3173">
        <v>-1.109217425175</v>
      </c>
      <c r="AH3173">
        <v>28.271525684447798</v>
      </c>
      <c r="AI3173">
        <v>92.240054870090205</v>
      </c>
      <c r="AJ3173">
        <v>94.4480778203922</v>
      </c>
      <c r="AK3173">
        <v>28.378621995327599</v>
      </c>
      <c r="AL3173">
        <v>96.100975426044698</v>
      </c>
      <c r="AM3173">
        <v>94.9770668203155</v>
      </c>
      <c r="AN3173">
        <v>1.00000000636199</v>
      </c>
    </row>
    <row r="3174" spans="1:40" x14ac:dyDescent="0.25">
      <c r="A3174" t="str">
        <f>"20190305135854021"</f>
        <v>20190305135854021</v>
      </c>
      <c r="B3174" t="str">
        <f>"1551765534012604"</f>
        <v>1551765534012604</v>
      </c>
      <c r="C3174" t="s">
        <v>40</v>
      </c>
      <c r="D3174">
        <v>4.3301730000000003</v>
      </c>
      <c r="E3174">
        <v>0.58959869999999903</v>
      </c>
      <c r="F3174" t="s">
        <v>58</v>
      </c>
      <c r="G3174">
        <v>-190.46100000000001</v>
      </c>
      <c r="H3174" s="1">
        <v>4.1526809999999998E-6</v>
      </c>
      <c r="I3174">
        <v>211.52950000000001</v>
      </c>
      <c r="J3174">
        <v>-265.6309</v>
      </c>
      <c r="K3174">
        <v>1.1091279999999999</v>
      </c>
      <c r="L3174">
        <v>215.3938</v>
      </c>
      <c r="M3174">
        <v>0.99978469999999997</v>
      </c>
      <c r="N3174">
        <v>-1.4345460000000001E-2</v>
      </c>
      <c r="O3174">
        <v>1.4997679999999999E-2</v>
      </c>
      <c r="P3174">
        <v>0.98816570000000004</v>
      </c>
      <c r="Q3174">
        <v>-0.120882</v>
      </c>
      <c r="R3174">
        <v>9.4427230000000001E-2</v>
      </c>
      <c r="S3174">
        <v>3.047882</v>
      </c>
      <c r="T3174">
        <v>-4.458761E-2</v>
      </c>
      <c r="U3174">
        <v>-0.15492249999999999</v>
      </c>
      <c r="V3174">
        <v>-7.9395259999999995E-2</v>
      </c>
      <c r="W3174">
        <v>-0.10682369999999999</v>
      </c>
      <c r="X3174">
        <v>0.99110299999999996</v>
      </c>
      <c r="Y3174">
        <v>6.5724270000000001E-2</v>
      </c>
      <c r="Z3174">
        <v>-9.5646369999999997E-4</v>
      </c>
      <c r="AA3174">
        <v>0.99783739999999999</v>
      </c>
      <c r="AB3174">
        <v>41</v>
      </c>
      <c r="AC3174">
        <v>75.169899999999998</v>
      </c>
      <c r="AD3174">
        <v>-1.1091238473189999</v>
      </c>
      <c r="AE3174">
        <v>-3.8642999999999801</v>
      </c>
      <c r="AF3174">
        <v>4.9902717648311103</v>
      </c>
      <c r="AG3174">
        <v>-1.1091238473189999</v>
      </c>
      <c r="AH3174">
        <v>75.087178385435294</v>
      </c>
      <c r="AI3174">
        <v>90.844400424200998</v>
      </c>
      <c r="AJ3174">
        <v>86.197730858144098</v>
      </c>
      <c r="AK3174">
        <v>75.260994717594201</v>
      </c>
      <c r="AL3174">
        <v>96.132247710472797</v>
      </c>
      <c r="AM3174">
        <v>94.580068701771495</v>
      </c>
      <c r="AN3174">
        <v>1.0000000334005701</v>
      </c>
    </row>
    <row r="3175" spans="1:40" x14ac:dyDescent="0.25">
      <c r="A3175" t="str">
        <f>"20190305135854042"</f>
        <v>20190305135854042</v>
      </c>
      <c r="B3175" t="str">
        <f>"1551765534032124"</f>
        <v>1551765534032124</v>
      </c>
      <c r="C3175" t="s">
        <v>40</v>
      </c>
      <c r="D3175">
        <v>4.3061949999999998</v>
      </c>
      <c r="E3175">
        <v>0.60138639999999999</v>
      </c>
      <c r="F3175" t="s">
        <v>58</v>
      </c>
      <c r="G3175">
        <v>-179.95779999999999</v>
      </c>
      <c r="H3175">
        <v>2.0122660000000001E-2</v>
      </c>
      <c r="I3175">
        <v>204.0292</v>
      </c>
      <c r="J3175">
        <v>-265.2276</v>
      </c>
      <c r="K3175">
        <v>1.109081</v>
      </c>
      <c r="L3175">
        <v>215.40029999999999</v>
      </c>
      <c r="M3175">
        <v>0.99977680000000002</v>
      </c>
      <c r="N3175">
        <v>-1.432896E-2</v>
      </c>
      <c r="O3175">
        <v>1.5520310000000001E-2</v>
      </c>
      <c r="P3175">
        <v>0.98835390000000001</v>
      </c>
      <c r="Q3175">
        <v>-0.1219987</v>
      </c>
      <c r="R3175">
        <v>9.0955300000000003E-2</v>
      </c>
      <c r="S3175">
        <v>3.0700379999999998</v>
      </c>
      <c r="T3175">
        <v>-3.9023759999999998E-2</v>
      </c>
      <c r="U3175">
        <v>-0.40724179999999999</v>
      </c>
      <c r="V3175">
        <v>-7.5414780000000001E-2</v>
      </c>
      <c r="W3175">
        <v>-0.1079373</v>
      </c>
      <c r="X3175">
        <v>0.99129319999999999</v>
      </c>
      <c r="Y3175">
        <v>0.14684469999999999</v>
      </c>
      <c r="Z3175">
        <v>-1.9610510000000001E-3</v>
      </c>
      <c r="AA3175">
        <v>0.98915759999999997</v>
      </c>
      <c r="AB3175">
        <v>41</v>
      </c>
      <c r="AC3175">
        <v>85.269800000000004</v>
      </c>
      <c r="AD3175">
        <v>-1.08895834</v>
      </c>
      <c r="AE3175">
        <v>-11.371099999999901</v>
      </c>
      <c r="AF3175">
        <v>12.6912461400241</v>
      </c>
      <c r="AG3175">
        <v>-1.08895834</v>
      </c>
      <c r="AH3175">
        <v>85.069394543918705</v>
      </c>
      <c r="AI3175">
        <v>90.725366272304697</v>
      </c>
      <c r="AJ3175">
        <v>81.514797332951204</v>
      </c>
      <c r="AK3175">
        <v>86.017762391972497</v>
      </c>
      <c r="AL3175">
        <v>96.196423382460296</v>
      </c>
      <c r="AM3175">
        <v>94.350520377765406</v>
      </c>
      <c r="AN3175">
        <v>1.00000002906998</v>
      </c>
    </row>
    <row r="3176" spans="1:40" x14ac:dyDescent="0.25">
      <c r="A3176" t="str">
        <f>"20190305135854065"</f>
        <v>20190305135854065</v>
      </c>
      <c r="B3176" t="str">
        <f>"1551765534062380"</f>
        <v>1551765534062380</v>
      </c>
      <c r="C3176" t="s">
        <v>40</v>
      </c>
      <c r="D3176">
        <v>4.3802260000000004</v>
      </c>
      <c r="E3176">
        <v>0.60766140000000002</v>
      </c>
      <c r="F3176" t="s">
        <v>58</v>
      </c>
      <c r="G3176">
        <v>-179.94</v>
      </c>
      <c r="H3176">
        <v>6.7739930000000004E-2</v>
      </c>
      <c r="I3176">
        <v>201.2424</v>
      </c>
      <c r="J3176">
        <v>-264.82909999999998</v>
      </c>
      <c r="K3176">
        <v>1.109032</v>
      </c>
      <c r="L3176">
        <v>215.40700000000001</v>
      </c>
      <c r="M3176">
        <v>0.99976929999999997</v>
      </c>
      <c r="N3176">
        <v>-1.4313950000000001E-2</v>
      </c>
      <c r="O3176">
        <v>1.6013039999999999E-2</v>
      </c>
      <c r="P3176">
        <v>0.98838689999999996</v>
      </c>
      <c r="Q3176">
        <v>-0.12418220000000001</v>
      </c>
      <c r="R3176">
        <v>8.7580179999999994E-2</v>
      </c>
      <c r="S3176">
        <v>3.077728</v>
      </c>
      <c r="T3176">
        <v>-3.7578340000000002E-2</v>
      </c>
      <c r="U3176">
        <v>-0.51090999999999998</v>
      </c>
      <c r="V3176">
        <v>-7.1560180000000001E-2</v>
      </c>
      <c r="W3176">
        <v>-0.1101208</v>
      </c>
      <c r="X3176">
        <v>0.99133879999999996</v>
      </c>
      <c r="Y3176">
        <v>0.17951</v>
      </c>
      <c r="Z3176">
        <v>-2.348691E-3</v>
      </c>
      <c r="AA3176">
        <v>0.98375330000000005</v>
      </c>
      <c r="AB3176">
        <v>41</v>
      </c>
      <c r="AC3176">
        <v>84.8890999999999</v>
      </c>
      <c r="AD3176">
        <v>-1.0412920699999999</v>
      </c>
      <c r="AE3176">
        <v>-14.1646</v>
      </c>
      <c r="AF3176">
        <v>15.5199833567897</v>
      </c>
      <c r="AG3176">
        <v>-1.0412920699999999</v>
      </c>
      <c r="AH3176">
        <v>84.638981600223204</v>
      </c>
      <c r="AI3176">
        <v>90.693301916139802</v>
      </c>
      <c r="AJ3176">
        <v>79.609284335302604</v>
      </c>
      <c r="AK3176">
        <v>86.056442983038707</v>
      </c>
      <c r="AL3176">
        <v>96.322278993735907</v>
      </c>
      <c r="AM3176">
        <v>94.128756968045806</v>
      </c>
      <c r="AN3176">
        <v>1.00000003316985</v>
      </c>
    </row>
    <row r="3177" spans="1:40" x14ac:dyDescent="0.25">
      <c r="A3177" t="str">
        <f>"20190305135854086"</f>
        <v>20190305135854086</v>
      </c>
      <c r="B3177" t="str">
        <f>"1551765534081899"</f>
        <v>1551765534081899</v>
      </c>
      <c r="C3177" t="s">
        <v>40</v>
      </c>
      <c r="D3177">
        <v>4.2965479999999996</v>
      </c>
      <c r="E3177">
        <v>0.60919820000000002</v>
      </c>
      <c r="F3177" t="s">
        <v>59</v>
      </c>
      <c r="G3177">
        <v>-211.19499999999999</v>
      </c>
      <c r="H3177">
        <v>8.0001520000000007E-2</v>
      </c>
      <c r="I3177">
        <v>205.43879999999999</v>
      </c>
      <c r="J3177">
        <v>-264.41969999999998</v>
      </c>
      <c r="K3177">
        <v>1.108994</v>
      </c>
      <c r="L3177">
        <v>215.41399999999999</v>
      </c>
      <c r="M3177">
        <v>0.99976160000000003</v>
      </c>
      <c r="N3177">
        <v>-1.429949E-2</v>
      </c>
      <c r="O3177">
        <v>1.6500259999999999E-2</v>
      </c>
      <c r="P3177">
        <v>0.98845110000000003</v>
      </c>
      <c r="Q3177">
        <v>-0.12599169999999901</v>
      </c>
      <c r="R3177">
        <v>8.4206810000000007E-2</v>
      </c>
      <c r="S3177">
        <v>3.078522</v>
      </c>
      <c r="T3177">
        <v>-5.9064869999999998E-2</v>
      </c>
      <c r="U3177">
        <v>-0.57215879999999997</v>
      </c>
      <c r="V3177">
        <v>-6.7711279999999999E-2</v>
      </c>
      <c r="W3177">
        <v>-0.11193110000000001</v>
      </c>
      <c r="X3177">
        <v>0.99140640000000002</v>
      </c>
      <c r="Y3177">
        <v>0.19886239999999999</v>
      </c>
      <c r="Z3177">
        <v>-3.4056189999999999E-3</v>
      </c>
      <c r="AA3177">
        <v>0.98002149999999999</v>
      </c>
      <c r="AB3177">
        <v>41</v>
      </c>
      <c r="AC3177">
        <v>53.224699999999899</v>
      </c>
      <c r="AD3177">
        <v>-1.0289924800000001</v>
      </c>
      <c r="AE3177">
        <v>-9.9752000000000294</v>
      </c>
      <c r="AF3177">
        <v>10.848235810046599</v>
      </c>
      <c r="AG3177">
        <v>-1.0289924800000001</v>
      </c>
      <c r="AH3177">
        <v>53.033692878268901</v>
      </c>
      <c r="AI3177">
        <v>91.0890045407033</v>
      </c>
      <c r="AJ3177">
        <v>78.439418126560696</v>
      </c>
      <c r="AK3177">
        <v>54.141625631493802</v>
      </c>
      <c r="AL3177">
        <v>96.426646897681806</v>
      </c>
      <c r="AM3177">
        <v>93.907131447899104</v>
      </c>
      <c r="AN3177">
        <v>1.0000000192737</v>
      </c>
    </row>
    <row r="3178" spans="1:40" x14ac:dyDescent="0.25">
      <c r="A3178" t="str">
        <f>"20190305135854109"</f>
        <v>20190305135854109</v>
      </c>
      <c r="B3178" t="str">
        <f>"1551765534102396"</f>
        <v>1551765534102396</v>
      </c>
      <c r="C3178" t="s">
        <v>40</v>
      </c>
      <c r="D3178">
        <v>4.305021</v>
      </c>
      <c r="E3178">
        <v>0.60983240000000005</v>
      </c>
      <c r="F3178" t="s">
        <v>59</v>
      </c>
      <c r="G3178">
        <v>-218.71789999999999</v>
      </c>
      <c r="H3178">
        <v>8.0000719999999997E-2</v>
      </c>
      <c r="I3178">
        <v>206.5763</v>
      </c>
      <c r="J3178">
        <v>-264.0025</v>
      </c>
      <c r="K3178">
        <v>1.1089639999999901</v>
      </c>
      <c r="L3178">
        <v>215.42140000000001</v>
      </c>
      <c r="M3178">
        <v>0.99975389999999997</v>
      </c>
      <c r="N3178">
        <v>-1.428575E-2</v>
      </c>
      <c r="O3178">
        <v>1.698262E-2</v>
      </c>
      <c r="P3178">
        <v>0.98845879999999997</v>
      </c>
      <c r="Q3178">
        <v>-0.12861880000000001</v>
      </c>
      <c r="R3178">
        <v>8.0043669999999997E-2</v>
      </c>
      <c r="S3178">
        <v>3.0768740000000001</v>
      </c>
      <c r="T3178">
        <v>-6.927693E-2</v>
      </c>
      <c r="U3178">
        <v>-0.59500120000000001</v>
      </c>
      <c r="V3178">
        <v>-6.3076649999999998E-2</v>
      </c>
      <c r="W3178">
        <v>-0.1145598</v>
      </c>
      <c r="X3178">
        <v>0.99141179999999995</v>
      </c>
      <c r="Y3178">
        <v>0.2064251</v>
      </c>
      <c r="Z3178">
        <v>-3.929292E-3</v>
      </c>
      <c r="AA3178">
        <v>0.9784545</v>
      </c>
      <c r="AB3178">
        <v>41</v>
      </c>
      <c r="AC3178">
        <v>45.284599999999998</v>
      </c>
      <c r="AD3178">
        <v>-1.0289632799999999</v>
      </c>
      <c r="AE3178">
        <v>-8.8451000000000004</v>
      </c>
      <c r="AF3178">
        <v>9.6081752853247195</v>
      </c>
      <c r="AG3178">
        <v>-1.0289632799999999</v>
      </c>
      <c r="AH3178">
        <v>45.105407731118802</v>
      </c>
      <c r="AI3178">
        <v>91.278161162724004</v>
      </c>
      <c r="AJ3178">
        <v>77.974814257793795</v>
      </c>
      <c r="AK3178">
        <v>46.1288803715805</v>
      </c>
      <c r="AL3178">
        <v>96.578235749788305</v>
      </c>
      <c r="AM3178">
        <v>93.640425949141502</v>
      </c>
      <c r="AN3178">
        <v>0.99999998436525095</v>
      </c>
    </row>
    <row r="3179" spans="1:40" x14ac:dyDescent="0.25">
      <c r="A3179" t="str">
        <f>"20190305135854126"</f>
        <v>20190305135854126</v>
      </c>
      <c r="B3179" t="str">
        <f>"1551765534122423"</f>
        <v>1551765534122423</v>
      </c>
      <c r="C3179" t="s">
        <v>40</v>
      </c>
      <c r="D3179">
        <v>4.3102600000000004</v>
      </c>
      <c r="E3179">
        <v>0.61033559999999998</v>
      </c>
      <c r="F3179" t="s">
        <v>59</v>
      </c>
      <c r="G3179">
        <v>-225.5326</v>
      </c>
      <c r="H3179">
        <v>8.0001600000000006E-2</v>
      </c>
      <c r="I3179">
        <v>207.74549999999999</v>
      </c>
      <c r="J3179">
        <v>-263.6986</v>
      </c>
      <c r="K3179">
        <v>1.108946</v>
      </c>
      <c r="L3179">
        <v>215.42689999999999</v>
      </c>
      <c r="M3179">
        <v>0.99974790000000002</v>
      </c>
      <c r="N3179">
        <v>-1.427812E-2</v>
      </c>
      <c r="O3179">
        <v>1.7327820000000001E-2</v>
      </c>
      <c r="P3179">
        <v>0.98845760000000005</v>
      </c>
      <c r="Q3179">
        <v>-0.12958929999999999</v>
      </c>
      <c r="R3179">
        <v>7.8474639999999998E-2</v>
      </c>
      <c r="S3179">
        <v>3.0740050000000001</v>
      </c>
      <c r="T3179">
        <v>-8.2221030000000001E-2</v>
      </c>
      <c r="U3179">
        <v>-0.6133575</v>
      </c>
      <c r="V3179">
        <v>-6.1170130000000003E-2</v>
      </c>
      <c r="W3179">
        <v>-0.1155323</v>
      </c>
      <c r="X3179">
        <v>0.99141840000000003</v>
      </c>
      <c r="Y3179">
        <v>0.21252370000000001</v>
      </c>
      <c r="Z3179">
        <v>-4.5606479999999996E-3</v>
      </c>
      <c r="AA3179">
        <v>0.97714529999999999</v>
      </c>
      <c r="AB3179">
        <v>41</v>
      </c>
      <c r="AC3179">
        <v>38.165999999999997</v>
      </c>
      <c r="AD3179">
        <v>-1.0289444000000001</v>
      </c>
      <c r="AE3179">
        <v>-7.6813999999999902</v>
      </c>
      <c r="AF3179">
        <v>8.3358246699339809</v>
      </c>
      <c r="AG3179">
        <v>-1.0289444000000001</v>
      </c>
      <c r="AH3179">
        <v>38.000608580266302</v>
      </c>
      <c r="AI3179">
        <v>91.515016877091199</v>
      </c>
      <c r="AJ3179">
        <v>77.627546534426699</v>
      </c>
      <c r="AK3179">
        <v>38.9177459775971</v>
      </c>
      <c r="AL3179">
        <v>96.634328436826806</v>
      </c>
      <c r="AM3179">
        <v>93.530651657976605</v>
      </c>
      <c r="AN3179">
        <v>0.99999997050303302</v>
      </c>
    </row>
    <row r="3180" spans="1:40" x14ac:dyDescent="0.25">
      <c r="A3180" t="str">
        <f>"20190305135854140"</f>
        <v>20190305135854140</v>
      </c>
      <c r="B3180" t="str">
        <f>"1551765534132183"</f>
        <v>1551765534132183</v>
      </c>
      <c r="C3180" t="s">
        <v>40</v>
      </c>
      <c r="D3180">
        <v>4.3042569999999998</v>
      </c>
      <c r="E3180">
        <v>0.61044480000000001</v>
      </c>
      <c r="F3180" t="s">
        <v>59</v>
      </c>
      <c r="G3180">
        <v>-227.09479999999999</v>
      </c>
      <c r="H3180">
        <v>8.0001139999999998E-2</v>
      </c>
      <c r="I3180">
        <v>208.0154</v>
      </c>
      <c r="J3180">
        <v>-263.4298</v>
      </c>
      <c r="K3180">
        <v>1.108932</v>
      </c>
      <c r="L3180">
        <v>215.43180000000001</v>
      </c>
      <c r="M3180">
        <v>0.99974269999999998</v>
      </c>
      <c r="N3180">
        <v>-1.427397E-2</v>
      </c>
      <c r="O3180">
        <v>1.762973E-2</v>
      </c>
      <c r="P3180">
        <v>0.98852949999999995</v>
      </c>
      <c r="Q3180">
        <v>-0.1297915</v>
      </c>
      <c r="R3180">
        <v>7.7226879999999998E-2</v>
      </c>
      <c r="S3180">
        <v>3.0731199999999999</v>
      </c>
      <c r="T3180">
        <v>-8.6386439999999995E-2</v>
      </c>
      <c r="U3180">
        <v>-0.62223819999999996</v>
      </c>
      <c r="V3180">
        <v>-5.962609E-2</v>
      </c>
      <c r="W3180">
        <v>-0.11573319999999999</v>
      </c>
      <c r="X3180">
        <v>0.99148910000000001</v>
      </c>
      <c r="Y3180">
        <v>0.21557409999999999</v>
      </c>
      <c r="Z3180">
        <v>-4.7951479999999999E-3</v>
      </c>
      <c r="AA3180">
        <v>0.97647569999999995</v>
      </c>
      <c r="AB3180">
        <v>41</v>
      </c>
      <c r="AC3180">
        <v>36.335000000000001</v>
      </c>
      <c r="AD3180">
        <v>-1.02893086</v>
      </c>
      <c r="AE3180">
        <v>-7.4164000000000003</v>
      </c>
      <c r="AF3180">
        <v>8.0496917379660804</v>
      </c>
      <c r="AG3180">
        <v>-1.02893086</v>
      </c>
      <c r="AH3180">
        <v>36.170744006785498</v>
      </c>
      <c r="AI3180">
        <v>91.590534006817293</v>
      </c>
      <c r="AJ3180">
        <v>77.453459036088105</v>
      </c>
      <c r="AK3180">
        <v>37.069919851482602</v>
      </c>
      <c r="AL3180">
        <v>96.645916431609393</v>
      </c>
      <c r="AM3180">
        <v>93.4415040600597</v>
      </c>
      <c r="AN3180">
        <v>1.0000000398048601</v>
      </c>
    </row>
    <row r="3181" spans="1:40" x14ac:dyDescent="0.25">
      <c r="A3181" t="str">
        <f>"20190305135854152"</f>
        <v>20190305135854152</v>
      </c>
      <c r="B3181" t="str">
        <f>"1551765534141944"</f>
        <v>1551765534141944</v>
      </c>
      <c r="C3181" t="s">
        <v>40</v>
      </c>
      <c r="D3181">
        <v>4.2824609999999996</v>
      </c>
      <c r="E3181">
        <v>0.61052479999999998</v>
      </c>
      <c r="F3181" t="s">
        <v>59</v>
      </c>
      <c r="G3181">
        <v>-227.49600000000001</v>
      </c>
      <c r="H3181">
        <v>8.0001009999999997E-2</v>
      </c>
      <c r="I3181">
        <v>208.09610000000001</v>
      </c>
      <c r="J3181">
        <v>-263.18939999999998</v>
      </c>
      <c r="K3181">
        <v>1.1089279999999999</v>
      </c>
      <c r="L3181">
        <v>215.43629999999999</v>
      </c>
      <c r="M3181">
        <v>0.99973800000000002</v>
      </c>
      <c r="N3181">
        <v>-1.427318E-2</v>
      </c>
      <c r="O3181">
        <v>1.7897710000000001E-2</v>
      </c>
      <c r="P3181">
        <v>0.9886317</v>
      </c>
      <c r="Q3181">
        <v>-0.1305463</v>
      </c>
      <c r="R3181">
        <v>7.4602580000000002E-2</v>
      </c>
      <c r="S3181">
        <v>3.0722659999999999</v>
      </c>
      <c r="T3181">
        <v>-8.7971450000000007E-2</v>
      </c>
      <c r="U3181">
        <v>-0.62718200000000002</v>
      </c>
      <c r="V3181">
        <v>-5.6736880000000003E-2</v>
      </c>
      <c r="W3181">
        <v>-0.11648219999999999</v>
      </c>
      <c r="X3181">
        <v>0.99157090000000003</v>
      </c>
      <c r="Y3181">
        <v>0.2173921</v>
      </c>
      <c r="Z3181">
        <v>-4.9024759999999898E-3</v>
      </c>
      <c r="AA3181">
        <v>0.9760721</v>
      </c>
      <c r="AB3181">
        <v>41</v>
      </c>
      <c r="AC3181">
        <v>35.693399999999997</v>
      </c>
      <c r="AD3181">
        <v>-1.02892699</v>
      </c>
      <c r="AE3181">
        <v>-7.3401999999999799</v>
      </c>
      <c r="AF3181">
        <v>7.9715637196930498</v>
      </c>
      <c r="AG3181">
        <v>-1.02892699</v>
      </c>
      <c r="AH3181">
        <v>35.527970100397098</v>
      </c>
      <c r="AI3181">
        <v>91.618659469240399</v>
      </c>
      <c r="AJ3181">
        <v>77.353743136419197</v>
      </c>
      <c r="AK3181">
        <v>36.425831196317098</v>
      </c>
      <c r="AL3181">
        <v>96.689123372594196</v>
      </c>
      <c r="AM3181">
        <v>93.274847005701801</v>
      </c>
      <c r="AN3181">
        <v>1.0000000130978901</v>
      </c>
    </row>
    <row r="3182" spans="1:40" x14ac:dyDescent="0.25">
      <c r="A3182" t="str">
        <f>"20190305135854176"</f>
        <v>20190305135854176</v>
      </c>
      <c r="B3182" t="str">
        <f>"1551765534172199"</f>
        <v>1551765534172199</v>
      </c>
      <c r="C3182" t="s">
        <v>40</v>
      </c>
      <c r="D3182">
        <v>4.3354080000000002</v>
      </c>
      <c r="E3182">
        <v>0.61091169999999995</v>
      </c>
      <c r="F3182" t="s">
        <v>59</v>
      </c>
      <c r="G3182">
        <v>-228.11750000000001</v>
      </c>
      <c r="H3182">
        <v>8.0000829999999995E-2</v>
      </c>
      <c r="I3182">
        <v>208.1754</v>
      </c>
      <c r="J3182">
        <v>-262.79039999999998</v>
      </c>
      <c r="K3182">
        <v>1.108922</v>
      </c>
      <c r="L3182">
        <v>215.44380000000001</v>
      </c>
      <c r="M3182">
        <v>0.99973000000000001</v>
      </c>
      <c r="N3182">
        <v>-1.427353E-2</v>
      </c>
      <c r="O3182">
        <v>1.8341260000000002E-2</v>
      </c>
      <c r="P3182">
        <v>0.98874810000000002</v>
      </c>
      <c r="Q3182">
        <v>-0.13123940000000001</v>
      </c>
      <c r="R3182">
        <v>7.1787840000000006E-2</v>
      </c>
      <c r="S3182">
        <v>3.0705870000000002</v>
      </c>
      <c r="T3182">
        <v>-9.0083839999999998E-2</v>
      </c>
      <c r="U3182">
        <v>-0.63569639999999905</v>
      </c>
      <c r="V3182">
        <v>-5.3484450000000003E-2</v>
      </c>
      <c r="W3182">
        <v>-0.1171673</v>
      </c>
      <c r="X3182">
        <v>0.99167099999999997</v>
      </c>
      <c r="Y3182">
        <v>0.22051789999999999</v>
      </c>
      <c r="Z3182">
        <v>-5.0646420000000003E-3</v>
      </c>
      <c r="AA3182">
        <v>0.97536979999999995</v>
      </c>
      <c r="AB3182">
        <v>41</v>
      </c>
      <c r="AC3182">
        <v>34.672899999999899</v>
      </c>
      <c r="AD3182">
        <v>-1.0289211700000001</v>
      </c>
      <c r="AE3182">
        <v>-7.2684000000000104</v>
      </c>
      <c r="AF3182">
        <v>7.8965254442112496</v>
      </c>
      <c r="AG3182">
        <v>-1.0289211700000001</v>
      </c>
      <c r="AH3182">
        <v>34.504635013879501</v>
      </c>
      <c r="AI3182">
        <v>91.665021821513093</v>
      </c>
      <c r="AJ3182">
        <v>77.109610403527597</v>
      </c>
      <c r="AK3182">
        <v>35.411631285584598</v>
      </c>
      <c r="AL3182">
        <v>96.728646982938997</v>
      </c>
      <c r="AM3182">
        <v>93.087180238482304</v>
      </c>
      <c r="AN3182">
        <v>1.0000000674110401</v>
      </c>
    </row>
    <row r="3183" spans="1:40" x14ac:dyDescent="0.25">
      <c r="A3183" t="str">
        <f>"20190305135854192"</f>
        <v>20190305135854192</v>
      </c>
      <c r="B3183" t="str">
        <f>"1551765534181960"</f>
        <v>1551765534181960</v>
      </c>
      <c r="C3183" t="s">
        <v>40</v>
      </c>
      <c r="D3183">
        <v>4.3587069999999999</v>
      </c>
      <c r="E3183">
        <v>0.61080239999999997</v>
      </c>
      <c r="F3183" t="s">
        <v>59</v>
      </c>
      <c r="G3183">
        <v>-225.6711</v>
      </c>
      <c r="H3183">
        <v>8.0001569999999994E-2</v>
      </c>
      <c r="I3183">
        <v>207.62119999999999</v>
      </c>
      <c r="J3183">
        <v>-262.47879999999998</v>
      </c>
      <c r="K3183">
        <v>1.1089199999999999</v>
      </c>
      <c r="L3183">
        <v>215.44980000000001</v>
      </c>
      <c r="M3183">
        <v>0.99972360000000005</v>
      </c>
      <c r="N3183">
        <v>-1.427427E-2</v>
      </c>
      <c r="O3183">
        <v>1.8686959999999999E-2</v>
      </c>
      <c r="P3183">
        <v>0.98880120000000005</v>
      </c>
      <c r="Q3183">
        <v>-0.13151170000000001</v>
      </c>
      <c r="R3183">
        <v>7.0548680000000002E-2</v>
      </c>
      <c r="S3183">
        <v>3.0698240000000001</v>
      </c>
      <c r="T3183">
        <v>-8.5093260000000004E-2</v>
      </c>
      <c r="U3183">
        <v>-0.64694209999999996</v>
      </c>
      <c r="V3183">
        <v>-5.1905260000000002E-2</v>
      </c>
      <c r="W3183">
        <v>-0.1174347</v>
      </c>
      <c r="X3183">
        <v>0.99172320000000003</v>
      </c>
      <c r="Y3183">
        <v>0.2243358</v>
      </c>
      <c r="Z3183">
        <v>-4.942686E-3</v>
      </c>
      <c r="AA3183">
        <v>0.97449929999999996</v>
      </c>
      <c r="AB3183">
        <v>41</v>
      </c>
      <c r="AC3183">
        <v>36.807699999999897</v>
      </c>
      <c r="AD3183">
        <v>-1.0289184300000001</v>
      </c>
      <c r="AE3183">
        <v>-7.8286000000000202</v>
      </c>
      <c r="AF3183">
        <v>8.5087655789331098</v>
      </c>
      <c r="AG3183">
        <v>-1.0289184300000001</v>
      </c>
      <c r="AH3183">
        <v>36.627581019394697</v>
      </c>
      <c r="AI3183">
        <v>91.567378117883095</v>
      </c>
      <c r="AJ3183">
        <v>76.921874234695295</v>
      </c>
      <c r="AK3183">
        <v>37.616983613059098</v>
      </c>
      <c r="AL3183">
        <v>96.744074935519606</v>
      </c>
      <c r="AM3183">
        <v>92.996038871944606</v>
      </c>
      <c r="AN3183">
        <v>0.99999998509899801</v>
      </c>
    </row>
    <row r="3184" spans="1:40" x14ac:dyDescent="0.25">
      <c r="A3184" t="str">
        <f>"20190305135854207"</f>
        <v>20190305135854207</v>
      </c>
      <c r="B3184" t="str">
        <f>"1551765534202455"</f>
        <v>1551765534202455</v>
      </c>
      <c r="C3184" t="s">
        <v>40</v>
      </c>
      <c r="D3184">
        <v>4.2831519999999896</v>
      </c>
      <c r="E3184">
        <v>0.6110215</v>
      </c>
      <c r="F3184" t="s">
        <v>59</v>
      </c>
      <c r="G3184">
        <v>-226.59870000000001</v>
      </c>
      <c r="H3184">
        <v>8.0001290000000003E-2</v>
      </c>
      <c r="I3184">
        <v>207.84739999999999</v>
      </c>
      <c r="J3184">
        <v>-262.21019999999999</v>
      </c>
      <c r="K3184">
        <v>1.108922</v>
      </c>
      <c r="L3184">
        <v>215.45519999999999</v>
      </c>
      <c r="M3184">
        <v>0.999718</v>
      </c>
      <c r="N3184">
        <v>-1.427494E-2</v>
      </c>
      <c r="O3184">
        <v>1.8984729999999998E-2</v>
      </c>
      <c r="P3184">
        <v>0.98886280000000004</v>
      </c>
      <c r="Q3184">
        <v>-0.13185369999999999</v>
      </c>
      <c r="R3184">
        <v>6.9030899999999895E-2</v>
      </c>
      <c r="S3184">
        <v>3.068695</v>
      </c>
      <c r="T3184">
        <v>-8.7999939999999999E-2</v>
      </c>
      <c r="U3184">
        <v>-0.65020749999999905</v>
      </c>
      <c r="V3184">
        <v>-5.009342E-2</v>
      </c>
      <c r="W3184">
        <v>-0.1177721</v>
      </c>
      <c r="X3184">
        <v>0.9917764</v>
      </c>
      <c r="Y3184">
        <v>0.22568240000000001</v>
      </c>
      <c r="Z3184">
        <v>-5.0994830000000001E-3</v>
      </c>
      <c r="AA3184">
        <v>0.97418760000000004</v>
      </c>
      <c r="AB3184">
        <v>41</v>
      </c>
      <c r="AC3184">
        <v>35.6114999999999</v>
      </c>
      <c r="AD3184">
        <v>-1.02892071</v>
      </c>
      <c r="AE3184">
        <v>-7.6077999999999903</v>
      </c>
      <c r="AF3184">
        <v>8.2759648694682006</v>
      </c>
      <c r="AG3184">
        <v>-1.02892071</v>
      </c>
      <c r="AH3184">
        <v>35.432345898227503</v>
      </c>
      <c r="AI3184">
        <v>91.619773247608904</v>
      </c>
      <c r="AJ3184">
        <v>76.853069693508104</v>
      </c>
      <c r="AK3184">
        <v>36.400568789509002</v>
      </c>
      <c r="AL3184">
        <v>96.7635413611047</v>
      </c>
      <c r="AM3184">
        <v>92.891482967510399</v>
      </c>
      <c r="AN3184">
        <v>1.0000000229313299</v>
      </c>
    </row>
    <row r="3185" spans="1:40" x14ac:dyDescent="0.25">
      <c r="A3185" t="str">
        <f>"20190305135854220"</f>
        <v>20190305135854220</v>
      </c>
      <c r="B3185" t="str">
        <f>"1551765534212215"</f>
        <v>1551765534212215</v>
      </c>
      <c r="C3185" t="s">
        <v>40</v>
      </c>
      <c r="D3185">
        <v>4.2173999999999996</v>
      </c>
      <c r="E3185">
        <v>0.61102419999999902</v>
      </c>
      <c r="F3185" t="s">
        <v>59</v>
      </c>
      <c r="G3185">
        <v>-225.00360000000001</v>
      </c>
      <c r="H3185">
        <v>8.000177E-2</v>
      </c>
      <c r="I3185">
        <v>207.49629999999999</v>
      </c>
      <c r="J3185">
        <v>-261.95769999999999</v>
      </c>
      <c r="K3185">
        <v>1.1089260000000001</v>
      </c>
      <c r="L3185">
        <v>215.46019999999999</v>
      </c>
      <c r="M3185">
        <v>0.9997125</v>
      </c>
      <c r="N3185">
        <v>-1.427558E-2</v>
      </c>
      <c r="O3185">
        <v>1.9264819999999998E-2</v>
      </c>
      <c r="P3185">
        <v>0.98891419999999997</v>
      </c>
      <c r="Q3185">
        <v>-0.1329023</v>
      </c>
      <c r="R3185">
        <v>6.6225569999999997E-2</v>
      </c>
      <c r="S3185">
        <v>3.068298</v>
      </c>
      <c r="T3185">
        <v>-8.4851499999999996E-2</v>
      </c>
      <c r="U3185">
        <v>-0.65634159999999997</v>
      </c>
      <c r="V3185">
        <v>-4.7010980000000001E-2</v>
      </c>
      <c r="W3185">
        <v>-0.1188152</v>
      </c>
      <c r="X3185">
        <v>0.99180290000000004</v>
      </c>
      <c r="Y3185">
        <v>0.22785030000000001</v>
      </c>
      <c r="Z3185">
        <v>-5.0149230000000001E-3</v>
      </c>
      <c r="AA3185">
        <v>0.97368319999999997</v>
      </c>
      <c r="AB3185">
        <v>41</v>
      </c>
      <c r="AC3185">
        <v>36.954099999999897</v>
      </c>
      <c r="AD3185">
        <v>-1.0289242300000001</v>
      </c>
      <c r="AE3185">
        <v>-7.96389999999999</v>
      </c>
      <c r="AF3185">
        <v>8.6679867516633795</v>
      </c>
      <c r="AG3185">
        <v>-1.0289242300000001</v>
      </c>
      <c r="AH3185">
        <v>36.766563562349901</v>
      </c>
      <c r="AI3185">
        <v>91.560269884534407</v>
      </c>
      <c r="AJ3185">
        <v>76.734334996710402</v>
      </c>
      <c r="AK3185">
        <v>37.788528359574997</v>
      </c>
      <c r="AL3185">
        <v>96.823729084783295</v>
      </c>
      <c r="AM3185">
        <v>92.713761233797499</v>
      </c>
      <c r="AN3185">
        <v>1.0000000382200001</v>
      </c>
    </row>
    <row r="3186" spans="1:40" x14ac:dyDescent="0.25">
      <c r="A3186" t="str">
        <f>"20190305135854239"</f>
        <v>20190305135854239</v>
      </c>
      <c r="B3186" t="str">
        <f>"1551765534232243"</f>
        <v>1551765534232243</v>
      </c>
      <c r="C3186" t="s">
        <v>40</v>
      </c>
      <c r="D3186">
        <v>4.2653119999999998</v>
      </c>
      <c r="E3186">
        <v>0.61103160000000001</v>
      </c>
      <c r="F3186" t="s">
        <v>59</v>
      </c>
      <c r="G3186">
        <v>-224.90029999999999</v>
      </c>
      <c r="H3186">
        <v>8.0000329999999995E-2</v>
      </c>
      <c r="I3186">
        <v>207.4297</v>
      </c>
      <c r="J3186">
        <v>-261.62569999999999</v>
      </c>
      <c r="K3186">
        <v>1.108922</v>
      </c>
      <c r="L3186">
        <v>215.46690000000001</v>
      </c>
      <c r="M3186">
        <v>0.99970539999999997</v>
      </c>
      <c r="N3186">
        <v>-1.4276459999999999E-2</v>
      </c>
      <c r="O3186">
        <v>1.9632750000000001E-2</v>
      </c>
      <c r="P3186">
        <v>0.98896910000000005</v>
      </c>
      <c r="Q3186">
        <v>-0.1328365</v>
      </c>
      <c r="R3186">
        <v>6.5536220000000006E-2</v>
      </c>
      <c r="S3186">
        <v>3.066681</v>
      </c>
      <c r="T3186">
        <v>-8.5148689999999999E-2</v>
      </c>
      <c r="U3186">
        <v>-0.66456599999999999</v>
      </c>
      <c r="V3186">
        <v>-4.5957650000000003E-2</v>
      </c>
      <c r="W3186">
        <v>-0.1187455</v>
      </c>
      <c r="X3186">
        <v>0.99186059999999998</v>
      </c>
      <c r="Y3186">
        <v>0.2308057</v>
      </c>
      <c r="Z3186">
        <v>-5.0959909999999898E-3</v>
      </c>
      <c r="AA3186">
        <v>0.97298649999999998</v>
      </c>
      <c r="AB3186">
        <v>41</v>
      </c>
      <c r="AC3186">
        <v>36.7254</v>
      </c>
      <c r="AD3186">
        <v>-1.0289216699999999</v>
      </c>
      <c r="AE3186">
        <v>-8.0372000000000092</v>
      </c>
      <c r="AF3186">
        <v>8.7501902345044602</v>
      </c>
      <c r="AG3186">
        <v>-1.0289216699999999</v>
      </c>
      <c r="AH3186">
        <v>36.533146277213199</v>
      </c>
      <c r="AI3186">
        <v>91.568904344363503</v>
      </c>
      <c r="AJ3186">
        <v>76.530613289809295</v>
      </c>
      <c r="AK3186">
        <v>37.580517370777002</v>
      </c>
      <c r="AL3186">
        <v>96.819707188992993</v>
      </c>
      <c r="AM3186">
        <v>92.6528903387062</v>
      </c>
      <c r="AN3186">
        <v>1.00000002459806</v>
      </c>
    </row>
    <row r="3187" spans="1:40" x14ac:dyDescent="0.25">
      <c r="A3187" t="str">
        <f>"20190305135854254"</f>
        <v>20190305135854254</v>
      </c>
      <c r="B3187" t="str">
        <f>"1551765534242003"</f>
        <v>1551765534242003</v>
      </c>
      <c r="C3187" t="s">
        <v>40</v>
      </c>
      <c r="D3187">
        <v>4.269933</v>
      </c>
      <c r="E3187">
        <v>0.61090440000000001</v>
      </c>
      <c r="F3187" t="s">
        <v>59</v>
      </c>
      <c r="G3187">
        <v>-222.21969999999999</v>
      </c>
      <c r="H3187">
        <v>8.0001149999999993E-2</v>
      </c>
      <c r="I3187">
        <v>206.90520000000001</v>
      </c>
      <c r="J3187">
        <v>-261.34480000000002</v>
      </c>
      <c r="K3187">
        <v>1.108922</v>
      </c>
      <c r="L3187">
        <v>215.4727</v>
      </c>
      <c r="M3187">
        <v>0.99969929999999996</v>
      </c>
      <c r="N3187">
        <v>-1.427746E-2</v>
      </c>
      <c r="O3187">
        <v>1.9944449999999999E-2</v>
      </c>
      <c r="P3187">
        <v>0.98901870000000003</v>
      </c>
      <c r="Q3187">
        <v>-0.13356860000000001</v>
      </c>
      <c r="R3187">
        <v>6.3259999999999997E-2</v>
      </c>
      <c r="S3187">
        <v>3.0668639999999998</v>
      </c>
      <c r="T3187">
        <v>-8.0078010000000005E-2</v>
      </c>
      <c r="U3187">
        <v>-0.66633609999999999</v>
      </c>
      <c r="V3187">
        <v>-4.3373229999999999E-2</v>
      </c>
      <c r="W3187">
        <v>-0.1194726</v>
      </c>
      <c r="X3187">
        <v>0.99188969999999999</v>
      </c>
      <c r="Y3187">
        <v>0.23164570000000001</v>
      </c>
      <c r="Z3187">
        <v>-4.895684E-3</v>
      </c>
      <c r="AA3187">
        <v>0.97278790000000004</v>
      </c>
      <c r="AB3187">
        <v>41</v>
      </c>
      <c r="AC3187">
        <v>39.125100000000003</v>
      </c>
      <c r="AD3187">
        <v>-1.02892085</v>
      </c>
      <c r="AE3187">
        <v>-8.5674999999999901</v>
      </c>
      <c r="AF3187">
        <v>9.3400395376139809</v>
      </c>
      <c r="AG3187">
        <v>-1.02892085</v>
      </c>
      <c r="AH3187">
        <v>38.920738760339901</v>
      </c>
      <c r="AI3187">
        <v>91.472548277476605</v>
      </c>
      <c r="AJ3187">
        <v>76.505572037568299</v>
      </c>
      <c r="AK3187">
        <v>40.038967548257098</v>
      </c>
      <c r="AL3187">
        <v>96.8616654140001</v>
      </c>
      <c r="AM3187">
        <v>92.503827686957607</v>
      </c>
      <c r="AN3187">
        <v>1.00000005809873</v>
      </c>
    </row>
    <row r="3188" spans="1:40" x14ac:dyDescent="0.25">
      <c r="A3188" t="str">
        <f>"20190305135854276"</f>
        <v>20190305135854276</v>
      </c>
      <c r="B3188" t="str">
        <f>"1551765534272260"</f>
        <v>1551765534272260</v>
      </c>
      <c r="C3188" t="s">
        <v>40</v>
      </c>
      <c r="D3188">
        <v>4.1995050000000003</v>
      </c>
      <c r="E3188">
        <v>0.61064569999999996</v>
      </c>
      <c r="F3188" t="s">
        <v>59</v>
      </c>
      <c r="G3188">
        <v>-222.0917</v>
      </c>
      <c r="H3188">
        <v>8.0001180000000005E-2</v>
      </c>
      <c r="I3188">
        <v>206.86840000000001</v>
      </c>
      <c r="J3188">
        <v>-260.9504</v>
      </c>
      <c r="K3188">
        <v>1.10891299999999</v>
      </c>
      <c r="L3188">
        <v>215.48099999999999</v>
      </c>
      <c r="M3188">
        <v>0.99969039999999998</v>
      </c>
      <c r="N3188">
        <v>-1.4278920000000001E-2</v>
      </c>
      <c r="O3188">
        <v>2.0381710000000001E-2</v>
      </c>
      <c r="P3188">
        <v>0.98904539999999996</v>
      </c>
      <c r="Q3188">
        <v>-0.13416910000000001</v>
      </c>
      <c r="R3188">
        <v>6.1549020000000003E-2</v>
      </c>
      <c r="S3188">
        <v>3.0654599999999999</v>
      </c>
      <c r="T3188">
        <v>-8.0353380000000002E-2</v>
      </c>
      <c r="U3188">
        <v>-0.67195130000000003</v>
      </c>
      <c r="V3188">
        <v>-4.1229019999999998E-2</v>
      </c>
      <c r="W3188">
        <v>-0.12006840000000001</v>
      </c>
      <c r="X3188">
        <v>0.99190909999999999</v>
      </c>
      <c r="Y3188">
        <v>0.23386199999999999</v>
      </c>
      <c r="Z3188">
        <v>-4.9590509999999999E-3</v>
      </c>
      <c r="AA3188">
        <v>0.97225709999999999</v>
      </c>
      <c r="AB3188">
        <v>41</v>
      </c>
      <c r="AC3188">
        <v>38.858699999999999</v>
      </c>
      <c r="AD3188">
        <v>-1.02891181999999</v>
      </c>
      <c r="AE3188">
        <v>-8.6125999999999792</v>
      </c>
      <c r="AF3188">
        <v>9.3966184868331304</v>
      </c>
      <c r="AG3188">
        <v>-1.02891181999999</v>
      </c>
      <c r="AH3188">
        <v>38.649240703060698</v>
      </c>
      <c r="AI3188">
        <v>91.481809710451103</v>
      </c>
      <c r="AJ3188">
        <v>76.335058852649695</v>
      </c>
      <c r="AK3188">
        <v>39.788426777689402</v>
      </c>
      <c r="AL3188">
        <v>96.896050445589196</v>
      </c>
      <c r="AM3188">
        <v>92.380147382247699</v>
      </c>
      <c r="AN3188">
        <v>0.999999957715764</v>
      </c>
    </row>
    <row r="3189" spans="1:40" x14ac:dyDescent="0.25">
      <c r="A3189" t="str">
        <f>"20190305135854293"</f>
        <v>20190305135854293</v>
      </c>
      <c r="B3189" t="str">
        <f>"1551765534282020"</f>
        <v>1551765534282020</v>
      </c>
      <c r="C3189" t="s">
        <v>40</v>
      </c>
      <c r="D3189">
        <v>4.2195169999999997</v>
      </c>
      <c r="E3189">
        <v>0.61054069999999905</v>
      </c>
      <c r="F3189" t="s">
        <v>59</v>
      </c>
      <c r="G3189">
        <v>-221.50129999999999</v>
      </c>
      <c r="H3189">
        <v>8.0001370000000002E-2</v>
      </c>
      <c r="I3189">
        <v>206.7912</v>
      </c>
      <c r="J3189">
        <v>-260.6293</v>
      </c>
      <c r="K3189">
        <v>1.108903</v>
      </c>
      <c r="L3189">
        <v>215.4879</v>
      </c>
      <c r="M3189">
        <v>0.99968310000000005</v>
      </c>
      <c r="N3189">
        <v>-1.42798E-2</v>
      </c>
      <c r="O3189">
        <v>2.0737820000000001E-2</v>
      </c>
      <c r="P3189">
        <v>0.98899199999999998</v>
      </c>
      <c r="Q3189">
        <v>-0.134814299999999</v>
      </c>
      <c r="R3189">
        <v>6.0995189999999998E-2</v>
      </c>
      <c r="S3189">
        <v>3.0643919999999998</v>
      </c>
      <c r="T3189">
        <v>-7.9925540000000003E-2</v>
      </c>
      <c r="U3189">
        <v>-0.67501829999999996</v>
      </c>
      <c r="V3189">
        <v>-4.032434E-2</v>
      </c>
      <c r="W3189">
        <v>-0.12071179999999999</v>
      </c>
      <c r="X3189">
        <v>0.99186830000000004</v>
      </c>
      <c r="Y3189">
        <v>0.23520759999999999</v>
      </c>
      <c r="Z3189">
        <v>-4.9724779999999998E-3</v>
      </c>
      <c r="AA3189">
        <v>0.97193249999999998</v>
      </c>
      <c r="AB3189">
        <v>41</v>
      </c>
      <c r="AC3189">
        <v>39.128</v>
      </c>
      <c r="AD3189">
        <v>-1.02890163</v>
      </c>
      <c r="AE3189">
        <v>-8.6966999999999892</v>
      </c>
      <c r="AF3189">
        <v>9.5000816631404295</v>
      </c>
      <c r="AG3189">
        <v>-1.02890163</v>
      </c>
      <c r="AH3189">
        <v>38.913573942579497</v>
      </c>
      <c r="AI3189">
        <v>91.471393160505201</v>
      </c>
      <c r="AJ3189">
        <v>76.280579391234397</v>
      </c>
      <c r="AK3189">
        <v>40.069644709619801</v>
      </c>
      <c r="AL3189">
        <v>96.933183944664094</v>
      </c>
      <c r="AM3189">
        <v>92.328074051696902</v>
      </c>
      <c r="AN3189">
        <v>1.0000000578002799</v>
      </c>
    </row>
    <row r="3190" spans="1:40" x14ac:dyDescent="0.25">
      <c r="A3190" t="str">
        <f>"20190305135854310"</f>
        <v>20190305135854310</v>
      </c>
      <c r="B3190" t="str">
        <f>"1551765534302515"</f>
        <v>1551765534302515</v>
      </c>
      <c r="C3190" t="s">
        <v>40</v>
      </c>
      <c r="D3190">
        <v>4.192939</v>
      </c>
      <c r="E3190">
        <v>0.61053800000000003</v>
      </c>
      <c r="F3190" t="s">
        <v>59</v>
      </c>
      <c r="G3190">
        <v>-221.8212</v>
      </c>
      <c r="H3190">
        <v>8.0001260000000005E-2</v>
      </c>
      <c r="I3190">
        <v>206.92750000000001</v>
      </c>
      <c r="J3190">
        <v>-260.32369999999997</v>
      </c>
      <c r="K3190">
        <v>1.1089</v>
      </c>
      <c r="L3190">
        <v>215.49449999999999</v>
      </c>
      <c r="M3190">
        <v>0.99967589999999995</v>
      </c>
      <c r="N3190">
        <v>-1.428021E-2</v>
      </c>
      <c r="O3190">
        <v>2.1076069999999999E-2</v>
      </c>
      <c r="P3190">
        <v>0.98892360000000001</v>
      </c>
      <c r="Q3190">
        <v>-0.13601769999999999</v>
      </c>
      <c r="R3190">
        <v>5.9408629999999997E-2</v>
      </c>
      <c r="S3190">
        <v>3.0639949999999998</v>
      </c>
      <c r="T3190">
        <v>-8.1234219999999996E-2</v>
      </c>
      <c r="U3190">
        <v>-0.6758575</v>
      </c>
      <c r="V3190">
        <v>-3.8404029999999999E-2</v>
      </c>
      <c r="W3190">
        <v>-0.1219133</v>
      </c>
      <c r="X3190">
        <v>0.9917975</v>
      </c>
      <c r="Y3190">
        <v>0.23581299999999999</v>
      </c>
      <c r="Z3190">
        <v>-5.047709E-3</v>
      </c>
      <c r="AA3190">
        <v>0.97178540000000002</v>
      </c>
      <c r="AB3190">
        <v>41</v>
      </c>
      <c r="AC3190">
        <v>38.502499999999898</v>
      </c>
      <c r="AD3190">
        <v>-1.02889874</v>
      </c>
      <c r="AE3190">
        <v>-8.56699999999997</v>
      </c>
      <c r="AF3190">
        <v>9.3702849990377803</v>
      </c>
      <c r="AG3190">
        <v>-1.02889874</v>
      </c>
      <c r="AH3190">
        <v>38.287317065313601</v>
      </c>
      <c r="AI3190">
        <v>91.495237424776803</v>
      </c>
      <c r="AJ3190">
        <v>76.247969501035399</v>
      </c>
      <c r="AK3190">
        <v>39.430692634548201</v>
      </c>
      <c r="AL3190">
        <v>97.002537436554704</v>
      </c>
      <c r="AM3190">
        <v>92.217478965579701</v>
      </c>
      <c r="AN3190">
        <v>1.0000000016216899</v>
      </c>
    </row>
    <row r="3191" spans="1:40" x14ac:dyDescent="0.25">
      <c r="A3191" t="str">
        <f>"20190305135854327"</f>
        <v>20190305135854327</v>
      </c>
      <c r="B3191" t="str">
        <f>"1551765534322545"</f>
        <v>1551765534322545</v>
      </c>
      <c r="C3191" t="s">
        <v>40</v>
      </c>
      <c r="D3191">
        <v>4.2252970000000003</v>
      </c>
      <c r="E3191">
        <v>0.61038139999999996</v>
      </c>
      <c r="F3191" t="s">
        <v>59</v>
      </c>
      <c r="G3191">
        <v>-221.48169999999999</v>
      </c>
      <c r="H3191">
        <v>8.0001359999999994E-2</v>
      </c>
      <c r="I3191">
        <v>206.86920000000001</v>
      </c>
      <c r="J3191">
        <v>-260.024</v>
      </c>
      <c r="K3191">
        <v>1.1089009999999999</v>
      </c>
      <c r="L3191">
        <v>215.50110000000001</v>
      </c>
      <c r="M3191">
        <v>0.99966909999999998</v>
      </c>
      <c r="N3191">
        <v>-1.428043E-2</v>
      </c>
      <c r="O3191">
        <v>2.1404889999999999E-2</v>
      </c>
      <c r="P3191">
        <v>0.98891530000000005</v>
      </c>
      <c r="Q3191">
        <v>-0.13631660000000001</v>
      </c>
      <c r="R3191">
        <v>5.8862499999999998E-2</v>
      </c>
      <c r="S3191">
        <v>3.0632929999999998</v>
      </c>
      <c r="T3191">
        <v>-8.1144569999999999E-2</v>
      </c>
      <c r="U3191">
        <v>-0.68023679999999997</v>
      </c>
      <c r="V3191">
        <v>-3.7533400000000001E-2</v>
      </c>
      <c r="W3191">
        <v>-0.12221070000000001</v>
      </c>
      <c r="X3191">
        <v>0.99179419999999996</v>
      </c>
      <c r="Y3191">
        <v>0.23750279999999999</v>
      </c>
      <c r="Z3191">
        <v>-5.0825849999999997E-3</v>
      </c>
      <c r="AA3191">
        <v>0.97137359999999995</v>
      </c>
      <c r="AB3191">
        <v>41</v>
      </c>
      <c r="AC3191">
        <v>38.542299999999997</v>
      </c>
      <c r="AD3191">
        <v>-1.0288996399999999</v>
      </c>
      <c r="AE3191">
        <v>-8.6318999999999999</v>
      </c>
      <c r="AF3191">
        <v>9.4485877443648292</v>
      </c>
      <c r="AG3191">
        <v>-1.0288996399999999</v>
      </c>
      <c r="AH3191">
        <v>38.322678153154399</v>
      </c>
      <c r="AI3191">
        <v>91.4932311215791</v>
      </c>
      <c r="AJ3191">
        <v>76.149764527417204</v>
      </c>
      <c r="AK3191">
        <v>39.483694174461597</v>
      </c>
      <c r="AL3191">
        <v>97.0197057768669</v>
      </c>
      <c r="AM3191">
        <v>92.167263800023306</v>
      </c>
      <c r="AN3191">
        <v>0.99999997323184397</v>
      </c>
    </row>
    <row r="3192" spans="1:40" x14ac:dyDescent="0.25">
      <c r="A3192" t="str">
        <f>"20190305135854340"</f>
        <v>20190305135854340</v>
      </c>
      <c r="B3192" t="str">
        <f>"1551765534332304"</f>
        <v>1551765534332304</v>
      </c>
      <c r="C3192" t="s">
        <v>40</v>
      </c>
      <c r="D3192">
        <v>4.2217549999999999</v>
      </c>
      <c r="E3192">
        <v>0.61023249999999996</v>
      </c>
      <c r="F3192" t="s">
        <v>59</v>
      </c>
      <c r="G3192">
        <v>-221.05940000000001</v>
      </c>
      <c r="H3192">
        <v>8.0001489999999995E-2</v>
      </c>
      <c r="I3192">
        <v>206.84129999999999</v>
      </c>
      <c r="J3192">
        <v>-259.77499999999998</v>
      </c>
      <c r="K3192">
        <v>1.1088990000000001</v>
      </c>
      <c r="L3192">
        <v>215.5067</v>
      </c>
      <c r="M3192">
        <v>0.99966319999999997</v>
      </c>
      <c r="N3192">
        <v>-1.4280549999999999E-2</v>
      </c>
      <c r="O3192">
        <v>2.1675949999999999E-2</v>
      </c>
      <c r="P3192">
        <v>0.98888830000000005</v>
      </c>
      <c r="Q3192">
        <v>-0.1368335</v>
      </c>
      <c r="R3192">
        <v>5.8110479999999999E-2</v>
      </c>
      <c r="S3192">
        <v>3.0629879999999998</v>
      </c>
      <c r="T3192">
        <v>-8.0881359999999999E-2</v>
      </c>
      <c r="U3192">
        <v>-0.68074040000000002</v>
      </c>
      <c r="V3192">
        <v>-3.651426E-2</v>
      </c>
      <c r="W3192">
        <v>-0.1227263</v>
      </c>
      <c r="X3192">
        <v>0.9917686</v>
      </c>
      <c r="Y3192">
        <v>0.23793929999999999</v>
      </c>
      <c r="Z3192">
        <v>-5.0831380000000001E-3</v>
      </c>
      <c r="AA3192">
        <v>0.97126670000000004</v>
      </c>
      <c r="AB3192">
        <v>41</v>
      </c>
      <c r="AC3192">
        <v>38.715599999999903</v>
      </c>
      <c r="AD3192">
        <v>-1.02889751</v>
      </c>
      <c r="AE3192">
        <v>-8.6654</v>
      </c>
      <c r="AF3192">
        <v>9.4962595284091993</v>
      </c>
      <c r="AG3192">
        <v>-1.02889751</v>
      </c>
      <c r="AH3192">
        <v>38.492762559204103</v>
      </c>
      <c r="AI3192">
        <v>91.486581523794797</v>
      </c>
      <c r="AJ3192">
        <v>76.141714891963701</v>
      </c>
      <c r="AK3192">
        <v>39.660185886557002</v>
      </c>
      <c r="AL3192">
        <v>97.049471385961994</v>
      </c>
      <c r="AM3192">
        <v>92.108524570483695</v>
      </c>
      <c r="AN3192">
        <v>0.99999999592049804</v>
      </c>
    </row>
    <row r="3193" spans="1:40" x14ac:dyDescent="0.25">
      <c r="A3193" t="str">
        <f>"20190305135854353"</f>
        <v>20190305135854353</v>
      </c>
      <c r="B3193" t="str">
        <f>"1551765534342064"</f>
        <v>1551765534342064</v>
      </c>
      <c r="C3193" t="s">
        <v>40</v>
      </c>
      <c r="D3193">
        <v>4.1879629999999999</v>
      </c>
      <c r="E3193">
        <v>0.61011759999999904</v>
      </c>
      <c r="F3193" t="s">
        <v>59</v>
      </c>
      <c r="G3193">
        <v>-221.47890000000001</v>
      </c>
      <c r="H3193">
        <v>8.0001359999999994E-2</v>
      </c>
      <c r="I3193">
        <v>206.9838</v>
      </c>
      <c r="J3193">
        <v>-259.52629999999999</v>
      </c>
      <c r="K3193">
        <v>1.1088960000000001</v>
      </c>
      <c r="L3193">
        <v>215.51230000000001</v>
      </c>
      <c r="M3193">
        <v>0.99965729999999997</v>
      </c>
      <c r="N3193">
        <v>-1.4280569999999999E-2</v>
      </c>
      <c r="O3193">
        <v>2.1941809999999999E-2</v>
      </c>
      <c r="P3193">
        <v>0.98888540000000003</v>
      </c>
      <c r="Q3193">
        <v>-0.13774500000000001</v>
      </c>
      <c r="R3193">
        <v>5.5966469999999997E-2</v>
      </c>
      <c r="S3193">
        <v>3.0623779999999998</v>
      </c>
      <c r="T3193">
        <v>-8.2276580000000002E-2</v>
      </c>
      <c r="U3193">
        <v>-0.68153379999999997</v>
      </c>
      <c r="V3193">
        <v>-3.4108350000000003E-2</v>
      </c>
      <c r="W3193">
        <v>-0.12363499999999999</v>
      </c>
      <c r="X3193">
        <v>0.9917414</v>
      </c>
      <c r="Y3193">
        <v>0.2384743</v>
      </c>
      <c r="Z3193">
        <v>-5.1613900000000001E-3</v>
      </c>
      <c r="AA3193">
        <v>0.97113510000000003</v>
      </c>
      <c r="AB3193">
        <v>41</v>
      </c>
      <c r="AC3193">
        <v>38.047399999999897</v>
      </c>
      <c r="AD3193">
        <v>-1.0288946400000001</v>
      </c>
      <c r="AE3193">
        <v>-8.5284999999999993</v>
      </c>
      <c r="AF3193">
        <v>9.3548464109986007</v>
      </c>
      <c r="AG3193">
        <v>-1.0288946400000001</v>
      </c>
      <c r="AH3193">
        <v>37.824750740869398</v>
      </c>
      <c r="AI3193">
        <v>91.512601645825896</v>
      </c>
      <c r="AJ3193">
        <v>76.108326114523905</v>
      </c>
      <c r="AK3193">
        <v>38.9779879439985</v>
      </c>
      <c r="AL3193">
        <v>97.101935597388007</v>
      </c>
      <c r="AM3193">
        <v>91.969761999178203</v>
      </c>
      <c r="AN3193">
        <v>0.99999999861934097</v>
      </c>
    </row>
    <row r="3194" spans="1:40" x14ac:dyDescent="0.25">
      <c r="A3194" t="str">
        <f>"20190305135854377"</f>
        <v>20190305135854377</v>
      </c>
      <c r="B3194" t="str">
        <f>"1551765534372320"</f>
        <v>1551765534372320</v>
      </c>
      <c r="C3194" t="s">
        <v>40</v>
      </c>
      <c r="D3194">
        <v>5.1732849999999999</v>
      </c>
      <c r="E3194">
        <v>0.61009709999999995</v>
      </c>
      <c r="F3194" t="s">
        <v>59</v>
      </c>
      <c r="G3194">
        <v>-222.1422</v>
      </c>
      <c r="H3194">
        <v>8.0001160000000002E-2</v>
      </c>
      <c r="I3194">
        <v>207.11959999999999</v>
      </c>
      <c r="J3194">
        <v>-259.11739999999998</v>
      </c>
      <c r="K3194">
        <v>1.108895</v>
      </c>
      <c r="L3194">
        <v>215.52160000000001</v>
      </c>
      <c r="M3194">
        <v>0.99964779999999998</v>
      </c>
      <c r="N3194">
        <v>-1.42804E-2</v>
      </c>
      <c r="O3194">
        <v>2.2371559999999999E-2</v>
      </c>
      <c r="P3194">
        <v>0.98898489999999994</v>
      </c>
      <c r="Q3194">
        <v>-0.13839749999999901</v>
      </c>
      <c r="R3194">
        <v>5.2492480000000001E-2</v>
      </c>
      <c r="S3194">
        <v>3.060883</v>
      </c>
      <c r="T3194">
        <v>-8.4242339999999999E-2</v>
      </c>
      <c r="U3194">
        <v>-0.68716429999999995</v>
      </c>
      <c r="V3194">
        <v>-3.0209420000000001E-2</v>
      </c>
      <c r="W3194">
        <v>-0.1242818</v>
      </c>
      <c r="X3194">
        <v>0.99178699999999997</v>
      </c>
      <c r="Y3194">
        <v>0.2406866</v>
      </c>
      <c r="Z3194">
        <v>-5.3040689999999998E-3</v>
      </c>
      <c r="AA3194">
        <v>0.97058840000000002</v>
      </c>
      <c r="AB3194">
        <v>41</v>
      </c>
      <c r="AC3194">
        <v>36.975199999999901</v>
      </c>
      <c r="AD3194">
        <v>-1.0288938400000001</v>
      </c>
      <c r="AE3194">
        <v>-8.4020000000000099</v>
      </c>
      <c r="AF3194">
        <v>9.2203849951709707</v>
      </c>
      <c r="AG3194">
        <v>-1.0288938400000001</v>
      </c>
      <c r="AH3194">
        <v>36.750899453099699</v>
      </c>
      <c r="AI3194">
        <v>91.555475193443499</v>
      </c>
      <c r="AJ3194">
        <v>75.915843599726998</v>
      </c>
      <c r="AK3194">
        <v>37.903861710978802</v>
      </c>
      <c r="AL3194">
        <v>97.139282438611303</v>
      </c>
      <c r="AM3194">
        <v>91.744666215765704</v>
      </c>
      <c r="AN3194">
        <v>1.0000000141184799</v>
      </c>
    </row>
    <row r="3195" spans="1:40" x14ac:dyDescent="0.25">
      <c r="A3195" t="str">
        <f>"20190305135854392"</f>
        <v>20190305135854392</v>
      </c>
      <c r="B3195" t="str">
        <f>"1551765534382080"</f>
        <v>1551765534382080</v>
      </c>
      <c r="C3195" t="s">
        <v>40</v>
      </c>
      <c r="D3195">
        <v>4.1990660000000002</v>
      </c>
      <c r="E3195">
        <v>0.60997219999999996</v>
      </c>
      <c r="F3195" t="s">
        <v>59</v>
      </c>
      <c r="G3195">
        <v>-220.61340000000001</v>
      </c>
      <c r="H3195">
        <v>8.0001619999999996E-2</v>
      </c>
      <c r="I3195">
        <v>206.74180000000001</v>
      </c>
      <c r="J3195">
        <v>-258.81020000000001</v>
      </c>
      <c r="K3195">
        <v>1.108894</v>
      </c>
      <c r="L3195">
        <v>215.52879999999999</v>
      </c>
      <c r="M3195">
        <v>0.99964070000000005</v>
      </c>
      <c r="N3195">
        <v>-1.4280019999999999E-2</v>
      </c>
      <c r="O3195">
        <v>2.2687740000000001E-2</v>
      </c>
      <c r="P3195">
        <v>0.98904669999999895</v>
      </c>
      <c r="Q3195">
        <v>-0.13843469999999999</v>
      </c>
      <c r="R3195">
        <v>5.1213799999999997E-2</v>
      </c>
      <c r="S3195">
        <v>3.0589900000000001</v>
      </c>
      <c r="T3195">
        <v>-8.1741449999999993E-2</v>
      </c>
      <c r="U3195">
        <v>-0.69752499999999995</v>
      </c>
      <c r="V3195">
        <v>-2.86193E-2</v>
      </c>
      <c r="W3195">
        <v>-0.12431639999999999</v>
      </c>
      <c r="X3195">
        <v>0.99182979999999998</v>
      </c>
      <c r="Y3195">
        <v>0.2442521</v>
      </c>
      <c r="Z3195">
        <v>-5.2672609999999996E-3</v>
      </c>
      <c r="AA3195">
        <v>0.96969749999999999</v>
      </c>
      <c r="AB3195">
        <v>41</v>
      </c>
      <c r="AC3195">
        <v>38.196800000000003</v>
      </c>
      <c r="AD3195">
        <v>-1.0288923800000001</v>
      </c>
      <c r="AE3195">
        <v>-8.7869999999999706</v>
      </c>
      <c r="AF3195">
        <v>9.6447787875574402</v>
      </c>
      <c r="AG3195">
        <v>-1.0288923800000001</v>
      </c>
      <c r="AH3195">
        <v>37.961428961972402</v>
      </c>
      <c r="AI3195">
        <v>91.504759297576896</v>
      </c>
      <c r="AJ3195">
        <v>75.744606549631101</v>
      </c>
      <c r="AK3195">
        <v>39.1809962382967</v>
      </c>
      <c r="AL3195">
        <v>97.141280526358202</v>
      </c>
      <c r="AM3195">
        <v>91.652814054093696</v>
      </c>
      <c r="AN3195">
        <v>0.99999999190474498</v>
      </c>
    </row>
    <row r="3196" spans="1:40" x14ac:dyDescent="0.25">
      <c r="A3196" t="str">
        <f>"20190305135854410"</f>
        <v>20190305135854410</v>
      </c>
      <c r="B3196" t="str">
        <f>"1551765534402576"</f>
        <v>1551765534402576</v>
      </c>
      <c r="C3196" t="s">
        <v>40</v>
      </c>
      <c r="D3196">
        <v>4.1481919999999999</v>
      </c>
      <c r="E3196">
        <v>0.60999199999999998</v>
      </c>
      <c r="F3196" t="s">
        <v>59</v>
      </c>
      <c r="G3196">
        <v>-220.23859999999999</v>
      </c>
      <c r="H3196">
        <v>8.0001729999999993E-2</v>
      </c>
      <c r="I3196">
        <v>206.69560000000001</v>
      </c>
      <c r="J3196">
        <v>-258.49220000000003</v>
      </c>
      <c r="K3196">
        <v>1.1088979999999999</v>
      </c>
      <c r="L3196">
        <v>215.53630000000001</v>
      </c>
      <c r="M3196">
        <v>0.9996332</v>
      </c>
      <c r="N3196">
        <v>-1.427959E-2</v>
      </c>
      <c r="O3196">
        <v>2.3010610000000001E-2</v>
      </c>
      <c r="P3196">
        <v>0.98922750000000004</v>
      </c>
      <c r="Q3196">
        <v>-0.13811709999999999</v>
      </c>
      <c r="R3196">
        <v>4.8501490000000001E-2</v>
      </c>
      <c r="S3196">
        <v>3.0580440000000002</v>
      </c>
      <c r="T3196">
        <v>-8.1573129999999994E-2</v>
      </c>
      <c r="U3196">
        <v>-0.70031739999999998</v>
      </c>
      <c r="V3196">
        <v>-2.5586290000000001E-2</v>
      </c>
      <c r="W3196">
        <v>-0.1239936</v>
      </c>
      <c r="X3196">
        <v>0.99195310000000003</v>
      </c>
      <c r="Y3196">
        <v>0.24547140000000001</v>
      </c>
      <c r="Z3196">
        <v>-5.2891759999999996E-3</v>
      </c>
      <c r="AA3196">
        <v>0.96938939999999996</v>
      </c>
      <c r="AB3196">
        <v>41</v>
      </c>
      <c r="AC3196">
        <v>38.253599999999999</v>
      </c>
      <c r="AD3196">
        <v>-1.0288962699999999</v>
      </c>
      <c r="AE3196">
        <v>-8.8406999999999893</v>
      </c>
      <c r="AF3196">
        <v>9.7120173872900697</v>
      </c>
      <c r="AG3196">
        <v>-1.0288962699999999</v>
      </c>
      <c r="AH3196">
        <v>38.013912344073198</v>
      </c>
      <c r="AI3196">
        <v>91.502178929105696</v>
      </c>
      <c r="AJ3196">
        <v>75.668312673240095</v>
      </c>
      <c r="AK3196">
        <v>39.2484323377167</v>
      </c>
      <c r="AL3196">
        <v>97.122641090513397</v>
      </c>
      <c r="AM3196">
        <v>91.477551148428304</v>
      </c>
      <c r="AN3196">
        <v>1.0000000118382599</v>
      </c>
    </row>
    <row r="3197" spans="1:40" x14ac:dyDescent="0.25">
      <c r="A3197" t="str">
        <f>"20190305135854432"</f>
        <v>20190305135854432</v>
      </c>
      <c r="B3197" t="str">
        <f>"1551765534422604"</f>
        <v>1551765534422604</v>
      </c>
      <c r="C3197" t="s">
        <v>40</v>
      </c>
      <c r="D3197">
        <v>4.1015959999999998</v>
      </c>
      <c r="E3197">
        <v>0.60796870000000003</v>
      </c>
      <c r="F3197" t="s">
        <v>59</v>
      </c>
      <c r="G3197">
        <v>-219.1515</v>
      </c>
      <c r="H3197">
        <v>8.0000589999999996E-2</v>
      </c>
      <c r="I3197">
        <v>206.41</v>
      </c>
      <c r="J3197">
        <v>-258.10739999999998</v>
      </c>
      <c r="K3197">
        <v>1.1088910000000001</v>
      </c>
      <c r="L3197">
        <v>215.5455</v>
      </c>
      <c r="M3197">
        <v>0.99962430000000002</v>
      </c>
      <c r="N3197">
        <v>-1.427896E-2</v>
      </c>
      <c r="O3197">
        <v>2.3395869999999999E-2</v>
      </c>
      <c r="P3197">
        <v>0.98932620000000004</v>
      </c>
      <c r="Q3197">
        <v>-0.13851379999999999</v>
      </c>
      <c r="R3197">
        <v>4.525129E-2</v>
      </c>
      <c r="S3197">
        <v>3.056244</v>
      </c>
      <c r="T3197">
        <v>-7.9931379999999996E-2</v>
      </c>
      <c r="U3197">
        <v>-0.70898439999999996</v>
      </c>
      <c r="V3197">
        <v>-2.1954769999999998E-2</v>
      </c>
      <c r="W3197">
        <v>-0.12438589999999999</v>
      </c>
      <c r="X3197">
        <v>0.99199099999999996</v>
      </c>
      <c r="Y3197">
        <v>0.248581</v>
      </c>
      <c r="Z3197">
        <v>-5.2806939999999998E-3</v>
      </c>
      <c r="AA3197">
        <v>0.96859680000000004</v>
      </c>
      <c r="AB3197">
        <v>41</v>
      </c>
      <c r="AC3197">
        <v>38.9558999999999</v>
      </c>
      <c r="AD3197">
        <v>-1.02889041</v>
      </c>
      <c r="AE3197">
        <v>-9.1355000000000004</v>
      </c>
      <c r="AF3197">
        <v>10.0378618457739</v>
      </c>
      <c r="AG3197">
        <v>-1.02889041</v>
      </c>
      <c r="AH3197">
        <v>38.705887171538201</v>
      </c>
      <c r="AI3197">
        <v>91.473956569430101</v>
      </c>
      <c r="AJ3197">
        <v>75.4613807707196</v>
      </c>
      <c r="AK3197">
        <v>39.999537342905398</v>
      </c>
      <c r="AL3197">
        <v>97.145293645150105</v>
      </c>
      <c r="AM3197">
        <v>91.2678646627772</v>
      </c>
      <c r="AN3197">
        <v>1.0000000040627799</v>
      </c>
    </row>
    <row r="3198" spans="1:40" x14ac:dyDescent="0.25">
      <c r="A3198" t="str">
        <f>"20190305135854454"</f>
        <v>20190305135854454</v>
      </c>
      <c r="B3198" t="str">
        <f>"1551765534451883"</f>
        <v>1551765534451883</v>
      </c>
      <c r="C3198" t="s">
        <v>40</v>
      </c>
      <c r="D3198">
        <v>4.1130339999999999</v>
      </c>
      <c r="E3198">
        <v>0.60502549999999999</v>
      </c>
      <c r="F3198" t="s">
        <v>59</v>
      </c>
      <c r="G3198">
        <v>-218.3837</v>
      </c>
      <c r="H3198">
        <v>8.0000829999999995E-2</v>
      </c>
      <c r="I3198">
        <v>206.4032</v>
      </c>
      <c r="J3198">
        <v>-257.69740000000002</v>
      </c>
      <c r="K3198">
        <v>1.1088899999999999</v>
      </c>
      <c r="L3198">
        <v>215.55539999999999</v>
      </c>
      <c r="M3198">
        <v>0.99961480000000003</v>
      </c>
      <c r="N3198">
        <v>-1.4278040000000001E-2</v>
      </c>
      <c r="O3198">
        <v>2.3800999999999999E-2</v>
      </c>
      <c r="P3198">
        <v>0.98950009999999999</v>
      </c>
      <c r="Q3198">
        <v>-0.1382688</v>
      </c>
      <c r="R3198">
        <v>4.208957E-2</v>
      </c>
      <c r="S3198">
        <v>3.0534059999999998</v>
      </c>
      <c r="T3198">
        <v>-7.9086660000000003E-2</v>
      </c>
      <c r="U3198">
        <v>-0.70272829999999997</v>
      </c>
      <c r="V3198">
        <v>-1.8390549999999999E-2</v>
      </c>
      <c r="W3198">
        <v>-0.1241362</v>
      </c>
      <c r="X3198">
        <v>0.99209480000000005</v>
      </c>
      <c r="Y3198">
        <v>0.24729019999999999</v>
      </c>
      <c r="Z3198">
        <v>-5.2229989999999999E-3</v>
      </c>
      <c r="AA3198">
        <v>0.96892739999999999</v>
      </c>
      <c r="AB3198">
        <v>41</v>
      </c>
      <c r="AC3198">
        <v>39.313699999999997</v>
      </c>
      <c r="AD3198">
        <v>-1.02888917</v>
      </c>
      <c r="AE3198">
        <v>-9.1521999999999899</v>
      </c>
      <c r="AF3198">
        <v>10.0788590542977</v>
      </c>
      <c r="AG3198">
        <v>-1.02888917</v>
      </c>
      <c r="AH3198">
        <v>39.059329339794402</v>
      </c>
      <c r="AI3198">
        <v>91.461082228383404</v>
      </c>
      <c r="AJ3198">
        <v>75.531037022199101</v>
      </c>
      <c r="AK3198">
        <v>40.351867630074601</v>
      </c>
      <c r="AL3198">
        <v>97.130874807611903</v>
      </c>
      <c r="AM3198">
        <v>91.061975358208898</v>
      </c>
      <c r="AN3198">
        <v>1.0000000503333899</v>
      </c>
    </row>
    <row r="3199" spans="1:40" x14ac:dyDescent="0.25">
      <c r="A3199" t="str">
        <f>"20190305135854477"</f>
        <v>20190305135854477</v>
      </c>
      <c r="B3199" t="str">
        <f>"1551765534472380"</f>
        <v>1551765534472380</v>
      </c>
      <c r="C3199" t="s">
        <v>40</v>
      </c>
      <c r="D3199">
        <v>4.0971120000000001</v>
      </c>
      <c r="E3199">
        <v>0.60331869999999999</v>
      </c>
      <c r="F3199" t="s">
        <v>59</v>
      </c>
      <c r="G3199">
        <v>-217.92269999999999</v>
      </c>
      <c r="H3199">
        <v>8.0000950000000001E-2</v>
      </c>
      <c r="I3199">
        <v>206.5651</v>
      </c>
      <c r="J3199">
        <v>-257.28250000000003</v>
      </c>
      <c r="K3199">
        <v>1.108886</v>
      </c>
      <c r="L3199">
        <v>215.56559999999999</v>
      </c>
      <c r="M3199">
        <v>0.99960519999999997</v>
      </c>
      <c r="N3199">
        <v>-1.4276860000000001E-2</v>
      </c>
      <c r="O3199">
        <v>2.4207119999999999E-2</v>
      </c>
      <c r="P3199">
        <v>0.98975800000000003</v>
      </c>
      <c r="Q3199">
        <v>-0.13738129999999901</v>
      </c>
      <c r="R3199">
        <v>3.8807139999999997E-2</v>
      </c>
      <c r="S3199">
        <v>3.0501399999999999</v>
      </c>
      <c r="T3199">
        <v>-7.8900810000000002E-2</v>
      </c>
      <c r="U3199">
        <v>-0.6894226</v>
      </c>
      <c r="V3199">
        <v>-1.47031E-2</v>
      </c>
      <c r="W3199">
        <v>-0.12324309999999999</v>
      </c>
      <c r="X3199">
        <v>0.99226760000000003</v>
      </c>
      <c r="Y3199">
        <v>0.24389340000000001</v>
      </c>
      <c r="Z3199">
        <v>-5.1555250000000002E-3</v>
      </c>
      <c r="AA3199">
        <v>0.96978839999999999</v>
      </c>
      <c r="AB3199">
        <v>41</v>
      </c>
      <c r="AC3199">
        <v>39.3598</v>
      </c>
      <c r="AD3199">
        <v>-1.02888505</v>
      </c>
      <c r="AE3199">
        <v>-9.0004999999999793</v>
      </c>
      <c r="AF3199">
        <v>9.9442888221826404</v>
      </c>
      <c r="AG3199">
        <v>-1.02888505</v>
      </c>
      <c r="AH3199">
        <v>39.1049719052683</v>
      </c>
      <c r="AI3199">
        <v>91.4606847295628</v>
      </c>
      <c r="AJ3199">
        <v>75.732258007697894</v>
      </c>
      <c r="AK3199">
        <v>40.3626846522493</v>
      </c>
      <c r="AL3199">
        <v>97.079308204683599</v>
      </c>
      <c r="AM3199">
        <v>90.848928180834804</v>
      </c>
      <c r="AN3199">
        <v>1.0000000164284899</v>
      </c>
    </row>
    <row r="3200" spans="1:40" x14ac:dyDescent="0.25">
      <c r="A3200" t="str">
        <f>"20190305135854499"</f>
        <v>20190305135854499</v>
      </c>
      <c r="B3200" t="str">
        <f>"1551765534491903"</f>
        <v>1551765534491903</v>
      </c>
      <c r="C3200" t="s">
        <v>40</v>
      </c>
      <c r="D3200">
        <v>4.1091240000000004</v>
      </c>
      <c r="E3200">
        <v>0.60181809999999902</v>
      </c>
      <c r="F3200" t="s">
        <v>59</v>
      </c>
      <c r="G3200">
        <v>-216.1679</v>
      </c>
      <c r="H3200">
        <v>8.000148E-2</v>
      </c>
      <c r="I3200">
        <v>206.30889999999999</v>
      </c>
      <c r="J3200">
        <v>-256.8775</v>
      </c>
      <c r="K3200">
        <v>1.1088769999999999</v>
      </c>
      <c r="L3200">
        <v>215.57579999999999</v>
      </c>
      <c r="M3200">
        <v>0.99959560000000003</v>
      </c>
      <c r="N3200">
        <v>-1.427551E-2</v>
      </c>
      <c r="O3200">
        <v>2.4602039999999999E-2</v>
      </c>
      <c r="P3200">
        <v>0.98988799999999999</v>
      </c>
      <c r="Q3200">
        <v>-0.13732920000000001</v>
      </c>
      <c r="R3200">
        <v>3.5536159999999997E-2</v>
      </c>
      <c r="S3200">
        <v>3.0473629999999998</v>
      </c>
      <c r="T3200">
        <v>-7.6259610000000005E-2</v>
      </c>
      <c r="U3200">
        <v>-0.68609619999999905</v>
      </c>
      <c r="V3200">
        <v>-1.103995E-2</v>
      </c>
      <c r="W3200">
        <v>-0.12318750000000001</v>
      </c>
      <c r="X3200">
        <v>0.99232200000000004</v>
      </c>
      <c r="Y3200">
        <v>0.24346609999999999</v>
      </c>
      <c r="Z3200">
        <v>-5.0297049999999998E-3</v>
      </c>
      <c r="AA3200">
        <v>0.96989639999999999</v>
      </c>
      <c r="AB3200">
        <v>41</v>
      </c>
      <c r="AC3200">
        <v>40.709600000000002</v>
      </c>
      <c r="AD3200">
        <v>-1.0288755199999999</v>
      </c>
      <c r="AE3200">
        <v>-9.2668999999999908</v>
      </c>
      <c r="AF3200">
        <v>10.2595051980459</v>
      </c>
      <c r="AG3200">
        <v>-1.0288755199999999</v>
      </c>
      <c r="AH3200">
        <v>40.444706430059099</v>
      </c>
      <c r="AI3200">
        <v>91.412518443506599</v>
      </c>
      <c r="AJ3200">
        <v>75.766159438914499</v>
      </c>
      <c r="AK3200">
        <v>41.7383553815678</v>
      </c>
      <c r="AL3200">
        <v>97.076098242361596</v>
      </c>
      <c r="AM3200">
        <v>90.637410483250804</v>
      </c>
      <c r="AN3200">
        <v>0.99999999616812596</v>
      </c>
    </row>
    <row r="3201" spans="1:40" x14ac:dyDescent="0.25">
      <c r="A3201" t="str">
        <f>"20190305135854521"</f>
        <v>20190305135854521</v>
      </c>
      <c r="B3201" t="str">
        <f>"1551765534512396"</f>
        <v>1551765534512396</v>
      </c>
      <c r="C3201" t="s">
        <v>40</v>
      </c>
      <c r="D3201">
        <v>4.017506</v>
      </c>
      <c r="E3201">
        <v>0.60034549999999998</v>
      </c>
      <c r="F3201" t="s">
        <v>59</v>
      </c>
      <c r="G3201">
        <v>-215.24019999999999</v>
      </c>
      <c r="H3201">
        <v>8.0001749999999996E-2</v>
      </c>
      <c r="I3201">
        <v>206.21850000000001</v>
      </c>
      <c r="J3201">
        <v>-256.48599999999999</v>
      </c>
      <c r="K3201">
        <v>1.108873</v>
      </c>
      <c r="L3201">
        <v>215.58580000000001</v>
      </c>
      <c r="M3201">
        <v>0.99958599999999997</v>
      </c>
      <c r="N3201">
        <v>-1.427396E-2</v>
      </c>
      <c r="O3201">
        <v>2.498386E-2</v>
      </c>
      <c r="P3201">
        <v>0.9899019</v>
      </c>
      <c r="Q3201">
        <v>-0.13804430000000001</v>
      </c>
      <c r="R3201">
        <v>3.222183E-2</v>
      </c>
      <c r="S3201">
        <v>3.0447690000000001</v>
      </c>
      <c r="T3201">
        <v>-7.523763E-2</v>
      </c>
      <c r="U3201">
        <v>-0.68426509999999996</v>
      </c>
      <c r="V3201">
        <v>-7.3484519999999897E-3</v>
      </c>
      <c r="W3201">
        <v>-0.1239011</v>
      </c>
      <c r="X3201">
        <v>0.99226740000000002</v>
      </c>
      <c r="Y3201">
        <v>0.2434608</v>
      </c>
      <c r="Z3201">
        <v>-4.9880430000000002E-3</v>
      </c>
      <c r="AA3201">
        <v>0.96989789999999998</v>
      </c>
      <c r="AB3201">
        <v>41</v>
      </c>
      <c r="AC3201">
        <v>41.245800000000003</v>
      </c>
      <c r="AD3201">
        <v>-1.0288712499999999</v>
      </c>
      <c r="AE3201">
        <v>-9.3673000000000002</v>
      </c>
      <c r="AF3201">
        <v>10.388812341633599</v>
      </c>
      <c r="AG3201">
        <v>-1.0288712499999999</v>
      </c>
      <c r="AH3201">
        <v>40.974621787668902</v>
      </c>
      <c r="AI3201">
        <v>91.394293599045398</v>
      </c>
      <c r="AJ3201">
        <v>75.772879820100698</v>
      </c>
      <c r="AK3201">
        <v>42.283633105035697</v>
      </c>
      <c r="AL3201">
        <v>97.117299859950194</v>
      </c>
      <c r="AM3201">
        <v>90.424308597289397</v>
      </c>
      <c r="AN3201">
        <v>1.0000000377153799</v>
      </c>
    </row>
    <row r="3202" spans="1:40" x14ac:dyDescent="0.25">
      <c r="A3202" t="str">
        <f>"20190305135854543"</f>
        <v>20190305135854543</v>
      </c>
      <c r="B3202" t="str">
        <f>"1551765534531916"</f>
        <v>1551765534531916</v>
      </c>
      <c r="C3202" t="s">
        <v>40</v>
      </c>
      <c r="D3202">
        <v>4.0533070000000002</v>
      </c>
      <c r="E3202">
        <v>0.59887760000000001</v>
      </c>
      <c r="F3202" t="s">
        <v>59</v>
      </c>
      <c r="G3202">
        <v>-214.9427</v>
      </c>
      <c r="H3202">
        <v>8.0000379999999996E-2</v>
      </c>
      <c r="I3202">
        <v>206.27029999999999</v>
      </c>
      <c r="J3202">
        <v>-256.08530000000002</v>
      </c>
      <c r="K3202">
        <v>1.10886</v>
      </c>
      <c r="L3202">
        <v>215.59620000000001</v>
      </c>
      <c r="M3202">
        <v>0.99957620000000003</v>
      </c>
      <c r="N3202">
        <v>-1.4272419999999999E-2</v>
      </c>
      <c r="O3202">
        <v>2.5374629999999999E-2</v>
      </c>
      <c r="P3202">
        <v>0.98987289999999994</v>
      </c>
      <c r="Q3202">
        <v>-0.13914779999999999</v>
      </c>
      <c r="R3202">
        <v>2.8101210000000001E-2</v>
      </c>
      <c r="S3202">
        <v>3.042297</v>
      </c>
      <c r="T3202">
        <v>-7.5346469999999999E-2</v>
      </c>
      <c r="U3202">
        <v>-0.68218990000000002</v>
      </c>
      <c r="V3202">
        <v>-2.8421890000000002E-3</v>
      </c>
      <c r="W3202">
        <v>-0.12500310000000001</v>
      </c>
      <c r="X3202">
        <v>0.99215229999999999</v>
      </c>
      <c r="Y3202">
        <v>0.24337839999999999</v>
      </c>
      <c r="Z3202">
        <v>-4.998527E-3</v>
      </c>
      <c r="AA3202">
        <v>0.96991850000000002</v>
      </c>
      <c r="AB3202">
        <v>41</v>
      </c>
      <c r="AC3202">
        <v>41.142600000000002</v>
      </c>
      <c r="AD3202">
        <v>-1.02885962</v>
      </c>
      <c r="AE3202">
        <v>-9.3259000000000096</v>
      </c>
      <c r="AF3202">
        <v>10.3608184962252</v>
      </c>
      <c r="AG3202">
        <v>-1.02885962</v>
      </c>
      <c r="AH3202">
        <v>40.868376145834198</v>
      </c>
      <c r="AI3202">
        <v>91.397909718153997</v>
      </c>
      <c r="AJ3202">
        <v>75.774270939365294</v>
      </c>
      <c r="AK3202">
        <v>42.173798510767099</v>
      </c>
      <c r="AL3202">
        <v>97.180934660152403</v>
      </c>
      <c r="AM3202">
        <v>90.164133055807994</v>
      </c>
      <c r="AN3202">
        <v>1.0000000197215999</v>
      </c>
    </row>
    <row r="3203" spans="1:40" x14ac:dyDescent="0.25">
      <c r="A3203" t="str">
        <f>"20190305135854567"</f>
        <v>20190305135854567</v>
      </c>
      <c r="B3203" t="str">
        <f>"1551765534562172"</f>
        <v>1551765534562172</v>
      </c>
      <c r="C3203" t="s">
        <v>40</v>
      </c>
      <c r="D3203">
        <v>4.0262669999999998</v>
      </c>
      <c r="E3203">
        <v>0.59686490000000003</v>
      </c>
      <c r="F3203" t="s">
        <v>59</v>
      </c>
      <c r="G3203">
        <v>-215.75460000000001</v>
      </c>
      <c r="H3203">
        <v>8.0001589999999997E-2</v>
      </c>
      <c r="I3203">
        <v>206.5359</v>
      </c>
      <c r="J3203">
        <v>-255.67830000000001</v>
      </c>
      <c r="K3203">
        <v>1.1088549999999999</v>
      </c>
      <c r="L3203">
        <v>215.60679999999999</v>
      </c>
      <c r="M3203">
        <v>0.99956599999999995</v>
      </c>
      <c r="N3203">
        <v>-1.427088E-2</v>
      </c>
      <c r="O3203">
        <v>2.5772320000000001E-2</v>
      </c>
      <c r="P3203">
        <v>0.98976649999999999</v>
      </c>
      <c r="Q3203">
        <v>-0.14067779999999999</v>
      </c>
      <c r="R3203">
        <v>2.3918140000000001E-2</v>
      </c>
      <c r="S3203">
        <v>3.0391849999999998</v>
      </c>
      <c r="T3203">
        <v>-7.7531219999999998E-2</v>
      </c>
      <c r="U3203">
        <v>-0.68275450000000004</v>
      </c>
      <c r="V3203">
        <v>1.7314260000000001E-3</v>
      </c>
      <c r="W3203">
        <v>-0.1265328</v>
      </c>
      <c r="X3203">
        <v>0.99196090000000003</v>
      </c>
      <c r="Y3203">
        <v>0.24414159999999999</v>
      </c>
      <c r="Z3203">
        <v>-5.1259549999999997E-3</v>
      </c>
      <c r="AA3203">
        <v>0.96972599999999998</v>
      </c>
      <c r="AB3203">
        <v>40</v>
      </c>
      <c r="AC3203">
        <v>39.923699999999997</v>
      </c>
      <c r="AD3203">
        <v>-1.02885341</v>
      </c>
      <c r="AE3203">
        <v>-9.0708999999999893</v>
      </c>
      <c r="AF3203">
        <v>10.0905451573737</v>
      </c>
      <c r="AG3203">
        <v>-1.02885341</v>
      </c>
      <c r="AH3203">
        <v>39.651593562179499</v>
      </c>
      <c r="AI3203">
        <v>91.4404496345186</v>
      </c>
      <c r="AJ3203">
        <v>75.722416030484197</v>
      </c>
      <c r="AK3203">
        <v>40.9283094316458</v>
      </c>
      <c r="AL3203">
        <v>97.269281760692095</v>
      </c>
      <c r="AM3203">
        <v>89.899992729961099</v>
      </c>
      <c r="AN3203">
        <v>0.99999998722032102</v>
      </c>
    </row>
    <row r="3204" spans="1:40" x14ac:dyDescent="0.25">
      <c r="A3204" t="str">
        <f>"20190305135854589"</f>
        <v>20190305135854589</v>
      </c>
      <c r="B3204" t="str">
        <f>"1551765534581695"</f>
        <v>1551765534581695</v>
      </c>
      <c r="C3204" t="s">
        <v>40</v>
      </c>
      <c r="D3204">
        <v>3.9860090000000001</v>
      </c>
      <c r="E3204">
        <v>0.5960181</v>
      </c>
      <c r="F3204" t="s">
        <v>59</v>
      </c>
      <c r="G3204">
        <v>-217.46199999999999</v>
      </c>
      <c r="H3204">
        <v>8.0001059999999999E-2</v>
      </c>
      <c r="I3204">
        <v>207.05670000000001</v>
      </c>
      <c r="J3204">
        <v>-255.26070000000001</v>
      </c>
      <c r="K3204">
        <v>1.108859</v>
      </c>
      <c r="L3204">
        <v>215.61799999999999</v>
      </c>
      <c r="M3204">
        <v>0.99955550000000004</v>
      </c>
      <c r="N3204">
        <v>-1.426906E-2</v>
      </c>
      <c r="O3204">
        <v>2.6180749999999999E-2</v>
      </c>
      <c r="P3204">
        <v>0.98971419999999999</v>
      </c>
      <c r="Q3204">
        <v>-0.14159730000000001</v>
      </c>
      <c r="R3204">
        <v>2.0398400000000001E-2</v>
      </c>
      <c r="S3204">
        <v>3.0357970000000001</v>
      </c>
      <c r="T3204">
        <v>-8.1729410000000002E-2</v>
      </c>
      <c r="U3204">
        <v>-0.679199199999999</v>
      </c>
      <c r="V3204">
        <v>5.6534659999999898E-3</v>
      </c>
      <c r="W3204">
        <v>-0.12745200000000001</v>
      </c>
      <c r="X3204">
        <v>0.99182859999999995</v>
      </c>
      <c r="Y3204">
        <v>0.2436767</v>
      </c>
      <c r="Z3204">
        <v>-5.3275969999999999E-3</v>
      </c>
      <c r="AA3204">
        <v>0.96984190000000003</v>
      </c>
      <c r="AB3204">
        <v>40</v>
      </c>
      <c r="AC3204">
        <v>37.798699999999997</v>
      </c>
      <c r="AD3204">
        <v>-1.02885794</v>
      </c>
      <c r="AE3204">
        <v>-8.5612999999999797</v>
      </c>
      <c r="AF3204">
        <v>9.5413395841930004</v>
      </c>
      <c r="AG3204">
        <v>-1.02885794</v>
      </c>
      <c r="AH3204">
        <v>37.535124309199396</v>
      </c>
      <c r="AI3204">
        <v>91.521743551074493</v>
      </c>
      <c r="AJ3204">
        <v>75.737622094316507</v>
      </c>
      <c r="AK3204">
        <v>38.7424994886576</v>
      </c>
      <c r="AL3204">
        <v>97.322378032482007</v>
      </c>
      <c r="AM3204">
        <v>89.673415110851806</v>
      </c>
      <c r="AN3204">
        <v>0.99999997287988596</v>
      </c>
    </row>
    <row r="3205" spans="1:40" x14ac:dyDescent="0.25">
      <c r="A3205" t="str">
        <f>"20190305135854610"</f>
        <v>20190305135854610</v>
      </c>
      <c r="B3205" t="str">
        <f>"1551765534602192"</f>
        <v>1551765534602192</v>
      </c>
      <c r="C3205" t="s">
        <v>40</v>
      </c>
      <c r="D3205">
        <v>4.0753659999999998</v>
      </c>
      <c r="E3205">
        <v>0.59475429999999996</v>
      </c>
      <c r="F3205" t="s">
        <v>59</v>
      </c>
      <c r="G3205">
        <v>-215.48429999999999</v>
      </c>
      <c r="H3205">
        <v>8.0001669999999997E-2</v>
      </c>
      <c r="I3205">
        <v>206.6704</v>
      </c>
      <c r="J3205">
        <v>-254.8664</v>
      </c>
      <c r="K3205">
        <v>1.1088659999999999</v>
      </c>
      <c r="L3205">
        <v>215.62860000000001</v>
      </c>
      <c r="M3205">
        <v>0.99954529999999997</v>
      </c>
      <c r="N3205">
        <v>-1.426725E-2</v>
      </c>
      <c r="O3205">
        <v>2.656648E-2</v>
      </c>
      <c r="P3205">
        <v>0.98987349999999996</v>
      </c>
      <c r="Q3205">
        <v>-0.14088039999999999</v>
      </c>
      <c r="R3205">
        <v>1.7422630000000001E-2</v>
      </c>
      <c r="S3205">
        <v>3.034027</v>
      </c>
      <c r="T3205">
        <v>-7.8478220000000001E-2</v>
      </c>
      <c r="U3205">
        <v>-0.68249510000000002</v>
      </c>
      <c r="V3205">
        <v>9.0131269999999993E-3</v>
      </c>
      <c r="W3205">
        <v>-0.1267325</v>
      </c>
      <c r="X3205">
        <v>0.991896</v>
      </c>
      <c r="Y3205">
        <v>0.24518209999999999</v>
      </c>
      <c r="Z3205">
        <v>-5.2073839999999998E-3</v>
      </c>
      <c r="AA3205">
        <v>0.96946310000000002</v>
      </c>
      <c r="AB3205">
        <v>40</v>
      </c>
      <c r="AC3205">
        <v>39.382100000000001</v>
      </c>
      <c r="AD3205">
        <v>-1.02886433</v>
      </c>
      <c r="AE3205">
        <v>-8.9581999999999997</v>
      </c>
      <c r="AF3205">
        <v>9.9949015867892204</v>
      </c>
      <c r="AG3205">
        <v>-1.02886433</v>
      </c>
      <c r="AH3205">
        <v>39.104808212944</v>
      </c>
      <c r="AI3205">
        <v>91.460208771046396</v>
      </c>
      <c r="AJ3205">
        <v>75.662569499437097</v>
      </c>
      <c r="AK3205">
        <v>40.3750250143611</v>
      </c>
      <c r="AL3205">
        <v>97.280816355032698</v>
      </c>
      <c r="AM3205">
        <v>89.479380978753497</v>
      </c>
      <c r="AN3205">
        <v>1.00000001891528</v>
      </c>
    </row>
    <row r="3206" spans="1:40" x14ac:dyDescent="0.25">
      <c r="A3206" t="str">
        <f>"20190305135854634"</f>
        <v>20190305135854634</v>
      </c>
      <c r="B3206" t="str">
        <f>"1551765534621708"</f>
        <v>1551765534621708</v>
      </c>
      <c r="C3206" t="s">
        <v>40</v>
      </c>
      <c r="D3206">
        <v>3.9892699999999999</v>
      </c>
      <c r="E3206">
        <v>0.59398339999999905</v>
      </c>
      <c r="F3206" t="s">
        <v>59</v>
      </c>
      <c r="G3206">
        <v>-213.68</v>
      </c>
      <c r="H3206">
        <v>8.0000740000000001E-2</v>
      </c>
      <c r="I3206">
        <v>206.37780000000001</v>
      </c>
      <c r="J3206">
        <v>-254.4607</v>
      </c>
      <c r="K3206">
        <v>1.1088750000000001</v>
      </c>
      <c r="L3206">
        <v>215.63980000000001</v>
      </c>
      <c r="M3206">
        <v>0.9995347</v>
      </c>
      <c r="N3206">
        <v>-1.4265409999999999E-2</v>
      </c>
      <c r="O3206">
        <v>2.6962570000000002E-2</v>
      </c>
      <c r="P3206">
        <v>0.99005620000000005</v>
      </c>
      <c r="Q3206">
        <v>-0.13993949999999999</v>
      </c>
      <c r="R3206">
        <v>1.433539E-2</v>
      </c>
      <c r="S3206">
        <v>3.031876</v>
      </c>
      <c r="T3206">
        <v>-7.5738310000000003E-2</v>
      </c>
      <c r="U3206">
        <v>-0.68098449999999999</v>
      </c>
      <c r="V3206">
        <v>1.2495030000000001E-2</v>
      </c>
      <c r="W3206">
        <v>-0.1257887</v>
      </c>
      <c r="X3206">
        <v>0.99197829999999998</v>
      </c>
      <c r="Y3206">
        <v>0.2452607</v>
      </c>
      <c r="Z3206">
        <v>-5.082601E-3</v>
      </c>
      <c r="AA3206">
        <v>0.96944390000000003</v>
      </c>
      <c r="AB3206">
        <v>40</v>
      </c>
      <c r="AC3206">
        <v>40.780700000000003</v>
      </c>
      <c r="AD3206">
        <v>-1.02887426</v>
      </c>
      <c r="AE3206">
        <v>-9.2620000000000005</v>
      </c>
      <c r="AF3206">
        <v>10.352030276088501</v>
      </c>
      <c r="AG3206">
        <v>-1.02887426</v>
      </c>
      <c r="AH3206">
        <v>40.491608536860099</v>
      </c>
      <c r="AI3206">
        <v>91.410209796580801</v>
      </c>
      <c r="AJ3206">
        <v>75.659019561466906</v>
      </c>
      <c r="AK3206">
        <v>41.806619989928201</v>
      </c>
      <c r="AL3206">
        <v>97.226304951290899</v>
      </c>
      <c r="AM3206">
        <v>89.278336406125803</v>
      </c>
      <c r="AN3206">
        <v>0.99999993524663799</v>
      </c>
    </row>
    <row r="3207" spans="1:40" x14ac:dyDescent="0.25">
      <c r="A3207" t="str">
        <f>"20190305135854656"</f>
        <v>20190305135854656</v>
      </c>
      <c r="B3207" t="str">
        <f>"1551765534651964"</f>
        <v>1551765534651964</v>
      </c>
      <c r="C3207" t="s">
        <v>40</v>
      </c>
      <c r="D3207">
        <v>3.9829300000000001</v>
      </c>
      <c r="E3207">
        <v>0.59268030000000005</v>
      </c>
      <c r="F3207" t="s">
        <v>58</v>
      </c>
      <c r="G3207">
        <v>-209.1448</v>
      </c>
      <c r="H3207">
        <v>8.0000740000000001E-2</v>
      </c>
      <c r="I3207">
        <v>205.4057</v>
      </c>
      <c r="J3207">
        <v>-254.054</v>
      </c>
      <c r="K3207">
        <v>1.1088830000000001</v>
      </c>
      <c r="L3207">
        <v>215.65110000000001</v>
      </c>
      <c r="M3207">
        <v>0.99952419999999997</v>
      </c>
      <c r="N3207">
        <v>-1.4263369999999999E-2</v>
      </c>
      <c r="O3207">
        <v>2.7353740000000001E-2</v>
      </c>
      <c r="P3207">
        <v>0.99024219999999996</v>
      </c>
      <c r="Q3207">
        <v>-0.1390082</v>
      </c>
      <c r="R3207">
        <v>9.8802390000000007E-3</v>
      </c>
      <c r="S3207">
        <v>3.0303499999999999</v>
      </c>
      <c r="T3207">
        <v>-6.8802600000000005E-2</v>
      </c>
      <c r="U3207">
        <v>-0.68437190000000003</v>
      </c>
      <c r="V3207">
        <v>1.7338530000000001E-2</v>
      </c>
      <c r="W3207">
        <v>-0.1248538</v>
      </c>
      <c r="X3207">
        <v>0.99202360000000001</v>
      </c>
      <c r="Y3207">
        <v>0.24679209999999999</v>
      </c>
      <c r="Z3207">
        <v>-4.7774660000000002E-3</v>
      </c>
      <c r="AA3207">
        <v>0.96905669999999999</v>
      </c>
      <c r="AB3207">
        <v>40</v>
      </c>
      <c r="AC3207">
        <v>44.909199999999998</v>
      </c>
      <c r="AD3207">
        <v>-1.02888226</v>
      </c>
      <c r="AE3207">
        <v>-10.2454</v>
      </c>
      <c r="AF3207">
        <v>11.4644051799519</v>
      </c>
      <c r="AG3207">
        <v>-1.02888226</v>
      </c>
      <c r="AH3207">
        <v>44.589867298041199</v>
      </c>
      <c r="AI3207">
        <v>91.280206335293002</v>
      </c>
      <c r="AJ3207">
        <v>75.581107927683902</v>
      </c>
      <c r="AK3207">
        <v>46.051573811238796</v>
      </c>
      <c r="AL3207">
        <v>97.172313289452205</v>
      </c>
      <c r="AM3207">
        <v>88.998689694574793</v>
      </c>
      <c r="AN3207">
        <v>0.99999995947697895</v>
      </c>
    </row>
    <row r="3208" spans="1:40" x14ac:dyDescent="0.25">
      <c r="A3208" t="str">
        <f>"20190305135854834"</f>
        <v>20190305135854834</v>
      </c>
      <c r="B3208" t="str">
        <f>"1551765534821788"</f>
        <v>1551765534821788</v>
      </c>
      <c r="C3208" t="s">
        <v>40</v>
      </c>
      <c r="D3208">
        <v>3.880709</v>
      </c>
      <c r="E3208">
        <v>0.59337320000000005</v>
      </c>
      <c r="F3208" t="s">
        <v>58</v>
      </c>
      <c r="G3208">
        <v>-204.7962</v>
      </c>
      <c r="H3208">
        <v>8.0001269999999999E-2</v>
      </c>
      <c r="I3208">
        <v>204.4564</v>
      </c>
      <c r="J3208">
        <v>-250.8664</v>
      </c>
      <c r="K3208">
        <v>1.10867</v>
      </c>
      <c r="L3208">
        <v>215.74260000000001</v>
      </c>
      <c r="M3208">
        <v>0.99948570000000003</v>
      </c>
      <c r="N3208">
        <v>-1.4246E-2</v>
      </c>
      <c r="O3208">
        <v>2.873614E-2</v>
      </c>
      <c r="P3208">
        <v>0.99238859999999995</v>
      </c>
      <c r="Q3208">
        <v>-0.1190167</v>
      </c>
      <c r="R3208">
        <v>-3.163183E-2</v>
      </c>
      <c r="S3208">
        <v>3.0275569999999998</v>
      </c>
      <c r="T3208">
        <v>-6.3238740000000002E-2</v>
      </c>
      <c r="U3208">
        <v>-0.68806460000000003</v>
      </c>
      <c r="V3208">
        <v>6.0146129999999999E-2</v>
      </c>
      <c r="W3208">
        <v>-0.10488169999999999</v>
      </c>
      <c r="X3208">
        <v>0.9926642</v>
      </c>
      <c r="Y3208">
        <v>0.2494596</v>
      </c>
      <c r="Z3208">
        <v>-4.5610219999999996E-3</v>
      </c>
      <c r="AA3208">
        <v>0.96837450000000003</v>
      </c>
      <c r="AB3208">
        <v>40</v>
      </c>
      <c r="AC3208">
        <v>46.0702</v>
      </c>
      <c r="AD3208">
        <v>-1.0286687299999999</v>
      </c>
      <c r="AE3208">
        <v>-11.286199999999999</v>
      </c>
      <c r="AF3208">
        <v>12.5996261071774</v>
      </c>
      <c r="AG3208">
        <v>-1.0286687299999999</v>
      </c>
      <c r="AH3208">
        <v>45.705319535383197</v>
      </c>
      <c r="AI3208">
        <v>91.24296319954</v>
      </c>
      <c r="AJ3208">
        <v>74.588018306235497</v>
      </c>
      <c r="AK3208">
        <v>47.421355645196698</v>
      </c>
      <c r="AL3208">
        <v>96.020351011660196</v>
      </c>
      <c r="AM3208">
        <v>86.532652722377094</v>
      </c>
      <c r="AN3208">
        <v>0.99999997095525295</v>
      </c>
    </row>
    <row r="3209" spans="1:40" x14ac:dyDescent="0.25">
      <c r="A3209" t="str">
        <f>"20190305135854857"</f>
        <v>20190305135854857</v>
      </c>
      <c r="B3209" t="str">
        <f>"1551765534852045"</f>
        <v>1551765534852045</v>
      </c>
      <c r="C3209" t="s">
        <v>40</v>
      </c>
      <c r="D3209">
        <v>4.0920139999999998</v>
      </c>
      <c r="E3209">
        <v>0.59340569999999904</v>
      </c>
      <c r="F3209" t="s">
        <v>70</v>
      </c>
      <c r="G3209">
        <v>-168.4153</v>
      </c>
      <c r="H3209">
        <v>1.245017</v>
      </c>
      <c r="I3209">
        <v>193.20820000000001</v>
      </c>
      <c r="J3209">
        <v>-250.4479</v>
      </c>
      <c r="K3209">
        <v>1.108565</v>
      </c>
      <c r="L3209">
        <v>215.75450000000001</v>
      </c>
      <c r="M3209">
        <v>0.99949290000000002</v>
      </c>
      <c r="N3209">
        <v>-1.4244120000000001E-2</v>
      </c>
      <c r="O3209">
        <v>2.8478900000000001E-2</v>
      </c>
      <c r="P3209">
        <v>0.99228830000000001</v>
      </c>
      <c r="Q3209">
        <v>-0.118768</v>
      </c>
      <c r="R3209">
        <v>-3.5471660000000002E-2</v>
      </c>
      <c r="S3209">
        <v>2.9974820000000002</v>
      </c>
      <c r="T3209">
        <v>4.9580340000000001E-3</v>
      </c>
      <c r="U3209">
        <v>-0.81922909999999904</v>
      </c>
      <c r="V3209">
        <v>6.3696810000000006E-2</v>
      </c>
      <c r="W3209">
        <v>-0.1046555</v>
      </c>
      <c r="X3209">
        <v>0.99246659999999998</v>
      </c>
      <c r="Y3209">
        <v>0.29100310000000001</v>
      </c>
      <c r="Z3209">
        <v>-1.429313E-3</v>
      </c>
      <c r="AA3209">
        <v>0.95672100000000004</v>
      </c>
      <c r="AB3209">
        <v>40</v>
      </c>
      <c r="AC3209">
        <v>82.032600000000002</v>
      </c>
      <c r="AD3209">
        <v>0.13645199999999999</v>
      </c>
      <c r="AE3209">
        <v>-22.546299999999999</v>
      </c>
      <c r="AF3209">
        <v>24.873524488224302</v>
      </c>
      <c r="AG3209">
        <v>0.13645199999999999</v>
      </c>
      <c r="AH3209">
        <v>81.356952055929298</v>
      </c>
      <c r="AI3209">
        <v>89.908102541505201</v>
      </c>
      <c r="AJ3209">
        <v>72.999865976350605</v>
      </c>
      <c r="AK3209">
        <v>85.074464367666593</v>
      </c>
      <c r="AL3209">
        <v>96.007318782359903</v>
      </c>
      <c r="AM3209">
        <v>86.327775917000906</v>
      </c>
      <c r="AN3209">
        <v>1.00000000469999</v>
      </c>
    </row>
    <row r="3210" spans="1:40" x14ac:dyDescent="0.25">
      <c r="A3210" t="str">
        <f>"20190305135854880"</f>
        <v>20190305135854880</v>
      </c>
      <c r="B3210" t="str">
        <f>"1551765534872540"</f>
        <v>1551765534872540</v>
      </c>
      <c r="C3210" t="s">
        <v>40</v>
      </c>
      <c r="D3210">
        <v>4.1079030000000003</v>
      </c>
      <c r="E3210">
        <v>0.59309889999999998</v>
      </c>
      <c r="F3210" t="s">
        <v>70</v>
      </c>
      <c r="G3210">
        <v>-168.4153</v>
      </c>
      <c r="H3210">
        <v>1.1444080000000001</v>
      </c>
      <c r="I3210">
        <v>192.95910000000001</v>
      </c>
      <c r="J3210">
        <v>-250.04419999999999</v>
      </c>
      <c r="K3210">
        <v>1.108439</v>
      </c>
      <c r="L3210">
        <v>215.76570000000001</v>
      </c>
      <c r="M3210">
        <v>0.99950459999999997</v>
      </c>
      <c r="N3210">
        <v>-1.424228E-2</v>
      </c>
      <c r="O3210">
        <v>2.8069960000000001E-2</v>
      </c>
      <c r="P3210">
        <v>0.99227600000000005</v>
      </c>
      <c r="Q3210">
        <v>-0.1185108</v>
      </c>
      <c r="R3210">
        <v>-3.6661220000000001E-2</v>
      </c>
      <c r="S3210">
        <v>2.993744</v>
      </c>
      <c r="T3210">
        <v>1.3092760000000001E-3</v>
      </c>
      <c r="U3210">
        <v>-0.83190919999999902</v>
      </c>
      <c r="V3210">
        <v>6.4446329999999996E-2</v>
      </c>
      <c r="W3210">
        <v>-0.1044215</v>
      </c>
      <c r="X3210">
        <v>0.99244279999999996</v>
      </c>
      <c r="Y3210">
        <v>0.29467759999999998</v>
      </c>
      <c r="Z3210">
        <v>-1.670251E-3</v>
      </c>
      <c r="AA3210">
        <v>0.95559530000000004</v>
      </c>
      <c r="AB3210">
        <v>40</v>
      </c>
      <c r="AC3210">
        <v>81.628899999999902</v>
      </c>
      <c r="AD3210">
        <v>3.5969000000000098E-2</v>
      </c>
      <c r="AE3210">
        <v>-22.8066</v>
      </c>
      <c r="AF3210">
        <v>25.089159111059701</v>
      </c>
      <c r="AG3210">
        <v>3.5969000000000098E-2</v>
      </c>
      <c r="AH3210">
        <v>80.956468712096694</v>
      </c>
      <c r="AI3210">
        <v>89.975684373180997</v>
      </c>
      <c r="AJ3210">
        <v>72.781307257279806</v>
      </c>
      <c r="AK3210">
        <v>84.755041295498899</v>
      </c>
      <c r="AL3210">
        <v>95.993838062997895</v>
      </c>
      <c r="AM3210">
        <v>86.284596355764194</v>
      </c>
      <c r="AN3210">
        <v>0.99999994519227697</v>
      </c>
    </row>
    <row r="3211" spans="1:40" x14ac:dyDescent="0.25">
      <c r="A3211" t="str">
        <f>"20190305135854900"</f>
        <v>20190305135854900</v>
      </c>
      <c r="B3211" t="str">
        <f>"1551765534892060"</f>
        <v>1551765534892060</v>
      </c>
      <c r="C3211" t="s">
        <v>40</v>
      </c>
      <c r="D3211">
        <v>4.1104529999999997</v>
      </c>
      <c r="E3211">
        <v>0.59273750000000003</v>
      </c>
      <c r="F3211" t="s">
        <v>70</v>
      </c>
      <c r="G3211">
        <v>-168.4153</v>
      </c>
      <c r="H3211">
        <v>1.009307</v>
      </c>
      <c r="I3211">
        <v>193.03800000000001</v>
      </c>
      <c r="J3211">
        <v>-249.66659999999999</v>
      </c>
      <c r="K3211">
        <v>1.1083240000000001</v>
      </c>
      <c r="L3211">
        <v>215.7758</v>
      </c>
      <c r="M3211">
        <v>0.99951920000000005</v>
      </c>
      <c r="N3211">
        <v>-1.4240799999999901E-2</v>
      </c>
      <c r="O3211">
        <v>2.7547410000000001E-2</v>
      </c>
      <c r="P3211">
        <v>0.99227690000000002</v>
      </c>
      <c r="Q3211">
        <v>-0.11771429999999999</v>
      </c>
      <c r="R3211">
        <v>-3.9117739999999998E-2</v>
      </c>
      <c r="S3211">
        <v>2.9921720000000001</v>
      </c>
      <c r="T3211">
        <v>-3.632545E-3</v>
      </c>
      <c r="U3211">
        <v>-0.83309940000000005</v>
      </c>
      <c r="V3211">
        <v>6.6350069999999997E-2</v>
      </c>
      <c r="W3211">
        <v>-0.10365000000000001</v>
      </c>
      <c r="X3211">
        <v>0.99239829999999996</v>
      </c>
      <c r="Y3211">
        <v>0.29465730000000001</v>
      </c>
      <c r="Z3211">
        <v>-1.9610650000000001E-3</v>
      </c>
      <c r="AA3211">
        <v>0.95560100000000003</v>
      </c>
      <c r="AB3211">
        <v>40</v>
      </c>
      <c r="AC3211">
        <v>81.251299999999901</v>
      </c>
      <c r="AD3211">
        <v>-9.9017000000000105E-2</v>
      </c>
      <c r="AE3211">
        <v>-22.7378</v>
      </c>
      <c r="AF3211">
        <v>24.967624369372299</v>
      </c>
      <c r="AG3211">
        <v>-9.9017000000000105E-2</v>
      </c>
      <c r="AH3211">
        <v>80.593916800139795</v>
      </c>
      <c r="AI3211">
        <v>90.067240350669707</v>
      </c>
      <c r="AJ3211">
        <v>72.787259570743004</v>
      </c>
      <c r="AK3211">
        <v>84.372812541743599</v>
      </c>
      <c r="AL3211">
        <v>95.949392740922505</v>
      </c>
      <c r="AM3211">
        <v>86.174993719414601</v>
      </c>
      <c r="AN3211">
        <v>1.00000002006594</v>
      </c>
    </row>
    <row r="3212" spans="1:40" x14ac:dyDescent="0.25">
      <c r="A3212" t="str">
        <f>"20190305135854919"</f>
        <v>20190305135854919</v>
      </c>
      <c r="B3212" t="str">
        <f>"1551765534912556"</f>
        <v>1551765534912556</v>
      </c>
      <c r="C3212" t="s">
        <v>40</v>
      </c>
      <c r="D3212">
        <v>4.1499319999999997</v>
      </c>
      <c r="E3212">
        <v>0.59241499999999903</v>
      </c>
      <c r="F3212" t="s">
        <v>70</v>
      </c>
      <c r="G3212">
        <v>-168.4153</v>
      </c>
      <c r="H3212">
        <v>0.92794080000000001</v>
      </c>
      <c r="I3212">
        <v>193.00360000000001</v>
      </c>
      <c r="J3212">
        <v>-249.3389</v>
      </c>
      <c r="K3212">
        <v>1.108217</v>
      </c>
      <c r="L3212">
        <v>215.78440000000001</v>
      </c>
      <c r="M3212">
        <v>0.99953400000000003</v>
      </c>
      <c r="N3212">
        <v>-1.4239699999999999E-2</v>
      </c>
      <c r="O3212">
        <v>2.700456E-2</v>
      </c>
      <c r="P3212">
        <v>0.99230059999999998</v>
      </c>
      <c r="Q3212">
        <v>-0.11704249999999999</v>
      </c>
      <c r="R3212">
        <v>-4.0508750000000003E-2</v>
      </c>
      <c r="S3212">
        <v>2.9895480000000001</v>
      </c>
      <c r="T3212">
        <v>-6.6357849999999999E-3</v>
      </c>
      <c r="U3212">
        <v>-0.83787540000000005</v>
      </c>
      <c r="V3212">
        <v>6.717455E-2</v>
      </c>
      <c r="W3212">
        <v>-0.1029989</v>
      </c>
      <c r="X3212">
        <v>0.99241060000000003</v>
      </c>
      <c r="Y3212">
        <v>0.2957687</v>
      </c>
      <c r="Z3212">
        <v>-2.1497069999999998E-3</v>
      </c>
      <c r="AA3212">
        <v>0.95525720000000003</v>
      </c>
      <c r="AB3212">
        <v>40</v>
      </c>
      <c r="AC3212">
        <v>80.923599999999993</v>
      </c>
      <c r="AD3212">
        <v>-0.180276199999999</v>
      </c>
      <c r="AE3212">
        <v>-22.780799999999999</v>
      </c>
      <c r="AF3212">
        <v>24.957903176628999</v>
      </c>
      <c r="AG3212">
        <v>-0.180276199999999</v>
      </c>
      <c r="AH3212">
        <v>80.278465082846196</v>
      </c>
      <c r="AI3212">
        <v>90.1228645418919</v>
      </c>
      <c r="AJ3212">
        <v>72.729967723981403</v>
      </c>
      <c r="AK3212">
        <v>84.068789610294999</v>
      </c>
      <c r="AL3212">
        <v>95.911886856774501</v>
      </c>
      <c r="AM3212">
        <v>86.127654957398505</v>
      </c>
      <c r="AN3212">
        <v>0.99999999628063596</v>
      </c>
    </row>
    <row r="3213" spans="1:40" x14ac:dyDescent="0.25">
      <c r="A3213" t="str">
        <f>"20190305135854934"</f>
        <v>20190305135854934</v>
      </c>
      <c r="B3213" t="str">
        <f>"1551765534922317"</f>
        <v>1551765534922317</v>
      </c>
      <c r="C3213" t="s">
        <v>40</v>
      </c>
      <c r="D3213">
        <v>4.0622939999999996</v>
      </c>
      <c r="E3213">
        <v>0.5922345</v>
      </c>
      <c r="F3213" t="s">
        <v>70</v>
      </c>
      <c r="G3213">
        <v>-168.4152</v>
      </c>
      <c r="H3213">
        <v>0.85637090000000005</v>
      </c>
      <c r="I3213">
        <v>193.0412</v>
      </c>
      <c r="J3213">
        <v>-249.07220000000001</v>
      </c>
      <c r="K3213">
        <v>1.1081490000000001</v>
      </c>
      <c r="L3213">
        <v>215.7912</v>
      </c>
      <c r="M3213">
        <v>0.99954790000000004</v>
      </c>
      <c r="N3213">
        <v>-1.4238819999999999E-2</v>
      </c>
      <c r="O3213">
        <v>2.6485999999999999E-2</v>
      </c>
      <c r="P3213">
        <v>0.99238459999999995</v>
      </c>
      <c r="Q3213">
        <v>-0.1157155</v>
      </c>
      <c r="R3213">
        <v>-4.2226989999999999E-2</v>
      </c>
      <c r="S3213">
        <v>2.9879150000000001</v>
      </c>
      <c r="T3213">
        <v>-9.2976090000000001E-3</v>
      </c>
      <c r="U3213">
        <v>-0.83973690000000001</v>
      </c>
      <c r="V3213">
        <v>6.8359409999999995E-2</v>
      </c>
      <c r="W3213">
        <v>-0.1016883</v>
      </c>
      <c r="X3213">
        <v>0.99246480000000004</v>
      </c>
      <c r="Y3213">
        <v>0.2959582</v>
      </c>
      <c r="Z3213">
        <v>-2.3101990000000002E-3</v>
      </c>
      <c r="AA3213">
        <v>0.95519810000000005</v>
      </c>
      <c r="AB3213">
        <v>40</v>
      </c>
      <c r="AC3213">
        <v>80.656999999999996</v>
      </c>
      <c r="AD3213">
        <v>-0.2517781</v>
      </c>
      <c r="AE3213">
        <v>-22.75</v>
      </c>
      <c r="AF3213">
        <v>24.878290390484199</v>
      </c>
      <c r="AG3213">
        <v>-0.2517781</v>
      </c>
      <c r="AH3213">
        <v>80.025358690480203</v>
      </c>
      <c r="AI3213">
        <v>90.1721386267496</v>
      </c>
      <c r="AJ3213">
        <v>72.730571058633899</v>
      </c>
      <c r="AK3213">
        <v>83.803644064592504</v>
      </c>
      <c r="AL3213">
        <v>95.836398897027294</v>
      </c>
      <c r="AM3213">
        <v>86.059780328802702</v>
      </c>
      <c r="AN3213">
        <v>0.99999994926573699</v>
      </c>
    </row>
    <row r="3214" spans="1:40" x14ac:dyDescent="0.25">
      <c r="A3214" t="str">
        <f>"20190305135854951"</f>
        <v>20190305135854951</v>
      </c>
      <c r="B3214" t="str">
        <f>"1551765534941837"</f>
        <v>1551765534941837</v>
      </c>
      <c r="C3214" t="s">
        <v>40</v>
      </c>
      <c r="D3214">
        <v>4.1260110000000001</v>
      </c>
      <c r="E3214">
        <v>0.59190339999999997</v>
      </c>
      <c r="F3214" t="s">
        <v>70</v>
      </c>
      <c r="G3214">
        <v>-168.4153</v>
      </c>
      <c r="H3214">
        <v>0.88985349999999996</v>
      </c>
      <c r="I3214">
        <v>192.99600000000001</v>
      </c>
      <c r="J3214">
        <v>-248.75290000000001</v>
      </c>
      <c r="K3214">
        <v>1.1080570000000001</v>
      </c>
      <c r="L3214">
        <v>215.79900000000001</v>
      </c>
      <c r="M3214">
        <v>0.99956599999999995</v>
      </c>
      <c r="N3214">
        <v>-1.4237619999999999E-2</v>
      </c>
      <c r="O3214">
        <v>2.5790509999999999E-2</v>
      </c>
      <c r="P3214">
        <v>0.99246920000000005</v>
      </c>
      <c r="Q3214">
        <v>-0.1144979</v>
      </c>
      <c r="R3214">
        <v>-4.3532700000000001E-2</v>
      </c>
      <c r="S3214">
        <v>2.9861759999999999</v>
      </c>
      <c r="T3214">
        <v>-8.0807209999999904E-3</v>
      </c>
      <c r="U3214">
        <v>-0.84394840000000004</v>
      </c>
      <c r="V3214">
        <v>6.8953890000000004E-2</v>
      </c>
      <c r="W3214">
        <v>-0.1004888</v>
      </c>
      <c r="X3214">
        <v>0.99254589999999998</v>
      </c>
      <c r="Y3214">
        <v>0.29668749999999999</v>
      </c>
      <c r="Z3214">
        <v>-2.2551250000000002E-3</v>
      </c>
      <c r="AA3214">
        <v>0.95497200000000004</v>
      </c>
      <c r="AB3214">
        <v>40</v>
      </c>
      <c r="AC3214">
        <v>80.337599999999995</v>
      </c>
      <c r="AD3214">
        <v>-0.21820349999999999</v>
      </c>
      <c r="AE3214">
        <v>-22.803000000000001</v>
      </c>
      <c r="AF3214">
        <v>24.867401376558298</v>
      </c>
      <c r="AG3214">
        <v>-0.21820349999999999</v>
      </c>
      <c r="AH3214">
        <v>79.722166973668493</v>
      </c>
      <c r="AI3214">
        <v>90.149706971574204</v>
      </c>
      <c r="AJ3214">
        <v>72.675952083798606</v>
      </c>
      <c r="AK3214">
        <v>83.510832656415005</v>
      </c>
      <c r="AL3214">
        <v>95.767318435995605</v>
      </c>
      <c r="AM3214">
        <v>86.025947688287701</v>
      </c>
      <c r="AN3214">
        <v>1.00000000073919</v>
      </c>
    </row>
    <row r="3215" spans="1:40" x14ac:dyDescent="0.25">
      <c r="A3215" t="str">
        <f>"20190305135854966"</f>
        <v>20190305135854966</v>
      </c>
      <c r="B3215" t="str">
        <f>"1551765534962333"</f>
        <v>1551765534962333</v>
      </c>
      <c r="C3215" t="s">
        <v>40</v>
      </c>
      <c r="D3215">
        <v>5.1621600000000001</v>
      </c>
      <c r="E3215">
        <v>0.5916226</v>
      </c>
      <c r="F3215" t="s">
        <v>70</v>
      </c>
      <c r="G3215">
        <v>-168.4152</v>
      </c>
      <c r="H3215">
        <v>0.89158959999999998</v>
      </c>
      <c r="I3215">
        <v>193.04689999999999</v>
      </c>
      <c r="J3215">
        <v>-248.51679999999999</v>
      </c>
      <c r="K3215">
        <v>1.107999</v>
      </c>
      <c r="L3215">
        <v>215.80459999999999</v>
      </c>
      <c r="M3215">
        <v>0.99958029999999998</v>
      </c>
      <c r="N3215">
        <v>-1.4236820000000001E-2</v>
      </c>
      <c r="O3215">
        <v>2.5224980000000001E-2</v>
      </c>
      <c r="P3215">
        <v>0.99252689999999999</v>
      </c>
      <c r="Q3215">
        <v>-0.11359229999999999</v>
      </c>
      <c r="R3215">
        <v>-4.4576289999999998E-2</v>
      </c>
      <c r="S3215">
        <v>2.984772</v>
      </c>
      <c r="T3215">
        <v>-8.0411430000000006E-3</v>
      </c>
      <c r="U3215">
        <v>-0.84530640000000001</v>
      </c>
      <c r="V3215">
        <v>6.9421769999999994E-2</v>
      </c>
      <c r="W3215">
        <v>-9.959614E-2</v>
      </c>
      <c r="X3215">
        <v>0.99260320000000002</v>
      </c>
      <c r="Y3215">
        <v>0.29666700000000001</v>
      </c>
      <c r="Z3215">
        <v>-2.2593449999999998E-3</v>
      </c>
      <c r="AA3215">
        <v>0.95497829999999995</v>
      </c>
      <c r="AB3215">
        <v>40</v>
      </c>
      <c r="AC3215">
        <v>80.101599999999905</v>
      </c>
      <c r="AD3215">
        <v>-0.216409399999999</v>
      </c>
      <c r="AE3215">
        <v>-22.7577</v>
      </c>
      <c r="AF3215">
        <v>24.771056017359001</v>
      </c>
      <c r="AG3215">
        <v>-0.216409399999999</v>
      </c>
      <c r="AH3215">
        <v>79.5014487322523</v>
      </c>
      <c r="AI3215">
        <v>90.148902907293504</v>
      </c>
      <c r="AJ3215">
        <v>72.694013894211096</v>
      </c>
      <c r="AK3215">
        <v>83.271438079154706</v>
      </c>
      <c r="AL3215">
        <v>95.7159152322251</v>
      </c>
      <c r="AM3215">
        <v>85.999299629209702</v>
      </c>
      <c r="AN3215">
        <v>0.99999994295153405</v>
      </c>
    </row>
    <row r="3216" spans="1:40" x14ac:dyDescent="0.25">
      <c r="A3216" t="str">
        <f>"20190305135854980"</f>
        <v>20190305135854980</v>
      </c>
      <c r="B3216" t="str">
        <f>"1551765534972093"</f>
        <v>1551765534972093</v>
      </c>
      <c r="C3216" t="s">
        <v>40</v>
      </c>
      <c r="D3216">
        <v>4.1038050000000004</v>
      </c>
      <c r="E3216">
        <v>0.59149649999999998</v>
      </c>
      <c r="F3216" t="s">
        <v>70</v>
      </c>
      <c r="G3216">
        <v>-168.4152</v>
      </c>
      <c r="H3216">
        <v>0.86736869999999999</v>
      </c>
      <c r="I3216">
        <v>193.08160000000001</v>
      </c>
      <c r="J3216">
        <v>-248.24979999999999</v>
      </c>
      <c r="K3216">
        <v>1.1079369999999999</v>
      </c>
      <c r="L3216">
        <v>215.8109</v>
      </c>
      <c r="M3216">
        <v>0.99959750000000003</v>
      </c>
      <c r="N3216">
        <v>-1.423601E-2</v>
      </c>
      <c r="O3216">
        <v>2.4543160000000001E-2</v>
      </c>
      <c r="P3216">
        <v>0.99282269999999995</v>
      </c>
      <c r="Q3216">
        <v>-0.1103164</v>
      </c>
      <c r="R3216">
        <v>-4.6191799999999998E-2</v>
      </c>
      <c r="S3216">
        <v>2.9835210000000001</v>
      </c>
      <c r="T3216">
        <v>-8.9614389999999999E-3</v>
      </c>
      <c r="U3216">
        <v>-0.84635930000000004</v>
      </c>
      <c r="V3216">
        <v>7.0355340000000002E-2</v>
      </c>
      <c r="W3216">
        <v>-9.6332219999999996E-2</v>
      </c>
      <c r="X3216">
        <v>0.99285959999999995</v>
      </c>
      <c r="Y3216">
        <v>0.29643180000000002</v>
      </c>
      <c r="Z3216">
        <v>-2.3175069999999999E-3</v>
      </c>
      <c r="AA3216">
        <v>0.95505119999999999</v>
      </c>
      <c r="AB3216">
        <v>40</v>
      </c>
      <c r="AC3216">
        <v>79.834599999999995</v>
      </c>
      <c r="AD3216">
        <v>-0.24056830000000001</v>
      </c>
      <c r="AE3216">
        <v>-22.729299999999899</v>
      </c>
      <c r="AF3216">
        <v>24.681836335685901</v>
      </c>
      <c r="AG3216">
        <v>-0.24056830000000001</v>
      </c>
      <c r="AH3216">
        <v>79.251975659870794</v>
      </c>
      <c r="AI3216">
        <v>90.166053502281002</v>
      </c>
      <c r="AJ3216">
        <v>72.701585167890002</v>
      </c>
      <c r="AK3216">
        <v>83.0067862526993</v>
      </c>
      <c r="AL3216">
        <v>95.528002229140995</v>
      </c>
      <c r="AM3216">
        <v>85.946720757815697</v>
      </c>
      <c r="AN3216">
        <v>0.99999997789440098</v>
      </c>
    </row>
    <row r="3217" spans="1:40" x14ac:dyDescent="0.25">
      <c r="A3217" t="str">
        <f>"20190305135854998"</f>
        <v>20190305135854998</v>
      </c>
      <c r="B3217" t="str">
        <f>"1551765534992589"</f>
        <v>1551765534992589</v>
      </c>
      <c r="C3217" t="s">
        <v>40</v>
      </c>
      <c r="D3217">
        <v>4.9263469999999998</v>
      </c>
      <c r="E3217">
        <v>0.59124330000000003</v>
      </c>
      <c r="F3217" t="s">
        <v>70</v>
      </c>
      <c r="G3217">
        <v>-168.4153</v>
      </c>
      <c r="H3217">
        <v>1.079034</v>
      </c>
      <c r="I3217">
        <v>193.05250000000001</v>
      </c>
      <c r="J3217">
        <v>-247.93379999999999</v>
      </c>
      <c r="K3217">
        <v>1.1078600000000001</v>
      </c>
      <c r="L3217">
        <v>215.81790000000001</v>
      </c>
      <c r="M3217">
        <v>0.99961840000000002</v>
      </c>
      <c r="N3217">
        <v>-1.4234989999999999E-2</v>
      </c>
      <c r="O3217">
        <v>2.367785E-2</v>
      </c>
      <c r="P3217">
        <v>0.99294760000000004</v>
      </c>
      <c r="Q3217">
        <v>-0.1086843</v>
      </c>
      <c r="R3217">
        <v>-4.7364400000000001E-2</v>
      </c>
      <c r="S3217">
        <v>2.9820250000000001</v>
      </c>
      <c r="T3217">
        <v>-1.078367E-3</v>
      </c>
      <c r="U3217">
        <v>-0.85008240000000002</v>
      </c>
      <c r="V3217">
        <v>7.0655850000000006E-2</v>
      </c>
      <c r="W3217">
        <v>-9.4714339999999994E-2</v>
      </c>
      <c r="X3217">
        <v>0.99299400000000004</v>
      </c>
      <c r="Y3217">
        <v>0.29683999999999999</v>
      </c>
      <c r="Z3217">
        <v>-1.8849299999999999E-3</v>
      </c>
      <c r="AA3217">
        <v>0.95492540000000004</v>
      </c>
      <c r="AB3217">
        <v>40</v>
      </c>
      <c r="AC3217">
        <v>79.518499999999904</v>
      </c>
      <c r="AD3217">
        <v>-2.8826000000000001E-2</v>
      </c>
      <c r="AE3217">
        <v>-22.7654</v>
      </c>
      <c r="AF3217">
        <v>24.642030915740101</v>
      </c>
      <c r="AG3217">
        <v>-2.8826000000000001E-2</v>
      </c>
      <c r="AH3217">
        <v>78.957101833093205</v>
      </c>
      <c r="AI3217">
        <v>90.019967918878507</v>
      </c>
      <c r="AJ3217">
        <v>72.667174830678505</v>
      </c>
      <c r="AK3217">
        <v>82.713085110350093</v>
      </c>
      <c r="AL3217">
        <v>95.434878184744505</v>
      </c>
      <c r="AM3217">
        <v>85.930015076350998</v>
      </c>
      <c r="AN3217">
        <v>1.0000000696884199</v>
      </c>
    </row>
    <row r="3218" spans="1:40" x14ac:dyDescent="0.25">
      <c r="A3218" t="str">
        <f>"20190305135855013"</f>
        <v>20190305135855013</v>
      </c>
      <c r="B3218" t="str">
        <f>"1551765535002349"</f>
        <v>1551765535002349</v>
      </c>
      <c r="C3218" t="s">
        <v>40</v>
      </c>
      <c r="D3218">
        <v>4.1301100000000002</v>
      </c>
      <c r="E3218">
        <v>0.59111239999999998</v>
      </c>
      <c r="F3218" t="s">
        <v>70</v>
      </c>
      <c r="G3218">
        <v>-168.4153</v>
      </c>
      <c r="H3218">
        <v>1.1031070000000001</v>
      </c>
      <c r="I3218">
        <v>193.08590000000001</v>
      </c>
      <c r="J3218">
        <v>-247.6678</v>
      </c>
      <c r="K3218">
        <v>1.107802</v>
      </c>
      <c r="L3218">
        <v>215.8235</v>
      </c>
      <c r="M3218">
        <v>0.99963639999999998</v>
      </c>
      <c r="N3218">
        <v>-1.423397E-2</v>
      </c>
      <c r="O3218">
        <v>2.2908049999999999E-2</v>
      </c>
      <c r="P3218">
        <v>0.99298699999999995</v>
      </c>
      <c r="Q3218">
        <v>-0.1072178</v>
      </c>
      <c r="R3218">
        <v>-4.9816020000000003E-2</v>
      </c>
      <c r="S3218">
        <v>2.9806520000000001</v>
      </c>
      <c r="T3218">
        <v>-1.7690659999999999E-4</v>
      </c>
      <c r="U3218">
        <v>-0.85208130000000004</v>
      </c>
      <c r="V3218">
        <v>7.2333460000000002E-2</v>
      </c>
      <c r="W3218">
        <v>-9.326313E-2</v>
      </c>
      <c r="X3218">
        <v>0.99301050000000002</v>
      </c>
      <c r="Y3218">
        <v>0.2968133</v>
      </c>
      <c r="Z3218">
        <v>-1.844535E-3</v>
      </c>
      <c r="AA3218">
        <v>0.95493380000000005</v>
      </c>
      <c r="AB3218">
        <v>40</v>
      </c>
      <c r="AC3218">
        <v>79.252499999999998</v>
      </c>
      <c r="AD3218">
        <v>-4.6949999999998902E-3</v>
      </c>
      <c r="AE3218">
        <v>-22.737599999999901</v>
      </c>
      <c r="AF3218">
        <v>24.547335715742001</v>
      </c>
      <c r="AG3218">
        <v>-4.6949999999998902E-3</v>
      </c>
      <c r="AH3218">
        <v>78.710771023936701</v>
      </c>
      <c r="AI3218">
        <v>90.003262638950602</v>
      </c>
      <c r="AJ3218">
        <v>72.678993850030807</v>
      </c>
      <c r="AK3218">
        <v>82.449725214623797</v>
      </c>
      <c r="AL3218">
        <v>95.351360653005102</v>
      </c>
      <c r="AM3218">
        <v>85.833785142964302</v>
      </c>
      <c r="AN3218">
        <v>0.99999999698160902</v>
      </c>
    </row>
    <row r="3219" spans="1:40" x14ac:dyDescent="0.25">
      <c r="A3219" t="str">
        <f>"20190305135855036"</f>
        <v>20190305135855036</v>
      </c>
      <c r="B3219" t="str">
        <f>"1551765535032605"</f>
        <v>1551765535032605</v>
      </c>
      <c r="C3219" t="s">
        <v>40</v>
      </c>
      <c r="D3219">
        <v>4.1305589999999999</v>
      </c>
      <c r="E3219">
        <v>0.59076619999999902</v>
      </c>
      <c r="F3219" t="s">
        <v>70</v>
      </c>
      <c r="G3219">
        <v>-168.4153</v>
      </c>
      <c r="H3219">
        <v>1.1593</v>
      </c>
      <c r="I3219">
        <v>192.9786</v>
      </c>
      <c r="J3219">
        <v>-247.2628</v>
      </c>
      <c r="K3219">
        <v>1.1077170000000001</v>
      </c>
      <c r="L3219">
        <v>215.83179999999999</v>
      </c>
      <c r="M3219">
        <v>0.99966339999999998</v>
      </c>
      <c r="N3219">
        <v>-1.4226569999999999E-2</v>
      </c>
      <c r="O3219">
        <v>2.170134E-2</v>
      </c>
      <c r="P3219">
        <v>0.99284340000000004</v>
      </c>
      <c r="Q3219">
        <v>-0.1072689</v>
      </c>
      <c r="R3219">
        <v>-5.249434E-2</v>
      </c>
      <c r="S3219">
        <v>2.9783330000000001</v>
      </c>
      <c r="T3219">
        <v>1.936555E-3</v>
      </c>
      <c r="U3219">
        <v>-0.85852050000000002</v>
      </c>
      <c r="V3219">
        <v>7.3792029999999995E-2</v>
      </c>
      <c r="W3219">
        <v>-9.3341660000000007E-2</v>
      </c>
      <c r="X3219">
        <v>0.9928958</v>
      </c>
      <c r="Y3219">
        <v>0.29776550000000002</v>
      </c>
      <c r="Z3219">
        <v>-1.7493770000000001E-3</v>
      </c>
      <c r="AA3219">
        <v>0.95463750000000003</v>
      </c>
      <c r="AB3219">
        <v>40</v>
      </c>
      <c r="AC3219">
        <v>78.847499999999997</v>
      </c>
      <c r="AD3219">
        <v>5.15829999999999E-2</v>
      </c>
      <c r="AE3219">
        <v>-22.853199999999902</v>
      </c>
      <c r="AF3219">
        <v>24.559076616389799</v>
      </c>
      <c r="AG3219">
        <v>5.15829999999999E-2</v>
      </c>
      <c r="AH3219">
        <v>78.332901392911893</v>
      </c>
      <c r="AI3219">
        <v>89.963998112776906</v>
      </c>
      <c r="AJ3219">
        <v>72.592651765415198</v>
      </c>
      <c r="AK3219">
        <v>82.092596168517304</v>
      </c>
      <c r="AL3219">
        <v>95.355879790847695</v>
      </c>
      <c r="AM3219">
        <v>85.749591018090499</v>
      </c>
      <c r="AN3219">
        <v>0.999999999420358</v>
      </c>
    </row>
    <row r="3220" spans="1:40" x14ac:dyDescent="0.25">
      <c r="A3220" t="str">
        <f>"20190305135855059"</f>
        <v>20190305135855059</v>
      </c>
      <c r="B3220" t="str">
        <f>"1551765535052125"</f>
        <v>1551765535052125</v>
      </c>
      <c r="C3220" t="s">
        <v>40</v>
      </c>
      <c r="D3220">
        <v>4.1325640000000003</v>
      </c>
      <c r="E3220">
        <v>0.59064209999999995</v>
      </c>
      <c r="F3220" t="s">
        <v>70</v>
      </c>
      <c r="G3220">
        <v>-168.4153</v>
      </c>
      <c r="H3220">
        <v>0.97212120000000002</v>
      </c>
      <c r="I3220">
        <v>192.92009999999999</v>
      </c>
      <c r="J3220">
        <v>-246.84950000000001</v>
      </c>
      <c r="K3220">
        <v>1.1076509999999999</v>
      </c>
      <c r="L3220">
        <v>215.83959999999999</v>
      </c>
      <c r="M3220">
        <v>0.99969019999999997</v>
      </c>
      <c r="N3220">
        <v>-1.421336E-2</v>
      </c>
      <c r="O3220">
        <v>2.0433E-2</v>
      </c>
      <c r="P3220">
        <v>0.99266849999999995</v>
      </c>
      <c r="Q3220">
        <v>-0.1069253</v>
      </c>
      <c r="R3220">
        <v>-5.6360090000000002E-2</v>
      </c>
      <c r="S3220">
        <v>2.9753419999999999</v>
      </c>
      <c r="T3220">
        <v>-5.1155089999999999E-3</v>
      </c>
      <c r="U3220">
        <v>-0.86457819999999996</v>
      </c>
      <c r="V3220">
        <v>7.6380799999999999E-2</v>
      </c>
      <c r="W3220">
        <v>-9.3032719999999999E-2</v>
      </c>
      <c r="X3220">
        <v>0.99272899999999997</v>
      </c>
      <c r="Y3220">
        <v>0.29859829999999998</v>
      </c>
      <c r="Z3220">
        <v>-2.166744E-3</v>
      </c>
      <c r="AA3220">
        <v>0.95437640000000001</v>
      </c>
      <c r="AB3220">
        <v>40</v>
      </c>
      <c r="AC3220">
        <v>78.434200000000004</v>
      </c>
      <c r="AD3220">
        <v>-0.13552980000000001</v>
      </c>
      <c r="AE3220">
        <v>-22.919499999999999</v>
      </c>
      <c r="AF3220">
        <v>24.5174544549409</v>
      </c>
      <c r="AG3220">
        <v>-0.13552980000000001</v>
      </c>
      <c r="AH3220">
        <v>77.949245669461703</v>
      </c>
      <c r="AI3220">
        <v>90.0950298730464</v>
      </c>
      <c r="AJ3220">
        <v>72.5400218440938</v>
      </c>
      <c r="AK3220">
        <v>81.714189965482106</v>
      </c>
      <c r="AL3220">
        <v>95.338101519829706</v>
      </c>
      <c r="AM3220">
        <v>85.600317490133506</v>
      </c>
      <c r="AN3220">
        <v>0.99999999052011901</v>
      </c>
    </row>
    <row r="3221" spans="1:40" x14ac:dyDescent="0.25">
      <c r="A3221" t="str">
        <f>"20190305135855081"</f>
        <v>20190305135855081</v>
      </c>
      <c r="B3221" t="str">
        <f>"1551765535071644"</f>
        <v>1551765535071644</v>
      </c>
      <c r="C3221" t="s">
        <v>40</v>
      </c>
      <c r="D3221">
        <v>4.1405240000000001</v>
      </c>
      <c r="E3221">
        <v>0.59051699999999996</v>
      </c>
      <c r="F3221" t="s">
        <v>70</v>
      </c>
      <c r="G3221">
        <v>-168.4153</v>
      </c>
      <c r="H3221">
        <v>0.90983199999999997</v>
      </c>
      <c r="I3221">
        <v>192.7261</v>
      </c>
      <c r="J3221">
        <v>-246.46440000000001</v>
      </c>
      <c r="K3221">
        <v>1.107613</v>
      </c>
      <c r="L3221">
        <v>215.84639999999999</v>
      </c>
      <c r="M3221">
        <v>0.99971429999999994</v>
      </c>
      <c r="N3221">
        <v>-1.4200569999999999E-2</v>
      </c>
      <c r="O3221">
        <v>1.9232320000000001E-2</v>
      </c>
      <c r="P3221">
        <v>0.9924172</v>
      </c>
      <c r="Q3221">
        <v>-0.10666050000000001</v>
      </c>
      <c r="R3221">
        <v>-6.1088509999999999E-2</v>
      </c>
      <c r="S3221">
        <v>2.9716339999999999</v>
      </c>
      <c r="T3221">
        <v>-7.4934959999999997E-3</v>
      </c>
      <c r="U3221">
        <v>-0.87570190000000003</v>
      </c>
      <c r="V3221">
        <v>7.9902539999999994E-2</v>
      </c>
      <c r="W3221">
        <v>-9.2803280000000002E-2</v>
      </c>
      <c r="X3221">
        <v>0.99247320000000006</v>
      </c>
      <c r="Y3221">
        <v>0.30105859999999901</v>
      </c>
      <c r="Z3221">
        <v>-2.334175E-3</v>
      </c>
      <c r="AA3221">
        <v>0.95360279999999997</v>
      </c>
      <c r="AB3221">
        <v>40</v>
      </c>
      <c r="AC3221">
        <v>78.049099999999996</v>
      </c>
      <c r="AD3221">
        <v>-0.19778100000000001</v>
      </c>
      <c r="AE3221">
        <v>-23.120299999999901</v>
      </c>
      <c r="AF3221">
        <v>24.6170939990497</v>
      </c>
      <c r="AG3221">
        <v>-0.19778100000000001</v>
      </c>
      <c r="AH3221">
        <v>77.589501428909799</v>
      </c>
      <c r="AI3221">
        <v>90.139211881433297</v>
      </c>
      <c r="AJ3221">
        <v>72.397145667159606</v>
      </c>
      <c r="AK3221">
        <v>81.401297079768995</v>
      </c>
      <c r="AL3221">
        <v>95.324898626401506</v>
      </c>
      <c r="AM3221">
        <v>85.397129633808603</v>
      </c>
      <c r="AN3221">
        <v>0.99999995869772396</v>
      </c>
    </row>
    <row r="3222" spans="1:40" x14ac:dyDescent="0.25">
      <c r="A3222" t="str">
        <f>"20190305135855102"</f>
        <v>20190305135855102</v>
      </c>
      <c r="B3222" t="str">
        <f>"1551765535092141"</f>
        <v>1551765535092141</v>
      </c>
      <c r="C3222" t="s">
        <v>40</v>
      </c>
      <c r="D3222">
        <v>4.2542390000000001</v>
      </c>
      <c r="E3222">
        <v>0.5904007</v>
      </c>
      <c r="F3222" t="s">
        <v>70</v>
      </c>
      <c r="G3222">
        <v>-168.41540000000001</v>
      </c>
      <c r="H3222">
        <v>0.84723090000000001</v>
      </c>
      <c r="I3222">
        <v>192.4659</v>
      </c>
      <c r="J3222">
        <v>-246.08099999999999</v>
      </c>
      <c r="K3222">
        <v>1.107586</v>
      </c>
      <c r="L3222">
        <v>215.8527</v>
      </c>
      <c r="M3222">
        <v>0.99973679999999998</v>
      </c>
      <c r="N3222">
        <v>-1.4187770000000001E-2</v>
      </c>
      <c r="O3222">
        <v>1.802875E-2</v>
      </c>
      <c r="P3222">
        <v>0.99224789999999996</v>
      </c>
      <c r="Q3222">
        <v>-0.1055885</v>
      </c>
      <c r="R3222">
        <v>-6.5537300000000007E-2</v>
      </c>
      <c r="S3222">
        <v>2.967133</v>
      </c>
      <c r="T3222">
        <v>-9.8974700000000002E-3</v>
      </c>
      <c r="U3222">
        <v>-0.88883969999999901</v>
      </c>
      <c r="V3222">
        <v>8.3148760000000002E-2</v>
      </c>
      <c r="W3222">
        <v>-9.1763209999999998E-2</v>
      </c>
      <c r="X3222">
        <v>0.9923033</v>
      </c>
      <c r="Y3222">
        <v>0.30417820000000001</v>
      </c>
      <c r="Z3222">
        <v>-2.509463E-3</v>
      </c>
      <c r="AA3222">
        <v>0.95261189999999996</v>
      </c>
      <c r="AB3222">
        <v>40</v>
      </c>
      <c r="AC3222">
        <v>77.665599999999898</v>
      </c>
      <c r="AD3222">
        <v>-0.26035509999999901</v>
      </c>
      <c r="AE3222">
        <v>-23.386799999999901</v>
      </c>
      <c r="AF3222">
        <v>24.783097437371499</v>
      </c>
      <c r="AG3222">
        <v>-0.26035509999999901</v>
      </c>
      <c r="AH3222">
        <v>77.230501432715997</v>
      </c>
      <c r="AI3222">
        <v>90.183914285258993</v>
      </c>
      <c r="AJ3222">
        <v>72.2086789572855</v>
      </c>
      <c r="AK3222">
        <v>81.109925748437803</v>
      </c>
      <c r="AL3222">
        <v>95.265051290956194</v>
      </c>
      <c r="AM3222">
        <v>85.210164441219504</v>
      </c>
      <c r="AN3222">
        <v>1.00000002109496</v>
      </c>
    </row>
    <row r="3223" spans="1:40" x14ac:dyDescent="0.25">
      <c r="A3223" t="str">
        <f>"20190305135855124"</f>
        <v>20190305135855124</v>
      </c>
      <c r="B3223" t="str">
        <f>"1551765535122397"</f>
        <v>1551765535122397</v>
      </c>
      <c r="C3223" t="s">
        <v>40</v>
      </c>
      <c r="D3223">
        <v>4.1445660000000002</v>
      </c>
      <c r="E3223">
        <v>0.59022019999999997</v>
      </c>
      <c r="F3223" t="s">
        <v>70</v>
      </c>
      <c r="G3223">
        <v>-168.41550000000001</v>
      </c>
      <c r="H3223">
        <v>0.88910529999999999</v>
      </c>
      <c r="I3223">
        <v>192.23599999999999</v>
      </c>
      <c r="J3223">
        <v>-245.68899999999999</v>
      </c>
      <c r="K3223">
        <v>1.1075729999999999</v>
      </c>
      <c r="L3223">
        <v>215.8586</v>
      </c>
      <c r="M3223">
        <v>0.99975849999999999</v>
      </c>
      <c r="N3223">
        <v>-1.417035E-2</v>
      </c>
      <c r="O3223">
        <v>1.6793349999999999E-2</v>
      </c>
      <c r="P3223">
        <v>0.99205069999999995</v>
      </c>
      <c r="Q3223">
        <v>-0.1043178</v>
      </c>
      <c r="R3223">
        <v>-7.0378789999999997E-2</v>
      </c>
      <c r="S3223">
        <v>2.963028</v>
      </c>
      <c r="T3223">
        <v>-8.3340410000000004E-3</v>
      </c>
      <c r="U3223">
        <v>-0.90100100000000005</v>
      </c>
      <c r="V3223">
        <v>8.6758370000000001E-2</v>
      </c>
      <c r="W3223">
        <v>-9.0529879999999993E-2</v>
      </c>
      <c r="X3223">
        <v>0.99210750000000003</v>
      </c>
      <c r="Y3223">
        <v>0.30694690000000002</v>
      </c>
      <c r="Z3223">
        <v>-2.458755E-3</v>
      </c>
      <c r="AA3223">
        <v>0.95172349999999994</v>
      </c>
      <c r="AB3223">
        <v>40</v>
      </c>
      <c r="AC3223">
        <v>77.273499999999999</v>
      </c>
      <c r="AD3223">
        <v>-0.21846769999999999</v>
      </c>
      <c r="AE3223">
        <v>-23.622599999999998</v>
      </c>
      <c r="AF3223">
        <v>24.9168972913603</v>
      </c>
      <c r="AG3223">
        <v>-0.21846769999999999</v>
      </c>
      <c r="AH3223">
        <v>76.865296507309196</v>
      </c>
      <c r="AI3223">
        <v>90.154910658422907</v>
      </c>
      <c r="AJ3223">
        <v>72.039215919964093</v>
      </c>
      <c r="AK3223">
        <v>80.803300093008005</v>
      </c>
      <c r="AL3223">
        <v>95.194091512222897</v>
      </c>
      <c r="AM3223">
        <v>85.002280445021199</v>
      </c>
      <c r="AN3223">
        <v>0.99999998274706003</v>
      </c>
    </row>
    <row r="3224" spans="1:40" x14ac:dyDescent="0.25">
      <c r="A3224" t="str">
        <f>"20190305135855141"</f>
        <v>20190305135855141</v>
      </c>
      <c r="B3224" t="str">
        <f>"1551765535132157"</f>
        <v>1551765535132157</v>
      </c>
      <c r="C3224" t="s">
        <v>40</v>
      </c>
      <c r="D3224">
        <v>4.1149930000000001</v>
      </c>
      <c r="E3224">
        <v>0.5901653</v>
      </c>
      <c r="F3224" t="s">
        <v>70</v>
      </c>
      <c r="G3224">
        <v>-168.41560000000001</v>
      </c>
      <c r="H3224">
        <v>0.88808199999999904</v>
      </c>
      <c r="I3224">
        <v>191.97739999999999</v>
      </c>
      <c r="J3224">
        <v>-245.38669999999999</v>
      </c>
      <c r="K3224">
        <v>1.107558</v>
      </c>
      <c r="L3224">
        <v>215.8629</v>
      </c>
      <c r="M3224">
        <v>0.99977450000000001</v>
      </c>
      <c r="N3224">
        <v>-1.4155620000000001E-2</v>
      </c>
      <c r="O3224">
        <v>1.5835510000000001E-2</v>
      </c>
      <c r="P3224">
        <v>0.9918844</v>
      </c>
      <c r="Q3224">
        <v>-0.1037975</v>
      </c>
      <c r="R3224">
        <v>-7.3428010000000002E-2</v>
      </c>
      <c r="S3224">
        <v>2.9582670000000002</v>
      </c>
      <c r="T3224">
        <v>-8.4015129999999993E-3</v>
      </c>
      <c r="U3224">
        <v>-0.91424559999999999</v>
      </c>
      <c r="V3224">
        <v>8.8851940000000004E-2</v>
      </c>
      <c r="W3224">
        <v>-9.0037229999999996E-2</v>
      </c>
      <c r="X3224">
        <v>0.99196700000000004</v>
      </c>
      <c r="Y3224">
        <v>0.31035380000000001</v>
      </c>
      <c r="Z3224">
        <v>-2.5025450000000001E-3</v>
      </c>
      <c r="AA3224">
        <v>0.95061779999999996</v>
      </c>
      <c r="AB3224">
        <v>40</v>
      </c>
      <c r="AC3224">
        <v>76.971099999999893</v>
      </c>
      <c r="AD3224">
        <v>-0.219476</v>
      </c>
      <c r="AE3224">
        <v>-23.8855</v>
      </c>
      <c r="AF3224">
        <v>25.101316890921499</v>
      </c>
      <c r="AG3224">
        <v>-0.219476</v>
      </c>
      <c r="AH3224">
        <v>76.582601793384498</v>
      </c>
      <c r="AI3224">
        <v>90.156034267629096</v>
      </c>
      <c r="AJ3224">
        <v>71.852518119470702</v>
      </c>
      <c r="AK3224">
        <v>80.591681809087007</v>
      </c>
      <c r="AL3224">
        <v>95.165749169595799</v>
      </c>
      <c r="AM3224">
        <v>84.881592188330302</v>
      </c>
      <c r="AN3224">
        <v>0.99999994955841698</v>
      </c>
    </row>
    <row r="3225" spans="1:40" x14ac:dyDescent="0.25">
      <c r="A3225" t="str">
        <f>"20190305135855154"</f>
        <v>20190305135855154</v>
      </c>
      <c r="B3225" t="str">
        <f>"1551765535151677"</f>
        <v>1551765535151677</v>
      </c>
      <c r="C3225" t="s">
        <v>40</v>
      </c>
      <c r="D3225">
        <v>5.4259789999999999</v>
      </c>
      <c r="E3225">
        <v>0.59008289999999997</v>
      </c>
      <c r="F3225" t="s">
        <v>70</v>
      </c>
      <c r="G3225">
        <v>-168.41560000000001</v>
      </c>
      <c r="H3225">
        <v>0.89296909999999896</v>
      </c>
      <c r="I3225">
        <v>191.8278</v>
      </c>
      <c r="J3225">
        <v>-245.143</v>
      </c>
      <c r="K3225">
        <v>1.1075429999999999</v>
      </c>
      <c r="L3225">
        <v>215.86609999999999</v>
      </c>
      <c r="M3225">
        <v>0.99978659999999997</v>
      </c>
      <c r="N3225">
        <v>-1.4144159999999999E-2</v>
      </c>
      <c r="O3225">
        <v>1.505543E-2</v>
      </c>
      <c r="P3225">
        <v>0.99173520000000004</v>
      </c>
      <c r="Q3225">
        <v>-0.1030288</v>
      </c>
      <c r="R3225">
        <v>-7.6461429999999997E-2</v>
      </c>
      <c r="S3225">
        <v>2.9553379999999998</v>
      </c>
      <c r="T3225">
        <v>-8.2379580000000001E-3</v>
      </c>
      <c r="U3225">
        <v>-0.92283630000000005</v>
      </c>
      <c r="V3225">
        <v>9.1107949999999993E-2</v>
      </c>
      <c r="W3225">
        <v>-8.9292930000000006E-2</v>
      </c>
      <c r="X3225">
        <v>0.99182969999999904</v>
      </c>
      <c r="Y3225">
        <v>0.31239709999999898</v>
      </c>
      <c r="Z3225">
        <v>-2.5192190000000001E-3</v>
      </c>
      <c r="AA3225">
        <v>0.94994829999999997</v>
      </c>
      <c r="AB3225">
        <v>40</v>
      </c>
      <c r="AC3225">
        <v>76.727399999999903</v>
      </c>
      <c r="AD3225">
        <v>-0.21457390000000001</v>
      </c>
      <c r="AE3225">
        <v>-24.0382999999999</v>
      </c>
      <c r="AF3225">
        <v>25.190675149715499</v>
      </c>
      <c r="AG3225">
        <v>-0.21457390000000001</v>
      </c>
      <c r="AH3225">
        <v>76.356215072632196</v>
      </c>
      <c r="AI3225">
        <v>90.152904247181596</v>
      </c>
      <c r="AJ3225">
        <v>71.741762942191002</v>
      </c>
      <c r="AK3225">
        <v>80.404525598221895</v>
      </c>
      <c r="AL3225">
        <v>95.122931085757898</v>
      </c>
      <c r="AM3225">
        <v>84.751626675681095</v>
      </c>
      <c r="AN3225">
        <v>1.0000000198516299</v>
      </c>
    </row>
    <row r="3226" spans="1:40" x14ac:dyDescent="0.25">
      <c r="A3226" t="str">
        <f>"20190305135855170"</f>
        <v>20190305135855170</v>
      </c>
      <c r="B3226" t="str">
        <f>"1551765535162413"</f>
        <v>1551765535162413</v>
      </c>
      <c r="C3226" t="s">
        <v>40</v>
      </c>
      <c r="D3226">
        <v>4.1022559999999997</v>
      </c>
      <c r="E3226">
        <v>0.59004840000000003</v>
      </c>
      <c r="F3226" t="s">
        <v>70</v>
      </c>
      <c r="G3226">
        <v>-168.41569999999999</v>
      </c>
      <c r="H3226">
        <v>0.89099549999999905</v>
      </c>
      <c r="I3226">
        <v>191.65520000000001</v>
      </c>
      <c r="J3226">
        <v>-244.8759</v>
      </c>
      <c r="K3226">
        <v>1.107534</v>
      </c>
      <c r="L3226">
        <v>215.86940000000001</v>
      </c>
      <c r="M3226">
        <v>0.99979969999999996</v>
      </c>
      <c r="N3226">
        <v>-1.413258E-2</v>
      </c>
      <c r="O3226">
        <v>1.4178929999999999E-2</v>
      </c>
      <c r="P3226">
        <v>0.99161250000000001</v>
      </c>
      <c r="Q3226">
        <v>-0.1004699</v>
      </c>
      <c r="R3226">
        <v>-8.1307779999999996E-2</v>
      </c>
      <c r="S3226">
        <v>2.952286</v>
      </c>
      <c r="T3226">
        <v>-8.3309409999999997E-3</v>
      </c>
      <c r="U3226">
        <v>-0.93157959999999995</v>
      </c>
      <c r="V3226">
        <v>9.5085680000000006E-2</v>
      </c>
      <c r="W3226">
        <v>-8.6766060000000006E-2</v>
      </c>
      <c r="X3226">
        <v>0.99168060000000002</v>
      </c>
      <c r="Y3226">
        <v>0.31440359999999901</v>
      </c>
      <c r="Z3226">
        <v>-2.5511409999999998E-3</v>
      </c>
      <c r="AA3226">
        <v>0.94928599999999996</v>
      </c>
      <c r="AB3226">
        <v>40</v>
      </c>
      <c r="AC3226">
        <v>76.4602</v>
      </c>
      <c r="AD3226">
        <v>-0.21653849999999999</v>
      </c>
      <c r="AE3226">
        <v>-24.214200000000002</v>
      </c>
      <c r="AF3226">
        <v>25.295812955351401</v>
      </c>
      <c r="AG3226">
        <v>-0.21653849999999999</v>
      </c>
      <c r="AH3226">
        <v>76.1085917343717</v>
      </c>
      <c r="AI3226">
        <v>90.154692877612703</v>
      </c>
      <c r="AJ3226">
        <v>71.615011919230497</v>
      </c>
      <c r="AK3226">
        <v>80.202511044127405</v>
      </c>
      <c r="AL3226">
        <v>94.977587799872396</v>
      </c>
      <c r="AM3226">
        <v>84.523030892349993</v>
      </c>
      <c r="AN3226">
        <v>1.0000000240626701</v>
      </c>
    </row>
    <row r="3227" spans="1:40" x14ac:dyDescent="0.25">
      <c r="A3227" t="str">
        <f>"20190305135855187"</f>
        <v>20190305135855187</v>
      </c>
      <c r="B3227" t="str">
        <f>"1551765535181933"</f>
        <v>1551765535181933</v>
      </c>
      <c r="C3227" t="s">
        <v>40</v>
      </c>
      <c r="D3227">
        <v>4.1115000000000004</v>
      </c>
      <c r="E3227">
        <v>0.5899529</v>
      </c>
      <c r="F3227" t="s">
        <v>70</v>
      </c>
      <c r="G3227">
        <v>-168.41579999999999</v>
      </c>
      <c r="H3227">
        <v>1.042198</v>
      </c>
      <c r="I3227">
        <v>191.33029999999999</v>
      </c>
      <c r="J3227">
        <v>-244.56489999999999</v>
      </c>
      <c r="K3227">
        <v>1.1075060000000001</v>
      </c>
      <c r="L3227">
        <v>215.87280000000001</v>
      </c>
      <c r="M3227">
        <v>0.99981410000000004</v>
      </c>
      <c r="N3227">
        <v>-1.412003E-2</v>
      </c>
      <c r="O3227">
        <v>1.3126830000000001E-2</v>
      </c>
      <c r="P3227">
        <v>0.99150459999999996</v>
      </c>
      <c r="Q3227">
        <v>-9.9052879999999996E-2</v>
      </c>
      <c r="R3227">
        <v>-8.4304260000000006E-2</v>
      </c>
      <c r="S3227">
        <v>2.94754</v>
      </c>
      <c r="T3227">
        <v>-2.5174619999999998E-3</v>
      </c>
      <c r="U3227">
        <v>-0.94598389999999999</v>
      </c>
      <c r="V3227">
        <v>9.7034560000000006E-2</v>
      </c>
      <c r="W3227">
        <v>-8.5377900000000007E-2</v>
      </c>
      <c r="X3227">
        <v>0.9916123</v>
      </c>
      <c r="Y3227">
        <v>0.3180577</v>
      </c>
      <c r="Z3227">
        <v>-2.2633530000000001E-3</v>
      </c>
      <c r="AA3227">
        <v>0.94806869999999999</v>
      </c>
      <c r="AB3227">
        <v>40</v>
      </c>
      <c r="AC3227">
        <v>76.149100000000004</v>
      </c>
      <c r="AD3227">
        <v>-6.5307999999999894E-2</v>
      </c>
      <c r="AE3227">
        <v>-24.5425</v>
      </c>
      <c r="AF3227">
        <v>25.540063955978301</v>
      </c>
      <c r="AG3227">
        <v>-6.5307999999999894E-2</v>
      </c>
      <c r="AH3227">
        <v>75.820289764174106</v>
      </c>
      <c r="AI3227">
        <v>90.046769704531201</v>
      </c>
      <c r="AJ3227">
        <v>71.383902193666998</v>
      </c>
      <c r="AK3227">
        <v>80.006346447851598</v>
      </c>
      <c r="AL3227">
        <v>94.897755830461705</v>
      </c>
      <c r="AM3227">
        <v>84.411095781777803</v>
      </c>
      <c r="AN3227">
        <v>1.00000002257704</v>
      </c>
    </row>
    <row r="3228" spans="1:40" x14ac:dyDescent="0.25">
      <c r="A3228" t="str">
        <f>"20190305135855202"</f>
        <v>20190305135855202</v>
      </c>
      <c r="B3228" t="str">
        <f>"1551765535191693"</f>
        <v>1551765535191693</v>
      </c>
      <c r="C3228" t="s">
        <v>40</v>
      </c>
      <c r="D3228">
        <v>4.0272920000000001</v>
      </c>
      <c r="E3228">
        <v>0.58990730000000002</v>
      </c>
      <c r="F3228" t="s">
        <v>70</v>
      </c>
      <c r="G3228">
        <v>-168.41589999999999</v>
      </c>
      <c r="H3228">
        <v>1.1022879999999999</v>
      </c>
      <c r="I3228">
        <v>191.19239999999999</v>
      </c>
      <c r="J3228">
        <v>-244.30779999999999</v>
      </c>
      <c r="K3228">
        <v>1.1074850000000001</v>
      </c>
      <c r="L3228">
        <v>215.87549999999999</v>
      </c>
      <c r="M3228">
        <v>0.99982570000000004</v>
      </c>
      <c r="N3228">
        <v>-1.411137E-2</v>
      </c>
      <c r="O3228">
        <v>1.2227089999999999E-2</v>
      </c>
      <c r="P3228">
        <v>0.99144149999999998</v>
      </c>
      <c r="Q3228">
        <v>-9.6404649999999995E-2</v>
      </c>
      <c r="R3228">
        <v>-8.8034070000000006E-2</v>
      </c>
      <c r="S3228">
        <v>2.944534</v>
      </c>
      <c r="T3228">
        <v>-2.0050999999999999E-4</v>
      </c>
      <c r="U3228">
        <v>-0.95434569999999996</v>
      </c>
      <c r="V3228">
        <v>9.9872890000000006E-2</v>
      </c>
      <c r="W3228">
        <v>-8.2757739999999996E-2</v>
      </c>
      <c r="X3228">
        <v>0.99155260000000001</v>
      </c>
      <c r="Y3228">
        <v>0.31992559999999998</v>
      </c>
      <c r="Z3228">
        <v>-2.1570420000000001E-3</v>
      </c>
      <c r="AA3228">
        <v>0.94744019999999995</v>
      </c>
      <c r="AB3228">
        <v>40</v>
      </c>
      <c r="AC3228">
        <v>75.891899999999893</v>
      </c>
      <c r="AD3228">
        <v>-5.1970000000001104E-3</v>
      </c>
      <c r="AE3228">
        <v>-24.6831</v>
      </c>
      <c r="AF3228">
        <v>25.6092838385613</v>
      </c>
      <c r="AG3228">
        <v>-5.1970000000001104E-3</v>
      </c>
      <c r="AH3228">
        <v>75.584392823375694</v>
      </c>
      <c r="AI3228">
        <v>90.003731172437597</v>
      </c>
      <c r="AJ3228">
        <v>71.282741526653595</v>
      </c>
      <c r="AK3228">
        <v>79.804986587375495</v>
      </c>
      <c r="AL3228">
        <v>94.747098474229702</v>
      </c>
      <c r="AM3228">
        <v>84.248352917802805</v>
      </c>
      <c r="AN3228">
        <v>0.99999999812680895</v>
      </c>
    </row>
    <row r="3229" spans="1:40" x14ac:dyDescent="0.25">
      <c r="A3229" t="str">
        <f>"20190305135855224"</f>
        <v>20190305135855224</v>
      </c>
      <c r="B3229" t="str">
        <f>"1551765535221949"</f>
        <v>1551765535221949</v>
      </c>
      <c r="C3229" t="s">
        <v>40</v>
      </c>
      <c r="D3229">
        <v>4.0529609999999998</v>
      </c>
      <c r="E3229">
        <v>0.58974209999999905</v>
      </c>
      <c r="F3229" t="s">
        <v>70</v>
      </c>
      <c r="G3229">
        <v>-168.4161</v>
      </c>
      <c r="H3229">
        <v>1.30409</v>
      </c>
      <c r="I3229">
        <v>190.98169999999999</v>
      </c>
      <c r="J3229">
        <v>-243.91290000000001</v>
      </c>
      <c r="K3229">
        <v>1.1074219999999999</v>
      </c>
      <c r="L3229">
        <v>215.87899999999999</v>
      </c>
      <c r="M3229">
        <v>0.99984249999999997</v>
      </c>
      <c r="N3229">
        <v>-1.41039999999999E-2</v>
      </c>
      <c r="O3229">
        <v>1.077998E-2</v>
      </c>
      <c r="P3229">
        <v>0.99121459999999995</v>
      </c>
      <c r="Q3229">
        <v>-9.5098559999999999E-2</v>
      </c>
      <c r="R3229">
        <v>-9.1925649999999998E-2</v>
      </c>
      <c r="S3229">
        <v>2.940979</v>
      </c>
      <c r="T3229">
        <v>7.6202149999999996E-3</v>
      </c>
      <c r="U3229">
        <v>-0.96469119999999997</v>
      </c>
      <c r="V3229">
        <v>0.1023189</v>
      </c>
      <c r="W3229">
        <v>-8.1486340000000004E-2</v>
      </c>
      <c r="X3229">
        <v>0.99140850000000003</v>
      </c>
      <c r="Y3229">
        <v>0.32190639999999998</v>
      </c>
      <c r="Z3229">
        <v>-1.7464550000000001E-3</v>
      </c>
      <c r="AA3229">
        <v>0.94676990000000005</v>
      </c>
      <c r="AB3229">
        <v>40</v>
      </c>
      <c r="AC3229">
        <v>75.496799999999993</v>
      </c>
      <c r="AD3229">
        <v>0.19666800000000001</v>
      </c>
      <c r="AE3229">
        <v>-24.897300000000001</v>
      </c>
      <c r="AF3229">
        <v>25.709630576450198</v>
      </c>
      <c r="AG3229">
        <v>0.19666800000000001</v>
      </c>
      <c r="AH3229">
        <v>75.223532868765005</v>
      </c>
      <c r="AI3229">
        <v>89.858253659623799</v>
      </c>
      <c r="AJ3229">
        <v>71.130781023838907</v>
      </c>
      <c r="AK3229">
        <v>79.495934990022903</v>
      </c>
      <c r="AL3229">
        <v>94.674005731666796</v>
      </c>
      <c r="AM3229">
        <v>84.107616827996097</v>
      </c>
      <c r="AN3229">
        <v>0.99999999738802703</v>
      </c>
    </row>
    <row r="3230" spans="1:40" x14ac:dyDescent="0.25">
      <c r="A3230" t="str">
        <f>"20190305135855244"</f>
        <v>20190305135855244</v>
      </c>
      <c r="B3230" t="str">
        <f>"1551765535231708"</f>
        <v>1551765535231708</v>
      </c>
      <c r="C3230" t="s">
        <v>40</v>
      </c>
      <c r="D3230">
        <v>4.0288309999999896</v>
      </c>
      <c r="E3230">
        <v>0.58968160000000003</v>
      </c>
      <c r="F3230" t="s">
        <v>70</v>
      </c>
      <c r="G3230">
        <v>-168.4161</v>
      </c>
      <c r="H3230">
        <v>1.3513630000000001</v>
      </c>
      <c r="I3230">
        <v>190.83179999999999</v>
      </c>
      <c r="J3230">
        <v>-243.58019999999999</v>
      </c>
      <c r="K3230">
        <v>1.1073599999999999</v>
      </c>
      <c r="L3230">
        <v>215.88149999999999</v>
      </c>
      <c r="M3230">
        <v>0.99985559999999996</v>
      </c>
      <c r="N3230">
        <v>-1.4100659999999999E-2</v>
      </c>
      <c r="O3230">
        <v>9.5030400000000008E-3</v>
      </c>
      <c r="P3230">
        <v>0.99099749999999998</v>
      </c>
      <c r="Q3230">
        <v>-9.5120419999999997E-2</v>
      </c>
      <c r="R3230">
        <v>-9.4217140000000005E-2</v>
      </c>
      <c r="S3230">
        <v>2.9371489999999998</v>
      </c>
      <c r="T3230">
        <v>9.4916819999999995E-3</v>
      </c>
      <c r="U3230">
        <v>-0.97444149999999996</v>
      </c>
      <c r="V3230">
        <v>0.1033314</v>
      </c>
      <c r="W3230">
        <v>-8.1531989999999999E-2</v>
      </c>
      <c r="X3230">
        <v>0.99129970000000001</v>
      </c>
      <c r="Y3230">
        <v>0.3238972</v>
      </c>
      <c r="Z3230">
        <v>-1.67321299999999E-3</v>
      </c>
      <c r="AA3230">
        <v>0.94609080000000001</v>
      </c>
      <c r="AB3230">
        <v>39</v>
      </c>
      <c r="AC3230">
        <v>75.164099999999905</v>
      </c>
      <c r="AD3230">
        <v>0.244002999999999</v>
      </c>
      <c r="AE3230">
        <v>-25.049700000000001</v>
      </c>
      <c r="AF3230">
        <v>25.762682646383201</v>
      </c>
      <c r="AG3230">
        <v>0.244002999999999</v>
      </c>
      <c r="AH3230">
        <v>74.921922749805404</v>
      </c>
      <c r="AI3230">
        <v>89.8235425480228</v>
      </c>
      <c r="AJ3230">
        <v>71.023935164126897</v>
      </c>
      <c r="AK3230">
        <v>79.227961371791395</v>
      </c>
      <c r="AL3230">
        <v>94.676630147161802</v>
      </c>
      <c r="AM3230">
        <v>84.049076488421903</v>
      </c>
      <c r="AN3230">
        <v>0.99999996941970404</v>
      </c>
    </row>
    <row r="3231" spans="1:40" x14ac:dyDescent="0.25">
      <c r="A3231" t="str">
        <f>"20190305135855260"</f>
        <v>20190305135855260</v>
      </c>
      <c r="B3231" t="str">
        <f>"1551765535252205"</f>
        <v>1551765535252205</v>
      </c>
      <c r="C3231" t="s">
        <v>40</v>
      </c>
      <c r="D3231">
        <v>3.996829</v>
      </c>
      <c r="E3231">
        <v>0.58958129999999997</v>
      </c>
      <c r="F3231" t="s">
        <v>70</v>
      </c>
      <c r="G3231">
        <v>-168.4161</v>
      </c>
      <c r="H3231">
        <v>1.3320099999999999</v>
      </c>
      <c r="I3231">
        <v>190.77350000000001</v>
      </c>
      <c r="J3231">
        <v>-243.2902</v>
      </c>
      <c r="K3231">
        <v>1.1073059999999999</v>
      </c>
      <c r="L3231">
        <v>215.88319999999999</v>
      </c>
      <c r="M3231">
        <v>0.99986589999999997</v>
      </c>
      <c r="N3231">
        <v>-1.409883E-2</v>
      </c>
      <c r="O3231">
        <v>8.3452690000000006E-3</v>
      </c>
      <c r="P3231">
        <v>0.99067099999999997</v>
      </c>
      <c r="Q3231">
        <v>-9.5144359999999997E-2</v>
      </c>
      <c r="R3231">
        <v>-9.756331E-2</v>
      </c>
      <c r="S3231">
        <v>2.9348909999999999</v>
      </c>
      <c r="T3231">
        <v>8.7730880000000001E-3</v>
      </c>
      <c r="U3231">
        <v>-0.98037719999999995</v>
      </c>
      <c r="V3231">
        <v>0.1055176</v>
      </c>
      <c r="W3231">
        <v>-8.1582829999999995E-2</v>
      </c>
      <c r="X3231">
        <v>0.99106519999999998</v>
      </c>
      <c r="Y3231">
        <v>0.32474130000000001</v>
      </c>
      <c r="Z3231">
        <v>-1.7385279999999901E-3</v>
      </c>
      <c r="AA3231">
        <v>0.94580129999999996</v>
      </c>
      <c r="AB3231">
        <v>39</v>
      </c>
      <c r="AC3231">
        <v>74.874099999999999</v>
      </c>
      <c r="AD3231">
        <v>0.22470399999999999</v>
      </c>
      <c r="AE3231">
        <v>-25.109699999999901</v>
      </c>
      <c r="AF3231">
        <v>25.7335236507578</v>
      </c>
      <c r="AG3231">
        <v>0.22470399999999999</v>
      </c>
      <c r="AH3231">
        <v>74.661319723582295</v>
      </c>
      <c r="AI3231">
        <v>89.8369725018715</v>
      </c>
      <c r="AJ3231">
        <v>70.982459350598006</v>
      </c>
      <c r="AK3231">
        <v>78.9720038636396</v>
      </c>
      <c r="AL3231">
        <v>94.679552768548405</v>
      </c>
      <c r="AM3231">
        <v>83.922677040103693</v>
      </c>
      <c r="AN3231">
        <v>0.99999997635580395</v>
      </c>
    </row>
    <row r="3232" spans="1:40" x14ac:dyDescent="0.25">
      <c r="A3232" t="str">
        <f>"20190305135855281"</f>
        <v>20190305135855281</v>
      </c>
      <c r="B3232" t="str">
        <f>"1551765535271725"</f>
        <v>1551765535271725</v>
      </c>
      <c r="C3232" t="s">
        <v>40</v>
      </c>
      <c r="D3232">
        <v>3.9919929999999999</v>
      </c>
      <c r="E3232">
        <v>0.58948219999999996</v>
      </c>
      <c r="F3232" t="s">
        <v>70</v>
      </c>
      <c r="G3232">
        <v>-168.4162</v>
      </c>
      <c r="H3232">
        <v>1.2861290000000001</v>
      </c>
      <c r="I3232">
        <v>190.61170000000001</v>
      </c>
      <c r="J3232">
        <v>-242.91489999999999</v>
      </c>
      <c r="K3232">
        <v>1.107243</v>
      </c>
      <c r="L3232">
        <v>215.88489999999999</v>
      </c>
      <c r="M3232">
        <v>0.99987780000000004</v>
      </c>
      <c r="N3232">
        <v>-1.410177E-2</v>
      </c>
      <c r="O3232">
        <v>6.772775E-3</v>
      </c>
      <c r="P3232">
        <v>0.99026550000000002</v>
      </c>
      <c r="Q3232">
        <v>-9.5083130000000002E-2</v>
      </c>
      <c r="R3232">
        <v>-0.10165440000000001</v>
      </c>
      <c r="S3232">
        <v>2.9314580000000001</v>
      </c>
      <c r="T3232">
        <v>7.0025919999999898E-3</v>
      </c>
      <c r="U3232">
        <v>-0.98942569999999996</v>
      </c>
      <c r="V3232">
        <v>0.1080358</v>
      </c>
      <c r="W3232">
        <v>-8.1549960000000005E-2</v>
      </c>
      <c r="X3232">
        <v>0.99079660000000003</v>
      </c>
      <c r="Y3232">
        <v>0.32620900000000003</v>
      </c>
      <c r="Z3232">
        <v>-1.8744149999999999E-3</v>
      </c>
      <c r="AA3232">
        <v>0.94529580000000002</v>
      </c>
      <c r="AB3232">
        <v>39</v>
      </c>
      <c r="AC3232">
        <v>74.4986999999999</v>
      </c>
      <c r="AD3232">
        <v>0.17888599999999999</v>
      </c>
      <c r="AE3232">
        <v>-25.2731999999999</v>
      </c>
      <c r="AF3232">
        <v>25.7770999683373</v>
      </c>
      <c r="AG3232">
        <v>0.17888599999999999</v>
      </c>
      <c r="AH3232">
        <v>74.325419993745896</v>
      </c>
      <c r="AI3232">
        <v>89.869714052292096</v>
      </c>
      <c r="AJ3232">
        <v>70.872735500153496</v>
      </c>
      <c r="AK3232">
        <v>78.668665555133103</v>
      </c>
      <c r="AL3232">
        <v>94.677662972554899</v>
      </c>
      <c r="AM3232">
        <v>83.777091312720003</v>
      </c>
      <c r="AN3232">
        <v>1.0000000163145999</v>
      </c>
    </row>
    <row r="3233" spans="1:40" x14ac:dyDescent="0.25">
      <c r="A3233" t="str">
        <f>"20190305135855302"</f>
        <v>20190305135855302</v>
      </c>
      <c r="B3233" t="str">
        <f>"1551765535292221"</f>
        <v>1551765535292221</v>
      </c>
      <c r="C3233" t="s">
        <v>40</v>
      </c>
      <c r="D3233">
        <v>3.941179</v>
      </c>
      <c r="E3233">
        <v>0.58940099999999995</v>
      </c>
      <c r="F3233" t="s">
        <v>70</v>
      </c>
      <c r="G3233">
        <v>-168.4162</v>
      </c>
      <c r="H3233">
        <v>1.2307079999999999</v>
      </c>
      <c r="I3233">
        <v>190.41229999999999</v>
      </c>
      <c r="J3233">
        <v>-242.53469999999999</v>
      </c>
      <c r="K3233">
        <v>1.1071789999999999</v>
      </c>
      <c r="L3233">
        <v>215.886</v>
      </c>
      <c r="M3233">
        <v>0.99988739999999998</v>
      </c>
      <c r="N3233">
        <v>-1.4109760000000001E-2</v>
      </c>
      <c r="O3233">
        <v>5.1040979999999996E-3</v>
      </c>
      <c r="P3233">
        <v>0.98995569999999999</v>
      </c>
      <c r="Q3233">
        <v>-9.4358499999999998E-2</v>
      </c>
      <c r="R3233">
        <v>-0.10528179999999999</v>
      </c>
      <c r="S3233">
        <v>2.9272</v>
      </c>
      <c r="T3233">
        <v>4.852533E-3</v>
      </c>
      <c r="U3233">
        <v>-1.0008699999999999</v>
      </c>
      <c r="V3233">
        <v>0.10999979999999999</v>
      </c>
      <c r="W3233">
        <v>-8.0845340000000002E-2</v>
      </c>
      <c r="X3233">
        <v>0.99063820000000002</v>
      </c>
      <c r="Y3233">
        <v>0.32835890000000001</v>
      </c>
      <c r="Z3233">
        <v>-2.0377680000000001E-3</v>
      </c>
      <c r="AA3233">
        <v>0.94455080000000002</v>
      </c>
      <c r="AB3233">
        <v>39</v>
      </c>
      <c r="AC3233">
        <v>74.118499999999898</v>
      </c>
      <c r="AD3233">
        <v>0.123528999999999</v>
      </c>
      <c r="AE3233">
        <v>-25.473700000000001</v>
      </c>
      <c r="AF3233">
        <v>25.851649652218399</v>
      </c>
      <c r="AG3233">
        <v>0.123528999999999</v>
      </c>
      <c r="AH3233">
        <v>73.987317328613699</v>
      </c>
      <c r="AI3233">
        <v>89.909693074249205</v>
      </c>
      <c r="AJ3233">
        <v>70.740253370522794</v>
      </c>
      <c r="AK3233">
        <v>78.373759477518206</v>
      </c>
      <c r="AL3233">
        <v>94.637157621298698</v>
      </c>
      <c r="AM3233">
        <v>83.663870999549303</v>
      </c>
      <c r="AN3233">
        <v>0.99999998414949698</v>
      </c>
    </row>
    <row r="3234" spans="1:40" x14ac:dyDescent="0.25">
      <c r="A3234" t="str">
        <f>"20190305135855326"</f>
        <v>20190305135855326</v>
      </c>
      <c r="B3234" t="str">
        <f>"1551765535322477"</f>
        <v>1551765535322477</v>
      </c>
      <c r="C3234" t="s">
        <v>40</v>
      </c>
      <c r="D3234">
        <v>3.9124759999999998</v>
      </c>
      <c r="E3234">
        <v>0.58935599999999999</v>
      </c>
      <c r="F3234" t="s">
        <v>70</v>
      </c>
      <c r="G3234">
        <v>-168.41630000000001</v>
      </c>
      <c r="H3234">
        <v>1.2227790000000001</v>
      </c>
      <c r="I3234">
        <v>190.25059999999999</v>
      </c>
      <c r="J3234">
        <v>-242.1378</v>
      </c>
      <c r="K3234">
        <v>1.107113</v>
      </c>
      <c r="L3234">
        <v>215.88630000000001</v>
      </c>
      <c r="M3234">
        <v>0.99989490000000003</v>
      </c>
      <c r="N3234">
        <v>-1.411928E-2</v>
      </c>
      <c r="O3234">
        <v>3.290332E-3</v>
      </c>
      <c r="P3234">
        <v>0.98948930000000002</v>
      </c>
      <c r="Q3234">
        <v>-9.4484360000000003E-2</v>
      </c>
      <c r="R3234">
        <v>-0.1094707</v>
      </c>
      <c r="S3234">
        <v>2.9233250000000002</v>
      </c>
      <c r="T3234">
        <v>4.5607089999999996E-3</v>
      </c>
      <c r="U3234">
        <v>-1.011093</v>
      </c>
      <c r="V3234">
        <v>0.1123784</v>
      </c>
      <c r="W3234">
        <v>-8.0993830000000003E-2</v>
      </c>
      <c r="X3234">
        <v>0.99035910000000005</v>
      </c>
      <c r="Y3234">
        <v>0.32998179999999999</v>
      </c>
      <c r="Z3234">
        <v>-2.0951899999999998E-3</v>
      </c>
      <c r="AA3234">
        <v>0.94398499999999996</v>
      </c>
      <c r="AB3234">
        <v>39</v>
      </c>
      <c r="AC3234">
        <v>73.721499999999907</v>
      </c>
      <c r="AD3234">
        <v>0.115666</v>
      </c>
      <c r="AE3234">
        <v>-25.6357</v>
      </c>
      <c r="AF3234">
        <v>25.878096765577901</v>
      </c>
      <c r="AG3234">
        <v>0.115666</v>
      </c>
      <c r="AH3234">
        <v>73.636580769155799</v>
      </c>
      <c r="AI3234">
        <v>89.9150922558145</v>
      </c>
      <c r="AJ3234">
        <v>70.636999565031999</v>
      </c>
      <c r="AK3234">
        <v>78.051491325948305</v>
      </c>
      <c r="AL3234">
        <v>94.645693268496103</v>
      </c>
      <c r="AM3234">
        <v>83.526202503591094</v>
      </c>
      <c r="AN3234">
        <v>1.0000000261187101</v>
      </c>
    </row>
    <row r="3235" spans="1:40" x14ac:dyDescent="0.25">
      <c r="A3235" t="str">
        <f>"20190305135855360"</f>
        <v>20190305135855360</v>
      </c>
      <c r="B3235" t="str">
        <f>"1551765535351756"</f>
        <v>1551765535351756</v>
      </c>
      <c r="C3235" t="s">
        <v>40</v>
      </c>
      <c r="D3235">
        <v>4.0687670000000002</v>
      </c>
      <c r="E3235">
        <v>0.58917200000000003</v>
      </c>
      <c r="F3235" t="s">
        <v>70</v>
      </c>
      <c r="G3235">
        <v>-168.41630000000001</v>
      </c>
      <c r="H3235">
        <v>1.160002</v>
      </c>
      <c r="I3235">
        <v>190.0403</v>
      </c>
      <c r="J3235">
        <v>-241.5316</v>
      </c>
      <c r="K3235">
        <v>1.1070489999999999</v>
      </c>
      <c r="L3235">
        <v>215.88550000000001</v>
      </c>
      <c r="M3235">
        <v>0.99990000000000001</v>
      </c>
      <c r="N3235">
        <v>-1.413298E-2</v>
      </c>
      <c r="O3235">
        <v>4.1749940000000002E-4</v>
      </c>
      <c r="P3235">
        <v>0.9890409</v>
      </c>
      <c r="Q3235">
        <v>-9.4926949999999996E-2</v>
      </c>
      <c r="R3235">
        <v>-0.1130805</v>
      </c>
      <c r="S3235">
        <v>2.9188390000000002</v>
      </c>
      <c r="T3235">
        <v>2.095342E-3</v>
      </c>
      <c r="U3235">
        <v>-1.023315</v>
      </c>
      <c r="V3235">
        <v>0.1131259</v>
      </c>
      <c r="W3235">
        <v>-8.1452830000000004E-2</v>
      </c>
      <c r="X3235">
        <v>0.99023629999999996</v>
      </c>
      <c r="Y3235">
        <v>0.3312409</v>
      </c>
      <c r="Z3235">
        <v>-2.287178E-3</v>
      </c>
      <c r="AA3235">
        <v>0.94354340000000003</v>
      </c>
      <c r="AB3235">
        <v>39</v>
      </c>
      <c r="AC3235">
        <v>73.115299999999905</v>
      </c>
      <c r="AD3235">
        <v>5.2953E-2</v>
      </c>
      <c r="AE3235">
        <v>-25.845199999999998</v>
      </c>
      <c r="AF3235">
        <v>25.8757143262719</v>
      </c>
      <c r="AG3235">
        <v>5.2953E-2</v>
      </c>
      <c r="AH3235">
        <v>73.104468106940303</v>
      </c>
      <c r="AI3235">
        <v>89.960876466492095</v>
      </c>
      <c r="AJ3235">
        <v>70.508312604515297</v>
      </c>
      <c r="AK3235">
        <v>77.548814646735295</v>
      </c>
      <c r="AL3235">
        <v>94.672079421778307</v>
      </c>
      <c r="AM3235">
        <v>83.482709187453295</v>
      </c>
      <c r="AN3235">
        <v>0.99999998130175405</v>
      </c>
    </row>
    <row r="3236" spans="1:40" x14ac:dyDescent="0.25">
      <c r="A3236" t="str">
        <f>"20190305135855381"</f>
        <v>20190305135855381</v>
      </c>
      <c r="B3236" t="str">
        <f>"1551765535372254"</f>
        <v>1551765535372254</v>
      </c>
      <c r="C3236" t="s">
        <v>40</v>
      </c>
      <c r="D3236">
        <v>4.0321379999999998</v>
      </c>
      <c r="E3236">
        <v>0.58899369999999995</v>
      </c>
      <c r="F3236" t="s">
        <v>70</v>
      </c>
      <c r="G3236">
        <v>-168.41630000000001</v>
      </c>
      <c r="H3236">
        <v>1.0362629999999999</v>
      </c>
      <c r="I3236">
        <v>189.9802</v>
      </c>
      <c r="J3236">
        <v>-241.16229999999999</v>
      </c>
      <c r="K3236">
        <v>1.1070249999999999</v>
      </c>
      <c r="L3236">
        <v>215.88399999999999</v>
      </c>
      <c r="M3236">
        <v>0.99989910000000004</v>
      </c>
      <c r="N3236">
        <v>-1.4140440000000001E-2</v>
      </c>
      <c r="O3236">
        <v>-1.3776509999999999E-3</v>
      </c>
      <c r="P3236">
        <v>0.9889734</v>
      </c>
      <c r="Q3236">
        <v>-9.3842259999999997E-2</v>
      </c>
      <c r="R3236">
        <v>-0.11456719999999999</v>
      </c>
      <c r="S3236">
        <v>2.914917</v>
      </c>
      <c r="T3236">
        <v>-2.82073E-3</v>
      </c>
      <c r="U3236">
        <v>-1.0327759999999999</v>
      </c>
      <c r="V3236">
        <v>0.11283319999999999</v>
      </c>
      <c r="W3236">
        <v>-8.0369700000000002E-2</v>
      </c>
      <c r="X3236">
        <v>0.99035819999999997</v>
      </c>
      <c r="Y3236">
        <v>0.33266259999999997</v>
      </c>
      <c r="Z3236">
        <v>-2.5954580000000001E-3</v>
      </c>
      <c r="AA3236">
        <v>0.9430423</v>
      </c>
      <c r="AB3236">
        <v>39</v>
      </c>
      <c r="AC3236">
        <v>72.745999999999896</v>
      </c>
      <c r="AD3236">
        <v>-7.0761999999999894E-2</v>
      </c>
      <c r="AE3236">
        <v>-25.9038</v>
      </c>
      <c r="AF3236">
        <v>25.8035251279567</v>
      </c>
      <c r="AG3236">
        <v>-7.0761999999999894E-2</v>
      </c>
      <c r="AH3236">
        <v>72.781559799871204</v>
      </c>
      <c r="AI3236">
        <v>90.052503835429903</v>
      </c>
      <c r="AJ3236">
        <v>70.4788614049058</v>
      </c>
      <c r="AK3236">
        <v>77.220349411226806</v>
      </c>
      <c r="AL3236">
        <v>94.609816449487099</v>
      </c>
      <c r="AM3236">
        <v>83.500220678984604</v>
      </c>
      <c r="AN3236">
        <v>0.99999999200378498</v>
      </c>
    </row>
    <row r="3237" spans="1:40" x14ac:dyDescent="0.25">
      <c r="A3237" t="str">
        <f>"20190305135855403"</f>
        <v>20190305135855403</v>
      </c>
      <c r="B3237" t="str">
        <f>"1551765535391773"</f>
        <v>1551765535391773</v>
      </c>
      <c r="C3237" t="s">
        <v>40</v>
      </c>
      <c r="D3237">
        <v>3.9897619999999998</v>
      </c>
      <c r="E3237">
        <v>0.52300599999999997</v>
      </c>
      <c r="F3237" t="s">
        <v>70</v>
      </c>
      <c r="G3237">
        <v>-168.41630000000001</v>
      </c>
      <c r="H3237">
        <v>1.1185719999999999</v>
      </c>
      <c r="I3237">
        <v>190.02160000000001</v>
      </c>
      <c r="J3237">
        <v>-240.76560000000001</v>
      </c>
      <c r="K3237">
        <v>1.107011</v>
      </c>
      <c r="L3237">
        <v>215.8817</v>
      </c>
      <c r="M3237">
        <v>0.99989450000000002</v>
      </c>
      <c r="N3237">
        <v>-1.414792E-2</v>
      </c>
      <c r="O3237">
        <v>-3.3278029999999998E-3</v>
      </c>
      <c r="P3237">
        <v>0.98905430000000005</v>
      </c>
      <c r="Q3237">
        <v>-9.120665E-2</v>
      </c>
      <c r="R3237">
        <v>-0.1159895</v>
      </c>
      <c r="S3237">
        <v>2.9134980000000001</v>
      </c>
      <c r="T3237">
        <v>4.6384330000000002E-4</v>
      </c>
      <c r="U3237">
        <v>-1.0357970000000001</v>
      </c>
      <c r="V3237">
        <v>0.112331</v>
      </c>
      <c r="W3237">
        <v>-7.7730530000000006E-2</v>
      </c>
      <c r="X3237">
        <v>0.99062589999999995</v>
      </c>
      <c r="Y3237">
        <v>0.331839099999999</v>
      </c>
      <c r="Z3237">
        <v>-2.4379419999999998E-3</v>
      </c>
      <c r="AA3237">
        <v>0.94333290000000003</v>
      </c>
      <c r="AB3237">
        <v>39</v>
      </c>
      <c r="AC3237">
        <v>72.349299999999999</v>
      </c>
      <c r="AD3237">
        <v>1.1560999999999899E-2</v>
      </c>
      <c r="AE3237">
        <v>-25.8600999999999</v>
      </c>
      <c r="AF3237">
        <v>25.619167912675699</v>
      </c>
      <c r="AG3237">
        <v>1.1560999999999899E-2</v>
      </c>
      <c r="AH3237">
        <v>72.434963592513</v>
      </c>
      <c r="AI3237">
        <v>89.991378644712498</v>
      </c>
      <c r="AJ3237">
        <v>70.522071336767397</v>
      </c>
      <c r="AK3237">
        <v>76.832062635616396</v>
      </c>
      <c r="AL3237">
        <v>94.458128462682097</v>
      </c>
      <c r="AM3237">
        <v>83.530637962601205</v>
      </c>
      <c r="AN3237">
        <v>0.99999998130294498</v>
      </c>
    </row>
    <row r="3238" spans="1:40" x14ac:dyDescent="0.25">
      <c r="A3238" t="str">
        <f>"20190305135855426"</f>
        <v>20190305135855426</v>
      </c>
      <c r="B3238" t="str">
        <f>"1551765535422030"</f>
        <v>1551765535422030</v>
      </c>
      <c r="C3238" t="s">
        <v>40</v>
      </c>
      <c r="D3238">
        <v>3.9431340000000001</v>
      </c>
      <c r="E3238">
        <v>0.52411560000000001</v>
      </c>
      <c r="F3238" t="s">
        <v>58</v>
      </c>
      <c r="G3238">
        <v>-177.75970000000001</v>
      </c>
      <c r="H3238">
        <v>8.0003900000000003E-2</v>
      </c>
      <c r="I3238">
        <v>204.85910000000001</v>
      </c>
      <c r="J3238">
        <v>-240.3596</v>
      </c>
      <c r="K3238">
        <v>1.1070009999999999</v>
      </c>
      <c r="L3238">
        <v>215.8785</v>
      </c>
      <c r="M3238">
        <v>0.99988569999999999</v>
      </c>
      <c r="N3238">
        <v>-1.415432E-2</v>
      </c>
      <c r="O3238">
        <v>-5.3339809999999998E-3</v>
      </c>
      <c r="P3238">
        <v>0.98918379999999995</v>
      </c>
      <c r="Q3238">
        <v>-8.804505E-2</v>
      </c>
      <c r="R3238">
        <v>-0.11731999999999999</v>
      </c>
      <c r="S3238">
        <v>2.9678339999999999</v>
      </c>
      <c r="T3238">
        <v>-4.8376200000000001E-2</v>
      </c>
      <c r="U3238">
        <v>-0.51921079999999997</v>
      </c>
      <c r="V3238">
        <v>0.1116854</v>
      </c>
      <c r="W3238">
        <v>-7.4562160000000002E-2</v>
      </c>
      <c r="X3238">
        <v>0.9909424</v>
      </c>
      <c r="Y3238">
        <v>0.16703080000000001</v>
      </c>
      <c r="Z3238">
        <v>-2.5308539999999999E-3</v>
      </c>
      <c r="AA3238">
        <v>0.98594839999999995</v>
      </c>
      <c r="AB3238">
        <v>39</v>
      </c>
      <c r="AC3238">
        <v>62.599899999999899</v>
      </c>
      <c r="AD3238">
        <v>-1.0269971</v>
      </c>
      <c r="AE3238">
        <v>-11.0193999999999</v>
      </c>
      <c r="AF3238">
        <v>10.6825143494606</v>
      </c>
      <c r="AG3238">
        <v>-1.0269971</v>
      </c>
      <c r="AH3238">
        <v>62.641439344921103</v>
      </c>
      <c r="AI3238">
        <v>90.925906927962004</v>
      </c>
      <c r="AJ3238">
        <v>80.322203745332999</v>
      </c>
      <c r="AK3238">
        <v>63.554077438613398</v>
      </c>
      <c r="AL3238">
        <v>94.276065514052902</v>
      </c>
      <c r="AM3238">
        <v>83.569544082433694</v>
      </c>
      <c r="AN3238">
        <v>0.999999992197392</v>
      </c>
    </row>
    <row r="3239" spans="1:40" x14ac:dyDescent="0.25">
      <c r="A3239" t="str">
        <f>"20190305135855449"</f>
        <v>20190305135855449</v>
      </c>
      <c r="B3239" t="str">
        <f>"1551765535442525"</f>
        <v>1551765535442525</v>
      </c>
      <c r="C3239" t="s">
        <v>40</v>
      </c>
      <c r="D3239">
        <v>3.955654</v>
      </c>
      <c r="E3239">
        <v>0.5247655</v>
      </c>
      <c r="F3239" t="s">
        <v>70</v>
      </c>
      <c r="G3239">
        <v>-168.4117</v>
      </c>
      <c r="H3239">
        <v>9.1428759999999998E-2</v>
      </c>
      <c r="I3239">
        <v>202.96700000000001</v>
      </c>
      <c r="J3239">
        <v>-239.96559999999999</v>
      </c>
      <c r="K3239">
        <v>1.1070169999999999</v>
      </c>
      <c r="L3239">
        <v>215.87469999999999</v>
      </c>
      <c r="M3239">
        <v>0.99987340000000002</v>
      </c>
      <c r="N3239">
        <v>-1.41593E-2</v>
      </c>
      <c r="O3239">
        <v>-7.2608079999999997E-3</v>
      </c>
      <c r="P3239">
        <v>0.98922189999999999</v>
      </c>
      <c r="Q3239">
        <v>-8.6131040000000006E-2</v>
      </c>
      <c r="R3239">
        <v>-0.1184133</v>
      </c>
      <c r="S3239">
        <v>2.9659420000000001</v>
      </c>
      <c r="T3239">
        <v>-4.1864039999999998E-2</v>
      </c>
      <c r="U3239">
        <v>-0.53225710000000004</v>
      </c>
      <c r="V3239">
        <v>0.11087859999999999</v>
      </c>
      <c r="W3239">
        <v>-7.2638270000000005E-2</v>
      </c>
      <c r="X3239">
        <v>0.9911759</v>
      </c>
      <c r="Y3239">
        <v>0.1694493</v>
      </c>
      <c r="Z3239">
        <v>-2.396039E-3</v>
      </c>
      <c r="AA3239">
        <v>0.98553599999999997</v>
      </c>
      <c r="AB3239">
        <v>39</v>
      </c>
      <c r="AC3239">
        <v>71.553899999999999</v>
      </c>
      <c r="AD3239">
        <v>-1.01558824</v>
      </c>
      <c r="AE3239">
        <v>-12.907699999999901</v>
      </c>
      <c r="AF3239">
        <v>12.3853520674901</v>
      </c>
      <c r="AG3239">
        <v>-1.01558824</v>
      </c>
      <c r="AH3239">
        <v>71.631767696018798</v>
      </c>
      <c r="AI3239">
        <v>90.800405014470797</v>
      </c>
      <c r="AJ3239">
        <v>80.190371350580094</v>
      </c>
      <c r="AK3239">
        <v>72.701709117223004</v>
      </c>
      <c r="AL3239">
        <v>94.165534809933902</v>
      </c>
      <c r="AM3239">
        <v>83.617103487001003</v>
      </c>
      <c r="AN3239">
        <v>1.0000000234736801</v>
      </c>
    </row>
    <row r="3240" spans="1:40" x14ac:dyDescent="0.25">
      <c r="A3240" t="str">
        <f>"20190305135855471"</f>
        <v>20190305135855471</v>
      </c>
      <c r="B3240" t="str">
        <f>"1551765535462045"</f>
        <v>1551765535462045</v>
      </c>
      <c r="C3240" t="s">
        <v>40</v>
      </c>
      <c r="D3240">
        <v>3.985951</v>
      </c>
      <c r="E3240">
        <v>0.52547569999999999</v>
      </c>
      <c r="F3240" t="s">
        <v>70</v>
      </c>
      <c r="G3240">
        <v>-168.4117</v>
      </c>
      <c r="H3240">
        <v>0.14084630000000001</v>
      </c>
      <c r="I3240">
        <v>202.81200000000001</v>
      </c>
      <c r="J3240">
        <v>-239.57980000000001</v>
      </c>
      <c r="K3240">
        <v>1.107046</v>
      </c>
      <c r="L3240">
        <v>215.87020000000001</v>
      </c>
      <c r="M3240">
        <v>0.99985840000000004</v>
      </c>
      <c r="N3240">
        <v>-1.4162940000000001E-2</v>
      </c>
      <c r="O3240">
        <v>-9.0918839999999997E-3</v>
      </c>
      <c r="P3240">
        <v>0.98918910000000004</v>
      </c>
      <c r="Q3240">
        <v>-8.5496429999999998E-2</v>
      </c>
      <c r="R3240">
        <v>-0.1191448</v>
      </c>
      <c r="S3240">
        <v>2.9644469999999998</v>
      </c>
      <c r="T3240">
        <v>-4.0026659999999999E-2</v>
      </c>
      <c r="U3240">
        <v>-0.54118350000000004</v>
      </c>
      <c r="V3240">
        <v>0.109803399999999</v>
      </c>
      <c r="W3240">
        <v>-7.1987700000000002E-2</v>
      </c>
      <c r="X3240">
        <v>0.99134299999999997</v>
      </c>
      <c r="Y3240">
        <v>0.17060610000000001</v>
      </c>
      <c r="Z3240">
        <v>-2.3665330000000001E-3</v>
      </c>
      <c r="AA3240">
        <v>0.98533649999999995</v>
      </c>
      <c r="AB3240">
        <v>39</v>
      </c>
      <c r="AC3240">
        <v>71.168099999999995</v>
      </c>
      <c r="AD3240">
        <v>-0.966199699999999</v>
      </c>
      <c r="AE3240">
        <v>-13.058199999999999</v>
      </c>
      <c r="AF3240">
        <v>12.4083306127027</v>
      </c>
      <c r="AG3240">
        <v>-0.966199699999999</v>
      </c>
      <c r="AH3240">
        <v>71.271184863198201</v>
      </c>
      <c r="AI3240">
        <v>90.765183479833198</v>
      </c>
      <c r="AJ3240">
        <v>80.123782520553803</v>
      </c>
      <c r="AK3240">
        <v>72.349720125640999</v>
      </c>
      <c r="AL3240">
        <v>94.128162233903296</v>
      </c>
      <c r="AM3240">
        <v>83.679552445970202</v>
      </c>
      <c r="AN3240">
        <v>0.99999997962592402</v>
      </c>
    </row>
    <row r="3241" spans="1:40" x14ac:dyDescent="0.25">
      <c r="A3241" t="str">
        <f>"20190305135855492"</f>
        <v>20190305135855492</v>
      </c>
      <c r="B3241" t="str">
        <f>"1551765535482541"</f>
        <v>1551765535482541</v>
      </c>
      <c r="C3241" t="s">
        <v>40</v>
      </c>
      <c r="D3241">
        <v>3.9353560000000001</v>
      </c>
      <c r="E3241">
        <v>0.52582700000000004</v>
      </c>
      <c r="F3241" t="s">
        <v>70</v>
      </c>
      <c r="G3241">
        <v>-168.4118</v>
      </c>
      <c r="H3241">
        <v>9.6260070000000003E-2</v>
      </c>
      <c r="I3241">
        <v>202.67269999999999</v>
      </c>
      <c r="J3241">
        <v>-239.20400000000001</v>
      </c>
      <c r="K3241">
        <v>1.107113</v>
      </c>
      <c r="L3241">
        <v>215.86529999999999</v>
      </c>
      <c r="M3241">
        <v>0.99984150000000005</v>
      </c>
      <c r="N3241">
        <v>-1.416512E-2</v>
      </c>
      <c r="O3241">
        <v>-1.0790799999999901E-2</v>
      </c>
      <c r="P3241">
        <v>0.98897429999999997</v>
      </c>
      <c r="Q3241">
        <v>-8.6144429999999994E-2</v>
      </c>
      <c r="R3241">
        <v>-0.1204537</v>
      </c>
      <c r="S3241">
        <v>2.962952</v>
      </c>
      <c r="T3241">
        <v>-4.2080880000000001E-2</v>
      </c>
      <c r="U3241">
        <v>-0.54945369999999905</v>
      </c>
      <c r="V3241">
        <v>0.1094368</v>
      </c>
      <c r="W3241">
        <v>-7.2619459999999997E-2</v>
      </c>
      <c r="X3241">
        <v>0.99133749999999998</v>
      </c>
      <c r="Y3241">
        <v>0.1716772</v>
      </c>
      <c r="Z3241">
        <v>-2.4348170000000001E-3</v>
      </c>
      <c r="AA3241">
        <v>0.98515030000000003</v>
      </c>
      <c r="AB3241">
        <v>39</v>
      </c>
      <c r="AC3241">
        <v>70.792199999999994</v>
      </c>
      <c r="AD3241">
        <v>-1.01085293</v>
      </c>
      <c r="AE3241">
        <v>-13.192600000000001</v>
      </c>
      <c r="AF3241">
        <v>12.425402226278599</v>
      </c>
      <c r="AG3241">
        <v>-1.01085293</v>
      </c>
      <c r="AH3241">
        <v>70.916476306415404</v>
      </c>
      <c r="AI3241">
        <v>90.804394255824803</v>
      </c>
      <c r="AJ3241">
        <v>80.061981239103403</v>
      </c>
      <c r="AK3241">
        <v>72.0038822276221</v>
      </c>
      <c r="AL3241">
        <v>94.164454241069905</v>
      </c>
      <c r="AM3241">
        <v>83.700449890055694</v>
      </c>
      <c r="AN3241">
        <v>1.00000001903559</v>
      </c>
    </row>
    <row r="3242" spans="1:40" x14ac:dyDescent="0.25">
      <c r="A3242" t="str">
        <f>"20190305135855515"</f>
        <v>20190305135855515</v>
      </c>
      <c r="B3242" t="str">
        <f>"1551765535511821"</f>
        <v>1551765535511821</v>
      </c>
      <c r="C3242" t="s">
        <v>40</v>
      </c>
      <c r="D3242">
        <v>3.937862</v>
      </c>
      <c r="E3242">
        <v>0.52641329999999997</v>
      </c>
      <c r="F3242" t="s">
        <v>58</v>
      </c>
      <c r="G3242">
        <v>-175.60560000000001</v>
      </c>
      <c r="H3242">
        <v>8.0001210000000003E-2</v>
      </c>
      <c r="I3242">
        <v>203.9091</v>
      </c>
      <c r="J3242">
        <v>-238.8142</v>
      </c>
      <c r="K3242">
        <v>1.1072059999999999</v>
      </c>
      <c r="L3242">
        <v>215.8596</v>
      </c>
      <c r="M3242">
        <v>0.99982219999999999</v>
      </c>
      <c r="N3242">
        <v>-1.4166400000000001E-2</v>
      </c>
      <c r="O3242">
        <v>-1.244253E-2</v>
      </c>
      <c r="P3242">
        <v>0.98887590000000003</v>
      </c>
      <c r="Q3242">
        <v>-8.5229310000000003E-2</v>
      </c>
      <c r="R3242">
        <v>-0.12190529999999999</v>
      </c>
      <c r="S3242">
        <v>2.9615019999999999</v>
      </c>
      <c r="T3242">
        <v>-4.7828080000000002E-2</v>
      </c>
      <c r="U3242">
        <v>-0.5567474</v>
      </c>
      <c r="V3242">
        <v>0.10927099999999999</v>
      </c>
      <c r="W3242">
        <v>-7.1680499999999994E-2</v>
      </c>
      <c r="X3242">
        <v>0.99142410000000003</v>
      </c>
      <c r="Y3242">
        <v>0.17247319999999999</v>
      </c>
      <c r="Z3242">
        <v>-2.588684E-3</v>
      </c>
      <c r="AA3242">
        <v>0.98501079999999996</v>
      </c>
      <c r="AB3242">
        <v>39</v>
      </c>
      <c r="AC3242">
        <v>63.208599999999898</v>
      </c>
      <c r="AD3242">
        <v>-1.0272047900000001</v>
      </c>
      <c r="AE3242">
        <v>-11.9505</v>
      </c>
      <c r="AF3242">
        <v>11.1601752154527</v>
      </c>
      <c r="AG3242">
        <v>-1.0272047900000001</v>
      </c>
      <c r="AH3242">
        <v>63.336265763509601</v>
      </c>
      <c r="AI3242">
        <v>90.915062572436298</v>
      </c>
      <c r="AJ3242">
        <v>80.006770914040303</v>
      </c>
      <c r="AK3242">
        <v>64.320192952028094</v>
      </c>
      <c r="AL3242">
        <v>94.110515314459704</v>
      </c>
      <c r="AM3242">
        <v>83.710462368051097</v>
      </c>
      <c r="AN3242">
        <v>0.99999999579103005</v>
      </c>
    </row>
    <row r="3243" spans="1:40" x14ac:dyDescent="0.25">
      <c r="A3243" t="str">
        <f>"20190305135855539"</f>
        <v>20190305135855539</v>
      </c>
      <c r="B3243" t="str">
        <f>"1551765535532317"</f>
        <v>1551765535532317</v>
      </c>
      <c r="C3243" t="s">
        <v>40</v>
      </c>
      <c r="D3243">
        <v>4.187335</v>
      </c>
      <c r="E3243">
        <v>0.52678539999999996</v>
      </c>
      <c r="F3243" t="s">
        <v>58</v>
      </c>
      <c r="G3243">
        <v>-178.10220000000001</v>
      </c>
      <c r="H3243">
        <v>8.0001589999999997E-2</v>
      </c>
      <c r="I3243">
        <v>204.2499</v>
      </c>
      <c r="J3243">
        <v>-238.40790000000001</v>
      </c>
      <c r="K3243">
        <v>1.107329</v>
      </c>
      <c r="L3243">
        <v>215.85310000000001</v>
      </c>
      <c r="M3243">
        <v>0.9998013</v>
      </c>
      <c r="N3243">
        <v>-1.416709E-2</v>
      </c>
      <c r="O3243">
        <v>-1.4025849999999999E-2</v>
      </c>
      <c r="P3243">
        <v>0.9889019</v>
      </c>
      <c r="Q3243">
        <v>-8.3014950000000004E-2</v>
      </c>
      <c r="R3243">
        <v>-0.1232142</v>
      </c>
      <c r="S3243">
        <v>2.9596559999999998</v>
      </c>
      <c r="T3243">
        <v>-5.0075290000000001E-2</v>
      </c>
      <c r="U3243">
        <v>-0.56596369999999996</v>
      </c>
      <c r="V3243">
        <v>0.1090385</v>
      </c>
      <c r="W3243">
        <v>-6.9434019999999999E-2</v>
      </c>
      <c r="X3243">
        <v>0.99160959999999998</v>
      </c>
      <c r="Y3243">
        <v>0.1739821</v>
      </c>
      <c r="Z3243">
        <v>-2.664132E-3</v>
      </c>
      <c r="AA3243">
        <v>0.98474519999999999</v>
      </c>
      <c r="AB3243">
        <v>39</v>
      </c>
      <c r="AC3243">
        <v>60.305700000000002</v>
      </c>
      <c r="AD3243">
        <v>-1.0273274100000001</v>
      </c>
      <c r="AE3243">
        <v>-11.603199999999999</v>
      </c>
      <c r="AF3243">
        <v>10.7531256476479</v>
      </c>
      <c r="AG3243">
        <v>-1.0273274100000001</v>
      </c>
      <c r="AH3243">
        <v>60.445612529195799</v>
      </c>
      <c r="AI3243">
        <v>90.9586509871841</v>
      </c>
      <c r="AJ3243">
        <v>79.912750619652499</v>
      </c>
      <c r="AK3243">
        <v>61.403234335262198</v>
      </c>
      <c r="AL3243">
        <v>93.981479703313099</v>
      </c>
      <c r="AM3243">
        <v>83.724902673846401</v>
      </c>
      <c r="AN3243">
        <v>1.0000000382138801</v>
      </c>
    </row>
    <row r="3244" spans="1:40" x14ac:dyDescent="0.25">
      <c r="A3244" t="str">
        <f>"20190305135855560"</f>
        <v>20190305135855560</v>
      </c>
      <c r="B3244" t="str">
        <f>"1551765535551841"</f>
        <v>1551765535551841</v>
      </c>
      <c r="C3244" t="s">
        <v>40</v>
      </c>
      <c r="D3244">
        <v>3.9588369999999999</v>
      </c>
      <c r="E3244">
        <v>0.52726989999999996</v>
      </c>
      <c r="F3244" t="s">
        <v>70</v>
      </c>
      <c r="G3244">
        <v>-168.4119</v>
      </c>
      <c r="H3244">
        <v>6.4834589999999998E-2</v>
      </c>
      <c r="I3244">
        <v>202.3015</v>
      </c>
      <c r="J3244">
        <v>-238.0232</v>
      </c>
      <c r="K3244">
        <v>1.107459</v>
      </c>
      <c r="L3244">
        <v>215.84649999999999</v>
      </c>
      <c r="M3244">
        <v>0.9997817</v>
      </c>
      <c r="N3244">
        <v>-1.416719E-2</v>
      </c>
      <c r="O3244">
        <v>-1.5363399999999999E-2</v>
      </c>
      <c r="P3244">
        <v>0.9888865</v>
      </c>
      <c r="Q3244">
        <v>-8.1315369999999998E-2</v>
      </c>
      <c r="R3244">
        <v>-0.1244648</v>
      </c>
      <c r="S3244">
        <v>2.9585880000000002</v>
      </c>
      <c r="T3244">
        <v>-4.4062730000000001E-2</v>
      </c>
      <c r="U3244">
        <v>-0.57279969999999902</v>
      </c>
      <c r="V3244">
        <v>0.10899010000000001</v>
      </c>
      <c r="W3244">
        <v>-6.7701830000000005E-2</v>
      </c>
      <c r="X3244">
        <v>0.99173469999999997</v>
      </c>
      <c r="Y3244">
        <v>0.1749319</v>
      </c>
      <c r="Z3244">
        <v>-2.5304820000000001E-3</v>
      </c>
      <c r="AA3244">
        <v>0.98457729999999999</v>
      </c>
      <c r="AB3244">
        <v>39</v>
      </c>
      <c r="AC3244">
        <v>69.6113</v>
      </c>
      <c r="AD3244">
        <v>-1.0426244099999999</v>
      </c>
      <c r="AE3244">
        <v>-13.5449999999999</v>
      </c>
      <c r="AF3244">
        <v>12.4711319128164</v>
      </c>
      <c r="AG3244">
        <v>-1.0426244099999999</v>
      </c>
      <c r="AH3244">
        <v>69.796114181877797</v>
      </c>
      <c r="AI3244">
        <v>90.842487806346995</v>
      </c>
      <c r="AJ3244">
        <v>79.869330052590698</v>
      </c>
      <c r="AK3244">
        <v>70.909193703897998</v>
      </c>
      <c r="AL3244">
        <v>93.8819983480833</v>
      </c>
      <c r="AM3244">
        <v>83.728450761433905</v>
      </c>
      <c r="AN3244">
        <v>1.0000000474337201</v>
      </c>
    </row>
    <row r="3245" spans="1:40" x14ac:dyDescent="0.25">
      <c r="A3245" t="str">
        <f>"20190305135855582"</f>
        <v>20190305135855582</v>
      </c>
      <c r="B3245" t="str">
        <f>"1551765535572333"</f>
        <v>1551765535572333</v>
      </c>
      <c r="C3245" t="s">
        <v>40</v>
      </c>
      <c r="D3245">
        <v>4.0015640000000001</v>
      </c>
      <c r="E3245">
        <v>0.52764519999999904</v>
      </c>
      <c r="F3245" t="s">
        <v>70</v>
      </c>
      <c r="G3245">
        <v>-168.41200000000001</v>
      </c>
      <c r="H3245">
        <v>0.2027302</v>
      </c>
      <c r="I3245">
        <v>202.18879999999999</v>
      </c>
      <c r="J3245">
        <v>-237.64099999999999</v>
      </c>
      <c r="K3245">
        <v>1.1075740000000001</v>
      </c>
      <c r="L3245">
        <v>215.83940000000001</v>
      </c>
      <c r="M3245">
        <v>0.9997625</v>
      </c>
      <c r="N3245">
        <v>-1.416678E-2</v>
      </c>
      <c r="O3245">
        <v>-1.6564769999999999E-2</v>
      </c>
      <c r="P3245">
        <v>0.98883279999999996</v>
      </c>
      <c r="Q3245">
        <v>-8.1158220000000003E-2</v>
      </c>
      <c r="R3245">
        <v>-0.1249936</v>
      </c>
      <c r="S3245">
        <v>2.9575200000000001</v>
      </c>
      <c r="T3245">
        <v>-3.843713E-2</v>
      </c>
      <c r="U3245">
        <v>-0.58026119999999903</v>
      </c>
      <c r="V3245">
        <v>0.10834820000000001</v>
      </c>
      <c r="W3245">
        <v>-6.7511680000000004E-2</v>
      </c>
      <c r="X3245">
        <v>0.99181799999999998</v>
      </c>
      <c r="Y3245">
        <v>0.1762145</v>
      </c>
      <c r="Z3245">
        <v>-2.4137960000000002E-3</v>
      </c>
      <c r="AA3245">
        <v>0.98434880000000002</v>
      </c>
      <c r="AB3245">
        <v>39</v>
      </c>
      <c r="AC3245">
        <v>69.2289999999999</v>
      </c>
      <c r="AD3245">
        <v>-0.90484379999999998</v>
      </c>
      <c r="AE3245">
        <v>-13.650600000000001</v>
      </c>
      <c r="AF3245">
        <v>12.499793760739699</v>
      </c>
      <c r="AG3245">
        <v>-0.90484379999999998</v>
      </c>
      <c r="AH3245">
        <v>69.4342235249011</v>
      </c>
      <c r="AI3245">
        <v>90.734806642442805</v>
      </c>
      <c r="AJ3245">
        <v>79.794720632421402</v>
      </c>
      <c r="AK3245">
        <v>70.556183165399105</v>
      </c>
      <c r="AL3245">
        <v>93.871078553486299</v>
      </c>
      <c r="AM3245">
        <v>83.765614985766504</v>
      </c>
      <c r="AN3245">
        <v>1.00000005225182</v>
      </c>
    </row>
    <row r="3246" spans="1:40" x14ac:dyDescent="0.25">
      <c r="A3246" t="str">
        <f>"20190305135855604"</f>
        <v>20190305135855604</v>
      </c>
      <c r="B3246" t="str">
        <f>"1551765535602589"</f>
        <v>1551765535602589</v>
      </c>
      <c r="C3246" t="s">
        <v>40</v>
      </c>
      <c r="D3246">
        <v>3.9636520000000002</v>
      </c>
      <c r="E3246">
        <v>0.52831619999999901</v>
      </c>
      <c r="F3246" t="s">
        <v>70</v>
      </c>
      <c r="G3246">
        <v>-168.41200000000001</v>
      </c>
      <c r="H3246">
        <v>0.21455959999999999</v>
      </c>
      <c r="I3246">
        <v>202.15350000000001</v>
      </c>
      <c r="J3246">
        <v>-237.25020000000001</v>
      </c>
      <c r="K3246">
        <v>1.107685</v>
      </c>
      <c r="L3246">
        <v>215.83189999999999</v>
      </c>
      <c r="M3246">
        <v>0.99974390000000002</v>
      </c>
      <c r="N3246">
        <v>-1.4166059999999999E-2</v>
      </c>
      <c r="O3246">
        <v>-1.7654420000000001E-2</v>
      </c>
      <c r="P3246">
        <v>0.98867119999999997</v>
      </c>
      <c r="Q3246">
        <v>-8.2756620000000003E-2</v>
      </c>
      <c r="R3246">
        <v>-0.12522429999999901</v>
      </c>
      <c r="S3246">
        <v>2.9568789999999998</v>
      </c>
      <c r="T3246">
        <v>-3.8140649999999998E-2</v>
      </c>
      <c r="U3246">
        <v>-0.58454899999999999</v>
      </c>
      <c r="V3246">
        <v>0.10751520000000001</v>
      </c>
      <c r="W3246">
        <v>-6.9077979999999997E-2</v>
      </c>
      <c r="X3246">
        <v>0.99180069999999998</v>
      </c>
      <c r="Y3246">
        <v>0.1765563</v>
      </c>
      <c r="Z3246">
        <v>-2.4128520000000001E-3</v>
      </c>
      <c r="AA3246">
        <v>0.98428760000000004</v>
      </c>
      <c r="AB3246">
        <v>39</v>
      </c>
      <c r="AC3246">
        <v>68.838200000000001</v>
      </c>
      <c r="AD3246">
        <v>-0.89312539999999996</v>
      </c>
      <c r="AE3246">
        <v>-13.6783999999999</v>
      </c>
      <c r="AF3246">
        <v>12.458829898120699</v>
      </c>
      <c r="AG3246">
        <v>-0.89312539999999996</v>
      </c>
      <c r="AH3246">
        <v>69.057794671175103</v>
      </c>
      <c r="AI3246">
        <v>90.729195061082706</v>
      </c>
      <c r="AJ3246">
        <v>79.773182939007597</v>
      </c>
      <c r="AK3246">
        <v>70.178337970178504</v>
      </c>
      <c r="AL3246">
        <v>93.961031337787603</v>
      </c>
      <c r="AM3246">
        <v>83.813065821821297</v>
      </c>
      <c r="AN3246">
        <v>0.99999995703620403</v>
      </c>
    </row>
    <row r="3247" spans="1:40" x14ac:dyDescent="0.25">
      <c r="A3247" t="str">
        <f>"20190305135855628"</f>
        <v>20190305135855628</v>
      </c>
      <c r="B3247" t="str">
        <f>"1551765535622112"</f>
        <v>1551765535622112</v>
      </c>
      <c r="C3247" t="s">
        <v>40</v>
      </c>
      <c r="D3247">
        <v>4.0177490000000002</v>
      </c>
      <c r="E3247">
        <v>0.50351109999999999</v>
      </c>
      <c r="F3247" t="s">
        <v>70</v>
      </c>
      <c r="G3247">
        <v>-168.41200000000001</v>
      </c>
      <c r="H3247">
        <v>0.1119137</v>
      </c>
      <c r="I3247">
        <v>202.0788</v>
      </c>
      <c r="J3247">
        <v>-236.85640000000001</v>
      </c>
      <c r="K3247">
        <v>1.107799</v>
      </c>
      <c r="L3247">
        <v>215.82400000000001</v>
      </c>
      <c r="M3247">
        <v>0.99972669999999997</v>
      </c>
      <c r="N3247">
        <v>-1.4164909999999999E-2</v>
      </c>
      <c r="O3247">
        <v>-1.8603060000000001E-2</v>
      </c>
      <c r="P3247">
        <v>0.98857070000000002</v>
      </c>
      <c r="Q3247">
        <v>-8.3897739999999998E-2</v>
      </c>
      <c r="R3247">
        <v>-0.12525700000000001</v>
      </c>
      <c r="S3247">
        <v>2.9560089999999999</v>
      </c>
      <c r="T3247">
        <v>-4.2758350000000001E-2</v>
      </c>
      <c r="U3247">
        <v>-0.5905762</v>
      </c>
      <c r="V3247">
        <v>0.10662679999999999</v>
      </c>
      <c r="W3247">
        <v>-7.0185319999999995E-2</v>
      </c>
      <c r="X3247">
        <v>0.99181889999999995</v>
      </c>
      <c r="Y3247">
        <v>0.17760219999999999</v>
      </c>
      <c r="Z3247">
        <v>-2.5369939999999999E-3</v>
      </c>
      <c r="AA3247">
        <v>0.9840991</v>
      </c>
      <c r="AB3247">
        <v>39</v>
      </c>
      <c r="AC3247">
        <v>68.444400000000002</v>
      </c>
      <c r="AD3247">
        <v>-0.99588529999999997</v>
      </c>
      <c r="AE3247">
        <v>-13.745200000000001</v>
      </c>
      <c r="AF3247">
        <v>12.4668809230115</v>
      </c>
      <c r="AG3247">
        <v>-0.99588529999999997</v>
      </c>
      <c r="AH3247">
        <v>68.674306146638301</v>
      </c>
      <c r="AI3247">
        <v>90.817461695739695</v>
      </c>
      <c r="AJ3247">
        <v>79.710786929113695</v>
      </c>
      <c r="AK3247">
        <v>69.803833936263899</v>
      </c>
      <c r="AL3247">
        <v>94.024631483796099</v>
      </c>
      <c r="AM3247">
        <v>83.863908690142296</v>
      </c>
      <c r="AN3247">
        <v>0.99999999200947598</v>
      </c>
    </row>
    <row r="3248" spans="1:40" x14ac:dyDescent="0.25">
      <c r="A3248" t="str">
        <f>"20190305135855650"</f>
        <v>20190305135855650</v>
      </c>
      <c r="B3248" t="str">
        <f>"1551765535641801"</f>
        <v>1551765535641801</v>
      </c>
      <c r="C3248" t="s">
        <v>40</v>
      </c>
      <c r="D3248">
        <v>4.1419860000000002</v>
      </c>
      <c r="E3248">
        <v>0.49965759999999998</v>
      </c>
      <c r="F3248" t="s">
        <v>58</v>
      </c>
      <c r="G3248">
        <v>-206.8287</v>
      </c>
      <c r="H3248" s="1">
        <v>5.4901719999999996E-6</v>
      </c>
      <c r="I3248">
        <v>211.81469999999999</v>
      </c>
      <c r="J3248">
        <v>-236.46289999999999</v>
      </c>
      <c r="K3248">
        <v>1.1079399999999999</v>
      </c>
      <c r="L3248">
        <v>215.8159</v>
      </c>
      <c r="M3248">
        <v>0.99971189999999999</v>
      </c>
      <c r="N3248">
        <v>-1.416333E-2</v>
      </c>
      <c r="O3248">
        <v>-1.938846E-2</v>
      </c>
      <c r="P3248">
        <v>0.98858699999999999</v>
      </c>
      <c r="Q3248">
        <v>-8.3203109999999997E-2</v>
      </c>
      <c r="R3248">
        <v>-0.1255925</v>
      </c>
      <c r="S3248">
        <v>2.9750519999999998</v>
      </c>
      <c r="T3248">
        <v>-0.1097571</v>
      </c>
      <c r="U3248">
        <v>-0.39723209999999998</v>
      </c>
      <c r="V3248">
        <v>0.106209</v>
      </c>
      <c r="W3248">
        <v>-6.9453790000000001E-2</v>
      </c>
      <c r="X3248">
        <v>0.9919152</v>
      </c>
      <c r="Y3248">
        <v>0.1130018</v>
      </c>
      <c r="Z3248">
        <v>-2.4405659999999999E-3</v>
      </c>
      <c r="AA3248">
        <v>0.99359180000000002</v>
      </c>
      <c r="AB3248">
        <v>39</v>
      </c>
      <c r="AC3248">
        <v>29.6342</v>
      </c>
      <c r="AD3248">
        <v>-1.107934509828</v>
      </c>
      <c r="AE3248">
        <v>-4.0012000000000096</v>
      </c>
      <c r="AF3248">
        <v>3.42113229771532</v>
      </c>
      <c r="AG3248">
        <v>-1.107934509828</v>
      </c>
      <c r="AH3248">
        <v>29.665489599328499</v>
      </c>
      <c r="AI3248">
        <v>92.124795430251993</v>
      </c>
      <c r="AJ3248">
        <v>83.421502994877699</v>
      </c>
      <c r="AK3248">
        <v>29.882652797976402</v>
      </c>
      <c r="AL3248">
        <v>93.982615444936002</v>
      </c>
      <c r="AM3248">
        <v>83.888358540803907</v>
      </c>
      <c r="AN3248">
        <v>0.99999997230870097</v>
      </c>
    </row>
    <row r="3249" spans="1:40" x14ac:dyDescent="0.25">
      <c r="A3249" t="str">
        <f>"20190305135855672"</f>
        <v>20190305135855672</v>
      </c>
      <c r="B3249" t="str">
        <f>"1551765535662294"</f>
        <v>1551765535662294</v>
      </c>
      <c r="C3249" t="s">
        <v>40</v>
      </c>
      <c r="D3249">
        <v>3.9480789999999999</v>
      </c>
      <c r="E3249">
        <v>0.49823299999999998</v>
      </c>
      <c r="F3249" t="s">
        <v>58</v>
      </c>
      <c r="G3249">
        <v>-205.94489999999999</v>
      </c>
      <c r="H3249" s="1">
        <v>5.0780439999999999E-6</v>
      </c>
      <c r="I3249">
        <v>212.04560000000001</v>
      </c>
      <c r="J3249">
        <v>-236.0797</v>
      </c>
      <c r="K3249">
        <v>1.108104</v>
      </c>
      <c r="L3249">
        <v>215.80779999999999</v>
      </c>
      <c r="M3249">
        <v>0.99970009999999998</v>
      </c>
      <c r="N3249">
        <v>-1.416158E-2</v>
      </c>
      <c r="O3249">
        <v>-1.998175E-2</v>
      </c>
      <c r="P3249">
        <v>0.98863979999999996</v>
      </c>
      <c r="Q3249">
        <v>-8.189449E-2</v>
      </c>
      <c r="R3249">
        <v>-0.12603539999999999</v>
      </c>
      <c r="S3249">
        <v>2.97879</v>
      </c>
      <c r="T3249">
        <v>-0.108143</v>
      </c>
      <c r="U3249">
        <v>-0.36801149999999999</v>
      </c>
      <c r="V3249">
        <v>0.10609209999999999</v>
      </c>
      <c r="W3249">
        <v>-6.8104570000000003E-2</v>
      </c>
      <c r="X3249">
        <v>0.99202129999999999</v>
      </c>
      <c r="Y3249">
        <v>0.1026662</v>
      </c>
      <c r="Z3249">
        <v>-2.1458060000000001E-3</v>
      </c>
      <c r="AA3249">
        <v>0.99471350000000003</v>
      </c>
      <c r="AB3249">
        <v>39</v>
      </c>
      <c r="AC3249">
        <v>30.134799999999998</v>
      </c>
      <c r="AD3249">
        <v>-1.108098921956</v>
      </c>
      <c r="AE3249">
        <v>-3.7621999999999698</v>
      </c>
      <c r="AF3249">
        <v>3.1550417369239798</v>
      </c>
      <c r="AG3249">
        <v>-1.108098921956</v>
      </c>
      <c r="AH3249">
        <v>30.163805475097298</v>
      </c>
      <c r="AI3249">
        <v>92.092469285517794</v>
      </c>
      <c r="AJ3249">
        <v>84.028749839148404</v>
      </c>
      <c r="AK3249">
        <v>30.348596875672499</v>
      </c>
      <c r="AL3249">
        <v>93.905127167459497</v>
      </c>
      <c r="AM3249">
        <v>83.895682570045196</v>
      </c>
      <c r="AN3249">
        <v>1.00000001289549</v>
      </c>
    </row>
    <row r="3250" spans="1:40" x14ac:dyDescent="0.25">
      <c r="A3250" t="str">
        <f>"20190305135855694"</f>
        <v>20190305135855694</v>
      </c>
      <c r="B3250" t="str">
        <f>"1551765535681814"</f>
        <v>1551765535681814</v>
      </c>
      <c r="C3250" t="s">
        <v>40</v>
      </c>
      <c r="D3250">
        <v>3.995905</v>
      </c>
      <c r="E3250">
        <v>0.49777300000000002</v>
      </c>
      <c r="F3250" t="s">
        <v>58</v>
      </c>
      <c r="G3250">
        <v>-201.9057</v>
      </c>
      <c r="H3250" s="1">
        <v>3.31661E-6</v>
      </c>
      <c r="I3250">
        <v>211.7047</v>
      </c>
      <c r="J3250">
        <v>-235.70359999999999</v>
      </c>
      <c r="K3250">
        <v>1.108282</v>
      </c>
      <c r="L3250">
        <v>215.79990000000001</v>
      </c>
      <c r="M3250">
        <v>0.99969169999999996</v>
      </c>
      <c r="N3250">
        <v>-1.415981E-2</v>
      </c>
      <c r="O3250">
        <v>-2.0398099999999999E-2</v>
      </c>
      <c r="P3250">
        <v>0.98869419999999997</v>
      </c>
      <c r="Q3250">
        <v>-8.1718299999999994E-2</v>
      </c>
      <c r="R3250">
        <v>-0.12572320000000001</v>
      </c>
      <c r="S3250">
        <v>2.9808349999999999</v>
      </c>
      <c r="T3250">
        <v>-9.665406E-2</v>
      </c>
      <c r="U3250">
        <v>-0.35789490000000002</v>
      </c>
      <c r="V3250">
        <v>0.1053943</v>
      </c>
      <c r="W3250">
        <v>-6.7883890000000002E-2</v>
      </c>
      <c r="X3250">
        <v>0.99211079999999996</v>
      </c>
      <c r="Y3250">
        <v>9.8859180000000005E-2</v>
      </c>
      <c r="Z3250">
        <v>-1.9285649999999999E-3</v>
      </c>
      <c r="AA3250">
        <v>0.99509950000000003</v>
      </c>
      <c r="AB3250">
        <v>39</v>
      </c>
      <c r="AC3250">
        <v>33.797899999999998</v>
      </c>
      <c r="AD3250">
        <v>-1.10827868339</v>
      </c>
      <c r="AE3250">
        <v>-4.0952000000000002</v>
      </c>
      <c r="AF3250">
        <v>3.4012613635673201</v>
      </c>
      <c r="AG3250">
        <v>-1.10827868339</v>
      </c>
      <c r="AH3250">
        <v>33.838549978969098</v>
      </c>
      <c r="AI3250">
        <v>91.866480007757204</v>
      </c>
      <c r="AJ3250">
        <v>84.260227522727504</v>
      </c>
      <c r="AK3250">
        <v>34.027111619744403</v>
      </c>
      <c r="AL3250">
        <v>93.892453815564707</v>
      </c>
      <c r="AM3250">
        <v>83.936075353398493</v>
      </c>
      <c r="AN3250">
        <v>1.0000000102353299</v>
      </c>
    </row>
    <row r="3251" spans="1:40" x14ac:dyDescent="0.25">
      <c r="A3251" t="str">
        <f>"20190305135855716"</f>
        <v>20190305135855716</v>
      </c>
      <c r="B3251" t="str">
        <f>"1551765535712073"</f>
        <v>1551765535712073</v>
      </c>
      <c r="C3251" t="s">
        <v>40</v>
      </c>
      <c r="D3251">
        <v>3.9865659999999998</v>
      </c>
      <c r="E3251">
        <v>0.49794549999999999</v>
      </c>
      <c r="F3251" t="s">
        <v>58</v>
      </c>
      <c r="G3251">
        <v>-199.63939999999999</v>
      </c>
      <c r="H3251" s="1">
        <v>2.524374E-6</v>
      </c>
      <c r="I3251">
        <v>211.53200000000001</v>
      </c>
      <c r="J3251">
        <v>-235.31039999999999</v>
      </c>
      <c r="K3251">
        <v>1.108471</v>
      </c>
      <c r="L3251">
        <v>215.79150000000001</v>
      </c>
      <c r="M3251">
        <v>0.99968630000000003</v>
      </c>
      <c r="N3251">
        <v>-1.4157990000000001E-2</v>
      </c>
      <c r="O3251">
        <v>-2.066757E-2</v>
      </c>
      <c r="P3251">
        <v>0.98878290000000002</v>
      </c>
      <c r="Q3251">
        <v>-8.1571119999999997E-2</v>
      </c>
      <c r="R3251">
        <v>-0.1251197</v>
      </c>
      <c r="S3251">
        <v>2.9818570000000002</v>
      </c>
      <c r="T3251">
        <v>-9.1634750000000001E-2</v>
      </c>
      <c r="U3251">
        <v>-0.35287479999999999</v>
      </c>
      <c r="V3251">
        <v>0.10455200000000001</v>
      </c>
      <c r="W3251">
        <v>-6.7689600000000003E-2</v>
      </c>
      <c r="X3251">
        <v>0.99221320000000002</v>
      </c>
      <c r="Y3251">
        <v>9.6905679999999994E-2</v>
      </c>
      <c r="Z3251">
        <v>-1.831247E-3</v>
      </c>
      <c r="AA3251">
        <v>0.99529190000000001</v>
      </c>
      <c r="AB3251">
        <v>39</v>
      </c>
      <c r="AC3251">
        <v>35.6709999999999</v>
      </c>
      <c r="AD3251">
        <v>-1.1084684756259999</v>
      </c>
      <c r="AE3251">
        <v>-4.2595000000000001</v>
      </c>
      <c r="AF3251">
        <v>3.5179340138264799</v>
      </c>
      <c r="AG3251">
        <v>-1.1084684756259999</v>
      </c>
      <c r="AH3251">
        <v>35.717416224734201</v>
      </c>
      <c r="AI3251">
        <v>91.769015040631601</v>
      </c>
      <c r="AJ3251">
        <v>84.374879946777995</v>
      </c>
      <c r="AK3251">
        <v>35.907358352543802</v>
      </c>
      <c r="AL3251">
        <v>93.881296122232797</v>
      </c>
      <c r="AM3251">
        <v>83.984797094848105</v>
      </c>
      <c r="AN3251">
        <v>1.0000000184531901</v>
      </c>
    </row>
    <row r="3252" spans="1:40" x14ac:dyDescent="0.25">
      <c r="A3252" t="str">
        <f>"20190305135855740"</f>
        <v>20190305135855740</v>
      </c>
      <c r="B3252" t="str">
        <f>"1551765535731590"</f>
        <v>1551765535731590</v>
      </c>
      <c r="C3252" t="s">
        <v>40</v>
      </c>
      <c r="D3252">
        <v>4.0101870000000002</v>
      </c>
      <c r="E3252">
        <v>0.49801269999999997</v>
      </c>
      <c r="F3252" t="s">
        <v>58</v>
      </c>
      <c r="G3252">
        <v>-198.8861</v>
      </c>
      <c r="H3252" s="1">
        <v>2.6617389999999999E-6</v>
      </c>
      <c r="I3252">
        <v>211.48920000000001</v>
      </c>
      <c r="J3252">
        <v>-234.90960000000001</v>
      </c>
      <c r="K3252">
        <v>1.1086670000000001</v>
      </c>
      <c r="L3252">
        <v>215.78299999999999</v>
      </c>
      <c r="M3252">
        <v>0.99968449999999998</v>
      </c>
      <c r="N3252">
        <v>-1.415604E-2</v>
      </c>
      <c r="O3252">
        <v>-2.0752240000000002E-2</v>
      </c>
      <c r="P3252">
        <v>0.98898980000000003</v>
      </c>
      <c r="Q3252">
        <v>-8.104865E-2</v>
      </c>
      <c r="R3252">
        <v>-0.12381730000000001</v>
      </c>
      <c r="S3252">
        <v>2.9819789999999999</v>
      </c>
      <c r="T3252">
        <v>-9.0747949999999994E-2</v>
      </c>
      <c r="U3252">
        <v>-0.35221859999999999</v>
      </c>
      <c r="V3252">
        <v>0.1031922</v>
      </c>
      <c r="W3252">
        <v>-6.7118940000000002E-2</v>
      </c>
      <c r="X3252">
        <v>0.99239429999999995</v>
      </c>
      <c r="Y3252">
        <v>9.6601839999999994E-2</v>
      </c>
      <c r="Z3252">
        <v>-1.8147149999999999E-3</v>
      </c>
      <c r="AA3252">
        <v>0.99532149999999997</v>
      </c>
      <c r="AB3252">
        <v>39</v>
      </c>
      <c r="AC3252">
        <v>36.023499999999999</v>
      </c>
      <c r="AD3252">
        <v>-1.108664338261</v>
      </c>
      <c r="AE3252">
        <v>-4.2937999999999699</v>
      </c>
      <c r="AF3252">
        <v>3.5419241513547899</v>
      </c>
      <c r="AG3252">
        <v>-1.108664338261</v>
      </c>
      <c r="AH3252">
        <v>36.071168683103799</v>
      </c>
      <c r="AI3252">
        <v>91.752037679823502</v>
      </c>
      <c r="AJ3252">
        <v>84.391952545936405</v>
      </c>
      <c r="AK3252">
        <v>36.261599157701397</v>
      </c>
      <c r="AL3252">
        <v>93.848525198805007</v>
      </c>
      <c r="AM3252">
        <v>84.0635438809677</v>
      </c>
      <c r="AN3252">
        <v>1.0000000144600201</v>
      </c>
    </row>
    <row r="3253" spans="1:40" x14ac:dyDescent="0.25">
      <c r="A3253" t="str">
        <f>"20190305135855760"</f>
        <v>20190305135855760</v>
      </c>
      <c r="B3253" t="str">
        <f>"1551765535752086"</f>
        <v>1551765535752086</v>
      </c>
      <c r="C3253" t="s">
        <v>40</v>
      </c>
      <c r="D3253">
        <v>3.964064</v>
      </c>
      <c r="E3253">
        <v>0.4980755</v>
      </c>
      <c r="F3253" t="s">
        <v>58</v>
      </c>
      <c r="G3253">
        <v>-198.1148</v>
      </c>
      <c r="H3253" s="1">
        <v>2.799284E-6</v>
      </c>
      <c r="I3253">
        <v>211.48089999999999</v>
      </c>
      <c r="J3253">
        <v>-234.5453</v>
      </c>
      <c r="K3253">
        <v>1.1088370000000001</v>
      </c>
      <c r="L3253">
        <v>215.77539999999999</v>
      </c>
      <c r="M3253">
        <v>0.99968619999999997</v>
      </c>
      <c r="N3253">
        <v>-1.4154190000000001E-2</v>
      </c>
      <c r="O3253">
        <v>-2.067043E-2</v>
      </c>
      <c r="P3253">
        <v>0.98924040000000002</v>
      </c>
      <c r="Q3253">
        <v>-8.0308000000000004E-2</v>
      </c>
      <c r="R3253">
        <v>-0.12228650000000001</v>
      </c>
      <c r="S3253">
        <v>2.9823759999999999</v>
      </c>
      <c r="T3253">
        <v>-8.9861869999999996E-2</v>
      </c>
      <c r="U3253">
        <v>-0.34870909999999999</v>
      </c>
      <c r="V3253">
        <v>0.1017639</v>
      </c>
      <c r="W3253">
        <v>-6.6336599999999996E-2</v>
      </c>
      <c r="X3253">
        <v>0.99259439999999999</v>
      </c>
      <c r="Y3253">
        <v>9.5514210000000002E-2</v>
      </c>
      <c r="Z3253">
        <v>-1.7835940000000001E-3</v>
      </c>
      <c r="AA3253">
        <v>0.99542649999999999</v>
      </c>
      <c r="AB3253">
        <v>39</v>
      </c>
      <c r="AC3253">
        <v>36.430500000000002</v>
      </c>
      <c r="AD3253">
        <v>-1.1088342007159999</v>
      </c>
      <c r="AE3253">
        <v>-4.2944999999999904</v>
      </c>
      <c r="AF3253">
        <v>3.5372407460979098</v>
      </c>
      <c r="AG3253">
        <v>-1.1088342007159999</v>
      </c>
      <c r="AH3253">
        <v>36.478162344036001</v>
      </c>
      <c r="AI3253">
        <v>91.732972015083703</v>
      </c>
      <c r="AJ3253">
        <v>84.461417866541893</v>
      </c>
      <c r="AK3253">
        <v>36.666032146639203</v>
      </c>
      <c r="AL3253">
        <v>93.803600195434896</v>
      </c>
      <c r="AM3253">
        <v>84.146308667946201</v>
      </c>
      <c r="AN3253">
        <v>1.0000000393770601</v>
      </c>
    </row>
    <row r="3254" spans="1:40" x14ac:dyDescent="0.25">
      <c r="A3254" t="str">
        <f>"20190305135855783"</f>
        <v>20190305135855783</v>
      </c>
      <c r="B3254" t="str">
        <f>"1551765535772583"</f>
        <v>1551765535772583</v>
      </c>
      <c r="C3254" t="s">
        <v>40</v>
      </c>
      <c r="D3254">
        <v>4.0162500000000003</v>
      </c>
      <c r="E3254">
        <v>0.49836730000000001</v>
      </c>
      <c r="F3254" t="s">
        <v>58</v>
      </c>
      <c r="G3254">
        <v>-196.83170000000001</v>
      </c>
      <c r="H3254" s="1">
        <v>3.0321839999999999E-6</v>
      </c>
      <c r="I3254">
        <v>211.42019999999999</v>
      </c>
      <c r="J3254">
        <v>-234.1584</v>
      </c>
      <c r="K3254">
        <v>1.109005</v>
      </c>
      <c r="L3254">
        <v>215.76750000000001</v>
      </c>
      <c r="M3254">
        <v>0.99969079999999999</v>
      </c>
      <c r="N3254">
        <v>-1.415222E-2</v>
      </c>
      <c r="O3254">
        <v>-2.0451489999999999E-2</v>
      </c>
      <c r="P3254">
        <v>0.98951880000000003</v>
      </c>
      <c r="Q3254">
        <v>-7.9458550000000003E-2</v>
      </c>
      <c r="R3254">
        <v>-0.1205784</v>
      </c>
      <c r="S3254">
        <v>2.9828950000000001</v>
      </c>
      <c r="T3254">
        <v>-8.7701319999999999E-2</v>
      </c>
      <c r="U3254">
        <v>-0.34446719999999997</v>
      </c>
      <c r="V3254">
        <v>0.1002922</v>
      </c>
      <c r="W3254">
        <v>-6.5448220000000001E-2</v>
      </c>
      <c r="X3254">
        <v>0.99280310000000005</v>
      </c>
      <c r="Y3254">
        <v>9.4318490000000005E-2</v>
      </c>
      <c r="Z3254">
        <v>-1.741107E-3</v>
      </c>
      <c r="AA3254">
        <v>0.9955406</v>
      </c>
      <c r="AB3254">
        <v>39</v>
      </c>
      <c r="AC3254">
        <v>37.326699999999903</v>
      </c>
      <c r="AD3254">
        <v>-1.1090019678159999</v>
      </c>
      <c r="AE3254">
        <v>-4.3473000000000104</v>
      </c>
      <c r="AF3254">
        <v>3.5798098689804299</v>
      </c>
      <c r="AG3254">
        <v>-1.1090019678159999</v>
      </c>
      <c r="AH3254">
        <v>37.3752585327491</v>
      </c>
      <c r="AI3254">
        <v>91.691848617061794</v>
      </c>
      <c r="AJ3254">
        <v>84.528888225718504</v>
      </c>
      <c r="AK3254">
        <v>37.562679276810201</v>
      </c>
      <c r="AL3254">
        <v>93.752589076323503</v>
      </c>
      <c r="AM3254">
        <v>84.231593601500606</v>
      </c>
      <c r="AN3254">
        <v>0.99999999512580895</v>
      </c>
    </row>
    <row r="3255" spans="1:40" x14ac:dyDescent="0.25">
      <c r="A3255" t="str">
        <f>"20190305135855805"</f>
        <v>20190305135855805</v>
      </c>
      <c r="B3255" t="str">
        <f>"1551765535801862"</f>
        <v>1551765535801862</v>
      </c>
      <c r="C3255" t="s">
        <v>40</v>
      </c>
      <c r="D3255">
        <v>4.0307170000000001</v>
      </c>
      <c r="E3255">
        <v>0.49884060000000002</v>
      </c>
      <c r="F3255" t="s">
        <v>58</v>
      </c>
      <c r="G3255">
        <v>-196.58879999999999</v>
      </c>
      <c r="H3255" s="1">
        <v>3.071478E-6</v>
      </c>
      <c r="I3255">
        <v>211.46360000000001</v>
      </c>
      <c r="J3255">
        <v>-233.7698</v>
      </c>
      <c r="K3255">
        <v>1.1091610000000001</v>
      </c>
      <c r="L3255">
        <v>215.75980000000001</v>
      </c>
      <c r="M3255">
        <v>0.99969759999999996</v>
      </c>
      <c r="N3255">
        <v>-1.4150029999999999E-2</v>
      </c>
      <c r="O3255">
        <v>-2.011771E-2</v>
      </c>
      <c r="P3255">
        <v>0.98977360000000003</v>
      </c>
      <c r="Q3255">
        <v>-7.9189330000000002E-2</v>
      </c>
      <c r="R3255">
        <v>-0.1186497</v>
      </c>
      <c r="S3255">
        <v>2.9830779999999999</v>
      </c>
      <c r="T3255">
        <v>-8.8056330000000002E-2</v>
      </c>
      <c r="U3255">
        <v>-0.34173579999999998</v>
      </c>
      <c r="V3255">
        <v>9.8711460000000001E-2</v>
      </c>
      <c r="W3255">
        <v>-6.5145359999999999E-2</v>
      </c>
      <c r="X3255">
        <v>0.99298140000000001</v>
      </c>
      <c r="Y3255">
        <v>9.3744229999999998E-2</v>
      </c>
      <c r="Z3255">
        <v>-1.736675E-3</v>
      </c>
      <c r="AA3255">
        <v>0.9955948</v>
      </c>
      <c r="AB3255">
        <v>39</v>
      </c>
      <c r="AC3255">
        <v>37.180999999999997</v>
      </c>
      <c r="AD3255">
        <v>-1.1091579285219999</v>
      </c>
      <c r="AE3255">
        <v>-4.29619999999999</v>
      </c>
      <c r="AF3255">
        <v>3.5441465669336099</v>
      </c>
      <c r="AG3255">
        <v>-1.1091579285219999</v>
      </c>
      <c r="AH3255">
        <v>37.227219816173303</v>
      </c>
      <c r="AI3255">
        <v>91.698903987150899</v>
      </c>
      <c r="AJ3255">
        <v>84.561655281878998</v>
      </c>
      <c r="AK3255">
        <v>37.411991412379997</v>
      </c>
      <c r="AL3255">
        <v>93.735199475580103</v>
      </c>
      <c r="AM3255">
        <v>84.322925533040802</v>
      </c>
      <c r="AN3255">
        <v>0.99999996550541004</v>
      </c>
    </row>
    <row r="3256" spans="1:40" x14ac:dyDescent="0.25">
      <c r="A3256" t="str">
        <f>"20190305135855829"</f>
        <v>20190305135855829</v>
      </c>
      <c r="B3256" t="str">
        <f>"1551765535822358"</f>
        <v>1551765535822358</v>
      </c>
      <c r="C3256" t="s">
        <v>40</v>
      </c>
      <c r="D3256">
        <v>4.0599749999999997</v>
      </c>
      <c r="E3256">
        <v>0.49903520000000001</v>
      </c>
      <c r="F3256" t="s">
        <v>58</v>
      </c>
      <c r="G3256">
        <v>-198.239</v>
      </c>
      <c r="H3256" s="1">
        <v>2.7571229999999998E-6</v>
      </c>
      <c r="I3256">
        <v>211.71100000000001</v>
      </c>
      <c r="J3256">
        <v>-233.3809</v>
      </c>
      <c r="K3256">
        <v>1.109308</v>
      </c>
      <c r="L3256">
        <v>215.75219999999999</v>
      </c>
      <c r="M3256">
        <v>0.99970610000000004</v>
      </c>
      <c r="N3256">
        <v>-1.4147750000000001E-2</v>
      </c>
      <c r="O3256">
        <v>-1.968698E-2</v>
      </c>
      <c r="P3256">
        <v>0.99007080000000003</v>
      </c>
      <c r="Q3256">
        <v>-7.8183639999999999E-2</v>
      </c>
      <c r="R3256">
        <v>-0.11682140000000001</v>
      </c>
      <c r="S3256">
        <v>2.9828030000000001</v>
      </c>
      <c r="T3256">
        <v>-9.3113539999999995E-2</v>
      </c>
      <c r="U3256">
        <v>-0.33988950000000001</v>
      </c>
      <c r="V3256">
        <v>9.7325090000000003E-2</v>
      </c>
      <c r="W3256">
        <v>-6.4108620000000005E-2</v>
      </c>
      <c r="X3256">
        <v>0.99318580000000001</v>
      </c>
      <c r="Y3256">
        <v>9.3569949999999999E-2</v>
      </c>
      <c r="Z3256">
        <v>-1.785182E-3</v>
      </c>
      <c r="AA3256">
        <v>0.99561109999999997</v>
      </c>
      <c r="AB3256">
        <v>39</v>
      </c>
      <c r="AC3256">
        <v>35.1418999999999</v>
      </c>
      <c r="AD3256">
        <v>-1.1093052428770001</v>
      </c>
      <c r="AE3256">
        <v>-4.0411999999999999</v>
      </c>
      <c r="AF3256">
        <v>3.3452196956322102</v>
      </c>
      <c r="AG3256">
        <v>-1.1093052428770001</v>
      </c>
      <c r="AH3256">
        <v>35.180057529300498</v>
      </c>
      <c r="AI3256">
        <v>91.7979598192086</v>
      </c>
      <c r="AJ3256">
        <v>84.568160936780004</v>
      </c>
      <c r="AK3256">
        <v>35.356152232657003</v>
      </c>
      <c r="AL3256">
        <v>93.675673855455699</v>
      </c>
      <c r="AM3256">
        <v>84.403292920870697</v>
      </c>
      <c r="AN3256">
        <v>1.0000000608117201</v>
      </c>
    </row>
    <row r="3257" spans="1:40" x14ac:dyDescent="0.25">
      <c r="A3257" t="str">
        <f>"20190305135855850"</f>
        <v>20190305135855850</v>
      </c>
      <c r="B3257" t="str">
        <f>"1551765535841878"</f>
        <v>1551765535841878</v>
      </c>
      <c r="C3257" t="s">
        <v>40</v>
      </c>
      <c r="D3257">
        <v>4.005223</v>
      </c>
      <c r="E3257">
        <v>0.49936219999999998</v>
      </c>
      <c r="F3257" t="s">
        <v>58</v>
      </c>
      <c r="G3257">
        <v>-197.85730000000001</v>
      </c>
      <c r="H3257" s="1">
        <v>2.8213029999999999E-6</v>
      </c>
      <c r="I3257">
        <v>211.75139999999999</v>
      </c>
      <c r="J3257">
        <v>-232.99709999999999</v>
      </c>
      <c r="K3257">
        <v>1.109443</v>
      </c>
      <c r="L3257">
        <v>215.74510000000001</v>
      </c>
      <c r="M3257">
        <v>0.99971620000000005</v>
      </c>
      <c r="N3257">
        <v>-1.414553E-2</v>
      </c>
      <c r="O3257">
        <v>-1.9173550000000001E-2</v>
      </c>
      <c r="P3257">
        <v>0.99023779999999995</v>
      </c>
      <c r="Q3257">
        <v>-7.7258010000000002E-2</v>
      </c>
      <c r="R3257">
        <v>-0.1160202</v>
      </c>
      <c r="S3257">
        <v>2.9831089999999998</v>
      </c>
      <c r="T3257">
        <v>-9.3154429999999996E-2</v>
      </c>
      <c r="U3257">
        <v>-0.33596799999999999</v>
      </c>
      <c r="V3257">
        <v>9.7048869999999995E-2</v>
      </c>
      <c r="W3257">
        <v>-6.3155069999999994E-2</v>
      </c>
      <c r="X3257">
        <v>0.99327390000000004</v>
      </c>
      <c r="Y3257">
        <v>9.2778009999999994E-2</v>
      </c>
      <c r="Z3257">
        <v>-1.776127E-3</v>
      </c>
      <c r="AA3257">
        <v>0.99568520000000005</v>
      </c>
      <c r="AB3257">
        <v>39</v>
      </c>
      <c r="AC3257">
        <v>35.139799999999902</v>
      </c>
      <c r="AD3257">
        <v>-1.1094401786970001</v>
      </c>
      <c r="AE3257">
        <v>-3.9937000000000098</v>
      </c>
      <c r="AF3257">
        <v>3.31588050168072</v>
      </c>
      <c r="AG3257">
        <v>-1.1094401786970001</v>
      </c>
      <c r="AH3257">
        <v>35.175304323848103</v>
      </c>
      <c r="AI3257">
        <v>91.798559710352805</v>
      </c>
      <c r="AJ3257">
        <v>84.614796244235805</v>
      </c>
      <c r="AK3257">
        <v>35.348662708606902</v>
      </c>
      <c r="AL3257">
        <v>93.620928585220398</v>
      </c>
      <c r="AM3257">
        <v>84.419568493679506</v>
      </c>
      <c r="AN3257">
        <v>1.00000004322809</v>
      </c>
    </row>
    <row r="3258" spans="1:40" x14ac:dyDescent="0.25">
      <c r="A3258" t="str">
        <f>"20190305135855873"</f>
        <v>20190305135855873</v>
      </c>
      <c r="B3258" t="str">
        <f>"1551765535862374"</f>
        <v>1551765535862374</v>
      </c>
      <c r="C3258" t="s">
        <v>40</v>
      </c>
      <c r="D3258">
        <v>4.0477530000000002</v>
      </c>
      <c r="E3258">
        <v>0.4996603</v>
      </c>
      <c r="F3258" t="s">
        <v>58</v>
      </c>
      <c r="G3258">
        <v>-197.35230000000001</v>
      </c>
      <c r="H3258" s="1">
        <v>2.9131340000000002E-6</v>
      </c>
      <c r="I3258">
        <v>211.72559999999999</v>
      </c>
      <c r="J3258">
        <v>-232.6112</v>
      </c>
      <c r="K3258">
        <v>1.1095759999999999</v>
      </c>
      <c r="L3258">
        <v>215.7381</v>
      </c>
      <c r="M3258">
        <v>0.99972760000000005</v>
      </c>
      <c r="N3258">
        <v>-1.41434E-2</v>
      </c>
      <c r="O3258">
        <v>-1.8567110000000001E-2</v>
      </c>
      <c r="P3258">
        <v>0.99053650000000004</v>
      </c>
      <c r="Q3258">
        <v>-7.5642899999999999E-2</v>
      </c>
      <c r="R3258">
        <v>-0.1145259</v>
      </c>
      <c r="S3258">
        <v>2.9829249999999998</v>
      </c>
      <c r="T3258">
        <v>-9.2843170000000003E-2</v>
      </c>
      <c r="U3258">
        <v>-0.33636470000000002</v>
      </c>
      <c r="V3258">
        <v>9.6167820000000001E-2</v>
      </c>
      <c r="W3258">
        <v>-6.1511860000000002E-2</v>
      </c>
      <c r="X3258">
        <v>0.99346270000000003</v>
      </c>
      <c r="Y3258">
        <v>9.3519270000000002E-2</v>
      </c>
      <c r="Z3258">
        <v>-1.8002070000000001E-3</v>
      </c>
      <c r="AA3258">
        <v>0.99561580000000005</v>
      </c>
      <c r="AB3258">
        <v>39</v>
      </c>
      <c r="AC3258">
        <v>35.258899999999898</v>
      </c>
      <c r="AD3258">
        <v>-1.1095730868660001</v>
      </c>
      <c r="AE3258">
        <v>-4.0125000000000099</v>
      </c>
      <c r="AF3258">
        <v>3.3538079559060701</v>
      </c>
      <c r="AG3258">
        <v>-1.1095730868660001</v>
      </c>
      <c r="AH3258">
        <v>35.292824469198401</v>
      </c>
      <c r="AI3258">
        <v>91.792661425983397</v>
      </c>
      <c r="AJ3258">
        <v>84.571595268576999</v>
      </c>
      <c r="AK3258">
        <v>35.469178722573297</v>
      </c>
      <c r="AL3258">
        <v>93.526596125062099</v>
      </c>
      <c r="AM3258">
        <v>84.4709589370473</v>
      </c>
      <c r="AN3258">
        <v>1.00000004740774</v>
      </c>
    </row>
    <row r="3259" spans="1:40" x14ac:dyDescent="0.25">
      <c r="A3259" t="str">
        <f>"20190305135855895"</f>
        <v>20190305135855895</v>
      </c>
      <c r="B3259" t="str">
        <f>"1551765535892631"</f>
        <v>1551765535892631</v>
      </c>
      <c r="C3259" t="s">
        <v>40</v>
      </c>
      <c r="D3259">
        <v>4.0523350000000002</v>
      </c>
      <c r="E3259">
        <v>0.50006260000000002</v>
      </c>
      <c r="F3259" t="s">
        <v>58</v>
      </c>
      <c r="G3259">
        <v>-195.92689999999999</v>
      </c>
      <c r="H3259" s="1">
        <v>3.1746029999999999E-6</v>
      </c>
      <c r="I3259">
        <v>211.62700000000001</v>
      </c>
      <c r="J3259">
        <v>-232.22370000000001</v>
      </c>
      <c r="K3259">
        <v>1.109704</v>
      </c>
      <c r="L3259">
        <v>215.73150000000001</v>
      </c>
      <c r="M3259">
        <v>0.99974050000000003</v>
      </c>
      <c r="N3259">
        <v>-1.414143E-2</v>
      </c>
      <c r="O3259">
        <v>-1.786482E-2</v>
      </c>
      <c r="P3259">
        <v>0.99080020000000002</v>
      </c>
      <c r="Q3259">
        <v>-7.3906700000000006E-2</v>
      </c>
      <c r="R3259">
        <v>-0.1133711</v>
      </c>
      <c r="S3259">
        <v>2.9831539999999999</v>
      </c>
      <c r="T3259">
        <v>-9.0230110000000002E-2</v>
      </c>
      <c r="U3259">
        <v>-0.33432009999999901</v>
      </c>
      <c r="V3259">
        <v>9.5721319999999999E-2</v>
      </c>
      <c r="W3259">
        <v>-5.9748790000000003E-2</v>
      </c>
      <c r="X3259">
        <v>0.99361339999999998</v>
      </c>
      <c r="Y3259">
        <v>9.3538960000000004E-2</v>
      </c>
      <c r="Z3259">
        <v>-1.787102E-3</v>
      </c>
      <c r="AA3259">
        <v>0.995614</v>
      </c>
      <c r="AB3259">
        <v>39</v>
      </c>
      <c r="AC3259">
        <v>36.296799999999998</v>
      </c>
      <c r="AD3259">
        <v>-1.109700825397</v>
      </c>
      <c r="AE3259">
        <v>-4.1044999999999998</v>
      </c>
      <c r="AF3259">
        <v>3.45215824387276</v>
      </c>
      <c r="AG3259">
        <v>-1.109700825397</v>
      </c>
      <c r="AH3259">
        <v>36.330809891999401</v>
      </c>
      <c r="AI3259">
        <v>91.741678049537697</v>
      </c>
      <c r="AJ3259">
        <v>84.572044510373502</v>
      </c>
      <c r="AK3259">
        <v>36.511321256169602</v>
      </c>
      <c r="AL3259">
        <v>93.425393492416006</v>
      </c>
      <c r="AM3259">
        <v>84.497301475635993</v>
      </c>
      <c r="AN3259">
        <v>1.00000003883428</v>
      </c>
    </row>
    <row r="3260" spans="1:40" x14ac:dyDescent="0.25">
      <c r="A3260" t="str">
        <f>"20190305135855919"</f>
        <v>20190305135855919</v>
      </c>
      <c r="B3260" t="str">
        <f>"1551765535912150"</f>
        <v>1551765535912150</v>
      </c>
      <c r="C3260" t="s">
        <v>40</v>
      </c>
      <c r="D3260">
        <v>4.0478540000000001</v>
      </c>
      <c r="E3260">
        <v>0.50036119999999995</v>
      </c>
      <c r="F3260" t="s">
        <v>58</v>
      </c>
      <c r="G3260">
        <v>-194.97130000000001</v>
      </c>
      <c r="H3260" s="1">
        <v>3.350258E-6</v>
      </c>
      <c r="I3260">
        <v>211.5566</v>
      </c>
      <c r="J3260">
        <v>-231.82390000000001</v>
      </c>
      <c r="K3260">
        <v>1.1098079999999999</v>
      </c>
      <c r="L3260">
        <v>215.7251</v>
      </c>
      <c r="M3260">
        <v>0.99975480000000005</v>
      </c>
      <c r="N3260">
        <v>-1.413945E-2</v>
      </c>
      <c r="O3260">
        <v>-1.703899E-2</v>
      </c>
      <c r="P3260">
        <v>0.99099329999999997</v>
      </c>
      <c r="Q3260">
        <v>-7.3021020000000006E-2</v>
      </c>
      <c r="R3260">
        <v>-0.112251</v>
      </c>
      <c r="S3260">
        <v>2.982971</v>
      </c>
      <c r="T3260">
        <v>-8.8858839999999994E-2</v>
      </c>
      <c r="U3260">
        <v>-0.33430480000000001</v>
      </c>
      <c r="V3260">
        <v>9.5433149999999994E-2</v>
      </c>
      <c r="W3260">
        <v>-5.8837840000000002E-2</v>
      </c>
      <c r="X3260">
        <v>0.99369540000000001</v>
      </c>
      <c r="Y3260">
        <v>9.4363900000000001E-2</v>
      </c>
      <c r="Z3260">
        <v>-1.8047390000000001E-3</v>
      </c>
      <c r="AA3260">
        <v>0.99553610000000003</v>
      </c>
      <c r="AB3260">
        <v>38</v>
      </c>
      <c r="AC3260">
        <v>36.852600000000002</v>
      </c>
      <c r="AD3260">
        <v>-1.109804649742</v>
      </c>
      <c r="AE3260">
        <v>-4.1684999999999901</v>
      </c>
      <c r="AF3260">
        <v>3.5367339055557001</v>
      </c>
      <c r="AG3260">
        <v>-1.109804649742</v>
      </c>
      <c r="AH3260">
        <v>36.885254564209703</v>
      </c>
      <c r="AI3260">
        <v>91.715533771458595</v>
      </c>
      <c r="AJ3260">
        <v>84.522951906394795</v>
      </c>
      <c r="AK3260">
        <v>37.071042032101701</v>
      </c>
      <c r="AL3260">
        <v>93.373108168122698</v>
      </c>
      <c r="AM3260">
        <v>84.514216145421898</v>
      </c>
      <c r="AN3260">
        <v>0.99999996275797298</v>
      </c>
    </row>
    <row r="3261" spans="1:40" x14ac:dyDescent="0.25">
      <c r="A3261" t="str">
        <f>"20190305135855940"</f>
        <v>20190305135855940</v>
      </c>
      <c r="B3261" t="str">
        <f>"1551765535932646"</f>
        <v>1551765535932646</v>
      </c>
      <c r="C3261" t="s">
        <v>40</v>
      </c>
      <c r="D3261">
        <v>4.0296310000000002</v>
      </c>
      <c r="E3261">
        <v>0.50061920000000004</v>
      </c>
      <c r="F3261" t="s">
        <v>58</v>
      </c>
      <c r="G3261">
        <v>-194.46299999999999</v>
      </c>
      <c r="H3261" s="1">
        <v>3.4410850000000002E-6</v>
      </c>
      <c r="I3261">
        <v>211.54920000000001</v>
      </c>
      <c r="J3261">
        <v>-231.44970000000001</v>
      </c>
      <c r="K3261">
        <v>1.109899</v>
      </c>
      <c r="L3261">
        <v>215.71950000000001</v>
      </c>
      <c r="M3261">
        <v>0.99976929999999997</v>
      </c>
      <c r="N3261">
        <v>-1.4137739999999999E-2</v>
      </c>
      <c r="O3261">
        <v>-1.6171339999999999E-2</v>
      </c>
      <c r="P3261">
        <v>0.99110390000000004</v>
      </c>
      <c r="Q3261">
        <v>-7.2960960000000005E-2</v>
      </c>
      <c r="R3261">
        <v>-0.11131149999999999</v>
      </c>
      <c r="S3261">
        <v>2.9829859999999999</v>
      </c>
      <c r="T3261">
        <v>-8.8609460000000001E-2</v>
      </c>
      <c r="U3261">
        <v>-0.33341979999999999</v>
      </c>
      <c r="V3261">
        <v>9.5367370000000007E-2</v>
      </c>
      <c r="W3261">
        <v>-5.8756509999999998E-2</v>
      </c>
      <c r="X3261">
        <v>0.9937066</v>
      </c>
      <c r="Y3261">
        <v>9.4935370000000005E-2</v>
      </c>
      <c r="Z3261">
        <v>-1.828072E-3</v>
      </c>
      <c r="AA3261">
        <v>0.99548179999999997</v>
      </c>
      <c r="AB3261">
        <v>38</v>
      </c>
      <c r="AC3261">
        <v>36.986699999999999</v>
      </c>
      <c r="AD3261">
        <v>-1.1098955589149999</v>
      </c>
      <c r="AE3261">
        <v>-4.1702999999999903</v>
      </c>
      <c r="AF3261">
        <v>3.5683973640155102</v>
      </c>
      <c r="AG3261">
        <v>-1.1098955589149999</v>
      </c>
      <c r="AH3261">
        <v>37.0163945444828</v>
      </c>
      <c r="AI3261">
        <v>91.709515682411606</v>
      </c>
      <c r="AJ3261">
        <v>84.493675431642103</v>
      </c>
      <c r="AK3261">
        <v>37.204553390304604</v>
      </c>
      <c r="AL3261">
        <v>93.368439983456099</v>
      </c>
      <c r="AM3261">
        <v>84.518035745743902</v>
      </c>
      <c r="AN3261">
        <v>1.00000003480582</v>
      </c>
    </row>
    <row r="3262" spans="1:40" x14ac:dyDescent="0.25">
      <c r="A3262" t="str">
        <f>"20190305135855961"</f>
        <v>20190305135855961</v>
      </c>
      <c r="B3262" t="str">
        <f>"1551765535952166"</f>
        <v>1551765535952166</v>
      </c>
      <c r="C3262" t="s">
        <v>40</v>
      </c>
      <c r="D3262">
        <v>4.0287490000000004</v>
      </c>
      <c r="E3262">
        <v>0.50090059999999903</v>
      </c>
      <c r="F3262" t="s">
        <v>58</v>
      </c>
      <c r="G3262">
        <v>-195.0121</v>
      </c>
      <c r="H3262" s="1">
        <v>3.3345130000000002E-6</v>
      </c>
      <c r="I3262">
        <v>211.6541</v>
      </c>
      <c r="J3262">
        <v>-231.08779999999999</v>
      </c>
      <c r="K3262">
        <v>1.109974</v>
      </c>
      <c r="L3262">
        <v>215.71449999999999</v>
      </c>
      <c r="M3262">
        <v>0.99978359999999999</v>
      </c>
      <c r="N3262">
        <v>-1.413623E-2</v>
      </c>
      <c r="O3262">
        <v>-1.5265910000000001E-2</v>
      </c>
      <c r="P3262">
        <v>0.99118879999999998</v>
      </c>
      <c r="Q3262">
        <v>-7.3512750000000002E-2</v>
      </c>
      <c r="R3262">
        <v>-0.11018890000000001</v>
      </c>
      <c r="S3262">
        <v>2.9828640000000002</v>
      </c>
      <c r="T3262">
        <v>-9.0858339999999996E-2</v>
      </c>
      <c r="U3262">
        <v>-0.33280939999999998</v>
      </c>
      <c r="V3262">
        <v>9.5155630000000005E-2</v>
      </c>
      <c r="W3262">
        <v>-5.9290830000000003E-2</v>
      </c>
      <c r="X3262">
        <v>0.99369510000000005</v>
      </c>
      <c r="Y3262">
        <v>9.5637169999999994E-2</v>
      </c>
      <c r="Z3262">
        <v>-1.881874E-3</v>
      </c>
      <c r="AA3262">
        <v>0.99541449999999998</v>
      </c>
      <c r="AB3262">
        <v>38</v>
      </c>
      <c r="AC3262">
        <v>36.075699999999898</v>
      </c>
      <c r="AD3262">
        <v>-1.1099706654870001</v>
      </c>
      <c r="AE3262">
        <v>-4.06039999999998</v>
      </c>
      <c r="AF3262">
        <v>3.5058660130805199</v>
      </c>
      <c r="AG3262">
        <v>-1.1099706654870001</v>
      </c>
      <c r="AH3262">
        <v>36.099740487570699</v>
      </c>
      <c r="AI3262">
        <v>91.752895768688504</v>
      </c>
      <c r="AJ3262">
        <v>84.453052440307701</v>
      </c>
      <c r="AK3262">
        <v>36.2865594214975</v>
      </c>
      <c r="AL3262">
        <v>93.399107936899796</v>
      </c>
      <c r="AM3262">
        <v>84.530070292799806</v>
      </c>
      <c r="AN3262">
        <v>0.99999997410339703</v>
      </c>
    </row>
    <row r="3263" spans="1:40" x14ac:dyDescent="0.25">
      <c r="A3263" t="str">
        <f>"20190305135855984"</f>
        <v>20190305135855984</v>
      </c>
      <c r="B3263" t="str">
        <f>"1551765535972663"</f>
        <v>1551765535972663</v>
      </c>
      <c r="C3263" t="s">
        <v>40</v>
      </c>
      <c r="D3263">
        <v>3.8997600000000001</v>
      </c>
      <c r="E3263">
        <v>0.50106099999999998</v>
      </c>
      <c r="F3263" t="s">
        <v>58</v>
      </c>
      <c r="G3263">
        <v>-195.93639999999999</v>
      </c>
      <c r="H3263" s="1">
        <v>3.1574329999999999E-6</v>
      </c>
      <c r="I3263">
        <v>211.80410000000001</v>
      </c>
      <c r="J3263">
        <v>-230.7022</v>
      </c>
      <c r="K3263">
        <v>1.1100559999999999</v>
      </c>
      <c r="L3263">
        <v>215.70949999999999</v>
      </c>
      <c r="M3263">
        <v>0.99979890000000005</v>
      </c>
      <c r="N3263">
        <v>-1.413479E-2</v>
      </c>
      <c r="O3263">
        <v>-1.423698E-2</v>
      </c>
      <c r="P3263">
        <v>0.99126420000000004</v>
      </c>
      <c r="Q3263">
        <v>-7.4064249999999998E-2</v>
      </c>
      <c r="R3263">
        <v>-0.1091338</v>
      </c>
      <c r="S3263">
        <v>2.9828190000000001</v>
      </c>
      <c r="T3263">
        <v>-9.4187969999999996E-2</v>
      </c>
      <c r="U3263">
        <v>-0.33181759999999999</v>
      </c>
      <c r="V3263">
        <v>9.5133910000000002E-2</v>
      </c>
      <c r="W3263">
        <v>-5.9826259999999999E-2</v>
      </c>
      <c r="X3263">
        <v>0.99366509999999997</v>
      </c>
      <c r="Y3263">
        <v>9.6331940000000005E-2</v>
      </c>
      <c r="Z3263">
        <v>-1.951745E-3</v>
      </c>
      <c r="AA3263">
        <v>0.99534730000000005</v>
      </c>
      <c r="AB3263">
        <v>38</v>
      </c>
      <c r="AC3263">
        <v>34.765799999999999</v>
      </c>
      <c r="AD3263">
        <v>-1.110052842567</v>
      </c>
      <c r="AE3263">
        <v>-3.9053999999999802</v>
      </c>
      <c r="AF3263">
        <v>3.4065650553028699</v>
      </c>
      <c r="AG3263">
        <v>-1.110052842567</v>
      </c>
      <c r="AH3263">
        <v>34.782863531365898</v>
      </c>
      <c r="AI3263">
        <v>91.819206740076893</v>
      </c>
      <c r="AJ3263">
        <v>84.406403164444896</v>
      </c>
      <c r="AK3263">
        <v>34.966905757171702</v>
      </c>
      <c r="AL3263">
        <v>93.429840330206702</v>
      </c>
      <c r="AM3263">
        <v>84.531147170470206</v>
      </c>
      <c r="AN3263">
        <v>0.99999998658774203</v>
      </c>
    </row>
    <row r="3264" spans="1:40" x14ac:dyDescent="0.25">
      <c r="A3264" t="str">
        <f>"20190305135856007"</f>
        <v>20190305135856007</v>
      </c>
      <c r="B3264" t="str">
        <f>"1551765536001942"</f>
        <v>1551765536001942</v>
      </c>
      <c r="C3264" t="s">
        <v>40</v>
      </c>
      <c r="D3264">
        <v>4.0371420000000002</v>
      </c>
      <c r="E3264">
        <v>0.50556020000000002</v>
      </c>
      <c r="F3264" t="s">
        <v>58</v>
      </c>
      <c r="G3264">
        <v>-196.43960000000001</v>
      </c>
      <c r="H3264" s="1">
        <v>3.0579349999999999E-6</v>
      </c>
      <c r="I3264">
        <v>211.9212</v>
      </c>
      <c r="J3264">
        <v>-230.3175</v>
      </c>
      <c r="K3264">
        <v>1.110125</v>
      </c>
      <c r="L3264">
        <v>215.70500000000001</v>
      </c>
      <c r="M3264">
        <v>0.99981359999999997</v>
      </c>
      <c r="N3264">
        <v>-1.4133059999999999E-2</v>
      </c>
      <c r="O3264">
        <v>-1.315589E-2</v>
      </c>
      <c r="P3264">
        <v>0.9913864</v>
      </c>
      <c r="Q3264">
        <v>-7.3947990000000005E-2</v>
      </c>
      <c r="R3264">
        <v>-0.1080981</v>
      </c>
      <c r="S3264">
        <v>2.98291</v>
      </c>
      <c r="T3264">
        <v>-9.6641660000000004E-2</v>
      </c>
      <c r="U3264">
        <v>-0.32981870000000002</v>
      </c>
      <c r="V3264">
        <v>9.5179540000000007E-2</v>
      </c>
      <c r="W3264">
        <v>-5.9696060000000002E-2</v>
      </c>
      <c r="X3264">
        <v>0.99366860000000001</v>
      </c>
      <c r="Y3264">
        <v>9.6742590000000003E-2</v>
      </c>
      <c r="Z3264">
        <v>-2.0086380000000001E-3</v>
      </c>
      <c r="AA3264">
        <v>0.99530739999999995</v>
      </c>
      <c r="AB3264">
        <v>38</v>
      </c>
      <c r="AC3264">
        <v>33.877899999999897</v>
      </c>
      <c r="AD3264">
        <v>-1.1101219420649999</v>
      </c>
      <c r="AE3264">
        <v>-3.78380000000001</v>
      </c>
      <c r="AF3264">
        <v>3.3341980148408998</v>
      </c>
      <c r="AG3264">
        <v>-1.1101219420649999</v>
      </c>
      <c r="AH3264">
        <v>33.888811551438799</v>
      </c>
      <c r="AI3264">
        <v>91.867202180125403</v>
      </c>
      <c r="AJ3264">
        <v>84.380958767782403</v>
      </c>
      <c r="AK3264">
        <v>34.070526786320002</v>
      </c>
      <c r="AL3264">
        <v>93.422366929272798</v>
      </c>
      <c r="AM3264">
        <v>84.528559160966594</v>
      </c>
      <c r="AN3264">
        <v>1.0000000255200401</v>
      </c>
    </row>
    <row r="3265" spans="1:40" x14ac:dyDescent="0.25">
      <c r="A3265" t="str">
        <f>"20190305135856030"</f>
        <v>20190305135856030</v>
      </c>
      <c r="B3265" t="str">
        <f>"1551765536022438"</f>
        <v>1551765536022438</v>
      </c>
      <c r="C3265" t="s">
        <v>40</v>
      </c>
      <c r="D3265">
        <v>4.231541</v>
      </c>
      <c r="E3265">
        <v>0.50721090000000002</v>
      </c>
      <c r="F3265" t="s">
        <v>59</v>
      </c>
      <c r="G3265">
        <v>-212.61760000000001</v>
      </c>
      <c r="H3265" s="1">
        <v>-9.5970780000000002E-8</v>
      </c>
      <c r="I3265">
        <v>213.5214</v>
      </c>
      <c r="J3265">
        <v>-229.92140000000001</v>
      </c>
      <c r="K3265">
        <v>1.1101939999999999</v>
      </c>
      <c r="L3265">
        <v>215.70089999999999</v>
      </c>
      <c r="M3265">
        <v>0.99982819999999994</v>
      </c>
      <c r="N3265">
        <v>-1.4131019999999999E-2</v>
      </c>
      <c r="O3265">
        <v>-1.1997560000000001E-2</v>
      </c>
      <c r="P3265">
        <v>0.99157609999999996</v>
      </c>
      <c r="Q3265">
        <v>-7.2377979999999995E-2</v>
      </c>
      <c r="R3265">
        <v>-0.1074167</v>
      </c>
      <c r="S3265">
        <v>2.9721829999999998</v>
      </c>
      <c r="T3265">
        <v>-0.1864133</v>
      </c>
      <c r="U3265">
        <v>-0.36668400000000001</v>
      </c>
      <c r="V3265">
        <v>9.5650869999999999E-2</v>
      </c>
      <c r="W3265">
        <v>-5.8112329999999997E-2</v>
      </c>
      <c r="X3265">
        <v>0.99371719999999997</v>
      </c>
      <c r="Y3265">
        <v>0.1102781</v>
      </c>
      <c r="Z3265">
        <v>-3.6450129999999999E-3</v>
      </c>
      <c r="AA3265">
        <v>0.9938941</v>
      </c>
      <c r="AB3265">
        <v>38</v>
      </c>
      <c r="AC3265">
        <v>17.303799999999899</v>
      </c>
      <c r="AD3265">
        <v>-1.1101940959707799</v>
      </c>
      <c r="AE3265">
        <v>-2.1794999999999898</v>
      </c>
      <c r="AF3265">
        <v>1.9637616616896201</v>
      </c>
      <c r="AG3265">
        <v>-1.1101940959707799</v>
      </c>
      <c r="AH3265">
        <v>17.258771549527999</v>
      </c>
      <c r="AI3265">
        <v>93.657026081125593</v>
      </c>
      <c r="AJ3265">
        <v>83.508609430259199</v>
      </c>
      <c r="AK3265">
        <v>17.405576295930199</v>
      </c>
      <c r="AL3265">
        <v>93.331468120044306</v>
      </c>
      <c r="AM3265">
        <v>84.501897431257404</v>
      </c>
      <c r="AN3265">
        <v>1.00000000270281</v>
      </c>
    </row>
    <row r="3266" spans="1:40" x14ac:dyDescent="0.25">
      <c r="A3266" t="str">
        <f>"20190305135856052"</f>
        <v>20190305135856052</v>
      </c>
      <c r="B3266" t="str">
        <f>"1551765536041959"</f>
        <v>1551765536041959</v>
      </c>
      <c r="C3266" t="s">
        <v>40</v>
      </c>
      <c r="D3266">
        <v>4.0323599999999997</v>
      </c>
      <c r="E3266">
        <v>0.50739999999999996</v>
      </c>
      <c r="F3266" t="s">
        <v>59</v>
      </c>
      <c r="G3266">
        <v>-210.316</v>
      </c>
      <c r="H3266" s="1">
        <v>-1.3073190000000001E-6</v>
      </c>
      <c r="I3266">
        <v>213.2132</v>
      </c>
      <c r="J3266">
        <v>-229.54730000000001</v>
      </c>
      <c r="K3266">
        <v>1.1102510000000001</v>
      </c>
      <c r="L3266">
        <v>215.69739999999999</v>
      </c>
      <c r="M3266">
        <v>0.99984099999999998</v>
      </c>
      <c r="N3266">
        <v>-1.4129050000000001E-2</v>
      </c>
      <c r="O3266">
        <v>-1.0873860000000001E-2</v>
      </c>
      <c r="P3266">
        <v>0.99174439999999997</v>
      </c>
      <c r="Q3266">
        <v>-7.0217940000000006E-2</v>
      </c>
      <c r="R3266">
        <v>-0.1072985</v>
      </c>
      <c r="S3266">
        <v>2.9723510000000002</v>
      </c>
      <c r="T3266">
        <v>-0.1683152</v>
      </c>
      <c r="U3266">
        <v>-0.37716670000000002</v>
      </c>
      <c r="V3266">
        <v>9.6647819999999995E-2</v>
      </c>
      <c r="W3266">
        <v>-5.5939990000000002E-2</v>
      </c>
      <c r="X3266">
        <v>0.9937454</v>
      </c>
      <c r="Y3266">
        <v>0.1148692</v>
      </c>
      <c r="Z3266">
        <v>-3.5926510000000001E-3</v>
      </c>
      <c r="AA3266">
        <v>0.99337410000000004</v>
      </c>
      <c r="AB3266">
        <v>38</v>
      </c>
      <c r="AC3266">
        <v>19.231300000000001</v>
      </c>
      <c r="AD3266">
        <v>-1.110252307319</v>
      </c>
      <c r="AE3266">
        <v>-2.48419999999998</v>
      </c>
      <c r="AF3266">
        <v>2.26748043013421</v>
      </c>
      <c r="AG3266">
        <v>-1.110252307319</v>
      </c>
      <c r="AH3266">
        <v>19.194255169426199</v>
      </c>
      <c r="AI3266">
        <v>93.287657774533997</v>
      </c>
      <c r="AJ3266">
        <v>83.262686319757506</v>
      </c>
      <c r="AK3266">
        <v>19.3595857186044</v>
      </c>
      <c r="AL3266">
        <v>93.206799309300095</v>
      </c>
      <c r="AM3266">
        <v>84.445105066641105</v>
      </c>
      <c r="AN3266">
        <v>1.00000000180655</v>
      </c>
    </row>
    <row r="3267" spans="1:40" x14ac:dyDescent="0.25">
      <c r="A3267" t="str">
        <f>"20190305135856074"</f>
        <v>20190305135856074</v>
      </c>
      <c r="B3267" t="str">
        <f>"1551765536062454"</f>
        <v>1551765536062454</v>
      </c>
      <c r="C3267" t="s">
        <v>40</v>
      </c>
      <c r="D3267">
        <v>4.0131620000000003</v>
      </c>
      <c r="E3267">
        <v>0.50735319999999995</v>
      </c>
      <c r="F3267" t="s">
        <v>58</v>
      </c>
      <c r="G3267">
        <v>-206.90969999999999</v>
      </c>
      <c r="H3267" s="1">
        <v>5.4379010000000003E-6</v>
      </c>
      <c r="I3267">
        <v>212.82329999999999</v>
      </c>
      <c r="J3267">
        <v>-229.17250000000001</v>
      </c>
      <c r="K3267">
        <v>1.110301</v>
      </c>
      <c r="L3267">
        <v>215.6944</v>
      </c>
      <c r="M3267">
        <v>0.99985299999999999</v>
      </c>
      <c r="N3267">
        <v>-1.4127020000000001E-2</v>
      </c>
      <c r="O3267">
        <v>-9.7290569999999993E-3</v>
      </c>
      <c r="P3267">
        <v>0.99190060000000002</v>
      </c>
      <c r="Q3267">
        <v>-6.814373E-2</v>
      </c>
      <c r="R3267">
        <v>-0.1071916</v>
      </c>
      <c r="S3267">
        <v>2.9738159999999998</v>
      </c>
      <c r="T3267">
        <v>-0.14584859999999999</v>
      </c>
      <c r="U3267">
        <v>-0.3775635</v>
      </c>
      <c r="V3267">
        <v>9.7676170000000007E-2</v>
      </c>
      <c r="W3267">
        <v>-5.3855449999999999E-2</v>
      </c>
      <c r="X3267">
        <v>0.99375999999999998</v>
      </c>
      <c r="Y3267">
        <v>0.1161214</v>
      </c>
      <c r="Z3267">
        <v>-3.3206300000000002E-3</v>
      </c>
      <c r="AA3267">
        <v>0.99322940000000004</v>
      </c>
      <c r="AB3267">
        <v>38</v>
      </c>
      <c r="AC3267">
        <v>22.262799999999999</v>
      </c>
      <c r="AD3267">
        <v>-1.110295562099</v>
      </c>
      <c r="AE3267">
        <v>-2.87110000000001</v>
      </c>
      <c r="AF3267">
        <v>2.6478683080308199</v>
      </c>
      <c r="AG3267">
        <v>-1.110295562099</v>
      </c>
      <c r="AH3267">
        <v>22.2352822913202</v>
      </c>
      <c r="AI3267">
        <v>92.838607322404897</v>
      </c>
      <c r="AJ3267">
        <v>83.208965129679001</v>
      </c>
      <c r="AK3267">
        <v>22.419896105615301</v>
      </c>
      <c r="AL3267">
        <v>93.087183595340903</v>
      </c>
      <c r="AM3267">
        <v>84.386457496777894</v>
      </c>
      <c r="AN3267">
        <v>0.999999990640285</v>
      </c>
    </row>
    <row r="3268" spans="1:40" x14ac:dyDescent="0.25">
      <c r="A3268" t="str">
        <f>"20190305135856098"</f>
        <v>20190305135856098</v>
      </c>
      <c r="B3268" t="str">
        <f>"1551765536092711"</f>
        <v>1551765536092711</v>
      </c>
      <c r="C3268" t="s">
        <v>40</v>
      </c>
      <c r="D3268">
        <v>4.0449330000000003</v>
      </c>
      <c r="E3268">
        <v>0.50746659999999999</v>
      </c>
      <c r="F3268" t="s">
        <v>58</v>
      </c>
      <c r="G3268">
        <v>-204.29390000000001</v>
      </c>
      <c r="H3268" s="1">
        <v>4.3021489999999997E-6</v>
      </c>
      <c r="I3268">
        <v>212.54599999999999</v>
      </c>
      <c r="J3268">
        <v>-228.76949999999999</v>
      </c>
      <c r="K3268">
        <v>1.110341</v>
      </c>
      <c r="L3268">
        <v>215.69159999999999</v>
      </c>
      <c r="M3268">
        <v>0.99986430000000004</v>
      </c>
      <c r="N3268">
        <v>-1.412483E-2</v>
      </c>
      <c r="O3268">
        <v>-8.4851690000000007E-3</v>
      </c>
      <c r="P3268">
        <v>0.9920485</v>
      </c>
      <c r="Q3268">
        <v>-6.6352729999999999E-2</v>
      </c>
      <c r="R3268">
        <v>-0.1069464</v>
      </c>
      <c r="S3268">
        <v>2.974701</v>
      </c>
      <c r="T3268">
        <v>-0.13275689999999901</v>
      </c>
      <c r="U3268">
        <v>-0.3764496</v>
      </c>
      <c r="V3268">
        <v>9.8664429999999997E-2</v>
      </c>
      <c r="W3268">
        <v>-5.2055949999999997E-2</v>
      </c>
      <c r="X3268">
        <v>0.99375829999999998</v>
      </c>
      <c r="Y3268">
        <v>0.1169782</v>
      </c>
      <c r="Z3268">
        <v>-3.1710710000000001E-3</v>
      </c>
      <c r="AA3268">
        <v>0.99312940000000005</v>
      </c>
      <c r="AB3268">
        <v>38</v>
      </c>
      <c r="AC3268">
        <v>24.475599999999901</v>
      </c>
      <c r="AD3268">
        <v>-1.1103366978510001</v>
      </c>
      <c r="AE3268">
        <v>-3.1456</v>
      </c>
      <c r="AF3268">
        <v>2.9318507572140202</v>
      </c>
      <c r="AG3268">
        <v>-1.1103366978510001</v>
      </c>
      <c r="AH3268">
        <v>24.451908277367</v>
      </c>
      <c r="AI3268">
        <v>92.581492875106207</v>
      </c>
      <c r="AJ3268">
        <v>83.162720232359405</v>
      </c>
      <c r="AK3268">
        <v>24.652067151659701</v>
      </c>
      <c r="AL3268">
        <v>92.983934849670206</v>
      </c>
      <c r="AM3268">
        <v>84.330019861535405</v>
      </c>
      <c r="AN3268">
        <v>1.0000000252482499</v>
      </c>
    </row>
    <row r="3269" spans="1:40" x14ac:dyDescent="0.25">
      <c r="A3269" t="str">
        <f>"20190305135856120"</f>
        <v>20190305135856120</v>
      </c>
      <c r="B3269" t="str">
        <f>"1551765536112231"</f>
        <v>1551765536112231</v>
      </c>
      <c r="C3269" t="s">
        <v>40</v>
      </c>
      <c r="D3269">
        <v>4.0009769999999998</v>
      </c>
      <c r="E3269">
        <v>0.50816209999999995</v>
      </c>
      <c r="F3269" t="s">
        <v>58</v>
      </c>
      <c r="G3269">
        <v>-201.52930000000001</v>
      </c>
      <c r="H3269" s="1">
        <v>3.1022659999999998E-6</v>
      </c>
      <c r="I3269">
        <v>212.24760000000001</v>
      </c>
      <c r="J3269">
        <v>-228.3904</v>
      </c>
      <c r="K3269">
        <v>1.1103809999999901</v>
      </c>
      <c r="L3269">
        <v>215.68950000000001</v>
      </c>
      <c r="M3269">
        <v>0.99987360000000003</v>
      </c>
      <c r="N3269">
        <v>-1.412302E-2</v>
      </c>
      <c r="O3269">
        <v>-7.3081869999999998E-3</v>
      </c>
      <c r="P3269">
        <v>0.99220019999999998</v>
      </c>
      <c r="Q3269">
        <v>-6.4128589999999999E-2</v>
      </c>
      <c r="R3269">
        <v>-0.1068939</v>
      </c>
      <c r="S3269">
        <v>2.9753720000000001</v>
      </c>
      <c r="T3269">
        <v>-0.1212792</v>
      </c>
      <c r="U3269">
        <v>-0.37617489999999998</v>
      </c>
      <c r="V3269">
        <v>9.9776299999999998E-2</v>
      </c>
      <c r="W3269">
        <v>-4.9824859999999999E-2</v>
      </c>
      <c r="X3269">
        <v>0.99376169999999997</v>
      </c>
      <c r="Y3269">
        <v>0.11804870000000001</v>
      </c>
      <c r="Z3269">
        <v>-3.0390259999999998E-3</v>
      </c>
      <c r="AA3269">
        <v>0.99300319999999997</v>
      </c>
      <c r="AB3269">
        <v>38</v>
      </c>
      <c r="AC3269">
        <v>26.8611</v>
      </c>
      <c r="AD3269">
        <v>-1.11037789773399</v>
      </c>
      <c r="AE3269">
        <v>-3.4419</v>
      </c>
      <c r="AF3269">
        <v>3.2400353807179099</v>
      </c>
      <c r="AG3269">
        <v>-1.11037789773399</v>
      </c>
      <c r="AH3269">
        <v>26.840414787551499</v>
      </c>
      <c r="AI3269">
        <v>92.351899433830098</v>
      </c>
      <c r="AJ3269">
        <v>83.116856201421498</v>
      </c>
      <c r="AK3269">
        <v>27.058060431448101</v>
      </c>
      <c r="AL3269">
        <v>92.855936472263593</v>
      </c>
      <c r="AM3269">
        <v>84.266566511069499</v>
      </c>
      <c r="AN3269">
        <v>1.00000007155129</v>
      </c>
    </row>
    <row r="3270" spans="1:40" x14ac:dyDescent="0.25">
      <c r="A3270" t="str">
        <f>"20190305135856140"</f>
        <v>20190305135856140</v>
      </c>
      <c r="B3270" t="str">
        <f>"1551765536132176"</f>
        <v>1551765536132176</v>
      </c>
      <c r="C3270" t="s">
        <v>40</v>
      </c>
      <c r="D3270">
        <v>3.9827560000000002</v>
      </c>
      <c r="E3270">
        <v>0.50835379999999997</v>
      </c>
      <c r="F3270" t="s">
        <v>58</v>
      </c>
      <c r="G3270">
        <v>-197.8407</v>
      </c>
      <c r="H3270" s="1">
        <v>2.822061E-6</v>
      </c>
      <c r="I3270">
        <v>211.7764</v>
      </c>
      <c r="J3270">
        <v>-228.03700000000001</v>
      </c>
      <c r="K3270">
        <v>1.110406</v>
      </c>
      <c r="L3270">
        <v>215.68790000000001</v>
      </c>
      <c r="M3270">
        <v>0.99988109999999997</v>
      </c>
      <c r="N3270">
        <v>-1.412121E-2</v>
      </c>
      <c r="O3270">
        <v>-6.2186129999999996E-3</v>
      </c>
      <c r="P3270">
        <v>0.99231639999999999</v>
      </c>
      <c r="Q3270">
        <v>-6.179991E-2</v>
      </c>
      <c r="R3270">
        <v>-0.1071883</v>
      </c>
      <c r="S3270">
        <v>2.9755400000000001</v>
      </c>
      <c r="T3270">
        <v>-0.108151</v>
      </c>
      <c r="U3270">
        <v>-0.38113399999999997</v>
      </c>
      <c r="V3270">
        <v>0.1011469</v>
      </c>
      <c r="W3270">
        <v>-4.7491400000000003E-2</v>
      </c>
      <c r="X3270">
        <v>0.99373730000000005</v>
      </c>
      <c r="Y3270">
        <v>0.1207719</v>
      </c>
      <c r="Z3270">
        <v>-2.9042489999999998E-3</v>
      </c>
      <c r="AA3270">
        <v>0.992676</v>
      </c>
      <c r="AB3270">
        <v>38</v>
      </c>
      <c r="AC3270">
        <v>30.196300000000001</v>
      </c>
      <c r="AD3270">
        <v>-1.110403177939</v>
      </c>
      <c r="AE3270">
        <v>-3.91150000000001</v>
      </c>
      <c r="AF3270">
        <v>3.7186809850464302</v>
      </c>
      <c r="AG3270">
        <v>-1.110403177939</v>
      </c>
      <c r="AH3270">
        <v>30.179905531678099</v>
      </c>
      <c r="AI3270">
        <v>92.091319912958198</v>
      </c>
      <c r="AJ3270">
        <v>82.975585666348294</v>
      </c>
      <c r="AK3270">
        <v>30.4284124033301</v>
      </c>
      <c r="AL3270">
        <v>92.722080751241705</v>
      </c>
      <c r="AM3270">
        <v>84.188201652259295</v>
      </c>
      <c r="AN3270">
        <v>0.99999997493242898</v>
      </c>
    </row>
    <row r="3271" spans="1:40" x14ac:dyDescent="0.25">
      <c r="A3271" t="str">
        <f>"20190305135856162"</f>
        <v>20190305135856162</v>
      </c>
      <c r="B3271" t="str">
        <f>"1551765536152672"</f>
        <v>1551765536152672</v>
      </c>
      <c r="C3271" t="s">
        <v>40</v>
      </c>
      <c r="D3271">
        <v>4.0476289999999997</v>
      </c>
      <c r="E3271">
        <v>0.52979509999999996</v>
      </c>
      <c r="F3271" t="s">
        <v>58</v>
      </c>
      <c r="G3271">
        <v>-195.8432</v>
      </c>
      <c r="H3271" s="1">
        <v>3.1971970000000002E-6</v>
      </c>
      <c r="I3271">
        <v>211.5385</v>
      </c>
      <c r="J3271">
        <v>-227.661</v>
      </c>
      <c r="K3271">
        <v>1.1104149999999999</v>
      </c>
      <c r="L3271">
        <v>215.6867</v>
      </c>
      <c r="M3271">
        <v>0.99988750000000004</v>
      </c>
      <c r="N3271">
        <v>-1.4119E-2</v>
      </c>
      <c r="O3271">
        <v>-5.0724159999999997E-3</v>
      </c>
      <c r="P3271">
        <v>0.99242229999999998</v>
      </c>
      <c r="Q3271">
        <v>-6.0166160000000003E-2</v>
      </c>
      <c r="R3271">
        <v>-0.1071352</v>
      </c>
      <c r="S3271">
        <v>2.975403</v>
      </c>
      <c r="T3271">
        <v>-0.10262490000000001</v>
      </c>
      <c r="U3271">
        <v>-0.38349909999999998</v>
      </c>
      <c r="V3271">
        <v>0.10222729999999999</v>
      </c>
      <c r="W3271">
        <v>-4.5856420000000002E-2</v>
      </c>
      <c r="X3271">
        <v>0.99370349999999996</v>
      </c>
      <c r="Y3271">
        <v>0.1226989</v>
      </c>
      <c r="Z3271">
        <v>-2.8739920000000001E-3</v>
      </c>
      <c r="AA3271">
        <v>0.99243979999999998</v>
      </c>
      <c r="AB3271">
        <v>38</v>
      </c>
      <c r="AC3271">
        <v>31.817799999999899</v>
      </c>
      <c r="AD3271">
        <v>-1.1104118028029999</v>
      </c>
      <c r="AE3271">
        <v>-4.1482000000000001</v>
      </c>
      <c r="AF3271">
        <v>3.9819686593106698</v>
      </c>
      <c r="AG3271">
        <v>-1.1104118028029999</v>
      </c>
      <c r="AH3271">
        <v>31.800350309478699</v>
      </c>
      <c r="AI3271">
        <v>91.984370502860997</v>
      </c>
      <c r="AJ3271">
        <v>82.862699154524705</v>
      </c>
      <c r="AK3271">
        <v>32.067918058101299</v>
      </c>
      <c r="AL3271">
        <v>92.628301176205596</v>
      </c>
      <c r="AM3271">
        <v>84.126356301105304</v>
      </c>
      <c r="AN3271">
        <v>0.99999993901637596</v>
      </c>
    </row>
    <row r="3272" spans="1:40" x14ac:dyDescent="0.25">
      <c r="A3272" t="str">
        <f>"20190305135856181"</f>
        <v>20190305135856181</v>
      </c>
      <c r="B3272" t="str">
        <f>"1551765536172192"</f>
        <v>1551765536172192</v>
      </c>
      <c r="C3272" t="s">
        <v>40</v>
      </c>
      <c r="D3272">
        <v>3.9948090000000001</v>
      </c>
      <c r="E3272">
        <v>0.53486129999999998</v>
      </c>
      <c r="F3272" t="s">
        <v>58</v>
      </c>
      <c r="G3272">
        <v>-203.2585</v>
      </c>
      <c r="H3272" s="1">
        <v>3.9696269999999998E-6</v>
      </c>
      <c r="I3272">
        <v>211.0975</v>
      </c>
      <c r="J3272">
        <v>-227.32939999999999</v>
      </c>
      <c r="K3272">
        <v>1.1104099999999999</v>
      </c>
      <c r="L3272">
        <v>215.6859</v>
      </c>
      <c r="M3272">
        <v>0.99989209999999995</v>
      </c>
      <c r="N3272">
        <v>-1.4116999999999999E-2</v>
      </c>
      <c r="O3272">
        <v>-4.0873039999999999E-3</v>
      </c>
      <c r="P3272">
        <v>0.9925003</v>
      </c>
      <c r="Q3272">
        <v>-5.938007E-2</v>
      </c>
      <c r="R3272">
        <v>-0.10685219999999999</v>
      </c>
      <c r="S3272">
        <v>2.954758</v>
      </c>
      <c r="T3272">
        <v>-0.1344534</v>
      </c>
      <c r="U3272">
        <v>-0.55567929999999999</v>
      </c>
      <c r="V3272">
        <v>0.1029191</v>
      </c>
      <c r="W3272">
        <v>-4.5072920000000002E-2</v>
      </c>
      <c r="X3272">
        <v>0.993668</v>
      </c>
      <c r="Y3272">
        <v>0.18056759999999999</v>
      </c>
      <c r="Z3272">
        <v>-5.2299720000000003E-3</v>
      </c>
      <c r="AA3272">
        <v>0.98354870000000005</v>
      </c>
      <c r="AB3272">
        <v>38</v>
      </c>
      <c r="AC3272">
        <v>24.070899999999899</v>
      </c>
      <c r="AD3272">
        <v>-1.1104060303729999</v>
      </c>
      <c r="AE3272">
        <v>-4.5884</v>
      </c>
      <c r="AF3272">
        <v>4.4807658782243198</v>
      </c>
      <c r="AG3272">
        <v>-1.1104060303729999</v>
      </c>
      <c r="AH3272">
        <v>24.0400904800135</v>
      </c>
      <c r="AI3272">
        <v>92.599886962765396</v>
      </c>
      <c r="AJ3272">
        <v>79.441948797748907</v>
      </c>
      <c r="AK3272">
        <v>24.479301760773001</v>
      </c>
      <c r="AL3272">
        <v>92.583363298932795</v>
      </c>
      <c r="AM3272">
        <v>84.086678699580503</v>
      </c>
      <c r="AN3272">
        <v>1.0000000017430599</v>
      </c>
    </row>
    <row r="3273" spans="1:40" x14ac:dyDescent="0.25">
      <c r="A3273" t="str">
        <f>"20190305135856195"</f>
        <v>20190305135856195</v>
      </c>
      <c r="B3273" t="str">
        <f>"1551765536192688"</f>
        <v>1551765536192688</v>
      </c>
      <c r="C3273" t="s">
        <v>40</v>
      </c>
      <c r="D3273">
        <v>4.0060529999999996</v>
      </c>
      <c r="E3273">
        <v>0.537033599999999</v>
      </c>
      <c r="F3273" t="s">
        <v>58</v>
      </c>
      <c r="G3273">
        <v>-204.2748</v>
      </c>
      <c r="H3273" s="1">
        <v>4.4260069999999996E-6</v>
      </c>
      <c r="I3273">
        <v>211.03219999999999</v>
      </c>
      <c r="J3273">
        <v>-227.09200000000001</v>
      </c>
      <c r="K3273">
        <v>1.110403</v>
      </c>
      <c r="L3273">
        <v>215.68549999999999</v>
      </c>
      <c r="M3273">
        <v>0.99989470000000003</v>
      </c>
      <c r="N3273">
        <v>-1.41155E-2</v>
      </c>
      <c r="O3273">
        <v>-3.4036169999999998E-3</v>
      </c>
      <c r="P3273">
        <v>0.99256889999999998</v>
      </c>
      <c r="Q3273">
        <v>-5.7463180000000003E-2</v>
      </c>
      <c r="R3273">
        <v>-0.10726330000000001</v>
      </c>
      <c r="S3273">
        <v>2.9500579999999998</v>
      </c>
      <c r="T3273">
        <v>-0.14208670000000001</v>
      </c>
      <c r="U3273">
        <v>-0.5954895</v>
      </c>
      <c r="V3273">
        <v>0.104002</v>
      </c>
      <c r="W3273">
        <v>-4.315824E-2</v>
      </c>
      <c r="X3273">
        <v>0.99364019999999997</v>
      </c>
      <c r="Y3273">
        <v>0.19424810000000001</v>
      </c>
      <c r="Z3273">
        <v>-5.8996509999999997E-3</v>
      </c>
      <c r="AA3273">
        <v>0.98093470000000005</v>
      </c>
      <c r="AB3273">
        <v>38</v>
      </c>
      <c r="AC3273">
        <v>22.8172</v>
      </c>
      <c r="AD3273">
        <v>-1.110398573993</v>
      </c>
      <c r="AE3273">
        <v>-4.6532999999999998</v>
      </c>
      <c r="AF3273">
        <v>4.5652242856796601</v>
      </c>
      <c r="AG3273">
        <v>-1.110398573993</v>
      </c>
      <c r="AH3273">
        <v>22.7811096944023</v>
      </c>
      <c r="AI3273">
        <v>92.736192345092903</v>
      </c>
      <c r="AJ3273">
        <v>78.668298593420204</v>
      </c>
      <c r="AK3273">
        <v>23.2605506529849</v>
      </c>
      <c r="AL3273">
        <v>92.473553423919498</v>
      </c>
      <c r="AM3273">
        <v>84.024741427337901</v>
      </c>
      <c r="AN3273">
        <v>0.99999994836996697</v>
      </c>
    </row>
    <row r="3274" spans="1:40" x14ac:dyDescent="0.25">
      <c r="A3274" t="str">
        <f>"20190305135856220"</f>
        <v>20190305135856220</v>
      </c>
      <c r="B3274" t="str">
        <f>"1551765536212207"</f>
        <v>1551765536212207</v>
      </c>
      <c r="C3274" t="s">
        <v>40</v>
      </c>
      <c r="D3274">
        <v>4.0030729999999997</v>
      </c>
      <c r="E3274">
        <v>0.53792010000000001</v>
      </c>
      <c r="F3274" t="s">
        <v>58</v>
      </c>
      <c r="G3274">
        <v>-204.50890000000001</v>
      </c>
      <c r="H3274" s="1">
        <v>4.5345499999999996E-6</v>
      </c>
      <c r="I3274">
        <v>210.97829999999999</v>
      </c>
      <c r="J3274">
        <v>-226.68719999999999</v>
      </c>
      <c r="K3274">
        <v>1.110366</v>
      </c>
      <c r="L3274">
        <v>215.68520000000001</v>
      </c>
      <c r="M3274">
        <v>0.99989790000000001</v>
      </c>
      <c r="N3274">
        <v>-1.411281E-2</v>
      </c>
      <c r="O3274">
        <v>-2.3112620000000001E-3</v>
      </c>
      <c r="P3274">
        <v>0.99279729999999999</v>
      </c>
      <c r="Q3274">
        <v>-5.4404920000000002E-2</v>
      </c>
      <c r="R3274">
        <v>-0.1067424</v>
      </c>
      <c r="S3274">
        <v>2.9476930000000001</v>
      </c>
      <c r="T3274">
        <v>-0.1449367</v>
      </c>
      <c r="U3274">
        <v>-0.61442569999999996</v>
      </c>
      <c r="V3274">
        <v>0.1045523</v>
      </c>
      <c r="W3274">
        <v>-4.0111479999999998E-2</v>
      </c>
      <c r="X3274">
        <v>0.99371019999999999</v>
      </c>
      <c r="Y3274">
        <v>0.20149230000000001</v>
      </c>
      <c r="Z3274">
        <v>-6.2560769999999996E-3</v>
      </c>
      <c r="AA3274">
        <v>0.97947010000000001</v>
      </c>
      <c r="AB3274">
        <v>38</v>
      </c>
      <c r="AC3274">
        <v>22.178299999999901</v>
      </c>
      <c r="AD3274">
        <v>-1.11036146545</v>
      </c>
      <c r="AE3274">
        <v>-4.7069000000000099</v>
      </c>
      <c r="AF3274">
        <v>4.6444827009533496</v>
      </c>
      <c r="AG3274">
        <v>-1.11036146545</v>
      </c>
      <c r="AH3274">
        <v>22.1360275753464</v>
      </c>
      <c r="AI3274">
        <v>92.810501768810994</v>
      </c>
      <c r="AJ3274">
        <v>78.150343335018903</v>
      </c>
      <c r="AK3274">
        <v>22.645260849897699</v>
      </c>
      <c r="AL3274">
        <v>92.298835152524703</v>
      </c>
      <c r="AM3274">
        <v>83.993775452450294</v>
      </c>
      <c r="AN3274">
        <v>1.0000000379235501</v>
      </c>
    </row>
    <row r="3275" spans="1:40" x14ac:dyDescent="0.25">
      <c r="A3275" t="str">
        <f>"20190305135856241"</f>
        <v>20190305135856241</v>
      </c>
      <c r="B3275" t="str">
        <f>"1551765536231727"</f>
        <v>1551765536231727</v>
      </c>
      <c r="C3275" t="s">
        <v>40</v>
      </c>
      <c r="D3275">
        <v>3.978729</v>
      </c>
      <c r="E3275">
        <v>0.53854550000000001</v>
      </c>
      <c r="F3275" t="s">
        <v>58</v>
      </c>
      <c r="G3275">
        <v>-203.75239999999999</v>
      </c>
      <c r="H3275" s="1">
        <v>4.2095430000000002E-6</v>
      </c>
      <c r="I3275">
        <v>210.8586</v>
      </c>
      <c r="J3275">
        <v>-226.3329</v>
      </c>
      <c r="K3275">
        <v>1.110306</v>
      </c>
      <c r="L3275">
        <v>215.68520000000001</v>
      </c>
      <c r="M3275">
        <v>0.99989930000000005</v>
      </c>
      <c r="N3275">
        <v>-1.411019E-2</v>
      </c>
      <c r="O3275">
        <v>-1.4600189999999999E-3</v>
      </c>
      <c r="P3275">
        <v>0.99291119999999999</v>
      </c>
      <c r="Q3275">
        <v>-5.1356289999999999E-2</v>
      </c>
      <c r="R3275">
        <v>-0.10719239999999999</v>
      </c>
      <c r="S3275">
        <v>2.9472499999999999</v>
      </c>
      <c r="T3275">
        <v>-0.1426877</v>
      </c>
      <c r="U3275">
        <v>-0.62025450000000004</v>
      </c>
      <c r="V3275">
        <v>0.1058335</v>
      </c>
      <c r="W3275">
        <v>-3.7079569999999999E-2</v>
      </c>
      <c r="X3275">
        <v>0.99369229999999997</v>
      </c>
      <c r="Y3275">
        <v>0.20421420000000001</v>
      </c>
      <c r="Z3275">
        <v>-6.29505E-3</v>
      </c>
      <c r="AA3275">
        <v>0.97890600000000005</v>
      </c>
      <c r="AB3275">
        <v>38</v>
      </c>
      <c r="AC3275">
        <v>22.580500000000001</v>
      </c>
      <c r="AD3275">
        <v>-1.1103017904570001</v>
      </c>
      <c r="AE3275">
        <v>-4.8266000000000098</v>
      </c>
      <c r="AF3275">
        <v>4.7825656965531698</v>
      </c>
      <c r="AG3275">
        <v>-1.1103017904570001</v>
      </c>
      <c r="AH3275">
        <v>22.535418738628099</v>
      </c>
      <c r="AI3275">
        <v>92.759280322444198</v>
      </c>
      <c r="AJ3275">
        <v>78.018210071534099</v>
      </c>
      <c r="AK3275">
        <v>23.064058672164599</v>
      </c>
      <c r="AL3275">
        <v>92.124989984471398</v>
      </c>
      <c r="AM3275">
        <v>83.920613420518507</v>
      </c>
      <c r="AN3275">
        <v>1.00000000565646</v>
      </c>
    </row>
    <row r="3276" spans="1:40" x14ac:dyDescent="0.25">
      <c r="A3276" t="str">
        <f>"20190305135856261"</f>
        <v>20190305135856261</v>
      </c>
      <c r="B3276" t="str">
        <f>"1551765536252224"</f>
        <v>1551765536252224</v>
      </c>
      <c r="C3276" t="s">
        <v>40</v>
      </c>
      <c r="D3276">
        <v>3.9970699999999999</v>
      </c>
      <c r="E3276">
        <v>0.53917789999999999</v>
      </c>
      <c r="F3276" t="s">
        <v>58</v>
      </c>
      <c r="G3276">
        <v>-202.84</v>
      </c>
      <c r="H3276" s="1">
        <v>3.8200309999999996E-6</v>
      </c>
      <c r="I3276">
        <v>210.6858</v>
      </c>
      <c r="J3276">
        <v>-225.99760000000001</v>
      </c>
      <c r="K3276">
        <v>1.110239</v>
      </c>
      <c r="L3276">
        <v>215.68549999999999</v>
      </c>
      <c r="M3276">
        <v>0.99990029999999996</v>
      </c>
      <c r="N3276">
        <v>-1.4107659999999999E-2</v>
      </c>
      <c r="O3276">
        <v>-7.4172379999999996E-4</v>
      </c>
      <c r="P3276">
        <v>0.9929521</v>
      </c>
      <c r="Q3276">
        <v>-5.0153179999999999E-2</v>
      </c>
      <c r="R3276">
        <v>-0.1073836</v>
      </c>
      <c r="S3276">
        <v>2.9465330000000001</v>
      </c>
      <c r="T3276">
        <v>-0.139256399999999</v>
      </c>
      <c r="U3276">
        <v>-0.62704469999999901</v>
      </c>
      <c r="V3276">
        <v>0.1067283</v>
      </c>
      <c r="W3276">
        <v>-3.589759E-2</v>
      </c>
      <c r="X3276">
        <v>0.99363999999999997</v>
      </c>
      <c r="Y3276">
        <v>0.2071317</v>
      </c>
      <c r="Z3276">
        <v>-6.2918719999999996E-3</v>
      </c>
      <c r="AA3276">
        <v>0.97829279999999996</v>
      </c>
      <c r="AB3276">
        <v>38</v>
      </c>
      <c r="AC3276">
        <v>23.157599999999999</v>
      </c>
      <c r="AD3276">
        <v>-1.110235179969</v>
      </c>
      <c r="AE3276">
        <v>-4.99969999999999</v>
      </c>
      <c r="AF3276">
        <v>4.9716021144359104</v>
      </c>
      <c r="AG3276">
        <v>-1.110235179969</v>
      </c>
      <c r="AH3276">
        <v>23.110548743334501</v>
      </c>
      <c r="AI3276">
        <v>92.688963148292103</v>
      </c>
      <c r="AJ3276">
        <v>77.859404043971296</v>
      </c>
      <c r="AK3276">
        <v>23.665310328773302</v>
      </c>
      <c r="AL3276">
        <v>92.057222381519793</v>
      </c>
      <c r="AM3276">
        <v>83.869283038188797</v>
      </c>
      <c r="AN3276">
        <v>1.0000000082943401</v>
      </c>
    </row>
    <row r="3277" spans="1:40" x14ac:dyDescent="0.25">
      <c r="A3277" t="str">
        <f>"20190305135856276"</f>
        <v>20190305135856276</v>
      </c>
      <c r="B3277" t="str">
        <f>"1551765536272720"</f>
        <v>1551765536272720</v>
      </c>
      <c r="C3277" t="s">
        <v>40</v>
      </c>
      <c r="D3277">
        <v>3.9763549999999999</v>
      </c>
      <c r="E3277">
        <v>0.53984919999999903</v>
      </c>
      <c r="F3277" t="s">
        <v>58</v>
      </c>
      <c r="G3277">
        <v>-202.5746</v>
      </c>
      <c r="H3277" s="1">
        <v>3.7051490000000002E-6</v>
      </c>
      <c r="I3277">
        <v>210.65360000000001</v>
      </c>
      <c r="J3277">
        <v>-225.72980000000001</v>
      </c>
      <c r="K3277">
        <v>1.1101730000000001</v>
      </c>
      <c r="L3277">
        <v>215.6857</v>
      </c>
      <c r="M3277">
        <v>0.99990060000000003</v>
      </c>
      <c r="N3277">
        <v>-1.4105650000000001E-2</v>
      </c>
      <c r="O3277">
        <v>-2.3768110000000001E-4</v>
      </c>
      <c r="P3277">
        <v>0.99290060000000002</v>
      </c>
      <c r="Q3277">
        <v>-4.8171810000000002E-2</v>
      </c>
      <c r="R3277">
        <v>-0.1087576</v>
      </c>
      <c r="S3277">
        <v>2.945786</v>
      </c>
      <c r="T3277">
        <v>-0.13962859999999999</v>
      </c>
      <c r="U3277">
        <v>-0.63282780000000005</v>
      </c>
      <c r="V3277">
        <v>0.1085926</v>
      </c>
      <c r="W3277">
        <v>-3.3934489999999998E-2</v>
      </c>
      <c r="X3277">
        <v>0.99350700000000003</v>
      </c>
      <c r="Y3277">
        <v>0.20950630000000001</v>
      </c>
      <c r="Z3277">
        <v>-6.3941529999999996E-3</v>
      </c>
      <c r="AA3277">
        <v>0.97778640000000006</v>
      </c>
      <c r="AB3277">
        <v>38</v>
      </c>
      <c r="AC3277">
        <v>23.155200000000001</v>
      </c>
      <c r="AD3277">
        <v>-1.11016929485099</v>
      </c>
      <c r="AE3277">
        <v>-5.0320999999999803</v>
      </c>
      <c r="AF3277">
        <v>5.0155864060404696</v>
      </c>
      <c r="AG3277">
        <v>-1.11016929485099</v>
      </c>
      <c r="AH3277">
        <v>23.105677895169201</v>
      </c>
      <c r="AI3277">
        <v>92.688289468148099</v>
      </c>
      <c r="AJ3277">
        <v>77.752718681765103</v>
      </c>
      <c r="AK3277">
        <v>23.669831724264601</v>
      </c>
      <c r="AL3277">
        <v>91.944676350911607</v>
      </c>
      <c r="AM3277">
        <v>83.762201856362097</v>
      </c>
      <c r="AN3277">
        <v>1.00000003071765</v>
      </c>
    </row>
    <row r="3278" spans="1:40" x14ac:dyDescent="0.25">
      <c r="A3278" t="str">
        <f>"20190305135856301"</f>
        <v>20190305135856301</v>
      </c>
      <c r="B3278" t="str">
        <f>"1551765536292240"</f>
        <v>1551765536292240</v>
      </c>
      <c r="C3278" t="s">
        <v>40</v>
      </c>
      <c r="D3278">
        <v>3.992772</v>
      </c>
      <c r="E3278">
        <v>0.54045900000000002</v>
      </c>
      <c r="F3278" t="s">
        <v>58</v>
      </c>
      <c r="G3278">
        <v>-201.8776</v>
      </c>
      <c r="H3278" s="1">
        <v>3.411092E-6</v>
      </c>
      <c r="I3278">
        <v>210.48179999999999</v>
      </c>
      <c r="J3278">
        <v>-225.34520000000001</v>
      </c>
      <c r="K3278">
        <v>1.1100589999999999</v>
      </c>
      <c r="L3278">
        <v>215.68620000000001</v>
      </c>
      <c r="M3278">
        <v>0.99990049999999997</v>
      </c>
      <c r="N3278">
        <v>-1.410283E-2</v>
      </c>
      <c r="O3278">
        <v>3.4480010000000001E-4</v>
      </c>
      <c r="P3278">
        <v>0.99274980000000002</v>
      </c>
      <c r="Q3278">
        <v>-4.7039089999999999E-2</v>
      </c>
      <c r="R3278">
        <v>-0.11061169999999999</v>
      </c>
      <c r="S3278">
        <v>2.9444270000000001</v>
      </c>
      <c r="T3278">
        <v>-0.13704450000000001</v>
      </c>
      <c r="U3278">
        <v>-0.64239499999999905</v>
      </c>
      <c r="V3278">
        <v>0.1110134</v>
      </c>
      <c r="W3278">
        <v>-3.2834660000000002E-2</v>
      </c>
      <c r="X3278">
        <v>0.99327639999999995</v>
      </c>
      <c r="Y3278">
        <v>0.2132059</v>
      </c>
      <c r="Z3278">
        <v>-6.4344850000000002E-3</v>
      </c>
      <c r="AA3278">
        <v>0.97698609999999997</v>
      </c>
      <c r="AB3278">
        <v>38</v>
      </c>
      <c r="AC3278">
        <v>23.467600000000001</v>
      </c>
      <c r="AD3278">
        <v>-1.1100555889079999</v>
      </c>
      <c r="AE3278">
        <v>-5.2044000000000201</v>
      </c>
      <c r="AF3278">
        <v>5.2013998259792196</v>
      </c>
      <c r="AG3278">
        <v>-1.1100555889079999</v>
      </c>
      <c r="AH3278">
        <v>23.415868191600801</v>
      </c>
      <c r="AI3278">
        <v>92.649651410489298</v>
      </c>
      <c r="AJ3278">
        <v>77.476150669669707</v>
      </c>
      <c r="AK3278">
        <v>24.012281581028201</v>
      </c>
      <c r="AL3278">
        <v>91.881625553537802</v>
      </c>
      <c r="AM3278">
        <v>83.622810528981802</v>
      </c>
      <c r="AN3278">
        <v>1.00000004833691</v>
      </c>
    </row>
    <row r="3279" spans="1:40" x14ac:dyDescent="0.25">
      <c r="A3279" t="str">
        <f>"20190305135856320"</f>
        <v>20190305135856320</v>
      </c>
      <c r="B3279" t="str">
        <f>"1551765536311760"</f>
        <v>1551765536311760</v>
      </c>
      <c r="C3279" t="s">
        <v>40</v>
      </c>
      <c r="D3279">
        <v>3.9609770000000002</v>
      </c>
      <c r="E3279">
        <v>0.54113900000000004</v>
      </c>
      <c r="F3279" t="s">
        <v>58</v>
      </c>
      <c r="G3279">
        <v>-201.82810000000001</v>
      </c>
      <c r="H3279" s="1">
        <v>3.3904260000000001E-6</v>
      </c>
      <c r="I3279">
        <v>210.46680000000001</v>
      </c>
      <c r="J3279">
        <v>-224.99690000000001</v>
      </c>
      <c r="K3279">
        <v>1.1099399999999999</v>
      </c>
      <c r="L3279">
        <v>215.68680000000001</v>
      </c>
      <c r="M3279">
        <v>0.99990029999999996</v>
      </c>
      <c r="N3279">
        <v>-1.4100359999999999E-2</v>
      </c>
      <c r="O3279">
        <v>7.125241E-4</v>
      </c>
      <c r="P3279">
        <v>0.99258049999999998</v>
      </c>
      <c r="Q3279">
        <v>-4.6830709999999998E-2</v>
      </c>
      <c r="R3279">
        <v>-0.11220769999999999</v>
      </c>
      <c r="S3279">
        <v>2.9425659999999998</v>
      </c>
      <c r="T3279">
        <v>-0.13889479999999901</v>
      </c>
      <c r="U3279">
        <v>-0.6530762</v>
      </c>
      <c r="V3279">
        <v>0.11296399999999999</v>
      </c>
      <c r="W3279">
        <v>-3.2662330000000003E-2</v>
      </c>
      <c r="X3279">
        <v>0.99306209999999995</v>
      </c>
      <c r="Y3279">
        <v>0.21706210000000001</v>
      </c>
      <c r="Z3279">
        <v>-6.6317360000000001E-3</v>
      </c>
      <c r="AA3279">
        <v>0.97613530000000004</v>
      </c>
      <c r="AB3279">
        <v>38</v>
      </c>
      <c r="AC3279">
        <v>23.168800000000001</v>
      </c>
      <c r="AD3279">
        <v>-1.109936609574</v>
      </c>
      <c r="AE3279">
        <v>-5.21999999999999</v>
      </c>
      <c r="AF3279">
        <v>5.2250961805416702</v>
      </c>
      <c r="AG3279">
        <v>-1.109936609574</v>
      </c>
      <c r="AH3279">
        <v>23.114588331753001</v>
      </c>
      <c r="AI3279">
        <v>92.681609090103805</v>
      </c>
      <c r="AJ3279">
        <v>77.262265148749705</v>
      </c>
      <c r="AK3279">
        <v>23.7237809617185</v>
      </c>
      <c r="AL3279">
        <v>91.871746538131106</v>
      </c>
      <c r="AM3279">
        <v>83.510317031022296</v>
      </c>
      <c r="AN3279">
        <v>1.00000001377671</v>
      </c>
    </row>
    <row r="3280" spans="1:40" x14ac:dyDescent="0.25">
      <c r="A3280" t="str">
        <f>"20190305135856335"</f>
        <v>20190305135856335</v>
      </c>
      <c r="B3280" t="str">
        <f>"1551765536332255"</f>
        <v>1551765536332255</v>
      </c>
      <c r="C3280" t="s">
        <v>40</v>
      </c>
      <c r="D3280">
        <v>3.929748</v>
      </c>
      <c r="E3280">
        <v>0.54162529999999998</v>
      </c>
      <c r="F3280" t="s">
        <v>58</v>
      </c>
      <c r="G3280">
        <v>-202.16059999999999</v>
      </c>
      <c r="H3280" s="1">
        <v>3.5320370000000002E-6</v>
      </c>
      <c r="I3280">
        <v>210.53399999999999</v>
      </c>
      <c r="J3280">
        <v>-224.73990000000001</v>
      </c>
      <c r="K3280">
        <v>1.109847</v>
      </c>
      <c r="L3280">
        <v>215.68719999999999</v>
      </c>
      <c r="M3280">
        <v>0.99990020000000002</v>
      </c>
      <c r="N3280">
        <v>-1.4098629999999999E-2</v>
      </c>
      <c r="O3280">
        <v>8.9931309999999895E-4</v>
      </c>
      <c r="P3280">
        <v>0.99253040000000003</v>
      </c>
      <c r="Q3280">
        <v>-4.6514630000000001E-2</v>
      </c>
      <c r="R3280">
        <v>-0.1127821</v>
      </c>
      <c r="S3280">
        <v>2.9406889999999999</v>
      </c>
      <c r="T3280">
        <v>-0.142929799999999</v>
      </c>
      <c r="U3280">
        <v>-0.66354369999999996</v>
      </c>
      <c r="V3280">
        <v>0.11371580000000001</v>
      </c>
      <c r="W3280">
        <v>-3.2373689999999997E-2</v>
      </c>
      <c r="X3280">
        <v>0.99298569999999997</v>
      </c>
      <c r="Y3280">
        <v>0.22066230000000001</v>
      </c>
      <c r="Z3280">
        <v>-6.8996480000000004E-3</v>
      </c>
      <c r="AA3280">
        <v>0.97532589999999997</v>
      </c>
      <c r="AB3280">
        <v>38</v>
      </c>
      <c r="AC3280">
        <v>22.5793</v>
      </c>
      <c r="AD3280">
        <v>-1.109843467963</v>
      </c>
      <c r="AE3280">
        <v>-5.1531999999999698</v>
      </c>
      <c r="AF3280">
        <v>5.1616524901184899</v>
      </c>
      <c r="AG3280">
        <v>-1.109843467963</v>
      </c>
      <c r="AH3280">
        <v>22.5229340272736</v>
      </c>
      <c r="AI3280">
        <v>92.749859546669299</v>
      </c>
      <c r="AJ3280">
        <v>77.092236579509205</v>
      </c>
      <c r="AK3280">
        <v>23.133459882798402</v>
      </c>
      <c r="AL3280">
        <v>91.855200015645593</v>
      </c>
      <c r="AM3280">
        <v>83.467000616032806</v>
      </c>
      <c r="AN3280">
        <v>0.99999996968917204</v>
      </c>
    </row>
    <row r="3281" spans="1:40" x14ac:dyDescent="0.25">
      <c r="A3281" t="str">
        <f>"20190305135856352"</f>
        <v>20190305135856352</v>
      </c>
      <c r="B3281" t="str">
        <f>"1551765536342016"</f>
        <v>1551765536342016</v>
      </c>
      <c r="C3281" t="s">
        <v>40</v>
      </c>
      <c r="D3281">
        <v>3.9459369999999998</v>
      </c>
      <c r="E3281">
        <v>0.54182980000000003</v>
      </c>
      <c r="F3281" t="s">
        <v>58</v>
      </c>
      <c r="G3281">
        <v>-202.51750000000001</v>
      </c>
      <c r="H3281" s="1">
        <v>3.6821610000000001E-6</v>
      </c>
      <c r="I3281">
        <v>210.6268</v>
      </c>
      <c r="J3281">
        <v>-224.441</v>
      </c>
      <c r="K3281">
        <v>1.1097360000000001</v>
      </c>
      <c r="L3281">
        <v>215.6876</v>
      </c>
      <c r="M3281">
        <v>0.99990020000000002</v>
      </c>
      <c r="N3281">
        <v>-1.409668E-2</v>
      </c>
      <c r="O3281">
        <v>1.0229919999999999E-3</v>
      </c>
      <c r="P3281">
        <v>0.99227989999999999</v>
      </c>
      <c r="Q3281">
        <v>-4.6084029999999998E-2</v>
      </c>
      <c r="R3281">
        <v>-0.11514000000000001</v>
      </c>
      <c r="S3281">
        <v>2.9396360000000001</v>
      </c>
      <c r="T3281">
        <v>-0.14681269999999999</v>
      </c>
      <c r="U3281">
        <v>-0.66940310000000003</v>
      </c>
      <c r="V3281">
        <v>0.1161871</v>
      </c>
      <c r="W3281">
        <v>-3.19768E-2</v>
      </c>
      <c r="X3281">
        <v>0.99271240000000005</v>
      </c>
      <c r="Y3281">
        <v>0.22268750000000001</v>
      </c>
      <c r="Z3281">
        <v>-7.114095E-3</v>
      </c>
      <c r="AA3281">
        <v>0.97486390000000001</v>
      </c>
      <c r="AB3281">
        <v>38</v>
      </c>
      <c r="AC3281">
        <v>21.923499999999901</v>
      </c>
      <c r="AD3281">
        <v>-1.1097323178389999</v>
      </c>
      <c r="AE3281">
        <v>-5.0608000000000004</v>
      </c>
      <c r="AF3281">
        <v>5.0708917091077002</v>
      </c>
      <c r="AG3281">
        <v>-1.1097323178389999</v>
      </c>
      <c r="AH3281">
        <v>21.865121832252299</v>
      </c>
      <c r="AI3281">
        <v>92.830475295013201</v>
      </c>
      <c r="AJ3281">
        <v>76.942966013216207</v>
      </c>
      <c r="AK3281">
        <v>22.472850315035501</v>
      </c>
      <c r="AL3281">
        <v>91.832448179196504</v>
      </c>
      <c r="AM3281">
        <v>83.324470357650398</v>
      </c>
      <c r="AN3281">
        <v>0.99999993352920202</v>
      </c>
    </row>
    <row r="3282" spans="1:40" x14ac:dyDescent="0.25">
      <c r="A3282" t="str">
        <f>"20190305135856376"</f>
        <v>20190305135856376</v>
      </c>
      <c r="B3282" t="str">
        <f>"1551765536372272"</f>
        <v>1551765536372272</v>
      </c>
      <c r="C3282" t="s">
        <v>40</v>
      </c>
      <c r="D3282">
        <v>4.2817590000000001</v>
      </c>
      <c r="E3282">
        <v>0.54228969999999999</v>
      </c>
      <c r="F3282" t="s">
        <v>58</v>
      </c>
      <c r="G3282">
        <v>-202.3887</v>
      </c>
      <c r="H3282" s="1">
        <v>3.6276159999999998E-6</v>
      </c>
      <c r="I3282">
        <v>210.59719999999999</v>
      </c>
      <c r="J3282">
        <v>-224.05940000000001</v>
      </c>
      <c r="K3282">
        <v>1.1095900000000001</v>
      </c>
      <c r="L3282">
        <v>215.68809999999999</v>
      </c>
      <c r="M3282">
        <v>0.99990020000000002</v>
      </c>
      <c r="N3282">
        <v>-1.4094249999999999E-2</v>
      </c>
      <c r="O3282">
        <v>1.0254540000000001E-3</v>
      </c>
      <c r="P3282">
        <v>0.99208949999999996</v>
      </c>
      <c r="Q3282">
        <v>-4.5792510000000002E-2</v>
      </c>
      <c r="R3282">
        <v>-0.1168831</v>
      </c>
      <c r="S3282">
        <v>2.9377900000000001</v>
      </c>
      <c r="T3282">
        <v>-0.147837</v>
      </c>
      <c r="U3282">
        <v>-0.67813109999999999</v>
      </c>
      <c r="V3282">
        <v>0.1179206</v>
      </c>
      <c r="W3282">
        <v>-3.1732059999999999E-2</v>
      </c>
      <c r="X3282">
        <v>0.99251590000000001</v>
      </c>
      <c r="Y3282">
        <v>0.2255643</v>
      </c>
      <c r="Z3282">
        <v>-7.2465949999999998E-3</v>
      </c>
      <c r="AA3282">
        <v>0.97420130000000005</v>
      </c>
      <c r="AB3282">
        <v>38</v>
      </c>
      <c r="AC3282">
        <v>21.6707</v>
      </c>
      <c r="AD3282">
        <v>-1.10958637238399</v>
      </c>
      <c r="AE3282">
        <v>-5.0909000000000004</v>
      </c>
      <c r="AF3282">
        <v>5.1004495471107303</v>
      </c>
      <c r="AG3282">
        <v>-1.10958637238399</v>
      </c>
      <c r="AH3282">
        <v>21.611772216788498</v>
      </c>
      <c r="AI3282">
        <v>92.860635562263894</v>
      </c>
      <c r="AJ3282">
        <v>76.720984634305907</v>
      </c>
      <c r="AK3282">
        <v>22.233183889194901</v>
      </c>
      <c r="AL3282">
        <v>91.818418365443804</v>
      </c>
      <c r="AM3282">
        <v>83.224462300728703</v>
      </c>
      <c r="AN3282">
        <v>1.0000000016445001</v>
      </c>
    </row>
    <row r="3283" spans="1:40" x14ac:dyDescent="0.25">
      <c r="A3283" t="str">
        <f>"20190305135856398"</f>
        <v>20190305135856398</v>
      </c>
      <c r="B3283" t="str">
        <f>"1551765536392769"</f>
        <v>1551765536392769</v>
      </c>
      <c r="C3283" t="s">
        <v>40</v>
      </c>
      <c r="D3283">
        <v>3.9403899999999998</v>
      </c>
      <c r="E3283">
        <v>0.55126169999999997</v>
      </c>
      <c r="F3283" t="s">
        <v>58</v>
      </c>
      <c r="G3283">
        <v>-202.5754</v>
      </c>
      <c r="H3283" s="1">
        <v>3.7049989999999999E-6</v>
      </c>
      <c r="I3283">
        <v>210.6593</v>
      </c>
      <c r="J3283">
        <v>-223.68350000000001</v>
      </c>
      <c r="K3283">
        <v>1.109434</v>
      </c>
      <c r="L3283">
        <v>215.6884</v>
      </c>
      <c r="M3283">
        <v>0.99990040000000002</v>
      </c>
      <c r="N3283">
        <v>-1.409211E-2</v>
      </c>
      <c r="O3283">
        <v>8.4297270000000001E-4</v>
      </c>
      <c r="P3283">
        <v>0.99193750000000003</v>
      </c>
      <c r="Q3283">
        <v>-4.4843769999999998E-2</v>
      </c>
      <c r="R3283">
        <v>-0.1185296</v>
      </c>
      <c r="S3283">
        <v>2.935959</v>
      </c>
      <c r="T3283">
        <v>-0.15163360000000001</v>
      </c>
      <c r="U3283">
        <v>-0.68722530000000004</v>
      </c>
      <c r="V3283">
        <v>0.1193734</v>
      </c>
      <c r="W3283">
        <v>-3.0833300000000001E-2</v>
      </c>
      <c r="X3283">
        <v>0.99237050000000004</v>
      </c>
      <c r="Y3283">
        <v>0.2283608</v>
      </c>
      <c r="Z3283">
        <v>-7.4778279999999997E-3</v>
      </c>
      <c r="AA3283">
        <v>0.97354790000000002</v>
      </c>
      <c r="AB3283">
        <v>38</v>
      </c>
      <c r="AC3283">
        <v>21.1081</v>
      </c>
      <c r="AD3283">
        <v>-1.109430295001</v>
      </c>
      <c r="AE3283">
        <v>-5.0290999999999997</v>
      </c>
      <c r="AF3283">
        <v>5.0337348129197297</v>
      </c>
      <c r="AG3283">
        <v>-1.109430295001</v>
      </c>
      <c r="AH3283">
        <v>21.048828807446</v>
      </c>
      <c r="AI3283">
        <v>92.9345268519765</v>
      </c>
      <c r="AJ3283">
        <v>76.550562999856396</v>
      </c>
      <c r="AK3283">
        <v>21.670775618593598</v>
      </c>
      <c r="AL3283">
        <v>91.766898075937604</v>
      </c>
      <c r="AM3283">
        <v>83.140781649217104</v>
      </c>
      <c r="AN3283">
        <v>0.99999995514334905</v>
      </c>
    </row>
    <row r="3284" spans="1:40" x14ac:dyDescent="0.25">
      <c r="A3284" t="str">
        <f>"20190305135856421"</f>
        <v>20190305135856421</v>
      </c>
      <c r="B3284" t="str">
        <f>"1551765536412294"</f>
        <v>1551765536412294</v>
      </c>
      <c r="C3284" t="s">
        <v>40</v>
      </c>
      <c r="D3284">
        <v>3.9268740000000002</v>
      </c>
      <c r="E3284">
        <v>0.55151249999999996</v>
      </c>
      <c r="F3284" t="s">
        <v>58</v>
      </c>
      <c r="G3284">
        <v>-204.5258</v>
      </c>
      <c r="H3284" s="1">
        <v>4.5680729999999998E-6</v>
      </c>
      <c r="I3284">
        <v>210.6808</v>
      </c>
      <c r="J3284">
        <v>-223.3092</v>
      </c>
      <c r="K3284">
        <v>1.109262</v>
      </c>
      <c r="L3284">
        <v>215.6885</v>
      </c>
      <c r="M3284">
        <v>0.99990060000000003</v>
      </c>
      <c r="N3284">
        <v>-1.409032E-2</v>
      </c>
      <c r="O3284">
        <v>4.7445510000000002E-4</v>
      </c>
      <c r="P3284">
        <v>0.99183500000000002</v>
      </c>
      <c r="Q3284">
        <v>-4.4098529999999997E-2</v>
      </c>
      <c r="R3284">
        <v>-0.1196618</v>
      </c>
      <c r="S3284">
        <v>2.9253390000000001</v>
      </c>
      <c r="T3284">
        <v>-0.16940820000000001</v>
      </c>
      <c r="U3284">
        <v>-0.76466369999999995</v>
      </c>
      <c r="V3284">
        <v>0.1201272</v>
      </c>
      <c r="W3284">
        <v>-3.013969E-2</v>
      </c>
      <c r="X3284">
        <v>0.99230090000000004</v>
      </c>
      <c r="Y3284">
        <v>0.25285629999999998</v>
      </c>
      <c r="Z3284">
        <v>-9.0279620000000005E-3</v>
      </c>
      <c r="AA3284">
        <v>0.96746169999999998</v>
      </c>
      <c r="AB3284">
        <v>38</v>
      </c>
      <c r="AC3284">
        <v>18.7834</v>
      </c>
      <c r="AD3284">
        <v>-1.1092574319270001</v>
      </c>
      <c r="AE3284">
        <v>-5.0076999999999998</v>
      </c>
      <c r="AF3284">
        <v>5.0003307025882702</v>
      </c>
      <c r="AG3284">
        <v>-1.1092574319270001</v>
      </c>
      <c r="AH3284">
        <v>18.720067601674899</v>
      </c>
      <c r="AI3284">
        <v>93.276487300763307</v>
      </c>
      <c r="AJ3284">
        <v>75.044832281944295</v>
      </c>
      <c r="AK3284">
        <v>19.408108877394799</v>
      </c>
      <c r="AL3284">
        <v>91.727138570868902</v>
      </c>
      <c r="AM3284">
        <v>83.097405243726797</v>
      </c>
      <c r="AN3284">
        <v>1.00000001061697</v>
      </c>
    </row>
    <row r="3285" spans="1:40" x14ac:dyDescent="0.25">
      <c r="A3285" t="str">
        <f>"20190305135856442"</f>
        <v>20190305135856442</v>
      </c>
      <c r="B3285" t="str">
        <f>"1551765536431808"</f>
        <v>1551765536431808</v>
      </c>
      <c r="C3285" t="s">
        <v>40</v>
      </c>
      <c r="D3285">
        <v>3.8513350000000002</v>
      </c>
      <c r="E3285">
        <v>0.53361619999999998</v>
      </c>
      <c r="F3285" t="s">
        <v>58</v>
      </c>
      <c r="G3285">
        <v>-203.76249999999999</v>
      </c>
      <c r="H3285" s="1">
        <v>4.2416229999999998E-6</v>
      </c>
      <c r="I3285">
        <v>210.54300000000001</v>
      </c>
      <c r="J3285">
        <v>-222.941</v>
      </c>
      <c r="K3285">
        <v>1.1090979999999999</v>
      </c>
      <c r="L3285">
        <v>215.6883</v>
      </c>
      <c r="M3285">
        <v>0.99990089999999998</v>
      </c>
      <c r="N3285">
        <v>-1.4088750000000001E-2</v>
      </c>
      <c r="O3285" s="1">
        <v>-3.9160879999999998E-5</v>
      </c>
      <c r="P3285">
        <v>0.99177870000000001</v>
      </c>
      <c r="Q3285">
        <v>-4.438243E-2</v>
      </c>
      <c r="R3285">
        <v>-0.12002309999999999</v>
      </c>
      <c r="S3285">
        <v>2.9244379999999999</v>
      </c>
      <c r="T3285">
        <v>-0.16595969999999999</v>
      </c>
      <c r="U3285">
        <v>-0.76983639999999998</v>
      </c>
      <c r="V3285">
        <v>0.119967</v>
      </c>
      <c r="W3285">
        <v>-3.0473170000000001E-2</v>
      </c>
      <c r="X3285">
        <v>0.99231009999999997</v>
      </c>
      <c r="Y3285">
        <v>0.25404929999999998</v>
      </c>
      <c r="Z3285">
        <v>-8.9021469999999991E-3</v>
      </c>
      <c r="AA3285">
        <v>0.96715030000000002</v>
      </c>
      <c r="AB3285">
        <v>38</v>
      </c>
      <c r="AC3285">
        <v>19.1784999999999</v>
      </c>
      <c r="AD3285">
        <v>-1.109093758377</v>
      </c>
      <c r="AE3285">
        <v>-5.14529999999999</v>
      </c>
      <c r="AF3285">
        <v>5.1285490066922899</v>
      </c>
      <c r="AG3285">
        <v>-1.109093758377</v>
      </c>
      <c r="AH3285">
        <v>19.119054541438</v>
      </c>
      <c r="AI3285">
        <v>93.206878657042495</v>
      </c>
      <c r="AJ3285">
        <v>74.984304778412806</v>
      </c>
      <c r="AK3285">
        <v>19.8260018772671</v>
      </c>
      <c r="AL3285">
        <v>91.746254340620197</v>
      </c>
      <c r="AM3285">
        <v>83.106585112404204</v>
      </c>
      <c r="AN3285">
        <v>1.00000001487042</v>
      </c>
    </row>
    <row r="3286" spans="1:40" x14ac:dyDescent="0.25">
      <c r="A3286" t="str">
        <f>"20190305135856464"</f>
        <v>20190305135856464</v>
      </c>
      <c r="B3286" t="str">
        <f>"1551765536452304"</f>
        <v>1551765536452304</v>
      </c>
      <c r="C3286" t="s">
        <v>40</v>
      </c>
      <c r="D3286">
        <v>3.8802680000000001</v>
      </c>
      <c r="E3286">
        <v>0.47672969999999998</v>
      </c>
      <c r="F3286" t="s">
        <v>58</v>
      </c>
      <c r="G3286">
        <v>-199.2903</v>
      </c>
      <c r="H3286" s="1">
        <v>2.6636179999999999E-6</v>
      </c>
      <c r="I3286">
        <v>210.64760000000001</v>
      </c>
      <c r="J3286">
        <v>-222.56710000000001</v>
      </c>
      <c r="K3286">
        <v>1.1089420000000001</v>
      </c>
      <c r="L3286">
        <v>215.68780000000001</v>
      </c>
      <c r="M3286">
        <v>0.99990049999999997</v>
      </c>
      <c r="N3286">
        <v>-1.408715E-2</v>
      </c>
      <c r="O3286">
        <v>-6.7813369999999995E-4</v>
      </c>
      <c r="P3286">
        <v>0.9917416</v>
      </c>
      <c r="Q3286">
        <v>-4.5517170000000003E-2</v>
      </c>
      <c r="R3286">
        <v>-0.119904399999999</v>
      </c>
      <c r="S3286">
        <v>2.9427949999999998</v>
      </c>
      <c r="T3286">
        <v>-0.1380014</v>
      </c>
      <c r="U3286">
        <v>-0.62719729999999996</v>
      </c>
      <c r="V3286">
        <v>0.1192018</v>
      </c>
      <c r="W3286">
        <v>-3.1653309999999997E-2</v>
      </c>
      <c r="X3286">
        <v>0.99236539999999995</v>
      </c>
      <c r="Y3286">
        <v>0.20749889999999999</v>
      </c>
      <c r="Z3286">
        <v>-6.2655749999999998E-3</v>
      </c>
      <c r="AA3286">
        <v>0.97821519999999995</v>
      </c>
      <c r="AB3286">
        <v>38</v>
      </c>
      <c r="AC3286">
        <v>23.276800000000001</v>
      </c>
      <c r="AD3286">
        <v>-1.1089393363819999</v>
      </c>
      <c r="AE3286">
        <v>-5.0401999999999898</v>
      </c>
      <c r="AF3286">
        <v>5.01354287754996</v>
      </c>
      <c r="AG3286">
        <v>-1.1089393363819999</v>
      </c>
      <c r="AH3286">
        <v>23.2298494310532</v>
      </c>
      <c r="AI3286">
        <v>92.671670842125195</v>
      </c>
      <c r="AJ3286">
        <v>77.821039747041496</v>
      </c>
      <c r="AK3286">
        <v>23.790570889035202</v>
      </c>
      <c r="AL3286">
        <v>91.8139039779944</v>
      </c>
      <c r="AM3286">
        <v>83.1505132112556</v>
      </c>
      <c r="AN3286">
        <v>1.0000000441371699</v>
      </c>
    </row>
    <row r="3287" spans="1:40" x14ac:dyDescent="0.25">
      <c r="A3287" t="str">
        <f>"20190305135856488"</f>
        <v>20190305135856488</v>
      </c>
      <c r="B3287" t="str">
        <f>"1551765536482560"</f>
        <v>1551765536482560</v>
      </c>
      <c r="C3287" t="s">
        <v>40</v>
      </c>
      <c r="D3287">
        <v>3.7668159999999999</v>
      </c>
      <c r="E3287">
        <v>0.47230949999999999</v>
      </c>
      <c r="F3287" t="s">
        <v>70</v>
      </c>
      <c r="G3287">
        <v>-121.2531</v>
      </c>
      <c r="H3287">
        <v>1.413017</v>
      </c>
      <c r="I3287">
        <v>210.0839</v>
      </c>
      <c r="J3287">
        <v>-222.17150000000001</v>
      </c>
      <c r="K3287">
        <v>1.108789</v>
      </c>
      <c r="L3287">
        <v>215.68680000000001</v>
      </c>
      <c r="M3287">
        <v>0.99989969999999995</v>
      </c>
      <c r="N3287">
        <v>-1.4085240000000001E-2</v>
      </c>
      <c r="O3287">
        <v>-1.4739340000000001E-3</v>
      </c>
      <c r="P3287">
        <v>0.99165879999999995</v>
      </c>
      <c r="Q3287">
        <v>-4.6197490000000001E-2</v>
      </c>
      <c r="R3287">
        <v>-0.1203278</v>
      </c>
      <c r="S3287">
        <v>3.0052949999999998</v>
      </c>
      <c r="T3287">
        <v>9.0208049999999998E-3</v>
      </c>
      <c r="U3287">
        <v>-0.16622919999999999</v>
      </c>
      <c r="V3287">
        <v>0.118824</v>
      </c>
      <c r="W3287">
        <v>-3.2376130000000003E-2</v>
      </c>
      <c r="X3287">
        <v>0.99238740000000003</v>
      </c>
      <c r="Y3287">
        <v>5.375692E-2</v>
      </c>
      <c r="Z3287">
        <v>-3.2344319999999999E-4</v>
      </c>
      <c r="AA3287">
        <v>0.99855400000000005</v>
      </c>
      <c r="AB3287">
        <v>38</v>
      </c>
      <c r="AC3287">
        <v>100.91840000000001</v>
      </c>
      <c r="AD3287">
        <v>0.304227999999999</v>
      </c>
      <c r="AE3287">
        <v>-5.6029</v>
      </c>
      <c r="AF3287">
        <v>5.4540826793255999</v>
      </c>
      <c r="AG3287">
        <v>0.304227999999999</v>
      </c>
      <c r="AH3287">
        <v>100.925635109523</v>
      </c>
      <c r="AI3287">
        <v>89.827541032241598</v>
      </c>
      <c r="AJ3287">
        <v>86.906710102058597</v>
      </c>
      <c r="AK3287">
        <v>101.073356503133</v>
      </c>
      <c r="AL3287">
        <v>91.855339733778806</v>
      </c>
      <c r="AM3287">
        <v>83.172166745129303</v>
      </c>
      <c r="AN3287">
        <v>1.00000005422426</v>
      </c>
    </row>
    <row r="3288" spans="1:40" x14ac:dyDescent="0.25">
      <c r="A3288" t="str">
        <f>"20190305135856509"</f>
        <v>20190305135856509</v>
      </c>
      <c r="B3288" t="str">
        <f>"1551765536502080"</f>
        <v>1551765536502080</v>
      </c>
      <c r="C3288" t="s">
        <v>40</v>
      </c>
      <c r="D3288">
        <v>3.7958180000000001</v>
      </c>
      <c r="E3288">
        <v>0.47441359999999999</v>
      </c>
      <c r="F3288" t="s">
        <v>77</v>
      </c>
      <c r="G3288">
        <v>-107.39749999999999</v>
      </c>
      <c r="H3288">
        <v>1.9422330000000001</v>
      </c>
      <c r="I3288">
        <v>210.6602</v>
      </c>
      <c r="J3288">
        <v>-221.80279999999999</v>
      </c>
      <c r="K3288">
        <v>1.1086800000000001</v>
      </c>
      <c r="L3288">
        <v>215.68549999999999</v>
      </c>
      <c r="M3288">
        <v>0.99989830000000002</v>
      </c>
      <c r="N3288">
        <v>-1.408329E-2</v>
      </c>
      <c r="O3288">
        <v>-2.312808E-3</v>
      </c>
      <c r="P3288">
        <v>0.99157379999999995</v>
      </c>
      <c r="Q3288">
        <v>-4.7025049999999999E-2</v>
      </c>
      <c r="R3288">
        <v>-0.12070790000000001</v>
      </c>
      <c r="S3288">
        <v>3.0102540000000002</v>
      </c>
      <c r="T3288">
        <v>2.1860600000000001E-2</v>
      </c>
      <c r="U3288">
        <v>-0.13183590000000001</v>
      </c>
      <c r="V3288">
        <v>0.11836240000000001</v>
      </c>
      <c r="W3288">
        <v>-3.323649E-2</v>
      </c>
      <c r="X3288">
        <v>0.99241409999999997</v>
      </c>
      <c r="Y3288">
        <v>4.1444290000000002E-2</v>
      </c>
      <c r="Z3288">
        <v>-1.9091999999999999E-4</v>
      </c>
      <c r="AA3288">
        <v>0.99914080000000005</v>
      </c>
      <c r="AB3288">
        <v>38</v>
      </c>
      <c r="AC3288">
        <v>114.4053</v>
      </c>
      <c r="AD3288">
        <v>0.83355299999999999</v>
      </c>
      <c r="AE3288">
        <v>-5.0252999999999801</v>
      </c>
      <c r="AF3288">
        <v>4.7604106383500104</v>
      </c>
      <c r="AG3288">
        <v>0.83355299999999999</v>
      </c>
      <c r="AH3288">
        <v>114.41055584148801</v>
      </c>
      <c r="AI3288">
        <v>89.582932377185401</v>
      </c>
      <c r="AJ3288">
        <v>87.617403390386102</v>
      </c>
      <c r="AK3288">
        <v>114.51258274970399</v>
      </c>
      <c r="AL3288">
        <v>91.904661316539702</v>
      </c>
      <c r="AM3288">
        <v>83.198623395173101</v>
      </c>
      <c r="AN3288">
        <v>1.0000000339400399</v>
      </c>
    </row>
    <row r="3289" spans="1:40" x14ac:dyDescent="0.25">
      <c r="A3289" t="str">
        <f>"20190305135856531"</f>
        <v>20190305135856531</v>
      </c>
      <c r="B3289" t="str">
        <f>"1551765536522576"</f>
        <v>1551765536522576</v>
      </c>
      <c r="C3289" t="s">
        <v>40</v>
      </c>
      <c r="D3289">
        <v>3.7997489999999998</v>
      </c>
      <c r="E3289">
        <v>0.4747787</v>
      </c>
      <c r="F3289" t="s">
        <v>77</v>
      </c>
      <c r="G3289">
        <v>-107.39749999999999</v>
      </c>
      <c r="H3289">
        <v>1.512329</v>
      </c>
      <c r="I3289">
        <v>209.96680000000001</v>
      </c>
      <c r="J3289">
        <v>-221.43209999999999</v>
      </c>
      <c r="K3289">
        <v>1.1085940000000001</v>
      </c>
      <c r="L3289">
        <v>215.68379999999999</v>
      </c>
      <c r="M3289">
        <v>0.9998958</v>
      </c>
      <c r="N3289">
        <v>-1.408125E-2</v>
      </c>
      <c r="O3289">
        <v>-3.2268819999999999E-3</v>
      </c>
      <c r="P3289">
        <v>0.99143009999999998</v>
      </c>
      <c r="Q3289">
        <v>-4.7350919999999998E-2</v>
      </c>
      <c r="R3289">
        <v>-0.1217569</v>
      </c>
      <c r="S3289">
        <v>3.0077060000000002</v>
      </c>
      <c r="T3289">
        <v>1.06132E-2</v>
      </c>
      <c r="U3289">
        <v>-0.150344799999999</v>
      </c>
      <c r="V3289">
        <v>0.11849709999999999</v>
      </c>
      <c r="W3289">
        <v>-3.3590710000000003E-2</v>
      </c>
      <c r="X3289">
        <v>0.99238599999999999</v>
      </c>
      <c r="Y3289">
        <v>4.6702149999999998E-2</v>
      </c>
      <c r="Z3289">
        <v>-3.0347609999999999E-4</v>
      </c>
      <c r="AA3289">
        <v>0.99890880000000004</v>
      </c>
      <c r="AB3289">
        <v>38</v>
      </c>
      <c r="AC3289">
        <v>114.0346</v>
      </c>
      <c r="AD3289">
        <v>0.40373500000000001</v>
      </c>
      <c r="AE3289">
        <v>-5.7169999999999801</v>
      </c>
      <c r="AF3289">
        <v>5.3488907208045502</v>
      </c>
      <c r="AG3289">
        <v>0.40373500000000001</v>
      </c>
      <c r="AH3289">
        <v>114.05103005422799</v>
      </c>
      <c r="AI3289">
        <v>89.797399312763602</v>
      </c>
      <c r="AJ3289">
        <v>87.314847012526002</v>
      </c>
      <c r="AK3289">
        <v>114.177104054726</v>
      </c>
      <c r="AL3289">
        <v>91.924968155091804</v>
      </c>
      <c r="AM3289">
        <v>83.190764860556598</v>
      </c>
      <c r="AN3289">
        <v>0.99999993575135404</v>
      </c>
    </row>
    <row r="3290" spans="1:40" x14ac:dyDescent="0.25">
      <c r="A3290" t="str">
        <f>"20190305135856553"</f>
        <v>20190305135856553</v>
      </c>
      <c r="B3290" t="str">
        <f>"1551765536542096"</f>
        <v>1551765536542096</v>
      </c>
      <c r="C3290" t="s">
        <v>40</v>
      </c>
      <c r="D3290">
        <v>3.8123490000000002</v>
      </c>
      <c r="E3290">
        <v>0.47521249999999998</v>
      </c>
      <c r="F3290" t="s">
        <v>77</v>
      </c>
      <c r="G3290">
        <v>-107.39749999999999</v>
      </c>
      <c r="H3290">
        <v>1.4925710000000001</v>
      </c>
      <c r="I3290">
        <v>209.74119999999999</v>
      </c>
      <c r="J3290">
        <v>-221.06630000000001</v>
      </c>
      <c r="K3290">
        <v>1.108522</v>
      </c>
      <c r="L3290">
        <v>215.68180000000001</v>
      </c>
      <c r="M3290">
        <v>0.99989220000000001</v>
      </c>
      <c r="N3290">
        <v>-1.4079360000000001E-2</v>
      </c>
      <c r="O3290">
        <v>-4.173721E-3</v>
      </c>
      <c r="P3290">
        <v>0.99133249999999995</v>
      </c>
      <c r="Q3290">
        <v>-4.6697460000000003E-2</v>
      </c>
      <c r="R3290">
        <v>-0.1227983</v>
      </c>
      <c r="S3290">
        <v>3.0071409999999998</v>
      </c>
      <c r="T3290">
        <v>1.0126949999999999E-2</v>
      </c>
      <c r="U3290">
        <v>-0.15670780000000001</v>
      </c>
      <c r="V3290">
        <v>0.11859550000000001</v>
      </c>
      <c r="W3290">
        <v>-3.2958939999999999E-2</v>
      </c>
      <c r="X3290">
        <v>0.99239549999999999</v>
      </c>
      <c r="Y3290">
        <v>4.7873819999999997E-2</v>
      </c>
      <c r="Z3290">
        <v>-3.2947549999999998E-4</v>
      </c>
      <c r="AA3290">
        <v>0.99885330000000006</v>
      </c>
      <c r="AB3290">
        <v>38</v>
      </c>
      <c r="AC3290">
        <v>113.6688</v>
      </c>
      <c r="AD3290">
        <v>0.38404899999999897</v>
      </c>
      <c r="AE3290">
        <v>-5.9406000000000097</v>
      </c>
      <c r="AF3290">
        <v>5.4660171479895503</v>
      </c>
      <c r="AG3290">
        <v>0.38404899999999897</v>
      </c>
      <c r="AH3290">
        <v>113.691312315877</v>
      </c>
      <c r="AI3290">
        <v>89.806679017208893</v>
      </c>
      <c r="AJ3290">
        <v>87.247470016086098</v>
      </c>
      <c r="AK3290">
        <v>113.823281156373</v>
      </c>
      <c r="AL3290">
        <v>91.888750208093796</v>
      </c>
      <c r="AM3290">
        <v>83.185228250909901</v>
      </c>
      <c r="AN3290">
        <v>1.00000000638321</v>
      </c>
    </row>
    <row r="3291" spans="1:40" x14ac:dyDescent="0.25">
      <c r="A3291" t="str">
        <f>"20190305135856576"</f>
        <v>20190305135856576</v>
      </c>
      <c r="B3291" t="str">
        <f>"1551765536572352"</f>
        <v>1551765536572352</v>
      </c>
      <c r="C3291" t="s">
        <v>40</v>
      </c>
      <c r="D3291">
        <v>3.8321519999999998</v>
      </c>
      <c r="E3291">
        <v>0.47572559999999903</v>
      </c>
      <c r="F3291" t="s">
        <v>70</v>
      </c>
      <c r="G3291">
        <v>-120.4182</v>
      </c>
      <c r="H3291">
        <v>1.581501</v>
      </c>
      <c r="I3291">
        <v>210.22040000000001</v>
      </c>
      <c r="J3291">
        <v>-220.68809999999999</v>
      </c>
      <c r="K3291">
        <v>1.108473</v>
      </c>
      <c r="L3291">
        <v>215.67930000000001</v>
      </c>
      <c r="M3291">
        <v>0.99988750000000004</v>
      </c>
      <c r="N3291">
        <v>-1.407716E-2</v>
      </c>
      <c r="O3291">
        <v>-5.1781120000000003E-3</v>
      </c>
      <c r="P3291">
        <v>0.99128110000000003</v>
      </c>
      <c r="Q3291">
        <v>-4.5135700000000001E-2</v>
      </c>
      <c r="R3291">
        <v>-0.123793</v>
      </c>
      <c r="S3291">
        <v>3.0066679999999999</v>
      </c>
      <c r="T3291">
        <v>1.4130230000000001E-2</v>
      </c>
      <c r="U3291">
        <v>-0.16314699999999999</v>
      </c>
      <c r="V3291">
        <v>0.1185928</v>
      </c>
      <c r="W3291">
        <v>-3.1414299999999999E-2</v>
      </c>
      <c r="X3291">
        <v>0.99244589999999999</v>
      </c>
      <c r="Y3291">
        <v>4.901225E-2</v>
      </c>
      <c r="Z3291">
        <v>-3.273196E-4</v>
      </c>
      <c r="AA3291">
        <v>0.99879810000000002</v>
      </c>
      <c r="AB3291">
        <v>38</v>
      </c>
      <c r="AC3291">
        <v>100.26990000000001</v>
      </c>
      <c r="AD3291">
        <v>0.473027999999999</v>
      </c>
      <c r="AE3291">
        <v>-5.4588999999999999</v>
      </c>
      <c r="AF3291">
        <v>4.9394569696356898</v>
      </c>
      <c r="AG3291">
        <v>0.473027999999999</v>
      </c>
      <c r="AH3291">
        <v>100.294599575361</v>
      </c>
      <c r="AI3291">
        <v>89.730100136693906</v>
      </c>
      <c r="AJ3291">
        <v>87.180490710611295</v>
      </c>
      <c r="AK3291">
        <v>100.417272889806</v>
      </c>
      <c r="AL3291">
        <v>91.800203002663693</v>
      </c>
      <c r="AM3291">
        <v>83.185724756867998</v>
      </c>
      <c r="AN3291">
        <v>0.99999998744156904</v>
      </c>
    </row>
    <row r="3292" spans="1:40" x14ac:dyDescent="0.25">
      <c r="A3292" t="str">
        <f>"20190305135856599"</f>
        <v>20190305135856599</v>
      </c>
      <c r="B3292" t="str">
        <f>"1551765536591875"</f>
        <v>1551765536591875</v>
      </c>
      <c r="C3292" t="s">
        <v>40</v>
      </c>
      <c r="D3292">
        <v>3.8288509999999998</v>
      </c>
      <c r="E3292">
        <v>0.47603200000000001</v>
      </c>
      <c r="F3292" t="s">
        <v>70</v>
      </c>
      <c r="G3292">
        <v>-121.25320000000001</v>
      </c>
      <c r="H3292">
        <v>1.7391970000000001</v>
      </c>
      <c r="I3292">
        <v>210.04990000000001</v>
      </c>
      <c r="J3292">
        <v>-220.30029999999999</v>
      </c>
      <c r="K3292">
        <v>1.108436</v>
      </c>
      <c r="L3292">
        <v>215.6763</v>
      </c>
      <c r="M3292">
        <v>0.99988160000000004</v>
      </c>
      <c r="N3292">
        <v>-1.407455E-2</v>
      </c>
      <c r="O3292">
        <v>-6.2198150000000001E-3</v>
      </c>
      <c r="P3292">
        <v>0.99116689999999996</v>
      </c>
      <c r="Q3292">
        <v>-4.3811709999999997E-2</v>
      </c>
      <c r="R3292">
        <v>-0.12517539999999999</v>
      </c>
      <c r="S3292">
        <v>3.0059969999999998</v>
      </c>
      <c r="T3292">
        <v>1.906824E-2</v>
      </c>
      <c r="U3292">
        <v>-0.17018129999999901</v>
      </c>
      <c r="V3292">
        <v>0.1189421</v>
      </c>
      <c r="W3292">
        <v>-3.0105839999999998E-2</v>
      </c>
      <c r="X3292">
        <v>0.99244469999999996</v>
      </c>
      <c r="Y3292">
        <v>5.0314369999999997E-2</v>
      </c>
      <c r="Z3292">
        <v>-3.2181730000000001E-4</v>
      </c>
      <c r="AA3292">
        <v>0.99873339999999999</v>
      </c>
      <c r="AB3292">
        <v>37</v>
      </c>
      <c r="AC3292">
        <v>99.0471</v>
      </c>
      <c r="AD3292">
        <v>0.63076100000000002</v>
      </c>
      <c r="AE3292">
        <v>-5.6263999999999896</v>
      </c>
      <c r="AF3292">
        <v>5.00997295137919</v>
      </c>
      <c r="AG3292">
        <v>0.63076100000000002</v>
      </c>
      <c r="AH3292">
        <v>99.0761772363349</v>
      </c>
      <c r="AI3292">
        <v>89.635701122720704</v>
      </c>
      <c r="AJ3292">
        <v>87.105196982252394</v>
      </c>
      <c r="AK3292">
        <v>99.204770974879693</v>
      </c>
      <c r="AL3292">
        <v>91.7251981884787</v>
      </c>
      <c r="AM3292">
        <v>83.165835543265402</v>
      </c>
      <c r="AN3292">
        <v>1.0000000336563</v>
      </c>
    </row>
    <row r="3293" spans="1:40" x14ac:dyDescent="0.25">
      <c r="A3293" t="str">
        <f>"20190305135856621"</f>
        <v>20190305135856621</v>
      </c>
      <c r="B3293" t="str">
        <f>"1551765536612372"</f>
        <v>1551765536612372</v>
      </c>
      <c r="C3293" t="s">
        <v>40</v>
      </c>
      <c r="D3293">
        <v>3.8463259999999999</v>
      </c>
      <c r="E3293">
        <v>0.47633950000000003</v>
      </c>
      <c r="F3293" t="s">
        <v>70</v>
      </c>
      <c r="G3293">
        <v>-121.2533</v>
      </c>
      <c r="H3293">
        <v>1.8935930000000001</v>
      </c>
      <c r="I3293">
        <v>209.84460000000001</v>
      </c>
      <c r="J3293">
        <v>-219.9308</v>
      </c>
      <c r="K3293">
        <v>1.1084000000000001</v>
      </c>
      <c r="L3293">
        <v>215.673</v>
      </c>
      <c r="M3293">
        <v>0.99987499999999996</v>
      </c>
      <c r="N3293">
        <v>-1.4072110000000001E-2</v>
      </c>
      <c r="O3293">
        <v>-7.2140869999999897E-3</v>
      </c>
      <c r="P3293">
        <v>0.9909772</v>
      </c>
      <c r="Q3293">
        <v>-4.4565460000000001E-2</v>
      </c>
      <c r="R3293">
        <v>-0.12640660000000001</v>
      </c>
      <c r="S3293">
        <v>3.0054630000000002</v>
      </c>
      <c r="T3293">
        <v>2.3825530000000001E-2</v>
      </c>
      <c r="U3293">
        <v>-0.17695620000000001</v>
      </c>
      <c r="V3293">
        <v>0.1191841</v>
      </c>
      <c r="W3293">
        <v>-3.0872279999999998E-2</v>
      </c>
      <c r="X3293">
        <v>0.9923921</v>
      </c>
      <c r="Y3293">
        <v>5.1575540000000003E-2</v>
      </c>
      <c r="Z3293">
        <v>-3.1753720000000002E-4</v>
      </c>
      <c r="AA3293">
        <v>0.99866900000000003</v>
      </c>
      <c r="AB3293">
        <v>37</v>
      </c>
      <c r="AC3293">
        <v>98.677499999999995</v>
      </c>
      <c r="AD3293">
        <v>0.78519300000000003</v>
      </c>
      <c r="AE3293">
        <v>-5.8283999999999798</v>
      </c>
      <c r="AF3293">
        <v>5.1159869696940001</v>
      </c>
      <c r="AG3293">
        <v>0.78519300000000003</v>
      </c>
      <c r="AH3293">
        <v>98.710754179742494</v>
      </c>
      <c r="AI3293">
        <v>89.544862165423496</v>
      </c>
      <c r="AJ3293">
        <v>87.033125443304399</v>
      </c>
      <c r="AK3293">
        <v>98.846359778470799</v>
      </c>
      <c r="AL3293">
        <v>91.7691324255361</v>
      </c>
      <c r="AM3293">
        <v>83.151703121715599</v>
      </c>
      <c r="AN3293">
        <v>1.0000000137538001</v>
      </c>
    </row>
    <row r="3294" spans="1:40" x14ac:dyDescent="0.25">
      <c r="A3294" t="str">
        <f>"20190305135856643"</f>
        <v>20190305135856643</v>
      </c>
      <c r="B3294" t="str">
        <f>"1551765536631888"</f>
        <v>1551765536631888</v>
      </c>
      <c r="C3294" t="s">
        <v>40</v>
      </c>
      <c r="D3294">
        <v>3.8294820000000001</v>
      </c>
      <c r="E3294">
        <v>0.47653289999999998</v>
      </c>
      <c r="F3294" t="s">
        <v>70</v>
      </c>
      <c r="G3294">
        <v>-121.2534</v>
      </c>
      <c r="H3294">
        <v>1.8330569999999999</v>
      </c>
      <c r="I3294">
        <v>209.6602</v>
      </c>
      <c r="J3294">
        <v>-219.56530000000001</v>
      </c>
      <c r="K3294">
        <v>1.108371</v>
      </c>
      <c r="L3294">
        <v>215.6694</v>
      </c>
      <c r="M3294">
        <v>0.99986759999999997</v>
      </c>
      <c r="N3294">
        <v>-1.406978E-2</v>
      </c>
      <c r="O3294">
        <v>-8.1957039999999998E-3</v>
      </c>
      <c r="P3294">
        <v>0.9907241</v>
      </c>
      <c r="Q3294">
        <v>-4.5466109999999997E-2</v>
      </c>
      <c r="R3294">
        <v>-0.1280577</v>
      </c>
      <c r="S3294">
        <v>3.0049589999999999</v>
      </c>
      <c r="T3294">
        <v>2.2068500000000001E-2</v>
      </c>
      <c r="U3294">
        <v>-0.1831055</v>
      </c>
      <c r="V3294">
        <v>0.1198598</v>
      </c>
      <c r="W3294">
        <v>-3.1785319999999999E-2</v>
      </c>
      <c r="X3294">
        <v>0.99228190000000005</v>
      </c>
      <c r="Y3294">
        <v>5.264141E-2</v>
      </c>
      <c r="Z3294">
        <v>-3.5290799999999998E-4</v>
      </c>
      <c r="AA3294">
        <v>0.99861339999999998</v>
      </c>
      <c r="AB3294">
        <v>37</v>
      </c>
      <c r="AC3294">
        <v>98.311899999999994</v>
      </c>
      <c r="AD3294">
        <v>0.72468599999999905</v>
      </c>
      <c r="AE3294">
        <v>-6.0091999999999901</v>
      </c>
      <c r="AF3294">
        <v>5.2029016308191904</v>
      </c>
      <c r="AG3294">
        <v>0.72468599999999905</v>
      </c>
      <c r="AH3294">
        <v>98.3525278096851</v>
      </c>
      <c r="AI3294">
        <v>89.578427464929703</v>
      </c>
      <c r="AJ3294">
        <v>86.971845066516593</v>
      </c>
      <c r="AK3294">
        <v>98.492715881599395</v>
      </c>
      <c r="AL3294">
        <v>91.821471438663593</v>
      </c>
      <c r="AM3294">
        <v>83.112491878339696</v>
      </c>
      <c r="AN3294">
        <v>1.0000000236455699</v>
      </c>
    </row>
    <row r="3295" spans="1:40" x14ac:dyDescent="0.25">
      <c r="A3295" t="str">
        <f>"20190305135856666"</f>
        <v>20190305135856666</v>
      </c>
      <c r="B3295" t="str">
        <f>"1551765536662144"</f>
        <v>1551765536662144</v>
      </c>
      <c r="C3295" t="s">
        <v>40</v>
      </c>
      <c r="D3295">
        <v>3.8287840000000002</v>
      </c>
      <c r="E3295">
        <v>0.47675699999999999</v>
      </c>
      <c r="F3295" t="s">
        <v>70</v>
      </c>
      <c r="G3295">
        <v>-121.2534</v>
      </c>
      <c r="H3295">
        <v>1.7565059999999999</v>
      </c>
      <c r="I3295">
        <v>209.45670000000001</v>
      </c>
      <c r="J3295">
        <v>-219.19149999999999</v>
      </c>
      <c r="K3295">
        <v>1.108352</v>
      </c>
      <c r="L3295">
        <v>215.66540000000001</v>
      </c>
      <c r="M3295">
        <v>0.99985889999999999</v>
      </c>
      <c r="N3295">
        <v>-1.406731E-2</v>
      </c>
      <c r="O3295">
        <v>-9.1974889999999997E-3</v>
      </c>
      <c r="P3295">
        <v>0.99045839999999996</v>
      </c>
      <c r="Q3295">
        <v>-4.6182540000000001E-2</v>
      </c>
      <c r="R3295">
        <v>-0.12984580000000001</v>
      </c>
      <c r="S3295">
        <v>3.0044559999999998</v>
      </c>
      <c r="T3295">
        <v>1.9808289999999999E-2</v>
      </c>
      <c r="U3295">
        <v>-0.18986510000000001</v>
      </c>
      <c r="V3295">
        <v>0.1206531</v>
      </c>
      <c r="W3295">
        <v>-3.251333E-2</v>
      </c>
      <c r="X3295">
        <v>0.99216219999999999</v>
      </c>
      <c r="Y3295">
        <v>5.3889230000000003E-2</v>
      </c>
      <c r="Z3295">
        <v>-3.9180399999999999E-4</v>
      </c>
      <c r="AA3295">
        <v>0.99854679999999996</v>
      </c>
      <c r="AB3295">
        <v>37</v>
      </c>
      <c r="AC3295">
        <v>97.938100000000006</v>
      </c>
      <c r="AD3295">
        <v>0.64815400000000001</v>
      </c>
      <c r="AE3295">
        <v>-6.2086999999999897</v>
      </c>
      <c r="AF3295">
        <v>5.3073322123568403</v>
      </c>
      <c r="AG3295">
        <v>0.64815400000000001</v>
      </c>
      <c r="AH3295">
        <v>97.986792272464101</v>
      </c>
      <c r="AI3295">
        <v>89.621565373641502</v>
      </c>
      <c r="AJ3295">
        <v>86.899675120153503</v>
      </c>
      <c r="AK3295">
        <v>98.132560033187104</v>
      </c>
      <c r="AL3295">
        <v>91.863204845890095</v>
      </c>
      <c r="AM3295">
        <v>83.066520387819395</v>
      </c>
      <c r="AN3295">
        <v>1.00000005913806</v>
      </c>
    </row>
    <row r="3296" spans="1:40" x14ac:dyDescent="0.25">
      <c r="A3296" t="str">
        <f>"20190305135856689"</f>
        <v>20190305135856689</v>
      </c>
      <c r="B3296" t="str">
        <f>"1551765536682641"</f>
        <v>1551765536682641</v>
      </c>
      <c r="C3296" t="s">
        <v>40</v>
      </c>
      <c r="D3296">
        <v>4.3775089999999999</v>
      </c>
      <c r="E3296">
        <v>0.4768715</v>
      </c>
      <c r="F3296" t="s">
        <v>70</v>
      </c>
      <c r="G3296">
        <v>-122.6275</v>
      </c>
      <c r="H3296">
        <v>1.6893290000000001</v>
      </c>
      <c r="I3296">
        <v>209.3295</v>
      </c>
      <c r="J3296">
        <v>-218.80269999999999</v>
      </c>
      <c r="K3296">
        <v>1.1083289999999999</v>
      </c>
      <c r="L3296">
        <v>215.66079999999999</v>
      </c>
      <c r="M3296">
        <v>0.99984859999999998</v>
      </c>
      <c r="N3296">
        <v>-1.406483E-2</v>
      </c>
      <c r="O3296">
        <v>-1.024226E-2</v>
      </c>
      <c r="P3296">
        <v>0.99010589999999998</v>
      </c>
      <c r="Q3296">
        <v>-4.6892429999999999E-2</v>
      </c>
      <c r="R3296">
        <v>-0.1322556</v>
      </c>
      <c r="S3296">
        <v>3.0038909999999999</v>
      </c>
      <c r="T3296">
        <v>1.8073800000000001E-2</v>
      </c>
      <c r="U3296">
        <v>-0.19709779999999999</v>
      </c>
      <c r="V3296">
        <v>0.1220272</v>
      </c>
      <c r="W3296">
        <v>-3.3236630000000003E-2</v>
      </c>
      <c r="X3296">
        <v>0.99197009999999997</v>
      </c>
      <c r="Y3296">
        <v>5.5252030000000001E-2</v>
      </c>
      <c r="Z3296">
        <v>-4.284178E-4</v>
      </c>
      <c r="AA3296">
        <v>0.99847229999999998</v>
      </c>
      <c r="AB3296">
        <v>37</v>
      </c>
      <c r="AC3296">
        <v>96.175200000000004</v>
      </c>
      <c r="AD3296">
        <v>0.58099999999999996</v>
      </c>
      <c r="AE3296">
        <v>-6.3312999999999899</v>
      </c>
      <c r="AF3296">
        <v>5.3456247170140596</v>
      </c>
      <c r="AG3296">
        <v>0.58099999999999996</v>
      </c>
      <c r="AH3296">
        <v>96.231510774334396</v>
      </c>
      <c r="AI3296">
        <v>89.654612061406496</v>
      </c>
      <c r="AJ3296">
        <v>86.820508404782998</v>
      </c>
      <c r="AK3296">
        <v>96.381621331693694</v>
      </c>
      <c r="AL3296">
        <v>91.904669416189606</v>
      </c>
      <c r="AM3296">
        <v>82.986993375974706</v>
      </c>
      <c r="AN3296">
        <v>0.999999995203803</v>
      </c>
    </row>
    <row r="3297" spans="1:40" x14ac:dyDescent="0.25">
      <c r="A3297" t="str">
        <f>"20190305135856710"</f>
        <v>20190305135856710</v>
      </c>
      <c r="B3297" t="str">
        <f>"1551765536702160"</f>
        <v>1551765536702160</v>
      </c>
      <c r="C3297" t="s">
        <v>40</v>
      </c>
      <c r="D3297">
        <v>3.966367</v>
      </c>
      <c r="E3297">
        <v>0.54175699999999904</v>
      </c>
      <c r="F3297" t="s">
        <v>70</v>
      </c>
      <c r="G3297">
        <v>-138.91329999999999</v>
      </c>
      <c r="H3297">
        <v>1.585213</v>
      </c>
      <c r="I3297">
        <v>210.196</v>
      </c>
      <c r="J3297">
        <v>-218.44059999999999</v>
      </c>
      <c r="K3297">
        <v>1.1083130000000001</v>
      </c>
      <c r="L3297">
        <v>215.65620000000001</v>
      </c>
      <c r="M3297">
        <v>0.99983809999999995</v>
      </c>
      <c r="N3297">
        <v>-1.406283E-2</v>
      </c>
      <c r="O3297">
        <v>-1.122708E-2</v>
      </c>
      <c r="P3297">
        <v>0.98980699999999999</v>
      </c>
      <c r="Q3297">
        <v>-4.6717340000000003E-2</v>
      </c>
      <c r="R3297">
        <v>-0.1345354</v>
      </c>
      <c r="S3297">
        <v>3.003387</v>
      </c>
      <c r="T3297">
        <v>1.7929319999999999E-2</v>
      </c>
      <c r="U3297">
        <v>-0.2054443</v>
      </c>
      <c r="V3297">
        <v>0.12333280000000001</v>
      </c>
      <c r="W3297">
        <v>-3.3073819999999997E-2</v>
      </c>
      <c r="X3297">
        <v>0.99181410000000003</v>
      </c>
      <c r="Y3297">
        <v>5.7042030000000001E-2</v>
      </c>
      <c r="Z3297">
        <v>-4.5616450000000001E-4</v>
      </c>
      <c r="AA3297">
        <v>0.99837169999999997</v>
      </c>
      <c r="AB3297">
        <v>37</v>
      </c>
      <c r="AC3297">
        <v>79.527299999999997</v>
      </c>
      <c r="AD3297">
        <v>0.47689999999999999</v>
      </c>
      <c r="AE3297">
        <v>-5.4602000000000102</v>
      </c>
      <c r="AF3297">
        <v>4.5667447053727601</v>
      </c>
      <c r="AG3297">
        <v>0.47689999999999999</v>
      </c>
      <c r="AH3297">
        <v>79.580746599446599</v>
      </c>
      <c r="AI3297">
        <v>89.657214167915498</v>
      </c>
      <c r="AJ3297">
        <v>86.715681102743403</v>
      </c>
      <c r="AK3297">
        <v>79.713096917253097</v>
      </c>
      <c r="AL3297">
        <v>91.895335887129207</v>
      </c>
      <c r="AM3297">
        <v>82.911615108407304</v>
      </c>
      <c r="AN3297">
        <v>1.00000003304202</v>
      </c>
    </row>
    <row r="3298" spans="1:40" x14ac:dyDescent="0.25">
      <c r="A3298" t="str">
        <f>"20190305135856732"</f>
        <v>20190305135856732</v>
      </c>
      <c r="B3298" t="str">
        <f>"1551765536722657"</f>
        <v>1551765536722657</v>
      </c>
      <c r="C3298" t="s">
        <v>40</v>
      </c>
      <c r="D3298">
        <v>3.9963310000000001</v>
      </c>
      <c r="E3298">
        <v>0.56210509999999902</v>
      </c>
      <c r="F3298" t="s">
        <v>58</v>
      </c>
      <c r="G3298">
        <v>-195.14699999999999</v>
      </c>
      <c r="H3298" s="1">
        <v>3.471878E-6</v>
      </c>
      <c r="I3298">
        <v>209.809</v>
      </c>
      <c r="J3298">
        <v>-218.07570000000001</v>
      </c>
      <c r="K3298">
        <v>1.1082959999999999</v>
      </c>
      <c r="L3298">
        <v>215.65110000000001</v>
      </c>
      <c r="M3298">
        <v>0.9998262</v>
      </c>
      <c r="N3298">
        <v>-1.4060980000000001E-2</v>
      </c>
      <c r="O3298">
        <v>-1.224096E-2</v>
      </c>
      <c r="P3298">
        <v>0.98958500000000005</v>
      </c>
      <c r="Q3298">
        <v>-4.6295259999999998E-2</v>
      </c>
      <c r="R3298">
        <v>-0.1363027</v>
      </c>
      <c r="S3298">
        <v>2.924515</v>
      </c>
      <c r="T3298">
        <v>-0.1391482</v>
      </c>
      <c r="U3298">
        <v>-0.73411559999999998</v>
      </c>
      <c r="V3298">
        <v>0.12409679999999999</v>
      </c>
      <c r="W3298">
        <v>-3.2662829999999997E-2</v>
      </c>
      <c r="X3298">
        <v>0.99173239999999996</v>
      </c>
      <c r="Y3298">
        <v>0.23125979999999999</v>
      </c>
      <c r="Z3298">
        <v>-6.6631370000000004E-3</v>
      </c>
      <c r="AA3298">
        <v>0.97286919999999999</v>
      </c>
      <c r="AB3298">
        <v>37</v>
      </c>
      <c r="AC3298">
        <v>22.9286999999999</v>
      </c>
      <c r="AD3298">
        <v>-1.108292528122</v>
      </c>
      <c r="AE3298">
        <v>-5.8420999999999799</v>
      </c>
      <c r="AF3298">
        <v>5.5487912075416403</v>
      </c>
      <c r="AG3298">
        <v>-1.108292528122</v>
      </c>
      <c r="AH3298">
        <v>22.948153927424102</v>
      </c>
      <c r="AI3298">
        <v>92.687646730898706</v>
      </c>
      <c r="AJ3298">
        <v>76.406961927877305</v>
      </c>
      <c r="AK3298">
        <v>23.635464134844799</v>
      </c>
      <c r="AL3298">
        <v>91.871775199544501</v>
      </c>
      <c r="AM3298">
        <v>82.867574551083194</v>
      </c>
      <c r="AN3298">
        <v>1.0000000147218</v>
      </c>
    </row>
    <row r="3299" spans="1:40" x14ac:dyDescent="0.25">
      <c r="A3299" t="str">
        <f>"20190305135856754"</f>
        <v>20190305135856754</v>
      </c>
      <c r="B3299" t="str">
        <f>"1551765536742176"</f>
        <v>1551765536742176</v>
      </c>
      <c r="C3299" t="s">
        <v>40</v>
      </c>
      <c r="D3299">
        <v>3.915619</v>
      </c>
      <c r="E3299">
        <v>0.56933610000000001</v>
      </c>
      <c r="F3299" t="s">
        <v>58</v>
      </c>
      <c r="G3299">
        <v>-201.5147</v>
      </c>
      <c r="H3299" s="1">
        <v>3.2493240000000002E-6</v>
      </c>
      <c r="I3299">
        <v>210.49109999999999</v>
      </c>
      <c r="J3299">
        <v>-217.70410000000001</v>
      </c>
      <c r="K3299">
        <v>1.108276</v>
      </c>
      <c r="L3299">
        <v>215.6455</v>
      </c>
      <c r="M3299">
        <v>0.99981279999999995</v>
      </c>
      <c r="N3299">
        <v>-1.4059169999999999E-2</v>
      </c>
      <c r="O3299">
        <v>-1.330274E-2</v>
      </c>
      <c r="P3299">
        <v>0.98937770000000003</v>
      </c>
      <c r="Q3299">
        <v>-4.6232849999999999E-2</v>
      </c>
      <c r="R3299">
        <v>-0.13782150000000001</v>
      </c>
      <c r="S3299">
        <v>2.8981319999999999</v>
      </c>
      <c r="T3299">
        <v>-0.19394810000000001</v>
      </c>
      <c r="U3299">
        <v>-0.90298460000000003</v>
      </c>
      <c r="V3299">
        <v>0.12456349999999999</v>
      </c>
      <c r="W3299">
        <v>-3.2612120000000001E-2</v>
      </c>
      <c r="X3299">
        <v>0.99167559999999999</v>
      </c>
      <c r="Y3299">
        <v>0.284049</v>
      </c>
      <c r="Z3299">
        <v>-1.063473E-2</v>
      </c>
      <c r="AA3299">
        <v>0.95875080000000001</v>
      </c>
      <c r="AB3299">
        <v>37</v>
      </c>
      <c r="AC3299">
        <v>16.189399999999999</v>
      </c>
      <c r="AD3299">
        <v>-1.108272750676</v>
      </c>
      <c r="AE3299">
        <v>-5.1544000000000096</v>
      </c>
      <c r="AF3299">
        <v>4.9176346300520404</v>
      </c>
      <c r="AG3299">
        <v>-1.108272750676</v>
      </c>
      <c r="AH3299">
        <v>16.187663042104301</v>
      </c>
      <c r="AI3299">
        <v>93.747973559931296</v>
      </c>
      <c r="AJ3299">
        <v>73.101793365434105</v>
      </c>
      <c r="AK3299">
        <v>16.954404548945</v>
      </c>
      <c r="AL3299">
        <v>91.868868105171401</v>
      </c>
      <c r="AM3299">
        <v>82.8406231173484</v>
      </c>
      <c r="AN3299">
        <v>1.0000000557692501</v>
      </c>
    </row>
    <row r="3300" spans="1:40" x14ac:dyDescent="0.25">
      <c r="A3300" t="str">
        <f>"20190305135856778"</f>
        <v>20190305135856778</v>
      </c>
      <c r="B3300" t="str">
        <f>"1551765536772432"</f>
        <v>1551765536772432</v>
      </c>
      <c r="C3300" t="s">
        <v>40</v>
      </c>
      <c r="D3300">
        <v>3.9171610000000001</v>
      </c>
      <c r="E3300">
        <v>0.57365459999999902</v>
      </c>
      <c r="F3300" t="s">
        <v>58</v>
      </c>
      <c r="G3300">
        <v>-203.21709999999999</v>
      </c>
      <c r="H3300" s="1">
        <v>3.9774680000000004E-6</v>
      </c>
      <c r="I3300">
        <v>210.7978</v>
      </c>
      <c r="J3300">
        <v>-217.3253</v>
      </c>
      <c r="K3300">
        <v>1.10825</v>
      </c>
      <c r="L3300">
        <v>215.63939999999999</v>
      </c>
      <c r="M3300">
        <v>0.9997973</v>
      </c>
      <c r="N3300">
        <v>-1.405751E-2</v>
      </c>
      <c r="O3300">
        <v>-1.441945E-2</v>
      </c>
      <c r="P3300">
        <v>0.98915750000000002</v>
      </c>
      <c r="Q3300">
        <v>-4.6267740000000002E-2</v>
      </c>
      <c r="R3300">
        <v>-0.13938120000000001</v>
      </c>
      <c r="S3300">
        <v>2.8872990000000001</v>
      </c>
      <c r="T3300">
        <v>-0.22088189999999999</v>
      </c>
      <c r="U3300">
        <v>-0.96617129999999996</v>
      </c>
      <c r="V3300">
        <v>0.12501669999999901</v>
      </c>
      <c r="W3300">
        <v>-3.2660010000000003E-2</v>
      </c>
      <c r="X3300">
        <v>0.99161690000000002</v>
      </c>
      <c r="Y3300">
        <v>0.3026952</v>
      </c>
      <c r="Z3300">
        <v>-1.2568940000000001E-2</v>
      </c>
      <c r="AA3300">
        <v>0.95300450000000003</v>
      </c>
      <c r="AB3300">
        <v>37</v>
      </c>
      <c r="AC3300">
        <v>14.1082</v>
      </c>
      <c r="AD3300">
        <v>-1.1082460225320001</v>
      </c>
      <c r="AE3300">
        <v>-4.8415999999999997</v>
      </c>
      <c r="AF3300">
        <v>4.6121825167905302</v>
      </c>
      <c r="AG3300">
        <v>-1.1082460225320001</v>
      </c>
      <c r="AH3300">
        <v>14.0987213587137</v>
      </c>
      <c r="AI3300">
        <v>94.272635394944402</v>
      </c>
      <c r="AJ3300">
        <v>71.885277691103994</v>
      </c>
      <c r="AK3300">
        <v>14.875294308527</v>
      </c>
      <c r="AL3300">
        <v>91.871613634259802</v>
      </c>
      <c r="AM3300">
        <v>82.814425982135802</v>
      </c>
      <c r="AN3300">
        <v>0.99999996394884905</v>
      </c>
    </row>
    <row r="3301" spans="1:40" x14ac:dyDescent="0.25">
      <c r="A3301" t="str">
        <f>"20190305135856799"</f>
        <v>20190305135856799</v>
      </c>
      <c r="B3301" t="str">
        <f>"1551765536791955"</f>
        <v>1551765536791955</v>
      </c>
      <c r="C3301" t="s">
        <v>40</v>
      </c>
      <c r="D3301">
        <v>3.910622</v>
      </c>
      <c r="E3301">
        <v>0.57538650000000002</v>
      </c>
      <c r="F3301" t="s">
        <v>58</v>
      </c>
      <c r="G3301">
        <v>-203.41569999999999</v>
      </c>
      <c r="H3301" s="1">
        <v>4.0665699999999998E-6</v>
      </c>
      <c r="I3301">
        <v>210.78569999999999</v>
      </c>
      <c r="J3301">
        <v>-216.9573</v>
      </c>
      <c r="K3301">
        <v>1.1082289999999999</v>
      </c>
      <c r="L3301">
        <v>215.63300000000001</v>
      </c>
      <c r="M3301">
        <v>0.99978049999999996</v>
      </c>
      <c r="N3301">
        <v>-1.405586E-2</v>
      </c>
      <c r="O3301">
        <v>-1.5545740000000001E-2</v>
      </c>
      <c r="P3301">
        <v>0.98892639999999998</v>
      </c>
      <c r="Q3301">
        <v>-4.4953529999999998E-2</v>
      </c>
      <c r="R3301">
        <v>-0.14143649999999999</v>
      </c>
      <c r="S3301">
        <v>2.8805390000000002</v>
      </c>
      <c r="T3301">
        <v>-0.22950599999999999</v>
      </c>
      <c r="U3301">
        <v>-1.005142</v>
      </c>
      <c r="V3301">
        <v>0.12595970000000001</v>
      </c>
      <c r="W3301">
        <v>-3.1360869999999999E-2</v>
      </c>
      <c r="X3301">
        <v>0.99153950000000002</v>
      </c>
      <c r="Y3301">
        <v>0.3137144</v>
      </c>
      <c r="Z3301">
        <v>-1.3404640000000001E-2</v>
      </c>
      <c r="AA3301">
        <v>0.94942280000000001</v>
      </c>
      <c r="AB3301">
        <v>37</v>
      </c>
      <c r="AC3301">
        <v>13.541600000000001</v>
      </c>
      <c r="AD3301">
        <v>-1.1082249334299901</v>
      </c>
      <c r="AE3301">
        <v>-4.84729999999999</v>
      </c>
      <c r="AF3301">
        <v>4.6088173308299396</v>
      </c>
      <c r="AG3301">
        <v>-1.1082249334299901</v>
      </c>
      <c r="AH3301">
        <v>13.5349705581352</v>
      </c>
      <c r="AI3301">
        <v>94.432041028266596</v>
      </c>
      <c r="AJ3301">
        <v>71.195684946833396</v>
      </c>
      <c r="AK3301">
        <v>14.3410176661777</v>
      </c>
      <c r="AL3301">
        <v>91.797140220154901</v>
      </c>
      <c r="AM3301">
        <v>82.760239031079294</v>
      </c>
      <c r="AN3301">
        <v>0.99999996512574696</v>
      </c>
    </row>
    <row r="3302" spans="1:40" x14ac:dyDescent="0.25">
      <c r="A3302" t="str">
        <f>"20190305135856821"</f>
        <v>20190305135856821</v>
      </c>
      <c r="B3302" t="str">
        <f>"1551765536812448"</f>
        <v>1551765536812448</v>
      </c>
      <c r="C3302" t="s">
        <v>40</v>
      </c>
      <c r="D3302">
        <v>3.9497170000000001</v>
      </c>
      <c r="E3302">
        <v>0.57690149999999996</v>
      </c>
      <c r="F3302" t="s">
        <v>58</v>
      </c>
      <c r="G3302">
        <v>-203.1549</v>
      </c>
      <c r="H3302" s="1">
        <v>3.9571699999999996E-6</v>
      </c>
      <c r="I3302">
        <v>210.71449999999999</v>
      </c>
      <c r="J3302">
        <v>-216.5934</v>
      </c>
      <c r="K3302">
        <v>1.108212</v>
      </c>
      <c r="L3302">
        <v>215.62620000000001</v>
      </c>
      <c r="M3302">
        <v>0.99976180000000003</v>
      </c>
      <c r="N3302">
        <v>-1.4054399999999899E-2</v>
      </c>
      <c r="O3302">
        <v>-1.6701730000000001E-2</v>
      </c>
      <c r="P3302">
        <v>0.98868509999999998</v>
      </c>
      <c r="Q3302">
        <v>-4.3190949999999999E-2</v>
      </c>
      <c r="R3302">
        <v>-0.143653</v>
      </c>
      <c r="S3302">
        <v>2.8764949999999998</v>
      </c>
      <c r="T3302">
        <v>-0.23095979999999999</v>
      </c>
      <c r="U3302">
        <v>-1.02504</v>
      </c>
      <c r="V3302">
        <v>0.1270366</v>
      </c>
      <c r="W3302">
        <v>-2.9613919999999998E-2</v>
      </c>
      <c r="X3302">
        <v>0.99145589999999995</v>
      </c>
      <c r="Y3302">
        <v>0.31884040000000002</v>
      </c>
      <c r="Z3302">
        <v>-1.364052E-2</v>
      </c>
      <c r="AA3302">
        <v>0.94771030000000001</v>
      </c>
      <c r="AB3302">
        <v>37</v>
      </c>
      <c r="AC3302">
        <v>13.438499999999999</v>
      </c>
      <c r="AD3302">
        <v>-1.1082080428299901</v>
      </c>
      <c r="AE3302">
        <v>-4.9117000000000202</v>
      </c>
      <c r="AF3302">
        <v>4.6585989885593202</v>
      </c>
      <c r="AG3302">
        <v>-1.1082080428299901</v>
      </c>
      <c r="AH3302">
        <v>13.438050898134</v>
      </c>
      <c r="AI3302">
        <v>94.4554012093908</v>
      </c>
      <c r="AJ3302">
        <v>70.879989429074996</v>
      </c>
      <c r="AK3302">
        <v>14.265759059483599</v>
      </c>
      <c r="AL3302">
        <v>91.697000661995503</v>
      </c>
      <c r="AM3302">
        <v>82.698398358040393</v>
      </c>
      <c r="AN3302">
        <v>1.0000000418210599</v>
      </c>
    </row>
    <row r="3303" spans="1:40" x14ac:dyDescent="0.25">
      <c r="A3303" t="str">
        <f>"20190305135856844"</f>
        <v>20190305135856844</v>
      </c>
      <c r="B3303" t="str">
        <f>"1551765536842704"</f>
        <v>1551765536842704</v>
      </c>
      <c r="C3303" t="s">
        <v>40</v>
      </c>
      <c r="D3303">
        <v>3.958126</v>
      </c>
      <c r="E3303">
        <v>0.57879009999999997</v>
      </c>
      <c r="F3303" t="s">
        <v>58</v>
      </c>
      <c r="G3303">
        <v>-202.834</v>
      </c>
      <c r="H3303" s="1">
        <v>3.8225250000000003E-6</v>
      </c>
      <c r="I3303">
        <v>210.62690000000001</v>
      </c>
      <c r="J3303">
        <v>-216.21369999999999</v>
      </c>
      <c r="K3303">
        <v>1.10819</v>
      </c>
      <c r="L3303">
        <v>215.61859999999999</v>
      </c>
      <c r="M3303">
        <v>0.99974019999999997</v>
      </c>
      <c r="N3303">
        <v>-1.405284E-2</v>
      </c>
      <c r="O3303">
        <v>-1.7946770000000001E-2</v>
      </c>
      <c r="P3303">
        <v>0.9883227</v>
      </c>
      <c r="Q3303">
        <v>-4.220016E-2</v>
      </c>
      <c r="R3303">
        <v>-0.1464155</v>
      </c>
      <c r="S3303">
        <v>2.8725890000000001</v>
      </c>
      <c r="T3303">
        <v>-0.23136399999999999</v>
      </c>
      <c r="U3303">
        <v>-1.0437160000000001</v>
      </c>
      <c r="V3303">
        <v>0.1285713</v>
      </c>
      <c r="W3303">
        <v>-2.864156E-2</v>
      </c>
      <c r="X3303">
        <v>0.99128660000000002</v>
      </c>
      <c r="Y3303">
        <v>0.3235017</v>
      </c>
      <c r="Z3303">
        <v>-1.3799789999999999E-2</v>
      </c>
      <c r="AA3303">
        <v>0.94612689999999999</v>
      </c>
      <c r="AB3303">
        <v>37</v>
      </c>
      <c r="AC3303">
        <v>13.3796999999999</v>
      </c>
      <c r="AD3303">
        <v>-1.1081861774749999</v>
      </c>
      <c r="AE3303">
        <v>-4.9916999999999803</v>
      </c>
      <c r="AF3303">
        <v>4.7223122695282598</v>
      </c>
      <c r="AG3303">
        <v>-1.1081861774749999</v>
      </c>
      <c r="AH3303">
        <v>13.386525465337201</v>
      </c>
      <c r="AI3303">
        <v>94.463942764442194</v>
      </c>
      <c r="AJ3303">
        <v>70.568886086932906</v>
      </c>
      <c r="AK3303">
        <v>14.2382363307049</v>
      </c>
      <c r="AL3303">
        <v>91.641264923729594</v>
      </c>
      <c r="AM3303">
        <v>82.609910420321299</v>
      </c>
      <c r="AN3303">
        <v>1.0000000207412401</v>
      </c>
    </row>
    <row r="3304" spans="1:40" x14ac:dyDescent="0.25">
      <c r="A3304" t="str">
        <f>"20190305135856867"</f>
        <v>20190305135856867</v>
      </c>
      <c r="B3304" t="str">
        <f>"1551765536862228"</f>
        <v>1551765536862228</v>
      </c>
      <c r="C3304" t="s">
        <v>40</v>
      </c>
      <c r="D3304">
        <v>3.9437099999999998</v>
      </c>
      <c r="E3304">
        <v>0.57987330000000004</v>
      </c>
      <c r="F3304" t="s">
        <v>58</v>
      </c>
      <c r="G3304">
        <v>-202.5617</v>
      </c>
      <c r="H3304" s="1">
        <v>3.7093939999999998E-6</v>
      </c>
      <c r="I3304">
        <v>210.53970000000001</v>
      </c>
      <c r="J3304">
        <v>-215.845</v>
      </c>
      <c r="K3304">
        <v>1.1081559999999999</v>
      </c>
      <c r="L3304">
        <v>215.61080000000001</v>
      </c>
      <c r="M3304">
        <v>0.99971699999999997</v>
      </c>
      <c r="N3304">
        <v>-1.405138E-2</v>
      </c>
      <c r="O3304">
        <v>-1.9197289999999999E-2</v>
      </c>
      <c r="P3304">
        <v>0.98808030000000002</v>
      </c>
      <c r="Q3304">
        <v>-4.2050810000000001E-2</v>
      </c>
      <c r="R3304">
        <v>-0.14808550000000001</v>
      </c>
      <c r="S3304">
        <v>2.8674620000000002</v>
      </c>
      <c r="T3304">
        <v>-0.23276330000000001</v>
      </c>
      <c r="U3304">
        <v>-1.0667719999999901</v>
      </c>
      <c r="V3304">
        <v>0.12900439999999999</v>
      </c>
      <c r="W3304">
        <v>-2.850596E-2</v>
      </c>
      <c r="X3304">
        <v>0.99123419999999896</v>
      </c>
      <c r="Y3304">
        <v>0.329524599999999</v>
      </c>
      <c r="Z3304">
        <v>-1.407285E-2</v>
      </c>
      <c r="AA3304">
        <v>0.9440421</v>
      </c>
      <c r="AB3304">
        <v>37</v>
      </c>
      <c r="AC3304">
        <v>13.283299999999899</v>
      </c>
      <c r="AD3304">
        <v>-1.108152290606</v>
      </c>
      <c r="AE3304">
        <v>-5.0711000000000004</v>
      </c>
      <c r="AF3304">
        <v>4.7860645698694402</v>
      </c>
      <c r="AG3304">
        <v>-1.108152290606</v>
      </c>
      <c r="AH3304">
        <v>13.297439417308199</v>
      </c>
      <c r="AI3304">
        <v>94.483473059553404</v>
      </c>
      <c r="AJ3304">
        <v>70.204990125797295</v>
      </c>
      <c r="AK3304">
        <v>14.175905989499199</v>
      </c>
      <c r="AL3304">
        <v>91.633492505693198</v>
      </c>
      <c r="AM3304">
        <v>82.584905413626501</v>
      </c>
      <c r="AN3304">
        <v>0.99999998211226004</v>
      </c>
    </row>
    <row r="3305" spans="1:40" x14ac:dyDescent="0.25">
      <c r="A3305" t="str">
        <f>"20190305135856890"</f>
        <v>20190305135856890</v>
      </c>
      <c r="B3305" t="str">
        <f>"1551765536882721"</f>
        <v>1551765536882721</v>
      </c>
      <c r="C3305" t="s">
        <v>40</v>
      </c>
      <c r="D3305">
        <v>3.9382619999999999</v>
      </c>
      <c r="E3305">
        <v>0.58099999999999996</v>
      </c>
      <c r="F3305" t="s">
        <v>58</v>
      </c>
      <c r="G3305">
        <v>-202.35419999999999</v>
      </c>
      <c r="H3305" s="1">
        <v>3.6189920000000002E-6</v>
      </c>
      <c r="I3305">
        <v>210.52119999999999</v>
      </c>
      <c r="J3305">
        <v>-215.46190000000001</v>
      </c>
      <c r="K3305">
        <v>1.1081129999999999</v>
      </c>
      <c r="L3305">
        <v>215.60210000000001</v>
      </c>
      <c r="M3305">
        <v>0.99969019999999997</v>
      </c>
      <c r="N3305">
        <v>-1.404995E-2</v>
      </c>
      <c r="O3305">
        <v>-2.0548799999999999E-2</v>
      </c>
      <c r="P3305">
        <v>0.98777250000000005</v>
      </c>
      <c r="Q3305">
        <v>-4.1892739999999998E-2</v>
      </c>
      <c r="R3305">
        <v>-0.15016789999999999</v>
      </c>
      <c r="S3305">
        <v>2.8642270000000001</v>
      </c>
      <c r="T3305">
        <v>-0.23527239999999999</v>
      </c>
      <c r="U3305">
        <v>-1.0805659999999999</v>
      </c>
      <c r="V3305">
        <v>0.12975100000000001</v>
      </c>
      <c r="W3305">
        <v>-2.8365370000000001E-2</v>
      </c>
      <c r="X3305">
        <v>0.99114080000000004</v>
      </c>
      <c r="Y3305">
        <v>0.33255210000000002</v>
      </c>
      <c r="Z3305">
        <v>-1.425338E-2</v>
      </c>
      <c r="AA3305">
        <v>0.94297719999999896</v>
      </c>
      <c r="AB3305">
        <v>37</v>
      </c>
      <c r="AC3305">
        <v>13.107699999999999</v>
      </c>
      <c r="AD3305">
        <v>-1.1081093810079901</v>
      </c>
      <c r="AE3305">
        <v>-5.0809000000000104</v>
      </c>
      <c r="AF3305">
        <v>4.7807489404205299</v>
      </c>
      <c r="AG3305">
        <v>-1.1081093810079901</v>
      </c>
      <c r="AH3305">
        <v>13.1277823929384</v>
      </c>
      <c r="AI3305">
        <v>94.534856796544005</v>
      </c>
      <c r="AJ3305">
        <v>69.989876755243799</v>
      </c>
      <c r="AK3305">
        <v>14.015068226303899</v>
      </c>
      <c r="AL3305">
        <v>91.625434002836499</v>
      </c>
      <c r="AM3305">
        <v>82.541778124861693</v>
      </c>
      <c r="AN3305">
        <v>1.0000000008204299</v>
      </c>
    </row>
    <row r="3306" spans="1:40" x14ac:dyDescent="0.25">
      <c r="A3306" t="str">
        <f>"20190305135856911"</f>
        <v>20190305135856911</v>
      </c>
      <c r="B3306" t="str">
        <f>"1551765536902240"</f>
        <v>1551765536902240</v>
      </c>
      <c r="C3306" t="s">
        <v>40</v>
      </c>
      <c r="D3306">
        <v>3.9614549999999999</v>
      </c>
      <c r="E3306">
        <v>0.58202240000000005</v>
      </c>
      <c r="F3306" t="s">
        <v>58</v>
      </c>
      <c r="G3306">
        <v>-202.15549999999999</v>
      </c>
      <c r="H3306" s="1">
        <v>3.5323149999999998E-6</v>
      </c>
      <c r="I3306">
        <v>210.50450000000001</v>
      </c>
      <c r="J3306">
        <v>-215.1071</v>
      </c>
      <c r="K3306">
        <v>1.108061</v>
      </c>
      <c r="L3306">
        <v>215.59360000000001</v>
      </c>
      <c r="M3306">
        <v>0.99966250000000001</v>
      </c>
      <c r="N3306">
        <v>-1.404887E-2</v>
      </c>
      <c r="O3306">
        <v>-2.1856670000000002E-2</v>
      </c>
      <c r="P3306">
        <v>0.98746650000000002</v>
      </c>
      <c r="Q3306">
        <v>-4.193935E-2</v>
      </c>
      <c r="R3306">
        <v>-0.15215609999999999</v>
      </c>
      <c r="S3306">
        <v>2.8604280000000002</v>
      </c>
      <c r="T3306">
        <v>-0.23820520000000001</v>
      </c>
      <c r="U3306">
        <v>-1.09581</v>
      </c>
      <c r="V3306">
        <v>0.1304457</v>
      </c>
      <c r="W3306">
        <v>-2.84307E-2</v>
      </c>
      <c r="X3306">
        <v>0.99104769999999998</v>
      </c>
      <c r="Y3306">
        <v>0.3360842</v>
      </c>
      <c r="Z3306">
        <v>-1.448317E-2</v>
      </c>
      <c r="AA3306">
        <v>0.94172060000000002</v>
      </c>
      <c r="AB3306">
        <v>37</v>
      </c>
      <c r="AC3306">
        <v>12.951599999999999</v>
      </c>
      <c r="AD3306">
        <v>-1.1080574676849999</v>
      </c>
      <c r="AE3306">
        <v>-5.0891000000000002</v>
      </c>
      <c r="AF3306">
        <v>4.7745045755916804</v>
      </c>
      <c r="AG3306">
        <v>-1.1080574676849999</v>
      </c>
      <c r="AH3306">
        <v>12.977463667723001</v>
      </c>
      <c r="AI3306">
        <v>94.581441198451103</v>
      </c>
      <c r="AJ3306">
        <v>69.801059080236598</v>
      </c>
      <c r="AK3306">
        <v>13.872211378908201</v>
      </c>
      <c r="AL3306">
        <v>91.629178705512103</v>
      </c>
      <c r="AM3306">
        <v>82.501602846312196</v>
      </c>
      <c r="AN3306">
        <v>0.999999964513134</v>
      </c>
    </row>
    <row r="3307" spans="1:40" x14ac:dyDescent="0.25">
      <c r="A3307" t="str">
        <f>"20190305135856929"</f>
        <v>20190305135856929</v>
      </c>
      <c r="B3307" t="str">
        <f>"1551765536922736"</f>
        <v>1551765536922736</v>
      </c>
      <c r="C3307" t="s">
        <v>40</v>
      </c>
      <c r="D3307">
        <v>3.9702299999999999</v>
      </c>
      <c r="E3307">
        <v>0.5830284</v>
      </c>
      <c r="F3307" t="s">
        <v>58</v>
      </c>
      <c r="G3307">
        <v>-201.97880000000001</v>
      </c>
      <c r="H3307" s="1">
        <v>3.45491E-6</v>
      </c>
      <c r="I3307">
        <v>210.49369999999999</v>
      </c>
      <c r="J3307">
        <v>-214.80189999999999</v>
      </c>
      <c r="K3307">
        <v>1.1080190000000001</v>
      </c>
      <c r="L3307">
        <v>215.58580000000001</v>
      </c>
      <c r="M3307">
        <v>0.99963599999999997</v>
      </c>
      <c r="N3307">
        <v>-1.4048049999999999E-2</v>
      </c>
      <c r="O3307">
        <v>-2.3034430000000002E-2</v>
      </c>
      <c r="P3307">
        <v>0.98722929999999998</v>
      </c>
      <c r="Q3307">
        <v>-4.2230709999999998E-2</v>
      </c>
      <c r="R3307">
        <v>-0.15360689999999999</v>
      </c>
      <c r="S3307">
        <v>2.8568570000000002</v>
      </c>
      <c r="T3307">
        <v>-0.241124</v>
      </c>
      <c r="U3307">
        <v>-1.1097870000000001</v>
      </c>
      <c r="V3307">
        <v>0.1307304</v>
      </c>
      <c r="W3307">
        <v>-2.873935E-2</v>
      </c>
      <c r="X3307">
        <v>0.99100129999999997</v>
      </c>
      <c r="Y3307">
        <v>0.33934039999999999</v>
      </c>
      <c r="Z3307">
        <v>-1.470868E-2</v>
      </c>
      <c r="AA3307">
        <v>0.94054870000000002</v>
      </c>
      <c r="AB3307">
        <v>37</v>
      </c>
      <c r="AC3307">
        <v>12.823099999999901</v>
      </c>
      <c r="AD3307">
        <v>-1.10801554509</v>
      </c>
      <c r="AE3307">
        <v>-5.0921000000000101</v>
      </c>
      <c r="AF3307">
        <v>4.76461824556569</v>
      </c>
      <c r="AG3307">
        <v>-1.10801554509</v>
      </c>
      <c r="AH3307">
        <v>12.8541021809089</v>
      </c>
      <c r="AI3307">
        <v>94.620914414167899</v>
      </c>
      <c r="AJ3307">
        <v>69.661814282785798</v>
      </c>
      <c r="AK3307">
        <v>13.753444235950001</v>
      </c>
      <c r="AL3307">
        <v>91.646870248885094</v>
      </c>
      <c r="AM3307">
        <v>82.485076470460299</v>
      </c>
      <c r="AN3307">
        <v>0.99999998216213604</v>
      </c>
    </row>
    <row r="3308" spans="1:40" x14ac:dyDescent="0.25">
      <c r="A3308" t="str">
        <f>"20190305135856945"</f>
        <v>20190305135856945</v>
      </c>
      <c r="B3308" t="str">
        <f>"1551765536942258"</f>
        <v>1551765536942258</v>
      </c>
      <c r="C3308" t="s">
        <v>40</v>
      </c>
      <c r="D3308">
        <v>3.9760469999999999</v>
      </c>
      <c r="E3308">
        <v>0.58404149999999999</v>
      </c>
      <c r="F3308" t="s">
        <v>58</v>
      </c>
      <c r="G3308">
        <v>-201.8997</v>
      </c>
      <c r="H3308" s="1">
        <v>3.4180760000000001E-6</v>
      </c>
      <c r="I3308">
        <v>210.5137</v>
      </c>
      <c r="J3308">
        <v>-214.55719999999999</v>
      </c>
      <c r="K3308">
        <v>1.1079650000000001</v>
      </c>
      <c r="L3308">
        <v>215.57929999999999</v>
      </c>
      <c r="M3308">
        <v>0.99961299999999997</v>
      </c>
      <c r="N3308">
        <v>-1.4047499999999999E-2</v>
      </c>
      <c r="O3308">
        <v>-2.4016619999999999E-2</v>
      </c>
      <c r="P3308">
        <v>0.98689680000000002</v>
      </c>
      <c r="Q3308">
        <v>-4.2967060000000001E-2</v>
      </c>
      <c r="R3308">
        <v>-0.155528</v>
      </c>
      <c r="S3308">
        <v>2.8537750000000002</v>
      </c>
      <c r="T3308">
        <v>-0.2450763</v>
      </c>
      <c r="U3308">
        <v>-1.1218870000000001</v>
      </c>
      <c r="V3308">
        <v>0.13167989999999999</v>
      </c>
      <c r="W3308">
        <v>-2.9495219999999999E-2</v>
      </c>
      <c r="X3308">
        <v>0.9908534</v>
      </c>
      <c r="Y3308">
        <v>0.34217249999999999</v>
      </c>
      <c r="Z3308">
        <v>-1.497835E-2</v>
      </c>
      <c r="AA3308">
        <v>0.93951779999999996</v>
      </c>
      <c r="AB3308">
        <v>37</v>
      </c>
      <c r="AC3308">
        <v>12.657500000000001</v>
      </c>
      <c r="AD3308">
        <v>-1.1079615819239901</v>
      </c>
      <c r="AE3308">
        <v>-5.0655999999999803</v>
      </c>
      <c r="AF3308">
        <v>4.7288867585247196</v>
      </c>
      <c r="AG3308">
        <v>-1.1079615819239901</v>
      </c>
      <c r="AH3308">
        <v>12.691697750000101</v>
      </c>
      <c r="AI3308">
        <v>94.676624554487603</v>
      </c>
      <c r="AJ3308">
        <v>69.564764263088605</v>
      </c>
      <c r="AK3308">
        <v>13.5893024331394</v>
      </c>
      <c r="AL3308">
        <v>91.690196731168498</v>
      </c>
      <c r="AM3308">
        <v>82.4300091591533</v>
      </c>
      <c r="AN3308">
        <v>1.0000000121792001</v>
      </c>
    </row>
    <row r="3309" spans="1:40" x14ac:dyDescent="0.25">
      <c r="A3309" t="str">
        <f>"20190305135856967"</f>
        <v>20190305135856967</v>
      </c>
      <c r="B3309" t="str">
        <f>"1551765536962756"</f>
        <v>1551765536962756</v>
      </c>
      <c r="C3309" t="s">
        <v>40</v>
      </c>
      <c r="D3309">
        <v>3.985109</v>
      </c>
      <c r="E3309">
        <v>0.58452890000000002</v>
      </c>
      <c r="F3309" t="s">
        <v>58</v>
      </c>
      <c r="G3309">
        <v>-201.93799999999999</v>
      </c>
      <c r="H3309" s="1">
        <v>3.4318419999999998E-6</v>
      </c>
      <c r="I3309">
        <v>210.55090000000001</v>
      </c>
      <c r="J3309">
        <v>-214.1781</v>
      </c>
      <c r="K3309">
        <v>1.107888</v>
      </c>
      <c r="L3309">
        <v>215.56870000000001</v>
      </c>
      <c r="M3309">
        <v>0.9995733</v>
      </c>
      <c r="N3309">
        <v>-1.4046869999999999E-2</v>
      </c>
      <c r="O3309">
        <v>-2.5615539999999999E-2</v>
      </c>
      <c r="P3309">
        <v>0.9865273</v>
      </c>
      <c r="Q3309">
        <v>-4.33493E-2</v>
      </c>
      <c r="R3309">
        <v>-0.15774949999999999</v>
      </c>
      <c r="S3309">
        <v>2.8499759999999998</v>
      </c>
      <c r="T3309">
        <v>-0.25022759999999999</v>
      </c>
      <c r="U3309">
        <v>-1.135651</v>
      </c>
      <c r="V3309">
        <v>0.1323193</v>
      </c>
      <c r="W3309">
        <v>-2.9905649999999999E-2</v>
      </c>
      <c r="X3309">
        <v>0.99075590000000002</v>
      </c>
      <c r="Y3309">
        <v>0.34496189999999999</v>
      </c>
      <c r="Z3309">
        <v>-1.526489E-2</v>
      </c>
      <c r="AA3309">
        <v>0.93849249999999995</v>
      </c>
      <c r="AB3309">
        <v>37</v>
      </c>
      <c r="AC3309">
        <v>12.2401</v>
      </c>
      <c r="AD3309">
        <v>-1.1078845681580001</v>
      </c>
      <c r="AE3309">
        <v>-5.0177999999999896</v>
      </c>
      <c r="AF3309">
        <v>4.6698321134604397</v>
      </c>
      <c r="AG3309">
        <v>-1.1078845681580001</v>
      </c>
      <c r="AH3309">
        <v>12.2785098245547</v>
      </c>
      <c r="AI3309">
        <v>94.820688784538504</v>
      </c>
      <c r="AJ3309">
        <v>69.176907162069895</v>
      </c>
      <c r="AK3309">
        <v>13.1831917112646</v>
      </c>
      <c r="AL3309">
        <v>91.713723038792594</v>
      </c>
      <c r="AM3309">
        <v>82.392941012084904</v>
      </c>
      <c r="AN3309">
        <v>0.99999999921961102</v>
      </c>
    </row>
    <row r="3310" spans="1:40" x14ac:dyDescent="0.25">
      <c r="A3310" t="str">
        <f>"20190305135856990"</f>
        <v>20190305135856990</v>
      </c>
      <c r="B3310" t="str">
        <f>"1551765536982273"</f>
        <v>1551765536982273</v>
      </c>
      <c r="C3310" t="s">
        <v>40</v>
      </c>
      <c r="D3310">
        <v>3.991533</v>
      </c>
      <c r="E3310">
        <v>0.59964130000000004</v>
      </c>
      <c r="F3310" t="s">
        <v>58</v>
      </c>
      <c r="G3310">
        <v>-201.71209999999999</v>
      </c>
      <c r="H3310" s="1">
        <v>3.3317819999999999E-6</v>
      </c>
      <c r="I3310">
        <v>210.54939999999999</v>
      </c>
      <c r="J3310">
        <v>-213.81299999999999</v>
      </c>
      <c r="K3310">
        <v>1.107818</v>
      </c>
      <c r="L3310">
        <v>215.55779999999999</v>
      </c>
      <c r="M3310">
        <v>0.99953029999999998</v>
      </c>
      <c r="N3310">
        <v>-1.404644E-2</v>
      </c>
      <c r="O3310">
        <v>-2.7241560000000001E-2</v>
      </c>
      <c r="P3310">
        <v>0.98608499999999999</v>
      </c>
      <c r="Q3310">
        <v>-4.3828079999999998E-2</v>
      </c>
      <c r="R3310">
        <v>-0.16036159999999999</v>
      </c>
      <c r="S3310">
        <v>2.8465880000000001</v>
      </c>
      <c r="T3310">
        <v>-0.25298330000000002</v>
      </c>
      <c r="U3310">
        <v>-1.1461330000000001</v>
      </c>
      <c r="V3310">
        <v>0.1333241</v>
      </c>
      <c r="W3310">
        <v>-3.0415169999999998E-2</v>
      </c>
      <c r="X3310">
        <v>0.99060570000000003</v>
      </c>
      <c r="Y3310">
        <v>0.34676699999999999</v>
      </c>
      <c r="Z3310">
        <v>-1.5381880000000001E-2</v>
      </c>
      <c r="AA3310">
        <v>0.93782520000000003</v>
      </c>
      <c r="AB3310">
        <v>37</v>
      </c>
      <c r="AC3310">
        <v>12.1008999999999</v>
      </c>
      <c r="AD3310">
        <v>-1.1078146682179999</v>
      </c>
      <c r="AE3310">
        <v>-5.0083999999999902</v>
      </c>
      <c r="AF3310">
        <v>4.6436342762953</v>
      </c>
      <c r="AG3310">
        <v>-1.1078146682179999</v>
      </c>
      <c r="AH3310">
        <v>12.145949963609601</v>
      </c>
      <c r="AI3310">
        <v>94.869525473282593</v>
      </c>
      <c r="AJ3310">
        <v>69.077166802178297</v>
      </c>
      <c r="AK3310">
        <v>13.0504671621215</v>
      </c>
      <c r="AL3310">
        <v>91.742929625755494</v>
      </c>
      <c r="AM3310">
        <v>82.3347107045944</v>
      </c>
      <c r="AN3310">
        <v>1.0000000255397099</v>
      </c>
    </row>
    <row r="3311" spans="1:40" x14ac:dyDescent="0.25">
      <c r="A3311" t="str">
        <f>"20190305135857012"</f>
        <v>20190305135857012</v>
      </c>
      <c r="B3311" t="str">
        <f>"1551765537002769"</f>
        <v>1551765537002769</v>
      </c>
      <c r="C3311" t="s">
        <v>40</v>
      </c>
      <c r="D3311">
        <v>4.0084629999999999</v>
      </c>
      <c r="E3311">
        <v>0.60099190000000002</v>
      </c>
      <c r="F3311" t="s">
        <v>58</v>
      </c>
      <c r="G3311">
        <v>-203.3451</v>
      </c>
      <c r="H3311" s="1">
        <v>4.0316039999999998E-6</v>
      </c>
      <c r="I3311">
        <v>210.8279</v>
      </c>
      <c r="J3311">
        <v>-213.44139999999999</v>
      </c>
      <c r="K3311">
        <v>1.1077379999999999</v>
      </c>
      <c r="L3311">
        <v>215.54589999999999</v>
      </c>
      <c r="M3311">
        <v>0.99948130000000002</v>
      </c>
      <c r="N3311">
        <v>-1.4046049999999999E-2</v>
      </c>
      <c r="O3311">
        <v>-2.8984099999999999E-2</v>
      </c>
      <c r="P3311">
        <v>0.98559770000000002</v>
      </c>
      <c r="Q3311">
        <v>-4.4055999999999998E-2</v>
      </c>
      <c r="R3311">
        <v>-0.163269</v>
      </c>
      <c r="S3311">
        <v>2.821701</v>
      </c>
      <c r="T3311">
        <v>-0.29861929999999998</v>
      </c>
      <c r="U3311">
        <v>-1.2749790000000001</v>
      </c>
      <c r="V3311">
        <v>0.1345114</v>
      </c>
      <c r="W3311">
        <v>-3.0675569999999999E-2</v>
      </c>
      <c r="X3311">
        <v>0.99043709999999996</v>
      </c>
      <c r="Y3311">
        <v>0.38323020000000002</v>
      </c>
      <c r="Z3311">
        <v>-1.9589280000000001E-2</v>
      </c>
      <c r="AA3311">
        <v>0.92344510000000002</v>
      </c>
      <c r="AB3311">
        <v>37</v>
      </c>
      <c r="AC3311">
        <v>10.0962999999999</v>
      </c>
      <c r="AD3311">
        <v>-1.1077339683959999</v>
      </c>
      <c r="AE3311">
        <v>-4.7179999999999804</v>
      </c>
      <c r="AF3311">
        <v>4.3800801952703301</v>
      </c>
      <c r="AG3311">
        <v>-1.1077339683959999</v>
      </c>
      <c r="AH3311">
        <v>10.1287434642616</v>
      </c>
      <c r="AI3311">
        <v>95.732233784439103</v>
      </c>
      <c r="AJ3311">
        <v>66.614383296941895</v>
      </c>
      <c r="AK3311">
        <v>11.090699762709299</v>
      </c>
      <c r="AL3311">
        <v>91.757856494777798</v>
      </c>
      <c r="AM3311">
        <v>82.265970420896593</v>
      </c>
      <c r="AN3311">
        <v>0.99999997819059705</v>
      </c>
    </row>
    <row r="3312" spans="1:40" x14ac:dyDescent="0.25">
      <c r="A3312" t="str">
        <f>"20190305135857034"</f>
        <v>20190305135857034</v>
      </c>
      <c r="B3312" t="str">
        <f>"1551765537022290"</f>
        <v>1551765537022290</v>
      </c>
      <c r="C3312" t="s">
        <v>40</v>
      </c>
      <c r="D3312">
        <v>3.9970889999999999</v>
      </c>
      <c r="E3312">
        <v>0.60186870000000003</v>
      </c>
      <c r="F3312" t="s">
        <v>58</v>
      </c>
      <c r="G3312">
        <v>-203.16589999999999</v>
      </c>
      <c r="H3312" s="1">
        <v>3.9524059999999901E-6</v>
      </c>
      <c r="I3312">
        <v>210.82480000000001</v>
      </c>
      <c r="J3312">
        <v>-213.07929999999999</v>
      </c>
      <c r="K3312">
        <v>1.107674</v>
      </c>
      <c r="L3312">
        <v>215.53380000000001</v>
      </c>
      <c r="M3312">
        <v>0.99942770000000003</v>
      </c>
      <c r="N3312">
        <v>-1.4071719999999999E-2</v>
      </c>
      <c r="O3312">
        <v>-3.0761119999999999E-2</v>
      </c>
      <c r="P3312">
        <v>0.98503260000000004</v>
      </c>
      <c r="Q3312">
        <v>-4.4315069999999998E-2</v>
      </c>
      <c r="R3312">
        <v>-0.16657469999999999</v>
      </c>
      <c r="S3312">
        <v>2.8159329999999998</v>
      </c>
      <c r="T3312">
        <v>-0.3035678</v>
      </c>
      <c r="U3312">
        <v>-1.293793</v>
      </c>
      <c r="V3312">
        <v>0.1360662</v>
      </c>
      <c r="W3312">
        <v>-3.0942600000000001E-2</v>
      </c>
      <c r="X3312">
        <v>0.9902164</v>
      </c>
      <c r="Y3312">
        <v>0.38732499999999997</v>
      </c>
      <c r="Z3312">
        <v>-1.9960269999999999E-2</v>
      </c>
      <c r="AA3312">
        <v>0.92172710000000002</v>
      </c>
      <c r="AB3312">
        <v>37</v>
      </c>
      <c r="AC3312">
        <v>9.9133999999999904</v>
      </c>
      <c r="AD3312">
        <v>-1.107670047594</v>
      </c>
      <c r="AE3312">
        <v>-4.7089999999999996</v>
      </c>
      <c r="AF3312">
        <v>4.3574080590561302</v>
      </c>
      <c r="AG3312">
        <v>-1.107670047594</v>
      </c>
      <c r="AH3312">
        <v>9.9522007784709903</v>
      </c>
      <c r="AI3312">
        <v>95.8214704004412</v>
      </c>
      <c r="AJ3312">
        <v>66.354580322297494</v>
      </c>
      <c r="AK3312">
        <v>10.9206336016946</v>
      </c>
      <c r="AL3312">
        <v>91.773163437846407</v>
      </c>
      <c r="AM3312">
        <v>82.175952431848501</v>
      </c>
      <c r="AN3312">
        <v>0.99999998705307902</v>
      </c>
    </row>
    <row r="3313" spans="1:40" x14ac:dyDescent="0.25">
      <c r="A3313" t="str">
        <f>"20190305135857057"</f>
        <v>20190305135857057</v>
      </c>
      <c r="B3313" t="str">
        <f>"1551765537052545"</f>
        <v>1551765537052545</v>
      </c>
      <c r="C3313" t="s">
        <v>40</v>
      </c>
      <c r="D3313">
        <v>4.0370410000000003</v>
      </c>
      <c r="E3313">
        <v>0.60371549999999996</v>
      </c>
      <c r="F3313" t="s">
        <v>58</v>
      </c>
      <c r="G3313">
        <v>-202.8715</v>
      </c>
      <c r="H3313" s="1">
        <v>3.8261420000000004E-6</v>
      </c>
      <c r="I3313">
        <v>210.7756</v>
      </c>
      <c r="J3313">
        <v>-212.70699999999999</v>
      </c>
      <c r="K3313">
        <v>1.1076440000000001</v>
      </c>
      <c r="L3313">
        <v>215.5205</v>
      </c>
      <c r="M3313">
        <v>0.99936619999999998</v>
      </c>
      <c r="N3313">
        <v>-1.4199099999999999E-2</v>
      </c>
      <c r="O3313">
        <v>-3.2648610000000002E-2</v>
      </c>
      <c r="P3313">
        <v>0.98443950000000002</v>
      </c>
      <c r="Q3313">
        <v>-4.4108509999999997E-2</v>
      </c>
      <c r="R3313">
        <v>-0.17009959999999999</v>
      </c>
      <c r="S3313">
        <v>2.810333</v>
      </c>
      <c r="T3313">
        <v>-0.30495609999999901</v>
      </c>
      <c r="U3313">
        <v>-1.309998</v>
      </c>
      <c r="V3313">
        <v>0.13773540000000001</v>
      </c>
      <c r="W3313">
        <v>-3.0642389999999999E-2</v>
      </c>
      <c r="X3313">
        <v>0.98999490000000001</v>
      </c>
      <c r="Y3313">
        <v>0.39062259999999999</v>
      </c>
      <c r="Z3313">
        <v>-2.0106260000000001E-2</v>
      </c>
      <c r="AA3313">
        <v>0.92033129999999996</v>
      </c>
      <c r="AB3313">
        <v>37</v>
      </c>
      <c r="AC3313">
        <v>9.8354999999999908</v>
      </c>
      <c r="AD3313">
        <v>-1.107640173858</v>
      </c>
      <c r="AE3313">
        <v>-4.7449000000000003</v>
      </c>
      <c r="AF3313">
        <v>4.3761994769427499</v>
      </c>
      <c r="AG3313">
        <v>-1.107640173858</v>
      </c>
      <c r="AH3313">
        <v>9.8835031448298505</v>
      </c>
      <c r="AI3313">
        <v>95.8508911600792</v>
      </c>
      <c r="AJ3313">
        <v>66.117282888696593</v>
      </c>
      <c r="AK3313">
        <v>10.8656165508727</v>
      </c>
      <c r="AL3313">
        <v>91.7559545774931</v>
      </c>
      <c r="AM3313">
        <v>82.0794316107105</v>
      </c>
      <c r="AN3313">
        <v>0.99999994925203906</v>
      </c>
    </row>
    <row r="3314" spans="1:40" x14ac:dyDescent="0.25">
      <c r="A3314" t="str">
        <f>"20190305135857080"</f>
        <v>20190305135857080</v>
      </c>
      <c r="B3314" t="str">
        <f>"1551765537072064"</f>
        <v>1551765537072064</v>
      </c>
      <c r="C3314" t="s">
        <v>40</v>
      </c>
      <c r="D3314">
        <v>4.0426780000000004</v>
      </c>
      <c r="E3314">
        <v>0.60472250000000005</v>
      </c>
      <c r="F3314" t="s">
        <v>58</v>
      </c>
      <c r="G3314">
        <v>-202.62010000000001</v>
      </c>
      <c r="H3314" s="1">
        <v>3.7198119999999999E-6</v>
      </c>
      <c r="I3314">
        <v>210.71690000000001</v>
      </c>
      <c r="J3314">
        <v>-212.31950000000001</v>
      </c>
      <c r="K3314">
        <v>1.1076589999999999</v>
      </c>
      <c r="L3314">
        <v>215.5059</v>
      </c>
      <c r="M3314">
        <v>0.99929369999999995</v>
      </c>
      <c r="N3314">
        <v>-1.4482699999999999E-2</v>
      </c>
      <c r="O3314">
        <v>-3.467406E-2</v>
      </c>
      <c r="P3314">
        <v>0.98380080000000003</v>
      </c>
      <c r="Q3314">
        <v>-4.4078340000000001E-2</v>
      </c>
      <c r="R3314">
        <v>-0.17376150000000001</v>
      </c>
      <c r="S3314">
        <v>2.8029790000000001</v>
      </c>
      <c r="T3314">
        <v>-0.30779600000000001</v>
      </c>
      <c r="U3314">
        <v>-1.3348390000000001</v>
      </c>
      <c r="V3314">
        <v>0.1394087</v>
      </c>
      <c r="W3314">
        <v>-3.0361180000000001E-2</v>
      </c>
      <c r="X3314">
        <v>0.98976940000000002</v>
      </c>
      <c r="Y3314">
        <v>0.39627990000000002</v>
      </c>
      <c r="Z3314">
        <v>-2.049861E-2</v>
      </c>
      <c r="AA3314">
        <v>0.91790090000000002</v>
      </c>
      <c r="AB3314">
        <v>37</v>
      </c>
      <c r="AC3314">
        <v>9.69939999999999</v>
      </c>
      <c r="AD3314">
        <v>-1.107655280188</v>
      </c>
      <c r="AE3314">
        <v>-4.7889999999999802</v>
      </c>
      <c r="AF3314">
        <v>4.4035943353273899</v>
      </c>
      <c r="AG3314">
        <v>-1.107655280188</v>
      </c>
      <c r="AH3314">
        <v>9.7573304791065993</v>
      </c>
      <c r="AI3314">
        <v>95.907416950984597</v>
      </c>
      <c r="AJ3314">
        <v>65.709801494522594</v>
      </c>
      <c r="AK3314">
        <v>10.762157839780899</v>
      </c>
      <c r="AL3314">
        <v>91.739834796566399</v>
      </c>
      <c r="AM3314">
        <v>81.982648139749003</v>
      </c>
      <c r="AN3314">
        <v>1.0000000260315201</v>
      </c>
    </row>
    <row r="3315" spans="1:40" x14ac:dyDescent="0.25">
      <c r="A3315" t="str">
        <f>"20190305135857102"</f>
        <v>20190305135857102</v>
      </c>
      <c r="B3315" t="str">
        <f>"1551765537092562"</f>
        <v>1551765537092562</v>
      </c>
      <c r="C3315" t="s">
        <v>40</v>
      </c>
      <c r="D3315">
        <v>3.985887</v>
      </c>
      <c r="E3315">
        <v>0.6052805</v>
      </c>
      <c r="F3315" t="s">
        <v>58</v>
      </c>
      <c r="G3315">
        <v>-202.38849999999999</v>
      </c>
      <c r="H3315" s="1">
        <v>3.6186029999999998E-6</v>
      </c>
      <c r="I3315">
        <v>210.69970000000001</v>
      </c>
      <c r="J3315">
        <v>-211.9683</v>
      </c>
      <c r="K3315">
        <v>1.107693</v>
      </c>
      <c r="L3315">
        <v>215.49180000000001</v>
      </c>
      <c r="M3315">
        <v>0.9992219</v>
      </c>
      <c r="N3315">
        <v>-1.481942E-2</v>
      </c>
      <c r="O3315">
        <v>-3.655605E-2</v>
      </c>
      <c r="P3315">
        <v>0.98320180000000001</v>
      </c>
      <c r="Q3315">
        <v>-4.365351E-2</v>
      </c>
      <c r="R3315">
        <v>-0.17722589999999999</v>
      </c>
      <c r="S3315">
        <v>2.7964020000000001</v>
      </c>
      <c r="T3315">
        <v>-0.31189749999999999</v>
      </c>
      <c r="U3315">
        <v>-1.3533329999999999</v>
      </c>
      <c r="V3315">
        <v>0.14102899999999999</v>
      </c>
      <c r="W3315">
        <v>-2.9628689999999999E-2</v>
      </c>
      <c r="X3315">
        <v>0.98956200000000005</v>
      </c>
      <c r="Y3315">
        <v>0.40023989999999998</v>
      </c>
      <c r="Z3315">
        <v>-2.0891119999999999E-2</v>
      </c>
      <c r="AA3315">
        <v>0.91617230000000005</v>
      </c>
      <c r="AB3315">
        <v>37</v>
      </c>
      <c r="AC3315">
        <v>9.5798000000000005</v>
      </c>
      <c r="AD3315">
        <v>-1.1076893813969999</v>
      </c>
      <c r="AE3315">
        <v>-4.7920999999999996</v>
      </c>
      <c r="AF3315">
        <v>4.3916942007791997</v>
      </c>
      <c r="AG3315">
        <v>-1.1076893813969999</v>
      </c>
      <c r="AH3315">
        <v>9.6454481661954308</v>
      </c>
      <c r="AI3315">
        <v>95.9667102599429</v>
      </c>
      <c r="AJ3315">
        <v>65.519627374680795</v>
      </c>
      <c r="AK3315">
        <v>10.6559196715056</v>
      </c>
      <c r="AL3315">
        <v>91.697847371686393</v>
      </c>
      <c r="AM3315">
        <v>81.889020657502698</v>
      </c>
      <c r="AN3315">
        <v>0.99999999497805803</v>
      </c>
    </row>
    <row r="3316" spans="1:40" x14ac:dyDescent="0.25">
      <c r="A3316" t="str">
        <f>"20190305135857123"</f>
        <v>20190305135857123</v>
      </c>
      <c r="B3316" t="str">
        <f>"1551765537112081"</f>
        <v>1551765537112081</v>
      </c>
      <c r="C3316" t="s">
        <v>40</v>
      </c>
      <c r="D3316">
        <v>4.0569360000000003</v>
      </c>
      <c r="E3316">
        <v>0.60924069999999997</v>
      </c>
      <c r="F3316" t="s">
        <v>58</v>
      </c>
      <c r="G3316">
        <v>-202.06440000000001</v>
      </c>
      <c r="H3316" s="1">
        <v>3.4801860000000002E-6</v>
      </c>
      <c r="I3316">
        <v>210.6387</v>
      </c>
      <c r="J3316">
        <v>-211.6148</v>
      </c>
      <c r="K3316">
        <v>1.107731</v>
      </c>
      <c r="L3316">
        <v>215.477</v>
      </c>
      <c r="M3316">
        <v>0.99914400000000003</v>
      </c>
      <c r="N3316">
        <v>-1.520462E-2</v>
      </c>
      <c r="O3316">
        <v>-3.8474840000000003E-2</v>
      </c>
      <c r="P3316">
        <v>0.98252220000000001</v>
      </c>
      <c r="Q3316">
        <v>-4.3541280000000002E-2</v>
      </c>
      <c r="R3316">
        <v>-0.18098220000000001</v>
      </c>
      <c r="S3316">
        <v>2.7908780000000002</v>
      </c>
      <c r="T3316">
        <v>-0.312143</v>
      </c>
      <c r="U3316">
        <v>-1.3675839999999999</v>
      </c>
      <c r="V3316">
        <v>0.14290820000000001</v>
      </c>
      <c r="W3316">
        <v>-2.916183E-2</v>
      </c>
      <c r="X3316">
        <v>0.98930620000000002</v>
      </c>
      <c r="Y3316">
        <v>0.40294799999999997</v>
      </c>
      <c r="Z3316">
        <v>-2.1005699999999999E-2</v>
      </c>
      <c r="AA3316">
        <v>0.91498179999999996</v>
      </c>
      <c r="AB3316">
        <v>36</v>
      </c>
      <c r="AC3316">
        <v>9.5503999999999891</v>
      </c>
      <c r="AD3316">
        <v>-1.107727519814</v>
      </c>
      <c r="AE3316">
        <v>-4.8383000000000003</v>
      </c>
      <c r="AF3316">
        <v>4.4199067486742498</v>
      </c>
      <c r="AG3316">
        <v>-1.107727519814</v>
      </c>
      <c r="AH3316">
        <v>9.6264450741633993</v>
      </c>
      <c r="AI3316">
        <v>95.970018493258294</v>
      </c>
      <c r="AJ3316">
        <v>65.338149856067204</v>
      </c>
      <c r="AK3316">
        <v>10.6504028417245</v>
      </c>
      <c r="AL3316">
        <v>91.671086755185399</v>
      </c>
      <c r="AM3316">
        <v>81.780313324957206</v>
      </c>
      <c r="AN3316">
        <v>0.99999996165731297</v>
      </c>
    </row>
    <row r="3317" spans="1:40" x14ac:dyDescent="0.25">
      <c r="A3317" t="str">
        <f>"20190305135857146"</f>
        <v>20190305135857146</v>
      </c>
      <c r="B3317" t="str">
        <f>"1551765537142337"</f>
        <v>1551765537142337</v>
      </c>
      <c r="C3317" t="s">
        <v>40</v>
      </c>
      <c r="D3317">
        <v>4.0927870000000004</v>
      </c>
      <c r="E3317">
        <v>0.61915439999999999</v>
      </c>
      <c r="F3317" t="s">
        <v>58</v>
      </c>
      <c r="G3317">
        <v>-199.5033</v>
      </c>
      <c r="H3317" s="1">
        <v>2.7850680000000002E-6</v>
      </c>
      <c r="I3317">
        <v>209.35550000000001</v>
      </c>
      <c r="J3317">
        <v>-211.25710000000001</v>
      </c>
      <c r="K3317">
        <v>1.1077589999999999</v>
      </c>
      <c r="L3317">
        <v>215.46129999999999</v>
      </c>
      <c r="M3317">
        <v>0.99906050000000002</v>
      </c>
      <c r="N3317">
        <v>-1.561739E-2</v>
      </c>
      <c r="O3317">
        <v>-4.042747E-2</v>
      </c>
      <c r="P3317">
        <v>0.9818654</v>
      </c>
      <c r="Q3317">
        <v>-4.3689070000000003E-2</v>
      </c>
      <c r="R3317">
        <v>-0.18447640000000001</v>
      </c>
      <c r="S3317">
        <v>2.7829739999999998</v>
      </c>
      <c r="T3317">
        <v>-0.25453379999999998</v>
      </c>
      <c r="U3317">
        <v>-1.4066160000000001</v>
      </c>
      <c r="V3317">
        <v>0.14449229999999999</v>
      </c>
      <c r="W3317">
        <v>-2.8924289999999998E-2</v>
      </c>
      <c r="X3317">
        <v>0.98908309999999999</v>
      </c>
      <c r="Y3317">
        <v>0.41308020000000001</v>
      </c>
      <c r="Z3317">
        <v>-1.8325569999999999E-2</v>
      </c>
      <c r="AA3317">
        <v>0.91051020000000005</v>
      </c>
      <c r="AB3317">
        <v>36</v>
      </c>
      <c r="AC3317">
        <v>11.7538</v>
      </c>
      <c r="AD3317">
        <v>-1.1077562149319999</v>
      </c>
      <c r="AE3317">
        <v>-6.1057999999999799</v>
      </c>
      <c r="AF3317">
        <v>5.58649615347636</v>
      </c>
      <c r="AG3317">
        <v>-1.1077562149319999</v>
      </c>
      <c r="AH3317">
        <v>11.907767787689901</v>
      </c>
      <c r="AI3317">
        <v>94.8141014067984</v>
      </c>
      <c r="AJ3317">
        <v>64.866508840250205</v>
      </c>
      <c r="AK3317">
        <v>13.1996589649154</v>
      </c>
      <c r="AL3317">
        <v>91.657470892996798</v>
      </c>
      <c r="AM3317">
        <v>81.688617534493702</v>
      </c>
      <c r="AN3317">
        <v>1.00000000900845</v>
      </c>
    </row>
    <row r="3318" spans="1:40" x14ac:dyDescent="0.25">
      <c r="A3318" t="str">
        <f>"20190305135857168"</f>
        <v>20190305135857168</v>
      </c>
      <c r="B3318" t="str">
        <f>"1551765537161859"</f>
        <v>1551765537161859</v>
      </c>
      <c r="C3318" t="s">
        <v>40</v>
      </c>
      <c r="D3318">
        <v>4.0930160000000004</v>
      </c>
      <c r="E3318">
        <v>0.62017100000000003</v>
      </c>
      <c r="F3318" t="s">
        <v>58</v>
      </c>
      <c r="G3318">
        <v>-202.29949999999999</v>
      </c>
      <c r="H3318" s="1">
        <v>3.5882459999999998E-6</v>
      </c>
      <c r="I3318">
        <v>210.59530000000001</v>
      </c>
      <c r="J3318">
        <v>-210.88249999999999</v>
      </c>
      <c r="K3318">
        <v>1.1077939999999999</v>
      </c>
      <c r="L3318">
        <v>215.44399999999999</v>
      </c>
      <c r="M3318">
        <v>0.99896819999999997</v>
      </c>
      <c r="N3318">
        <v>-1.6075539999999999E-2</v>
      </c>
      <c r="O3318">
        <v>-4.2475779999999998E-2</v>
      </c>
      <c r="P3318">
        <v>0.98105180000000003</v>
      </c>
      <c r="Q3318">
        <v>-4.4683300000000002E-2</v>
      </c>
      <c r="R3318">
        <v>-0.1885231</v>
      </c>
      <c r="S3318">
        <v>2.7586520000000001</v>
      </c>
      <c r="T3318">
        <v>-0.3411537</v>
      </c>
      <c r="U3318">
        <v>-1.4985809999999999</v>
      </c>
      <c r="V3318">
        <v>0.1465379</v>
      </c>
      <c r="W3318">
        <v>-2.9489129999999999E-2</v>
      </c>
      <c r="X3318">
        <v>0.98876540000000002</v>
      </c>
      <c r="Y3318">
        <v>0.4368049</v>
      </c>
      <c r="Z3318">
        <v>-2.469145E-2</v>
      </c>
      <c r="AA3318">
        <v>0.89921739999999994</v>
      </c>
      <c r="AB3318">
        <v>36</v>
      </c>
      <c r="AC3318">
        <v>8.5829999999999895</v>
      </c>
      <c r="AD3318">
        <v>-1.1077904117539901</v>
      </c>
      <c r="AE3318">
        <v>-4.8487</v>
      </c>
      <c r="AF3318">
        <v>4.4238401704303802</v>
      </c>
      <c r="AG3318">
        <v>-1.1077904117539901</v>
      </c>
      <c r="AH3318">
        <v>8.6717208021423904</v>
      </c>
      <c r="AI3318">
        <v>96.492062200135095</v>
      </c>
      <c r="AJ3318">
        <v>62.971798694805699</v>
      </c>
      <c r="AK3318">
        <v>9.7977703137089698</v>
      </c>
      <c r="AL3318">
        <v>91.689847684536701</v>
      </c>
      <c r="AM3318">
        <v>81.569961308711896</v>
      </c>
      <c r="AN3318">
        <v>0.99999999058086297</v>
      </c>
    </row>
    <row r="3319" spans="1:40" x14ac:dyDescent="0.25">
      <c r="A3319" t="str">
        <f>"20190305135857186"</f>
        <v>20190305135857186</v>
      </c>
      <c r="B3319" t="str">
        <f>"1551765537182353"</f>
        <v>1551765537182353</v>
      </c>
      <c r="C3319" t="s">
        <v>40</v>
      </c>
      <c r="D3319">
        <v>4.1278249999999996</v>
      </c>
      <c r="E3319">
        <v>0.62091289999999999</v>
      </c>
      <c r="F3319" t="s">
        <v>58</v>
      </c>
      <c r="G3319">
        <v>-201.994</v>
      </c>
      <c r="H3319" s="1">
        <v>3.4578160000000002E-6</v>
      </c>
      <c r="I3319">
        <v>210.53790000000001</v>
      </c>
      <c r="J3319">
        <v>-210.61510000000001</v>
      </c>
      <c r="K3319">
        <v>1.1078300000000001</v>
      </c>
      <c r="L3319">
        <v>215.43119999999999</v>
      </c>
      <c r="M3319">
        <v>0.99889930000000005</v>
      </c>
      <c r="N3319">
        <v>-1.6408570000000001E-2</v>
      </c>
      <c r="O3319">
        <v>-4.3942380000000003E-2</v>
      </c>
      <c r="P3319">
        <v>0.98060860000000005</v>
      </c>
      <c r="Q3319">
        <v>-4.5298230000000002E-2</v>
      </c>
      <c r="R3319">
        <v>-0.19067029999999999</v>
      </c>
      <c r="S3319">
        <v>2.7505649999999999</v>
      </c>
      <c r="T3319">
        <v>-0.3428098</v>
      </c>
      <c r="U3319">
        <v>-1.518219</v>
      </c>
      <c r="V3319">
        <v>0.1472492</v>
      </c>
      <c r="W3319">
        <v>-2.9783730000000001E-2</v>
      </c>
      <c r="X3319">
        <v>0.9886509</v>
      </c>
      <c r="Y3319">
        <v>0.44146079999999999</v>
      </c>
      <c r="Z3319">
        <v>-2.5070249999999999E-2</v>
      </c>
      <c r="AA3319">
        <v>0.89693020000000001</v>
      </c>
      <c r="AB3319">
        <v>36</v>
      </c>
      <c r="AC3319">
        <v>8.6210999999999807</v>
      </c>
      <c r="AD3319">
        <v>-1.1078265421839999</v>
      </c>
      <c r="AE3319">
        <v>-4.8932999999999804</v>
      </c>
      <c r="AF3319">
        <v>4.4540620603552199</v>
      </c>
      <c r="AG3319">
        <v>-1.1078265421839999</v>
      </c>
      <c r="AH3319">
        <v>8.7189306126226107</v>
      </c>
      <c r="AI3319">
        <v>96.455591452351001</v>
      </c>
      <c r="AJ3319">
        <v>62.939801844428501</v>
      </c>
      <c r="AK3319">
        <v>9.8532075748352597</v>
      </c>
      <c r="AL3319">
        <v>91.7067344233092</v>
      </c>
      <c r="AM3319">
        <v>81.5286670644022</v>
      </c>
      <c r="AN3319">
        <v>0.99999999977208098</v>
      </c>
    </row>
    <row r="3320" spans="1:40" x14ac:dyDescent="0.25">
      <c r="A3320" t="str">
        <f>"20190305135857200"</f>
        <v>20190305135857200</v>
      </c>
      <c r="B3320" t="str">
        <f>"1551765537192113"</f>
        <v>1551765537192113</v>
      </c>
      <c r="C3320" t="s">
        <v>40</v>
      </c>
      <c r="D3320">
        <v>4.1436900000000003</v>
      </c>
      <c r="E3320">
        <v>0.62153199999999997</v>
      </c>
      <c r="F3320" t="s">
        <v>58</v>
      </c>
      <c r="G3320">
        <v>-201.96170000000001</v>
      </c>
      <c r="H3320" s="1">
        <v>3.4373160000000001E-6</v>
      </c>
      <c r="I3320">
        <v>210.60820000000001</v>
      </c>
      <c r="J3320">
        <v>-210.3613</v>
      </c>
      <c r="K3320">
        <v>1.107853</v>
      </c>
      <c r="L3320">
        <v>215.4186</v>
      </c>
      <c r="M3320">
        <v>0.99883169999999999</v>
      </c>
      <c r="N3320">
        <v>-1.672353E-2</v>
      </c>
      <c r="O3320">
        <v>-4.5337889999999999E-2</v>
      </c>
      <c r="P3320">
        <v>0.98002639999999996</v>
      </c>
      <c r="Q3320">
        <v>-4.5162809999999998E-2</v>
      </c>
      <c r="R3320">
        <v>-0.19367219999999999</v>
      </c>
      <c r="S3320">
        <v>2.7455599999999998</v>
      </c>
      <c r="T3320">
        <v>-0.35148990000000002</v>
      </c>
      <c r="U3320">
        <v>-1.530243</v>
      </c>
      <c r="V3320">
        <v>0.14889539999999901</v>
      </c>
      <c r="W3320">
        <v>-2.9350379999999999E-2</v>
      </c>
      <c r="X3320">
        <v>0.98841730000000005</v>
      </c>
      <c r="Y3320">
        <v>0.44374789999999997</v>
      </c>
      <c r="Z3320">
        <v>-2.5703960000000001E-2</v>
      </c>
      <c r="AA3320">
        <v>0.89578289999999905</v>
      </c>
      <c r="AB3320">
        <v>36</v>
      </c>
      <c r="AC3320">
        <v>8.3995999999999906</v>
      </c>
      <c r="AD3320">
        <v>-1.1078495626839999</v>
      </c>
      <c r="AE3320">
        <v>-4.81039999999998</v>
      </c>
      <c r="AF3320">
        <v>4.3673685457899003</v>
      </c>
      <c r="AG3320">
        <v>-1.1078495626839999</v>
      </c>
      <c r="AH3320">
        <v>8.4977680754431404</v>
      </c>
      <c r="AI3320">
        <v>96.614032179892405</v>
      </c>
      <c r="AJ3320">
        <v>62.799418783268301</v>
      </c>
      <c r="AK3320">
        <v>9.6183834885242003</v>
      </c>
      <c r="AL3320">
        <v>91.681894399690805</v>
      </c>
      <c r="AM3320">
        <v>81.433363014078907</v>
      </c>
      <c r="AN3320">
        <v>1.0000000219432901</v>
      </c>
    </row>
    <row r="3321" spans="1:40" x14ac:dyDescent="0.25">
      <c r="A3321" t="str">
        <f>"20190305135857224"</f>
        <v>20190305135857224</v>
      </c>
      <c r="B3321" t="str">
        <f>"1551765537212609"</f>
        <v>1551765537212609</v>
      </c>
      <c r="C3321" t="s">
        <v>40</v>
      </c>
      <c r="D3321">
        <v>4.1353519999999904</v>
      </c>
      <c r="E3321">
        <v>0.62264280000000005</v>
      </c>
      <c r="F3321" t="s">
        <v>58</v>
      </c>
      <c r="G3321">
        <v>-201.77279999999999</v>
      </c>
      <c r="H3321" s="1">
        <v>3.355996E-6</v>
      </c>
      <c r="I3321">
        <v>210.58019999999999</v>
      </c>
      <c r="J3321">
        <v>-210.00210000000001</v>
      </c>
      <c r="K3321">
        <v>1.107888</v>
      </c>
      <c r="L3321">
        <v>215.40020000000001</v>
      </c>
      <c r="M3321">
        <v>0.99873259999999997</v>
      </c>
      <c r="N3321">
        <v>-1.7161349999999999E-2</v>
      </c>
      <c r="O3321">
        <v>-4.7316190000000001E-2</v>
      </c>
      <c r="P3321">
        <v>0.97931310000000005</v>
      </c>
      <c r="Q3321">
        <v>-4.4668909999999999E-2</v>
      </c>
      <c r="R3321">
        <v>-0.1973588</v>
      </c>
      <c r="S3321">
        <v>2.7398069999999999</v>
      </c>
      <c r="T3321">
        <v>-0.35341430000000001</v>
      </c>
      <c r="U3321">
        <v>-1.5435179999999999</v>
      </c>
      <c r="V3321">
        <v>0.15065909999999999</v>
      </c>
      <c r="W3321">
        <v>-2.8436090000000001E-2</v>
      </c>
      <c r="X3321">
        <v>0.98817670000000002</v>
      </c>
      <c r="Y3321">
        <v>0.44602199999999997</v>
      </c>
      <c r="Z3321">
        <v>-2.5914059999999999E-2</v>
      </c>
      <c r="AA3321">
        <v>0.89464679999999996</v>
      </c>
      <c r="AB3321">
        <v>36</v>
      </c>
      <c r="AC3321">
        <v>8.2293000000000198</v>
      </c>
      <c r="AD3321">
        <v>-1.107884644004</v>
      </c>
      <c r="AE3321">
        <v>-4.8200000000000198</v>
      </c>
      <c r="AF3321">
        <v>4.3662415665891103</v>
      </c>
      <c r="AG3321">
        <v>-1.107884644004</v>
      </c>
      <c r="AH3321">
        <v>8.3356888229909103</v>
      </c>
      <c r="AI3321">
        <v>96.7148086465685</v>
      </c>
      <c r="AJ3321">
        <v>62.354410965970601</v>
      </c>
      <c r="AK3321">
        <v>9.4749766203387598</v>
      </c>
      <c r="AL3321">
        <v>91.629487624513004</v>
      </c>
      <c r="AM3321">
        <v>81.331343089055395</v>
      </c>
      <c r="AN3321">
        <v>0.99999998302509396</v>
      </c>
    </row>
    <row r="3322" spans="1:40" x14ac:dyDescent="0.25">
      <c r="A3322" t="str">
        <f>"20190305135857246"</f>
        <v>20190305135857246</v>
      </c>
      <c r="B3322" t="str">
        <f>"1551765537241943"</f>
        <v>1551765537241943</v>
      </c>
      <c r="C3322" t="s">
        <v>40</v>
      </c>
      <c r="D3322">
        <v>4.1724560000000004</v>
      </c>
      <c r="E3322">
        <v>0.62377340000000003</v>
      </c>
      <c r="F3322" t="s">
        <v>58</v>
      </c>
      <c r="G3322">
        <v>-201.43049999999999</v>
      </c>
      <c r="H3322" s="1">
        <v>3.2113730000000002E-6</v>
      </c>
      <c r="I3322">
        <v>210.4984</v>
      </c>
      <c r="J3322">
        <v>-209.64699999999999</v>
      </c>
      <c r="K3322">
        <v>1.1079110000000001</v>
      </c>
      <c r="L3322">
        <v>215.38130000000001</v>
      </c>
      <c r="M3322">
        <v>0.99863020000000002</v>
      </c>
      <c r="N3322">
        <v>-1.7579959999999999E-2</v>
      </c>
      <c r="O3322">
        <v>-4.9279730000000001E-2</v>
      </c>
      <c r="P3322">
        <v>0.97845349999999998</v>
      </c>
      <c r="Q3322">
        <v>-4.5094210000000003E-2</v>
      </c>
      <c r="R3322">
        <v>-0.201483</v>
      </c>
      <c r="S3322">
        <v>2.732361</v>
      </c>
      <c r="T3322">
        <v>-0.3531609</v>
      </c>
      <c r="U3322">
        <v>-1.562546</v>
      </c>
      <c r="V3322">
        <v>0.1528784</v>
      </c>
      <c r="W3322">
        <v>-2.846315E-2</v>
      </c>
      <c r="X3322">
        <v>0.98783500000000002</v>
      </c>
      <c r="Y3322">
        <v>0.4499804</v>
      </c>
      <c r="Z3322">
        <v>-2.6113009999999999E-2</v>
      </c>
      <c r="AA3322">
        <v>0.89265659999999902</v>
      </c>
      <c r="AB3322">
        <v>36</v>
      </c>
      <c r="AC3322">
        <v>8.2165000000000195</v>
      </c>
      <c r="AD3322">
        <v>-1.1079077886269999</v>
      </c>
      <c r="AE3322">
        <v>-4.8829000000000002</v>
      </c>
      <c r="AF3322">
        <v>4.4127052995007396</v>
      </c>
      <c r="AG3322">
        <v>-1.1079077886269999</v>
      </c>
      <c r="AH3322">
        <v>8.3351846580541604</v>
      </c>
      <c r="AI3322">
        <v>96.699988315755206</v>
      </c>
      <c r="AJ3322">
        <v>62.102941154443002</v>
      </c>
      <c r="AK3322">
        <v>9.4960376479984401</v>
      </c>
      <c r="AL3322">
        <v>91.631038694698205</v>
      </c>
      <c r="AM3322">
        <v>81.202636089290095</v>
      </c>
      <c r="AN3322">
        <v>0.99999997165973997</v>
      </c>
    </row>
    <row r="3323" spans="1:40" x14ac:dyDescent="0.25">
      <c r="A3323" t="str">
        <f>"20190305135857270"</f>
        <v>20190305135857270</v>
      </c>
      <c r="B3323" t="str">
        <f>"1551765537262435"</f>
        <v>1551765537262435</v>
      </c>
      <c r="C3323" t="s">
        <v>40</v>
      </c>
      <c r="D3323">
        <v>4.181406</v>
      </c>
      <c r="E3323">
        <v>0.63211600000000001</v>
      </c>
      <c r="F3323" t="s">
        <v>58</v>
      </c>
      <c r="G3323">
        <v>-201.18989999999999</v>
      </c>
      <c r="H3323" s="1">
        <v>3.107341E-6</v>
      </c>
      <c r="I3323">
        <v>210.46780000000001</v>
      </c>
      <c r="J3323">
        <v>-209.28</v>
      </c>
      <c r="K3323">
        <v>1.107934</v>
      </c>
      <c r="L3323">
        <v>215.36089999999999</v>
      </c>
      <c r="M3323">
        <v>0.99851979999999996</v>
      </c>
      <c r="N3323">
        <v>-1.7989339999999999E-2</v>
      </c>
      <c r="O3323">
        <v>-5.1330960000000002E-2</v>
      </c>
      <c r="P3323">
        <v>0.97753579999999995</v>
      </c>
      <c r="Q3323">
        <v>-4.7033699999999998E-2</v>
      </c>
      <c r="R3323">
        <v>-0.2054549</v>
      </c>
      <c r="S3323">
        <v>2.7237550000000001</v>
      </c>
      <c r="T3323">
        <v>-0.35681990000000002</v>
      </c>
      <c r="U3323">
        <v>-1.5824739999999999</v>
      </c>
      <c r="V3323">
        <v>0.154856299999999</v>
      </c>
      <c r="W3323">
        <v>-3.0014599999999898E-2</v>
      </c>
      <c r="X3323">
        <v>0.98748089999999999</v>
      </c>
      <c r="Y3323">
        <v>0.45416089999999998</v>
      </c>
      <c r="Z3323">
        <v>-2.6557899999999999E-2</v>
      </c>
      <c r="AA3323">
        <v>0.89052369999999903</v>
      </c>
      <c r="AB3323">
        <v>36</v>
      </c>
      <c r="AC3323">
        <v>8.0900999999999996</v>
      </c>
      <c r="AD3323">
        <v>-1.1079308926589999</v>
      </c>
      <c r="AE3323">
        <v>-4.8930999999999703</v>
      </c>
      <c r="AF3323">
        <v>4.4107403747660996</v>
      </c>
      <c r="AG3323">
        <v>-1.1079308926589999</v>
      </c>
      <c r="AH3323">
        <v>8.2177947564811102</v>
      </c>
      <c r="AI3323">
        <v>96.774515098429504</v>
      </c>
      <c r="AJ3323">
        <v>61.7761918265047</v>
      </c>
      <c r="AK3323">
        <v>9.3922463860435705</v>
      </c>
      <c r="AL3323">
        <v>91.719968321313601</v>
      </c>
      <c r="AM3323">
        <v>81.087489108305604</v>
      </c>
      <c r="AN3323">
        <v>0.99999993886382799</v>
      </c>
    </row>
    <row r="3324" spans="1:40" x14ac:dyDescent="0.25">
      <c r="A3324" t="str">
        <f>"20190305135857291"</f>
        <v>20190305135857291</v>
      </c>
      <c r="B3324" t="str">
        <f>"1551765537281956"</f>
        <v>1551765537281956</v>
      </c>
      <c r="C3324" t="s">
        <v>40</v>
      </c>
      <c r="D3324">
        <v>4.1778690000000003</v>
      </c>
      <c r="E3324">
        <v>0.6321483</v>
      </c>
      <c r="F3324" t="s">
        <v>58</v>
      </c>
      <c r="G3324">
        <v>-201.60400000000001</v>
      </c>
      <c r="H3324" s="1">
        <v>3.2756270000000001E-6</v>
      </c>
      <c r="I3324">
        <v>210.64320000000001</v>
      </c>
      <c r="J3324">
        <v>-208.93389999999999</v>
      </c>
      <c r="K3324">
        <v>1.1079490000000001</v>
      </c>
      <c r="L3324">
        <v>215.34100000000001</v>
      </c>
      <c r="M3324">
        <v>0.99840960000000001</v>
      </c>
      <c r="N3324">
        <v>-1.8358630000000001E-2</v>
      </c>
      <c r="O3324">
        <v>-5.3307649999999998E-2</v>
      </c>
      <c r="P3324">
        <v>0.97666850000000005</v>
      </c>
      <c r="Q3324">
        <v>-4.9219400000000003E-2</v>
      </c>
      <c r="R3324">
        <v>-0.20903759999999999</v>
      </c>
      <c r="S3324">
        <v>2.701279</v>
      </c>
      <c r="T3324">
        <v>-0.38989380000000001</v>
      </c>
      <c r="U3324">
        <v>-1.660202</v>
      </c>
      <c r="V3324">
        <v>0.15651619999999999</v>
      </c>
      <c r="W3324">
        <v>-3.1854639999999997E-2</v>
      </c>
      <c r="X3324">
        <v>0.98716159999999997</v>
      </c>
      <c r="Y3324">
        <v>0.47362199999999999</v>
      </c>
      <c r="Z3324">
        <v>-2.991533E-2</v>
      </c>
      <c r="AA3324">
        <v>0.88022</v>
      </c>
      <c r="AB3324">
        <v>35</v>
      </c>
      <c r="AC3324">
        <v>7.3298999999999799</v>
      </c>
      <c r="AD3324">
        <v>-1.107945724373</v>
      </c>
      <c r="AE3324">
        <v>-4.6977999999999698</v>
      </c>
      <c r="AF3324">
        <v>4.2317781074590703</v>
      </c>
      <c r="AG3324">
        <v>-1.107945724373</v>
      </c>
      <c r="AH3324">
        <v>7.4493022562961997</v>
      </c>
      <c r="AI3324">
        <v>97.368672562831193</v>
      </c>
      <c r="AJ3324">
        <v>60.400084625689999</v>
      </c>
      <c r="AK3324">
        <v>8.6387263982942493</v>
      </c>
      <c r="AL3324">
        <v>91.825445179482998</v>
      </c>
      <c r="AM3324">
        <v>80.990648648477503</v>
      </c>
      <c r="AN3324">
        <v>1.00000003173326</v>
      </c>
    </row>
    <row r="3325" spans="1:40" x14ac:dyDescent="0.25">
      <c r="A3325" t="str">
        <f>"20190305135857314"</f>
        <v>20190305135857314</v>
      </c>
      <c r="B3325" t="str">
        <f>"1551765537302451"</f>
        <v>1551765537302451</v>
      </c>
      <c r="C3325" t="s">
        <v>40</v>
      </c>
      <c r="D3325">
        <v>4.1995469999999999</v>
      </c>
      <c r="E3325">
        <v>0.63365450000000001</v>
      </c>
      <c r="F3325" t="s">
        <v>58</v>
      </c>
      <c r="G3325">
        <v>-201.3408</v>
      </c>
      <c r="H3325" s="1">
        <v>3.159783E-6</v>
      </c>
      <c r="I3325">
        <v>210.6335</v>
      </c>
      <c r="J3325">
        <v>-208.58609999999999</v>
      </c>
      <c r="K3325">
        <v>1.107952</v>
      </c>
      <c r="L3325">
        <v>215.3202</v>
      </c>
      <c r="M3325">
        <v>0.99829069999999998</v>
      </c>
      <c r="N3325">
        <v>-1.8709719999999999E-2</v>
      </c>
      <c r="O3325">
        <v>-5.5369450000000001E-2</v>
      </c>
      <c r="P3325">
        <v>0.97556710000000002</v>
      </c>
      <c r="Q3325">
        <v>-4.9978179999999997E-2</v>
      </c>
      <c r="R3325">
        <v>-0.21394160000000001</v>
      </c>
      <c r="S3325">
        <v>2.6943359999999998</v>
      </c>
      <c r="T3325">
        <v>-0.3931462</v>
      </c>
      <c r="U3325">
        <v>-1.670425</v>
      </c>
      <c r="V3325">
        <v>0.15943109999999999</v>
      </c>
      <c r="W3325">
        <v>-3.2303199999999997E-2</v>
      </c>
      <c r="X3325">
        <v>0.98668040000000001</v>
      </c>
      <c r="Y3325">
        <v>0.47515449999999998</v>
      </c>
      <c r="Z3325">
        <v>-3.0140210000000001E-2</v>
      </c>
      <c r="AA3325">
        <v>0.879386</v>
      </c>
      <c r="AB3325">
        <v>35</v>
      </c>
      <c r="AC3325">
        <v>7.2452999999999799</v>
      </c>
      <c r="AD3325">
        <v>-1.1079488402169999</v>
      </c>
      <c r="AE3325">
        <v>-4.6867000000000001</v>
      </c>
      <c r="AF3325">
        <v>4.2088810752063797</v>
      </c>
      <c r="AG3325">
        <v>-1.1079488402169999</v>
      </c>
      <c r="AH3325">
        <v>7.3721877997369099</v>
      </c>
      <c r="AI3325">
        <v>97.435937329072502</v>
      </c>
      <c r="AJ3325">
        <v>60.2773734297133</v>
      </c>
      <c r="AK3325">
        <v>8.5610386923759592</v>
      </c>
      <c r="AL3325">
        <v>91.851159081111206</v>
      </c>
      <c r="AM3325">
        <v>80.821291546056798</v>
      </c>
      <c r="AN3325">
        <v>0.99999999206080503</v>
      </c>
    </row>
    <row r="3326" spans="1:40" x14ac:dyDescent="0.25">
      <c r="A3326" t="str">
        <f>"20190305135857336"</f>
        <v>20190305135857336</v>
      </c>
      <c r="B3326" t="str">
        <f>"1551765537332707"</f>
        <v>1551765537332707</v>
      </c>
      <c r="C3326" t="s">
        <v>40</v>
      </c>
      <c r="D3326">
        <v>4.1965890000000003</v>
      </c>
      <c r="E3326">
        <v>0.63532630000000001</v>
      </c>
      <c r="F3326" t="s">
        <v>58</v>
      </c>
      <c r="G3326">
        <v>-201.0428</v>
      </c>
      <c r="H3326" s="1">
        <v>3.034819E-6</v>
      </c>
      <c r="I3326">
        <v>210.55090000000001</v>
      </c>
      <c r="J3326">
        <v>-208.23179999999999</v>
      </c>
      <c r="K3326">
        <v>1.1079300000000001</v>
      </c>
      <c r="L3326">
        <v>215.29820000000001</v>
      </c>
      <c r="M3326">
        <v>0.99815889999999996</v>
      </c>
      <c r="N3326">
        <v>-1.9047120000000001E-2</v>
      </c>
      <c r="O3326">
        <v>-5.7583889999999999E-2</v>
      </c>
      <c r="P3326">
        <v>0.97414889999999998</v>
      </c>
      <c r="Q3326">
        <v>-4.8634700000000003E-2</v>
      </c>
      <c r="R3326">
        <v>-0.22060930000000001</v>
      </c>
      <c r="S3326">
        <v>2.6829529999999999</v>
      </c>
      <c r="T3326">
        <v>-0.39406849999999999</v>
      </c>
      <c r="U3326">
        <v>-1.696304</v>
      </c>
      <c r="V3326">
        <v>0.16398509999999999</v>
      </c>
      <c r="W3326">
        <v>-3.0687369999999999E-2</v>
      </c>
      <c r="X3326">
        <v>0.98598540000000001</v>
      </c>
      <c r="Y3326">
        <v>0.48087950000000002</v>
      </c>
      <c r="Z3326">
        <v>-3.052962E-2</v>
      </c>
      <c r="AA3326">
        <v>0.87625499999999901</v>
      </c>
      <c r="AB3326">
        <v>35</v>
      </c>
      <c r="AC3326">
        <v>7.1889999999999903</v>
      </c>
      <c r="AD3326">
        <v>-1.10792696518099</v>
      </c>
      <c r="AE3326">
        <v>-4.7472999999999903</v>
      </c>
      <c r="AF3326">
        <v>4.2550005669173503</v>
      </c>
      <c r="AG3326">
        <v>-1.10792696518099</v>
      </c>
      <c r="AH3326">
        <v>7.3292655376308202</v>
      </c>
      <c r="AI3326">
        <v>97.448100263790707</v>
      </c>
      <c r="AJ3326">
        <v>59.862718753285201</v>
      </c>
      <c r="AK3326">
        <v>8.5469681937950899</v>
      </c>
      <c r="AL3326">
        <v>91.758532832780304</v>
      </c>
      <c r="AM3326">
        <v>80.557230305601294</v>
      </c>
      <c r="AN3326">
        <v>1.00000001835634</v>
      </c>
    </row>
    <row r="3327" spans="1:40" x14ac:dyDescent="0.25">
      <c r="A3327" t="str">
        <f>"20190305135857359"</f>
        <v>20190305135857359</v>
      </c>
      <c r="B3327" t="str">
        <f>"1551765537352735"</f>
        <v>1551765537352735</v>
      </c>
      <c r="C3327" t="s">
        <v>40</v>
      </c>
      <c r="D3327">
        <v>4.1981510000000002</v>
      </c>
      <c r="E3327">
        <v>0.64053499999999997</v>
      </c>
      <c r="F3327" t="s">
        <v>58</v>
      </c>
      <c r="G3327">
        <v>-200.6267</v>
      </c>
      <c r="H3327" s="1">
        <v>2.8656780000000002E-6</v>
      </c>
      <c r="I3327">
        <v>210.3751</v>
      </c>
      <c r="J3327">
        <v>-207.88140000000001</v>
      </c>
      <c r="K3327">
        <v>1.1078749999999999</v>
      </c>
      <c r="L3327">
        <v>215.27539999999999</v>
      </c>
      <c r="M3327">
        <v>0.99801470000000003</v>
      </c>
      <c r="N3327">
        <v>-1.935742E-2</v>
      </c>
      <c r="O3327">
        <v>-5.9933670000000001E-2</v>
      </c>
      <c r="P3327">
        <v>0.97177270000000004</v>
      </c>
      <c r="Q3327">
        <v>-4.529681E-2</v>
      </c>
      <c r="R3327">
        <v>-0.23152990000000001</v>
      </c>
      <c r="S3327">
        <v>2.66893</v>
      </c>
      <c r="T3327">
        <v>-0.38881739999999998</v>
      </c>
      <c r="U3327">
        <v>-1.7277070000000001</v>
      </c>
      <c r="V3327">
        <v>0.17271989999999901</v>
      </c>
      <c r="W3327">
        <v>-2.715387E-2</v>
      </c>
      <c r="X3327">
        <v>0.98459660000000004</v>
      </c>
      <c r="Y3327">
        <v>0.48821029999999999</v>
      </c>
      <c r="Z3327">
        <v>-3.064884E-2</v>
      </c>
      <c r="AA3327">
        <v>0.87218770000000001</v>
      </c>
      <c r="AB3327">
        <v>35</v>
      </c>
      <c r="AC3327">
        <v>7.2547000000000104</v>
      </c>
      <c r="AD3327">
        <v>-1.1078721343219999</v>
      </c>
      <c r="AE3327">
        <v>-4.9002999999999801</v>
      </c>
      <c r="AF3327">
        <v>4.3863617090387104</v>
      </c>
      <c r="AG3327">
        <v>-1.1078721343219999</v>
      </c>
      <c r="AH3327">
        <v>7.4166308908185403</v>
      </c>
      <c r="AI3327">
        <v>97.326522372190794</v>
      </c>
      <c r="AJ3327">
        <v>59.398978781585797</v>
      </c>
      <c r="AK3327">
        <v>8.6875752358855607</v>
      </c>
      <c r="AL3327">
        <v>91.555993432693199</v>
      </c>
      <c r="AM3327">
        <v>80.050296098758807</v>
      </c>
      <c r="AN3327">
        <v>0.99999998062177298</v>
      </c>
    </row>
    <row r="3328" spans="1:40" x14ac:dyDescent="0.25">
      <c r="A3328" t="str">
        <f>"20190305135857391"</f>
        <v>20190305135857391</v>
      </c>
      <c r="B3328" t="str">
        <f>"1551765537382018"</f>
        <v>1551765537382018</v>
      </c>
      <c r="C3328" t="s">
        <v>40</v>
      </c>
      <c r="D3328">
        <v>4.2175370000000001</v>
      </c>
      <c r="E3328">
        <v>0.64116289999999998</v>
      </c>
      <c r="F3328" t="s">
        <v>58</v>
      </c>
      <c r="G3328">
        <v>-200.23410000000001</v>
      </c>
      <c r="H3328" s="1">
        <v>2.7182090000000001E-6</v>
      </c>
      <c r="I3328">
        <v>210.07050000000001</v>
      </c>
      <c r="J3328">
        <v>-207.37960000000001</v>
      </c>
      <c r="K3328">
        <v>1.1077440000000001</v>
      </c>
      <c r="L3328">
        <v>215.24090000000001</v>
      </c>
      <c r="M3328">
        <v>0.99777559999999998</v>
      </c>
      <c r="N3328">
        <v>-1.974977E-2</v>
      </c>
      <c r="O3328">
        <v>-6.3669519999999993E-2</v>
      </c>
      <c r="P3328">
        <v>0.96851810000000005</v>
      </c>
      <c r="Q3328">
        <v>-4.108763E-2</v>
      </c>
      <c r="R3328">
        <v>-0.24552879999999999</v>
      </c>
      <c r="S3328">
        <v>2.6410369999999999</v>
      </c>
      <c r="T3328">
        <v>-0.38260959999999999</v>
      </c>
      <c r="U3328">
        <v>-1.7975620000000001</v>
      </c>
      <c r="V3328">
        <v>0.183226</v>
      </c>
      <c r="W3328">
        <v>-2.2733150000000001E-2</v>
      </c>
      <c r="X3328">
        <v>0.98280789999999996</v>
      </c>
      <c r="Y3328">
        <v>0.50497729999999996</v>
      </c>
      <c r="Z3328">
        <v>-3.1330360000000002E-2</v>
      </c>
      <c r="AA3328">
        <v>0.86256379999999999</v>
      </c>
      <c r="AB3328">
        <v>35</v>
      </c>
      <c r="AC3328">
        <v>7.1454999999999904</v>
      </c>
      <c r="AD3328">
        <v>-1.107741281791</v>
      </c>
      <c r="AE3328">
        <v>-5.1703999999999999</v>
      </c>
      <c r="AF3328">
        <v>4.63180325520959</v>
      </c>
      <c r="AG3328">
        <v>-1.107741281791</v>
      </c>
      <c r="AH3328">
        <v>7.3444056807826996</v>
      </c>
      <c r="AI3328">
        <v>97.270314194035393</v>
      </c>
      <c r="AJ3328">
        <v>57.762119094557001</v>
      </c>
      <c r="AK3328">
        <v>8.7533414731899502</v>
      </c>
      <c r="AL3328">
        <v>91.302625809756194</v>
      </c>
      <c r="AM3328">
        <v>79.4395172792739</v>
      </c>
      <c r="AN3328">
        <v>0.99999996574366501</v>
      </c>
    </row>
    <row r="3329" spans="1:40" x14ac:dyDescent="0.25">
      <c r="A3329" t="str">
        <f>"20190305135857413"</f>
        <v>20190305135857413</v>
      </c>
      <c r="B3329" t="str">
        <f>"1551765537402511"</f>
        <v>1551765537402511</v>
      </c>
      <c r="C3329" t="s">
        <v>40</v>
      </c>
      <c r="D3329">
        <v>4.1907649999999999</v>
      </c>
      <c r="E3329">
        <v>0.64062669999999999</v>
      </c>
      <c r="F3329" t="s">
        <v>58</v>
      </c>
      <c r="G3329">
        <v>-199.6951</v>
      </c>
      <c r="H3329" s="1">
        <v>2.6632120000000001E-6</v>
      </c>
      <c r="I3329">
        <v>209.83080000000001</v>
      </c>
      <c r="J3329">
        <v>-207.03960000000001</v>
      </c>
      <c r="K3329">
        <v>1.1076269999999999</v>
      </c>
      <c r="L3329">
        <v>215.21629999999999</v>
      </c>
      <c r="M3329">
        <v>0.99759089999999995</v>
      </c>
      <c r="N3329">
        <v>-1.9984089999999999E-2</v>
      </c>
      <c r="O3329">
        <v>-6.6431680000000007E-2</v>
      </c>
      <c r="P3329">
        <v>0.96629690000000001</v>
      </c>
      <c r="Q3329">
        <v>-4.098516E-2</v>
      </c>
      <c r="R3329">
        <v>-0.2541465</v>
      </c>
      <c r="S3329">
        <v>2.6148530000000001</v>
      </c>
      <c r="T3329">
        <v>-0.37694050000000001</v>
      </c>
      <c r="U3329">
        <v>-1.8409420000000001</v>
      </c>
      <c r="V3329">
        <v>0.18924589999999999</v>
      </c>
      <c r="W3329">
        <v>-2.2523029999999999E-2</v>
      </c>
      <c r="X3329">
        <v>0.98167139999999997</v>
      </c>
      <c r="Y3329">
        <v>0.51619359999999903</v>
      </c>
      <c r="Z3329">
        <v>-3.1709090000000002E-2</v>
      </c>
      <c r="AA3329">
        <v>0.8558848</v>
      </c>
      <c r="AB3329">
        <v>34</v>
      </c>
      <c r="AC3329">
        <v>7.3445000000000098</v>
      </c>
      <c r="AD3329">
        <v>-1.1076243367880001</v>
      </c>
      <c r="AE3329">
        <v>-5.3854999999999702</v>
      </c>
      <c r="AF3329">
        <v>4.81438478686872</v>
      </c>
      <c r="AG3329">
        <v>-1.1076243367880001</v>
      </c>
      <c r="AH3329">
        <v>7.5740814541972803</v>
      </c>
      <c r="AI3329">
        <v>97.035666018130399</v>
      </c>
      <c r="AJ3329">
        <v>57.558351508996402</v>
      </c>
      <c r="AK3329">
        <v>9.0427784680535694</v>
      </c>
      <c r="AL3329">
        <v>91.290583669893394</v>
      </c>
      <c r="AM3329">
        <v>79.088419184234894</v>
      </c>
      <c r="AN3329">
        <v>1.0000000175625701</v>
      </c>
    </row>
    <row r="3330" spans="1:40" x14ac:dyDescent="0.25">
      <c r="A3330" t="str">
        <f>"20190305135857436"</f>
        <v>20190305135857436</v>
      </c>
      <c r="B3330" t="str">
        <f>"1551765537432766"</f>
        <v>1551765537432766</v>
      </c>
      <c r="C3330" t="s">
        <v>40</v>
      </c>
      <c r="D3330">
        <v>4.2031320000000001</v>
      </c>
      <c r="E3330">
        <v>0.64030169999999997</v>
      </c>
      <c r="F3330" t="s">
        <v>58</v>
      </c>
      <c r="G3330">
        <v>-199.2594</v>
      </c>
      <c r="H3330" s="1">
        <v>2.7567569999999999E-6</v>
      </c>
      <c r="I3330">
        <v>209.64490000000001</v>
      </c>
      <c r="J3330">
        <v>-206.6953</v>
      </c>
      <c r="K3330">
        <v>1.107461</v>
      </c>
      <c r="L3330">
        <v>215.1901</v>
      </c>
      <c r="M3330">
        <v>0.99737600000000004</v>
      </c>
      <c r="N3330">
        <v>-2.0195330000000001E-2</v>
      </c>
      <c r="O3330">
        <v>-6.9521490000000005E-2</v>
      </c>
      <c r="P3330">
        <v>0.96390390000000004</v>
      </c>
      <c r="Q3330">
        <v>-4.29316E-2</v>
      </c>
      <c r="R3330">
        <v>-0.26276670000000002</v>
      </c>
      <c r="S3330">
        <v>2.5993650000000001</v>
      </c>
      <c r="T3330">
        <v>-0.3700562</v>
      </c>
      <c r="U3330">
        <v>-1.8613740000000001</v>
      </c>
      <c r="V3330">
        <v>0.19494990000000001</v>
      </c>
      <c r="W3330">
        <v>-2.4406799999999999E-2</v>
      </c>
      <c r="X3330">
        <v>0.98050950000000003</v>
      </c>
      <c r="Y3330">
        <v>0.52048399999999995</v>
      </c>
      <c r="Z3330">
        <v>-3.1400839999999999E-2</v>
      </c>
      <c r="AA3330">
        <v>0.85329379999999999</v>
      </c>
      <c r="AB3330">
        <v>34</v>
      </c>
      <c r="AC3330">
        <v>7.4359000000000002</v>
      </c>
      <c r="AD3330">
        <v>-1.107458243243</v>
      </c>
      <c r="AE3330">
        <v>-5.5451999999999897</v>
      </c>
      <c r="AF3330">
        <v>4.9442408042629404</v>
      </c>
      <c r="AG3330">
        <v>-1.107458243243</v>
      </c>
      <c r="AH3330">
        <v>7.6938205661177097</v>
      </c>
      <c r="AI3330">
        <v>96.904505296583693</v>
      </c>
      <c r="AJ3330">
        <v>57.274189479808101</v>
      </c>
      <c r="AK3330">
        <v>9.2123208690688507</v>
      </c>
      <c r="AL3330">
        <v>91.398545480760504</v>
      </c>
      <c r="AM3330">
        <v>78.754809795300901</v>
      </c>
      <c r="AN3330">
        <v>1.00000001749325</v>
      </c>
    </row>
    <row r="3331" spans="1:40" x14ac:dyDescent="0.25">
      <c r="A3331" t="str">
        <f>"20190305135857459"</f>
        <v>20190305135857459</v>
      </c>
      <c r="B3331" t="str">
        <f>"1551765537452302"</f>
        <v>1551765537452302</v>
      </c>
      <c r="C3331" t="s">
        <v>40</v>
      </c>
      <c r="D3331">
        <v>4.1952239999999996</v>
      </c>
      <c r="E3331">
        <v>0.64031549999999904</v>
      </c>
      <c r="F3331" t="s">
        <v>58</v>
      </c>
      <c r="G3331">
        <v>-198.98509999999999</v>
      </c>
      <c r="H3331" s="1">
        <v>2.8206569999999998E-6</v>
      </c>
      <c r="I3331">
        <v>209.56819999999999</v>
      </c>
      <c r="J3331">
        <v>-206.35079999999999</v>
      </c>
      <c r="K3331">
        <v>1.1072299999999999</v>
      </c>
      <c r="L3331">
        <v>215.16249999999999</v>
      </c>
      <c r="M3331">
        <v>0.99712369999999995</v>
      </c>
      <c r="N3331">
        <v>-2.038475E-2</v>
      </c>
      <c r="O3331">
        <v>-7.3001440000000001E-2</v>
      </c>
      <c r="P3331">
        <v>0.96109290000000003</v>
      </c>
      <c r="Q3331">
        <v>-4.3203569999999997E-2</v>
      </c>
      <c r="R3331">
        <v>-0.27282590000000001</v>
      </c>
      <c r="S3331">
        <v>2.5824889999999998</v>
      </c>
      <c r="T3331">
        <v>-0.37093690000000001</v>
      </c>
      <c r="U3331">
        <v>-1.8830260000000001</v>
      </c>
      <c r="V3331">
        <v>0.20175129999999999</v>
      </c>
      <c r="W3331">
        <v>-2.4686860000000001E-2</v>
      </c>
      <c r="X3331">
        <v>0.97912560000000004</v>
      </c>
      <c r="Y3331">
        <v>0.52477189999999996</v>
      </c>
      <c r="Z3331">
        <v>-3.1560579999999998E-2</v>
      </c>
      <c r="AA3331">
        <v>0.85065759999999901</v>
      </c>
      <c r="AB3331">
        <v>34</v>
      </c>
      <c r="AC3331">
        <v>7.3657000000000004</v>
      </c>
      <c r="AD3331">
        <v>-1.107227179343</v>
      </c>
      <c r="AE3331">
        <v>-5.5942999999999996</v>
      </c>
      <c r="AF3331">
        <v>4.97032278861675</v>
      </c>
      <c r="AG3331">
        <v>-1.107227179343</v>
      </c>
      <c r="AH3331">
        <v>7.6449611988988098</v>
      </c>
      <c r="AI3331">
        <v>96.923226728394496</v>
      </c>
      <c r="AJ3331">
        <v>56.970347853961499</v>
      </c>
      <c r="AK3331">
        <v>9.1856133373001896</v>
      </c>
      <c r="AL3331">
        <v>91.414596619944305</v>
      </c>
      <c r="AM3331">
        <v>78.357012775437795</v>
      </c>
      <c r="AN3331">
        <v>0.999999984341854</v>
      </c>
    </row>
    <row r="3332" spans="1:40" x14ac:dyDescent="0.25">
      <c r="A3332" t="str">
        <f>"20190305135857481"</f>
        <v>20190305135857481</v>
      </c>
      <c r="B3332" t="str">
        <f>"1551765537472783"</f>
        <v>1551765537472783</v>
      </c>
      <c r="C3332" t="s">
        <v>40</v>
      </c>
      <c r="D3332">
        <v>4.225041</v>
      </c>
      <c r="E3332">
        <v>0.63987510000000003</v>
      </c>
      <c r="F3332" t="s">
        <v>58</v>
      </c>
      <c r="G3332">
        <v>-198.7962</v>
      </c>
      <c r="H3332" s="1">
        <v>2.8637950000000001E-6</v>
      </c>
      <c r="I3332">
        <v>209.5318</v>
      </c>
      <c r="J3332">
        <v>-206.01480000000001</v>
      </c>
      <c r="K3332">
        <v>1.1069549999999999</v>
      </c>
      <c r="L3332">
        <v>215.13380000000001</v>
      </c>
      <c r="M3332">
        <v>0.99683160000000004</v>
      </c>
      <c r="N3332">
        <v>-2.0552150000000002E-2</v>
      </c>
      <c r="O3332">
        <v>-7.6840270000000002E-2</v>
      </c>
      <c r="P3332">
        <v>0.95816299999999999</v>
      </c>
      <c r="Q3332">
        <v>-4.2343459999999999E-2</v>
      </c>
      <c r="R3332">
        <v>-0.2830741</v>
      </c>
      <c r="S3332">
        <v>2.562424</v>
      </c>
      <c r="T3332">
        <v>-0.37555889999999997</v>
      </c>
      <c r="U3332">
        <v>-1.9098660000000001</v>
      </c>
      <c r="V3332">
        <v>0.20841399999999999</v>
      </c>
      <c r="W3332">
        <v>-2.3893950000000001E-2</v>
      </c>
      <c r="X3332">
        <v>0.97774879999999997</v>
      </c>
      <c r="Y3332">
        <v>0.53027519999999995</v>
      </c>
      <c r="Z3332">
        <v>-3.202356E-2</v>
      </c>
      <c r="AA3332">
        <v>0.84722050000000004</v>
      </c>
      <c r="AB3332">
        <v>34</v>
      </c>
      <c r="AC3332">
        <v>7.2186000000000003</v>
      </c>
      <c r="AD3332">
        <v>-1.1069521362050001</v>
      </c>
      <c r="AE3332">
        <v>-5.6020000000000003</v>
      </c>
      <c r="AF3332">
        <v>4.9578700790008998</v>
      </c>
      <c r="AG3332">
        <v>-1.1069521362050001</v>
      </c>
      <c r="AH3332">
        <v>7.5174691496734898</v>
      </c>
      <c r="AI3332">
        <v>97.007885851968894</v>
      </c>
      <c r="AJ3332">
        <v>56.594621983624599</v>
      </c>
      <c r="AK3332">
        <v>9.0729356422490905</v>
      </c>
      <c r="AL3332">
        <v>91.369152769612796</v>
      </c>
      <c r="AM3332">
        <v>77.967088623922606</v>
      </c>
      <c r="AN3332">
        <v>1.0000000160720199</v>
      </c>
    </row>
    <row r="3333" spans="1:40" x14ac:dyDescent="0.25">
      <c r="A3333" t="str">
        <f>"20190305135857504"</f>
        <v>20190305135857504</v>
      </c>
      <c r="B3333" t="str">
        <f>"1551765537492303"</f>
        <v>1551765537492303</v>
      </c>
      <c r="C3333" t="s">
        <v>40</v>
      </c>
      <c r="D3333">
        <v>4.2142559999999998</v>
      </c>
      <c r="E3333">
        <v>0.63979330000000001</v>
      </c>
      <c r="F3333" t="s">
        <v>58</v>
      </c>
      <c r="G3333">
        <v>-198.5335</v>
      </c>
      <c r="H3333" s="1">
        <v>2.9333540000000002E-6</v>
      </c>
      <c r="I3333">
        <v>209.4451</v>
      </c>
      <c r="J3333">
        <v>-205.67660000000001</v>
      </c>
      <c r="K3333">
        <v>1.1066640000000001</v>
      </c>
      <c r="L3333">
        <v>215.10319999999999</v>
      </c>
      <c r="M3333">
        <v>0.99649200000000004</v>
      </c>
      <c r="N3333">
        <v>-2.070555E-2</v>
      </c>
      <c r="O3333">
        <v>-8.1085530000000003E-2</v>
      </c>
      <c r="P3333">
        <v>0.95554830000000002</v>
      </c>
      <c r="Q3333">
        <v>-3.9707199999999998E-2</v>
      </c>
      <c r="R3333">
        <v>-0.29214839999999997</v>
      </c>
      <c r="S3333">
        <v>2.543091</v>
      </c>
      <c r="T3333">
        <v>-0.37628210000000001</v>
      </c>
      <c r="U3333">
        <v>-1.9337310000000001</v>
      </c>
      <c r="V3333">
        <v>0.2135116</v>
      </c>
      <c r="W3333">
        <v>-2.133591E-2</v>
      </c>
      <c r="X3333">
        <v>0.97670749999999995</v>
      </c>
      <c r="Y3333">
        <v>0.53475090000000003</v>
      </c>
      <c r="Z3333">
        <v>-3.2105969999999998E-2</v>
      </c>
      <c r="AA3333">
        <v>0.84439959999999903</v>
      </c>
      <c r="AB3333">
        <v>34</v>
      </c>
      <c r="AC3333">
        <v>7.1430999999999996</v>
      </c>
      <c r="AD3333">
        <v>-1.1066610666459999</v>
      </c>
      <c r="AE3333">
        <v>-5.6580999999999904</v>
      </c>
      <c r="AF3333">
        <v>4.9865889252938604</v>
      </c>
      <c r="AG3333">
        <v>-1.1066610666459999</v>
      </c>
      <c r="AH3333">
        <v>7.4683096059404104</v>
      </c>
      <c r="AI3333">
        <v>97.025434416058602</v>
      </c>
      <c r="AJ3333">
        <v>56.268970922102298</v>
      </c>
      <c r="AK3333">
        <v>9.0480062000683503</v>
      </c>
      <c r="AL3333">
        <v>91.222550383579005</v>
      </c>
      <c r="AM3333">
        <v>77.6689278482433</v>
      </c>
      <c r="AN3333">
        <v>0.99999998247316801</v>
      </c>
    </row>
    <row r="3334" spans="1:40" x14ac:dyDescent="0.25">
      <c r="A3334" t="str">
        <f>"20190305135857526"</f>
        <v>20190305135857526</v>
      </c>
      <c r="B3334" t="str">
        <f>"1551765537522559"</f>
        <v>1551765537522559</v>
      </c>
      <c r="C3334" t="s">
        <v>40</v>
      </c>
      <c r="D3334">
        <v>4.2229460000000003</v>
      </c>
      <c r="E3334">
        <v>0.63990800000000003</v>
      </c>
      <c r="F3334" t="s">
        <v>58</v>
      </c>
      <c r="G3334">
        <v>-198.08439999999999</v>
      </c>
      <c r="H3334" s="1">
        <v>3.073506E-6</v>
      </c>
      <c r="I3334">
        <v>209.2167</v>
      </c>
      <c r="J3334">
        <v>-205.3519</v>
      </c>
      <c r="K3334">
        <v>1.106382</v>
      </c>
      <c r="L3334">
        <v>215.07210000000001</v>
      </c>
      <c r="M3334">
        <v>0.99611380000000005</v>
      </c>
      <c r="N3334">
        <v>-2.0835969999999999E-2</v>
      </c>
      <c r="O3334">
        <v>-8.5576410000000006E-2</v>
      </c>
      <c r="P3334">
        <v>0.95264629999999995</v>
      </c>
      <c r="Q3334">
        <v>-3.7178120000000002E-2</v>
      </c>
      <c r="R3334">
        <v>-0.30179919999999999</v>
      </c>
      <c r="S3334">
        <v>2.5255890000000001</v>
      </c>
      <c r="T3334">
        <v>-0.36813620000000002</v>
      </c>
      <c r="U3334">
        <v>-1.958191</v>
      </c>
      <c r="V3334">
        <v>0.2189815</v>
      </c>
      <c r="W3334">
        <v>-1.8919200000000001E-2</v>
      </c>
      <c r="X3334">
        <v>0.97554560000000001</v>
      </c>
      <c r="Y3334">
        <v>0.53900959999999998</v>
      </c>
      <c r="Z3334">
        <v>-3.1553400000000002E-2</v>
      </c>
      <c r="AA3334">
        <v>0.84170840000000002</v>
      </c>
      <c r="AB3334">
        <v>34</v>
      </c>
      <c r="AC3334">
        <v>7.2675000000000098</v>
      </c>
      <c r="AD3334">
        <v>-1.106378926494</v>
      </c>
      <c r="AE3334">
        <v>-5.8554000000000004</v>
      </c>
      <c r="AF3334">
        <v>5.1396205814007203</v>
      </c>
      <c r="AG3334">
        <v>-1.106378926494</v>
      </c>
      <c r="AH3334">
        <v>7.6347281284069899</v>
      </c>
      <c r="AI3334">
        <v>96.854780688608599</v>
      </c>
      <c r="AJ3334">
        <v>56.051964953225301</v>
      </c>
      <c r="AK3334">
        <v>9.2697814237681406</v>
      </c>
      <c r="AL3334">
        <v>91.084054961003105</v>
      </c>
      <c r="AM3334">
        <v>77.3484797421671</v>
      </c>
      <c r="AN3334">
        <v>1.00000002557512</v>
      </c>
    </row>
    <row r="3335" spans="1:40" x14ac:dyDescent="0.25">
      <c r="A3335" t="str">
        <f>"20190305135857548"</f>
        <v>20190305135857548</v>
      </c>
      <c r="B3335" t="str">
        <f>"1551765537542508"</f>
        <v>1551765537542508</v>
      </c>
      <c r="C3335" t="s">
        <v>40</v>
      </c>
      <c r="D3335">
        <v>4.2513569999999996</v>
      </c>
      <c r="E3335">
        <v>0.6399454</v>
      </c>
      <c r="F3335" t="s">
        <v>58</v>
      </c>
      <c r="G3335">
        <v>-197.74879999999999</v>
      </c>
      <c r="H3335" s="1">
        <v>3.178218E-6</v>
      </c>
      <c r="I3335">
        <v>209.04599999999999</v>
      </c>
      <c r="J3335">
        <v>-205.00890000000001</v>
      </c>
      <c r="K3335">
        <v>1.1060319999999999</v>
      </c>
      <c r="L3335">
        <v>215.03700000000001</v>
      </c>
      <c r="M3335">
        <v>0.9956448</v>
      </c>
      <c r="N3335">
        <v>-2.0959559999999999E-2</v>
      </c>
      <c r="O3335">
        <v>-9.0840550000000006E-2</v>
      </c>
      <c r="P3335">
        <v>0.94893740000000004</v>
      </c>
      <c r="Q3335">
        <v>-3.5251690000000002E-2</v>
      </c>
      <c r="R3335">
        <v>-0.31348890000000001</v>
      </c>
      <c r="S3335">
        <v>2.5057369999999999</v>
      </c>
      <c r="T3335">
        <v>-0.36463069999999997</v>
      </c>
      <c r="U3335">
        <v>-1.986008</v>
      </c>
      <c r="V3335">
        <v>0.22580649999999999</v>
      </c>
      <c r="W3335">
        <v>-1.7166130000000002E-2</v>
      </c>
      <c r="X3335">
        <v>0.97402100000000003</v>
      </c>
      <c r="Y3335">
        <v>0.54358499999999998</v>
      </c>
      <c r="Z3335">
        <v>-3.1254410000000003E-2</v>
      </c>
      <c r="AA3335">
        <v>0.83877199999999996</v>
      </c>
      <c r="AB3335">
        <v>33</v>
      </c>
      <c r="AC3335">
        <v>7.26010000000002</v>
      </c>
      <c r="AD3335">
        <v>-1.10602882178199</v>
      </c>
      <c r="AE3335">
        <v>-5.9910000000000103</v>
      </c>
      <c r="AF3335">
        <v>5.2342936288682802</v>
      </c>
      <c r="AG3335">
        <v>-1.10602882178199</v>
      </c>
      <c r="AH3335">
        <v>7.6685367831384204</v>
      </c>
      <c r="AI3335">
        <v>96.7933322437828</v>
      </c>
      <c r="AJ3335">
        <v>55.683826912211998</v>
      </c>
      <c r="AK3335">
        <v>9.3502719715616092</v>
      </c>
      <c r="AL3335">
        <v>90.983595031941306</v>
      </c>
      <c r="AM3335">
        <v>76.947736073769903</v>
      </c>
      <c r="AN3335">
        <v>1.0000000799512101</v>
      </c>
    </row>
    <row r="3336" spans="1:40" x14ac:dyDescent="0.25">
      <c r="A3336" t="str">
        <f>"20190305135857569"</f>
        <v>20190305135857569</v>
      </c>
      <c r="B3336" t="str">
        <f>"1551765537562136"</f>
        <v>1551765537562136</v>
      </c>
      <c r="C3336" t="s">
        <v>40</v>
      </c>
      <c r="D3336">
        <v>4.2454320000000001</v>
      </c>
      <c r="E3336">
        <v>0.63988719999999999</v>
      </c>
      <c r="F3336" t="s">
        <v>58</v>
      </c>
      <c r="G3336">
        <v>-197.4545</v>
      </c>
      <c r="H3336" s="1">
        <v>3.2703210000000002E-6</v>
      </c>
      <c r="I3336">
        <v>208.8954</v>
      </c>
      <c r="J3336">
        <v>-204.68729999999999</v>
      </c>
      <c r="K3336">
        <v>1.105658</v>
      </c>
      <c r="L3336">
        <v>215.00200000000001</v>
      </c>
      <c r="M3336">
        <v>0.99512730000000005</v>
      </c>
      <c r="N3336">
        <v>-2.1067909999999999E-2</v>
      </c>
      <c r="O3336">
        <v>-9.6323010000000001E-2</v>
      </c>
      <c r="P3336">
        <v>0.94432769999999999</v>
      </c>
      <c r="Q3336">
        <v>-3.5629510000000003E-2</v>
      </c>
      <c r="R3336">
        <v>-0.32707249999999999</v>
      </c>
      <c r="S3336">
        <v>2.4814759999999998</v>
      </c>
      <c r="T3336">
        <v>-0.36331089999999999</v>
      </c>
      <c r="U3336">
        <v>-2.0174259999999999</v>
      </c>
      <c r="V3336">
        <v>0.23438519999999999</v>
      </c>
      <c r="W3336">
        <v>-1.7788740000000001E-2</v>
      </c>
      <c r="X3336">
        <v>0.97198099999999998</v>
      </c>
      <c r="Y3336">
        <v>0.54935330000000004</v>
      </c>
      <c r="Z3336">
        <v>-3.118334E-2</v>
      </c>
      <c r="AA3336">
        <v>0.83500810000000003</v>
      </c>
      <c r="AB3336">
        <v>33</v>
      </c>
      <c r="AC3336">
        <v>7.2327999999999903</v>
      </c>
      <c r="AD3336">
        <v>-1.105654729679</v>
      </c>
      <c r="AE3336">
        <v>-6.10660000000001</v>
      </c>
      <c r="AF3336">
        <v>5.3089228792850003</v>
      </c>
      <c r="AG3336">
        <v>-1.105654729679</v>
      </c>
      <c r="AH3336">
        <v>7.6826748206804503</v>
      </c>
      <c r="AI3336">
        <v>96.752219316558197</v>
      </c>
      <c r="AJ3336">
        <v>55.354544792268896</v>
      </c>
      <c r="AK3336">
        <v>9.4037560006507306</v>
      </c>
      <c r="AL3336">
        <v>91.019273523951199</v>
      </c>
      <c r="AM3336">
        <v>76.442428097141203</v>
      </c>
      <c r="AN3336">
        <v>0.99999996280541303</v>
      </c>
    </row>
    <row r="3337" spans="1:40" x14ac:dyDescent="0.25">
      <c r="A3337" t="str">
        <f>"20190305135857592"</f>
        <v>20190305135857592</v>
      </c>
      <c r="B3337" t="str">
        <f>"1551765537582628"</f>
        <v>1551765537582628</v>
      </c>
      <c r="C3337" t="s">
        <v>40</v>
      </c>
      <c r="D3337">
        <v>4.2415640000000003</v>
      </c>
      <c r="E3337">
        <v>0.63668210000000003</v>
      </c>
      <c r="F3337" t="s">
        <v>58</v>
      </c>
      <c r="G3337">
        <v>-197.38910000000001</v>
      </c>
      <c r="H3337" s="1">
        <v>3.2818979999999998E-6</v>
      </c>
      <c r="I3337">
        <v>208.8954</v>
      </c>
      <c r="J3337">
        <v>-204.3603</v>
      </c>
      <c r="K3337">
        <v>1.1052329999999999</v>
      </c>
      <c r="L3337">
        <v>214.964</v>
      </c>
      <c r="M3337">
        <v>0.99450839999999996</v>
      </c>
      <c r="N3337">
        <v>-2.117459E-2</v>
      </c>
      <c r="O3337">
        <v>-0.10249419999999999</v>
      </c>
      <c r="P3337">
        <v>0.93976159999999997</v>
      </c>
      <c r="Q3337">
        <v>-3.4177970000000002E-2</v>
      </c>
      <c r="R3337">
        <v>-0.34011799999999998</v>
      </c>
      <c r="S3337">
        <v>2.4522249999999999</v>
      </c>
      <c r="T3337">
        <v>-0.3715041</v>
      </c>
      <c r="U3337">
        <v>-2.0518339999999999</v>
      </c>
      <c r="V3337">
        <v>0.24179800000000001</v>
      </c>
      <c r="W3337">
        <v>-1.6617059999999999E-2</v>
      </c>
      <c r="X3337">
        <v>0.9701843</v>
      </c>
      <c r="Y3337">
        <v>0.55575699999999995</v>
      </c>
      <c r="Z3337">
        <v>-3.1706949999999998E-2</v>
      </c>
      <c r="AA3337">
        <v>0.83073999999999903</v>
      </c>
      <c r="AB3337">
        <v>33</v>
      </c>
      <c r="AC3337">
        <v>6.9711999999999801</v>
      </c>
      <c r="AD3337">
        <v>-1.1052297181020001</v>
      </c>
      <c r="AE3337">
        <v>-6.0686000000000302</v>
      </c>
      <c r="AF3337">
        <v>5.2469304266157097</v>
      </c>
      <c r="AG3337">
        <v>-1.1052297181020001</v>
      </c>
      <c r="AH3337">
        <v>7.4500745647971396</v>
      </c>
      <c r="AI3337">
        <v>96.915622479947501</v>
      </c>
      <c r="AJ3337">
        <v>54.843770929514498</v>
      </c>
      <c r="AK3337">
        <v>9.1790752612972408</v>
      </c>
      <c r="AL3337">
        <v>90.952131239170697</v>
      </c>
      <c r="AM3337">
        <v>76.005344080174595</v>
      </c>
      <c r="AN3337">
        <v>0.99999998772676602</v>
      </c>
    </row>
    <row r="3338" spans="1:40" x14ac:dyDescent="0.25">
      <c r="A3338" t="str">
        <f>"20190305135857614"</f>
        <v>20190305135857614</v>
      </c>
      <c r="B3338" t="str">
        <f>"1551765537611907"</f>
        <v>1551765537611907</v>
      </c>
      <c r="C3338" t="s">
        <v>40</v>
      </c>
      <c r="D3338">
        <v>4.2405869999999997</v>
      </c>
      <c r="E3338">
        <v>0.63729099999999905</v>
      </c>
      <c r="F3338" t="s">
        <v>58</v>
      </c>
      <c r="G3338">
        <v>-197.91550000000001</v>
      </c>
      <c r="H3338" s="1">
        <v>3.0312170000000001E-6</v>
      </c>
      <c r="I3338">
        <v>209.48949999999999</v>
      </c>
      <c r="J3338">
        <v>-204.03620000000001</v>
      </c>
      <c r="K3338">
        <v>1.1047610000000001</v>
      </c>
      <c r="L3338">
        <v>214.92359999999999</v>
      </c>
      <c r="M3338">
        <v>0.99378569999999999</v>
      </c>
      <c r="N3338">
        <v>-2.1271040000000001E-2</v>
      </c>
      <c r="O3338">
        <v>-0.1092591</v>
      </c>
      <c r="P3338">
        <v>0.93477679999999996</v>
      </c>
      <c r="Q3338">
        <v>-3.3010890000000001E-2</v>
      </c>
      <c r="R3338">
        <v>-0.35369850000000003</v>
      </c>
      <c r="S3338">
        <v>2.4300839999999999</v>
      </c>
      <c r="T3338">
        <v>-0.41673959999999999</v>
      </c>
      <c r="U3338">
        <v>-2.0642239999999998</v>
      </c>
      <c r="V3338">
        <v>0.2492335</v>
      </c>
      <c r="W3338">
        <v>-1.5788139999999999E-2</v>
      </c>
      <c r="X3338">
        <v>0.96831469999999997</v>
      </c>
      <c r="Y3338">
        <v>0.55541589999999996</v>
      </c>
      <c r="Z3338">
        <v>-3.3818010000000003E-2</v>
      </c>
      <c r="AA3338">
        <v>0.83088479999999998</v>
      </c>
      <c r="AB3338">
        <v>33</v>
      </c>
      <c r="AC3338">
        <v>6.1206999999999896</v>
      </c>
      <c r="AD3338">
        <v>-1.104757968783</v>
      </c>
      <c r="AE3338">
        <v>-5.4340999999999999</v>
      </c>
      <c r="AF3338">
        <v>4.6479809498267803</v>
      </c>
      <c r="AG3338">
        <v>-1.104757968783</v>
      </c>
      <c r="AH3338">
        <v>6.5584164015392297</v>
      </c>
      <c r="AI3338">
        <v>97.825384059421197</v>
      </c>
      <c r="AJ3338">
        <v>54.674617828178597</v>
      </c>
      <c r="AK3338">
        <v>8.1140028823954093</v>
      </c>
      <c r="AL3338">
        <v>90.904631390813904</v>
      </c>
      <c r="AM3338">
        <v>75.566002299572602</v>
      </c>
      <c r="AN3338">
        <v>0.99999998056149897</v>
      </c>
    </row>
    <row r="3339" spans="1:40" x14ac:dyDescent="0.25">
      <c r="A3339" t="str">
        <f>"20190305135857638"</f>
        <v>20190305135857638</v>
      </c>
      <c r="B3339" t="str">
        <f>"1551765537632403"</f>
        <v>1551765537632403</v>
      </c>
      <c r="C3339" t="s">
        <v>40</v>
      </c>
      <c r="D3339">
        <v>4.2391719999999999</v>
      </c>
      <c r="E3339">
        <v>0.63844780000000001</v>
      </c>
      <c r="F3339" t="s">
        <v>58</v>
      </c>
      <c r="G3339">
        <v>-197.58369999999999</v>
      </c>
      <c r="H3339" s="1">
        <v>3.1512220000000002E-6</v>
      </c>
      <c r="I3339">
        <v>209.2586</v>
      </c>
      <c r="J3339">
        <v>-203.69919999999999</v>
      </c>
      <c r="K3339">
        <v>1.104193</v>
      </c>
      <c r="L3339">
        <v>214.8785</v>
      </c>
      <c r="M3339">
        <v>0.99289689999999997</v>
      </c>
      <c r="N3339">
        <v>-2.1325190000000001E-2</v>
      </c>
      <c r="O3339">
        <v>-0.1170524</v>
      </c>
      <c r="P3339">
        <v>0.92835480000000004</v>
      </c>
      <c r="Q3339">
        <v>-3.3618809999999999E-2</v>
      </c>
      <c r="R3339">
        <v>-0.37017270000000002</v>
      </c>
      <c r="S3339">
        <v>2.3981780000000001</v>
      </c>
      <c r="T3339">
        <v>-0.41059709999999999</v>
      </c>
      <c r="U3339">
        <v>-2.1054689999999998</v>
      </c>
      <c r="V3339">
        <v>0.25871290000000002</v>
      </c>
      <c r="W3339">
        <v>-1.6882520000000002E-2</v>
      </c>
      <c r="X3339">
        <v>0.96580670000000002</v>
      </c>
      <c r="Y3339">
        <v>0.56253189999999997</v>
      </c>
      <c r="Z3339">
        <v>-3.327517E-2</v>
      </c>
      <c r="AA3339">
        <v>0.82610569999999905</v>
      </c>
      <c r="AB3339">
        <v>33</v>
      </c>
      <c r="AC3339">
        <v>6.1154999999999902</v>
      </c>
      <c r="AD3339">
        <v>-1.104189848778</v>
      </c>
      <c r="AE3339">
        <v>-5.6199000000000003</v>
      </c>
      <c r="AF3339">
        <v>4.7807554470589801</v>
      </c>
      <c r="AG3339">
        <v>-1.104189848778</v>
      </c>
      <c r="AH3339">
        <v>6.6145053368694002</v>
      </c>
      <c r="AI3339">
        <v>97.705065725150803</v>
      </c>
      <c r="AJ3339">
        <v>54.141786098763902</v>
      </c>
      <c r="AK3339">
        <v>8.2356869002046391</v>
      </c>
      <c r="AL3339">
        <v>90.967343115702604</v>
      </c>
      <c r="AM3339">
        <v>75.004108472041096</v>
      </c>
      <c r="AN3339">
        <v>0.999999982936425</v>
      </c>
    </row>
    <row r="3340" spans="1:40" x14ac:dyDescent="0.25">
      <c r="A3340" t="str">
        <f>"20190305135857660"</f>
        <v>20190305135857660</v>
      </c>
      <c r="B3340" t="str">
        <f>"1551765537651927"</f>
        <v>1551765537651927</v>
      </c>
      <c r="C3340" t="s">
        <v>40</v>
      </c>
      <c r="D3340">
        <v>4.055714</v>
      </c>
      <c r="E3340">
        <v>0.66581899999999905</v>
      </c>
      <c r="F3340" t="s">
        <v>58</v>
      </c>
      <c r="G3340">
        <v>-197.3366</v>
      </c>
      <c r="H3340" s="1">
        <v>3.2484300000000001E-6</v>
      </c>
      <c r="I3340">
        <v>209.05699999999999</v>
      </c>
      <c r="J3340">
        <v>-203.38239999999999</v>
      </c>
      <c r="K3340">
        <v>1.103593</v>
      </c>
      <c r="L3340">
        <v>214.83260000000001</v>
      </c>
      <c r="M3340">
        <v>0.99189910000000003</v>
      </c>
      <c r="N3340">
        <v>-2.128476E-2</v>
      </c>
      <c r="O3340">
        <v>-0.12523329999999999</v>
      </c>
      <c r="P3340">
        <v>0.92085470000000003</v>
      </c>
      <c r="Q3340">
        <v>-3.4191850000000003E-2</v>
      </c>
      <c r="R3340">
        <v>-0.38840419999999998</v>
      </c>
      <c r="S3340">
        <v>2.3568419999999999</v>
      </c>
      <c r="T3340">
        <v>-0.40901710000000002</v>
      </c>
      <c r="U3340">
        <v>-2.1564179999999999</v>
      </c>
      <c r="V3340">
        <v>0.26973780000000003</v>
      </c>
      <c r="W3340">
        <v>-1.8103939999999999E-2</v>
      </c>
      <c r="X3340">
        <v>0.96276360000000005</v>
      </c>
      <c r="Y3340">
        <v>0.57260419999999901</v>
      </c>
      <c r="Z3340">
        <v>-3.3218320000000003E-2</v>
      </c>
      <c r="AA3340">
        <v>0.81915869999999902</v>
      </c>
      <c r="AB3340">
        <v>33</v>
      </c>
      <c r="AC3340">
        <v>6.0457999999999803</v>
      </c>
      <c r="AD3340">
        <v>-1.1035897515699999</v>
      </c>
      <c r="AE3340">
        <v>-5.7755999999999901</v>
      </c>
      <c r="AF3340">
        <v>4.8876536180165804</v>
      </c>
      <c r="AG3340">
        <v>-1.1035897515699999</v>
      </c>
      <c r="AH3340">
        <v>6.6065482799425004</v>
      </c>
      <c r="AI3340">
        <v>97.648448301792797</v>
      </c>
      <c r="AJ3340">
        <v>53.505239899731002</v>
      </c>
      <c r="AK3340">
        <v>8.2917759499815293</v>
      </c>
      <c r="AL3340">
        <v>91.037336033640401</v>
      </c>
      <c r="AM3340">
        <v>74.348704001978305</v>
      </c>
      <c r="AN3340">
        <v>0.99999999143866103</v>
      </c>
    </row>
    <row r="3341" spans="1:40" x14ac:dyDescent="0.25">
      <c r="A3341" t="str">
        <f>"20190305135857682"</f>
        <v>20190305135857682</v>
      </c>
      <c r="B3341" t="str">
        <f>"1551765537672419"</f>
        <v>1551765537672419</v>
      </c>
      <c r="C3341" t="s">
        <v>40</v>
      </c>
      <c r="D3341">
        <v>4.2069609999999997</v>
      </c>
      <c r="E3341">
        <v>0.67610649999999906</v>
      </c>
      <c r="F3341" t="s">
        <v>70</v>
      </c>
      <c r="G3341">
        <v>-168.42070000000001</v>
      </c>
      <c r="H3341">
        <v>2.5206300000000001</v>
      </c>
      <c r="I3341">
        <v>178.05459999999999</v>
      </c>
      <c r="J3341">
        <v>-203.065</v>
      </c>
      <c r="K3341">
        <v>1.102935</v>
      </c>
      <c r="L3341">
        <v>214.78319999999999</v>
      </c>
      <c r="M3341">
        <v>0.99071819999999999</v>
      </c>
      <c r="N3341">
        <v>-2.1093979999999998E-2</v>
      </c>
      <c r="O3341">
        <v>-0.13428570000000001</v>
      </c>
      <c r="P3341">
        <v>0.91323449999999995</v>
      </c>
      <c r="Q3341">
        <v>-3.2243550000000003E-2</v>
      </c>
      <c r="R3341">
        <v>-0.4061573</v>
      </c>
      <c r="S3341">
        <v>2.2589419999999998</v>
      </c>
      <c r="T3341">
        <v>9.1559650000000006E-2</v>
      </c>
      <c r="U3341">
        <v>-2.3762970000000001</v>
      </c>
      <c r="V3341">
        <v>0.27955750000000001</v>
      </c>
      <c r="W3341">
        <v>-1.6972580000000001E-2</v>
      </c>
      <c r="X3341">
        <v>0.95997889999999997</v>
      </c>
      <c r="Y3341">
        <v>0.62573669999999904</v>
      </c>
      <c r="Z3341">
        <v>-4.2044739999999997E-3</v>
      </c>
      <c r="AA3341">
        <v>0.78002299999999902</v>
      </c>
      <c r="AB3341">
        <v>32</v>
      </c>
      <c r="AC3341">
        <v>34.644299999999902</v>
      </c>
      <c r="AD3341">
        <v>1.4176949999999999</v>
      </c>
      <c r="AE3341">
        <v>-36.7286</v>
      </c>
      <c r="AF3341">
        <v>31.7175119261071</v>
      </c>
      <c r="AG3341">
        <v>1.4176949999999999</v>
      </c>
      <c r="AH3341">
        <v>39.2326655772954</v>
      </c>
      <c r="AI3341">
        <v>88.390355450594598</v>
      </c>
      <c r="AJ3341">
        <v>51.046313780755099</v>
      </c>
      <c r="AK3341">
        <v>50.469916486910002</v>
      </c>
      <c r="AL3341">
        <v>90.972503919535399</v>
      </c>
      <c r="AM3341">
        <v>73.763799494305403</v>
      </c>
      <c r="AN3341">
        <v>0.99999997636165705</v>
      </c>
    </row>
    <row r="3342" spans="1:40" x14ac:dyDescent="0.25">
      <c r="A3342" t="str">
        <f>"20190305135857704"</f>
        <v>20190305135857704</v>
      </c>
      <c r="B3342" t="str">
        <f>"1551765537702676"</f>
        <v>1551765537702676</v>
      </c>
      <c r="C3342" t="s">
        <v>40</v>
      </c>
      <c r="D3342">
        <v>4.2735839999999996</v>
      </c>
      <c r="E3342">
        <v>0.68203959999999997</v>
      </c>
      <c r="F3342" t="s">
        <v>70</v>
      </c>
      <c r="G3342">
        <v>-168.42169999999999</v>
      </c>
      <c r="H3342">
        <v>2.4676100000000001</v>
      </c>
      <c r="I3342">
        <v>175.10839999999999</v>
      </c>
      <c r="J3342">
        <v>-202.74109999999999</v>
      </c>
      <c r="K3342">
        <v>1.1022419999999999</v>
      </c>
      <c r="L3342">
        <v>214.72890000000001</v>
      </c>
      <c r="M3342">
        <v>0.98931259999999999</v>
      </c>
      <c r="N3342">
        <v>-2.0702950000000001E-2</v>
      </c>
      <c r="O3342">
        <v>-0.1443325</v>
      </c>
      <c r="P3342">
        <v>0.90568709999999997</v>
      </c>
      <c r="Q3342">
        <v>-2.8264879999999999E-2</v>
      </c>
      <c r="R3342">
        <v>-0.42300369999999998</v>
      </c>
      <c r="S3342">
        <v>2.1784819999999998</v>
      </c>
      <c r="T3342">
        <v>8.581722E-2</v>
      </c>
      <c r="U3342">
        <v>-2.4948730000000001</v>
      </c>
      <c r="V3342">
        <v>0.28760859999999999</v>
      </c>
      <c r="W3342">
        <v>-1.397952E-2</v>
      </c>
      <c r="X3342">
        <v>0.957646</v>
      </c>
      <c r="Y3342">
        <v>0.65048549999999905</v>
      </c>
      <c r="Z3342">
        <v>-4.8243540000000003E-3</v>
      </c>
      <c r="AA3342">
        <v>0.75950340000000005</v>
      </c>
      <c r="AB3342">
        <v>32</v>
      </c>
      <c r="AC3342">
        <v>34.319400000000002</v>
      </c>
      <c r="AD3342">
        <v>1.3653679999999899</v>
      </c>
      <c r="AE3342">
        <v>-39.6205</v>
      </c>
      <c r="AF3342">
        <v>34.2277744179599</v>
      </c>
      <c r="AG3342">
        <v>1.3653679999999899</v>
      </c>
      <c r="AH3342">
        <v>39.652742989870603</v>
      </c>
      <c r="AI3342">
        <v>88.506891306086104</v>
      </c>
      <c r="AJ3342">
        <v>49.199631687251902</v>
      </c>
      <c r="AK3342">
        <v>52.399854942574997</v>
      </c>
      <c r="AL3342">
        <v>90.800993588323095</v>
      </c>
      <c r="AM3342">
        <v>73.283478041083796</v>
      </c>
      <c r="AN3342">
        <v>0.99999999754469504</v>
      </c>
    </row>
    <row r="3343" spans="1:40" x14ac:dyDescent="0.25">
      <c r="A3343" t="str">
        <f>"20190305135857728"</f>
        <v>20190305135857728</v>
      </c>
      <c r="B3343" t="str">
        <f>"1551765537722195"</f>
        <v>1551765537722195</v>
      </c>
      <c r="C3343" t="s">
        <v>40</v>
      </c>
      <c r="D3343">
        <v>4.1532929999999997</v>
      </c>
      <c r="E3343">
        <v>0.68294569999999999</v>
      </c>
      <c r="F3343" t="s">
        <v>70</v>
      </c>
      <c r="G3343">
        <v>-169.4041</v>
      </c>
      <c r="H3343">
        <v>0.3380089</v>
      </c>
      <c r="I3343">
        <v>173.7079</v>
      </c>
      <c r="J3343">
        <v>-202.4075</v>
      </c>
      <c r="K3343">
        <v>1.1015410000000001</v>
      </c>
      <c r="L3343">
        <v>214.6687</v>
      </c>
      <c r="M3343">
        <v>0.98763400000000001</v>
      </c>
      <c r="N3343">
        <v>-2.0213129999999999E-2</v>
      </c>
      <c r="O3343">
        <v>-0.1554693</v>
      </c>
      <c r="P3343">
        <v>0.89663309999999996</v>
      </c>
      <c r="Q3343">
        <v>-2.6084889999999999E-2</v>
      </c>
      <c r="R3343">
        <v>-0.4420056</v>
      </c>
      <c r="S3343">
        <v>2.1025390000000002</v>
      </c>
      <c r="T3343">
        <v>-4.8197629999999998E-2</v>
      </c>
      <c r="U3343">
        <v>-2.5871580000000001</v>
      </c>
      <c r="V3343">
        <v>0.29699779999999998</v>
      </c>
      <c r="W3343">
        <v>-1.292796E-2</v>
      </c>
      <c r="X3343">
        <v>0.95479069999999999</v>
      </c>
      <c r="Y3343">
        <v>0.668315199999999</v>
      </c>
      <c r="Z3343">
        <v>-1.402379E-2</v>
      </c>
      <c r="AA3343">
        <v>0.74374600000000002</v>
      </c>
      <c r="AB3343">
        <v>32</v>
      </c>
      <c r="AC3343">
        <v>33.003399999999999</v>
      </c>
      <c r="AD3343">
        <v>-0.76353209999999905</v>
      </c>
      <c r="AE3343">
        <v>-40.960799999999999</v>
      </c>
      <c r="AF3343">
        <v>35.323035892018801</v>
      </c>
      <c r="AG3343">
        <v>-0.76353209999999905</v>
      </c>
      <c r="AH3343">
        <v>38.963176069423803</v>
      </c>
      <c r="AI3343">
        <v>90.831774166855595</v>
      </c>
      <c r="AJ3343">
        <v>47.805338591210898</v>
      </c>
      <c r="AK3343">
        <v>52.596852903129999</v>
      </c>
      <c r="AL3343">
        <v>90.740738140897506</v>
      </c>
      <c r="AM3343">
        <v>72.721138591754098</v>
      </c>
      <c r="AN3343">
        <v>1.00000005308054</v>
      </c>
    </row>
    <row r="3344" spans="1:40" x14ac:dyDescent="0.25">
      <c r="A3344" t="str">
        <f>"20190305135857749"</f>
        <v>20190305135857749</v>
      </c>
      <c r="B3344" t="str">
        <f>"1551765537742691"</f>
        <v>1551765537742691</v>
      </c>
      <c r="C3344" t="s">
        <v>40</v>
      </c>
      <c r="D3344">
        <v>4.2045219999999999</v>
      </c>
      <c r="E3344">
        <v>0.68248790000000004</v>
      </c>
      <c r="F3344" t="s">
        <v>78</v>
      </c>
      <c r="G3344">
        <v>-127.3586</v>
      </c>
      <c r="H3344">
        <v>6.5174100000000004E-3</v>
      </c>
      <c r="I3344">
        <v>117.90009999999999</v>
      </c>
      <c r="J3344">
        <v>-202.09950000000001</v>
      </c>
      <c r="K3344">
        <v>1.1009089999999999</v>
      </c>
      <c r="L3344">
        <v>214.60919999999999</v>
      </c>
      <c r="M3344">
        <v>0.98584459999999996</v>
      </c>
      <c r="N3344">
        <v>-1.9755419999999999E-2</v>
      </c>
      <c r="O3344">
        <v>-0.16649449999999999</v>
      </c>
      <c r="P3344">
        <v>0.88688449999999996</v>
      </c>
      <c r="Q3344">
        <v>-2.697244E-2</v>
      </c>
      <c r="R3344">
        <v>-0.46120339999999999</v>
      </c>
      <c r="S3344">
        <v>2.0450740000000001</v>
      </c>
      <c r="T3344">
        <v>-2.9839040000000001E-2</v>
      </c>
      <c r="U3344">
        <v>-2.6369319999999998</v>
      </c>
      <c r="V3344">
        <v>0.30682019999999999</v>
      </c>
      <c r="W3344">
        <v>-1.490583E-2</v>
      </c>
      <c r="X3344">
        <v>0.95165069999999996</v>
      </c>
      <c r="Y3344">
        <v>0.67698319999999901</v>
      </c>
      <c r="Z3344">
        <v>-1.283783E-2</v>
      </c>
      <c r="AA3344">
        <v>0.7358865</v>
      </c>
      <c r="AB3344">
        <v>32</v>
      </c>
      <c r="AC3344">
        <v>74.740899999999996</v>
      </c>
      <c r="AD3344">
        <v>-1.0943915900000001</v>
      </c>
      <c r="AE3344">
        <v>-96.709100000000007</v>
      </c>
      <c r="AF3344">
        <v>82.905718170312397</v>
      </c>
      <c r="AG3344">
        <v>-1.0943915900000001</v>
      </c>
      <c r="AH3344">
        <v>89.794760161255596</v>
      </c>
      <c r="AI3344">
        <v>90.513050333677498</v>
      </c>
      <c r="AJ3344">
        <v>47.284324142246199</v>
      </c>
      <c r="AK3344">
        <v>122.21969870157901</v>
      </c>
      <c r="AL3344">
        <v>90.854072831917904</v>
      </c>
      <c r="AM3344">
        <v>72.130241506465097</v>
      </c>
      <c r="AN3344">
        <v>0.99999993685325705</v>
      </c>
    </row>
    <row r="3345" spans="1:40" x14ac:dyDescent="0.25">
      <c r="A3345" t="str">
        <f>"20190305135857770"</f>
        <v>20190305135857770</v>
      </c>
      <c r="B3345" t="str">
        <f>"1551765537762211"</f>
        <v>1551765537762211</v>
      </c>
      <c r="C3345" t="s">
        <v>40</v>
      </c>
      <c r="D3345">
        <v>4.2593439999999996</v>
      </c>
      <c r="E3345">
        <v>0.68161240000000001</v>
      </c>
      <c r="F3345" t="s">
        <v>42</v>
      </c>
      <c r="G3345">
        <v>-148.6739</v>
      </c>
      <c r="H3345" s="1">
        <v>-1.3667369999999999E-6</v>
      </c>
      <c r="I3345">
        <v>142.68129999999999</v>
      </c>
      <c r="J3345">
        <v>-201.78280000000001</v>
      </c>
      <c r="K3345">
        <v>1.1002730000000001</v>
      </c>
      <c r="L3345">
        <v>214.5438</v>
      </c>
      <c r="M3345">
        <v>0.98373109999999997</v>
      </c>
      <c r="N3345">
        <v>-1.930846E-2</v>
      </c>
      <c r="O3345">
        <v>-0.1786065</v>
      </c>
      <c r="P3345">
        <v>0.87694069999999902</v>
      </c>
      <c r="Q3345">
        <v>-3.05168E-2</v>
      </c>
      <c r="R3345">
        <v>-0.47962870000000002</v>
      </c>
      <c r="S3345">
        <v>1.988907</v>
      </c>
      <c r="T3345">
        <v>-4.0984270000000003E-2</v>
      </c>
      <c r="U3345">
        <v>-2.6777039999999999</v>
      </c>
      <c r="V3345">
        <v>0.31488840000000001</v>
      </c>
      <c r="W3345">
        <v>-1.95227E-2</v>
      </c>
      <c r="X3345">
        <v>0.94892790000000005</v>
      </c>
      <c r="Y3345">
        <v>0.68316379999999999</v>
      </c>
      <c r="Z3345">
        <v>-1.353152E-2</v>
      </c>
      <c r="AA3345">
        <v>0.73013980000000001</v>
      </c>
      <c r="AB3345">
        <v>32</v>
      </c>
      <c r="AC3345">
        <v>53.108899999999998</v>
      </c>
      <c r="AD3345">
        <v>-1.1002743667370001</v>
      </c>
      <c r="AE3345">
        <v>-71.862499999999997</v>
      </c>
      <c r="AF3345">
        <v>61.209914723330101</v>
      </c>
      <c r="AG3345">
        <v>-1.1002743667370001</v>
      </c>
      <c r="AH3345">
        <v>65.082254479855195</v>
      </c>
      <c r="AI3345">
        <v>90.705563645534298</v>
      </c>
      <c r="AJ3345">
        <v>46.7562390132085</v>
      </c>
      <c r="AK3345">
        <v>89.350792454796206</v>
      </c>
      <c r="AL3345">
        <v>91.118639381482694</v>
      </c>
      <c r="AM3345">
        <v>71.642299722663694</v>
      </c>
      <c r="AN3345">
        <v>0.99999999983412902</v>
      </c>
    </row>
    <row r="3346" spans="1:40" x14ac:dyDescent="0.25">
      <c r="A3346" t="str">
        <f>"20190305135857793"</f>
        <v>20190305135857793</v>
      </c>
      <c r="B3346" t="str">
        <f>"1551765537782708"</f>
        <v>1551765537782708</v>
      </c>
      <c r="C3346" t="s">
        <v>40</v>
      </c>
      <c r="D3346">
        <v>4.2535160000000003</v>
      </c>
      <c r="E3346">
        <v>0.67972980000000005</v>
      </c>
      <c r="F3346" t="s">
        <v>43</v>
      </c>
      <c r="G3346">
        <v>-165.7869</v>
      </c>
      <c r="H3346">
        <v>-0.05</v>
      </c>
      <c r="I3346">
        <v>164.05459999999999</v>
      </c>
      <c r="J3346">
        <v>-201.46719999999999</v>
      </c>
      <c r="K3346">
        <v>1.0996459999999999</v>
      </c>
      <c r="L3346">
        <v>214.47399999999999</v>
      </c>
      <c r="M3346">
        <v>0.98132189999999997</v>
      </c>
      <c r="N3346">
        <v>-1.8903799999999998E-2</v>
      </c>
      <c r="O3346">
        <v>-0.19144259999999999</v>
      </c>
      <c r="P3346">
        <v>0.86774859999999898</v>
      </c>
      <c r="Q3346">
        <v>-3.2778630000000003E-2</v>
      </c>
      <c r="R3346">
        <v>-0.49592170000000002</v>
      </c>
      <c r="S3346">
        <v>1.934647</v>
      </c>
      <c r="T3346">
        <v>-6.1822889999999998E-2</v>
      </c>
      <c r="U3346">
        <v>-2.7136079999999998</v>
      </c>
      <c r="V3346">
        <v>0.32012849999999998</v>
      </c>
      <c r="W3346">
        <v>-2.2765290000000001E-2</v>
      </c>
      <c r="X3346">
        <v>0.94710059999999996</v>
      </c>
      <c r="Y3346">
        <v>0.68773869999999904</v>
      </c>
      <c r="Z3346">
        <v>-1.472004E-2</v>
      </c>
      <c r="AA3346">
        <v>0.72580909999999998</v>
      </c>
      <c r="AB3346">
        <v>32</v>
      </c>
      <c r="AC3346">
        <v>35.680299999999903</v>
      </c>
      <c r="AD3346">
        <v>-1.1496459999999999</v>
      </c>
      <c r="AE3346">
        <v>-50.419400000000003</v>
      </c>
      <c r="AF3346">
        <v>42.639776244932897</v>
      </c>
      <c r="AG3346">
        <v>-1.1496459999999999</v>
      </c>
      <c r="AH3346">
        <v>44.658786227885201</v>
      </c>
      <c r="AI3346">
        <v>91.066665809413195</v>
      </c>
      <c r="AJ3346">
        <v>46.324880144054198</v>
      </c>
      <c r="AK3346">
        <v>61.756614151774897</v>
      </c>
      <c r="AL3346">
        <v>91.304467688079399</v>
      </c>
      <c r="AM3346">
        <v>71.324285400593496</v>
      </c>
      <c r="AN3346">
        <v>1.00000003073069</v>
      </c>
    </row>
    <row r="3347" spans="1:40" x14ac:dyDescent="0.25">
      <c r="A3347" t="str">
        <f>"20190305135857816"</f>
        <v>20190305135857816</v>
      </c>
      <c r="B3347" t="str">
        <f>"1551765537811990"</f>
        <v>1551765537811990</v>
      </c>
      <c r="C3347" t="s">
        <v>40</v>
      </c>
      <c r="D3347">
        <v>4.2953159999999997</v>
      </c>
      <c r="E3347">
        <v>0.67812779999999995</v>
      </c>
      <c r="F3347" t="s">
        <v>42</v>
      </c>
      <c r="G3347">
        <v>-175.6943</v>
      </c>
      <c r="H3347">
        <v>7.9986280000000007E-2</v>
      </c>
      <c r="I3347">
        <v>177.15209999999999</v>
      </c>
      <c r="J3347">
        <v>-201.14439999999999</v>
      </c>
      <c r="K3347">
        <v>1.0989990000000001</v>
      </c>
      <c r="L3347">
        <v>214.39769999999999</v>
      </c>
      <c r="M3347">
        <v>0.97851909999999998</v>
      </c>
      <c r="N3347">
        <v>-1.8540279999999999E-2</v>
      </c>
      <c r="O3347">
        <v>-0.2053208</v>
      </c>
      <c r="P3347">
        <v>0.85810259999999905</v>
      </c>
      <c r="Q3347">
        <v>-3.1697000000000003E-2</v>
      </c>
      <c r="R3347">
        <v>-0.51249899999999904</v>
      </c>
      <c r="S3347">
        <v>1.890137</v>
      </c>
      <c r="T3347">
        <v>-7.4780109999999997E-2</v>
      </c>
      <c r="U3347">
        <v>-2.7371219999999998</v>
      </c>
      <c r="V3347">
        <v>0.32487959999999999</v>
      </c>
      <c r="W3347">
        <v>-2.264797E-2</v>
      </c>
      <c r="X3347">
        <v>0.9454842</v>
      </c>
      <c r="Y3347">
        <v>0.68827510000000003</v>
      </c>
      <c r="Z3347">
        <v>-1.521014E-2</v>
      </c>
      <c r="AA3347">
        <v>0.7252904</v>
      </c>
      <c r="AB3347">
        <v>32</v>
      </c>
      <c r="AC3347">
        <v>25.4500999999999</v>
      </c>
      <c r="AD3347">
        <v>-1.0190127200000001</v>
      </c>
      <c r="AE3347">
        <v>-37.245600000000003</v>
      </c>
      <c r="AF3347">
        <v>31.209537730690901</v>
      </c>
      <c r="AG3347">
        <v>-1.0190127200000001</v>
      </c>
      <c r="AH3347">
        <v>32.539696966592601</v>
      </c>
      <c r="AI3347">
        <v>91.294713904177598</v>
      </c>
      <c r="AJ3347">
        <v>46.195331259491802</v>
      </c>
      <c r="AK3347">
        <v>45.098841570095999</v>
      </c>
      <c r="AL3347">
        <v>91.297744016449897</v>
      </c>
      <c r="AM3347">
        <v>71.036670079069296</v>
      </c>
      <c r="AN3347">
        <v>1.00000002874546</v>
      </c>
    </row>
    <row r="3348" spans="1:40" x14ac:dyDescent="0.25">
      <c r="A3348" t="str">
        <f>"20190305135857839"</f>
        <v>20190305135857839</v>
      </c>
      <c r="B3348" t="str">
        <f>"1551765537832483"</f>
        <v>1551765537832483</v>
      </c>
      <c r="C3348" t="s">
        <v>40</v>
      </c>
      <c r="D3348">
        <v>4.2821049999999996</v>
      </c>
      <c r="E3348">
        <v>0.67659579999999997</v>
      </c>
      <c r="F3348" t="s">
        <v>42</v>
      </c>
      <c r="G3348">
        <v>-179.95779999999999</v>
      </c>
      <c r="H3348">
        <v>9.6722649999999993E-3</v>
      </c>
      <c r="I3348">
        <v>182.60130000000001</v>
      </c>
      <c r="J3348">
        <v>-200.82429999999999</v>
      </c>
      <c r="K3348">
        <v>1.098368</v>
      </c>
      <c r="L3348">
        <v>214.31649999999999</v>
      </c>
      <c r="M3348">
        <v>0.97536140000000005</v>
      </c>
      <c r="N3348">
        <v>-1.8236220000000001E-2</v>
      </c>
      <c r="O3348">
        <v>-0.21985830000000001</v>
      </c>
      <c r="P3348">
        <v>0.84842059999999997</v>
      </c>
      <c r="Q3348">
        <v>-2.7855129999999999E-2</v>
      </c>
      <c r="R3348">
        <v>-0.52858939999999999</v>
      </c>
      <c r="S3348">
        <v>1.841766</v>
      </c>
      <c r="T3348">
        <v>-9.4695689999999999E-2</v>
      </c>
      <c r="U3348">
        <v>-2.764084</v>
      </c>
      <c r="V3348">
        <v>0.32867020000000002</v>
      </c>
      <c r="W3348">
        <v>-1.9698609999999998E-2</v>
      </c>
      <c r="X3348">
        <v>0.9442393</v>
      </c>
      <c r="Y3348">
        <v>0.68939619999999902</v>
      </c>
      <c r="Z3348">
        <v>-1.597819E-2</v>
      </c>
      <c r="AA3348">
        <v>0.72420819999999997</v>
      </c>
      <c r="AB3348">
        <v>32</v>
      </c>
      <c r="AC3348">
        <v>20.866499999999998</v>
      </c>
      <c r="AD3348">
        <v>-1.0886957349999999</v>
      </c>
      <c r="AE3348">
        <v>-31.7151999999999</v>
      </c>
      <c r="AF3348">
        <v>26.3288372118603</v>
      </c>
      <c r="AG3348">
        <v>-1.0886957349999999</v>
      </c>
      <c r="AH3348">
        <v>27.307315293304999</v>
      </c>
      <c r="AI3348">
        <v>91.643974495017801</v>
      </c>
      <c r="AJ3348">
        <v>46.0451243007873</v>
      </c>
      <c r="AK3348">
        <v>37.948417567271697</v>
      </c>
      <c r="AL3348">
        <v>91.128720225432502</v>
      </c>
      <c r="AM3348">
        <v>70.808048285765906</v>
      </c>
      <c r="AN3348">
        <v>0.99999999563423103</v>
      </c>
    </row>
    <row r="3349" spans="1:40" x14ac:dyDescent="0.25">
      <c r="A3349" t="str">
        <f>"20190305135857861"</f>
        <v>20190305135857861</v>
      </c>
      <c r="B3349" t="str">
        <f>"1551765537852003"</f>
        <v>1551765537852003</v>
      </c>
      <c r="C3349" t="s">
        <v>40</v>
      </c>
      <c r="D3349">
        <v>4.330686</v>
      </c>
      <c r="E3349">
        <v>0.67500190000000004</v>
      </c>
      <c r="F3349" t="s">
        <v>42</v>
      </c>
      <c r="G3349">
        <v>-181.08340000000001</v>
      </c>
      <c r="H3349" s="1">
        <v>-3.7335209999999999E-6</v>
      </c>
      <c r="I3349">
        <v>183.64750000000001</v>
      </c>
      <c r="J3349">
        <v>-200.5147</v>
      </c>
      <c r="K3349">
        <v>1.097772</v>
      </c>
      <c r="L3349">
        <v>214.23240000000001</v>
      </c>
      <c r="M3349">
        <v>0.97191570000000005</v>
      </c>
      <c r="N3349">
        <v>-1.79990999999999E-2</v>
      </c>
      <c r="O3349">
        <v>-0.2346396</v>
      </c>
      <c r="P3349">
        <v>0.83882060000000003</v>
      </c>
      <c r="Q3349">
        <v>-2.594082E-2</v>
      </c>
      <c r="R3349">
        <v>-0.54378950000000004</v>
      </c>
      <c r="S3349">
        <v>1.7951509999999999</v>
      </c>
      <c r="T3349">
        <v>-9.9881289999999998E-2</v>
      </c>
      <c r="U3349">
        <v>-2.78891</v>
      </c>
      <c r="V3349">
        <v>0.33135209999999998</v>
      </c>
      <c r="W3349">
        <v>-1.8566920000000001E-2</v>
      </c>
      <c r="X3349">
        <v>0.94332439999999995</v>
      </c>
      <c r="Y3349">
        <v>0.6898493</v>
      </c>
      <c r="Z3349">
        <v>-1.5878179999999999E-2</v>
      </c>
      <c r="AA3349">
        <v>0.72377899999999995</v>
      </c>
      <c r="AB3349">
        <v>32</v>
      </c>
      <c r="AC3349">
        <v>19.4313</v>
      </c>
      <c r="AD3349">
        <v>-1.0977757335210001</v>
      </c>
      <c r="AE3349">
        <v>-30.584900000000001</v>
      </c>
      <c r="AF3349">
        <v>25.1475906263145</v>
      </c>
      <c r="AG3349">
        <v>-1.0977757335210001</v>
      </c>
      <c r="AH3349">
        <v>26.042336770125299</v>
      </c>
      <c r="AI3349">
        <v>91.736870153695605</v>
      </c>
      <c r="AJ3349">
        <v>46.001368054271403</v>
      </c>
      <c r="AK3349">
        <v>36.218913985905601</v>
      </c>
      <c r="AL3349">
        <v>91.063867355163893</v>
      </c>
      <c r="AM3349">
        <v>70.645666425803299</v>
      </c>
      <c r="AN3349">
        <v>0.99999993416402599</v>
      </c>
    </row>
    <row r="3350" spans="1:40" x14ac:dyDescent="0.25">
      <c r="A3350" t="str">
        <f>"20190305135857882"</f>
        <v>20190305135857882</v>
      </c>
      <c r="B3350" t="str">
        <f>"1551765537872077"</f>
        <v>1551765537872077</v>
      </c>
      <c r="C3350" t="s">
        <v>40</v>
      </c>
      <c r="D3350">
        <v>4.3148390000000001</v>
      </c>
      <c r="E3350">
        <v>0.67335610000000001</v>
      </c>
      <c r="F3350" t="s">
        <v>42</v>
      </c>
      <c r="G3350">
        <v>-182.7099</v>
      </c>
      <c r="H3350" s="1">
        <v>-3.9800059999999998E-6</v>
      </c>
      <c r="I3350">
        <v>185.64359999999999</v>
      </c>
      <c r="J3350">
        <v>-200.20930000000001</v>
      </c>
      <c r="K3350">
        <v>1.0972</v>
      </c>
      <c r="L3350">
        <v>214.14400000000001</v>
      </c>
      <c r="M3350">
        <v>0.96813079999999996</v>
      </c>
      <c r="N3350">
        <v>-1.7812000000000001E-2</v>
      </c>
      <c r="O3350">
        <v>-0.24981120000000001</v>
      </c>
      <c r="P3350">
        <v>0.8296424</v>
      </c>
      <c r="Q3350">
        <v>-2.5848630000000001E-2</v>
      </c>
      <c r="R3350">
        <v>-0.55769659999999999</v>
      </c>
      <c r="S3350">
        <v>1.7507170000000001</v>
      </c>
      <c r="T3350">
        <v>-0.1079427</v>
      </c>
      <c r="U3350">
        <v>-2.811096</v>
      </c>
      <c r="V3350">
        <v>0.33229540000000002</v>
      </c>
      <c r="W3350">
        <v>-1.91249E-2</v>
      </c>
      <c r="X3350">
        <v>0.94298150000000003</v>
      </c>
      <c r="Y3350">
        <v>0.68927130000000003</v>
      </c>
      <c r="Z3350">
        <v>-1.5821149999999999E-2</v>
      </c>
      <c r="AA3350">
        <v>0.72433049999999999</v>
      </c>
      <c r="AB3350">
        <v>32</v>
      </c>
      <c r="AC3350">
        <v>17.499400000000001</v>
      </c>
      <c r="AD3350">
        <v>-1.0972039800060001</v>
      </c>
      <c r="AE3350">
        <v>-28.500399999999999</v>
      </c>
      <c r="AF3350">
        <v>23.199281991696299</v>
      </c>
      <c r="AG3350">
        <v>-1.0972039800060001</v>
      </c>
      <c r="AH3350">
        <v>24.039369460243599</v>
      </c>
      <c r="AI3350">
        <v>91.881060539876501</v>
      </c>
      <c r="AJ3350">
        <v>46.018835032518503</v>
      </c>
      <c r="AK3350">
        <v>33.4260650623145</v>
      </c>
      <c r="AL3350">
        <v>91.095842806451003</v>
      </c>
      <c r="AM3350">
        <v>70.588152044235201</v>
      </c>
      <c r="AN3350">
        <v>1.0000000520017001</v>
      </c>
    </row>
    <row r="3351" spans="1:40" x14ac:dyDescent="0.25">
      <c r="A3351" t="str">
        <f>"20190305135857907"</f>
        <v>20190305135857907</v>
      </c>
      <c r="B3351" t="str">
        <f>"1551765537902333"</f>
        <v>1551765537902333</v>
      </c>
      <c r="C3351" t="s">
        <v>40</v>
      </c>
      <c r="D3351">
        <v>4.4226320000000001</v>
      </c>
      <c r="E3351">
        <v>0.67062819999999901</v>
      </c>
      <c r="F3351" t="s">
        <v>42</v>
      </c>
      <c r="G3351">
        <v>-183.8749</v>
      </c>
      <c r="H3351" s="1">
        <v>-4.2999960000000002E-6</v>
      </c>
      <c r="I3351">
        <v>187.12350000000001</v>
      </c>
      <c r="J3351">
        <v>-199.8888</v>
      </c>
      <c r="K3351">
        <v>1.0966309999999999</v>
      </c>
      <c r="L3351">
        <v>214.04499999999999</v>
      </c>
      <c r="M3351">
        <v>0.96371150000000005</v>
      </c>
      <c r="N3351">
        <v>-1.765537E-2</v>
      </c>
      <c r="O3351">
        <v>-0.26636179999999998</v>
      </c>
      <c r="P3351">
        <v>0.81751819999999997</v>
      </c>
      <c r="Q3351">
        <v>-2.687266E-2</v>
      </c>
      <c r="R3351">
        <v>-0.57527629999999996</v>
      </c>
      <c r="S3351">
        <v>1.710464</v>
      </c>
      <c r="T3351">
        <v>-0.1148942</v>
      </c>
      <c r="U3351">
        <v>-2.829453</v>
      </c>
      <c r="V3351">
        <v>0.33620499999999998</v>
      </c>
      <c r="W3351">
        <v>-2.088189E-2</v>
      </c>
      <c r="X3351">
        <v>0.94155730000000004</v>
      </c>
      <c r="Y3351">
        <v>0.68643009999999904</v>
      </c>
      <c r="Z3351">
        <v>-1.552708E-2</v>
      </c>
      <c r="AA3351">
        <v>0.72702999999999995</v>
      </c>
      <c r="AB3351">
        <v>32</v>
      </c>
      <c r="AC3351">
        <v>16.0139</v>
      </c>
      <c r="AD3351">
        <v>-1.0966352999959901</v>
      </c>
      <c r="AE3351">
        <v>-26.921499999999899</v>
      </c>
      <c r="AF3351">
        <v>21.6559033597695</v>
      </c>
      <c r="AG3351">
        <v>-1.0966352999959901</v>
      </c>
      <c r="AH3351">
        <v>22.579486305882799</v>
      </c>
      <c r="AI3351">
        <v>92.007509390644501</v>
      </c>
      <c r="AJ3351">
        <v>46.196094753713297</v>
      </c>
      <c r="AK3351">
        <v>31.305174670434699</v>
      </c>
      <c r="AL3351">
        <v>91.196531131851202</v>
      </c>
      <c r="AM3351">
        <v>70.349709023583898</v>
      </c>
      <c r="AN3351">
        <v>1.00000000226913</v>
      </c>
    </row>
    <row r="3352" spans="1:40" x14ac:dyDescent="0.25">
      <c r="A3352" t="str">
        <f>"20190305135857928"</f>
        <v>20190305135857928</v>
      </c>
      <c r="B3352" t="str">
        <f>"1551765537922829"</f>
        <v>1551765537922829</v>
      </c>
      <c r="C3352" t="s">
        <v>40</v>
      </c>
      <c r="D3352">
        <v>4.4069510000000003</v>
      </c>
      <c r="E3352">
        <v>0.66891350000000005</v>
      </c>
      <c r="F3352" t="s">
        <v>42</v>
      </c>
      <c r="G3352">
        <v>-186.744</v>
      </c>
      <c r="H3352" s="1">
        <v>-1.4942959999999999E-6</v>
      </c>
      <c r="I3352">
        <v>191.4933</v>
      </c>
      <c r="J3352">
        <v>-199.5821</v>
      </c>
      <c r="K3352">
        <v>1.0961160000000001</v>
      </c>
      <c r="L3352">
        <v>213.9443</v>
      </c>
      <c r="M3352">
        <v>0.95902719999999997</v>
      </c>
      <c r="N3352">
        <v>-1.754145E-2</v>
      </c>
      <c r="O3352">
        <v>-0.28277059999999998</v>
      </c>
      <c r="P3352">
        <v>0.80486610000000003</v>
      </c>
      <c r="Q3352">
        <v>-2.7267799999999998E-2</v>
      </c>
      <c r="R3352">
        <v>-0.59282990000000002</v>
      </c>
      <c r="S3352">
        <v>1.660461</v>
      </c>
      <c r="T3352">
        <v>-0.13852719999999999</v>
      </c>
      <c r="U3352">
        <v>-2.8487399999999998</v>
      </c>
      <c r="V3352">
        <v>0.34046359999999998</v>
      </c>
      <c r="W3352">
        <v>-2.195045E-2</v>
      </c>
      <c r="X3352">
        <v>0.94000139999999999</v>
      </c>
      <c r="Y3352">
        <v>0.68549169999999904</v>
      </c>
      <c r="Z3352">
        <v>-1.5746110000000001E-2</v>
      </c>
      <c r="AA3352">
        <v>0.72791019999999995</v>
      </c>
      <c r="AB3352">
        <v>32</v>
      </c>
      <c r="AC3352">
        <v>12.838099999999899</v>
      </c>
      <c r="AD3352">
        <v>-1.0961174942959999</v>
      </c>
      <c r="AE3352">
        <v>-22.451000000000001</v>
      </c>
      <c r="AF3352">
        <v>17.871533931117401</v>
      </c>
      <c r="AG3352">
        <v>-1.0961174942959999</v>
      </c>
      <c r="AH3352">
        <v>18.629975833211301</v>
      </c>
      <c r="AI3352">
        <v>92.431248829240303</v>
      </c>
      <c r="AJ3352">
        <v>46.190341661404503</v>
      </c>
      <c r="AK3352">
        <v>25.839295620400001</v>
      </c>
      <c r="AL3352">
        <v>91.257769212825096</v>
      </c>
      <c r="AM3352">
        <v>70.089877577401296</v>
      </c>
      <c r="AN3352">
        <v>0.99999995859105995</v>
      </c>
    </row>
    <row r="3353" spans="1:40" x14ac:dyDescent="0.25">
      <c r="A3353" t="str">
        <f>"20190305135857951"</f>
        <v>20190305135857951</v>
      </c>
      <c r="B3353" t="str">
        <f>"1551765537942348"</f>
        <v>1551765537942348</v>
      </c>
      <c r="C3353" t="s">
        <v>40</v>
      </c>
      <c r="D3353">
        <v>4.3292260000000002</v>
      </c>
      <c r="E3353">
        <v>0.66807759999999905</v>
      </c>
      <c r="F3353" t="s">
        <v>42</v>
      </c>
      <c r="G3353">
        <v>-188.5598</v>
      </c>
      <c r="H3353" s="1">
        <v>-2.221782E-6</v>
      </c>
      <c r="I3353">
        <v>194.21629999999999</v>
      </c>
      <c r="J3353">
        <v>-199.28030000000001</v>
      </c>
      <c r="K3353">
        <v>1.095642</v>
      </c>
      <c r="L3353">
        <v>213.83920000000001</v>
      </c>
      <c r="M3353">
        <v>0.95395169999999996</v>
      </c>
      <c r="N3353">
        <v>-1.746526E-2</v>
      </c>
      <c r="O3353">
        <v>-0.29945169999999999</v>
      </c>
      <c r="P3353">
        <v>0.79202740000000005</v>
      </c>
      <c r="Q3353">
        <v>-2.8129749999999999E-2</v>
      </c>
      <c r="R3353">
        <v>-0.60983710000000002</v>
      </c>
      <c r="S3353">
        <v>1.6054379999999999</v>
      </c>
      <c r="T3353">
        <v>-0.15965370000000001</v>
      </c>
      <c r="U3353">
        <v>-2.873459</v>
      </c>
      <c r="V3353">
        <v>0.34403840000000002</v>
      </c>
      <c r="W3353">
        <v>-2.3404459999999998E-2</v>
      </c>
      <c r="X3353">
        <v>0.93866380000000005</v>
      </c>
      <c r="Y3353">
        <v>0.68590600000000002</v>
      </c>
      <c r="Z3353">
        <v>-1.570059E-2</v>
      </c>
      <c r="AA3353">
        <v>0.72752069999999902</v>
      </c>
      <c r="AB3353">
        <v>32</v>
      </c>
      <c r="AC3353">
        <v>10.720499999999999</v>
      </c>
      <c r="AD3353">
        <v>-1.0956442217819999</v>
      </c>
      <c r="AE3353">
        <v>-19.622900000000001</v>
      </c>
      <c r="AF3353">
        <v>15.474238623463901</v>
      </c>
      <c r="AG3353">
        <v>-1.0956442217819999</v>
      </c>
      <c r="AH3353">
        <v>16.066829496462599</v>
      </c>
      <c r="AI3353">
        <v>92.811934971844906</v>
      </c>
      <c r="AJ3353">
        <v>46.076341541389098</v>
      </c>
      <c r="AK3353">
        <v>22.333730259520699</v>
      </c>
      <c r="AL3353">
        <v>91.341099288587998</v>
      </c>
      <c r="AM3353">
        <v>69.871139707258195</v>
      </c>
      <c r="AN3353">
        <v>0.99999995942644504</v>
      </c>
    </row>
    <row r="3354" spans="1:40" x14ac:dyDescent="0.25">
      <c r="A3354" t="str">
        <f>"20190305135857972"</f>
        <v>20190305135857972</v>
      </c>
      <c r="B3354" t="str">
        <f>"1551765537961869"</f>
        <v>1551765537961869</v>
      </c>
      <c r="C3354" t="s">
        <v>40</v>
      </c>
      <c r="D3354">
        <v>4.4235699999999998</v>
      </c>
      <c r="E3354">
        <v>0.64476929999999999</v>
      </c>
      <c r="F3354" t="s">
        <v>42</v>
      </c>
      <c r="G3354">
        <v>-189.54660000000001</v>
      </c>
      <c r="H3354" s="1">
        <v>-2.635447E-6</v>
      </c>
      <c r="I3354">
        <v>195.58860000000001</v>
      </c>
      <c r="J3354">
        <v>-198.98140000000001</v>
      </c>
      <c r="K3354">
        <v>1.0952010000000001</v>
      </c>
      <c r="L3354">
        <v>213.72890000000001</v>
      </c>
      <c r="M3354">
        <v>0.94844300000000004</v>
      </c>
      <c r="N3354">
        <v>-1.7423460000000002E-2</v>
      </c>
      <c r="O3354">
        <v>-0.3164691</v>
      </c>
      <c r="P3354">
        <v>0.77944599999999997</v>
      </c>
      <c r="Q3354">
        <v>-2.851948E-2</v>
      </c>
      <c r="R3354">
        <v>-0.6258203</v>
      </c>
      <c r="S3354">
        <v>1.547485</v>
      </c>
      <c r="T3354">
        <v>-0.17418919999999999</v>
      </c>
      <c r="U3354">
        <v>-2.901535</v>
      </c>
      <c r="V3354">
        <v>0.34630040000000001</v>
      </c>
      <c r="W3354">
        <v>-2.428135E-2</v>
      </c>
      <c r="X3354">
        <v>0.93780940000000002</v>
      </c>
      <c r="Y3354">
        <v>0.68700550000000005</v>
      </c>
      <c r="Z3354">
        <v>-1.5326370000000001E-2</v>
      </c>
      <c r="AA3354">
        <v>0.72649069999999905</v>
      </c>
      <c r="AB3354">
        <v>32</v>
      </c>
      <c r="AC3354">
        <v>9.4347999999999903</v>
      </c>
      <c r="AD3354">
        <v>-1.0952036354470001</v>
      </c>
      <c r="AE3354">
        <v>-18.1403</v>
      </c>
      <c r="AF3354">
        <v>14.180690096889</v>
      </c>
      <c r="AG3354">
        <v>-1.0952036354470001</v>
      </c>
      <c r="AH3354">
        <v>14.6494131570467</v>
      </c>
      <c r="AI3354">
        <v>93.074763589909594</v>
      </c>
      <c r="AJ3354">
        <v>45.931439163113403</v>
      </c>
      <c r="AK3354">
        <v>20.418049575631699</v>
      </c>
      <c r="AL3354">
        <v>91.391355603767096</v>
      </c>
      <c r="AM3354">
        <v>69.732565180932298</v>
      </c>
      <c r="AN3354">
        <v>1.0000000108631699</v>
      </c>
    </row>
    <row r="3355" spans="1:40" x14ac:dyDescent="0.25">
      <c r="A3355" t="str">
        <f>"20190305135857996"</f>
        <v>20190305135857996</v>
      </c>
      <c r="B3355" t="str">
        <f>"1551765537992126"</f>
        <v>1551765537992126</v>
      </c>
      <c r="C3355" t="s">
        <v>40</v>
      </c>
      <c r="D3355">
        <v>4.3642130000000003</v>
      </c>
      <c r="E3355">
        <v>0.64082249999999996</v>
      </c>
      <c r="F3355" t="s">
        <v>58</v>
      </c>
      <c r="G3355">
        <v>-192.9348</v>
      </c>
      <c r="H3355" s="1">
        <v>5.9061449999999998E-6</v>
      </c>
      <c r="I3355">
        <v>203.14519999999999</v>
      </c>
      <c r="J3355">
        <v>-198.67760000000001</v>
      </c>
      <c r="K3355">
        <v>1.094787</v>
      </c>
      <c r="L3355">
        <v>213.61019999999999</v>
      </c>
      <c r="M3355">
        <v>0.94232269999999896</v>
      </c>
      <c r="N3355">
        <v>-1.7411929999999999E-2</v>
      </c>
      <c r="O3355">
        <v>-0.33425290000000002</v>
      </c>
      <c r="P3355">
        <v>0.76690469999999999</v>
      </c>
      <c r="Q3355">
        <v>-2.8448350000000001E-2</v>
      </c>
      <c r="R3355">
        <v>-0.64113030000000004</v>
      </c>
      <c r="S3355">
        <v>1.595718</v>
      </c>
      <c r="T3355">
        <v>-0.28902729999999999</v>
      </c>
      <c r="U3355">
        <v>-2.7930760000000001</v>
      </c>
      <c r="V3355">
        <v>0.34720529999999999</v>
      </c>
      <c r="W3355">
        <v>-2.4598999999999999E-2</v>
      </c>
      <c r="X3355">
        <v>0.93746649999999998</v>
      </c>
      <c r="Y3355">
        <v>0.65041879999999996</v>
      </c>
      <c r="Z3355">
        <v>-1.316347E-2</v>
      </c>
      <c r="AA3355">
        <v>0.75946179999999996</v>
      </c>
      <c r="AB3355">
        <v>32</v>
      </c>
      <c r="AC3355">
        <v>5.7428000000000097</v>
      </c>
      <c r="AD3355">
        <v>-1.094781093855</v>
      </c>
      <c r="AE3355">
        <v>-10.465</v>
      </c>
      <c r="AF3355">
        <v>7.87681016751222</v>
      </c>
      <c r="AG3355">
        <v>-1.094781093855</v>
      </c>
      <c r="AH3355">
        <v>8.8365521954055009</v>
      </c>
      <c r="AI3355">
        <v>95.283875757973405</v>
      </c>
      <c r="AJ3355">
        <v>48.286522720394601</v>
      </c>
      <c r="AK3355">
        <v>11.8881175448685</v>
      </c>
      <c r="AL3355">
        <v>91.409561012209394</v>
      </c>
      <c r="AM3355">
        <v>69.677105820448702</v>
      </c>
      <c r="AN3355">
        <v>1.0000000348856599</v>
      </c>
    </row>
    <row r="3356" spans="1:40" x14ac:dyDescent="0.25">
      <c r="A3356" t="str">
        <f>"20190305135858020"</f>
        <v>20190305135858020</v>
      </c>
      <c r="B3356" t="str">
        <f>"1551765538012622"</f>
        <v>1551765538012622</v>
      </c>
      <c r="C3356" t="s">
        <v>40</v>
      </c>
      <c r="D3356">
        <v>4.3684609999999999</v>
      </c>
      <c r="E3356">
        <v>0.63919190000000004</v>
      </c>
      <c r="F3356" t="s">
        <v>58</v>
      </c>
      <c r="G3356">
        <v>-192.9194</v>
      </c>
      <c r="H3356" s="1">
        <v>5.8768250000000003E-6</v>
      </c>
      <c r="I3356">
        <v>203.2689</v>
      </c>
      <c r="J3356">
        <v>-198.36660000000001</v>
      </c>
      <c r="K3356">
        <v>1.0943879999999999</v>
      </c>
      <c r="L3356">
        <v>213.48159999999999</v>
      </c>
      <c r="M3356">
        <v>0.93548070000000005</v>
      </c>
      <c r="N3356">
        <v>-1.7431990000000001E-2</v>
      </c>
      <c r="O3356">
        <v>-0.35294779999999998</v>
      </c>
      <c r="P3356">
        <v>0.75407329999999995</v>
      </c>
      <c r="Q3356">
        <v>-2.831318E-2</v>
      </c>
      <c r="R3356">
        <v>-0.65618009999999904</v>
      </c>
      <c r="S3356">
        <v>1.559464</v>
      </c>
      <c r="T3356">
        <v>-0.29649399999999998</v>
      </c>
      <c r="U3356">
        <v>-2.8007049999999998</v>
      </c>
      <c r="V3356">
        <v>0.34707159999999998</v>
      </c>
      <c r="W3356">
        <v>-2.4763360000000002E-2</v>
      </c>
      <c r="X3356">
        <v>0.9375116</v>
      </c>
      <c r="Y3356">
        <v>0.64363970000000004</v>
      </c>
      <c r="Z3356">
        <v>-1.101599E-2</v>
      </c>
      <c r="AA3356">
        <v>0.76524939999999997</v>
      </c>
      <c r="AB3356">
        <v>31</v>
      </c>
      <c r="AC3356">
        <v>5.4471999999999996</v>
      </c>
      <c r="AD3356">
        <v>-1.0943821231749999</v>
      </c>
      <c r="AE3356">
        <v>-10.2126999999999</v>
      </c>
      <c r="AF3356">
        <v>7.5647385538935401</v>
      </c>
      <c r="AG3356">
        <v>-1.0943821231749999</v>
      </c>
      <c r="AH3356">
        <v>8.6245207050239205</v>
      </c>
      <c r="AI3356">
        <v>95.449276602807103</v>
      </c>
      <c r="AJ3356">
        <v>48.745355501277103</v>
      </c>
      <c r="AK3356">
        <v>11.5241181446423</v>
      </c>
      <c r="AL3356">
        <v>91.418981122321597</v>
      </c>
      <c r="AM3356">
        <v>69.685189348242304</v>
      </c>
      <c r="AN3356">
        <v>0.99999995982980305</v>
      </c>
    </row>
    <row r="3357" spans="1:40" x14ac:dyDescent="0.25">
      <c r="A3357" t="str">
        <f>"20190305135858040"</f>
        <v>20190305135858040</v>
      </c>
      <c r="B3357" t="str">
        <f>"1551765538032141"</f>
        <v>1551765538032141</v>
      </c>
      <c r="C3357" t="s">
        <v>40</v>
      </c>
      <c r="D3357">
        <v>4.3739980000000003</v>
      </c>
      <c r="E3357">
        <v>0.6374512</v>
      </c>
      <c r="F3357" t="s">
        <v>58</v>
      </c>
      <c r="G3357">
        <v>-192.6301</v>
      </c>
      <c r="H3357" s="1">
        <v>6.1148679999999996E-6</v>
      </c>
      <c r="I3357">
        <v>202.77979999999999</v>
      </c>
      <c r="J3357">
        <v>-198.07419999999999</v>
      </c>
      <c r="K3357">
        <v>1.0940430000000001</v>
      </c>
      <c r="L3357">
        <v>213.35319999999999</v>
      </c>
      <c r="M3357">
        <v>0.9284848</v>
      </c>
      <c r="N3357">
        <v>-1.7510100000000001E-2</v>
      </c>
      <c r="O3357">
        <v>-0.3709576</v>
      </c>
      <c r="P3357">
        <v>0.74078500000000003</v>
      </c>
      <c r="Q3357">
        <v>-3.0067099999999999E-2</v>
      </c>
      <c r="R3357">
        <v>-0.67106929999999998</v>
      </c>
      <c r="S3357">
        <v>1.512375</v>
      </c>
      <c r="T3357">
        <v>-0.28852670000000002</v>
      </c>
      <c r="U3357">
        <v>-2.821472</v>
      </c>
      <c r="V3357">
        <v>0.34757120000000002</v>
      </c>
      <c r="W3357">
        <v>-2.6745700000000001E-2</v>
      </c>
      <c r="X3357">
        <v>0.93727210000000005</v>
      </c>
      <c r="Y3357">
        <v>0.64124999999999999</v>
      </c>
      <c r="Z3357">
        <v>-9.3405169999999996E-3</v>
      </c>
      <c r="AA3357">
        <v>0.76727519999999905</v>
      </c>
      <c r="AB3357">
        <v>31</v>
      </c>
      <c r="AC3357">
        <v>5.4440999999999899</v>
      </c>
      <c r="AD3357">
        <v>-1.0940368851319999</v>
      </c>
      <c r="AE3357">
        <v>-10.5733999999999</v>
      </c>
      <c r="AF3357">
        <v>7.7334602747826899</v>
      </c>
      <c r="AG3357">
        <v>-1.0940368851319999</v>
      </c>
      <c r="AH3357">
        <v>8.9030791951350707</v>
      </c>
      <c r="AI3357">
        <v>95.300229283203393</v>
      </c>
      <c r="AJ3357">
        <v>49.0215180653041</v>
      </c>
      <c r="AK3357">
        <v>11.843485284430299</v>
      </c>
      <c r="AL3357">
        <v>91.532598440008996</v>
      </c>
      <c r="AM3357">
        <v>69.653569464892101</v>
      </c>
      <c r="AN3357">
        <v>1.00000003048816</v>
      </c>
    </row>
    <row r="3358" spans="1:40" x14ac:dyDescent="0.25">
      <c r="A3358" t="str">
        <f>"20190305135858063"</f>
        <v>20190305135858063</v>
      </c>
      <c r="B3358" t="str">
        <f>"1551765538052638"</f>
        <v>1551765538052638</v>
      </c>
      <c r="C3358" t="s">
        <v>40</v>
      </c>
      <c r="D3358">
        <v>4.3816959999999998</v>
      </c>
      <c r="E3358">
        <v>0.63550680000000004</v>
      </c>
      <c r="F3358" t="s">
        <v>58</v>
      </c>
      <c r="G3358">
        <v>-192.65700000000001</v>
      </c>
      <c r="H3358" s="1">
        <v>6.0830339999999997E-6</v>
      </c>
      <c r="I3358">
        <v>202.84960000000001</v>
      </c>
      <c r="J3358">
        <v>-197.79050000000001</v>
      </c>
      <c r="K3358">
        <v>1.093756</v>
      </c>
      <c r="L3358">
        <v>213.22190000000001</v>
      </c>
      <c r="M3358">
        <v>0.9211722</v>
      </c>
      <c r="N3358">
        <v>-1.7650760000000001E-2</v>
      </c>
      <c r="O3358">
        <v>-0.38875500000000002</v>
      </c>
      <c r="P3358">
        <v>0.72764319999999905</v>
      </c>
      <c r="Q3358">
        <v>-3.3153879999999997E-2</v>
      </c>
      <c r="R3358">
        <v>-0.68515470000000001</v>
      </c>
      <c r="S3358">
        <v>1.464828</v>
      </c>
      <c r="T3358">
        <v>-0.29583199999999998</v>
      </c>
      <c r="U3358">
        <v>-2.8402250000000002</v>
      </c>
      <c r="V3358">
        <v>0.34743309999999999</v>
      </c>
      <c r="W3358">
        <v>-2.9937769999999999E-2</v>
      </c>
      <c r="X3358">
        <v>0.93722669999999997</v>
      </c>
      <c r="Y3358">
        <v>0.63865919999999998</v>
      </c>
      <c r="Z3358">
        <v>-7.5401050000000001E-3</v>
      </c>
      <c r="AA3358">
        <v>0.76945280000000005</v>
      </c>
      <c r="AB3358">
        <v>31</v>
      </c>
      <c r="AC3358">
        <v>5.13349999999999</v>
      </c>
      <c r="AD3358">
        <v>-1.0937499169660001</v>
      </c>
      <c r="AE3358">
        <v>-10.3722999999999</v>
      </c>
      <c r="AF3358">
        <v>7.4932500977337098</v>
      </c>
      <c r="AG3358">
        <v>-1.0937499169660001</v>
      </c>
      <c r="AH3358">
        <v>8.6849140415688293</v>
      </c>
      <c r="AI3358">
        <v>95.446787264479298</v>
      </c>
      <c r="AJ3358">
        <v>49.2127297163169</v>
      </c>
      <c r="AK3358">
        <v>11.522708788192499</v>
      </c>
      <c r="AL3358">
        <v>91.715564274151305</v>
      </c>
      <c r="AM3358">
        <v>69.660086814306894</v>
      </c>
      <c r="AN3358">
        <v>0.99999995812053499</v>
      </c>
    </row>
    <row r="3359" spans="1:40" x14ac:dyDescent="0.25">
      <c r="A3359" t="str">
        <f>"20190305135858085"</f>
        <v>20190305135858085</v>
      </c>
      <c r="B3359" t="str">
        <f>"1551765538081917"</f>
        <v>1551765538081917</v>
      </c>
      <c r="C3359" t="s">
        <v>40</v>
      </c>
      <c r="D3359">
        <v>4.5619329999999998</v>
      </c>
      <c r="E3359">
        <v>0.63430500000000001</v>
      </c>
      <c r="F3359" t="s">
        <v>58</v>
      </c>
      <c r="G3359">
        <v>-192.80019999999999</v>
      </c>
      <c r="H3359" s="1">
        <v>5.9258610000000003E-6</v>
      </c>
      <c r="I3359">
        <v>203.18639999999999</v>
      </c>
      <c r="J3359">
        <v>-197.50710000000001</v>
      </c>
      <c r="K3359">
        <v>1.0935079999999999</v>
      </c>
      <c r="L3359">
        <v>213.084</v>
      </c>
      <c r="M3359">
        <v>0.91332219999999997</v>
      </c>
      <c r="N3359">
        <v>-1.7845949999999999E-2</v>
      </c>
      <c r="O3359">
        <v>-0.40684670000000001</v>
      </c>
      <c r="P3359">
        <v>0.71441969999999899</v>
      </c>
      <c r="Q3359">
        <v>-3.4922830000000002E-2</v>
      </c>
      <c r="R3359">
        <v>-0.69884590000000002</v>
      </c>
      <c r="S3359">
        <v>1.4199520000000001</v>
      </c>
      <c r="T3359">
        <v>-0.31121910000000003</v>
      </c>
      <c r="U3359">
        <v>-2.8555299999999999</v>
      </c>
      <c r="V3359">
        <v>0.34669640000000002</v>
      </c>
      <c r="W3359">
        <v>-3.1706489999999997E-2</v>
      </c>
      <c r="X3359">
        <v>0.93744139999999998</v>
      </c>
      <c r="Y3359">
        <v>0.63471199999999905</v>
      </c>
      <c r="Z3359">
        <v>-5.3288270000000004E-3</v>
      </c>
      <c r="AA3359">
        <v>0.77273040000000004</v>
      </c>
      <c r="AB3359">
        <v>31</v>
      </c>
      <c r="AC3359">
        <v>4.7069000000000099</v>
      </c>
      <c r="AD3359">
        <v>-1.093502074139</v>
      </c>
      <c r="AE3359">
        <v>-9.8976000000000095</v>
      </c>
      <c r="AF3359">
        <v>7.0556080267295398</v>
      </c>
      <c r="AG3359">
        <v>-1.093502074139</v>
      </c>
      <c r="AH3359">
        <v>8.2449704267316104</v>
      </c>
      <c r="AI3359">
        <v>95.754104236453301</v>
      </c>
      <c r="AJ3359">
        <v>49.444844126465</v>
      </c>
      <c r="AK3359">
        <v>10.9067359347641</v>
      </c>
      <c r="AL3359">
        <v>91.816952510801499</v>
      </c>
      <c r="AM3359">
        <v>69.703962602511197</v>
      </c>
      <c r="AN3359">
        <v>1.0000000368575099</v>
      </c>
    </row>
    <row r="3360" spans="1:40" x14ac:dyDescent="0.25">
      <c r="A3360" t="str">
        <f>"20190305135858109"</f>
        <v>20190305135858109</v>
      </c>
      <c r="B3360" t="str">
        <f>"1551765538102413"</f>
        <v>1551765538102413</v>
      </c>
      <c r="C3360" t="s">
        <v>40</v>
      </c>
      <c r="D3360">
        <v>4.40733</v>
      </c>
      <c r="E3360">
        <v>0.67399249999999999</v>
      </c>
      <c r="F3360" t="s">
        <v>58</v>
      </c>
      <c r="G3360">
        <v>-192.70150000000001</v>
      </c>
      <c r="H3360" s="1">
        <v>6.0100369999999996E-6</v>
      </c>
      <c r="I3360">
        <v>203.02260000000001</v>
      </c>
      <c r="J3360">
        <v>-197.21170000000001</v>
      </c>
      <c r="K3360">
        <v>1.09331</v>
      </c>
      <c r="L3360">
        <v>212.9325</v>
      </c>
      <c r="M3360">
        <v>0.90453649999999997</v>
      </c>
      <c r="N3360">
        <v>-1.8126320000000001E-2</v>
      </c>
      <c r="O3360">
        <v>-0.42601080000000002</v>
      </c>
      <c r="P3360">
        <v>0.70142199999999999</v>
      </c>
      <c r="Q3360">
        <v>-3.5567639999999998E-2</v>
      </c>
      <c r="R3360">
        <v>-0.71185859999999901</v>
      </c>
      <c r="S3360">
        <v>1.372681</v>
      </c>
      <c r="T3360">
        <v>-0.31234899999999999</v>
      </c>
      <c r="U3360">
        <v>-2.8739469999999998</v>
      </c>
      <c r="V3360">
        <v>0.34414400000000001</v>
      </c>
      <c r="W3360">
        <v>-3.216695E-2</v>
      </c>
      <c r="X3360">
        <v>0.93836569999999997</v>
      </c>
      <c r="Y3360">
        <v>0.63073599999999996</v>
      </c>
      <c r="Z3360">
        <v>-3.298193E-3</v>
      </c>
      <c r="AA3360">
        <v>0.77599050000000003</v>
      </c>
      <c r="AB3360">
        <v>31</v>
      </c>
      <c r="AC3360">
        <v>4.5101999999999904</v>
      </c>
      <c r="AD3360">
        <v>-1.0933039899629999</v>
      </c>
      <c r="AE3360">
        <v>-9.9098999999999897</v>
      </c>
      <c r="AF3360">
        <v>6.9733178220826604</v>
      </c>
      <c r="AG3360">
        <v>-1.0933039899629999</v>
      </c>
      <c r="AH3360">
        <v>8.2198485505202701</v>
      </c>
      <c r="AI3360">
        <v>95.791496608091194</v>
      </c>
      <c r="AJ3360">
        <v>49.690354622769298</v>
      </c>
      <c r="AK3360">
        <v>10.8345920668816</v>
      </c>
      <c r="AL3360">
        <v>91.843348464445796</v>
      </c>
      <c r="AM3360">
        <v>69.859575100477002</v>
      </c>
      <c r="AN3360">
        <v>0.99999999617239599</v>
      </c>
    </row>
    <row r="3361" spans="1:40" x14ac:dyDescent="0.25">
      <c r="A3361" t="str">
        <f>"20190305135858132"</f>
        <v>20190305135858132</v>
      </c>
      <c r="B3361" t="str">
        <f>"1551765538121933"</f>
        <v>1551765538121933</v>
      </c>
      <c r="C3361" t="s">
        <v>40</v>
      </c>
      <c r="D3361">
        <v>4.3542529999999999</v>
      </c>
      <c r="E3361">
        <v>0.67671329999999996</v>
      </c>
      <c r="F3361" t="s">
        <v>58</v>
      </c>
      <c r="G3361">
        <v>-194.02590000000001</v>
      </c>
      <c r="H3361" s="1">
        <v>5.495818E-6</v>
      </c>
      <c r="I3361">
        <v>203.78120000000001</v>
      </c>
      <c r="J3361">
        <v>-196.91849999999999</v>
      </c>
      <c r="K3361">
        <v>1.093175</v>
      </c>
      <c r="L3361">
        <v>212.7741</v>
      </c>
      <c r="M3361">
        <v>0.89518390000000003</v>
      </c>
      <c r="N3361">
        <v>-1.8495520000000001E-2</v>
      </c>
      <c r="O3361">
        <v>-0.44531310000000002</v>
      </c>
      <c r="P3361">
        <v>0.6882971</v>
      </c>
      <c r="Q3361">
        <v>-3.6482319999999999E-2</v>
      </c>
      <c r="R3361">
        <v>-0.72451109999999996</v>
      </c>
      <c r="S3361">
        <v>1.087585</v>
      </c>
      <c r="T3361">
        <v>-0.37323430000000002</v>
      </c>
      <c r="U3361">
        <v>-3.1240839999999999</v>
      </c>
      <c r="V3361">
        <v>0.34108529999999998</v>
      </c>
      <c r="W3361">
        <v>-3.2756100000000003E-2</v>
      </c>
      <c r="X3361">
        <v>0.93946149999999995</v>
      </c>
      <c r="Y3361">
        <v>0.69639709999999999</v>
      </c>
      <c r="Z3361">
        <v>-5.6894270000000004E-3</v>
      </c>
      <c r="AA3361">
        <v>0.71763409999999905</v>
      </c>
      <c r="AB3361">
        <v>31</v>
      </c>
      <c r="AC3361">
        <v>2.8925999999999799</v>
      </c>
      <c r="AD3361">
        <v>-1.093169504182</v>
      </c>
      <c r="AE3361">
        <v>-8.9928999999999899</v>
      </c>
      <c r="AF3361">
        <v>6.6739710816431899</v>
      </c>
      <c r="AG3361">
        <v>-1.093169504182</v>
      </c>
      <c r="AH3361">
        <v>6.5080428014168499</v>
      </c>
      <c r="AI3361">
        <v>96.688517967973397</v>
      </c>
      <c r="AJ3361">
        <v>44.278828851141398</v>
      </c>
      <c r="AK3361">
        <v>9.38570885274825</v>
      </c>
      <c r="AL3361">
        <v>91.877122014899101</v>
      </c>
      <c r="AM3361">
        <v>70.045827839697907</v>
      </c>
      <c r="AN3361">
        <v>1.00000002697277</v>
      </c>
    </row>
    <row r="3362" spans="1:40" x14ac:dyDescent="0.25">
      <c r="A3362" t="str">
        <f>"20190305135858152"</f>
        <v>20190305135858152</v>
      </c>
      <c r="B3362" t="str">
        <f>"1551765538142430"</f>
        <v>1551765538142430</v>
      </c>
      <c r="C3362" t="s">
        <v>40</v>
      </c>
      <c r="D3362">
        <v>4.3739800000000004</v>
      </c>
      <c r="E3362">
        <v>0.67592659999999904</v>
      </c>
      <c r="F3362" t="s">
        <v>58</v>
      </c>
      <c r="G3362">
        <v>-194.02189999999999</v>
      </c>
      <c r="H3362" s="1">
        <v>5.5028169999999999E-6</v>
      </c>
      <c r="I3362">
        <v>203.75810000000001</v>
      </c>
      <c r="J3362">
        <v>-196.6695</v>
      </c>
      <c r="K3362">
        <v>1.093092</v>
      </c>
      <c r="L3362">
        <v>212.63300000000001</v>
      </c>
      <c r="M3362">
        <v>0.88671309999999903</v>
      </c>
      <c r="N3362">
        <v>-1.8874200000000001E-2</v>
      </c>
      <c r="O3362">
        <v>-0.46193479999999998</v>
      </c>
      <c r="P3362">
        <v>0.67731059999999998</v>
      </c>
      <c r="Q3362">
        <v>-3.7305449999999997E-2</v>
      </c>
      <c r="R3362">
        <v>-0.73475100000000004</v>
      </c>
      <c r="S3362">
        <v>1.0144500000000001</v>
      </c>
      <c r="T3362">
        <v>-0.382857</v>
      </c>
      <c r="U3362">
        <v>-3.157654</v>
      </c>
      <c r="V3362">
        <v>0.3376381</v>
      </c>
      <c r="W3362">
        <v>-3.3177089999999999E-2</v>
      </c>
      <c r="X3362">
        <v>0.9406911</v>
      </c>
      <c r="Y3362">
        <v>0.70025919999999997</v>
      </c>
      <c r="Z3362">
        <v>-4.0945670000000003E-3</v>
      </c>
      <c r="AA3362">
        <v>0.71387699999999998</v>
      </c>
      <c r="AB3362">
        <v>31</v>
      </c>
      <c r="AC3362">
        <v>2.6476000000000099</v>
      </c>
      <c r="AD3362">
        <v>-1.0930864971830001</v>
      </c>
      <c r="AE3362">
        <v>-8.8748999999999594</v>
      </c>
      <c r="AF3362">
        <v>6.5563248258145004</v>
      </c>
      <c r="AG3362">
        <v>-1.0930864971830001</v>
      </c>
      <c r="AH3362">
        <v>6.3598416318650397</v>
      </c>
      <c r="AI3362">
        <v>96.824139063949602</v>
      </c>
      <c r="AJ3362">
        <v>44.128472868870404</v>
      </c>
      <c r="AK3362">
        <v>9.1993379595663907</v>
      </c>
      <c r="AL3362">
        <v>91.901256180049103</v>
      </c>
      <c r="AM3362">
        <v>70.255639153468593</v>
      </c>
      <c r="AN3362">
        <v>0.99999997574584298</v>
      </c>
    </row>
    <row r="3363" spans="1:40" x14ac:dyDescent="0.25">
      <c r="A3363" t="str">
        <f>"20190305135858174"</f>
        <v>20190305135858174</v>
      </c>
      <c r="B3363" t="str">
        <f>"1551765538161949"</f>
        <v>1551765538161949</v>
      </c>
      <c r="C3363" t="s">
        <v>40</v>
      </c>
      <c r="D3363">
        <v>4.366085</v>
      </c>
      <c r="E3363">
        <v>0.67384849999999996</v>
      </c>
      <c r="F3363" t="s">
        <v>58</v>
      </c>
      <c r="G3363">
        <v>-193.89410000000001</v>
      </c>
      <c r="H3363" s="1">
        <v>5.5757650000000001E-6</v>
      </c>
      <c r="I3363">
        <v>203.58969999999999</v>
      </c>
      <c r="J3363">
        <v>-196.4042</v>
      </c>
      <c r="K3363">
        <v>1.0930200000000001</v>
      </c>
      <c r="L3363">
        <v>212.47559999999999</v>
      </c>
      <c r="M3363">
        <v>0.87711899999999998</v>
      </c>
      <c r="N3363">
        <v>-1.9325470000000001E-2</v>
      </c>
      <c r="O3363">
        <v>-0.47988399999999998</v>
      </c>
      <c r="P3363">
        <v>0.66493400000000003</v>
      </c>
      <c r="Q3363">
        <v>-3.6736909999999998E-2</v>
      </c>
      <c r="R3363">
        <v>-0.7459981</v>
      </c>
      <c r="S3363">
        <v>0.9721069</v>
      </c>
      <c r="T3363">
        <v>-0.38285659999999999</v>
      </c>
      <c r="U3363">
        <v>-3.1674500000000001</v>
      </c>
      <c r="V3363">
        <v>0.33427220000000002</v>
      </c>
      <c r="W3363">
        <v>-3.2127780000000002E-2</v>
      </c>
      <c r="X3363">
        <v>0.94192880000000001</v>
      </c>
      <c r="Y3363">
        <v>0.69514560000000003</v>
      </c>
      <c r="Z3363">
        <v>-1.713324E-3</v>
      </c>
      <c r="AA3363">
        <v>0.71886689999999998</v>
      </c>
      <c r="AB3363">
        <v>31</v>
      </c>
      <c r="AC3363">
        <v>2.5100999999999898</v>
      </c>
      <c r="AD3363">
        <v>-1.0930144242349999</v>
      </c>
      <c r="AE3363">
        <v>-8.8858999999999906</v>
      </c>
      <c r="AF3363">
        <v>6.4995923593199496</v>
      </c>
      <c r="AG3363">
        <v>-1.0930144242349999</v>
      </c>
      <c r="AH3363">
        <v>6.3776999962963501</v>
      </c>
      <c r="AI3363">
        <v>96.844578308612995</v>
      </c>
      <c r="AJ3363">
        <v>44.457672530054097</v>
      </c>
      <c r="AK3363">
        <v>9.1713924031018497</v>
      </c>
      <c r="AL3363">
        <v>91.841103055927306</v>
      </c>
      <c r="AM3363">
        <v>70.461216475977096</v>
      </c>
      <c r="AN3363">
        <v>0.99999998110500399</v>
      </c>
    </row>
    <row r="3364" spans="1:40" x14ac:dyDescent="0.25">
      <c r="A3364" t="str">
        <f>"20190305135858197"</f>
        <v>20190305135858197</v>
      </c>
      <c r="B3364" t="str">
        <f>"1551765538192205"</f>
        <v>1551765538192205</v>
      </c>
      <c r="C3364" t="s">
        <v>40</v>
      </c>
      <c r="D3364">
        <v>4.4491630000000004</v>
      </c>
      <c r="E3364">
        <v>0.67133240000000005</v>
      </c>
      <c r="F3364" t="s">
        <v>58</v>
      </c>
      <c r="G3364">
        <v>-193.6788</v>
      </c>
      <c r="H3364" s="1">
        <v>5.7242099999999899E-6</v>
      </c>
      <c r="I3364">
        <v>203.20939999999999</v>
      </c>
      <c r="J3364">
        <v>-196.1378</v>
      </c>
      <c r="K3364">
        <v>1.092957</v>
      </c>
      <c r="L3364">
        <v>212.3099</v>
      </c>
      <c r="M3364">
        <v>0.86685279999999998</v>
      </c>
      <c r="N3364">
        <v>-1.9811619999999999E-2</v>
      </c>
      <c r="O3364">
        <v>-0.49817050000000002</v>
      </c>
      <c r="P3364">
        <v>0.65144009999999997</v>
      </c>
      <c r="Q3364">
        <v>-3.571001E-2</v>
      </c>
      <c r="R3364">
        <v>-0.75785930000000001</v>
      </c>
      <c r="S3364">
        <v>0.93283079999999996</v>
      </c>
      <c r="T3364">
        <v>-0.37410330000000003</v>
      </c>
      <c r="U3364">
        <v>-3.1715390000000001</v>
      </c>
      <c r="V3364">
        <v>0.33151599999999998</v>
      </c>
      <c r="W3364">
        <v>-3.0600869999999999E-2</v>
      </c>
      <c r="X3364">
        <v>0.94295320000000005</v>
      </c>
      <c r="Y3364">
        <v>0.68865779999999999</v>
      </c>
      <c r="Z3364">
        <v>4.380718E-4</v>
      </c>
      <c r="AA3364">
        <v>0.72508629999999996</v>
      </c>
      <c r="AB3364">
        <v>31</v>
      </c>
      <c r="AC3364">
        <v>2.4590000000000001</v>
      </c>
      <c r="AD3364">
        <v>-1.09295127579</v>
      </c>
      <c r="AE3364">
        <v>-9.1005000000000091</v>
      </c>
      <c r="AF3364">
        <v>6.57669580226327</v>
      </c>
      <c r="AG3364">
        <v>-1.09295127579</v>
      </c>
      <c r="AH3364">
        <v>6.5780765403498398</v>
      </c>
      <c r="AI3364">
        <v>96.701443179258803</v>
      </c>
      <c r="AJ3364">
        <v>45.006013822407702</v>
      </c>
      <c r="AK3364">
        <v>9.3658187649270292</v>
      </c>
      <c r="AL3364">
        <v>91.753574443667404</v>
      </c>
      <c r="AM3364">
        <v>70.629750417776606</v>
      </c>
      <c r="AN3364">
        <v>1.00000000444549</v>
      </c>
    </row>
    <row r="3365" spans="1:40" x14ac:dyDescent="0.25">
      <c r="A3365" t="str">
        <f>"20190305135858220"</f>
        <v>20190305135858220</v>
      </c>
      <c r="B3365" t="str">
        <f>"1551765538212701"</f>
        <v>1551765538212701</v>
      </c>
      <c r="C3365" t="s">
        <v>40</v>
      </c>
      <c r="D3365">
        <v>4.4355200000000004</v>
      </c>
      <c r="E3365">
        <v>0.66991690000000004</v>
      </c>
      <c r="F3365" t="s">
        <v>58</v>
      </c>
      <c r="G3365">
        <v>-193.35769999999999</v>
      </c>
      <c r="H3365" s="1">
        <v>6.0429789999999996E-6</v>
      </c>
      <c r="I3365">
        <v>202.43549999999999</v>
      </c>
      <c r="J3365">
        <v>-195.87</v>
      </c>
      <c r="K3365">
        <v>1.0928880000000001</v>
      </c>
      <c r="L3365">
        <v>212.13480000000001</v>
      </c>
      <c r="M3365">
        <v>0.8558365</v>
      </c>
      <c r="N3365">
        <v>-2.0314200000000001E-2</v>
      </c>
      <c r="O3365">
        <v>-0.51684770000000002</v>
      </c>
      <c r="P3365">
        <v>0.63617119999999905</v>
      </c>
      <c r="Q3365">
        <v>-3.7075320000000002E-2</v>
      </c>
      <c r="R3365">
        <v>-0.77065689999999998</v>
      </c>
      <c r="S3365">
        <v>0.89360049999999902</v>
      </c>
      <c r="T3365">
        <v>-0.35129939999999998</v>
      </c>
      <c r="U3365">
        <v>-3.1738590000000002</v>
      </c>
      <c r="V3365">
        <v>0.32980500000000001</v>
      </c>
      <c r="W3365">
        <v>-3.1494510000000003E-2</v>
      </c>
      <c r="X3365">
        <v>0.94352360000000002</v>
      </c>
      <c r="Y3365">
        <v>0.68162809999999996</v>
      </c>
      <c r="Z3365">
        <v>1.7823540000000001E-3</v>
      </c>
      <c r="AA3365">
        <v>0.73169659999999903</v>
      </c>
      <c r="AB3365">
        <v>30</v>
      </c>
      <c r="AC3365">
        <v>2.51230000000001</v>
      </c>
      <c r="AD3365">
        <v>-1.09288195702099</v>
      </c>
      <c r="AE3365">
        <v>-9.6993000000000205</v>
      </c>
      <c r="AF3365">
        <v>6.9216308980282797</v>
      </c>
      <c r="AG3365">
        <v>-1.09288195702099</v>
      </c>
      <c r="AH3365">
        <v>7.0804153001491299</v>
      </c>
      <c r="AI3365">
        <v>96.298499453786306</v>
      </c>
      <c r="AJ3365">
        <v>45.649711193333502</v>
      </c>
      <c r="AK3365">
        <v>9.9617089940987391</v>
      </c>
      <c r="AL3365">
        <v>91.804800926238102</v>
      </c>
      <c r="AM3365">
        <v>70.733125191387302</v>
      </c>
      <c r="AN3365">
        <v>1.00000001297105</v>
      </c>
    </row>
    <row r="3366" spans="1:40" x14ac:dyDescent="0.25">
      <c r="A3366" t="str">
        <f>"20190305135858241"</f>
        <v>20190305135858241</v>
      </c>
      <c r="B3366" t="str">
        <f>"1551765538232225"</f>
        <v>1551765538232225</v>
      </c>
      <c r="C3366" t="s">
        <v>40</v>
      </c>
      <c r="D3366">
        <v>4.422479</v>
      </c>
      <c r="E3366">
        <v>0.66882649999999999</v>
      </c>
      <c r="F3366" t="s">
        <v>58</v>
      </c>
      <c r="G3366">
        <v>-193.25309999999999</v>
      </c>
      <c r="H3366" s="1">
        <v>6.1518379999999999E-6</v>
      </c>
      <c r="I3366">
        <v>202.2063</v>
      </c>
      <c r="J3366">
        <v>-195.6216</v>
      </c>
      <c r="K3366">
        <v>1.0928249999999999</v>
      </c>
      <c r="L3366">
        <v>211.96440000000001</v>
      </c>
      <c r="M3366">
        <v>0.84494749999999996</v>
      </c>
      <c r="N3366">
        <v>-2.0776050000000001E-2</v>
      </c>
      <c r="O3366">
        <v>-0.53444569999999902</v>
      </c>
      <c r="P3366">
        <v>0.62145289999999997</v>
      </c>
      <c r="Q3366">
        <v>-3.924913E-2</v>
      </c>
      <c r="R3366">
        <v>-0.7824681</v>
      </c>
      <c r="S3366">
        <v>0.83905030000000003</v>
      </c>
      <c r="T3366">
        <v>-0.3504002</v>
      </c>
      <c r="U3366">
        <v>-3.1832889999999998</v>
      </c>
      <c r="V3366">
        <v>0.327989799999999</v>
      </c>
      <c r="W3366">
        <v>-3.321955E-2</v>
      </c>
      <c r="X3366">
        <v>0.94409699999999996</v>
      </c>
      <c r="Y3366">
        <v>0.67878130000000003</v>
      </c>
      <c r="Z3366">
        <v>3.6577509999999999E-3</v>
      </c>
      <c r="AA3366">
        <v>0.73433139999999997</v>
      </c>
      <c r="AB3366">
        <v>30</v>
      </c>
      <c r="AC3366">
        <v>2.3685000000000098</v>
      </c>
      <c r="AD3366">
        <v>-1.092818848162</v>
      </c>
      <c r="AE3366">
        <v>-9.7581000000000095</v>
      </c>
      <c r="AF3366">
        <v>6.8990403503528297</v>
      </c>
      <c r="AG3366">
        <v>-1.092818848162</v>
      </c>
      <c r="AH3366">
        <v>7.13349974025133</v>
      </c>
      <c r="AI3366">
        <v>96.284092679821498</v>
      </c>
      <c r="AJ3366">
        <v>45.957223964344998</v>
      </c>
      <c r="AK3366">
        <v>9.9838784715590592</v>
      </c>
      <c r="AL3366">
        <v>91.903690261284893</v>
      </c>
      <c r="AM3366">
        <v>70.842204323526403</v>
      </c>
      <c r="AN3366">
        <v>0.99999999640762105</v>
      </c>
    </row>
    <row r="3367" spans="1:40" x14ac:dyDescent="0.25">
      <c r="A3367" t="str">
        <f>"20190305135858263"</f>
        <v>20190305135858263</v>
      </c>
      <c r="B3367" t="str">
        <f>"1551765538252717"</f>
        <v>1551765538252717</v>
      </c>
      <c r="C3367" t="s">
        <v>40</v>
      </c>
      <c r="D3367">
        <v>4.4059299999999997</v>
      </c>
      <c r="E3367">
        <v>0.65393639999999997</v>
      </c>
      <c r="F3367" t="s">
        <v>58</v>
      </c>
      <c r="G3367">
        <v>-193.1883</v>
      </c>
      <c r="H3367" s="1">
        <v>6.2164490000000002E-6</v>
      </c>
      <c r="I3367">
        <v>202.07230000000001</v>
      </c>
      <c r="J3367">
        <v>-195.3775</v>
      </c>
      <c r="K3367">
        <v>1.0927709999999999</v>
      </c>
      <c r="L3367">
        <v>211.78899999999999</v>
      </c>
      <c r="M3367">
        <v>0.83358379999999999</v>
      </c>
      <c r="N3367">
        <v>-2.121872E-2</v>
      </c>
      <c r="O3367">
        <v>-0.55198530000000001</v>
      </c>
      <c r="P3367">
        <v>0.60700829999999995</v>
      </c>
      <c r="Q3367">
        <v>-4.0199980000000003E-2</v>
      </c>
      <c r="R3367">
        <v>-0.79367799999999999</v>
      </c>
      <c r="S3367">
        <v>0.78533940000000002</v>
      </c>
      <c r="T3367">
        <v>-0.35269840000000002</v>
      </c>
      <c r="U3367">
        <v>-3.192596</v>
      </c>
      <c r="V3367">
        <v>0.32549270000000002</v>
      </c>
      <c r="W3367">
        <v>-3.3695419999999997E-2</v>
      </c>
      <c r="X3367">
        <v>0.94494400000000001</v>
      </c>
      <c r="Y3367">
        <v>0.67559469999999899</v>
      </c>
      <c r="Z3367">
        <v>5.7860460000000004E-3</v>
      </c>
      <c r="AA3367">
        <v>0.73725050000000003</v>
      </c>
      <c r="AB3367">
        <v>30</v>
      </c>
      <c r="AC3367">
        <v>2.1892</v>
      </c>
      <c r="AD3367">
        <v>-1.0927647835509999</v>
      </c>
      <c r="AE3367">
        <v>-9.7166999999999994</v>
      </c>
      <c r="AF3367">
        <v>6.8108485614960497</v>
      </c>
      <c r="AG3367">
        <v>-1.0927647835509999</v>
      </c>
      <c r="AH3367">
        <v>7.1044610369874803</v>
      </c>
      <c r="AI3367">
        <v>96.335772104199293</v>
      </c>
      <c r="AJ3367">
        <v>46.208759292212498</v>
      </c>
      <c r="AK3367">
        <v>9.9022805265189007</v>
      </c>
      <c r="AL3367">
        <v>91.930970829803698</v>
      </c>
      <c r="AM3367">
        <v>70.993365969578093</v>
      </c>
      <c r="AN3367">
        <v>1.00000002110913</v>
      </c>
    </row>
    <row r="3368" spans="1:40" x14ac:dyDescent="0.25">
      <c r="A3368" t="str">
        <f>"20190305135858286"</f>
        <v>20190305135858286</v>
      </c>
      <c r="B3368" t="str">
        <f>"1551765538281997"</f>
        <v>1551765538281997</v>
      </c>
      <c r="C3368" t="s">
        <v>40</v>
      </c>
      <c r="D3368">
        <v>4.4331469999999999</v>
      </c>
      <c r="E3368">
        <v>0.65083630000000003</v>
      </c>
      <c r="F3368" t="s">
        <v>58</v>
      </c>
      <c r="G3368">
        <v>-192.70869999999999</v>
      </c>
      <c r="H3368" s="1">
        <v>6.5040300000000003E-6</v>
      </c>
      <c r="I3368">
        <v>201.61969999999999</v>
      </c>
      <c r="J3368">
        <v>-195.12459999999999</v>
      </c>
      <c r="K3368">
        <v>1.0927260000000001</v>
      </c>
      <c r="L3368">
        <v>211.5986</v>
      </c>
      <c r="M3368">
        <v>0.82106730000000006</v>
      </c>
      <c r="N3368">
        <v>-2.1658230000000001E-2</v>
      </c>
      <c r="O3368">
        <v>-0.570420699999999</v>
      </c>
      <c r="P3368">
        <v>0.59178409999999904</v>
      </c>
      <c r="Q3368">
        <v>-3.9774080000000003E-2</v>
      </c>
      <c r="R3368">
        <v>-0.80511489999999997</v>
      </c>
      <c r="S3368">
        <v>0.82243349999999904</v>
      </c>
      <c r="T3368">
        <v>-0.33675070000000001</v>
      </c>
      <c r="U3368">
        <v>-3.133804</v>
      </c>
      <c r="V3368">
        <v>0.32247779999999998</v>
      </c>
      <c r="W3368">
        <v>-3.2763269999999997E-2</v>
      </c>
      <c r="X3368">
        <v>0.94600989999999996</v>
      </c>
      <c r="Y3368">
        <v>0.6476189</v>
      </c>
      <c r="Z3368">
        <v>8.9622480000000008E-3</v>
      </c>
      <c r="AA3368">
        <v>0.76191169999999997</v>
      </c>
      <c r="AB3368">
        <v>30</v>
      </c>
      <c r="AC3368">
        <v>2.4158999999999899</v>
      </c>
      <c r="AD3368">
        <v>-1.09271949597</v>
      </c>
      <c r="AE3368">
        <v>-9.9789000000000101</v>
      </c>
      <c r="AF3368">
        <v>6.7405170423987801</v>
      </c>
      <c r="AG3368">
        <v>-1.09271949597</v>
      </c>
      <c r="AH3368">
        <v>7.5915971005442904</v>
      </c>
      <c r="AI3368">
        <v>96.143317115777194</v>
      </c>
      <c r="AJ3368">
        <v>48.398388939681297</v>
      </c>
      <c r="AK3368">
        <v>10.2108252571833</v>
      </c>
      <c r="AL3368">
        <v>91.8775330083933</v>
      </c>
      <c r="AM3368">
        <v>71.176677685521</v>
      </c>
      <c r="AN3368">
        <v>1.00000004712597</v>
      </c>
    </row>
    <row r="3369" spans="1:40" x14ac:dyDescent="0.25">
      <c r="A3369" t="str">
        <f>"20190305135858310"</f>
        <v>20190305135858310</v>
      </c>
      <c r="B3369" t="str">
        <f>"1551765538302493"</f>
        <v>1551765538302493</v>
      </c>
      <c r="C3369" t="s">
        <v>40</v>
      </c>
      <c r="D3369">
        <v>4.4686019999999997</v>
      </c>
      <c r="E3369">
        <v>0.64854480000000003</v>
      </c>
      <c r="F3369" t="s">
        <v>58</v>
      </c>
      <c r="G3369">
        <v>-192.66919999999999</v>
      </c>
      <c r="H3369" s="1">
        <v>6.4700750000000001E-6</v>
      </c>
      <c r="I3369">
        <v>201.74549999999999</v>
      </c>
      <c r="J3369">
        <v>-194.8818</v>
      </c>
      <c r="K3369">
        <v>1.092687</v>
      </c>
      <c r="L3369">
        <v>211.40719999999999</v>
      </c>
      <c r="M3369">
        <v>0.80829659999999903</v>
      </c>
      <c r="N3369">
        <v>-2.2055209999999999E-2</v>
      </c>
      <c r="O3369">
        <v>-0.5883623</v>
      </c>
      <c r="P3369">
        <v>0.57698260000000001</v>
      </c>
      <c r="Q3369">
        <v>-3.8545549999999998E-2</v>
      </c>
      <c r="R3369">
        <v>-0.81584630000000002</v>
      </c>
      <c r="S3369">
        <v>0.78117369999999997</v>
      </c>
      <c r="T3369">
        <v>-0.34764669999999998</v>
      </c>
      <c r="U3369">
        <v>-3.1347499999999999</v>
      </c>
      <c r="V3369">
        <v>0.31902960000000002</v>
      </c>
      <c r="W3369">
        <v>-3.1035790000000001E-2</v>
      </c>
      <c r="X3369">
        <v>0.94723650000000004</v>
      </c>
      <c r="Y3369">
        <v>0.64027480000000003</v>
      </c>
      <c r="Z3369">
        <v>1.23004E-2</v>
      </c>
      <c r="AA3369">
        <v>0.76804749999999999</v>
      </c>
      <c r="AB3369">
        <v>30</v>
      </c>
      <c r="AC3369">
        <v>2.2126000000000001</v>
      </c>
      <c r="AD3369">
        <v>-1.092680529925</v>
      </c>
      <c r="AE3369">
        <v>-9.6616999999999909</v>
      </c>
      <c r="AF3369">
        <v>6.43113513481177</v>
      </c>
      <c r="AG3369">
        <v>-1.092680529925</v>
      </c>
      <c r="AH3369">
        <v>7.3850849806277203</v>
      </c>
      <c r="AI3369">
        <v>96.366726000558899</v>
      </c>
      <c r="AJ3369">
        <v>48.9497555218598</v>
      </c>
      <c r="AK3369">
        <v>9.8535744800443297</v>
      </c>
      <c r="AL3369">
        <v>91.778505291604503</v>
      </c>
      <c r="AM3369">
        <v>71.386455803530197</v>
      </c>
      <c r="AN3369">
        <v>1.0000000464346599</v>
      </c>
    </row>
    <row r="3370" spans="1:40" x14ac:dyDescent="0.25">
      <c r="A3370" t="str">
        <f>"20190305135858332"</f>
        <v>20190305135858332</v>
      </c>
      <c r="B3370" t="str">
        <f>"1551765538322013"</f>
        <v>1551765538322013</v>
      </c>
      <c r="C3370" t="s">
        <v>40</v>
      </c>
      <c r="D3370">
        <v>4.4143140000000001</v>
      </c>
      <c r="E3370">
        <v>0.646121099999999</v>
      </c>
      <c r="F3370" t="s">
        <v>58</v>
      </c>
      <c r="G3370">
        <v>-192.58690000000001</v>
      </c>
      <c r="H3370" s="1">
        <v>6.52793699999999E-6</v>
      </c>
      <c r="I3370">
        <v>201.6438</v>
      </c>
      <c r="J3370">
        <v>-194.643</v>
      </c>
      <c r="K3370">
        <v>1.0926389999999999</v>
      </c>
      <c r="L3370">
        <v>211.2098</v>
      </c>
      <c r="M3370">
        <v>0.7949427</v>
      </c>
      <c r="N3370">
        <v>-2.2410800000000002E-2</v>
      </c>
      <c r="O3370">
        <v>-0.60627050000000005</v>
      </c>
      <c r="P3370">
        <v>0.5622568</v>
      </c>
      <c r="Q3370">
        <v>-3.8379219999999999E-2</v>
      </c>
      <c r="R3370">
        <v>-0.82607169999999897</v>
      </c>
      <c r="S3370">
        <v>0.73779300000000003</v>
      </c>
      <c r="T3370">
        <v>-0.35128359999999997</v>
      </c>
      <c r="U3370">
        <v>-3.1388090000000002</v>
      </c>
      <c r="V3370">
        <v>0.31488189999999999</v>
      </c>
      <c r="W3370">
        <v>-3.0370629999999999E-2</v>
      </c>
      <c r="X3370">
        <v>0.94864479999999995</v>
      </c>
      <c r="Y3370">
        <v>0.63340240000000003</v>
      </c>
      <c r="Z3370">
        <v>1.508052E-2</v>
      </c>
      <c r="AA3370">
        <v>0.77367559999999902</v>
      </c>
      <c r="AB3370">
        <v>29</v>
      </c>
      <c r="AC3370">
        <v>2.0560999999999798</v>
      </c>
      <c r="AD3370">
        <v>-1.0926324720629901</v>
      </c>
      <c r="AE3370">
        <v>-9.5660000000000007</v>
      </c>
      <c r="AF3370">
        <v>6.2811390554896596</v>
      </c>
      <c r="AG3370">
        <v>-1.0926324720629901</v>
      </c>
      <c r="AH3370">
        <v>7.3443471610287698</v>
      </c>
      <c r="AI3370">
        <v>96.450615946747106</v>
      </c>
      <c r="AJ3370">
        <v>49.4617966574801</v>
      </c>
      <c r="AK3370">
        <v>9.7255328273115893</v>
      </c>
      <c r="AL3370">
        <v>91.740376586683595</v>
      </c>
      <c r="AM3370">
        <v>71.637542397016702</v>
      </c>
      <c r="AN3370">
        <v>0.99999997134062302</v>
      </c>
    </row>
    <row r="3371" spans="1:40" x14ac:dyDescent="0.25">
      <c r="A3371" t="str">
        <f>"20190305135858353"</f>
        <v>20190305135858353</v>
      </c>
      <c r="B3371" t="str">
        <f>"1551765538342509"</f>
        <v>1551765538342509</v>
      </c>
      <c r="C3371" t="s">
        <v>40</v>
      </c>
      <c r="D3371">
        <v>4.4489340000000004</v>
      </c>
      <c r="E3371">
        <v>0.64428169999999996</v>
      </c>
      <c r="F3371" t="s">
        <v>58</v>
      </c>
      <c r="G3371">
        <v>-192.43430000000001</v>
      </c>
      <c r="H3371" s="1">
        <v>6.7023869999999998E-6</v>
      </c>
      <c r="I3371">
        <v>201.26519999999999</v>
      </c>
      <c r="J3371">
        <v>-194.43389999999999</v>
      </c>
      <c r="K3371">
        <v>1.0926020000000001</v>
      </c>
      <c r="L3371">
        <v>211.0291</v>
      </c>
      <c r="M3371">
        <v>0.78254950000000001</v>
      </c>
      <c r="N3371">
        <v>-2.2680390000000002E-2</v>
      </c>
      <c r="O3371">
        <v>-0.62217509999999998</v>
      </c>
      <c r="P3371">
        <v>0.54980779999999996</v>
      </c>
      <c r="Q3371">
        <v>-3.9034029999999997E-2</v>
      </c>
      <c r="R3371">
        <v>-0.83437879999999998</v>
      </c>
      <c r="S3371">
        <v>0.69757080000000005</v>
      </c>
      <c r="T3371">
        <v>-0.34508689999999997</v>
      </c>
      <c r="U3371">
        <v>-3.1408230000000001</v>
      </c>
      <c r="V3371">
        <v>0.30993399999999999</v>
      </c>
      <c r="W3371">
        <v>-3.056217E-2</v>
      </c>
      <c r="X3371">
        <v>0.95026670000000002</v>
      </c>
      <c r="Y3371">
        <v>0.62741309999999995</v>
      </c>
      <c r="Z3371">
        <v>1.665428E-2</v>
      </c>
      <c r="AA3371">
        <v>0.77850850000000005</v>
      </c>
      <c r="AB3371">
        <v>29</v>
      </c>
      <c r="AC3371">
        <v>1.9995999999999801</v>
      </c>
      <c r="AD3371">
        <v>-1.092595297613</v>
      </c>
      <c r="AE3371">
        <v>-9.7638999999999996</v>
      </c>
      <c r="AF3371">
        <v>6.3222988610516504</v>
      </c>
      <c r="AG3371">
        <v>-1.092595297613</v>
      </c>
      <c r="AH3371">
        <v>7.5508616538951703</v>
      </c>
      <c r="AI3371">
        <v>96.330716239740894</v>
      </c>
      <c r="AJ3371">
        <v>50.060729552563402</v>
      </c>
      <c r="AK3371">
        <v>9.9086194340627305</v>
      </c>
      <c r="AL3371">
        <v>91.751356127016294</v>
      </c>
      <c r="AM3371">
        <v>71.936017072183205</v>
      </c>
      <c r="AN3371">
        <v>0.99999996585999895</v>
      </c>
    </row>
    <row r="3372" spans="1:40" x14ac:dyDescent="0.25">
      <c r="A3372" t="str">
        <f>"20190305135858375"</f>
        <v>20190305135858375</v>
      </c>
      <c r="B3372" t="str">
        <f>"1551765538372766"</f>
        <v>1551765538372766</v>
      </c>
      <c r="C3372" t="s">
        <v>40</v>
      </c>
      <c r="D3372">
        <v>4.4574959999999999</v>
      </c>
      <c r="E3372">
        <v>0.64157089999999894</v>
      </c>
      <c r="F3372" t="s">
        <v>58</v>
      </c>
      <c r="G3372">
        <v>-192.37200000000001</v>
      </c>
      <c r="H3372" s="1">
        <v>6.7285809999999999E-6</v>
      </c>
      <c r="I3372">
        <v>201.2379</v>
      </c>
      <c r="J3372">
        <v>-194.21610000000001</v>
      </c>
      <c r="K3372">
        <v>1.0925419999999999</v>
      </c>
      <c r="L3372">
        <v>210.83240000000001</v>
      </c>
      <c r="M3372">
        <v>0.76888469999999998</v>
      </c>
      <c r="N3372">
        <v>-2.2905720000000001E-2</v>
      </c>
      <c r="O3372">
        <v>-0.63897709999999996</v>
      </c>
      <c r="P3372">
        <v>0.53593029999999997</v>
      </c>
      <c r="Q3372">
        <v>-4.0649680000000001E-2</v>
      </c>
      <c r="R3372">
        <v>-0.84328329999999996</v>
      </c>
      <c r="S3372">
        <v>0.66188049999999998</v>
      </c>
      <c r="T3372">
        <v>-0.3507208</v>
      </c>
      <c r="U3372">
        <v>-3.1429290000000001</v>
      </c>
      <c r="V3372">
        <v>0.30495159999999999</v>
      </c>
      <c r="W3372">
        <v>-3.1758439999999999E-2</v>
      </c>
      <c r="X3372">
        <v>0.95183819999999997</v>
      </c>
      <c r="Y3372">
        <v>0.61911930000000004</v>
      </c>
      <c r="Z3372">
        <v>1.9797660000000002E-2</v>
      </c>
      <c r="AA3372">
        <v>0.78504739999999995</v>
      </c>
      <c r="AB3372">
        <v>29</v>
      </c>
      <c r="AC3372">
        <v>1.8440999999999901</v>
      </c>
      <c r="AD3372">
        <v>-1.092535271419</v>
      </c>
      <c r="AE3372">
        <v>-9.5945</v>
      </c>
      <c r="AF3372">
        <v>6.1237773898001198</v>
      </c>
      <c r="AG3372">
        <v>-1.092535271419</v>
      </c>
      <c r="AH3372">
        <v>7.4572958726926304</v>
      </c>
      <c r="AI3372">
        <v>96.459663833109602</v>
      </c>
      <c r="AJ3372">
        <v>50.607866597635301</v>
      </c>
      <c r="AK3372">
        <v>9.7111041891228993</v>
      </c>
      <c r="AL3372">
        <v>91.819930560653603</v>
      </c>
      <c r="AM3372">
        <v>72.235488981239996</v>
      </c>
      <c r="AN3372">
        <v>1.0000000179165101</v>
      </c>
    </row>
    <row r="3373" spans="1:40" x14ac:dyDescent="0.25">
      <c r="A3373" t="str">
        <f>"20190305135858398"</f>
        <v>20190305135858398</v>
      </c>
      <c r="B3373" t="str">
        <f>"1551765538392295"</f>
        <v>1551765538392295</v>
      </c>
      <c r="C3373" t="s">
        <v>40</v>
      </c>
      <c r="D3373">
        <v>4.460242</v>
      </c>
      <c r="E3373">
        <v>0.64004949999999905</v>
      </c>
      <c r="F3373" t="s">
        <v>58</v>
      </c>
      <c r="G3373">
        <v>-192.3075</v>
      </c>
      <c r="H3373" s="1">
        <v>6.7327080000000002E-6</v>
      </c>
      <c r="I3373">
        <v>201.2748</v>
      </c>
      <c r="J3373">
        <v>-193.99760000000001</v>
      </c>
      <c r="K3373">
        <v>1.0924670000000001</v>
      </c>
      <c r="L3373">
        <v>210.6258</v>
      </c>
      <c r="M3373">
        <v>0.75434019999999902</v>
      </c>
      <c r="N3373">
        <v>-2.3055269999999999E-2</v>
      </c>
      <c r="O3373">
        <v>-0.65607869999999902</v>
      </c>
      <c r="P3373">
        <v>0.52266170000000001</v>
      </c>
      <c r="Q3373">
        <v>-4.1702210000000003E-2</v>
      </c>
      <c r="R3373">
        <v>-0.85151980000000005</v>
      </c>
      <c r="S3373">
        <v>0.62736510000000001</v>
      </c>
      <c r="T3373">
        <v>-0.35910989999999998</v>
      </c>
      <c r="U3373">
        <v>-3.1415099999999998</v>
      </c>
      <c r="V3373">
        <v>0.29840359999999899</v>
      </c>
      <c r="W3373">
        <v>-3.2387779999999998E-2</v>
      </c>
      <c r="X3373">
        <v>0.95389009999999996</v>
      </c>
      <c r="Y3373">
        <v>0.60969719999999905</v>
      </c>
      <c r="Z3373">
        <v>2.3605589999999999E-2</v>
      </c>
      <c r="AA3373">
        <v>0.79228290000000001</v>
      </c>
      <c r="AB3373">
        <v>29</v>
      </c>
      <c r="AC3373">
        <v>1.6900999999999999</v>
      </c>
      <c r="AD3373">
        <v>-1.0924602672920001</v>
      </c>
      <c r="AE3373">
        <v>-9.3510000000000009</v>
      </c>
      <c r="AF3373">
        <v>5.8690063981848999</v>
      </c>
      <c r="AG3373">
        <v>-1.0924602672920001</v>
      </c>
      <c r="AH3373">
        <v>7.3151873608147797</v>
      </c>
      <c r="AI3373">
        <v>96.644155010306093</v>
      </c>
      <c r="AJ3373">
        <v>51.259777536209299</v>
      </c>
      <c r="AK3373">
        <v>9.4419633372181302</v>
      </c>
      <c r="AL3373">
        <v>91.856007680801994</v>
      </c>
      <c r="AM3373">
        <v>72.6288522144078</v>
      </c>
      <c r="AN3373">
        <v>0.99999999983214904</v>
      </c>
    </row>
    <row r="3374" spans="1:40" x14ac:dyDescent="0.25">
      <c r="A3374" t="str">
        <f>"20190305135858432"</f>
        <v>20190305135858432</v>
      </c>
      <c r="B3374" t="str">
        <f>"1551765538422542"</f>
        <v>1551765538422542</v>
      </c>
      <c r="C3374" t="s">
        <v>40</v>
      </c>
      <c r="D3374">
        <v>4.4674170000000002</v>
      </c>
      <c r="E3374">
        <v>0.6373799</v>
      </c>
      <c r="F3374" t="s">
        <v>58</v>
      </c>
      <c r="G3374">
        <v>-192.24189999999999</v>
      </c>
      <c r="H3374" s="1">
        <v>6.7642539999999998E-6</v>
      </c>
      <c r="I3374">
        <v>201.23500000000001</v>
      </c>
      <c r="J3374">
        <v>-193.68530000000001</v>
      </c>
      <c r="K3374">
        <v>1.092276</v>
      </c>
      <c r="L3374">
        <v>210.31129999999999</v>
      </c>
      <c r="M3374">
        <v>0.73183849999999995</v>
      </c>
      <c r="N3374">
        <v>-2.3024200000000002E-2</v>
      </c>
      <c r="O3374">
        <v>-0.68108919999999995</v>
      </c>
      <c r="P3374">
        <v>0.49848379999999998</v>
      </c>
      <c r="Q3374">
        <v>-4.2657479999999998E-2</v>
      </c>
      <c r="R3374">
        <v>-0.86584889999999903</v>
      </c>
      <c r="S3374">
        <v>0.58787539999999905</v>
      </c>
      <c r="T3374">
        <v>-0.36578820000000001</v>
      </c>
      <c r="U3374">
        <v>-3.144333</v>
      </c>
      <c r="V3374">
        <v>0.29307949999999999</v>
      </c>
      <c r="W3374">
        <v>-3.3185180000000002E-2</v>
      </c>
      <c r="X3374">
        <v>0.95551200000000003</v>
      </c>
      <c r="Y3374">
        <v>0.59276180000000001</v>
      </c>
      <c r="Z3374">
        <v>2.9022940000000001E-2</v>
      </c>
      <c r="AA3374">
        <v>0.80485469999999903</v>
      </c>
      <c r="AB3374">
        <v>29</v>
      </c>
      <c r="AC3374">
        <v>1.44340000000002</v>
      </c>
      <c r="AD3374">
        <v>-1.092269235746</v>
      </c>
      <c r="AE3374">
        <v>-9.0762999999999696</v>
      </c>
      <c r="AF3374">
        <v>5.5819554103296598</v>
      </c>
      <c r="AG3374">
        <v>-1.092269235746</v>
      </c>
      <c r="AH3374">
        <v>7.1391817162358002</v>
      </c>
      <c r="AI3374">
        <v>96.872610593725696</v>
      </c>
      <c r="AJ3374">
        <v>51.978998623601903</v>
      </c>
      <c r="AK3374">
        <v>9.1279348082521494</v>
      </c>
      <c r="AL3374">
        <v>91.901719882060107</v>
      </c>
      <c r="AM3374">
        <v>72.947909642123705</v>
      </c>
      <c r="AN3374">
        <v>1.0000000158179401</v>
      </c>
    </row>
    <row r="3375" spans="1:40" x14ac:dyDescent="0.25">
      <c r="A3375" t="str">
        <f>"20190305135858456"</f>
        <v>20190305135858456</v>
      </c>
      <c r="B3375" t="str">
        <f>"1551765538452798"</f>
        <v>1551765538452798</v>
      </c>
      <c r="C3375" t="s">
        <v>40</v>
      </c>
      <c r="D3375">
        <v>4.4579469999999999</v>
      </c>
      <c r="E3375">
        <v>0.63523680000000005</v>
      </c>
      <c r="F3375" t="s">
        <v>58</v>
      </c>
      <c r="G3375">
        <v>-192.16890000000001</v>
      </c>
      <c r="H3375" s="1">
        <v>6.839778E-6</v>
      </c>
      <c r="I3375">
        <v>201.0762</v>
      </c>
      <c r="J3375">
        <v>-193.4632</v>
      </c>
      <c r="K3375">
        <v>1.09209</v>
      </c>
      <c r="L3375">
        <v>210.0746</v>
      </c>
      <c r="M3375">
        <v>0.714615</v>
      </c>
      <c r="N3375">
        <v>-2.2802780000000002E-2</v>
      </c>
      <c r="O3375">
        <v>-0.69914639999999995</v>
      </c>
      <c r="P3375">
        <v>0.47930859999999897</v>
      </c>
      <c r="Q3375">
        <v>-4.4210619999999999E-2</v>
      </c>
      <c r="R3375">
        <v>-0.87653239999999999</v>
      </c>
      <c r="S3375">
        <v>0.51702879999999996</v>
      </c>
      <c r="T3375">
        <v>-0.37242130000000001</v>
      </c>
      <c r="U3375">
        <v>-3.148819</v>
      </c>
      <c r="V3375">
        <v>0.29012500000000002</v>
      </c>
      <c r="W3375">
        <v>-3.4866000000000001E-2</v>
      </c>
      <c r="X3375">
        <v>0.95635340000000002</v>
      </c>
      <c r="Y3375">
        <v>0.59047810000000001</v>
      </c>
      <c r="Z3375">
        <v>3.2881359999999998E-2</v>
      </c>
      <c r="AA3375">
        <v>0.80638359999999998</v>
      </c>
      <c r="AB3375">
        <v>29</v>
      </c>
      <c r="AC3375">
        <v>1.29429999999999</v>
      </c>
      <c r="AD3375">
        <v>-1.092083160222</v>
      </c>
      <c r="AE3375">
        <v>-8.9984000000000002</v>
      </c>
      <c r="AF3375">
        <v>5.4483000404785198</v>
      </c>
      <c r="AG3375">
        <v>-1.092083160222</v>
      </c>
      <c r="AH3375">
        <v>7.1153219716308698</v>
      </c>
      <c r="AI3375">
        <v>96.947885300217607</v>
      </c>
      <c r="AJ3375">
        <v>52.558221884154001</v>
      </c>
      <c r="AK3375">
        <v>9.0279801572606306</v>
      </c>
      <c r="AL3375">
        <v>91.9980796323091</v>
      </c>
      <c r="AM3375">
        <v>73.123992308325001</v>
      </c>
      <c r="AN3375">
        <v>0.99999998963628001</v>
      </c>
    </row>
    <row r="3376" spans="1:40" x14ac:dyDescent="0.25">
      <c r="A3376" t="str">
        <f>"20190305135858476"</f>
        <v>20190305135858476</v>
      </c>
      <c r="B3376" t="str">
        <f>"1551765538472317"</f>
        <v>1551765538472317</v>
      </c>
      <c r="C3376" t="s">
        <v>40</v>
      </c>
      <c r="D3376">
        <v>4.4387949999999998</v>
      </c>
      <c r="E3376">
        <v>0.63378350000000006</v>
      </c>
      <c r="F3376" t="s">
        <v>58</v>
      </c>
      <c r="G3376">
        <v>-192.1335</v>
      </c>
      <c r="H3376" s="1">
        <v>6.8761820000000003E-6</v>
      </c>
      <c r="I3376">
        <v>200.9999</v>
      </c>
      <c r="J3376">
        <v>-193.28919999999999</v>
      </c>
      <c r="K3376">
        <v>1.091942</v>
      </c>
      <c r="L3376">
        <v>209.87979999999999</v>
      </c>
      <c r="M3376">
        <v>0.70036049999999905</v>
      </c>
      <c r="N3376">
        <v>-2.252794E-2</v>
      </c>
      <c r="O3376">
        <v>-0.71343389999999995</v>
      </c>
      <c r="P3376">
        <v>0.46351740000000002</v>
      </c>
      <c r="Q3376">
        <v>-4.6500449999999999E-2</v>
      </c>
      <c r="R3376">
        <v>-0.88486719999999897</v>
      </c>
      <c r="S3376">
        <v>0.46171570000000001</v>
      </c>
      <c r="T3376">
        <v>-0.3792007</v>
      </c>
      <c r="U3376">
        <v>-3.15097</v>
      </c>
      <c r="V3376">
        <v>0.28777219999999998</v>
      </c>
      <c r="W3376">
        <v>-3.7341359999999997E-2</v>
      </c>
      <c r="X3376">
        <v>0.9569706</v>
      </c>
      <c r="Y3376">
        <v>0.58813319999999902</v>
      </c>
      <c r="Z3376">
        <v>3.640856E-2</v>
      </c>
      <c r="AA3376">
        <v>0.807944199999999</v>
      </c>
      <c r="AB3376">
        <v>28</v>
      </c>
      <c r="AC3376">
        <v>1.15569999999999</v>
      </c>
      <c r="AD3376">
        <v>-1.091935123818</v>
      </c>
      <c r="AE3376">
        <v>-8.8798999999999904</v>
      </c>
      <c r="AF3376">
        <v>5.31692676814931</v>
      </c>
      <c r="AG3376">
        <v>-1.091935123818</v>
      </c>
      <c r="AH3376">
        <v>7.0417371782614797</v>
      </c>
      <c r="AI3376">
        <v>97.054587646356893</v>
      </c>
      <c r="AJ3376">
        <v>52.945043768702</v>
      </c>
      <c r="AK3376">
        <v>8.8908995641723507</v>
      </c>
      <c r="AL3376">
        <v>92.139999912039301</v>
      </c>
      <c r="AM3376">
        <v>73.263355706869007</v>
      </c>
      <c r="AN3376">
        <v>0.99999997276192398</v>
      </c>
    </row>
    <row r="3377" spans="1:40" x14ac:dyDescent="0.25">
      <c r="A3377" t="str">
        <f>"20190305135858500"</f>
        <v>20190305135858500</v>
      </c>
      <c r="B3377" t="str">
        <f>"1551765538492817"</f>
        <v>1551765538492817</v>
      </c>
      <c r="C3377" t="s">
        <v>40</v>
      </c>
      <c r="D3377">
        <v>4.4451769999999904</v>
      </c>
      <c r="E3377">
        <v>0.63316070000000002</v>
      </c>
      <c r="F3377" t="s">
        <v>58</v>
      </c>
      <c r="G3377">
        <v>-192.11680000000001</v>
      </c>
      <c r="H3377" s="1">
        <v>6.8911510000000003E-6</v>
      </c>
      <c r="I3377">
        <v>200.9701</v>
      </c>
      <c r="J3377">
        <v>-193.08959999999999</v>
      </c>
      <c r="K3377">
        <v>1.091836</v>
      </c>
      <c r="L3377">
        <v>209.64570000000001</v>
      </c>
      <c r="M3377">
        <v>0.683199</v>
      </c>
      <c r="N3377">
        <v>-2.2152350000000001E-2</v>
      </c>
      <c r="O3377">
        <v>-0.7298964</v>
      </c>
      <c r="P3377">
        <v>0.44435059999999899</v>
      </c>
      <c r="Q3377">
        <v>-4.8442609999999997E-2</v>
      </c>
      <c r="R3377">
        <v>-0.89454259999999997</v>
      </c>
      <c r="S3377">
        <v>0.4148712</v>
      </c>
      <c r="T3377">
        <v>-0.38638699999999998</v>
      </c>
      <c r="U3377">
        <v>-3.1527250000000002</v>
      </c>
      <c r="V3377">
        <v>0.28545540000000003</v>
      </c>
      <c r="W3377">
        <v>-3.9541519999999997E-2</v>
      </c>
      <c r="X3377">
        <v>0.95757590000000004</v>
      </c>
      <c r="Y3377">
        <v>0.58079360000000002</v>
      </c>
      <c r="Z3377">
        <v>4.083738E-2</v>
      </c>
      <c r="AA3377">
        <v>0.81302589999999997</v>
      </c>
      <c r="AB3377">
        <v>28</v>
      </c>
      <c r="AC3377">
        <v>0.97279999999997802</v>
      </c>
      <c r="AD3377">
        <v>-1.091829108849</v>
      </c>
      <c r="AE3377">
        <v>-8.6755999999999993</v>
      </c>
      <c r="AF3377">
        <v>5.1380301549220899</v>
      </c>
      <c r="AG3377">
        <v>-1.091829108849</v>
      </c>
      <c r="AH3377">
        <v>6.8908369909933098</v>
      </c>
      <c r="AI3377">
        <v>97.2391151951892</v>
      </c>
      <c r="AJ3377">
        <v>53.290601475265099</v>
      </c>
      <c r="AK3377">
        <v>8.6645876481377098</v>
      </c>
      <c r="AL3377">
        <v>92.266153096111097</v>
      </c>
      <c r="AM3377">
        <v>73.400570064128104</v>
      </c>
      <c r="AN3377">
        <v>0.99999996072693897</v>
      </c>
    </row>
    <row r="3378" spans="1:40" x14ac:dyDescent="0.25">
      <c r="A3378" t="str">
        <f>"20190305135858524"</f>
        <v>20190305135858524</v>
      </c>
      <c r="B3378" t="str">
        <f>"1551765538512333"</f>
        <v>1551765538512333</v>
      </c>
      <c r="C3378" t="s">
        <v>40</v>
      </c>
      <c r="D3378">
        <v>4.489935</v>
      </c>
      <c r="E3378">
        <v>0.61300359999999998</v>
      </c>
      <c r="F3378" t="s">
        <v>58</v>
      </c>
      <c r="G3378">
        <v>-192.1113</v>
      </c>
      <c r="H3378" s="1">
        <v>6.9377569999999998E-6</v>
      </c>
      <c r="I3378">
        <v>200.8424</v>
      </c>
      <c r="J3378">
        <v>-192.89609999999999</v>
      </c>
      <c r="K3378">
        <v>1.0917969999999999</v>
      </c>
      <c r="L3378">
        <v>209.4066</v>
      </c>
      <c r="M3378">
        <v>0.66568530000000004</v>
      </c>
      <c r="N3378">
        <v>-2.1747889999999999E-2</v>
      </c>
      <c r="O3378">
        <v>-0.74591549999999995</v>
      </c>
      <c r="P3378">
        <v>0.42542219999999997</v>
      </c>
      <c r="Q3378">
        <v>-4.847038E-2</v>
      </c>
      <c r="R3378">
        <v>-0.90369639999999996</v>
      </c>
      <c r="S3378">
        <v>0.35096739999999998</v>
      </c>
      <c r="T3378">
        <v>-0.39168969999999997</v>
      </c>
      <c r="U3378">
        <v>-3.1581419999999998</v>
      </c>
      <c r="V3378">
        <v>0.2828696</v>
      </c>
      <c r="W3378">
        <v>-3.9797659999999999E-2</v>
      </c>
      <c r="X3378">
        <v>0.95833239999999997</v>
      </c>
      <c r="Y3378">
        <v>0.57792080000000001</v>
      </c>
      <c r="Z3378">
        <v>4.4713820000000001E-2</v>
      </c>
      <c r="AA3378">
        <v>0.81486700000000001</v>
      </c>
      <c r="AB3378">
        <v>28</v>
      </c>
      <c r="AC3378">
        <v>0.78479999999998995</v>
      </c>
      <c r="AD3378">
        <v>-1.0917900622429999</v>
      </c>
      <c r="AE3378">
        <v>-8.5641999999999996</v>
      </c>
      <c r="AF3378">
        <v>5.0357196344958703</v>
      </c>
      <c r="AG3378">
        <v>-1.0917900622429999</v>
      </c>
      <c r="AH3378">
        <v>6.8026001308271802</v>
      </c>
      <c r="AI3378">
        <v>97.350399125436297</v>
      </c>
      <c r="AJ3378">
        <v>53.4887881119827</v>
      </c>
      <c r="AK3378">
        <v>8.5338060862190801</v>
      </c>
      <c r="AL3378">
        <v>92.280840248408197</v>
      </c>
      <c r="AM3378">
        <v>73.555056285137397</v>
      </c>
      <c r="AN3378">
        <v>1.0000000266176901</v>
      </c>
    </row>
    <row r="3379" spans="1:40" x14ac:dyDescent="0.25">
      <c r="A3379" t="str">
        <f>"20190305135858543"</f>
        <v>20190305135858543</v>
      </c>
      <c r="B3379" t="str">
        <f>"1551765538531853"</f>
        <v>1551765538531853</v>
      </c>
      <c r="C3379" t="s">
        <v>40</v>
      </c>
      <c r="D3379">
        <v>4.4597150000000001</v>
      </c>
      <c r="E3379">
        <v>0.61167050000000001</v>
      </c>
      <c r="F3379" t="s">
        <v>58</v>
      </c>
      <c r="G3379">
        <v>-191.64609999999999</v>
      </c>
      <c r="H3379" s="1">
        <v>7.2020790000000001E-6</v>
      </c>
      <c r="I3379">
        <v>200.44489999999999</v>
      </c>
      <c r="J3379">
        <v>-192.73869999999999</v>
      </c>
      <c r="K3379">
        <v>1.0918049999999999</v>
      </c>
      <c r="L3379">
        <v>209.20349999999999</v>
      </c>
      <c r="M3379">
        <v>0.65079390000000004</v>
      </c>
      <c r="N3379">
        <v>-2.140394E-2</v>
      </c>
      <c r="O3379">
        <v>-0.75895259999999998</v>
      </c>
      <c r="P3379">
        <v>0.41092010000000001</v>
      </c>
      <c r="Q3379">
        <v>-4.7699690000000003E-2</v>
      </c>
      <c r="R3379">
        <v>-0.91042290000000003</v>
      </c>
      <c r="S3379">
        <v>0.43188480000000001</v>
      </c>
      <c r="T3379">
        <v>-0.3771986</v>
      </c>
      <c r="U3379">
        <v>-3.0961609999999999</v>
      </c>
      <c r="V3379">
        <v>0.27927729999999901</v>
      </c>
      <c r="W3379">
        <v>-3.9128179999999999E-2</v>
      </c>
      <c r="X3379">
        <v>0.95941290000000001</v>
      </c>
      <c r="Y3379">
        <v>0.53866740000000002</v>
      </c>
      <c r="Z3379">
        <v>4.7999630000000001E-2</v>
      </c>
      <c r="AA3379">
        <v>0.84114999999999995</v>
      </c>
      <c r="AB3379">
        <v>28</v>
      </c>
      <c r="AC3379">
        <v>1.0926</v>
      </c>
      <c r="AD3379">
        <v>-1.0917977979209901</v>
      </c>
      <c r="AE3379">
        <v>-8.7585999999999995</v>
      </c>
      <c r="AF3379">
        <v>4.7985081426555398</v>
      </c>
      <c r="AG3379">
        <v>-1.0917977979209901</v>
      </c>
      <c r="AH3379">
        <v>7.2491892092236601</v>
      </c>
      <c r="AI3379">
        <v>97.158200214235507</v>
      </c>
      <c r="AJ3379">
        <v>56.497941937654602</v>
      </c>
      <c r="AK3379">
        <v>8.7617604976283996</v>
      </c>
      <c r="AL3379">
        <v>92.242452097022195</v>
      </c>
      <c r="AM3379">
        <v>73.7701511554489</v>
      </c>
      <c r="AN3379">
        <v>0.99999996872590502</v>
      </c>
    </row>
    <row r="3380" spans="1:40" x14ac:dyDescent="0.25">
      <c r="A3380" t="str">
        <f>"20190305135858566"</f>
        <v>20190305135858566</v>
      </c>
      <c r="B3380" t="str">
        <f>"1551765538562109"</f>
        <v>1551765538562109</v>
      </c>
      <c r="C3380" t="s">
        <v>40</v>
      </c>
      <c r="D3380">
        <v>4.4787759999999999</v>
      </c>
      <c r="E3380">
        <v>0.60936889999999999</v>
      </c>
      <c r="F3380" t="s">
        <v>58</v>
      </c>
      <c r="G3380">
        <v>-191.62139999999999</v>
      </c>
      <c r="H3380" s="1">
        <v>7.2396659999999998E-6</v>
      </c>
      <c r="I3380">
        <v>200.3571</v>
      </c>
      <c r="J3380">
        <v>-192.5659</v>
      </c>
      <c r="K3380">
        <v>1.0918650000000001</v>
      </c>
      <c r="L3380">
        <v>208.97020000000001</v>
      </c>
      <c r="M3380">
        <v>0.63372519999999999</v>
      </c>
      <c r="N3380">
        <v>-2.1020279999999999E-2</v>
      </c>
      <c r="O3380">
        <v>-0.77327259999999998</v>
      </c>
      <c r="P3380">
        <v>0.39471780000000001</v>
      </c>
      <c r="Q3380">
        <v>-4.8838930000000003E-2</v>
      </c>
      <c r="R3380">
        <v>-0.91750350000000003</v>
      </c>
      <c r="S3380">
        <v>0.39135740000000002</v>
      </c>
      <c r="T3380">
        <v>-0.38240930000000001</v>
      </c>
      <c r="U3380">
        <v>-3.0985109999999998</v>
      </c>
      <c r="V3380">
        <v>0.27481899999999998</v>
      </c>
      <c r="W3380">
        <v>-4.0336520000000001E-2</v>
      </c>
      <c r="X3380">
        <v>0.96064950000000005</v>
      </c>
      <c r="Y3380">
        <v>0.53084779999999998</v>
      </c>
      <c r="Z3380">
        <v>5.1967289999999999E-2</v>
      </c>
      <c r="AA3380">
        <v>0.84587230000000002</v>
      </c>
      <c r="AB3380">
        <v>28</v>
      </c>
      <c r="AC3380">
        <v>0.944500000000005</v>
      </c>
      <c r="AD3380">
        <v>-1.0918577603339901</v>
      </c>
      <c r="AE3380">
        <v>-8.6130999999999993</v>
      </c>
      <c r="AF3380">
        <v>4.6551091736545596</v>
      </c>
      <c r="AG3380">
        <v>-1.0918577603339901</v>
      </c>
      <c r="AH3380">
        <v>7.1469458656827101</v>
      </c>
      <c r="AI3380">
        <v>97.294909937733195</v>
      </c>
      <c r="AJ3380">
        <v>56.9220944193031</v>
      </c>
      <c r="AK3380">
        <v>8.5988970219699503</v>
      </c>
      <c r="AL3380">
        <v>92.311739549359402</v>
      </c>
      <c r="AM3380">
        <v>74.0354324761783</v>
      </c>
      <c r="AN3380">
        <v>0.99999998972848003</v>
      </c>
    </row>
    <row r="3381" spans="1:40" x14ac:dyDescent="0.25">
      <c r="A3381" t="str">
        <f>"20190305135858589"</f>
        <v>20190305135858589</v>
      </c>
      <c r="B3381" t="str">
        <f>"1551765538582605"</f>
        <v>1551765538582605</v>
      </c>
      <c r="C3381" t="s">
        <v>40</v>
      </c>
      <c r="D3381">
        <v>4.4733530000000004</v>
      </c>
      <c r="E3381">
        <v>0.60801359999999904</v>
      </c>
      <c r="F3381" t="s">
        <v>58</v>
      </c>
      <c r="G3381">
        <v>-191.56960000000001</v>
      </c>
      <c r="H3381" s="1">
        <v>7.3002029999999999E-6</v>
      </c>
      <c r="I3381">
        <v>200.22479999999999</v>
      </c>
      <c r="J3381">
        <v>-192.38910000000001</v>
      </c>
      <c r="K3381">
        <v>1.0919840000000001</v>
      </c>
      <c r="L3381">
        <v>208.71979999999999</v>
      </c>
      <c r="M3381">
        <v>0.61547079999999998</v>
      </c>
      <c r="N3381">
        <v>-2.0627220000000002E-2</v>
      </c>
      <c r="O3381">
        <v>-0.78788979999999997</v>
      </c>
      <c r="P3381">
        <v>0.37757980000000002</v>
      </c>
      <c r="Q3381">
        <v>-4.998561E-2</v>
      </c>
      <c r="R3381">
        <v>-0.92462719999999998</v>
      </c>
      <c r="S3381">
        <v>0.35285949999999999</v>
      </c>
      <c r="T3381">
        <v>-0.38670300000000002</v>
      </c>
      <c r="U3381">
        <v>-3.0973660000000001</v>
      </c>
      <c r="V3381">
        <v>0.27014329999999998</v>
      </c>
      <c r="W3381">
        <v>-4.1520389999999997E-2</v>
      </c>
      <c r="X3381">
        <v>0.96192449999999996</v>
      </c>
      <c r="Y3381">
        <v>0.52140659999999905</v>
      </c>
      <c r="Z3381">
        <v>5.6056590000000003E-2</v>
      </c>
      <c r="AA3381">
        <v>0.85146509999999997</v>
      </c>
      <c r="AB3381">
        <v>28</v>
      </c>
      <c r="AC3381">
        <v>0.819500000000005</v>
      </c>
      <c r="AD3381">
        <v>-1.091976699797</v>
      </c>
      <c r="AE3381">
        <v>-8.4949999999999992</v>
      </c>
      <c r="AF3381">
        <v>4.5098919650539999</v>
      </c>
      <c r="AG3381">
        <v>-1.091976699797</v>
      </c>
      <c r="AH3381">
        <v>7.0830758892139798</v>
      </c>
      <c r="AI3381">
        <v>97.409399645021097</v>
      </c>
      <c r="AJ3381">
        <v>57.514531062369002</v>
      </c>
      <c r="AK3381">
        <v>8.4676739841424293</v>
      </c>
      <c r="AL3381">
        <v>92.379627062534198</v>
      </c>
      <c r="AM3381">
        <v>74.313331242174897</v>
      </c>
      <c r="AN3381">
        <v>1.00000004451044</v>
      </c>
    </row>
    <row r="3382" spans="1:40" x14ac:dyDescent="0.25">
      <c r="A3382" t="str">
        <f>"20190305135858611"</f>
        <v>20190305135858611</v>
      </c>
      <c r="B3382" t="str">
        <f>"1551765538602129"</f>
        <v>1551765538602129</v>
      </c>
      <c r="C3382" t="s">
        <v>40</v>
      </c>
      <c r="D3382">
        <v>4.4016890000000002</v>
      </c>
      <c r="E3382">
        <v>0.60703219999999902</v>
      </c>
      <c r="F3382" t="s">
        <v>58</v>
      </c>
      <c r="G3382">
        <v>-191.53880000000001</v>
      </c>
      <c r="H3382" s="1">
        <v>7.3611749999999999E-6</v>
      </c>
      <c r="I3382">
        <v>200.07560000000001</v>
      </c>
      <c r="J3382">
        <v>-192.22790000000001</v>
      </c>
      <c r="K3382">
        <v>1.092144</v>
      </c>
      <c r="L3382">
        <v>208.48050000000001</v>
      </c>
      <c r="M3382">
        <v>0.59813260000000001</v>
      </c>
      <c r="N3382">
        <v>-2.02688E-2</v>
      </c>
      <c r="O3382">
        <v>-0.80114090000000004</v>
      </c>
      <c r="P3382">
        <v>0.36108950000000001</v>
      </c>
      <c r="Q3382">
        <v>-5.1184279999999999E-2</v>
      </c>
      <c r="R3382">
        <v>-0.9311256</v>
      </c>
      <c r="S3382">
        <v>0.30482480000000001</v>
      </c>
      <c r="T3382">
        <v>-0.39146999999999998</v>
      </c>
      <c r="U3382">
        <v>-3.0989230000000001</v>
      </c>
      <c r="V3382">
        <v>0.26616489999999998</v>
      </c>
      <c r="W3382">
        <v>-4.2742559999999999E-2</v>
      </c>
      <c r="X3382">
        <v>0.96297940000000004</v>
      </c>
      <c r="Y3382">
        <v>0.51593279999999997</v>
      </c>
      <c r="Z3382">
        <v>5.9800600000000002E-2</v>
      </c>
      <c r="AA3382">
        <v>0.85453919999999906</v>
      </c>
      <c r="AB3382">
        <v>28</v>
      </c>
      <c r="AC3382">
        <v>0.68909999999999605</v>
      </c>
      <c r="AD3382">
        <v>-1.092136638825</v>
      </c>
      <c r="AE3382">
        <v>-8.4048999999999907</v>
      </c>
      <c r="AF3382">
        <v>4.4022638247494399</v>
      </c>
      <c r="AG3382">
        <v>-1.092136638825</v>
      </c>
      <c r="AH3382">
        <v>7.0292567847488803</v>
      </c>
      <c r="AI3382">
        <v>97.5014347156947</v>
      </c>
      <c r="AJ3382">
        <v>57.942021169246701</v>
      </c>
      <c r="AK3382">
        <v>8.36559263689667</v>
      </c>
      <c r="AL3382">
        <v>92.4497145816715</v>
      </c>
      <c r="AM3382">
        <v>74.549345131117903</v>
      </c>
      <c r="AN3382">
        <v>1.00000000262586</v>
      </c>
    </row>
    <row r="3383" spans="1:40" x14ac:dyDescent="0.25">
      <c r="A3383" t="str">
        <f>"20190305135858632"</f>
        <v>20190305135858632</v>
      </c>
      <c r="B3383" t="str">
        <f>"1551765538622621"</f>
        <v>1551765538622621</v>
      </c>
      <c r="C3383" t="s">
        <v>40</v>
      </c>
      <c r="D3383">
        <v>4.400569</v>
      </c>
      <c r="E3383">
        <v>0.60597809999999996</v>
      </c>
      <c r="F3383" t="s">
        <v>58</v>
      </c>
      <c r="G3383">
        <v>-191.50530000000001</v>
      </c>
      <c r="H3383" s="1">
        <v>7.4697940000000003E-6</v>
      </c>
      <c r="I3383">
        <v>199.79349999999999</v>
      </c>
      <c r="J3383">
        <v>-192.08080000000001</v>
      </c>
      <c r="K3383">
        <v>1.092344</v>
      </c>
      <c r="L3383">
        <v>208.25190000000001</v>
      </c>
      <c r="M3383">
        <v>0.58172209999999902</v>
      </c>
      <c r="N3383">
        <v>-1.994162E-2</v>
      </c>
      <c r="O3383">
        <v>-0.81314330000000001</v>
      </c>
      <c r="P3383">
        <v>0.34482639999999998</v>
      </c>
      <c r="Q3383">
        <v>-5.3759630000000003E-2</v>
      </c>
      <c r="R3383">
        <v>-0.93712600000000001</v>
      </c>
      <c r="S3383">
        <v>0.25788879999999997</v>
      </c>
      <c r="T3383">
        <v>-0.38979170000000002</v>
      </c>
      <c r="U3383">
        <v>-3.1004489999999998</v>
      </c>
      <c r="V3383">
        <v>0.26317160000000001</v>
      </c>
      <c r="W3383">
        <v>-4.5351200000000001E-2</v>
      </c>
      <c r="X3383">
        <v>0.9636825</v>
      </c>
      <c r="Y3383">
        <v>0.51144429999999996</v>
      </c>
      <c r="Z3383">
        <v>6.1993439999999997E-2</v>
      </c>
      <c r="AA3383">
        <v>0.85707730000000004</v>
      </c>
      <c r="AB3383">
        <v>28</v>
      </c>
      <c r="AC3383">
        <v>0.57550000000000501</v>
      </c>
      <c r="AD3383">
        <v>-1.092336530206</v>
      </c>
      <c r="AE3383">
        <v>-8.4584000000000099</v>
      </c>
      <c r="AF3383">
        <v>4.3806368021607698</v>
      </c>
      <c r="AG3383">
        <v>-1.092336530206</v>
      </c>
      <c r="AH3383">
        <v>7.0963011252842598</v>
      </c>
      <c r="AI3383">
        <v>97.462305519079905</v>
      </c>
      <c r="AJ3383">
        <v>58.312439621610501</v>
      </c>
      <c r="AK3383">
        <v>8.4107471456689602</v>
      </c>
      <c r="AL3383">
        <v>92.599323915979298</v>
      </c>
      <c r="AM3383">
        <v>74.725564257100103</v>
      </c>
      <c r="AN3383">
        <v>0.99999999159712505</v>
      </c>
    </row>
    <row r="3384" spans="1:40" x14ac:dyDescent="0.25">
      <c r="A3384" t="str">
        <f>"20190305135858655"</f>
        <v>20190305135858655</v>
      </c>
      <c r="B3384" t="str">
        <f>"1551765538651901"</f>
        <v>1551765538651901</v>
      </c>
      <c r="C3384" t="s">
        <v>40</v>
      </c>
      <c r="D3384">
        <v>4.3713280000000001</v>
      </c>
      <c r="E3384">
        <v>0.59517019999999998</v>
      </c>
      <c r="F3384" t="s">
        <v>58</v>
      </c>
      <c r="G3384">
        <v>-191.49189999999999</v>
      </c>
      <c r="H3384" s="1">
        <v>7.53258E-6</v>
      </c>
      <c r="I3384">
        <v>199.626</v>
      </c>
      <c r="J3384">
        <v>-191.92619999999999</v>
      </c>
      <c r="K3384">
        <v>1.0925959999999999</v>
      </c>
      <c r="L3384">
        <v>208.00069999999999</v>
      </c>
      <c r="M3384">
        <v>0.56386729999999996</v>
      </c>
      <c r="N3384">
        <v>-1.9598569999999999E-2</v>
      </c>
      <c r="O3384">
        <v>-0.82563279999999994</v>
      </c>
      <c r="P3384">
        <v>0.32749030000000001</v>
      </c>
      <c r="Q3384">
        <v>-5.4886079999999997E-2</v>
      </c>
      <c r="R3384">
        <v>-0.94325939999999997</v>
      </c>
      <c r="S3384">
        <v>0.21171570000000001</v>
      </c>
      <c r="T3384">
        <v>-0.39266820000000002</v>
      </c>
      <c r="U3384">
        <v>-3.1008149999999999</v>
      </c>
      <c r="V3384">
        <v>0.25987719999999997</v>
      </c>
      <c r="W3384">
        <v>-4.6480800000000003E-2</v>
      </c>
      <c r="X3384">
        <v>0.9645224</v>
      </c>
      <c r="Y3384">
        <v>0.50546250000000004</v>
      </c>
      <c r="Z3384">
        <v>6.5336599999999995E-2</v>
      </c>
      <c r="AA3384">
        <v>0.86037129999999995</v>
      </c>
      <c r="AB3384">
        <v>28</v>
      </c>
      <c r="AC3384">
        <v>0.43430000000000701</v>
      </c>
      <c r="AD3384">
        <v>-1.0925884674199999</v>
      </c>
      <c r="AE3384">
        <v>-8.3747000000000096</v>
      </c>
      <c r="AF3384">
        <v>4.2916352724292999</v>
      </c>
      <c r="AG3384">
        <v>-1.0925884674199999</v>
      </c>
      <c r="AH3384">
        <v>7.0411666891396401</v>
      </c>
      <c r="AI3384">
        <v>97.547700606198205</v>
      </c>
      <c r="AJ3384">
        <v>58.637430350676802</v>
      </c>
      <c r="AK3384">
        <v>8.3180473198310292</v>
      </c>
      <c r="AL3384">
        <v>92.6641134315893</v>
      </c>
      <c r="AM3384">
        <v>74.920540385680695</v>
      </c>
      <c r="AN3384">
        <v>1.0000000419751101</v>
      </c>
    </row>
    <row r="3385" spans="1:40" x14ac:dyDescent="0.25">
      <c r="A3385" t="str">
        <f>"20190305135858679"</f>
        <v>20190305135858679</v>
      </c>
      <c r="B3385" t="str">
        <f>"1551765538672398"</f>
        <v>1551765538672398</v>
      </c>
      <c r="C3385" t="s">
        <v>40</v>
      </c>
      <c r="D3385">
        <v>4.3187699999999998</v>
      </c>
      <c r="E3385">
        <v>0.59457329999999997</v>
      </c>
      <c r="F3385" t="s">
        <v>42</v>
      </c>
      <c r="G3385">
        <v>-191.19659999999999</v>
      </c>
      <c r="H3385" s="1">
        <v>-4.188568E-6</v>
      </c>
      <c r="I3385">
        <v>198.6713</v>
      </c>
      <c r="J3385">
        <v>-191.77160000000001</v>
      </c>
      <c r="K3385">
        <v>1.092897</v>
      </c>
      <c r="L3385">
        <v>207.7371</v>
      </c>
      <c r="M3385">
        <v>0.54539680000000001</v>
      </c>
      <c r="N3385">
        <v>-1.9258279999999999E-2</v>
      </c>
      <c r="O3385">
        <v>-0.837956699999999</v>
      </c>
      <c r="P3385">
        <v>0.30906169999999999</v>
      </c>
      <c r="Q3385">
        <v>-5.4098739999999999E-2</v>
      </c>
      <c r="R3385">
        <v>-0.94950230000000002</v>
      </c>
      <c r="S3385">
        <v>0.24053959999999999</v>
      </c>
      <c r="T3385">
        <v>-0.36024479999999998</v>
      </c>
      <c r="U3385">
        <v>-3.0760040000000002</v>
      </c>
      <c r="V3385">
        <v>0.25731979999999999</v>
      </c>
      <c r="W3385">
        <v>-4.5706499999999997E-2</v>
      </c>
      <c r="X3385">
        <v>0.96524480000000001</v>
      </c>
      <c r="Y3385">
        <v>0.47775499999999999</v>
      </c>
      <c r="Z3385">
        <v>6.2450100000000001E-2</v>
      </c>
      <c r="AA3385">
        <v>0.87627060000000001</v>
      </c>
      <c r="AB3385">
        <v>28</v>
      </c>
      <c r="AC3385">
        <v>0.57500000000001705</v>
      </c>
      <c r="AD3385">
        <v>-1.092901188568</v>
      </c>
      <c r="AE3385">
        <v>-9.0657999999999905</v>
      </c>
      <c r="AF3385">
        <v>4.3997761195489096</v>
      </c>
      <c r="AG3385">
        <v>-1.092901188568</v>
      </c>
      <c r="AH3385">
        <v>7.7989321239099301</v>
      </c>
      <c r="AI3385">
        <v>96.958635271029394</v>
      </c>
      <c r="AJ3385">
        <v>60.570434133231103</v>
      </c>
      <c r="AK3385">
        <v>9.0208539054504406</v>
      </c>
      <c r="AL3385">
        <v>92.619702101771594</v>
      </c>
      <c r="AM3385">
        <v>75.072950585826604</v>
      </c>
      <c r="AN3385">
        <v>1.00000004377066</v>
      </c>
    </row>
    <row r="3386" spans="1:40" x14ac:dyDescent="0.25">
      <c r="A3386" t="str">
        <f>"20190305135858701"</f>
        <v>20190305135858701</v>
      </c>
      <c r="B3386" t="str">
        <f>"1551765538691920"</f>
        <v>1551765538691920</v>
      </c>
      <c r="C3386" t="s">
        <v>40</v>
      </c>
      <c r="D3386">
        <v>4.272761</v>
      </c>
      <c r="E3386">
        <v>0.59355729999999995</v>
      </c>
      <c r="F3386" t="s">
        <v>42</v>
      </c>
      <c r="G3386">
        <v>-191.1833</v>
      </c>
      <c r="H3386" s="1">
        <v>-3.9366529999999997E-6</v>
      </c>
      <c r="I3386">
        <v>198.0316</v>
      </c>
      <c r="J3386">
        <v>-191.6319</v>
      </c>
      <c r="K3386">
        <v>1.09321</v>
      </c>
      <c r="L3386">
        <v>207.4863</v>
      </c>
      <c r="M3386">
        <v>0.52811189999999997</v>
      </c>
      <c r="N3386">
        <v>-1.895546E-2</v>
      </c>
      <c r="O3386">
        <v>-0.84896329999999998</v>
      </c>
      <c r="P3386">
        <v>0.2924329</v>
      </c>
      <c r="Q3386">
        <v>-5.2500709999999999E-2</v>
      </c>
      <c r="R3386">
        <v>-0.95484389999999997</v>
      </c>
      <c r="S3386">
        <v>0.18666079999999999</v>
      </c>
      <c r="T3386">
        <v>-0.34672150000000002</v>
      </c>
      <c r="U3386">
        <v>-3.0790410000000001</v>
      </c>
      <c r="V3386">
        <v>0.25452940000000002</v>
      </c>
      <c r="W3386">
        <v>-4.40843E-2</v>
      </c>
      <c r="X3386">
        <v>0.96605969999999997</v>
      </c>
      <c r="Y3386">
        <v>0.47513879999999997</v>
      </c>
      <c r="Z3386">
        <v>6.1445180000000002E-2</v>
      </c>
      <c r="AA3386">
        <v>0.87776290000000001</v>
      </c>
      <c r="AB3386">
        <v>28</v>
      </c>
      <c r="AC3386">
        <v>0.448599999999998</v>
      </c>
      <c r="AD3386">
        <v>-1.093213936653</v>
      </c>
      <c r="AE3386">
        <v>-9.4547000000000008</v>
      </c>
      <c r="AF3386">
        <v>4.55239658262989</v>
      </c>
      <c r="AG3386">
        <v>-1.093213936653</v>
      </c>
      <c r="AH3386">
        <v>8.1562881220892702</v>
      </c>
      <c r="AI3386">
        <v>96.675371119039795</v>
      </c>
      <c r="AJ3386">
        <v>60.832120291499002</v>
      </c>
      <c r="AK3386">
        <v>9.4044918675794094</v>
      </c>
      <c r="AL3386">
        <v>92.526663199868906</v>
      </c>
      <c r="AM3386">
        <v>75.239622761276905</v>
      </c>
      <c r="AN3386">
        <v>0.99999999246746996</v>
      </c>
    </row>
    <row r="3387" spans="1:40" x14ac:dyDescent="0.25">
      <c r="A3387" t="str">
        <f>"20190305135858724"</f>
        <v>20190305135858724</v>
      </c>
      <c r="B3387" t="str">
        <f>"1551765538712413"</f>
        <v>1551765538712413</v>
      </c>
      <c r="C3387" t="s">
        <v>40</v>
      </c>
      <c r="D3387">
        <v>4.2564399999999996</v>
      </c>
      <c r="E3387">
        <v>0.59239459999999999</v>
      </c>
      <c r="F3387" t="s">
        <v>42</v>
      </c>
      <c r="G3387">
        <v>-191.1661</v>
      </c>
      <c r="H3387" s="1">
        <v>-3.6455769999999999E-6</v>
      </c>
      <c r="I3387">
        <v>197.3638</v>
      </c>
      <c r="J3387">
        <v>-191.49799999999999</v>
      </c>
      <c r="K3387">
        <v>1.093526</v>
      </c>
      <c r="L3387">
        <v>207.23480000000001</v>
      </c>
      <c r="M3387">
        <v>0.51099589999999995</v>
      </c>
      <c r="N3387">
        <v>-1.8675850000000001E-2</v>
      </c>
      <c r="O3387">
        <v>-0.85938049999999999</v>
      </c>
      <c r="P3387">
        <v>0.27712160000000002</v>
      </c>
      <c r="Q3387">
        <v>-5.0368509999999998E-2</v>
      </c>
      <c r="R3387">
        <v>-0.95951430000000004</v>
      </c>
      <c r="S3387">
        <v>0.14172360000000001</v>
      </c>
      <c r="T3387">
        <v>-0.33265479999999997</v>
      </c>
      <c r="U3387">
        <v>-3.0802</v>
      </c>
      <c r="V3387">
        <v>0.25078739999999999</v>
      </c>
      <c r="W3387">
        <v>-4.188066E-2</v>
      </c>
      <c r="X3387">
        <v>0.96713579999999999</v>
      </c>
      <c r="Y3387">
        <v>0.47035389999999999</v>
      </c>
      <c r="Z3387">
        <v>6.0183059999999997E-2</v>
      </c>
      <c r="AA3387">
        <v>0.88042330000000002</v>
      </c>
      <c r="AB3387">
        <v>28</v>
      </c>
      <c r="AC3387">
        <v>0.33189999999998998</v>
      </c>
      <c r="AD3387">
        <v>-1.0935296455769901</v>
      </c>
      <c r="AE3387">
        <v>-9.8710000000000093</v>
      </c>
      <c r="AF3387">
        <v>4.70200031480171</v>
      </c>
      <c r="AG3387">
        <v>-1.0935296455769901</v>
      </c>
      <c r="AH3387">
        <v>8.5492483302272806</v>
      </c>
      <c r="AI3387">
        <v>96.394839487708794</v>
      </c>
      <c r="AJ3387">
        <v>61.1896501340089</v>
      </c>
      <c r="AK3387">
        <v>9.8180579066353602</v>
      </c>
      <c r="AL3387">
        <v>92.400287131687193</v>
      </c>
      <c r="AM3387">
        <v>75.462853260413894</v>
      </c>
      <c r="AN3387">
        <v>0.99999998266121704</v>
      </c>
    </row>
    <row r="3388" spans="1:40" x14ac:dyDescent="0.25">
      <c r="A3388" t="str">
        <f>"20190305135858744"</f>
        <v>20190305135858744</v>
      </c>
      <c r="B3388" t="str">
        <f>"1551765538732909"</f>
        <v>1551765538732909</v>
      </c>
      <c r="C3388" t="s">
        <v>40</v>
      </c>
      <c r="D3388">
        <v>4.2668660000000003</v>
      </c>
      <c r="E3388">
        <v>0.59168809999999905</v>
      </c>
      <c r="F3388" t="s">
        <v>42</v>
      </c>
      <c r="G3388">
        <v>-191.14340000000001</v>
      </c>
      <c r="H3388" s="1">
        <v>-3.289369E-6</v>
      </c>
      <c r="I3388">
        <v>196.54750000000001</v>
      </c>
      <c r="J3388">
        <v>-191.37790000000001</v>
      </c>
      <c r="K3388">
        <v>1.093799</v>
      </c>
      <c r="L3388">
        <v>206.99870000000001</v>
      </c>
      <c r="M3388">
        <v>0.49513269999999998</v>
      </c>
      <c r="N3388">
        <v>-1.8437530000000001E-2</v>
      </c>
      <c r="O3388">
        <v>-0.8686218</v>
      </c>
      <c r="P3388">
        <v>0.2636251</v>
      </c>
      <c r="Q3388">
        <v>-4.8475530000000003E-2</v>
      </c>
      <c r="R3388">
        <v>-0.9634066</v>
      </c>
      <c r="S3388">
        <v>0.1022034</v>
      </c>
      <c r="T3388">
        <v>-0.3151988</v>
      </c>
      <c r="U3388">
        <v>-3.0804900000000002</v>
      </c>
      <c r="V3388">
        <v>0.24674499999999999</v>
      </c>
      <c r="W3388">
        <v>-3.9895269999999997E-2</v>
      </c>
      <c r="X3388">
        <v>0.96825890000000003</v>
      </c>
      <c r="Y3388">
        <v>0.4654915</v>
      </c>
      <c r="Z3388">
        <v>5.7776189999999998E-2</v>
      </c>
      <c r="AA3388">
        <v>0.88316459999999997</v>
      </c>
      <c r="AB3388">
        <v>28</v>
      </c>
      <c r="AC3388">
        <v>0.23449999999999699</v>
      </c>
      <c r="AD3388">
        <v>-1.093802289369</v>
      </c>
      <c r="AE3388">
        <v>-10.4512</v>
      </c>
      <c r="AF3388">
        <v>4.9180420741950099</v>
      </c>
      <c r="AG3388">
        <v>-1.093802289369</v>
      </c>
      <c r="AH3388">
        <v>9.0962275185193597</v>
      </c>
      <c r="AI3388">
        <v>96.038134602827299</v>
      </c>
      <c r="AJ3388">
        <v>61.601314992704502</v>
      </c>
      <c r="AK3388">
        <v>10.3983121880644</v>
      </c>
      <c r="AL3388">
        <v>92.286437366696106</v>
      </c>
      <c r="AM3388">
        <v>75.703394940320607</v>
      </c>
      <c r="AN3388">
        <v>1.00000001251129</v>
      </c>
    </row>
    <row r="3389" spans="1:40" x14ac:dyDescent="0.25">
      <c r="A3389" t="str">
        <f>"20190305135858768"</f>
        <v>20190305135858768</v>
      </c>
      <c r="B3389" t="str">
        <f>"1551765538762189"</f>
        <v>1551765538762189</v>
      </c>
      <c r="C3389" t="s">
        <v>40</v>
      </c>
      <c r="D3389">
        <v>4.2817410000000002</v>
      </c>
      <c r="E3389">
        <v>0.58962569999999903</v>
      </c>
      <c r="F3389" t="s">
        <v>42</v>
      </c>
      <c r="G3389">
        <v>-191.15020000000001</v>
      </c>
      <c r="H3389" s="1">
        <v>-3.0795950000000002E-6</v>
      </c>
      <c r="I3389">
        <v>196.05430000000001</v>
      </c>
      <c r="J3389">
        <v>-191.24680000000001</v>
      </c>
      <c r="K3389">
        <v>1.0940799999999999</v>
      </c>
      <c r="L3389">
        <v>206.72810000000001</v>
      </c>
      <c r="M3389">
        <v>0.47717670000000001</v>
      </c>
      <c r="N3389">
        <v>-1.81908E-2</v>
      </c>
      <c r="O3389">
        <v>-0.87861909999999899</v>
      </c>
      <c r="P3389">
        <v>0.24833569999999999</v>
      </c>
      <c r="Q3389">
        <v>-4.6152079999999998E-2</v>
      </c>
      <c r="R3389">
        <v>-0.96757389999999999</v>
      </c>
      <c r="S3389">
        <v>6.410217E-2</v>
      </c>
      <c r="T3389">
        <v>-0.30791069999999998</v>
      </c>
      <c r="U3389">
        <v>-3.080902</v>
      </c>
      <c r="V3389">
        <v>0.24233550000000001</v>
      </c>
      <c r="W3389">
        <v>-3.747462E-2</v>
      </c>
      <c r="X3389">
        <v>0.96946849999999996</v>
      </c>
      <c r="Y3389">
        <v>0.45825189999999999</v>
      </c>
      <c r="Z3389">
        <v>5.7865600000000003E-2</v>
      </c>
      <c r="AA3389">
        <v>0.88693670000000002</v>
      </c>
      <c r="AB3389">
        <v>28</v>
      </c>
      <c r="AC3389">
        <v>9.6599999999995106E-2</v>
      </c>
      <c r="AD3389">
        <v>-1.0940830795949901</v>
      </c>
      <c r="AE3389">
        <v>-10.6738</v>
      </c>
      <c r="AF3389">
        <v>4.9571641293098896</v>
      </c>
      <c r="AG3389">
        <v>-1.0940830795949901</v>
      </c>
      <c r="AH3389">
        <v>9.3278631696288308</v>
      </c>
      <c r="AI3389">
        <v>95.913288413977497</v>
      </c>
      <c r="AJ3389">
        <v>62.012206113676598</v>
      </c>
      <c r="AK3389">
        <v>10.619770491931099</v>
      </c>
      <c r="AL3389">
        <v>92.147640421880695</v>
      </c>
      <c r="AM3389">
        <v>75.965515645561794</v>
      </c>
      <c r="AN3389">
        <v>1.0000000070983199</v>
      </c>
    </row>
    <row r="3390" spans="1:40" x14ac:dyDescent="0.25">
      <c r="A3390" t="str">
        <f>"20190305135858790"</f>
        <v>20190305135858790</v>
      </c>
      <c r="B3390" t="str">
        <f>"1551765538782685"</f>
        <v>1551765538782685</v>
      </c>
      <c r="C3390" t="s">
        <v>40</v>
      </c>
      <c r="D3390">
        <v>4.2246779999999999</v>
      </c>
      <c r="E3390">
        <v>0.58848440000000002</v>
      </c>
      <c r="F3390" t="s">
        <v>42</v>
      </c>
      <c r="G3390">
        <v>-191.12860000000001</v>
      </c>
      <c r="H3390" s="1">
        <v>-2.742882E-6</v>
      </c>
      <c r="I3390">
        <v>195.28290000000001</v>
      </c>
      <c r="J3390">
        <v>-191.12520000000001</v>
      </c>
      <c r="K3390">
        <v>1.094328</v>
      </c>
      <c r="L3390">
        <v>206.46430000000001</v>
      </c>
      <c r="M3390">
        <v>0.45987329999999998</v>
      </c>
      <c r="N3390">
        <v>-1.797385E-2</v>
      </c>
      <c r="O3390">
        <v>-0.88780269999999994</v>
      </c>
      <c r="P3390">
        <v>0.23526459999999999</v>
      </c>
      <c r="Q3390">
        <v>-4.5136429999999998E-2</v>
      </c>
      <c r="R3390">
        <v>-0.97088300000000005</v>
      </c>
      <c r="S3390">
        <v>3.1799319999999999E-2</v>
      </c>
      <c r="T3390">
        <v>-0.29426550000000001</v>
      </c>
      <c r="U3390">
        <v>-3.0783230000000001</v>
      </c>
      <c r="V3390">
        <v>0.23649029999999999</v>
      </c>
      <c r="W3390">
        <v>-3.6303370000000001E-2</v>
      </c>
      <c r="X3390">
        <v>0.97095540000000002</v>
      </c>
      <c r="Y3390">
        <v>0.45016830000000002</v>
      </c>
      <c r="Z3390">
        <v>5.6244280000000001E-2</v>
      </c>
      <c r="AA3390">
        <v>0.89117060000000003</v>
      </c>
      <c r="AB3390">
        <v>28</v>
      </c>
      <c r="AC3390">
        <v>-3.3999999999991802E-3</v>
      </c>
      <c r="AD3390">
        <v>-1.0943307428819999</v>
      </c>
      <c r="AE3390">
        <v>-11.181399999999901</v>
      </c>
      <c r="AF3390">
        <v>5.0970538010979203</v>
      </c>
      <c r="AG3390">
        <v>-1.0943307428819999</v>
      </c>
      <c r="AH3390">
        <v>9.8327320348948</v>
      </c>
      <c r="AI3390">
        <v>95.642970624927301</v>
      </c>
      <c r="AJ3390">
        <v>62.598853510640403</v>
      </c>
      <c r="AK3390">
        <v>11.1292468970793</v>
      </c>
      <c r="AL3390">
        <v>92.080487060002397</v>
      </c>
      <c r="AM3390">
        <v>76.311313863172202</v>
      </c>
      <c r="AN3390">
        <v>0.99999999272830298</v>
      </c>
    </row>
    <row r="3391" spans="1:40" x14ac:dyDescent="0.25">
      <c r="A3391" t="str">
        <f>"20190305135858811"</f>
        <v>20190305135858811</v>
      </c>
      <c r="B3391" t="str">
        <f>"1551765538802205"</f>
        <v>1551765538802205</v>
      </c>
      <c r="C3391" t="s">
        <v>40</v>
      </c>
      <c r="D3391">
        <v>4.219392</v>
      </c>
      <c r="E3391">
        <v>0.58794460000000004</v>
      </c>
      <c r="F3391" t="s">
        <v>42</v>
      </c>
      <c r="G3391">
        <v>-191.12799999999999</v>
      </c>
      <c r="H3391" s="1">
        <v>-2.5451169999999998E-6</v>
      </c>
      <c r="I3391">
        <v>194.82230000000001</v>
      </c>
      <c r="J3391">
        <v>-191.01570000000001</v>
      </c>
      <c r="K3391">
        <v>1.094546</v>
      </c>
      <c r="L3391">
        <v>206.21459999999999</v>
      </c>
      <c r="M3391">
        <v>0.44365749999999998</v>
      </c>
      <c r="N3391">
        <v>-1.7788620000000002E-2</v>
      </c>
      <c r="O3391">
        <v>-0.89602019999999905</v>
      </c>
      <c r="P3391">
        <v>0.2248655</v>
      </c>
      <c r="Q3391">
        <v>-4.4804799999999999E-2</v>
      </c>
      <c r="R3391">
        <v>-0.97335959999999999</v>
      </c>
      <c r="S3391">
        <v>-7.3242190000000001E-4</v>
      </c>
      <c r="T3391">
        <v>-0.28920699999999999</v>
      </c>
      <c r="U3391">
        <v>-3.0767359999999999</v>
      </c>
      <c r="V3391">
        <v>0.22925519999999999</v>
      </c>
      <c r="W3391">
        <v>-3.575619E-2</v>
      </c>
      <c r="X3391">
        <v>0.97270939999999995</v>
      </c>
      <c r="Y3391">
        <v>0.44337310000000002</v>
      </c>
      <c r="Z3391">
        <v>5.6453349999999999E-2</v>
      </c>
      <c r="AA3391">
        <v>0.89455769999999901</v>
      </c>
      <c r="AB3391">
        <v>28</v>
      </c>
      <c r="AC3391">
        <v>-0.112299999999976</v>
      </c>
      <c r="AD3391">
        <v>-1.0945485451170001</v>
      </c>
      <c r="AE3391">
        <v>-11.392299999999899</v>
      </c>
      <c r="AF3391">
        <v>5.1085642099907798</v>
      </c>
      <c r="AG3391">
        <v>-1.0945485451170001</v>
      </c>
      <c r="AH3391">
        <v>10.066597217451299</v>
      </c>
      <c r="AI3391">
        <v>95.538088266118805</v>
      </c>
      <c r="AJ3391">
        <v>63.093265009658303</v>
      </c>
      <c r="AK3391">
        <v>11.3415979625278</v>
      </c>
      <c r="AL3391">
        <v>92.049115541449495</v>
      </c>
      <c r="AM3391">
        <v>76.738138959153005</v>
      </c>
      <c r="AN3391">
        <v>1.0000000143493499</v>
      </c>
    </row>
    <row r="3392" spans="1:40" x14ac:dyDescent="0.25">
      <c r="A3392" t="str">
        <f>"20190305135858834"</f>
        <v>20190305135858834</v>
      </c>
      <c r="B3392" t="str">
        <f>"1551765538822702"</f>
        <v>1551765538822702</v>
      </c>
      <c r="C3392" t="s">
        <v>40</v>
      </c>
      <c r="D3392">
        <v>4.1823290000000002</v>
      </c>
      <c r="E3392">
        <v>0.57553080000000001</v>
      </c>
      <c r="F3392" t="s">
        <v>42</v>
      </c>
      <c r="G3392">
        <v>-191.1293</v>
      </c>
      <c r="H3392" s="1">
        <v>-2.3832919999999999E-6</v>
      </c>
      <c r="I3392">
        <v>194.4442</v>
      </c>
      <c r="J3392">
        <v>-190.90960000000001</v>
      </c>
      <c r="K3392">
        <v>1.0947559999999901</v>
      </c>
      <c r="L3392">
        <v>205.96029999999999</v>
      </c>
      <c r="M3392">
        <v>0.42729600000000001</v>
      </c>
      <c r="N3392">
        <v>-1.7618470000000001E-2</v>
      </c>
      <c r="O3392">
        <v>-0.90394039999999998</v>
      </c>
      <c r="P3392">
        <v>0.2171198</v>
      </c>
      <c r="Q3392">
        <v>-4.3326969999999999E-2</v>
      </c>
      <c r="R3392">
        <v>-0.97518309999999997</v>
      </c>
      <c r="S3392">
        <v>-2.9693600000000001E-2</v>
      </c>
      <c r="T3392">
        <v>-0.28602519999999998</v>
      </c>
      <c r="U3392">
        <v>-3.075806</v>
      </c>
      <c r="V3392">
        <v>0.21939620000000001</v>
      </c>
      <c r="W3392">
        <v>-3.3956390000000003E-2</v>
      </c>
      <c r="X3392">
        <v>0.97504480000000004</v>
      </c>
      <c r="Y3392">
        <v>0.43551440000000002</v>
      </c>
      <c r="Z3392">
        <v>5.7062130000000003E-2</v>
      </c>
      <c r="AA3392">
        <v>0.89837140000000004</v>
      </c>
      <c r="AB3392">
        <v>28</v>
      </c>
      <c r="AC3392">
        <v>-0.21969999999998799</v>
      </c>
      <c r="AD3392">
        <v>-1.09475838329199</v>
      </c>
      <c r="AE3392">
        <v>-11.5160999999999</v>
      </c>
      <c r="AF3392">
        <v>5.0743323489100298</v>
      </c>
      <c r="AG3392">
        <v>-1.09475838329199</v>
      </c>
      <c r="AH3392">
        <v>10.225217871789599</v>
      </c>
      <c r="AI3392">
        <v>95.478175361153305</v>
      </c>
      <c r="AJ3392">
        <v>63.606788214751298</v>
      </c>
      <c r="AK3392">
        <v>11.467450685769199</v>
      </c>
      <c r="AL3392">
        <v>91.945931823225706</v>
      </c>
      <c r="AM3392">
        <v>77.318994560205894</v>
      </c>
      <c r="AN3392">
        <v>1.00000004550165</v>
      </c>
    </row>
    <row r="3393" spans="1:40" x14ac:dyDescent="0.25">
      <c r="A3393" t="str">
        <f>"20190305135858856"</f>
        <v>20190305135858856</v>
      </c>
      <c r="B3393" t="str">
        <f>"1551765538851982"</f>
        <v>1551765538851982</v>
      </c>
      <c r="C3393" t="s">
        <v>40</v>
      </c>
      <c r="D3393">
        <v>4.175338</v>
      </c>
      <c r="E3393">
        <v>0.57396780000000003</v>
      </c>
      <c r="F3393" t="s">
        <v>42</v>
      </c>
      <c r="G3393">
        <v>-190.71090000000001</v>
      </c>
      <c r="H3393" s="1">
        <v>-1.5184679999999999E-6</v>
      </c>
      <c r="I3393">
        <v>192.68770000000001</v>
      </c>
      <c r="J3393">
        <v>-190.80439999999999</v>
      </c>
      <c r="K3393">
        <v>1.0949519999999999</v>
      </c>
      <c r="L3393">
        <v>205.6944</v>
      </c>
      <c r="M3393">
        <v>0.41032570000000002</v>
      </c>
      <c r="N3393">
        <v>-1.745762E-2</v>
      </c>
      <c r="O3393">
        <v>-0.91177209999999997</v>
      </c>
      <c r="P3393">
        <v>0.21037210000000001</v>
      </c>
      <c r="Q3393">
        <v>-4.1360170000000002E-2</v>
      </c>
      <c r="R3393">
        <v>-0.97674629999999996</v>
      </c>
      <c r="S3393">
        <v>4.5730590000000002E-2</v>
      </c>
      <c r="T3393">
        <v>-0.25198089999999901</v>
      </c>
      <c r="U3393">
        <v>-3.0549469999999999</v>
      </c>
      <c r="V3393">
        <v>0.2080244</v>
      </c>
      <c r="W3393">
        <v>-3.1608999999999998E-2</v>
      </c>
      <c r="X3393">
        <v>0.97761279999999995</v>
      </c>
      <c r="Y3393">
        <v>0.39629560000000003</v>
      </c>
      <c r="Z3393">
        <v>5.0642239999999998E-2</v>
      </c>
      <c r="AA3393">
        <v>0.91672520000000002</v>
      </c>
      <c r="AB3393">
        <v>28</v>
      </c>
      <c r="AC3393">
        <v>9.3499999999977407E-2</v>
      </c>
      <c r="AD3393">
        <v>-1.0949535184679999</v>
      </c>
      <c r="AE3393">
        <v>-13.006699999999899</v>
      </c>
      <c r="AF3393">
        <v>5.2155718427997</v>
      </c>
      <c r="AG3393">
        <v>-1.0949535184679999</v>
      </c>
      <c r="AH3393">
        <v>11.815591438201199</v>
      </c>
      <c r="AI3393">
        <v>94.845844996216101</v>
      </c>
      <c r="AJ3393">
        <v>66.182647660972904</v>
      </c>
      <c r="AK3393">
        <v>12.961840682924</v>
      </c>
      <c r="AL3393">
        <v>91.811363950738098</v>
      </c>
      <c r="AM3393">
        <v>77.987306220848296</v>
      </c>
      <c r="AN3393">
        <v>1.00000003330009</v>
      </c>
    </row>
    <row r="3394" spans="1:40" x14ac:dyDescent="0.25">
      <c r="A3394" t="str">
        <f>"20190305135858880"</f>
        <v>20190305135858880</v>
      </c>
      <c r="B3394" t="str">
        <f>"1551765538872477"</f>
        <v>1551765538872477</v>
      </c>
      <c r="C3394" t="s">
        <v>40</v>
      </c>
      <c r="D3394">
        <v>4.2091820000000002</v>
      </c>
      <c r="E3394">
        <v>0.57320669999999996</v>
      </c>
      <c r="F3394" t="s">
        <v>42</v>
      </c>
      <c r="G3394">
        <v>-190.65969999999999</v>
      </c>
      <c r="H3394" s="1">
        <v>-1.6323949999999999E-6</v>
      </c>
      <c r="I3394">
        <v>192.98509999999999</v>
      </c>
      <c r="J3394">
        <v>-190.7002</v>
      </c>
      <c r="K3394">
        <v>1.0951569999999999</v>
      </c>
      <c r="L3394">
        <v>205.41550000000001</v>
      </c>
      <c r="M3394">
        <v>0.39269500000000002</v>
      </c>
      <c r="N3394">
        <v>-1.7304119999999999E-2</v>
      </c>
      <c r="O3394">
        <v>-0.91950600000000005</v>
      </c>
      <c r="P3394">
        <v>0.20266870000000001</v>
      </c>
      <c r="Q3394">
        <v>-3.909837E-2</v>
      </c>
      <c r="R3394">
        <v>-0.97846670000000002</v>
      </c>
      <c r="S3394">
        <v>3.4759520000000002E-2</v>
      </c>
      <c r="T3394">
        <v>-0.26301059999999998</v>
      </c>
      <c r="U3394">
        <v>-3.0527950000000001</v>
      </c>
      <c r="V3394">
        <v>0.1970286</v>
      </c>
      <c r="W3394">
        <v>-2.8979769999999998E-2</v>
      </c>
      <c r="X3394">
        <v>0.97996930000000004</v>
      </c>
      <c r="Y3394">
        <v>0.38186569999999997</v>
      </c>
      <c r="Z3394">
        <v>5.5043679999999998E-2</v>
      </c>
      <c r="AA3394">
        <v>0.92257730000000004</v>
      </c>
      <c r="AB3394">
        <v>28</v>
      </c>
      <c r="AC3394">
        <v>4.0500000000008599E-2</v>
      </c>
      <c r="AD3394">
        <v>-1.095158632395</v>
      </c>
      <c r="AE3394">
        <v>-12.430400000000001</v>
      </c>
      <c r="AF3394">
        <v>4.8075246600090003</v>
      </c>
      <c r="AG3394">
        <v>-1.095158632395</v>
      </c>
      <c r="AH3394">
        <v>11.3592732544368</v>
      </c>
      <c r="AI3394">
        <v>95.073795558303999</v>
      </c>
      <c r="AJ3394">
        <v>67.060719922507502</v>
      </c>
      <c r="AK3394">
        <v>12.383244916243401</v>
      </c>
      <c r="AL3394">
        <v>91.660651072973494</v>
      </c>
      <c r="AM3394">
        <v>78.631908150511606</v>
      </c>
      <c r="AN3394">
        <v>0.99999996261485002</v>
      </c>
    </row>
    <row r="3395" spans="1:40" x14ac:dyDescent="0.25">
      <c r="A3395" t="str">
        <f>"20190305135858902"</f>
        <v>20190305135858902</v>
      </c>
      <c r="B3395" t="str">
        <f>"1551765538892002"</f>
        <v>1551765538892002</v>
      </c>
      <c r="C3395" t="s">
        <v>40</v>
      </c>
      <c r="D3395">
        <v>4.1553300000000002</v>
      </c>
      <c r="E3395">
        <v>0.57197449999999905</v>
      </c>
      <c r="F3395" t="s">
        <v>42</v>
      </c>
      <c r="G3395">
        <v>-190.6234</v>
      </c>
      <c r="H3395" s="1">
        <v>-1.2195820000000001E-6</v>
      </c>
      <c r="I3395">
        <v>192.0453</v>
      </c>
      <c r="J3395">
        <v>-190.60720000000001</v>
      </c>
      <c r="K3395">
        <v>1.095351</v>
      </c>
      <c r="L3395">
        <v>205.15090000000001</v>
      </c>
      <c r="M3395">
        <v>0.37612469999999998</v>
      </c>
      <c r="N3395">
        <v>-1.7168550000000001E-2</v>
      </c>
      <c r="O3395">
        <v>-0.92641019999999996</v>
      </c>
      <c r="P3395">
        <v>0.19474440000000001</v>
      </c>
      <c r="Q3395">
        <v>-3.7804219999999999E-2</v>
      </c>
      <c r="R3395">
        <v>-0.98012549999999998</v>
      </c>
      <c r="S3395">
        <v>1.7547610000000002E-2</v>
      </c>
      <c r="T3395">
        <v>-0.25002429999999998</v>
      </c>
      <c r="U3395">
        <v>-3.0524140000000002</v>
      </c>
      <c r="V3395">
        <v>0.18743879999999999</v>
      </c>
      <c r="W3395">
        <v>-2.7365270000000001E-2</v>
      </c>
      <c r="X3395">
        <v>0.98189499999999996</v>
      </c>
      <c r="Y3395">
        <v>0.3704847</v>
      </c>
      <c r="Z3395">
        <v>5.2646980000000003E-2</v>
      </c>
      <c r="AA3395">
        <v>0.92734530000000004</v>
      </c>
      <c r="AB3395">
        <v>28</v>
      </c>
      <c r="AC3395">
        <v>-1.6199999999997699E-2</v>
      </c>
      <c r="AD3395">
        <v>-1.095352219582</v>
      </c>
      <c r="AE3395">
        <v>-13.105600000000001</v>
      </c>
      <c r="AF3395">
        <v>4.91077171319992</v>
      </c>
      <c r="AG3395">
        <v>-1.095352219582</v>
      </c>
      <c r="AH3395">
        <v>12.052661661946701</v>
      </c>
      <c r="AI3395">
        <v>94.810830806131904</v>
      </c>
      <c r="AJ3395">
        <v>67.831908914980602</v>
      </c>
      <c r="AK3395">
        <v>13.0607093391388</v>
      </c>
      <c r="AL3395">
        <v>91.568110270132294</v>
      </c>
      <c r="AM3395">
        <v>79.192550612382703</v>
      </c>
      <c r="AN3395">
        <v>0.999999976386306</v>
      </c>
    </row>
    <row r="3396" spans="1:40" x14ac:dyDescent="0.25">
      <c r="A3396" t="str">
        <f>"20190305135858924"</f>
        <v>20190305135858924</v>
      </c>
      <c r="B3396" t="str">
        <f>"1551765538912493"</f>
        <v>1551765538912493</v>
      </c>
      <c r="C3396" t="s">
        <v>40</v>
      </c>
      <c r="D3396">
        <v>4.1621589999999999</v>
      </c>
      <c r="E3396">
        <v>0.570824</v>
      </c>
      <c r="F3396" t="s">
        <v>42</v>
      </c>
      <c r="G3396">
        <v>-190.58629999999999</v>
      </c>
      <c r="H3396" s="1">
        <v>-7.4354859999999996E-7</v>
      </c>
      <c r="I3396">
        <v>190.95869999999999</v>
      </c>
      <c r="J3396">
        <v>-190.51820000000001</v>
      </c>
      <c r="K3396">
        <v>1.0955520000000001</v>
      </c>
      <c r="L3396">
        <v>204.8828</v>
      </c>
      <c r="M3396">
        <v>0.35947959999999901</v>
      </c>
      <c r="N3396">
        <v>-1.7039800000000001E-2</v>
      </c>
      <c r="O3396">
        <v>-0.93299730000000003</v>
      </c>
      <c r="P3396">
        <v>0.18083940000000001</v>
      </c>
      <c r="Q3396">
        <v>-3.8354010000000001E-2</v>
      </c>
      <c r="R3396">
        <v>-0.98276450000000004</v>
      </c>
      <c r="S3396">
        <v>4.4860840000000004E-3</v>
      </c>
      <c r="T3396">
        <v>-0.2354637</v>
      </c>
      <c r="U3396">
        <v>-3.0508419999999998</v>
      </c>
      <c r="V3396">
        <v>0.1837559</v>
      </c>
      <c r="W3396">
        <v>-2.7815090000000001E-2</v>
      </c>
      <c r="X3396">
        <v>0.98257830000000002</v>
      </c>
      <c r="Y3396">
        <v>0.35782950000000002</v>
      </c>
      <c r="Z3396">
        <v>4.9698430000000002E-2</v>
      </c>
      <c r="AA3396">
        <v>0.9324635</v>
      </c>
      <c r="AB3396">
        <v>28</v>
      </c>
      <c r="AC3396">
        <v>-6.8099999999986893E-2</v>
      </c>
      <c r="AD3396">
        <v>-1.0955527435485899</v>
      </c>
      <c r="AE3396">
        <v>-13.924099999999999</v>
      </c>
      <c r="AF3396">
        <v>5.0385126894952998</v>
      </c>
      <c r="AG3396">
        <v>-1.0955527435485899</v>
      </c>
      <c r="AH3396">
        <v>12.8887634817122</v>
      </c>
      <c r="AI3396">
        <v>94.526462751542098</v>
      </c>
      <c r="AJ3396">
        <v>68.648333847438295</v>
      </c>
      <c r="AK3396">
        <v>13.881897205483799</v>
      </c>
      <c r="AL3396">
        <v>91.593892815366999</v>
      </c>
      <c r="AM3396">
        <v>79.407247032629698</v>
      </c>
      <c r="AN3396">
        <v>1.0000000128237001</v>
      </c>
    </row>
    <row r="3397" spans="1:40" x14ac:dyDescent="0.25">
      <c r="A3397" t="str">
        <f>"20190305135858946"</f>
        <v>20190305135858946</v>
      </c>
      <c r="B3397" t="str">
        <f>"1551765538942750"</f>
        <v>1551765538942750</v>
      </c>
      <c r="C3397" t="s">
        <v>40</v>
      </c>
      <c r="D3397">
        <v>4.1622560000000002</v>
      </c>
      <c r="E3397">
        <v>0.56918599999999997</v>
      </c>
      <c r="F3397" t="s">
        <v>42</v>
      </c>
      <c r="G3397">
        <v>-190.65190000000001</v>
      </c>
      <c r="H3397" s="1">
        <v>-5.0890739999999996E-7</v>
      </c>
      <c r="I3397">
        <v>190.37100000000001</v>
      </c>
      <c r="J3397">
        <v>-190.4348</v>
      </c>
      <c r="K3397">
        <v>1.0957699999999999</v>
      </c>
      <c r="L3397">
        <v>204.6165</v>
      </c>
      <c r="M3397">
        <v>0.343109</v>
      </c>
      <c r="N3397">
        <v>-1.6919500000000001E-2</v>
      </c>
      <c r="O3397">
        <v>-0.93914319999999896</v>
      </c>
      <c r="P3397">
        <v>0.1714051</v>
      </c>
      <c r="Q3397">
        <v>-3.9673159999999999E-2</v>
      </c>
      <c r="R3397">
        <v>-0.98440159999999999</v>
      </c>
      <c r="S3397">
        <v>-2.8091430000000001E-2</v>
      </c>
      <c r="T3397">
        <v>-0.23016690000000001</v>
      </c>
      <c r="U3397">
        <v>-3.048813</v>
      </c>
      <c r="V3397">
        <v>0.1759483</v>
      </c>
      <c r="W3397">
        <v>-2.887412E-2</v>
      </c>
      <c r="X3397">
        <v>0.98397579999999996</v>
      </c>
      <c r="Y3397">
        <v>0.35147209999999901</v>
      </c>
      <c r="Z3397">
        <v>4.9113690000000002E-2</v>
      </c>
      <c r="AA3397">
        <v>0.9349092</v>
      </c>
      <c r="AB3397">
        <v>27</v>
      </c>
      <c r="AC3397">
        <v>-0.217100000000016</v>
      </c>
      <c r="AD3397">
        <v>-1.0957705089073999</v>
      </c>
      <c r="AE3397">
        <v>-14.2455</v>
      </c>
      <c r="AF3397">
        <v>5.0624299635424297</v>
      </c>
      <c r="AG3397">
        <v>-1.0957705089073999</v>
      </c>
      <c r="AH3397">
        <v>13.2277330150783</v>
      </c>
      <c r="AI3397">
        <v>94.423961149514298</v>
      </c>
      <c r="AJ3397">
        <v>69.057484548629205</v>
      </c>
      <c r="AK3397">
        <v>14.205697126933099</v>
      </c>
      <c r="AL3397">
        <v>91.654595265234306</v>
      </c>
      <c r="AM3397">
        <v>79.861879757193506</v>
      </c>
      <c r="AN3397">
        <v>0.99999994703215001</v>
      </c>
    </row>
    <row r="3398" spans="1:40" x14ac:dyDescent="0.25">
      <c r="A3398" t="str">
        <f>"20190305135858961"</f>
        <v>20190305135858961</v>
      </c>
      <c r="B3398" t="str">
        <f>"1551765538952510"</f>
        <v>1551765538952510</v>
      </c>
      <c r="C3398" t="s">
        <v>40</v>
      </c>
      <c r="D3398">
        <v>4.1395350000000004</v>
      </c>
      <c r="E3398">
        <v>0.56886440000000005</v>
      </c>
      <c r="F3398" t="s">
        <v>42</v>
      </c>
      <c r="G3398">
        <v>-190.64230000000001</v>
      </c>
      <c r="H3398" s="1">
        <v>-3.7033629999999999E-7</v>
      </c>
      <c r="I3398">
        <v>190.054</v>
      </c>
      <c r="J3398">
        <v>-190.3817</v>
      </c>
      <c r="K3398">
        <v>1.0959289999999999</v>
      </c>
      <c r="L3398">
        <v>204.43879999999999</v>
      </c>
      <c r="M3398">
        <v>0.33229209999999998</v>
      </c>
      <c r="N3398">
        <v>-1.6841160000000001E-2</v>
      </c>
      <c r="O3398">
        <v>-0.94302629999999998</v>
      </c>
      <c r="P3398">
        <v>0.16415060000000001</v>
      </c>
      <c r="Q3398">
        <v>-4.0786269999999999E-2</v>
      </c>
      <c r="R3398">
        <v>-0.98559200000000002</v>
      </c>
      <c r="S3398">
        <v>-4.3395999999999997E-2</v>
      </c>
      <c r="T3398">
        <v>-0.22918959999999999</v>
      </c>
      <c r="U3398">
        <v>-3.045868</v>
      </c>
      <c r="V3398">
        <v>0.171845</v>
      </c>
      <c r="W3398">
        <v>-2.985092E-2</v>
      </c>
      <c r="X3398">
        <v>0.98467170000000004</v>
      </c>
      <c r="Y3398">
        <v>0.3454197</v>
      </c>
      <c r="Z3398">
        <v>4.9480070000000001E-2</v>
      </c>
      <c r="AA3398">
        <v>0.93714299999999995</v>
      </c>
      <c r="AB3398">
        <v>27</v>
      </c>
      <c r="AC3398">
        <v>-0.26060000000000999</v>
      </c>
      <c r="AD3398">
        <v>-1.0959293703363</v>
      </c>
      <c r="AE3398">
        <v>-14.384799999999901</v>
      </c>
      <c r="AF3398">
        <v>4.9974227091319099</v>
      </c>
      <c r="AG3398">
        <v>-1.0959293703363</v>
      </c>
      <c r="AH3398">
        <v>13.4027897906156</v>
      </c>
      <c r="AI3398">
        <v>94.381221430927297</v>
      </c>
      <c r="AJ3398">
        <v>69.551307050952403</v>
      </c>
      <c r="AK3398">
        <v>14.3460820118227</v>
      </c>
      <c r="AL3398">
        <v>91.710585720558797</v>
      </c>
      <c r="AM3398">
        <v>80.100436060394102</v>
      </c>
      <c r="AN3398">
        <v>1.0000000691153601</v>
      </c>
    </row>
    <row r="3399" spans="1:40" x14ac:dyDescent="0.25">
      <c r="A3399" t="str">
        <f>"20190305135858973"</f>
        <v>20190305135858973</v>
      </c>
      <c r="B3399" t="str">
        <f>"1551765538962270"</f>
        <v>1551765538962270</v>
      </c>
      <c r="C3399" t="s">
        <v>40</v>
      </c>
      <c r="D3399">
        <v>4.1385719999999999</v>
      </c>
      <c r="E3399">
        <v>0.56855819999999901</v>
      </c>
      <c r="F3399" t="s">
        <v>42</v>
      </c>
      <c r="G3399">
        <v>-190.67869999999999</v>
      </c>
      <c r="H3399" s="1">
        <v>-3.8841130000000003E-7</v>
      </c>
      <c r="I3399">
        <v>190.0736</v>
      </c>
      <c r="J3399">
        <v>-190.33840000000001</v>
      </c>
      <c r="K3399">
        <v>1.0960799999999999</v>
      </c>
      <c r="L3399">
        <v>204.28720000000001</v>
      </c>
      <c r="M3399">
        <v>0.32316990000000001</v>
      </c>
      <c r="N3399">
        <v>-1.6772639999999998E-2</v>
      </c>
      <c r="O3399">
        <v>-0.94619240000000004</v>
      </c>
      <c r="P3399">
        <v>0.15872259999999999</v>
      </c>
      <c r="Q3399">
        <v>-4.2153389999999999E-2</v>
      </c>
      <c r="R3399">
        <v>-0.9864233</v>
      </c>
      <c r="S3399">
        <v>-6.2942499999999998E-2</v>
      </c>
      <c r="T3399">
        <v>-0.23228380000000001</v>
      </c>
      <c r="U3399">
        <v>-3.0447389999999999</v>
      </c>
      <c r="V3399">
        <v>0.1677053</v>
      </c>
      <c r="W3399">
        <v>-3.1077850000000001E-2</v>
      </c>
      <c r="X3399">
        <v>0.98534719999999998</v>
      </c>
      <c r="Y3399">
        <v>0.34237499999999998</v>
      </c>
      <c r="Z3399">
        <v>5.084603E-2</v>
      </c>
      <c r="AA3399">
        <v>0.93818659999999998</v>
      </c>
      <c r="AB3399">
        <v>27</v>
      </c>
      <c r="AC3399">
        <v>-0.340299999999984</v>
      </c>
      <c r="AD3399">
        <v>-1.0960803884113</v>
      </c>
      <c r="AE3399">
        <v>-14.2136</v>
      </c>
      <c r="AF3399">
        <v>4.88704294172791</v>
      </c>
      <c r="AG3399">
        <v>-1.0960803884113</v>
      </c>
      <c r="AH3399">
        <v>13.2618817712424</v>
      </c>
      <c r="AI3399">
        <v>94.434469168511697</v>
      </c>
      <c r="AJ3399">
        <v>69.771007630830198</v>
      </c>
      <c r="AK3399">
        <v>14.176109799467699</v>
      </c>
      <c r="AL3399">
        <v>91.780916393314897</v>
      </c>
      <c r="AM3399">
        <v>80.340862601725604</v>
      </c>
      <c r="AN3399">
        <v>1.00000000247827</v>
      </c>
    </row>
    <row r="3400" spans="1:40" x14ac:dyDescent="0.25">
      <c r="A3400" t="str">
        <f>"20190305135858991"</f>
        <v>20190305135858991</v>
      </c>
      <c r="B3400" t="str">
        <f>"1551765538982766"</f>
        <v>1551765538982766</v>
      </c>
      <c r="C3400" t="s">
        <v>40</v>
      </c>
      <c r="D3400">
        <v>4.1606709999999998</v>
      </c>
      <c r="E3400">
        <v>0.56776110000000002</v>
      </c>
      <c r="F3400" t="s">
        <v>42</v>
      </c>
      <c r="G3400">
        <v>-190.69749999999999</v>
      </c>
      <c r="H3400" s="1">
        <v>-4.1233990000000001E-7</v>
      </c>
      <c r="I3400">
        <v>190.11770000000001</v>
      </c>
      <c r="J3400">
        <v>-190.27850000000001</v>
      </c>
      <c r="K3400">
        <v>1.0963210000000001</v>
      </c>
      <c r="L3400">
        <v>204.06880000000001</v>
      </c>
      <c r="M3400">
        <v>0.31020900000000001</v>
      </c>
      <c r="N3400">
        <v>-1.6670500000000001E-2</v>
      </c>
      <c r="O3400">
        <v>-0.95052250000000005</v>
      </c>
      <c r="P3400">
        <v>0.15349989999999999</v>
      </c>
      <c r="Q3400">
        <v>-4.4347980000000002E-2</v>
      </c>
      <c r="R3400">
        <v>-0.98715339999999996</v>
      </c>
      <c r="S3400">
        <v>-7.7148439999999999E-2</v>
      </c>
      <c r="T3400">
        <v>-0.23544109999999999</v>
      </c>
      <c r="U3400">
        <v>-3.0436550000000002</v>
      </c>
      <c r="V3400">
        <v>0.15937270000000001</v>
      </c>
      <c r="W3400">
        <v>-3.2988030000000002E-2</v>
      </c>
      <c r="X3400">
        <v>0.98666719999999997</v>
      </c>
      <c r="Y3400">
        <v>0.3339106</v>
      </c>
      <c r="Z3400">
        <v>5.2491099999999902E-2</v>
      </c>
      <c r="AA3400">
        <v>0.94114200000000003</v>
      </c>
      <c r="AB3400">
        <v>27</v>
      </c>
      <c r="AC3400">
        <v>-0.418999999999982</v>
      </c>
      <c r="AD3400">
        <v>-1.0963214123399001</v>
      </c>
      <c r="AE3400">
        <v>-13.951099999999901</v>
      </c>
      <c r="AF3400">
        <v>4.6976976291683101</v>
      </c>
      <c r="AG3400">
        <v>-1.0963214123399001</v>
      </c>
      <c r="AH3400">
        <v>13.052149744269601</v>
      </c>
      <c r="AI3400">
        <v>94.518827593134404</v>
      </c>
      <c r="AJ3400">
        <v>70.205306300887401</v>
      </c>
      <c r="AK3400">
        <v>13.9150600645878</v>
      </c>
      <c r="AL3400">
        <v>91.890417831712597</v>
      </c>
      <c r="AM3400">
        <v>80.824475866791801</v>
      </c>
      <c r="AN3400">
        <v>1.0000000155922</v>
      </c>
    </row>
    <row r="3401" spans="1:40" x14ac:dyDescent="0.25">
      <c r="A3401" t="str">
        <f>"20190305135859007"</f>
        <v>20190305135859007</v>
      </c>
      <c r="B3401" t="str">
        <f>"1551765539002287"</f>
        <v>1551765539002287</v>
      </c>
      <c r="C3401" t="s">
        <v>40</v>
      </c>
      <c r="D3401">
        <v>4.1675209999999998</v>
      </c>
      <c r="E3401">
        <v>0.56698999999999999</v>
      </c>
      <c r="F3401" t="s">
        <v>42</v>
      </c>
      <c r="G3401">
        <v>-190.672</v>
      </c>
      <c r="H3401" s="1">
        <v>-4.5376870000000002E-7</v>
      </c>
      <c r="I3401">
        <v>190.23</v>
      </c>
      <c r="J3401">
        <v>-190.2319</v>
      </c>
      <c r="K3401">
        <v>1.0965450000000001</v>
      </c>
      <c r="L3401">
        <v>203.89109999999999</v>
      </c>
      <c r="M3401">
        <v>0.2998403</v>
      </c>
      <c r="N3401">
        <v>-1.6583629999999999E-2</v>
      </c>
      <c r="O3401">
        <v>-0.95384539999999995</v>
      </c>
      <c r="P3401">
        <v>0.146783</v>
      </c>
      <c r="Q3401">
        <v>-4.5043729999999997E-2</v>
      </c>
      <c r="R3401">
        <v>-0.98814299999999999</v>
      </c>
      <c r="S3401">
        <v>-8.6502079999999995E-2</v>
      </c>
      <c r="T3401">
        <v>-0.2409637</v>
      </c>
      <c r="U3401">
        <v>-3.0416720000000002</v>
      </c>
      <c r="V3401">
        <v>0.15532589999999999</v>
      </c>
      <c r="W3401">
        <v>-3.3544909999999997E-2</v>
      </c>
      <c r="X3401">
        <v>0.98729359999999999</v>
      </c>
      <c r="Y3401">
        <v>0.32654470000000002</v>
      </c>
      <c r="Z3401">
        <v>5.4725639999999999E-2</v>
      </c>
      <c r="AA3401">
        <v>0.94359610000000005</v>
      </c>
      <c r="AB3401">
        <v>27</v>
      </c>
      <c r="AC3401">
        <v>-0.44010000000000099</v>
      </c>
      <c r="AD3401">
        <v>-1.0965454537686901</v>
      </c>
      <c r="AE3401">
        <v>-13.661099999999999</v>
      </c>
      <c r="AF3401">
        <v>4.4876724967606698</v>
      </c>
      <c r="AG3401">
        <v>-1.0965454537686901</v>
      </c>
      <c r="AH3401">
        <v>12.817891100388801</v>
      </c>
      <c r="AI3401">
        <v>94.616188111620502</v>
      </c>
      <c r="AJ3401">
        <v>70.704336679459601</v>
      </c>
      <c r="AK3401">
        <v>13.624975179125601</v>
      </c>
      <c r="AL3401">
        <v>91.9223423580531</v>
      </c>
      <c r="AM3401">
        <v>81.0592293786667</v>
      </c>
      <c r="AN3401">
        <v>1.0000000243993299</v>
      </c>
    </row>
    <row r="3402" spans="1:40" x14ac:dyDescent="0.25">
      <c r="A3402" t="str">
        <f>"20190305135859025"</f>
        <v>20190305135859025</v>
      </c>
      <c r="B3402" t="str">
        <f>"1551765539022783"</f>
        <v>1551765539022783</v>
      </c>
      <c r="C3402" t="s">
        <v>40</v>
      </c>
      <c r="D3402">
        <v>4.170426</v>
      </c>
      <c r="E3402">
        <v>0.56662809999999997</v>
      </c>
      <c r="F3402" t="s">
        <v>42</v>
      </c>
      <c r="G3402">
        <v>-190.68610000000001</v>
      </c>
      <c r="H3402" s="1">
        <v>-4.3363009999999999E-7</v>
      </c>
      <c r="I3402">
        <v>190.17439999999999</v>
      </c>
      <c r="J3402">
        <v>-190.17359999999999</v>
      </c>
      <c r="K3402">
        <v>1.096884</v>
      </c>
      <c r="L3402">
        <v>203.65799999999999</v>
      </c>
      <c r="M3402">
        <v>0.28652359999999999</v>
      </c>
      <c r="N3402">
        <v>-1.6464349999999999E-2</v>
      </c>
      <c r="O3402">
        <v>-0.9579318</v>
      </c>
      <c r="P3402">
        <v>0.14161470000000001</v>
      </c>
      <c r="Q3402">
        <v>-4.597681E-2</v>
      </c>
      <c r="R3402">
        <v>-0.98885389999999995</v>
      </c>
      <c r="S3402">
        <v>-0.10066219999999999</v>
      </c>
      <c r="T3402">
        <v>-0.24301310000000001</v>
      </c>
      <c r="U3402">
        <v>-3.0398559999999999</v>
      </c>
      <c r="V3402">
        <v>0.1467203</v>
      </c>
      <c r="W3402">
        <v>-3.4185159999999999E-2</v>
      </c>
      <c r="X3402">
        <v>0.98858710000000005</v>
      </c>
      <c r="Y3402">
        <v>0.31777879999999997</v>
      </c>
      <c r="Z3402">
        <v>5.6085030000000001E-2</v>
      </c>
      <c r="AA3402">
        <v>0.94650469999999998</v>
      </c>
      <c r="AB3402">
        <v>27</v>
      </c>
      <c r="AC3402">
        <v>-0.51250000000001705</v>
      </c>
      <c r="AD3402">
        <v>-1.0968844336301</v>
      </c>
      <c r="AE3402">
        <v>-13.4835999999999</v>
      </c>
      <c r="AF3402">
        <v>4.3263104401771004</v>
      </c>
      <c r="AG3402">
        <v>-1.0968844336301</v>
      </c>
      <c r="AH3402">
        <v>12.687414862614901</v>
      </c>
      <c r="AI3402">
        <v>94.677977241850698</v>
      </c>
      <c r="AJ3402">
        <v>71.171020303228701</v>
      </c>
      <c r="AK3402">
        <v>13.449558111017099</v>
      </c>
      <c r="AL3402">
        <v>91.9590471543098</v>
      </c>
      <c r="AM3402">
        <v>81.558118891579099</v>
      </c>
      <c r="AN3402">
        <v>0.99999996294136195</v>
      </c>
    </row>
    <row r="3403" spans="1:40" x14ac:dyDescent="0.25">
      <c r="A3403" t="str">
        <f>"20190305135859048"</f>
        <v>20190305135859048</v>
      </c>
      <c r="B3403" t="str">
        <f>"1551765539042303"</f>
        <v>1551765539042303</v>
      </c>
      <c r="C3403" t="s">
        <v>40</v>
      </c>
      <c r="D3403">
        <v>4.170547</v>
      </c>
      <c r="E3403">
        <v>0.55711909999999998</v>
      </c>
      <c r="F3403" t="s">
        <v>42</v>
      </c>
      <c r="G3403">
        <v>-190.68109999999999</v>
      </c>
      <c r="H3403" s="1">
        <v>-3.8698090000000002E-7</v>
      </c>
      <c r="I3403">
        <v>190.06870000000001</v>
      </c>
      <c r="J3403">
        <v>-190.11089999999999</v>
      </c>
      <c r="K3403">
        <v>1.0973200000000001</v>
      </c>
      <c r="L3403">
        <v>203.39240000000001</v>
      </c>
      <c r="M3403">
        <v>0.27179789999999998</v>
      </c>
      <c r="N3403">
        <v>-1.6321579999999999E-2</v>
      </c>
      <c r="O3403">
        <v>-0.96221599999999996</v>
      </c>
      <c r="P3403">
        <v>0.1353452</v>
      </c>
      <c r="Q3403">
        <v>-4.5341989999999999E-2</v>
      </c>
      <c r="R3403">
        <v>-0.98976050000000004</v>
      </c>
      <c r="S3403">
        <v>-0.113494899999999</v>
      </c>
      <c r="T3403">
        <v>-0.24527360000000001</v>
      </c>
      <c r="U3403">
        <v>-3.038681</v>
      </c>
      <c r="V3403">
        <v>0.13788410000000001</v>
      </c>
      <c r="W3403">
        <v>-3.3256460000000002E-2</v>
      </c>
      <c r="X3403">
        <v>0.98988989999999999</v>
      </c>
      <c r="Y3403">
        <v>0.30723070000000002</v>
      </c>
      <c r="Z3403">
        <v>5.7573350000000002E-2</v>
      </c>
      <c r="AA3403">
        <v>0.94989190000000001</v>
      </c>
      <c r="AB3403">
        <v>27</v>
      </c>
      <c r="AC3403">
        <v>-0.57019999999999904</v>
      </c>
      <c r="AD3403">
        <v>-1.0973203869809001</v>
      </c>
      <c r="AE3403">
        <v>-13.323700000000001</v>
      </c>
      <c r="AF3403">
        <v>4.1425175004444696</v>
      </c>
      <c r="AG3403">
        <v>-1.0973203869809001</v>
      </c>
      <c r="AH3403">
        <v>12.581799271742099</v>
      </c>
      <c r="AI3403">
        <v>94.735587654575298</v>
      </c>
      <c r="AJ3403">
        <v>71.776034438855802</v>
      </c>
      <c r="AK3403">
        <v>13.291585164591201</v>
      </c>
      <c r="AL3403">
        <v>91.905806180981699</v>
      </c>
      <c r="AM3403">
        <v>82.070158865035395</v>
      </c>
      <c r="AN3403">
        <v>1.00000001564327</v>
      </c>
    </row>
    <row r="3404" spans="1:40" x14ac:dyDescent="0.25">
      <c r="A3404" t="str">
        <f>"20190305135859070"</f>
        <v>20190305135859070</v>
      </c>
      <c r="B3404" t="str">
        <f>"1551765539062798"</f>
        <v>1551765539062798</v>
      </c>
      <c r="C3404" t="s">
        <v>40</v>
      </c>
      <c r="D3404">
        <v>4.1977820000000001</v>
      </c>
      <c r="E3404">
        <v>0.55602819999999997</v>
      </c>
      <c r="F3404" t="s">
        <v>42</v>
      </c>
      <c r="G3404">
        <v>-190.4034</v>
      </c>
      <c r="H3404" s="1">
        <v>-3.0993940000000002E-6</v>
      </c>
      <c r="I3404">
        <v>186.56370000000001</v>
      </c>
      <c r="J3404">
        <v>-190.0471</v>
      </c>
      <c r="K3404">
        <v>1.0978270000000001</v>
      </c>
      <c r="L3404">
        <v>203.1044</v>
      </c>
      <c r="M3404">
        <v>0.25637969999999999</v>
      </c>
      <c r="N3404">
        <v>-1.616455E-2</v>
      </c>
      <c r="O3404">
        <v>-0.96644099999999999</v>
      </c>
      <c r="P3404">
        <v>0.1288686</v>
      </c>
      <c r="Q3404">
        <v>-4.3666049999999998E-2</v>
      </c>
      <c r="R3404">
        <v>-0.99069989999999997</v>
      </c>
      <c r="S3404">
        <v>-5.264282E-2</v>
      </c>
      <c r="T3404">
        <v>-0.1975201</v>
      </c>
      <c r="U3404">
        <v>-3.0292050000000001</v>
      </c>
      <c r="V3404">
        <v>0.12863759999999999</v>
      </c>
      <c r="W3404">
        <v>-3.128599E-2</v>
      </c>
      <c r="X3404">
        <v>0.99119809999999997</v>
      </c>
      <c r="Y3404">
        <v>0.27295930000000002</v>
      </c>
      <c r="Z3404">
        <v>4.4388820000000002E-2</v>
      </c>
      <c r="AA3404">
        <v>0.96100099999999999</v>
      </c>
      <c r="AB3404">
        <v>27</v>
      </c>
      <c r="AC3404">
        <v>-0.356300000000004</v>
      </c>
      <c r="AD3404">
        <v>-1.097830099394</v>
      </c>
      <c r="AE3404">
        <v>-16.540699999999902</v>
      </c>
      <c r="AF3404">
        <v>4.56553901484933</v>
      </c>
      <c r="AG3404">
        <v>-1.097830099394</v>
      </c>
      <c r="AH3404">
        <v>15.826652369450301</v>
      </c>
      <c r="AI3404">
        <v>93.813022723253894</v>
      </c>
      <c r="AJ3404">
        <v>73.908653848869093</v>
      </c>
      <c r="AK3404">
        <v>16.508552409181</v>
      </c>
      <c r="AL3404">
        <v>91.792847636722996</v>
      </c>
      <c r="AM3404">
        <v>82.605488889185395</v>
      </c>
      <c r="AN3404">
        <v>1.0000000593738201</v>
      </c>
    </row>
    <row r="3405" spans="1:40" x14ac:dyDescent="0.25">
      <c r="A3405" t="str">
        <f>"20190305135859085"</f>
        <v>20190305135859085</v>
      </c>
      <c r="B3405" t="str">
        <f>"1551765539082318"</f>
        <v>1551765539082318</v>
      </c>
      <c r="C3405" t="s">
        <v>40</v>
      </c>
      <c r="D3405">
        <v>4.1046100000000001</v>
      </c>
      <c r="E3405">
        <v>0.55606199999999995</v>
      </c>
      <c r="F3405" t="s">
        <v>42</v>
      </c>
      <c r="G3405">
        <v>-190.41130000000001</v>
      </c>
      <c r="H3405" s="1">
        <v>-2.7430799999999999E-6</v>
      </c>
      <c r="I3405">
        <v>185.72819999999999</v>
      </c>
      <c r="J3405">
        <v>-190.0111</v>
      </c>
      <c r="K3405">
        <v>1.0981430000000001</v>
      </c>
      <c r="L3405">
        <v>202.93260000000001</v>
      </c>
      <c r="M3405">
        <v>0.24749090000000001</v>
      </c>
      <c r="N3405">
        <v>-1.6070350000000001E-2</v>
      </c>
      <c r="O3405">
        <v>-0.96875690000000003</v>
      </c>
      <c r="P3405">
        <v>0.124297699999999</v>
      </c>
      <c r="Q3405">
        <v>-4.3061679999999998E-2</v>
      </c>
      <c r="R3405">
        <v>-0.99131020000000003</v>
      </c>
      <c r="S3405">
        <v>-6.3461299999999998E-2</v>
      </c>
      <c r="T3405">
        <v>-0.19130659999999999</v>
      </c>
      <c r="U3405">
        <v>-3.0279690000000001</v>
      </c>
      <c r="V3405">
        <v>0.12415080000000001</v>
      </c>
      <c r="W3405">
        <v>-3.0544660000000001E-2</v>
      </c>
      <c r="X3405">
        <v>0.99179309999999998</v>
      </c>
      <c r="Y3405">
        <v>0.2675689</v>
      </c>
      <c r="Z3405">
        <v>4.2865809999999997E-2</v>
      </c>
      <c r="AA3405">
        <v>0.96258469999999996</v>
      </c>
      <c r="AB3405">
        <v>27</v>
      </c>
      <c r="AC3405">
        <v>-0.40020000000001199</v>
      </c>
      <c r="AD3405">
        <v>-1.0981457430799999</v>
      </c>
      <c r="AE3405">
        <v>-17.2044</v>
      </c>
      <c r="AF3405">
        <v>4.6273864646682998</v>
      </c>
      <c r="AG3405">
        <v>-1.0981457430799999</v>
      </c>
      <c r="AH3405">
        <v>16.502776666099599</v>
      </c>
      <c r="AI3405">
        <v>93.666040265924394</v>
      </c>
      <c r="AJ3405">
        <v>74.3364782186474</v>
      </c>
      <c r="AK3405">
        <v>17.174407333518101</v>
      </c>
      <c r="AL3405">
        <v>91.750352392751495</v>
      </c>
      <c r="AM3405">
        <v>82.864935109983904</v>
      </c>
      <c r="AN3405">
        <v>0.99999997530138196</v>
      </c>
    </row>
    <row r="3406" spans="1:40" x14ac:dyDescent="0.25">
      <c r="A3406" t="str">
        <f>"20190305135859097"</f>
        <v>20190305135859097</v>
      </c>
      <c r="B3406" t="str">
        <f>"1551765539092078"</f>
        <v>1551765539092078</v>
      </c>
      <c r="C3406" t="s">
        <v>40</v>
      </c>
      <c r="D3406">
        <v>4.145721</v>
      </c>
      <c r="E3406">
        <v>0.55547979999999997</v>
      </c>
      <c r="F3406" t="s">
        <v>42</v>
      </c>
      <c r="G3406">
        <v>-190.48320000000001</v>
      </c>
      <c r="H3406" s="1">
        <v>-2.116072E-6</v>
      </c>
      <c r="I3406">
        <v>184.22200000000001</v>
      </c>
      <c r="J3406">
        <v>-189.97890000000001</v>
      </c>
      <c r="K3406">
        <v>1.0984389999999999</v>
      </c>
      <c r="L3406">
        <v>202.77449999999999</v>
      </c>
      <c r="M3406">
        <v>0.239483</v>
      </c>
      <c r="N3406">
        <v>-1.598457E-2</v>
      </c>
      <c r="O3406">
        <v>-0.9707692</v>
      </c>
      <c r="P3406">
        <v>0.1204268</v>
      </c>
      <c r="Q3406">
        <v>-4.2431749999999997E-2</v>
      </c>
      <c r="R3406">
        <v>-0.99181529999999996</v>
      </c>
      <c r="S3406">
        <v>-7.6416020000000001E-2</v>
      </c>
      <c r="T3406">
        <v>-0.17772750000000001</v>
      </c>
      <c r="U3406">
        <v>-3.0281829999999998</v>
      </c>
      <c r="V3406">
        <v>0.1198782</v>
      </c>
      <c r="W3406">
        <v>-2.9787910000000001E-2</v>
      </c>
      <c r="X3406">
        <v>0.99234160000000005</v>
      </c>
      <c r="Y3406">
        <v>0.26374379999999997</v>
      </c>
      <c r="Z3406">
        <v>3.8971760000000001E-2</v>
      </c>
      <c r="AA3406">
        <v>0.96380520000000003</v>
      </c>
      <c r="AB3406">
        <v>27</v>
      </c>
      <c r="AC3406">
        <v>-0.50429999999999997</v>
      </c>
      <c r="AD3406">
        <v>-1.098441116072</v>
      </c>
      <c r="AE3406">
        <v>-18.552499999999899</v>
      </c>
      <c r="AF3406">
        <v>4.91597623868096</v>
      </c>
      <c r="AG3406">
        <v>-1.098441116072</v>
      </c>
      <c r="AH3406">
        <v>17.829252007453199</v>
      </c>
      <c r="AI3406">
        <v>93.398954432332403</v>
      </c>
      <c r="AJ3406">
        <v>74.585119917526697</v>
      </c>
      <c r="AK3406">
        <v>18.527159048543499</v>
      </c>
      <c r="AL3406">
        <v>91.706974065281301</v>
      </c>
      <c r="AM3406">
        <v>83.111855156015295</v>
      </c>
      <c r="AN3406">
        <v>0.999999976753983</v>
      </c>
    </row>
    <row r="3407" spans="1:40" x14ac:dyDescent="0.25">
      <c r="A3407" t="str">
        <f>"20190305135859113"</f>
        <v>20190305135859113</v>
      </c>
      <c r="B3407" t="str">
        <f>"1551765539102815"</f>
        <v>1551765539102815</v>
      </c>
      <c r="C3407" t="s">
        <v>40</v>
      </c>
      <c r="D3407">
        <v>4.1355919999999999</v>
      </c>
      <c r="E3407">
        <v>0.55496350000000005</v>
      </c>
      <c r="F3407" t="s">
        <v>42</v>
      </c>
      <c r="G3407">
        <v>-190.499</v>
      </c>
      <c r="H3407" s="1">
        <v>-2.0073919999999998E-6</v>
      </c>
      <c r="I3407">
        <v>183.9589</v>
      </c>
      <c r="J3407">
        <v>-189.94290000000001</v>
      </c>
      <c r="K3407">
        <v>1.0988009999999999</v>
      </c>
      <c r="L3407">
        <v>202.58779999999999</v>
      </c>
      <c r="M3407">
        <v>0.23044439999999999</v>
      </c>
      <c r="N3407">
        <v>-1.5876919999999999E-2</v>
      </c>
      <c r="O3407">
        <v>-0.97295609999999999</v>
      </c>
      <c r="P3407">
        <v>0.11943529999999999</v>
      </c>
      <c r="Q3407">
        <v>-4.1911410000000003E-2</v>
      </c>
      <c r="R3407">
        <v>-0.99195719999999998</v>
      </c>
      <c r="S3407">
        <v>-8.3679199999999995E-2</v>
      </c>
      <c r="T3407">
        <v>-0.17673559999999999</v>
      </c>
      <c r="U3407">
        <v>-3.027374</v>
      </c>
      <c r="V3407">
        <v>0.1116866</v>
      </c>
      <c r="W3407">
        <v>-2.9040139999999999E-2</v>
      </c>
      <c r="X3407">
        <v>0.99331910000000001</v>
      </c>
      <c r="Y3407">
        <v>0.2570906</v>
      </c>
      <c r="Z3407">
        <v>3.9027069999999997E-2</v>
      </c>
      <c r="AA3407">
        <v>0.96559890000000004</v>
      </c>
      <c r="AB3407">
        <v>27</v>
      </c>
      <c r="AC3407">
        <v>-0.55610000000001403</v>
      </c>
      <c r="AD3407">
        <v>-1.0988030073920001</v>
      </c>
      <c r="AE3407">
        <v>-18.628899999999899</v>
      </c>
      <c r="AF3407">
        <v>4.81784850909564</v>
      </c>
      <c r="AG3407">
        <v>-1.0988030073920001</v>
      </c>
      <c r="AH3407">
        <v>17.936869692361</v>
      </c>
      <c r="AI3407">
        <v>93.385812401519701</v>
      </c>
      <c r="AJ3407">
        <v>74.965199175006006</v>
      </c>
      <c r="AK3407">
        <v>18.605115604757401</v>
      </c>
      <c r="AL3407">
        <v>91.664111362904194</v>
      </c>
      <c r="AM3407">
        <v>83.584733365621304</v>
      </c>
      <c r="AN3407">
        <v>1.0000000303877901</v>
      </c>
    </row>
    <row r="3408" spans="1:40" x14ac:dyDescent="0.25">
      <c r="A3408" t="str">
        <f>"20190305135859137"</f>
        <v>20190305135859137</v>
      </c>
      <c r="B3408" t="str">
        <f>"1551765539132094"</f>
        <v>1551765539132094</v>
      </c>
      <c r="C3408" t="s">
        <v>40</v>
      </c>
      <c r="D3408">
        <v>4.1888160000000001</v>
      </c>
      <c r="E3408">
        <v>0.55382449999999905</v>
      </c>
      <c r="F3408" t="s">
        <v>42</v>
      </c>
      <c r="G3408">
        <v>-190.45269999999999</v>
      </c>
      <c r="H3408" s="1">
        <v>-1.961809E-6</v>
      </c>
      <c r="I3408">
        <v>183.88140000000001</v>
      </c>
      <c r="J3408">
        <v>-189.88849999999999</v>
      </c>
      <c r="K3408">
        <v>1.0994189999999999</v>
      </c>
      <c r="L3408">
        <v>202.29339999999999</v>
      </c>
      <c r="M3408">
        <v>0.21680940000000001</v>
      </c>
      <c r="N3408">
        <v>-1.5704510000000001E-2</v>
      </c>
      <c r="O3408">
        <v>-0.9760877</v>
      </c>
      <c r="P3408">
        <v>0.1126935</v>
      </c>
      <c r="Q3408">
        <v>-4.2434659999999999E-2</v>
      </c>
      <c r="R3408">
        <v>-0.99272329999999998</v>
      </c>
      <c r="S3408">
        <v>-8.2489010000000001E-2</v>
      </c>
      <c r="T3408">
        <v>-0.17779020000000001</v>
      </c>
      <c r="U3408">
        <v>-3.026764</v>
      </c>
      <c r="V3408">
        <v>0.1045619</v>
      </c>
      <c r="W3408">
        <v>-2.9379869999999999E-2</v>
      </c>
      <c r="X3408">
        <v>0.99408430000000003</v>
      </c>
      <c r="Y3408">
        <v>0.24317939999999999</v>
      </c>
      <c r="Z3408">
        <v>3.9922829999999999E-2</v>
      </c>
      <c r="AA3408">
        <v>0.9691594</v>
      </c>
      <c r="AB3408">
        <v>27</v>
      </c>
      <c r="AC3408">
        <v>-0.56419999999999904</v>
      </c>
      <c r="AD3408">
        <v>-1.0994209618089901</v>
      </c>
      <c r="AE3408">
        <v>-18.4119999999999</v>
      </c>
      <c r="AF3408">
        <v>4.5270370823321802</v>
      </c>
      <c r="AG3408">
        <v>-1.0994209618089901</v>
      </c>
      <c r="AH3408">
        <v>17.788237801839301</v>
      </c>
      <c r="AI3408">
        <v>93.427737956037802</v>
      </c>
      <c r="AJ3408">
        <v>75.7215602224951</v>
      </c>
      <c r="AK3408">
        <v>18.3881536672626</v>
      </c>
      <c r="AL3408">
        <v>91.683584849107206</v>
      </c>
      <c r="AM3408">
        <v>83.995471980398506</v>
      </c>
      <c r="AN3408">
        <v>0.99999998159965797</v>
      </c>
    </row>
    <row r="3409" spans="1:40" x14ac:dyDescent="0.25">
      <c r="A3409" t="str">
        <f>"20190305135859160"</f>
        <v>20190305135859160</v>
      </c>
      <c r="B3409" t="str">
        <f>"1551765539152589"</f>
        <v>1551765539152589</v>
      </c>
      <c r="C3409" t="s">
        <v>40</v>
      </c>
      <c r="D3409">
        <v>4.1262850000000002</v>
      </c>
      <c r="E3409">
        <v>0.55310969999999904</v>
      </c>
      <c r="F3409" t="s">
        <v>42</v>
      </c>
      <c r="G3409">
        <v>-190.45699999999999</v>
      </c>
      <c r="H3409" s="1">
        <v>-1.98779E-6</v>
      </c>
      <c r="I3409">
        <v>183.9392</v>
      </c>
      <c r="J3409">
        <v>-189.84010000000001</v>
      </c>
      <c r="K3409">
        <v>1.1000479999999999</v>
      </c>
      <c r="L3409">
        <v>202.01310000000001</v>
      </c>
      <c r="M3409">
        <v>0.20475670000000001</v>
      </c>
      <c r="N3409">
        <v>-1.5533999999999999E-2</v>
      </c>
      <c r="O3409">
        <v>-0.9786897</v>
      </c>
      <c r="P3409">
        <v>0.1072056</v>
      </c>
      <c r="Q3409">
        <v>-4.4512910000000003E-2</v>
      </c>
      <c r="R3409">
        <v>-0.99324009999999996</v>
      </c>
      <c r="S3409">
        <v>-9.3688960000000002E-2</v>
      </c>
      <c r="T3409">
        <v>-0.1811922</v>
      </c>
      <c r="U3409">
        <v>-3.0248870000000001</v>
      </c>
      <c r="V3409">
        <v>9.7775500000000001E-2</v>
      </c>
      <c r="W3409">
        <v>-3.1300729999999999E-2</v>
      </c>
      <c r="X3409">
        <v>0.99471620000000005</v>
      </c>
      <c r="Y3409">
        <v>0.2348141</v>
      </c>
      <c r="Z3409">
        <v>4.147911E-2</v>
      </c>
      <c r="AA3409">
        <v>0.97115490000000004</v>
      </c>
      <c r="AB3409">
        <v>27</v>
      </c>
      <c r="AC3409">
        <v>-0.61689999999998602</v>
      </c>
      <c r="AD3409">
        <v>-1.1000499877900001</v>
      </c>
      <c r="AE3409">
        <v>-18.073899999999998</v>
      </c>
      <c r="AF3409">
        <v>4.2891545650273297</v>
      </c>
      <c r="AG3409">
        <v>-1.1000499877900001</v>
      </c>
      <c r="AH3409">
        <v>17.499792189226099</v>
      </c>
      <c r="AI3409">
        <v>93.493780165655394</v>
      </c>
      <c r="AJ3409">
        <v>76.228431746653399</v>
      </c>
      <c r="AK3409">
        <v>18.051306975519299</v>
      </c>
      <c r="AL3409">
        <v>91.793692604734602</v>
      </c>
      <c r="AM3409">
        <v>84.3861525368158</v>
      </c>
      <c r="AN3409">
        <v>1.00000005132061</v>
      </c>
    </row>
    <row r="3410" spans="1:40" x14ac:dyDescent="0.25">
      <c r="A3410" t="str">
        <f>"20190305135859173"</f>
        <v>20190305135859173</v>
      </c>
      <c r="B3410" t="str">
        <f>"1551765539162351"</f>
        <v>1551765539162351</v>
      </c>
      <c r="C3410" t="s">
        <v>40</v>
      </c>
      <c r="D3410">
        <v>4.1493200000000003</v>
      </c>
      <c r="E3410">
        <v>0.55278090000000002</v>
      </c>
      <c r="F3410" t="s">
        <v>42</v>
      </c>
      <c r="G3410">
        <v>-190.45070000000001</v>
      </c>
      <c r="H3410" s="1">
        <v>-2.1714960000000002E-6</v>
      </c>
      <c r="I3410">
        <v>184.37139999999999</v>
      </c>
      <c r="J3410">
        <v>-189.8134</v>
      </c>
      <c r="K3410">
        <v>1.1004370000000001</v>
      </c>
      <c r="L3410">
        <v>201.851</v>
      </c>
      <c r="M3410">
        <v>0.19821610000000001</v>
      </c>
      <c r="N3410">
        <v>-1.5435310000000001E-2</v>
      </c>
      <c r="O3410">
        <v>-0.98003689999999999</v>
      </c>
      <c r="P3410">
        <v>0.10442070000000001</v>
      </c>
      <c r="Q3410">
        <v>-4.6136290000000003E-2</v>
      </c>
      <c r="R3410">
        <v>-0.99346270000000003</v>
      </c>
      <c r="S3410">
        <v>-0.1046295</v>
      </c>
      <c r="T3410">
        <v>-0.18851599999999999</v>
      </c>
      <c r="U3410">
        <v>-3.0232700000000001</v>
      </c>
      <c r="V3410">
        <v>9.3900570000000003E-2</v>
      </c>
      <c r="W3410">
        <v>-3.2839599999999997E-2</v>
      </c>
      <c r="X3410">
        <v>0.99503980000000003</v>
      </c>
      <c r="Y3410">
        <v>0.2318424</v>
      </c>
      <c r="Z3410">
        <v>4.4048820000000002E-2</v>
      </c>
      <c r="AA3410">
        <v>0.97175560000000005</v>
      </c>
      <c r="AB3410">
        <v>27</v>
      </c>
      <c r="AC3410">
        <v>-0.63730000000000997</v>
      </c>
      <c r="AD3410">
        <v>-1.100439171496</v>
      </c>
      <c r="AE3410">
        <v>-17.479600000000001</v>
      </c>
      <c r="AF3410">
        <v>4.0736782535538598</v>
      </c>
      <c r="AG3410">
        <v>-1.100439171496</v>
      </c>
      <c r="AH3410">
        <v>16.9393058960075</v>
      </c>
      <c r="AI3410">
        <v>93.614163367977397</v>
      </c>
      <c r="AJ3410">
        <v>76.477900993094494</v>
      </c>
      <c r="AK3410">
        <v>17.4569729656133</v>
      </c>
      <c r="AL3410">
        <v>91.881908876085902</v>
      </c>
      <c r="AM3410">
        <v>84.609039349657195</v>
      </c>
      <c r="AN3410">
        <v>0.99999997997926204</v>
      </c>
    </row>
    <row r="3411" spans="1:40" x14ac:dyDescent="0.25">
      <c r="A3411" t="str">
        <f>"20190305135859191"</f>
        <v>20190305135859191</v>
      </c>
      <c r="B3411" t="str">
        <f>"1551765539182849"</f>
        <v>1551765539182849</v>
      </c>
      <c r="C3411" t="s">
        <v>40</v>
      </c>
      <c r="D3411">
        <v>4.1314630000000001</v>
      </c>
      <c r="E3411">
        <v>0.54697689999999999</v>
      </c>
      <c r="F3411" t="s">
        <v>42</v>
      </c>
      <c r="G3411">
        <v>-190.44139999999999</v>
      </c>
      <c r="H3411" s="1">
        <v>-2.298188E-6</v>
      </c>
      <c r="I3411">
        <v>184.67250000000001</v>
      </c>
      <c r="J3411">
        <v>-189.7773</v>
      </c>
      <c r="K3411">
        <v>1.1009639999999901</v>
      </c>
      <c r="L3411">
        <v>201.62450000000001</v>
      </c>
      <c r="M3411">
        <v>0.18947430000000001</v>
      </c>
      <c r="N3411">
        <v>-1.5302629999999999E-2</v>
      </c>
      <c r="O3411">
        <v>-0.98176649999999999</v>
      </c>
      <c r="P3411">
        <v>0.1044361</v>
      </c>
      <c r="Q3411">
        <v>-4.9616720000000003E-2</v>
      </c>
      <c r="R3411">
        <v>-0.99329319999999999</v>
      </c>
      <c r="S3411">
        <v>-0.1104889</v>
      </c>
      <c r="T3411">
        <v>-0.19361159999999999</v>
      </c>
      <c r="U3411">
        <v>-3.0223849999999999</v>
      </c>
      <c r="V3411">
        <v>8.4956160000000003E-2</v>
      </c>
      <c r="W3411">
        <v>-3.6139030000000003E-2</v>
      </c>
      <c r="X3411">
        <v>0.99572910000000003</v>
      </c>
      <c r="Y3411">
        <v>0.2250586</v>
      </c>
      <c r="Z3411">
        <v>4.6017330000000002E-2</v>
      </c>
      <c r="AA3411">
        <v>0.97325799999999996</v>
      </c>
      <c r="AB3411">
        <v>27</v>
      </c>
      <c r="AC3411">
        <v>-0.66409999999999003</v>
      </c>
      <c r="AD3411">
        <v>-1.10096629818799</v>
      </c>
      <c r="AE3411">
        <v>-16.951999999999899</v>
      </c>
      <c r="AF3411">
        <v>3.8482048452612601</v>
      </c>
      <c r="AG3411">
        <v>-1.10096629818799</v>
      </c>
      <c r="AH3411">
        <v>16.449730328673201</v>
      </c>
      <c r="AI3411">
        <v>93.728672306842995</v>
      </c>
      <c r="AJ3411">
        <v>76.833166256919398</v>
      </c>
      <c r="AK3411">
        <v>16.929690936544201</v>
      </c>
      <c r="AL3411">
        <v>92.071064853705593</v>
      </c>
      <c r="AM3411">
        <v>85.123302840078495</v>
      </c>
      <c r="AN3411">
        <v>1.00000000959904</v>
      </c>
    </row>
    <row r="3412" spans="1:40" x14ac:dyDescent="0.25">
      <c r="A3412" t="str">
        <f>"20190305135859204"</f>
        <v>20190305135859204</v>
      </c>
      <c r="B3412" t="str">
        <f>"1551765539202366"</f>
        <v>1551765539202366</v>
      </c>
      <c r="C3412" t="s">
        <v>40</v>
      </c>
      <c r="D3412">
        <v>4.1465690000000004</v>
      </c>
      <c r="E3412">
        <v>0.54723730000000004</v>
      </c>
      <c r="F3412" t="s">
        <v>42</v>
      </c>
      <c r="G3412">
        <v>-190.12610000000001</v>
      </c>
      <c r="H3412" s="1">
        <v>-2.4936690000000001E-6</v>
      </c>
      <c r="I3412">
        <v>185.3237</v>
      </c>
      <c r="J3412">
        <v>-189.75360000000001</v>
      </c>
      <c r="K3412">
        <v>1.101318</v>
      </c>
      <c r="L3412">
        <v>201.47020000000001</v>
      </c>
      <c r="M3412">
        <v>0.18382490000000001</v>
      </c>
      <c r="N3412">
        <v>-1.521525E-2</v>
      </c>
      <c r="O3412">
        <v>-0.98284150000000003</v>
      </c>
      <c r="P3412">
        <v>0.103787</v>
      </c>
      <c r="Q3412">
        <v>-5.0803719999999997E-2</v>
      </c>
      <c r="R3412">
        <v>-0.99330130000000005</v>
      </c>
      <c r="S3412">
        <v>-6.4544679999999993E-2</v>
      </c>
      <c r="T3412">
        <v>-0.20376050000000001</v>
      </c>
      <c r="U3412">
        <v>-3.016861</v>
      </c>
      <c r="V3412">
        <v>7.9877820000000002E-2</v>
      </c>
      <c r="W3412">
        <v>-3.7234650000000001E-2</v>
      </c>
      <c r="X3412">
        <v>0.99610900000000002</v>
      </c>
      <c r="Y3412">
        <v>0.2046683</v>
      </c>
      <c r="Z3412">
        <v>4.9725180000000001E-2</v>
      </c>
      <c r="AA3412">
        <v>0.97756759999999998</v>
      </c>
      <c r="AB3412">
        <v>27</v>
      </c>
      <c r="AC3412">
        <v>-0.372500000000002</v>
      </c>
      <c r="AD3412">
        <v>-1.101320493669</v>
      </c>
      <c r="AE3412">
        <v>-16.1465</v>
      </c>
      <c r="AF3412">
        <v>3.3191886130916601</v>
      </c>
      <c r="AG3412">
        <v>-1.101320493669</v>
      </c>
      <c r="AH3412">
        <v>15.729660105304101</v>
      </c>
      <c r="AI3412">
        <v>93.919034709159305</v>
      </c>
      <c r="AJ3412">
        <v>78.084552947638301</v>
      </c>
      <c r="AK3412">
        <v>16.113724799296001</v>
      </c>
      <c r="AL3412">
        <v>92.133881539322402</v>
      </c>
      <c r="AM3412">
        <v>85.415271119004998</v>
      </c>
      <c r="AN3412">
        <v>1.0000000125847801</v>
      </c>
    </row>
    <row r="3413" spans="1:40" x14ac:dyDescent="0.25">
      <c r="A3413" t="str">
        <f>"20190305135859225"</f>
        <v>20190305135859225</v>
      </c>
      <c r="B3413" t="str">
        <f>"1551765539222862"</f>
        <v>1551765539222862</v>
      </c>
      <c r="C3413" t="s">
        <v>40</v>
      </c>
      <c r="D3413">
        <v>4.1490210000000003</v>
      </c>
      <c r="E3413">
        <v>0.54637009999999997</v>
      </c>
      <c r="F3413" t="s">
        <v>42</v>
      </c>
      <c r="G3413">
        <v>-190.12280000000001</v>
      </c>
      <c r="H3413" s="1">
        <v>-2.433374E-6</v>
      </c>
      <c r="I3413">
        <v>185.18520000000001</v>
      </c>
      <c r="J3413">
        <v>-189.71600000000001</v>
      </c>
      <c r="K3413">
        <v>1.1019099999999999</v>
      </c>
      <c r="L3413">
        <v>201.2158</v>
      </c>
      <c r="M3413">
        <v>0.1751142</v>
      </c>
      <c r="N3413">
        <v>-1.5074260000000001E-2</v>
      </c>
      <c r="O3413">
        <v>-0.98443270000000005</v>
      </c>
      <c r="P3413">
        <v>0.1041734</v>
      </c>
      <c r="Q3413">
        <v>-5.1107979999999997E-2</v>
      </c>
      <c r="R3413">
        <v>-0.9932455</v>
      </c>
      <c r="S3413">
        <v>-6.8389889999999995E-2</v>
      </c>
      <c r="T3413">
        <v>-0.2040303</v>
      </c>
      <c r="U3413">
        <v>-3.016953</v>
      </c>
      <c r="V3413">
        <v>7.0715139999999996E-2</v>
      </c>
      <c r="W3413">
        <v>-3.7387049999999998E-2</v>
      </c>
      <c r="X3413">
        <v>0.99679569999999995</v>
      </c>
      <c r="Y3413">
        <v>0.197245</v>
      </c>
      <c r="Z3413">
        <v>5.0160999999999997E-2</v>
      </c>
      <c r="AA3413">
        <v>0.97907010000000005</v>
      </c>
      <c r="AB3413">
        <v>27</v>
      </c>
      <c r="AC3413">
        <v>-0.40680000000003202</v>
      </c>
      <c r="AD3413">
        <v>-1.101912433374</v>
      </c>
      <c r="AE3413">
        <v>-16.0305999999999</v>
      </c>
      <c r="AF3413">
        <v>3.19294080421</v>
      </c>
      <c r="AG3413">
        <v>-1.101912433374</v>
      </c>
      <c r="AH3413">
        <v>15.6377562976659</v>
      </c>
      <c r="AI3413">
        <v>93.949457062649699</v>
      </c>
      <c r="AJ3413">
        <v>78.459885325816302</v>
      </c>
      <c r="AK3413">
        <v>15.998390669539299</v>
      </c>
      <c r="AL3413">
        <v>92.142619430630006</v>
      </c>
      <c r="AM3413">
        <v>85.942094874157306</v>
      </c>
      <c r="AN3413">
        <v>1.0000000450357001</v>
      </c>
    </row>
    <row r="3414" spans="1:40" x14ac:dyDescent="0.25">
      <c r="A3414" t="str">
        <f>"20190305135859239"</f>
        <v>20190305135859239</v>
      </c>
      <c r="B3414" t="str">
        <f>"1551765539232622"</f>
        <v>1551765539232622</v>
      </c>
      <c r="C3414" t="s">
        <v>40</v>
      </c>
      <c r="D3414">
        <v>4.0925149999999997</v>
      </c>
      <c r="E3414">
        <v>0.54601259999999996</v>
      </c>
      <c r="F3414" t="s">
        <v>42</v>
      </c>
      <c r="G3414">
        <v>-190.036</v>
      </c>
      <c r="H3414" s="1">
        <v>-2.4679600000000001E-6</v>
      </c>
      <c r="I3414">
        <v>185.31970000000001</v>
      </c>
      <c r="J3414">
        <v>-189.6925</v>
      </c>
      <c r="K3414">
        <v>1.1023000000000001</v>
      </c>
      <c r="L3414">
        <v>201.05160000000001</v>
      </c>
      <c r="M3414">
        <v>0.16982620000000001</v>
      </c>
      <c r="N3414">
        <v>-1.4984549999999999E-2</v>
      </c>
      <c r="O3414">
        <v>-0.98536000000000001</v>
      </c>
      <c r="P3414">
        <v>0.1023893</v>
      </c>
      <c r="Q3414">
        <v>-5.0012979999999999E-2</v>
      </c>
      <c r="R3414">
        <v>-0.99348619999999999</v>
      </c>
      <c r="S3414">
        <v>-6.0699459999999997E-2</v>
      </c>
      <c r="T3414">
        <v>-0.2090677</v>
      </c>
      <c r="U3414">
        <v>-3.0159910000000001</v>
      </c>
      <c r="V3414">
        <v>6.7217490000000005E-2</v>
      </c>
      <c r="W3414">
        <v>-3.6249719999999999E-2</v>
      </c>
      <c r="X3414">
        <v>0.99707959999999995</v>
      </c>
      <c r="Y3414">
        <v>0.18948860000000001</v>
      </c>
      <c r="Z3414">
        <v>5.20317E-2</v>
      </c>
      <c r="AA3414">
        <v>0.98050329999999997</v>
      </c>
      <c r="AB3414">
        <v>27</v>
      </c>
      <c r="AC3414">
        <v>-0.34349999999997699</v>
      </c>
      <c r="AD3414">
        <v>-1.10230246796</v>
      </c>
      <c r="AE3414">
        <v>-15.7318999999999</v>
      </c>
      <c r="AF3414">
        <v>2.9957973286831998</v>
      </c>
      <c r="AG3414">
        <v>-1.10230246796</v>
      </c>
      <c r="AH3414">
        <v>15.369564019871399</v>
      </c>
      <c r="AI3414">
        <v>94.026696008668196</v>
      </c>
      <c r="AJ3414">
        <v>78.970343613987296</v>
      </c>
      <c r="AK3414">
        <v>15.6975593812013</v>
      </c>
      <c r="AL3414">
        <v>92.077411141271696</v>
      </c>
      <c r="AM3414">
        <v>86.143276779193499</v>
      </c>
      <c r="AN3414">
        <v>0.99999998094906895</v>
      </c>
    </row>
    <row r="3415" spans="1:40" x14ac:dyDescent="0.25">
      <c r="A3415" t="str">
        <f>"20190305135859251"</f>
        <v>20190305135859251</v>
      </c>
      <c r="B3415" t="str">
        <f>"1551765539242383"</f>
        <v>1551765539242383</v>
      </c>
      <c r="C3415" t="s">
        <v>40</v>
      </c>
      <c r="D3415">
        <v>4.0848719999999998</v>
      </c>
      <c r="E3415">
        <v>0.54601259999999996</v>
      </c>
      <c r="F3415" t="s">
        <v>42</v>
      </c>
      <c r="G3415">
        <v>-190.03059999999999</v>
      </c>
      <c r="H3415" s="1">
        <v>-2.3013989999999999E-6</v>
      </c>
      <c r="I3415">
        <v>184.9348</v>
      </c>
      <c r="J3415">
        <v>-189.67070000000001</v>
      </c>
      <c r="K3415">
        <v>1.1026670000000001</v>
      </c>
      <c r="L3415">
        <v>200.89410000000001</v>
      </c>
      <c r="M3415">
        <v>0.1651464</v>
      </c>
      <c r="N3415">
        <v>-1.4897759999999999E-2</v>
      </c>
      <c r="O3415">
        <v>-0.9861567</v>
      </c>
      <c r="P3415">
        <v>0.1007039</v>
      </c>
      <c r="Q3415">
        <v>-4.8381779999999999E-2</v>
      </c>
      <c r="R3415">
        <v>-0.99373959999999995</v>
      </c>
      <c r="S3415">
        <v>-6.3262940000000004E-2</v>
      </c>
      <c r="T3415">
        <v>-0.2062657</v>
      </c>
      <c r="U3415">
        <v>-3.0158230000000001</v>
      </c>
      <c r="V3415">
        <v>6.4248020000000003E-2</v>
      </c>
      <c r="W3415">
        <v>-3.4591950000000003E-2</v>
      </c>
      <c r="X3415">
        <v>0.99733419999999895</v>
      </c>
      <c r="Y3415">
        <v>0.18566559999999999</v>
      </c>
      <c r="Z3415">
        <v>5.1332719999999998E-2</v>
      </c>
      <c r="AA3415">
        <v>0.98127120000000001</v>
      </c>
      <c r="AB3415">
        <v>27</v>
      </c>
      <c r="AC3415">
        <v>-0.35989999999998101</v>
      </c>
      <c r="AD3415">
        <v>-1.1026693013989901</v>
      </c>
      <c r="AE3415">
        <v>-15.959300000000001</v>
      </c>
      <c r="AF3415">
        <v>2.9766674402401101</v>
      </c>
      <c r="AG3415">
        <v>-1.1026693013989901</v>
      </c>
      <c r="AH3415">
        <v>15.606209354029399</v>
      </c>
      <c r="AI3415">
        <v>93.970224281449603</v>
      </c>
      <c r="AJ3415">
        <v>79.201332713476106</v>
      </c>
      <c r="AK3415">
        <v>15.9257715367209</v>
      </c>
      <c r="AL3415">
        <v>91.9823683072824</v>
      </c>
      <c r="AM3415">
        <v>86.314113260083701</v>
      </c>
      <c r="AN3415">
        <v>0.99999995878418002</v>
      </c>
    </row>
    <row r="3416" spans="1:40" x14ac:dyDescent="0.25">
      <c r="A3416" t="str">
        <f>"20190305135859263"</f>
        <v>20190305135859263</v>
      </c>
      <c r="B3416" t="str">
        <f>"1551765539252142"</f>
        <v>1551765539252142</v>
      </c>
      <c r="C3416" t="s">
        <v>40</v>
      </c>
      <c r="D3416">
        <v>4.0987070000000001</v>
      </c>
      <c r="E3416">
        <v>0.54823690000000003</v>
      </c>
      <c r="F3416" t="s">
        <v>42</v>
      </c>
      <c r="G3416">
        <v>-190.04409999999999</v>
      </c>
      <c r="H3416" s="1">
        <v>-2.0832619999999998E-6</v>
      </c>
      <c r="I3416">
        <v>184.4179</v>
      </c>
      <c r="J3416">
        <v>-189.6514</v>
      </c>
      <c r="K3416">
        <v>1.103002</v>
      </c>
      <c r="L3416">
        <v>200.7516</v>
      </c>
      <c r="M3416">
        <v>0.16108430000000001</v>
      </c>
      <c r="N3416">
        <v>-1.4822109999999999E-2</v>
      </c>
      <c r="O3416">
        <v>-0.98682950000000003</v>
      </c>
      <c r="P3416">
        <v>9.9398609999999998E-2</v>
      </c>
      <c r="Q3416">
        <v>-4.7141849999999999E-2</v>
      </c>
      <c r="R3416">
        <v>-0.99393050000000005</v>
      </c>
      <c r="S3416">
        <v>-6.8344119999999994E-2</v>
      </c>
      <c r="T3416">
        <v>-0.2018462</v>
      </c>
      <c r="U3416">
        <v>-3.016006</v>
      </c>
      <c r="V3416">
        <v>6.1508449999999999E-2</v>
      </c>
      <c r="W3416">
        <v>-3.3329030000000003E-2</v>
      </c>
      <c r="X3416">
        <v>0.99755000000000005</v>
      </c>
      <c r="Y3416">
        <v>0.18327599999999999</v>
      </c>
      <c r="Z3416">
        <v>5.0070139999999999E-2</v>
      </c>
      <c r="AA3416">
        <v>0.98178549999999998</v>
      </c>
      <c r="AB3416">
        <v>27</v>
      </c>
      <c r="AC3416">
        <v>-0.39269999999999</v>
      </c>
      <c r="AD3416">
        <v>-1.1030040832619901</v>
      </c>
      <c r="AE3416">
        <v>-16.333699999999901</v>
      </c>
      <c r="AF3416">
        <v>3.0052650227476199</v>
      </c>
      <c r="AG3416">
        <v>-1.1030040832619901</v>
      </c>
      <c r="AH3416">
        <v>15.9842312636997</v>
      </c>
      <c r="AI3416">
        <v>93.879717007652005</v>
      </c>
      <c r="AJ3416">
        <v>79.351877571278806</v>
      </c>
      <c r="AK3416">
        <v>16.301652828964201</v>
      </c>
      <c r="AL3416">
        <v>91.909966360822196</v>
      </c>
      <c r="AM3416">
        <v>86.471636942357506</v>
      </c>
      <c r="AN3416">
        <v>1.00000005808107</v>
      </c>
    </row>
    <row r="3417" spans="1:40" x14ac:dyDescent="0.25">
      <c r="A3417" t="str">
        <f>"20190305135859276"</f>
        <v>20190305135859276</v>
      </c>
      <c r="B3417" t="str">
        <f>"1551765539272638"</f>
        <v>1551765539272638</v>
      </c>
      <c r="C3417" t="s">
        <v>40</v>
      </c>
      <c r="D3417">
        <v>4.0778439999999998</v>
      </c>
      <c r="E3417">
        <v>0.54739759999999904</v>
      </c>
      <c r="F3417" t="s">
        <v>42</v>
      </c>
      <c r="G3417">
        <v>-190.25319999999999</v>
      </c>
      <c r="H3417" s="1">
        <v>-1.69347399999999E-7</v>
      </c>
      <c r="I3417">
        <v>179.82679999999999</v>
      </c>
      <c r="J3417">
        <v>-189.63059999999999</v>
      </c>
      <c r="K3417">
        <v>1.103369</v>
      </c>
      <c r="L3417">
        <v>200.59549999999999</v>
      </c>
      <c r="M3417">
        <v>0.15685070000000001</v>
      </c>
      <c r="N3417">
        <v>-1.474191E-2</v>
      </c>
      <c r="O3417">
        <v>-0.98751250000000002</v>
      </c>
      <c r="P3417">
        <v>9.7241640000000004E-2</v>
      </c>
      <c r="Q3417">
        <v>-4.6242129999999999E-2</v>
      </c>
      <c r="R3417">
        <v>-0.99418629999999997</v>
      </c>
      <c r="S3417">
        <v>-8.6837769999999995E-2</v>
      </c>
      <c r="T3417">
        <v>-0.15916359999999999</v>
      </c>
      <c r="U3417">
        <v>-3.0194549999999998</v>
      </c>
      <c r="V3417">
        <v>5.9444219999999999E-2</v>
      </c>
      <c r="W3417">
        <v>-3.2421529999999997E-2</v>
      </c>
      <c r="X3417">
        <v>0.99770499999999995</v>
      </c>
      <c r="Y3417">
        <v>0.18508089999999999</v>
      </c>
      <c r="Z3417">
        <v>3.6435950000000002E-2</v>
      </c>
      <c r="AA3417">
        <v>0.98204760000000002</v>
      </c>
      <c r="AB3417">
        <v>27</v>
      </c>
      <c r="AC3417">
        <v>-0.62260000000000504</v>
      </c>
      <c r="AD3417">
        <v>-1.1033691693473999</v>
      </c>
      <c r="AE3417">
        <v>-20.7686999999999</v>
      </c>
      <c r="AF3417">
        <v>3.8619402197891399</v>
      </c>
      <c r="AG3417">
        <v>-1.1033691693473999</v>
      </c>
      <c r="AH3417">
        <v>20.3565066151846</v>
      </c>
      <c r="AI3417">
        <v>93.048260131965606</v>
      </c>
      <c r="AJ3417">
        <v>79.257778958121506</v>
      </c>
      <c r="AK3417">
        <v>20.7489606332256</v>
      </c>
      <c r="AL3417">
        <v>91.857942393875803</v>
      </c>
      <c r="AM3417">
        <v>86.590293432885304</v>
      </c>
      <c r="AN3417">
        <v>1.00000001896197</v>
      </c>
    </row>
    <row r="3418" spans="1:40" x14ac:dyDescent="0.25">
      <c r="A3418" t="str">
        <f>"20190305135859292"</f>
        <v>20190305135859292</v>
      </c>
      <c r="B3418" t="str">
        <f>"1551765539282398"</f>
        <v>1551765539282398</v>
      </c>
      <c r="C3418" t="s">
        <v>40</v>
      </c>
      <c r="D3418">
        <v>4.0854010000000001</v>
      </c>
      <c r="E3418">
        <v>0.54737760000000002</v>
      </c>
      <c r="F3418" t="s">
        <v>42</v>
      </c>
      <c r="G3418">
        <v>-190.2268</v>
      </c>
      <c r="H3418" s="1">
        <v>-1.9500210000000001E-7</v>
      </c>
      <c r="I3418">
        <v>179.90299999999999</v>
      </c>
      <c r="J3418">
        <v>-189.6053</v>
      </c>
      <c r="K3418">
        <v>1.1038460000000001</v>
      </c>
      <c r="L3418">
        <v>200.4014</v>
      </c>
      <c r="M3418">
        <v>0.15208579999999999</v>
      </c>
      <c r="N3418">
        <v>-1.464503E-2</v>
      </c>
      <c r="O3418">
        <v>-0.988259</v>
      </c>
      <c r="P3418">
        <v>9.7839979999999993E-2</v>
      </c>
      <c r="Q3418">
        <v>-4.6008960000000002E-2</v>
      </c>
      <c r="R3418">
        <v>-0.99413819999999997</v>
      </c>
      <c r="S3418">
        <v>-8.69751E-2</v>
      </c>
      <c r="T3418">
        <v>-0.16095590000000001</v>
      </c>
      <c r="U3418">
        <v>-3.0185550000000001</v>
      </c>
      <c r="V3418">
        <v>5.407497E-2</v>
      </c>
      <c r="W3418">
        <v>-3.2137989999999998E-2</v>
      </c>
      <c r="X3418">
        <v>0.99801960000000001</v>
      </c>
      <c r="Y3418">
        <v>0.18039340000000001</v>
      </c>
      <c r="Z3418">
        <v>3.7207339999999998E-2</v>
      </c>
      <c r="AA3418">
        <v>0.9828905</v>
      </c>
      <c r="AB3418">
        <v>27</v>
      </c>
      <c r="AC3418">
        <v>-0.62149999999999705</v>
      </c>
      <c r="AD3418">
        <v>-1.1038461950020999</v>
      </c>
      <c r="AE3418">
        <v>-20.4984</v>
      </c>
      <c r="AF3418">
        <v>3.7213365499032198</v>
      </c>
      <c r="AG3418">
        <v>-1.1038461950020999</v>
      </c>
      <c r="AH3418">
        <v>20.107111080087201</v>
      </c>
      <c r="AI3418">
        <v>93.089916990181393</v>
      </c>
      <c r="AJ3418">
        <v>79.514591206883296</v>
      </c>
      <c r="AK3418">
        <v>20.478348032173599</v>
      </c>
      <c r="AL3418">
        <v>91.841688244406697</v>
      </c>
      <c r="AM3418">
        <v>86.8986170141917</v>
      </c>
      <c r="AN3418">
        <v>1.0000000373829401</v>
      </c>
    </row>
    <row r="3419" spans="1:40" x14ac:dyDescent="0.25">
      <c r="A3419" t="str">
        <f>"20190305135859307"</f>
        <v>20190305135859307</v>
      </c>
      <c r="B3419" t="str">
        <f>"1551765539302895"</f>
        <v>1551765539302895</v>
      </c>
      <c r="C3419" t="s">
        <v>40</v>
      </c>
      <c r="D3419">
        <v>4.0914780000000004</v>
      </c>
      <c r="E3419">
        <v>0.54647460000000003</v>
      </c>
      <c r="F3419" t="s">
        <v>42</v>
      </c>
      <c r="G3419">
        <v>-190.20670000000001</v>
      </c>
      <c r="H3419" s="1">
        <v>-4.0748469999999997E-6</v>
      </c>
      <c r="I3419">
        <v>178.95949999999999</v>
      </c>
      <c r="J3419">
        <v>-189.5829</v>
      </c>
      <c r="K3419">
        <v>1.1042959999999999</v>
      </c>
      <c r="L3419">
        <v>200.22559999999999</v>
      </c>
      <c r="M3419">
        <v>0.14815699999999901</v>
      </c>
      <c r="N3419">
        <v>-1.455972E-2</v>
      </c>
      <c r="O3419">
        <v>-0.98885670000000003</v>
      </c>
      <c r="P3419">
        <v>9.7087450000000006E-2</v>
      </c>
      <c r="Q3419">
        <v>-4.7092580000000002E-2</v>
      </c>
      <c r="R3419">
        <v>-0.99416139999999997</v>
      </c>
      <c r="S3419">
        <v>-8.467102E-2</v>
      </c>
      <c r="T3419">
        <v>-0.1554132</v>
      </c>
      <c r="U3419">
        <v>-3.0188449999999998</v>
      </c>
      <c r="V3419">
        <v>5.0878760000000002E-2</v>
      </c>
      <c r="W3419">
        <v>-3.3204890000000001E-2</v>
      </c>
      <c r="X3419">
        <v>0.9981527</v>
      </c>
      <c r="Y3419">
        <v>0.17573720000000001</v>
      </c>
      <c r="Z3419">
        <v>3.5575259999999997E-2</v>
      </c>
      <c r="AA3419">
        <v>0.9837941</v>
      </c>
      <c r="AB3419">
        <v>27</v>
      </c>
      <c r="AC3419">
        <v>-0.62380000000001701</v>
      </c>
      <c r="AD3419">
        <v>-1.104300074847</v>
      </c>
      <c r="AE3419">
        <v>-21.266099999999899</v>
      </c>
      <c r="AF3419">
        <v>3.7578454076203802</v>
      </c>
      <c r="AG3419">
        <v>-1.104300074847</v>
      </c>
      <c r="AH3419">
        <v>20.882662603033999</v>
      </c>
      <c r="AI3419">
        <v>92.979284290814803</v>
      </c>
      <c r="AJ3419">
        <v>79.798773885399797</v>
      </c>
      <c r="AK3419">
        <v>21.246799244946001</v>
      </c>
      <c r="AL3419">
        <v>91.902849810446199</v>
      </c>
      <c r="AM3419">
        <v>87.081992162367797</v>
      </c>
      <c r="AN3419">
        <v>1.0000000127281601</v>
      </c>
    </row>
    <row r="3420" spans="1:40" x14ac:dyDescent="0.25">
      <c r="A3420" t="str">
        <f>"20190305135859321"</f>
        <v>20190305135859321</v>
      </c>
      <c r="B3420" t="str">
        <f>"1551765539312654"</f>
        <v>1551765539312654</v>
      </c>
      <c r="C3420" t="s">
        <v>40</v>
      </c>
      <c r="D3420">
        <v>4.0690839999999904</v>
      </c>
      <c r="E3420">
        <v>0.54622930000000003</v>
      </c>
      <c r="F3420" t="s">
        <v>42</v>
      </c>
      <c r="G3420">
        <v>-190.13249999999999</v>
      </c>
      <c r="H3420" s="1">
        <v>-4.2676079999999998E-6</v>
      </c>
      <c r="I3420">
        <v>179.45830000000001</v>
      </c>
      <c r="J3420">
        <v>-189.56049999999999</v>
      </c>
      <c r="K3420">
        <v>1.1047739999999999</v>
      </c>
      <c r="L3420">
        <v>200.04730000000001</v>
      </c>
      <c r="M3420">
        <v>0.14451339999999999</v>
      </c>
      <c r="N3420">
        <v>-1.4476030000000001E-2</v>
      </c>
      <c r="O3420">
        <v>-0.98939690000000002</v>
      </c>
      <c r="P3420">
        <v>9.3686190000000003E-2</v>
      </c>
      <c r="Q3420">
        <v>-4.8091410000000001E-2</v>
      </c>
      <c r="R3420">
        <v>-0.99443970000000004</v>
      </c>
      <c r="S3420">
        <v>-7.9864500000000005E-2</v>
      </c>
      <c r="T3420">
        <v>-0.16047220000000001</v>
      </c>
      <c r="U3420">
        <v>-3.0178219999999998</v>
      </c>
      <c r="V3420">
        <v>5.0635390000000002E-2</v>
      </c>
      <c r="W3420">
        <v>-3.422563E-2</v>
      </c>
      <c r="X3420">
        <v>0.99813059999999998</v>
      </c>
      <c r="Y3420">
        <v>0.17055129999999999</v>
      </c>
      <c r="Z3420">
        <v>3.7376439999999997E-2</v>
      </c>
      <c r="AA3420">
        <v>0.98463959999999995</v>
      </c>
      <c r="AB3420">
        <v>27</v>
      </c>
      <c r="AC3420">
        <v>-0.57200000000000195</v>
      </c>
      <c r="AD3420">
        <v>-1.104778267608</v>
      </c>
      <c r="AE3420">
        <v>-20.588999999999999</v>
      </c>
      <c r="AF3420">
        <v>3.53153236842943</v>
      </c>
      <c r="AG3420">
        <v>-1.104778267608</v>
      </c>
      <c r="AH3420">
        <v>20.2319501872087</v>
      </c>
      <c r="AI3420">
        <v>93.079103459557899</v>
      </c>
      <c r="AJ3420">
        <v>80.098648417251894</v>
      </c>
      <c r="AK3420">
        <v>20.567548815246301</v>
      </c>
      <c r="AL3420">
        <v>91.961367169019198</v>
      </c>
      <c r="AM3420">
        <v>87.095861822051901</v>
      </c>
      <c r="AN3420">
        <v>1.0000000155628499</v>
      </c>
    </row>
    <row r="3421" spans="1:40" x14ac:dyDescent="0.25">
      <c r="A3421" t="str">
        <f>"20190305135859339"</f>
        <v>20190305135859339</v>
      </c>
      <c r="B3421" t="str">
        <f>"1551765539332175"</f>
        <v>1551765539332175</v>
      </c>
      <c r="C3421" t="s">
        <v>40</v>
      </c>
      <c r="D3421">
        <v>4.1099259999999997</v>
      </c>
      <c r="E3421">
        <v>0.5457938</v>
      </c>
      <c r="F3421" t="s">
        <v>42</v>
      </c>
      <c r="G3421">
        <v>-190.15129999999999</v>
      </c>
      <c r="H3421" s="1">
        <v>-1.571389E-7</v>
      </c>
      <c r="I3421">
        <v>179.86160000000001</v>
      </c>
      <c r="J3421">
        <v>-189.53479999999999</v>
      </c>
      <c r="K3421">
        <v>1.1053200000000001</v>
      </c>
      <c r="L3421">
        <v>199.84059999999999</v>
      </c>
      <c r="M3421">
        <v>0.14077719999999999</v>
      </c>
      <c r="N3421">
        <v>-1.4383750000000001E-2</v>
      </c>
      <c r="O3421">
        <v>-0.98993710000000001</v>
      </c>
      <c r="P3421">
        <v>9.6619930000000007E-2</v>
      </c>
      <c r="Q3421">
        <v>-4.9757999999999997E-2</v>
      </c>
      <c r="R3421">
        <v>-0.99407699999999999</v>
      </c>
      <c r="S3421">
        <v>-8.8302610000000004E-2</v>
      </c>
      <c r="T3421">
        <v>-0.16512839999999901</v>
      </c>
      <c r="U3421">
        <v>-3.0171199999999998</v>
      </c>
      <c r="V3421">
        <v>4.3942769999999999E-2</v>
      </c>
      <c r="W3421">
        <v>-3.5843890000000003E-2</v>
      </c>
      <c r="X3421">
        <v>0.99839089999999997</v>
      </c>
      <c r="Y3421">
        <v>0.16958619999999999</v>
      </c>
      <c r="Z3421">
        <v>3.9027199999999998E-2</v>
      </c>
      <c r="AA3421">
        <v>0.98474229999999996</v>
      </c>
      <c r="AB3421">
        <v>27</v>
      </c>
      <c r="AC3421">
        <v>-0.61650000000000205</v>
      </c>
      <c r="AD3421">
        <v>-1.1053201571389</v>
      </c>
      <c r="AE3421">
        <v>-19.9789999999999</v>
      </c>
      <c r="AF3421">
        <v>3.41280124232585</v>
      </c>
      <c r="AG3421">
        <v>-1.1053201571389</v>
      </c>
      <c r="AH3421">
        <v>19.633160665425301</v>
      </c>
      <c r="AI3421">
        <v>93.174764405674694</v>
      </c>
      <c r="AJ3421">
        <v>80.138899506929206</v>
      </c>
      <c r="AK3421">
        <v>19.9582048963277</v>
      </c>
      <c r="AL3421">
        <v>92.054143489295001</v>
      </c>
      <c r="AM3421">
        <v>87.479833434281204</v>
      </c>
      <c r="AN3421">
        <v>1.0000000703442</v>
      </c>
    </row>
    <row r="3422" spans="1:40" x14ac:dyDescent="0.25">
      <c r="A3422" t="str">
        <f>"20190305135859361"</f>
        <v>20190305135859361</v>
      </c>
      <c r="B3422" t="str">
        <f>"1551765539352669"</f>
        <v>1551765539352669</v>
      </c>
      <c r="C3422" t="s">
        <v>40</v>
      </c>
      <c r="D3422">
        <v>4.0972479999999996</v>
      </c>
      <c r="E3422">
        <v>0.5454909</v>
      </c>
      <c r="F3422" t="s">
        <v>42</v>
      </c>
      <c r="G3422">
        <v>-190.02799999999999</v>
      </c>
      <c r="H3422" s="1">
        <v>-3.1005609999999899E-7</v>
      </c>
      <c r="I3422">
        <v>180.2945</v>
      </c>
      <c r="J3422">
        <v>-189.50129999999999</v>
      </c>
      <c r="K3422">
        <v>1.106012</v>
      </c>
      <c r="L3422">
        <v>199.5684</v>
      </c>
      <c r="M3422">
        <v>0.13667799999999999</v>
      </c>
      <c r="N3422">
        <v>-1.427285E-2</v>
      </c>
      <c r="O3422">
        <v>-0.99051279999999997</v>
      </c>
      <c r="P3422">
        <v>9.8234260000000004E-2</v>
      </c>
      <c r="Q3422">
        <v>-5.1213729999999999E-2</v>
      </c>
      <c r="R3422">
        <v>-0.99384470000000003</v>
      </c>
      <c r="S3422">
        <v>-7.6126100000000002E-2</v>
      </c>
      <c r="T3422">
        <v>-0.1705942</v>
      </c>
      <c r="U3422">
        <v>-3.0167389999999998</v>
      </c>
      <c r="V3422">
        <v>3.8229470000000002E-2</v>
      </c>
      <c r="W3422">
        <v>-3.7284310000000001E-2</v>
      </c>
      <c r="X3422">
        <v>0.99857320000000005</v>
      </c>
      <c r="Y3422">
        <v>0.16153339999999999</v>
      </c>
      <c r="Z3422">
        <v>4.1004069999999997E-2</v>
      </c>
      <c r="AA3422">
        <v>0.98601499999999997</v>
      </c>
      <c r="AB3422">
        <v>27</v>
      </c>
      <c r="AC3422">
        <v>-0.52670000000000505</v>
      </c>
      <c r="AD3422">
        <v>-1.1060123100560999</v>
      </c>
      <c r="AE3422">
        <v>-19.273900000000001</v>
      </c>
      <c r="AF3422">
        <v>3.1459906434062002</v>
      </c>
      <c r="AG3422">
        <v>-1.1060123100560999</v>
      </c>
      <c r="AH3422">
        <v>18.9586094702255</v>
      </c>
      <c r="AI3422">
        <v>93.293811788178303</v>
      </c>
      <c r="AJ3422">
        <v>80.5781952007071</v>
      </c>
      <c r="AK3422">
        <v>19.249659565896799</v>
      </c>
      <c r="AL3422">
        <v>92.136728800479702</v>
      </c>
      <c r="AM3422">
        <v>87.807553723188093</v>
      </c>
      <c r="AN3422">
        <v>1.0000000239534399</v>
      </c>
    </row>
    <row r="3423" spans="1:40" x14ac:dyDescent="0.25">
      <c r="A3423" t="str">
        <f>"20190305135859374"</f>
        <v>20190305135859374</v>
      </c>
      <c r="B3423" t="str">
        <f>"1551765539362431"</f>
        <v>1551765539362431</v>
      </c>
      <c r="C3423" t="s">
        <v>40</v>
      </c>
      <c r="D3423">
        <v>4.0799729999999998</v>
      </c>
      <c r="E3423">
        <v>0.54523920000000003</v>
      </c>
      <c r="F3423" t="s">
        <v>42</v>
      </c>
      <c r="G3423">
        <v>-189.93270000000001</v>
      </c>
      <c r="H3423" s="1">
        <v>-4.6394499999999999E-7</v>
      </c>
      <c r="I3423">
        <v>180.68639999999999</v>
      </c>
      <c r="J3423">
        <v>-189.482</v>
      </c>
      <c r="K3423">
        <v>1.106395</v>
      </c>
      <c r="L3423">
        <v>199.41030000000001</v>
      </c>
      <c r="M3423">
        <v>0.13465949999999999</v>
      </c>
      <c r="N3423">
        <v>-1.421298E-2</v>
      </c>
      <c r="O3423">
        <v>-0.99078999999999995</v>
      </c>
      <c r="P3423">
        <v>9.8885479999999998E-2</v>
      </c>
      <c r="Q3423">
        <v>-5.1937570000000002E-2</v>
      </c>
      <c r="R3423">
        <v>-0.99374249999999997</v>
      </c>
      <c r="S3423">
        <v>-6.8908689999999995E-2</v>
      </c>
      <c r="T3423">
        <v>-0.176679799999999</v>
      </c>
      <c r="U3423">
        <v>-3.0162960000000001</v>
      </c>
      <c r="V3423">
        <v>3.5565880000000001E-2</v>
      </c>
      <c r="W3423">
        <v>-3.8011469999999999E-2</v>
      </c>
      <c r="X3423">
        <v>0.99864419999999998</v>
      </c>
      <c r="Y3423">
        <v>0.157165</v>
      </c>
      <c r="Z3423">
        <v>4.3088609999999999E-2</v>
      </c>
      <c r="AA3423">
        <v>0.98663190000000001</v>
      </c>
      <c r="AB3423">
        <v>27</v>
      </c>
      <c r="AC3423">
        <v>-0.45070000000001098</v>
      </c>
      <c r="AD3423">
        <v>-1.106395463945</v>
      </c>
      <c r="AE3423">
        <v>-18.7239</v>
      </c>
      <c r="AF3423">
        <v>2.9578780274087899</v>
      </c>
      <c r="AG3423">
        <v>-1.106395463945</v>
      </c>
      <c r="AH3423">
        <v>18.4283220360151</v>
      </c>
      <c r="AI3423">
        <v>93.392468891794195</v>
      </c>
      <c r="AJ3423">
        <v>80.881391321594705</v>
      </c>
      <c r="AK3423">
        <v>18.6969571430953</v>
      </c>
      <c r="AL3423">
        <v>92.178421563393002</v>
      </c>
      <c r="AM3423">
        <v>87.960320679042198</v>
      </c>
      <c r="AN3423">
        <v>1.00000002093268</v>
      </c>
    </row>
    <row r="3424" spans="1:40" x14ac:dyDescent="0.25">
      <c r="A3424" t="str">
        <f>"20190305135859386"</f>
        <v>20190305135859386</v>
      </c>
      <c r="B3424" t="str">
        <f>"1551765539382927"</f>
        <v>1551765539382927</v>
      </c>
      <c r="C3424" t="s">
        <v>40</v>
      </c>
      <c r="D3424">
        <v>4.1234989999999998</v>
      </c>
      <c r="E3424">
        <v>0.54482159999999902</v>
      </c>
      <c r="F3424" t="s">
        <v>42</v>
      </c>
      <c r="G3424">
        <v>-189.88210000000001</v>
      </c>
      <c r="H3424" s="1">
        <v>-5.171885E-7</v>
      </c>
      <c r="I3424">
        <v>180.78960000000001</v>
      </c>
      <c r="J3424">
        <v>-189.4641</v>
      </c>
      <c r="K3424">
        <v>1.106727</v>
      </c>
      <c r="L3424">
        <v>199.26349999999999</v>
      </c>
      <c r="M3424">
        <v>0.13304489999999999</v>
      </c>
      <c r="N3424">
        <v>-1.4160010000000001E-2</v>
      </c>
      <c r="O3424">
        <v>-0.99100889999999997</v>
      </c>
      <c r="P3424">
        <v>0.1000122</v>
      </c>
      <c r="Q3424">
        <v>-5.2299369999999998E-2</v>
      </c>
      <c r="R3424">
        <v>-0.99361069999999996</v>
      </c>
      <c r="S3424">
        <v>-6.480408E-2</v>
      </c>
      <c r="T3424">
        <v>-0.17920169999999999</v>
      </c>
      <c r="U3424">
        <v>-3.0159760000000002</v>
      </c>
      <c r="V3424">
        <v>3.2833420000000002E-2</v>
      </c>
      <c r="W3424">
        <v>-3.837807E-2</v>
      </c>
      <c r="X3424">
        <v>0.99872369999999999</v>
      </c>
      <c r="Y3424">
        <v>0.15421550000000001</v>
      </c>
      <c r="Z3424">
        <v>4.3999139999999999E-2</v>
      </c>
      <c r="AA3424">
        <v>0.98705710000000002</v>
      </c>
      <c r="AB3424">
        <v>27</v>
      </c>
      <c r="AC3424">
        <v>-0.41800000000000598</v>
      </c>
      <c r="AD3424">
        <v>-1.1067275171885</v>
      </c>
      <c r="AE3424">
        <v>-18.473899999999901</v>
      </c>
      <c r="AF3424">
        <v>2.8621210687554699</v>
      </c>
      <c r="AG3424">
        <v>-1.1067275171885</v>
      </c>
      <c r="AH3424">
        <v>18.188771116543201</v>
      </c>
      <c r="AI3424">
        <v>93.4397468033374</v>
      </c>
      <c r="AJ3424">
        <v>81.057465348353702</v>
      </c>
      <c r="AK3424">
        <v>18.4458119241066</v>
      </c>
      <c r="AL3424">
        <v>92.199441647372694</v>
      </c>
      <c r="AM3424">
        <v>88.117057702234504</v>
      </c>
      <c r="AN3424">
        <v>0.99999996933375501</v>
      </c>
    </row>
    <row r="3425" spans="1:40" x14ac:dyDescent="0.25">
      <c r="A3425" t="str">
        <f>"20190305135859404"</f>
        <v>20190305135859404</v>
      </c>
      <c r="B3425" t="str">
        <f>"1551765539392686"</f>
        <v>1551765539392686</v>
      </c>
      <c r="C3425" t="s">
        <v>40</v>
      </c>
      <c r="D3425">
        <v>4.1573849999999997</v>
      </c>
      <c r="E3425">
        <v>0.54472540000000003</v>
      </c>
      <c r="F3425" t="s">
        <v>42</v>
      </c>
      <c r="G3425">
        <v>-189.82490000000001</v>
      </c>
      <c r="H3425" s="1">
        <v>-4.0024570000000002E-7</v>
      </c>
      <c r="I3425">
        <v>180.4933</v>
      </c>
      <c r="J3425">
        <v>-189.43860000000001</v>
      </c>
      <c r="K3425">
        <v>1.107192</v>
      </c>
      <c r="L3425">
        <v>199.05510000000001</v>
      </c>
      <c r="M3425">
        <v>0.1311126</v>
      </c>
      <c r="N3425">
        <v>-1.4088359999999999E-2</v>
      </c>
      <c r="O3425">
        <v>-0.99126740000000002</v>
      </c>
      <c r="P3425">
        <v>0.1038504</v>
      </c>
      <c r="Q3425">
        <v>-5.276463E-2</v>
      </c>
      <c r="R3425">
        <v>-0.99319250000000003</v>
      </c>
      <c r="S3425">
        <v>-5.7968140000000001E-2</v>
      </c>
      <c r="T3425">
        <v>-0.17781649999999999</v>
      </c>
      <c r="U3425">
        <v>-3.0157780000000001</v>
      </c>
      <c r="V3425">
        <v>2.7067259999999999E-2</v>
      </c>
      <c r="W3425">
        <v>-3.8844459999999997E-2</v>
      </c>
      <c r="X3425">
        <v>0.99887859999999995</v>
      </c>
      <c r="Y3425">
        <v>0.150056299999999</v>
      </c>
      <c r="Z3425">
        <v>4.3671580000000002E-2</v>
      </c>
      <c r="AA3425">
        <v>0.98771240000000005</v>
      </c>
      <c r="AB3425">
        <v>27</v>
      </c>
      <c r="AC3425">
        <v>-0.38630000000000497</v>
      </c>
      <c r="AD3425">
        <v>-1.1071924002457001</v>
      </c>
      <c r="AE3425">
        <v>-18.561800000000002</v>
      </c>
      <c r="AF3425">
        <v>2.8069092828733</v>
      </c>
      <c r="AG3425">
        <v>-1.1071924002457001</v>
      </c>
      <c r="AH3425">
        <v>18.285846296125801</v>
      </c>
      <c r="AI3425">
        <v>93.424961579355497</v>
      </c>
      <c r="AJ3425">
        <v>81.273115748661496</v>
      </c>
      <c r="AK3425">
        <v>18.533126813869799</v>
      </c>
      <c r="AL3425">
        <v>92.226183715548203</v>
      </c>
      <c r="AM3425">
        <v>88.447799018517003</v>
      </c>
      <c r="AN3425">
        <v>0.99999999308727905</v>
      </c>
    </row>
    <row r="3426" spans="1:40" x14ac:dyDescent="0.25">
      <c r="A3426" t="str">
        <f>"20190305135859418"</f>
        <v>20190305135859418</v>
      </c>
      <c r="B3426" t="str">
        <f>"1551765539412207"</f>
        <v>1551765539412207</v>
      </c>
      <c r="C3426" t="s">
        <v>40</v>
      </c>
      <c r="D3426">
        <v>4.1324509999999997</v>
      </c>
      <c r="E3426">
        <v>0.544381</v>
      </c>
      <c r="F3426" t="s">
        <v>42</v>
      </c>
      <c r="G3426">
        <v>-189.72200000000001</v>
      </c>
      <c r="H3426" s="1">
        <v>-3.2787549999999998E-7</v>
      </c>
      <c r="I3426">
        <v>180.28210000000001</v>
      </c>
      <c r="J3426">
        <v>-189.41829999999999</v>
      </c>
      <c r="K3426">
        <v>1.1075660000000001</v>
      </c>
      <c r="L3426">
        <v>198.88829999999999</v>
      </c>
      <c r="M3426">
        <v>0.12987989999999999</v>
      </c>
      <c r="N3426">
        <v>-1.4033810000000001E-2</v>
      </c>
      <c r="O3426">
        <v>-0.99143060000000005</v>
      </c>
      <c r="P3426">
        <v>0.1058497</v>
      </c>
      <c r="Q3426">
        <v>-5.2447029999999999E-2</v>
      </c>
      <c r="R3426">
        <v>-0.99299850000000001</v>
      </c>
      <c r="S3426">
        <v>-4.553223E-2</v>
      </c>
      <c r="T3426">
        <v>-0.1778719</v>
      </c>
      <c r="U3426">
        <v>-3.0158999999999998</v>
      </c>
      <c r="V3426">
        <v>2.3853900000000001E-2</v>
      </c>
      <c r="W3426">
        <v>-3.854109E-2</v>
      </c>
      <c r="X3426">
        <v>0.99897219999999998</v>
      </c>
      <c r="Y3426">
        <v>0.14475539999999901</v>
      </c>
      <c r="Z3426">
        <v>4.3785419999999999E-2</v>
      </c>
      <c r="AA3426">
        <v>0.98849819999999999</v>
      </c>
      <c r="AB3426">
        <v>27</v>
      </c>
      <c r="AC3426">
        <v>-0.30370000000002001</v>
      </c>
      <c r="AD3426">
        <v>-1.1075663278754999</v>
      </c>
      <c r="AE3426">
        <v>-18.606199999999902</v>
      </c>
      <c r="AF3426">
        <v>2.7083417545056299</v>
      </c>
      <c r="AG3426">
        <v>-1.1075663278754999</v>
      </c>
      <c r="AH3426">
        <v>18.344137106151599</v>
      </c>
      <c r="AI3426">
        <v>93.4181958253685</v>
      </c>
      <c r="AJ3426">
        <v>81.601481721900399</v>
      </c>
      <c r="AK3426">
        <v>18.576037909067999</v>
      </c>
      <c r="AL3426">
        <v>92.208788985395799</v>
      </c>
      <c r="AM3426">
        <v>88.632125975607593</v>
      </c>
      <c r="AN3426">
        <v>0.99999994026821704</v>
      </c>
    </row>
    <row r="3427" spans="1:40" x14ac:dyDescent="0.25">
      <c r="A3427" t="str">
        <f>"20190305135859430"</f>
        <v>20190305135859430</v>
      </c>
      <c r="B3427" t="str">
        <f>"1551765539421966"</f>
        <v>1551765539421966</v>
      </c>
      <c r="C3427" t="s">
        <v>40</v>
      </c>
      <c r="D3427">
        <v>4.124485</v>
      </c>
      <c r="E3427">
        <v>0.54427109999999901</v>
      </c>
      <c r="F3427" t="s">
        <v>42</v>
      </c>
      <c r="G3427">
        <v>-189.64850000000001</v>
      </c>
      <c r="H3427" s="1">
        <v>-1.850061E-7</v>
      </c>
      <c r="I3427">
        <v>179.9169</v>
      </c>
      <c r="J3427">
        <v>-189.39959999999999</v>
      </c>
      <c r="K3427">
        <v>1.1079000000000001</v>
      </c>
      <c r="L3427">
        <v>198.7362</v>
      </c>
      <c r="M3427">
        <v>0.1291195</v>
      </c>
      <c r="N3427">
        <v>-1.398922E-2</v>
      </c>
      <c r="O3427">
        <v>-0.99153040000000003</v>
      </c>
      <c r="P3427">
        <v>0.1082306</v>
      </c>
      <c r="Q3427">
        <v>-5.1876659999999998E-2</v>
      </c>
      <c r="R3427">
        <v>-0.99277139999999997</v>
      </c>
      <c r="S3427">
        <v>-3.6605829999999999E-2</v>
      </c>
      <c r="T3427">
        <v>-0.17606279999999999</v>
      </c>
      <c r="U3427">
        <v>-3.0157620000000001</v>
      </c>
      <c r="V3427">
        <v>2.0730510000000001E-2</v>
      </c>
      <c r="W3427">
        <v>-3.7983070000000001E-2</v>
      </c>
      <c r="X3427">
        <v>0.99906329999999999</v>
      </c>
      <c r="Y3427">
        <v>0.14107410000000001</v>
      </c>
      <c r="Z3427">
        <v>4.3274279999999998E-2</v>
      </c>
      <c r="AA3427">
        <v>0.98905279999999995</v>
      </c>
      <c r="AB3427">
        <v>27</v>
      </c>
      <c r="AC3427">
        <v>-0.24890000000001999</v>
      </c>
      <c r="AD3427">
        <v>-1.1079001850061001</v>
      </c>
      <c r="AE3427">
        <v>-18.819299999999998</v>
      </c>
      <c r="AF3427">
        <v>2.6677483030309901</v>
      </c>
      <c r="AG3427">
        <v>-1.1079001850061001</v>
      </c>
      <c r="AH3427">
        <v>18.5652615943611</v>
      </c>
      <c r="AI3427">
        <v>93.380490774681306</v>
      </c>
      <c r="AJ3427">
        <v>81.822818185348495</v>
      </c>
      <c r="AK3427">
        <v>18.7886471544739</v>
      </c>
      <c r="AL3427">
        <v>92.176793292760806</v>
      </c>
      <c r="AM3427">
        <v>88.811286226595399</v>
      </c>
      <c r="AN3427">
        <v>0.99999997252918704</v>
      </c>
    </row>
    <row r="3428" spans="1:40" x14ac:dyDescent="0.25">
      <c r="A3428" t="str">
        <f>"20190305135859443"</f>
        <v>20190305135859443</v>
      </c>
      <c r="B3428" t="str">
        <f>"1551765539432703"</f>
        <v>1551765539432703</v>
      </c>
      <c r="C3428" t="s">
        <v>40</v>
      </c>
      <c r="D3428">
        <v>4.1070219999999997</v>
      </c>
      <c r="E3428">
        <v>0.54410139999999996</v>
      </c>
      <c r="F3428" t="s">
        <v>42</v>
      </c>
      <c r="G3428">
        <v>-189.58199999999999</v>
      </c>
      <c r="H3428" s="1">
        <v>-4.3034339999999998E-6</v>
      </c>
      <c r="I3428">
        <v>179.4914</v>
      </c>
      <c r="J3428">
        <v>-189.3811</v>
      </c>
      <c r="K3428">
        <v>1.108231</v>
      </c>
      <c r="L3428">
        <v>198.58629999999999</v>
      </c>
      <c r="M3428">
        <v>0.1285094</v>
      </c>
      <c r="N3428">
        <v>-1.394768E-2</v>
      </c>
      <c r="O3428">
        <v>-0.99161049999999995</v>
      </c>
      <c r="P3428">
        <v>0.110556</v>
      </c>
      <c r="Q3428">
        <v>-5.1530470000000002E-2</v>
      </c>
      <c r="R3428">
        <v>-0.99253349999999996</v>
      </c>
      <c r="S3428">
        <v>-2.8594970000000001E-2</v>
      </c>
      <c r="T3428">
        <v>-0.17361969999999999</v>
      </c>
      <c r="U3428">
        <v>-3.015854</v>
      </c>
      <c r="V3428">
        <v>1.780953E-2</v>
      </c>
      <c r="W3428">
        <v>-3.7652499999999998E-2</v>
      </c>
      <c r="X3428">
        <v>0.99913220000000003</v>
      </c>
      <c r="Y3428">
        <v>0.13783989999999999</v>
      </c>
      <c r="Z3428">
        <v>4.2544890000000002E-2</v>
      </c>
      <c r="AA3428">
        <v>0.98954030000000004</v>
      </c>
      <c r="AB3428">
        <v>27</v>
      </c>
      <c r="AC3428">
        <v>-0.20089999999999</v>
      </c>
      <c r="AD3428">
        <v>-1.108235303434</v>
      </c>
      <c r="AE3428">
        <v>-19.094899999999999</v>
      </c>
      <c r="AF3428">
        <v>2.6444393557954098</v>
      </c>
      <c r="AG3428">
        <v>-1.108235303434</v>
      </c>
      <c r="AH3428">
        <v>18.8472409303386</v>
      </c>
      <c r="AI3428">
        <v>93.332600977826402</v>
      </c>
      <c r="AJ3428">
        <v>82.013020832473501</v>
      </c>
      <c r="AK3428">
        <v>19.064095459278601</v>
      </c>
      <c r="AL3428">
        <v>92.157839361804704</v>
      </c>
      <c r="AM3428">
        <v>88.978810959354504</v>
      </c>
      <c r="AN3428">
        <v>1.0000000215959499</v>
      </c>
    </row>
    <row r="3429" spans="1:40" x14ac:dyDescent="0.25">
      <c r="A3429" t="str">
        <f>"20190305135859454"</f>
        <v>20190305135859454</v>
      </c>
      <c r="B3429" t="str">
        <f>"1551765539452730"</f>
        <v>1551765539452730</v>
      </c>
      <c r="C3429" t="s">
        <v>40</v>
      </c>
      <c r="D3429">
        <v>4.1011220000000002</v>
      </c>
      <c r="E3429">
        <v>0.54402879999999998</v>
      </c>
      <c r="F3429" t="s">
        <v>42</v>
      </c>
      <c r="G3429">
        <v>-189.51050000000001</v>
      </c>
      <c r="H3429" s="1">
        <v>-4.1836699999999999E-6</v>
      </c>
      <c r="I3429">
        <v>179.18260000000001</v>
      </c>
      <c r="J3429">
        <v>-189.36279999999999</v>
      </c>
      <c r="K3429">
        <v>1.10854599999999</v>
      </c>
      <c r="L3429">
        <v>198.4393</v>
      </c>
      <c r="M3429">
        <v>0.12811069999999999</v>
      </c>
      <c r="N3429">
        <v>-1.3909889999999999E-2</v>
      </c>
      <c r="O3429">
        <v>-0.99166240000000005</v>
      </c>
      <c r="P3429">
        <v>0.1130428</v>
      </c>
      <c r="Q3429">
        <v>-5.0602000000000001E-2</v>
      </c>
      <c r="R3429">
        <v>-0.99230090000000004</v>
      </c>
      <c r="S3429">
        <v>-2.011108E-2</v>
      </c>
      <c r="T3429">
        <v>-0.1722496</v>
      </c>
      <c r="U3429">
        <v>-3.015854</v>
      </c>
      <c r="V3429">
        <v>1.4941909999999999E-2</v>
      </c>
      <c r="W3429">
        <v>-3.6740740000000001E-2</v>
      </c>
      <c r="X3429">
        <v>0.99921309999999997</v>
      </c>
      <c r="Y3429">
        <v>0.13466</v>
      </c>
      <c r="Z3429">
        <v>4.2158139999999997E-2</v>
      </c>
      <c r="AA3429">
        <v>0.98999459999999995</v>
      </c>
      <c r="AB3429">
        <v>27</v>
      </c>
      <c r="AC3429">
        <v>-0.14770000000001399</v>
      </c>
      <c r="AD3429">
        <v>-1.10855018366999</v>
      </c>
      <c r="AE3429">
        <v>-19.256699999999899</v>
      </c>
      <c r="AF3429">
        <v>2.6050779129110402</v>
      </c>
      <c r="AG3429">
        <v>-1.10855018366999</v>
      </c>
      <c r="AH3429">
        <v>19.016053090988201</v>
      </c>
      <c r="AI3429">
        <v>93.305505751289203</v>
      </c>
      <c r="AJ3429">
        <v>82.199400626219401</v>
      </c>
      <c r="AK3429">
        <v>19.225649263453601</v>
      </c>
      <c r="AL3429">
        <v>92.105563269969707</v>
      </c>
      <c r="AM3429">
        <v>89.143281270773699</v>
      </c>
      <c r="AN3429">
        <v>0.99999998093090203</v>
      </c>
    </row>
    <row r="3430" spans="1:40" x14ac:dyDescent="0.25">
      <c r="A3430" t="str">
        <f>"20190305135859472"</f>
        <v>20190305135859472</v>
      </c>
      <c r="B3430" t="str">
        <f>"1551765539462489"</f>
        <v>1551765539462489</v>
      </c>
      <c r="C3430" t="s">
        <v>40</v>
      </c>
      <c r="D3430">
        <v>4.154344</v>
      </c>
      <c r="E3430">
        <v>0.54392799999999997</v>
      </c>
      <c r="F3430" t="s">
        <v>42</v>
      </c>
      <c r="G3430">
        <v>-189.44110000000001</v>
      </c>
      <c r="H3430" s="1">
        <v>-3.9311990000000003E-6</v>
      </c>
      <c r="I3430">
        <v>178.56540000000001</v>
      </c>
      <c r="J3430">
        <v>-189.33779999999999</v>
      </c>
      <c r="K3430">
        <v>1.108954</v>
      </c>
      <c r="L3430">
        <v>198.24119999999999</v>
      </c>
      <c r="M3430">
        <v>0.1278811</v>
      </c>
      <c r="N3430">
        <v>-1.386331E-2</v>
      </c>
      <c r="O3430">
        <v>-0.99169249999999998</v>
      </c>
      <c r="P3430">
        <v>0.11788179999999999</v>
      </c>
      <c r="Q3430">
        <v>-4.8195109999999999E-2</v>
      </c>
      <c r="R3430">
        <v>-0.99185730000000005</v>
      </c>
      <c r="S3430">
        <v>-1.1886600000000001E-2</v>
      </c>
      <c r="T3430">
        <v>-0.1682341</v>
      </c>
      <c r="U3430">
        <v>-3.0160680000000002</v>
      </c>
      <c r="V3430">
        <v>9.8916969999999996E-3</v>
      </c>
      <c r="W3430">
        <v>-3.4357409999999998E-2</v>
      </c>
      <c r="X3430">
        <v>0.99936069999999999</v>
      </c>
      <c r="Y3430">
        <v>0.13173309999999999</v>
      </c>
      <c r="Z3430">
        <v>4.091351E-2</v>
      </c>
      <c r="AA3430">
        <v>0.99044049999999995</v>
      </c>
      <c r="AB3430">
        <v>27</v>
      </c>
      <c r="AC3430">
        <v>-0.103300000000018</v>
      </c>
      <c r="AD3430">
        <v>-1.1089579311990001</v>
      </c>
      <c r="AE3430">
        <v>-19.675799999999899</v>
      </c>
      <c r="AF3430">
        <v>2.6105641981203398</v>
      </c>
      <c r="AG3430">
        <v>-1.1089579311990001</v>
      </c>
      <c r="AH3430">
        <v>19.439259905024599</v>
      </c>
      <c r="AI3430">
        <v>93.236044959537793</v>
      </c>
      <c r="AJ3430">
        <v>82.351316823253498</v>
      </c>
      <c r="AK3430">
        <v>19.6450924859308</v>
      </c>
      <c r="AL3430">
        <v>91.968921995922798</v>
      </c>
      <c r="AM3430">
        <v>89.432903472195903</v>
      </c>
      <c r="AN3430">
        <v>1.0000000429979601</v>
      </c>
    </row>
    <row r="3431" spans="1:40" x14ac:dyDescent="0.25">
      <c r="A3431" t="str">
        <f>"20190305135859492"</f>
        <v>20190305135859492</v>
      </c>
      <c r="B3431" t="str">
        <f>"1551765539482009"</f>
        <v>1551765539482009</v>
      </c>
      <c r="C3431" t="s">
        <v>40</v>
      </c>
      <c r="D3431">
        <v>4.1564500000000004</v>
      </c>
      <c r="E3431">
        <v>0.54381930000000001</v>
      </c>
      <c r="F3431" t="s">
        <v>42</v>
      </c>
      <c r="G3431">
        <v>-189.31389999999999</v>
      </c>
      <c r="H3431" s="1">
        <v>-3.4775179999999998E-6</v>
      </c>
      <c r="I3431">
        <v>177.45519999999999</v>
      </c>
      <c r="J3431">
        <v>-189.30629999999999</v>
      </c>
      <c r="K3431">
        <v>1.109416</v>
      </c>
      <c r="L3431">
        <v>197.9939</v>
      </c>
      <c r="M3431">
        <v>0.1279788</v>
      </c>
      <c r="N3431">
        <v>-1.3809999999999999E-2</v>
      </c>
      <c r="O3431">
        <v>-0.99168100000000003</v>
      </c>
      <c r="P3431">
        <v>0.122921699999999</v>
      </c>
      <c r="Q3431">
        <v>-4.4999200000000003E-2</v>
      </c>
      <c r="R3431">
        <v>-0.9913959</v>
      </c>
      <c r="S3431">
        <v>3.479004E-3</v>
      </c>
      <c r="T3431">
        <v>-0.1609302</v>
      </c>
      <c r="U3431">
        <v>-3.0164179999999998</v>
      </c>
      <c r="V3431">
        <v>4.9691129999999998E-3</v>
      </c>
      <c r="W3431">
        <v>-3.1200660000000002E-2</v>
      </c>
      <c r="X3431">
        <v>0.99950079999999997</v>
      </c>
      <c r="Y3431">
        <v>0.12678819999999999</v>
      </c>
      <c r="Z3431">
        <v>3.8609339999999999E-2</v>
      </c>
      <c r="AA3431">
        <v>0.99117820000000001</v>
      </c>
      <c r="AB3431">
        <v>27</v>
      </c>
      <c r="AC3431">
        <v>-7.5999999999964898E-3</v>
      </c>
      <c r="AD3431">
        <v>-1.109419477518</v>
      </c>
      <c r="AE3431">
        <v>-20.538699999999999</v>
      </c>
      <c r="AF3431">
        <v>2.6286360481702902</v>
      </c>
      <c r="AG3431">
        <v>-1.109419477518</v>
      </c>
      <c r="AH3431">
        <v>20.309545455332</v>
      </c>
      <c r="AI3431">
        <v>93.1008905236679</v>
      </c>
      <c r="AJ3431">
        <v>82.625284900951002</v>
      </c>
      <c r="AK3431">
        <v>20.508977928044899</v>
      </c>
      <c r="AL3431">
        <v>91.787956286285706</v>
      </c>
      <c r="AM3431">
        <v>89.715150946189794</v>
      </c>
      <c r="AN3431">
        <v>1.00000001123454</v>
      </c>
    </row>
    <row r="3432" spans="1:40" x14ac:dyDescent="0.25">
      <c r="A3432" t="str">
        <f>"20190305135859506"</f>
        <v>20190305135859506</v>
      </c>
      <c r="B3432" t="str">
        <f>"1551765539502506"</f>
        <v>1551765539502506</v>
      </c>
      <c r="C3432" t="s">
        <v>40</v>
      </c>
      <c r="D3432">
        <v>4.1707859999999997</v>
      </c>
      <c r="E3432">
        <v>0.5437071</v>
      </c>
      <c r="F3432" t="s">
        <v>42</v>
      </c>
      <c r="G3432">
        <v>-189.16210000000001</v>
      </c>
      <c r="H3432" s="1">
        <v>-2.8482859999999999E-6</v>
      </c>
      <c r="I3432">
        <v>175.92580000000001</v>
      </c>
      <c r="J3432">
        <v>-189.28620000000001</v>
      </c>
      <c r="K3432">
        <v>1.1096680000000001</v>
      </c>
      <c r="L3432">
        <v>197.8381</v>
      </c>
      <c r="M3432">
        <v>0.1282644</v>
      </c>
      <c r="N3432">
        <v>-1.3779420000000001E-2</v>
      </c>
      <c r="O3432">
        <v>-0.99164439999999998</v>
      </c>
      <c r="P3432">
        <v>0.12558030000000001</v>
      </c>
      <c r="Q3432">
        <v>-4.3130010000000003E-2</v>
      </c>
      <c r="R3432">
        <v>-0.99114599999999997</v>
      </c>
      <c r="S3432">
        <v>1.971436E-2</v>
      </c>
      <c r="T3432">
        <v>-0.1516583</v>
      </c>
      <c r="U3432">
        <v>-3.016724</v>
      </c>
      <c r="V3432">
        <v>2.6055620000000001E-3</v>
      </c>
      <c r="W3432">
        <v>-2.9358680000000002E-2</v>
      </c>
      <c r="X3432">
        <v>0.9995655</v>
      </c>
      <c r="Y3432">
        <v>0.1217427</v>
      </c>
      <c r="Z3432">
        <v>3.5639039999999997E-2</v>
      </c>
      <c r="AA3432">
        <v>0.99192170000000002</v>
      </c>
      <c r="AB3432">
        <v>27</v>
      </c>
      <c r="AC3432">
        <v>0.124099999999998</v>
      </c>
      <c r="AD3432">
        <v>-1.109670848286</v>
      </c>
      <c r="AE3432">
        <v>-21.912299999999899</v>
      </c>
      <c r="AF3432">
        <v>2.6808847286895499</v>
      </c>
      <c r="AG3432">
        <v>-1.109670848286</v>
      </c>
      <c r="AH3432">
        <v>21.6915617590792</v>
      </c>
      <c r="AI3432">
        <v>92.906440622429301</v>
      </c>
      <c r="AJ3432">
        <v>82.954477548949598</v>
      </c>
      <c r="AK3432">
        <v>21.884751857583499</v>
      </c>
      <c r="AL3432">
        <v>91.682370272467594</v>
      </c>
      <c r="AM3432">
        <v>89.850647738710904</v>
      </c>
      <c r="AN3432">
        <v>0.99999995491746296</v>
      </c>
    </row>
    <row r="3433" spans="1:40" x14ac:dyDescent="0.25">
      <c r="A3433" t="str">
        <f>"20190305135859519"</f>
        <v>20190305135859519</v>
      </c>
      <c r="B3433" t="str">
        <f>"1551765539512266"</f>
        <v>1551765539512266</v>
      </c>
      <c r="C3433" t="s">
        <v>40</v>
      </c>
      <c r="D3433">
        <v>4.1834059999999997</v>
      </c>
      <c r="E3433">
        <v>0.5435972</v>
      </c>
      <c r="F3433" t="s">
        <v>42</v>
      </c>
      <c r="G3433">
        <v>-189.0712</v>
      </c>
      <c r="H3433" s="1">
        <v>-2.5606920000000001E-6</v>
      </c>
      <c r="I3433">
        <v>175.21780000000001</v>
      </c>
      <c r="J3433">
        <v>-189.26679999999999</v>
      </c>
      <c r="K3433">
        <v>1.10989</v>
      </c>
      <c r="L3433">
        <v>197.6893</v>
      </c>
      <c r="M3433">
        <v>0.128637</v>
      </c>
      <c r="N3433">
        <v>-1.3751559999999999E-2</v>
      </c>
      <c r="O3433">
        <v>-0.99159649999999999</v>
      </c>
      <c r="P3433">
        <v>0.12851589999999999</v>
      </c>
      <c r="Q3433">
        <v>-4.1535959999999997E-2</v>
      </c>
      <c r="R3433">
        <v>-0.99083750000000004</v>
      </c>
      <c r="S3433">
        <v>2.867126E-2</v>
      </c>
      <c r="T3433">
        <v>-0.1479896</v>
      </c>
      <c r="U3433">
        <v>-3.016724</v>
      </c>
      <c r="V3433" s="1">
        <v>4.3773329999999999E-5</v>
      </c>
      <c r="W3433">
        <v>-2.7792319999999999E-2</v>
      </c>
      <c r="X3433">
        <v>0.99961369999999905</v>
      </c>
      <c r="Y3433">
        <v>0.11917220000000001</v>
      </c>
      <c r="Z3433">
        <v>3.4480259999999999E-2</v>
      </c>
      <c r="AA3433">
        <v>0.99227469999999995</v>
      </c>
      <c r="AB3433">
        <v>27</v>
      </c>
      <c r="AC3433">
        <v>0.19559999999998401</v>
      </c>
      <c r="AD3433">
        <v>-1.109892560692</v>
      </c>
      <c r="AE3433">
        <v>-22.471499999999899</v>
      </c>
      <c r="AF3433">
        <v>2.6904021226779702</v>
      </c>
      <c r="AG3433">
        <v>-1.109892560692</v>
      </c>
      <c r="AH3433">
        <v>22.255641317144299</v>
      </c>
      <c r="AI3433">
        <v>92.834383875548994</v>
      </c>
      <c r="AJ3433">
        <v>83.107171494363598</v>
      </c>
      <c r="AK3433">
        <v>22.44512631988</v>
      </c>
      <c r="AL3433">
        <v>91.592587734871103</v>
      </c>
      <c r="AM3433">
        <v>89.997491003712099</v>
      </c>
      <c r="AN3433">
        <v>0.99999998209738805</v>
      </c>
    </row>
    <row r="3434" spans="1:40" x14ac:dyDescent="0.25">
      <c r="A3434" t="str">
        <f>"20190305135859531"</f>
        <v>20190305135859531</v>
      </c>
      <c r="B3434" t="str">
        <f>"1551765539522026"</f>
        <v>1551765539522026</v>
      </c>
      <c r="C3434" t="s">
        <v>40</v>
      </c>
      <c r="D3434">
        <v>4.2263549999999999</v>
      </c>
      <c r="E3434">
        <v>0.5435972</v>
      </c>
      <c r="F3434" t="s">
        <v>42</v>
      </c>
      <c r="G3434">
        <v>-188.9716</v>
      </c>
      <c r="H3434" s="1">
        <v>-2.2588509999999998E-6</v>
      </c>
      <c r="I3434">
        <v>174.47299999999899</v>
      </c>
      <c r="J3434">
        <v>-189.2456</v>
      </c>
      <c r="K3434">
        <v>1.1100909999999999</v>
      </c>
      <c r="L3434">
        <v>197.5291</v>
      </c>
      <c r="M3434">
        <v>0.12925529999999999</v>
      </c>
      <c r="N3434">
        <v>-1.372517E-2</v>
      </c>
      <c r="O3434">
        <v>-0.99151659999999997</v>
      </c>
      <c r="P3434">
        <v>0.131592299999999</v>
      </c>
      <c r="Q3434">
        <v>-4.0161629999999997E-2</v>
      </c>
      <c r="R3434">
        <v>-0.99049039999999999</v>
      </c>
      <c r="S3434">
        <v>3.8360600000000002E-2</v>
      </c>
      <c r="T3434">
        <v>-0.1442194</v>
      </c>
      <c r="U3434">
        <v>-3.016724</v>
      </c>
      <c r="V3434">
        <v>-2.417495E-3</v>
      </c>
      <c r="W3434">
        <v>-2.6446799999999999E-2</v>
      </c>
      <c r="X3434">
        <v>0.99964730000000002</v>
      </c>
      <c r="Y3434">
        <v>0.116606</v>
      </c>
      <c r="Z3434">
        <v>3.3284109999999999E-2</v>
      </c>
      <c r="AA3434">
        <v>0.99262039999999996</v>
      </c>
      <c r="AB3434">
        <v>27</v>
      </c>
      <c r="AC3434">
        <v>0.27400000000000002</v>
      </c>
      <c r="AD3434">
        <v>-1.110093258851</v>
      </c>
      <c r="AE3434">
        <v>-23.056100000000001</v>
      </c>
      <c r="AF3434">
        <v>2.7024382128117499</v>
      </c>
      <c r="AG3434">
        <v>-1.110093258851</v>
      </c>
      <c r="AH3434">
        <v>22.845121565529102</v>
      </c>
      <c r="AI3434">
        <v>92.762703575299994</v>
      </c>
      <c r="AJ3434">
        <v>83.253611401851501</v>
      </c>
      <c r="AK3434">
        <v>23.031175798929901</v>
      </c>
      <c r="AL3434">
        <v>91.515466716498295</v>
      </c>
      <c r="AM3434">
        <v>90.138560860885207</v>
      </c>
      <c r="AN3434">
        <v>1.0000000009548</v>
      </c>
    </row>
    <row r="3435" spans="1:40" x14ac:dyDescent="0.25">
      <c r="A3435" t="str">
        <f>"20190305135859551"</f>
        <v>20190305135859551</v>
      </c>
      <c r="B3435" t="str">
        <f>"1551765539542522"</f>
        <v>1551765539542522</v>
      </c>
      <c r="C3435" t="s">
        <v>40</v>
      </c>
      <c r="D3435">
        <v>4.2224159999999999</v>
      </c>
      <c r="E3435">
        <v>0.54083349999999997</v>
      </c>
      <c r="F3435" t="s">
        <v>42</v>
      </c>
      <c r="G3435">
        <v>-188.8673</v>
      </c>
      <c r="H3435" s="1">
        <v>-1.9261239999999999E-6</v>
      </c>
      <c r="I3435">
        <v>173.65430000000001</v>
      </c>
      <c r="J3435">
        <v>-189.21440000000001</v>
      </c>
      <c r="K3435">
        <v>1.1103459999999901</v>
      </c>
      <c r="L3435">
        <v>197.2962</v>
      </c>
      <c r="M3435">
        <v>0.1303241</v>
      </c>
      <c r="N3435">
        <v>-1.368979E-2</v>
      </c>
      <c r="O3435">
        <v>-0.99137679999999995</v>
      </c>
      <c r="P3435">
        <v>0.13763</v>
      </c>
      <c r="Q3435">
        <v>-3.7194829999999998E-2</v>
      </c>
      <c r="R3435">
        <v>-0.98978529999999998</v>
      </c>
      <c r="S3435">
        <v>4.7805790000000001E-2</v>
      </c>
      <c r="T3435">
        <v>-0.14026810000000001</v>
      </c>
      <c r="U3435">
        <v>-3.0167540000000002</v>
      </c>
      <c r="V3435">
        <v>-7.4077559999999997E-3</v>
      </c>
      <c r="W3435">
        <v>-2.3525089999999999E-2</v>
      </c>
      <c r="X3435">
        <v>0.99969580000000002</v>
      </c>
      <c r="Y3435">
        <v>0.1145708</v>
      </c>
      <c r="Z3435">
        <v>3.203139E-2</v>
      </c>
      <c r="AA3435">
        <v>0.99289850000000002</v>
      </c>
      <c r="AB3435">
        <v>27</v>
      </c>
      <c r="AC3435">
        <v>0.34710000000001101</v>
      </c>
      <c r="AD3435">
        <v>-1.1103479261239999</v>
      </c>
      <c r="AE3435">
        <v>-23.6419</v>
      </c>
      <c r="AF3435">
        <v>2.7312362281883402</v>
      </c>
      <c r="AG3435">
        <v>-1.1103479261239999</v>
      </c>
      <c r="AH3435">
        <v>23.433792909997798</v>
      </c>
      <c r="AI3435">
        <v>92.694566294020404</v>
      </c>
      <c r="AJ3435">
        <v>83.352103054868607</v>
      </c>
      <c r="AK3435">
        <v>23.618534543867899</v>
      </c>
      <c r="AL3435">
        <v>91.348012729440001</v>
      </c>
      <c r="AM3435">
        <v>90.424554535914496</v>
      </c>
      <c r="AN3435">
        <v>0.999999998623051</v>
      </c>
    </row>
    <row r="3436" spans="1:40" x14ac:dyDescent="0.25">
      <c r="A3436" t="str">
        <f>"20190305135859572"</f>
        <v>20190305135859572</v>
      </c>
      <c r="B3436" t="str">
        <f>"1551765539562548"</f>
        <v>1551765539562548</v>
      </c>
      <c r="C3436" t="s">
        <v>40</v>
      </c>
      <c r="D3436">
        <v>4.2082199999999998</v>
      </c>
      <c r="E3436">
        <v>0.54142219999999996</v>
      </c>
      <c r="F3436" t="s">
        <v>42</v>
      </c>
      <c r="G3436">
        <v>-188.72649999999999</v>
      </c>
      <c r="H3436" s="1">
        <v>-3.582509E-7</v>
      </c>
      <c r="I3436">
        <v>179.70509999999999</v>
      </c>
      <c r="J3436">
        <v>-189.18039999999999</v>
      </c>
      <c r="K3436">
        <v>1.110571</v>
      </c>
      <c r="L3436">
        <v>197.04669999999999</v>
      </c>
      <c r="M3436">
        <v>0.13171579999999999</v>
      </c>
      <c r="N3436">
        <v>-1.3654919999999999E-2</v>
      </c>
      <c r="O3436">
        <v>-0.99119369999999996</v>
      </c>
      <c r="P3436">
        <v>0.14311309999999999</v>
      </c>
      <c r="Q3436">
        <v>-3.5092529999999997E-2</v>
      </c>
      <c r="R3436">
        <v>-0.98908419999999997</v>
      </c>
      <c r="S3436">
        <v>8.3557129999999993E-2</v>
      </c>
      <c r="T3436">
        <v>-0.1901282</v>
      </c>
      <c r="U3436">
        <v>-3.0121920000000002</v>
      </c>
      <c r="V3436">
        <v>-1.152445E-2</v>
      </c>
      <c r="W3436">
        <v>-2.147143E-2</v>
      </c>
      <c r="X3436">
        <v>0.99970300000000001</v>
      </c>
      <c r="Y3436">
        <v>0.1041673</v>
      </c>
      <c r="Z3436">
        <v>4.8380029999999997E-2</v>
      </c>
      <c r="AA3436">
        <v>0.9933824</v>
      </c>
      <c r="AB3436">
        <v>27</v>
      </c>
      <c r="AC3436">
        <v>0.45390000000000402</v>
      </c>
      <c r="AD3436">
        <v>-1.11057135825089</v>
      </c>
      <c r="AE3436">
        <v>-17.3416</v>
      </c>
      <c r="AF3436">
        <v>1.8269429123677301</v>
      </c>
      <c r="AG3436">
        <v>-1.11057135825089</v>
      </c>
      <c r="AH3436">
        <v>17.179864378112001</v>
      </c>
      <c r="AI3436">
        <v>93.677988760761906</v>
      </c>
      <c r="AJ3436">
        <v>83.929859383552298</v>
      </c>
      <c r="AK3436">
        <v>17.3123894710447</v>
      </c>
      <c r="AL3436">
        <v>91.230316912471196</v>
      </c>
      <c r="AM3436">
        <v>90.660469258305895</v>
      </c>
      <c r="AN3436">
        <v>0.99999996173152295</v>
      </c>
    </row>
    <row r="3437" spans="1:40" x14ac:dyDescent="0.25">
      <c r="A3437" t="str">
        <f>"20190305135859586"</f>
        <v>20190305135859586</v>
      </c>
      <c r="B3437" t="str">
        <f>"1551765539582070"</f>
        <v>1551765539582070</v>
      </c>
      <c r="C3437" t="s">
        <v>40</v>
      </c>
      <c r="D3437">
        <v>4.2079279999999999</v>
      </c>
      <c r="E3437">
        <v>0.54198179999999996</v>
      </c>
      <c r="F3437" t="s">
        <v>42</v>
      </c>
      <c r="G3437">
        <v>-188.6097</v>
      </c>
      <c r="H3437" s="1">
        <v>-4.29794699999999E-6</v>
      </c>
      <c r="I3437">
        <v>179.07650000000001</v>
      </c>
      <c r="J3437">
        <v>-189.1575</v>
      </c>
      <c r="K3437">
        <v>1.110698</v>
      </c>
      <c r="L3437">
        <v>196.8818</v>
      </c>
      <c r="M3437">
        <v>0.1327614</v>
      </c>
      <c r="N3437">
        <v>-1.362448E-2</v>
      </c>
      <c r="O3437">
        <v>-0.99105449999999995</v>
      </c>
      <c r="P3437">
        <v>0.146240799999999</v>
      </c>
      <c r="Q3437">
        <v>-3.4574000000000001E-2</v>
      </c>
      <c r="R3437">
        <v>-0.988645</v>
      </c>
      <c r="S3437">
        <v>9.5672610000000005E-2</v>
      </c>
      <c r="T3437">
        <v>-0.18618699999999999</v>
      </c>
      <c r="U3437">
        <v>-3.01268</v>
      </c>
      <c r="V3437">
        <v>-1.3622499999999999E-2</v>
      </c>
      <c r="W3437">
        <v>-2.0993040000000001E-2</v>
      </c>
      <c r="X3437">
        <v>0.99968679999999999</v>
      </c>
      <c r="Y3437">
        <v>0.10123</v>
      </c>
      <c r="Z3437">
        <v>4.7116289999999998E-2</v>
      </c>
      <c r="AA3437">
        <v>0.99374669999999998</v>
      </c>
      <c r="AB3437">
        <v>27</v>
      </c>
      <c r="AC3437">
        <v>0.54779999999999496</v>
      </c>
      <c r="AD3437">
        <v>-1.110702297947</v>
      </c>
      <c r="AE3437">
        <v>-17.8052999999999</v>
      </c>
      <c r="AF3437">
        <v>1.81407325539594</v>
      </c>
      <c r="AG3437">
        <v>-1.110702297947</v>
      </c>
      <c r="AH3437">
        <v>17.651768348010801</v>
      </c>
      <c r="AI3437">
        <v>93.581660788493593</v>
      </c>
      <c r="AJ3437">
        <v>84.132309127128806</v>
      </c>
      <c r="AK3437">
        <v>17.7794670106402</v>
      </c>
      <c r="AL3437">
        <v>91.202900969845103</v>
      </c>
      <c r="AM3437">
        <v>90.780707968769804</v>
      </c>
      <c r="AN3437">
        <v>0.99999998916446498</v>
      </c>
    </row>
    <row r="3438" spans="1:40" x14ac:dyDescent="0.25">
      <c r="A3438" t="str">
        <f>"20190305135859599"</f>
        <v>20190305135859599</v>
      </c>
      <c r="B3438" t="str">
        <f>"1551765539592804"</f>
        <v>1551765539592804</v>
      </c>
      <c r="C3438" t="s">
        <v>40</v>
      </c>
      <c r="D3438">
        <v>4.2074629999999997</v>
      </c>
      <c r="E3438">
        <v>0.54225669999999904</v>
      </c>
      <c r="F3438" t="s">
        <v>42</v>
      </c>
      <c r="G3438">
        <v>-188.565</v>
      </c>
      <c r="H3438" s="1">
        <v>-4.326783E-6</v>
      </c>
      <c r="I3438">
        <v>179.12530000000001</v>
      </c>
      <c r="J3438">
        <v>-189.13550000000001</v>
      </c>
      <c r="K3438">
        <v>1.1108009999999999</v>
      </c>
      <c r="L3438">
        <v>196.7242</v>
      </c>
      <c r="M3438">
        <v>0.13382330000000001</v>
      </c>
      <c r="N3438">
        <v>-1.358757E-2</v>
      </c>
      <c r="O3438">
        <v>-0.99091209999999996</v>
      </c>
      <c r="P3438">
        <v>0.1485187</v>
      </c>
      <c r="Q3438">
        <v>-3.4270210000000002E-2</v>
      </c>
      <c r="R3438">
        <v>-0.98831570000000002</v>
      </c>
      <c r="S3438">
        <v>0.1005402</v>
      </c>
      <c r="T3438">
        <v>-0.18846769999999999</v>
      </c>
      <c r="U3438">
        <v>-3.012985</v>
      </c>
      <c r="V3438">
        <v>-1.4848129999999999E-2</v>
      </c>
      <c r="W3438">
        <v>-2.0733999999999999E-2</v>
      </c>
      <c r="X3438">
        <v>0.99967470000000003</v>
      </c>
      <c r="Y3438">
        <v>0.10069649999999999</v>
      </c>
      <c r="Z3438">
        <v>4.7876500000000002E-2</v>
      </c>
      <c r="AA3438">
        <v>0.9937646</v>
      </c>
      <c r="AB3438">
        <v>27</v>
      </c>
      <c r="AC3438">
        <v>0.570500000000009</v>
      </c>
      <c r="AD3438">
        <v>-1.110805326783</v>
      </c>
      <c r="AE3438">
        <v>-17.598899999999901</v>
      </c>
      <c r="AF3438">
        <v>1.78289731650098</v>
      </c>
      <c r="AG3438">
        <v>-1.110805326783</v>
      </c>
      <c r="AH3438">
        <v>17.4474899441778</v>
      </c>
      <c r="AI3438">
        <v>93.624033575128607</v>
      </c>
      <c r="AJ3438">
        <v>84.165399046782497</v>
      </c>
      <c r="AK3438">
        <v>17.573489029426799</v>
      </c>
      <c r="AL3438">
        <v>91.188055903068104</v>
      </c>
      <c r="AM3438">
        <v>90.850949444432501</v>
      </c>
      <c r="AN3438">
        <v>0.999999935770291</v>
      </c>
    </row>
    <row r="3439" spans="1:40" x14ac:dyDescent="0.25">
      <c r="A3439" t="str">
        <f>"20190305135859615"</f>
        <v>20190305135859615</v>
      </c>
      <c r="B3439" t="str">
        <f>"1551765539612325"</f>
        <v>1551765539612325</v>
      </c>
      <c r="C3439" t="s">
        <v>40</v>
      </c>
      <c r="D3439">
        <v>4.2162930000000003</v>
      </c>
      <c r="E3439">
        <v>0.54296519999999904</v>
      </c>
      <c r="F3439" t="s">
        <v>41</v>
      </c>
      <c r="G3439">
        <v>-189.10210000000001</v>
      </c>
      <c r="H3439">
        <v>1.0507010000000001</v>
      </c>
      <c r="I3439">
        <v>195.7654</v>
      </c>
      <c r="J3439">
        <v>-189.10830000000001</v>
      </c>
      <c r="K3439">
        <v>1.1108910000000001</v>
      </c>
      <c r="L3439">
        <v>196.53280000000001</v>
      </c>
      <c r="M3439">
        <v>0.13522039999999999</v>
      </c>
      <c r="N3439">
        <v>-1.351951E-2</v>
      </c>
      <c r="O3439">
        <v>-0.99072369999999998</v>
      </c>
      <c r="P3439">
        <v>0.1512011</v>
      </c>
      <c r="Q3439">
        <v>-3.4956180000000003E-2</v>
      </c>
      <c r="R3439">
        <v>-0.98788549999999997</v>
      </c>
      <c r="S3439">
        <v>0.105239899999999</v>
      </c>
      <c r="T3439">
        <v>-0.18899940000000001</v>
      </c>
      <c r="U3439">
        <v>-3.0130919999999999</v>
      </c>
      <c r="V3439">
        <v>-1.614587E-2</v>
      </c>
      <c r="W3439">
        <v>-2.14974E-2</v>
      </c>
      <c r="X3439">
        <v>0.99963849999999999</v>
      </c>
      <c r="Y3439">
        <v>0.1005529</v>
      </c>
      <c r="Z3439">
        <v>4.8097689999999999E-2</v>
      </c>
      <c r="AA3439">
        <v>0.99376850000000005</v>
      </c>
      <c r="AB3439">
        <v>27</v>
      </c>
      <c r="AC3439">
        <v>6.2000000000068597E-3</v>
      </c>
      <c r="AD3439">
        <v>-6.0189999999999903E-2</v>
      </c>
      <c r="AE3439">
        <v>-0.76740000000000896</v>
      </c>
      <c r="AF3439">
        <v>9.7037611869715101E-2</v>
      </c>
      <c r="AG3439">
        <v>-6.0189999999999903E-2</v>
      </c>
      <c r="AH3439">
        <v>0.75653522223547198</v>
      </c>
      <c r="AI3439">
        <v>94.512064320283201</v>
      </c>
      <c r="AJ3439">
        <v>82.6908192494286</v>
      </c>
      <c r="AK3439">
        <v>0.76510435673851196</v>
      </c>
      <c r="AL3439">
        <v>91.231805206171003</v>
      </c>
      <c r="AM3439">
        <v>90.9253442869813</v>
      </c>
      <c r="AN3439">
        <v>0.99999997900353299</v>
      </c>
    </row>
    <row r="3440" spans="1:40" x14ac:dyDescent="0.25">
      <c r="A3440" t="str">
        <f>"20190305135859627"</f>
        <v>20190305135859627</v>
      </c>
      <c r="B3440" t="str">
        <f>"1551765539622085"</f>
        <v>1551765539622085</v>
      </c>
      <c r="C3440" t="s">
        <v>40</v>
      </c>
      <c r="D3440">
        <v>4.240812</v>
      </c>
      <c r="E3440">
        <v>0.54331209999999996</v>
      </c>
      <c r="F3440" t="s">
        <v>42</v>
      </c>
      <c r="G3440">
        <v>-188.49690000000001</v>
      </c>
      <c r="H3440" s="1">
        <v>-4.4595149999999996E-6</v>
      </c>
      <c r="I3440">
        <v>179.40649999999999</v>
      </c>
      <c r="J3440">
        <v>-189.08760000000001</v>
      </c>
      <c r="K3440">
        <v>1.1109389999999999</v>
      </c>
      <c r="L3440">
        <v>196.38990000000001</v>
      </c>
      <c r="M3440">
        <v>0.13631509999999999</v>
      </c>
      <c r="N3440">
        <v>-1.3459240000000001E-2</v>
      </c>
      <c r="O3440">
        <v>-0.99057399999999995</v>
      </c>
      <c r="P3440">
        <v>0.15263450000000001</v>
      </c>
      <c r="Q3440">
        <v>-3.5946190000000003E-2</v>
      </c>
      <c r="R3440">
        <v>-0.98762910000000004</v>
      </c>
      <c r="S3440">
        <v>0.1075745</v>
      </c>
      <c r="T3440">
        <v>-0.19546369999999999</v>
      </c>
      <c r="U3440">
        <v>-3.0133969999999999</v>
      </c>
      <c r="V3440">
        <v>-1.648964E-2</v>
      </c>
      <c r="W3440">
        <v>-2.2552280000000001E-2</v>
      </c>
      <c r="X3440">
        <v>0.99960959999999999</v>
      </c>
      <c r="Y3440">
        <v>0.1008892</v>
      </c>
      <c r="Z3440">
        <v>5.0234470000000003E-2</v>
      </c>
      <c r="AA3440">
        <v>0.99362859999999997</v>
      </c>
      <c r="AB3440">
        <v>27</v>
      </c>
      <c r="AC3440">
        <v>0.590699999999998</v>
      </c>
      <c r="AD3440">
        <v>-1.1109434595149901</v>
      </c>
      <c r="AE3440">
        <v>-16.9834</v>
      </c>
      <c r="AF3440">
        <v>1.72275605144133</v>
      </c>
      <c r="AG3440">
        <v>-1.1109434595149901</v>
      </c>
      <c r="AH3440">
        <v>16.833426779777501</v>
      </c>
      <c r="AI3440">
        <v>93.756269194832399</v>
      </c>
      <c r="AJ3440">
        <v>84.156615175255197</v>
      </c>
      <c r="AK3440">
        <v>16.957781132363699</v>
      </c>
      <c r="AL3440">
        <v>91.292260106523599</v>
      </c>
      <c r="AM3440">
        <v>90.945070048359995</v>
      </c>
      <c r="AN3440">
        <v>0.99999993298634104</v>
      </c>
    </row>
    <row r="3441" spans="1:40" x14ac:dyDescent="0.25">
      <c r="A3441" t="str">
        <f>"20190305135859640"</f>
        <v>20190305135859640</v>
      </c>
      <c r="B3441" t="str">
        <f>"1551765539632820"</f>
        <v>1551765539632820</v>
      </c>
      <c r="C3441" t="s">
        <v>40</v>
      </c>
      <c r="D3441">
        <v>4.2765149999999998</v>
      </c>
      <c r="E3441">
        <v>0.54371809999999998</v>
      </c>
      <c r="F3441" t="s">
        <v>41</v>
      </c>
      <c r="G3441">
        <v>-189.05619999999999</v>
      </c>
      <c r="H3441">
        <v>1.053663</v>
      </c>
      <c r="I3441">
        <v>195.5224</v>
      </c>
      <c r="J3441">
        <v>-189.0652</v>
      </c>
      <c r="K3441">
        <v>1.1109789999999999</v>
      </c>
      <c r="L3441">
        <v>196.2354</v>
      </c>
      <c r="M3441">
        <v>0.13752110000000001</v>
      </c>
      <c r="N3441">
        <v>-1.3388250000000001E-2</v>
      </c>
      <c r="O3441">
        <v>-0.99040850000000002</v>
      </c>
      <c r="P3441">
        <v>0.15394289999999999</v>
      </c>
      <c r="Q3441">
        <v>-3.7579990000000001E-2</v>
      </c>
      <c r="R3441">
        <v>-0.9873651</v>
      </c>
      <c r="S3441">
        <v>0.10916140000000001</v>
      </c>
      <c r="T3441">
        <v>-0.19904269999999999</v>
      </c>
      <c r="U3441">
        <v>-3.0134280000000002</v>
      </c>
      <c r="V3441">
        <v>-1.6594790000000002E-2</v>
      </c>
      <c r="W3441">
        <v>-2.426093E-2</v>
      </c>
      <c r="X3441">
        <v>0.99956789999999995</v>
      </c>
      <c r="Y3441">
        <v>0.1015795</v>
      </c>
      <c r="Z3441">
        <v>5.1447159999999999E-2</v>
      </c>
      <c r="AA3441">
        <v>0.99349620000000005</v>
      </c>
      <c r="AB3441">
        <v>27</v>
      </c>
      <c r="AC3441">
        <v>9.0000000000145502E-3</v>
      </c>
      <c r="AD3441">
        <v>-5.7316000000000103E-2</v>
      </c>
      <c r="AE3441">
        <v>-0.71299999999999297</v>
      </c>
      <c r="AF3441">
        <v>8.8574559402151198E-2</v>
      </c>
      <c r="AG3441">
        <v>-5.7316000000000103E-2</v>
      </c>
      <c r="AH3441">
        <v>0.70292064393075704</v>
      </c>
      <c r="AI3441">
        <v>94.625157993619197</v>
      </c>
      <c r="AJ3441">
        <v>82.818050089581305</v>
      </c>
      <c r="AK3441">
        <v>0.71079392800819197</v>
      </c>
      <c r="AL3441">
        <v>91.390185317600995</v>
      </c>
      <c r="AM3441">
        <v>90.951135072951402</v>
      </c>
      <c r="AN3441">
        <v>0.99999998324500905</v>
      </c>
    </row>
    <row r="3442" spans="1:40" x14ac:dyDescent="0.25">
      <c r="A3442" t="str">
        <f>"20190305135859651"</f>
        <v>20190305135859651</v>
      </c>
      <c r="B3442" t="str">
        <f>"1551765539642581"</f>
        <v>1551765539642581</v>
      </c>
      <c r="C3442" t="s">
        <v>40</v>
      </c>
      <c r="D3442">
        <v>4.2461169999999999</v>
      </c>
      <c r="E3442">
        <v>0.54371809999999998</v>
      </c>
      <c r="F3442" t="s">
        <v>41</v>
      </c>
      <c r="G3442">
        <v>-189.03100000000001</v>
      </c>
      <c r="H3442">
        <v>1.0470999999999999</v>
      </c>
      <c r="I3442">
        <v>195.29660000000001</v>
      </c>
      <c r="J3442">
        <v>-189.0454</v>
      </c>
      <c r="K3442">
        <v>1.1109869999999999</v>
      </c>
      <c r="L3442">
        <v>196.1009</v>
      </c>
      <c r="M3442">
        <v>0.13860169999999999</v>
      </c>
      <c r="N3442">
        <v>-1.3316069999999999E-2</v>
      </c>
      <c r="O3442">
        <v>-0.99025890000000005</v>
      </c>
      <c r="P3442">
        <v>0.15505329999999901</v>
      </c>
      <c r="Q3442">
        <v>-3.9273269999999999E-2</v>
      </c>
      <c r="R3442">
        <v>-0.98712529999999998</v>
      </c>
      <c r="S3442">
        <v>0.1098938</v>
      </c>
      <c r="T3442">
        <v>-0.2051125</v>
      </c>
      <c r="U3442">
        <v>-3.013474</v>
      </c>
      <c r="V3442">
        <v>-1.6628839999999999E-2</v>
      </c>
      <c r="W3442">
        <v>-2.6028909999999999E-2</v>
      </c>
      <c r="X3442">
        <v>0.99952289999999999</v>
      </c>
      <c r="Y3442">
        <v>0.10242660000000001</v>
      </c>
      <c r="Z3442">
        <v>5.3468099999999998E-2</v>
      </c>
      <c r="AA3442">
        <v>0.99330260000000004</v>
      </c>
      <c r="AB3442">
        <v>27</v>
      </c>
      <c r="AC3442">
        <v>1.44000000000232E-2</v>
      </c>
      <c r="AD3442">
        <v>-6.3887000000000194E-2</v>
      </c>
      <c r="AE3442">
        <v>-0.80429999999998303</v>
      </c>
      <c r="AF3442">
        <v>9.6616818279898001E-2</v>
      </c>
      <c r="AG3442">
        <v>-6.3887000000000194E-2</v>
      </c>
      <c r="AH3442">
        <v>0.79352664115204796</v>
      </c>
      <c r="AI3442">
        <v>94.569366913758003</v>
      </c>
      <c r="AJ3442">
        <v>83.058050717960597</v>
      </c>
      <c r="AK3442">
        <v>0.80193571348430503</v>
      </c>
      <c r="AL3442">
        <v>91.491515101246506</v>
      </c>
      <c r="AM3442">
        <v>90.953129200129993</v>
      </c>
      <c r="AN3442">
        <v>1.0000000250499701</v>
      </c>
    </row>
    <row r="3443" spans="1:40" x14ac:dyDescent="0.25">
      <c r="A3443" t="str">
        <f>"20190305135859664"</f>
        <v>20190305135859664</v>
      </c>
      <c r="B3443" t="str">
        <f>"1551765539662607"</f>
        <v>1551765539662607</v>
      </c>
      <c r="C3443" t="s">
        <v>40</v>
      </c>
      <c r="D3443">
        <v>4.2585509999999998</v>
      </c>
      <c r="E3443">
        <v>0.55053989999999997</v>
      </c>
      <c r="F3443" t="s">
        <v>41</v>
      </c>
      <c r="G3443">
        <v>-189.01499999999999</v>
      </c>
      <c r="H3443">
        <v>1.054419</v>
      </c>
      <c r="I3443">
        <v>195.2894</v>
      </c>
      <c r="J3443">
        <v>-189.02440000000001</v>
      </c>
      <c r="K3443">
        <v>1.1109910000000001</v>
      </c>
      <c r="L3443">
        <v>195.95920000000001</v>
      </c>
      <c r="M3443">
        <v>0.1397516</v>
      </c>
      <c r="N3443">
        <v>-1.323737E-2</v>
      </c>
      <c r="O3443">
        <v>-0.99009809999999998</v>
      </c>
      <c r="P3443">
        <v>0.15617210000000001</v>
      </c>
      <c r="Q3443">
        <v>-4.0591130000000003E-2</v>
      </c>
      <c r="R3443">
        <v>-0.98689550000000004</v>
      </c>
      <c r="S3443">
        <v>0.1131897</v>
      </c>
      <c r="T3443">
        <v>-0.21008460000000001</v>
      </c>
      <c r="U3443">
        <v>-3.0130159999999999</v>
      </c>
      <c r="V3443">
        <v>-1.660153E-2</v>
      </c>
      <c r="W3443">
        <v>-2.7427170000000001E-2</v>
      </c>
      <c r="X3443">
        <v>0.99948590000000004</v>
      </c>
      <c r="Y3443">
        <v>0.10249369999999999</v>
      </c>
      <c r="Z3443">
        <v>5.5150869999999998E-2</v>
      </c>
      <c r="AA3443">
        <v>0.99320359999999996</v>
      </c>
      <c r="AB3443">
        <v>27</v>
      </c>
      <c r="AC3443">
        <v>9.4000000000278305E-3</v>
      </c>
      <c r="AD3443">
        <v>-5.6571999999999997E-2</v>
      </c>
      <c r="AE3443">
        <v>-0.66980000000000905</v>
      </c>
      <c r="AF3443">
        <v>8.3709052035812997E-2</v>
      </c>
      <c r="AG3443">
        <v>-5.6571999999999997E-2</v>
      </c>
      <c r="AH3443">
        <v>0.65983349783894696</v>
      </c>
      <c r="AI3443">
        <v>94.861594738729494</v>
      </c>
      <c r="AJ3443">
        <v>82.769857162272899</v>
      </c>
      <c r="AK3443">
        <v>0.667523663585879</v>
      </c>
      <c r="AL3443">
        <v>91.571658232702305</v>
      </c>
      <c r="AM3443">
        <v>90.951599357469902</v>
      </c>
      <c r="AN3443">
        <v>0.99999996237567901</v>
      </c>
    </row>
    <row r="3444" spans="1:40" x14ac:dyDescent="0.25">
      <c r="A3444" t="str">
        <f>"20190305135859678"</f>
        <v>20190305135859678</v>
      </c>
      <c r="B3444" t="str">
        <f>"1551765539672367"</f>
        <v>1551765539672367</v>
      </c>
      <c r="C3444" t="s">
        <v>40</v>
      </c>
      <c r="D3444">
        <v>4.2429489999999896</v>
      </c>
      <c r="E3444">
        <v>0.55083090000000001</v>
      </c>
      <c r="F3444" t="s">
        <v>41</v>
      </c>
      <c r="G3444">
        <v>-189.006</v>
      </c>
      <c r="H3444">
        <v>1.044314</v>
      </c>
      <c r="I3444">
        <v>195.0607</v>
      </c>
      <c r="J3444">
        <v>-189.00040000000001</v>
      </c>
      <c r="K3444">
        <v>1.1109869999999999</v>
      </c>
      <c r="L3444">
        <v>195.7988</v>
      </c>
      <c r="M3444">
        <v>0.14106489999999999</v>
      </c>
      <c r="N3444">
        <v>-1.31456E-2</v>
      </c>
      <c r="O3444">
        <v>-0.98991320000000005</v>
      </c>
      <c r="P3444">
        <v>0.15696779999999999</v>
      </c>
      <c r="Q3444">
        <v>-4.1366670000000001E-2</v>
      </c>
      <c r="R3444">
        <v>-0.98673739999999999</v>
      </c>
      <c r="S3444">
        <v>6.2011719999999999E-2</v>
      </c>
      <c r="T3444">
        <v>-0.22420300000000001</v>
      </c>
      <c r="U3444">
        <v>-3.020813</v>
      </c>
      <c r="V3444">
        <v>-1.6081660000000001E-2</v>
      </c>
      <c r="W3444">
        <v>-2.8293510000000001E-2</v>
      </c>
      <c r="X3444">
        <v>0.99947030000000003</v>
      </c>
      <c r="Y3444">
        <v>0.1206946</v>
      </c>
      <c r="Z3444">
        <v>5.9532139999999997E-2</v>
      </c>
      <c r="AA3444">
        <v>0.99090299999999998</v>
      </c>
      <c r="AB3444">
        <v>27</v>
      </c>
      <c r="AC3444">
        <v>-5.5999999999585201E-3</v>
      </c>
      <c r="AD3444">
        <v>-6.6673000000000204E-2</v>
      </c>
      <c r="AE3444">
        <v>-0.73810000000000198</v>
      </c>
      <c r="AF3444">
        <v>0.10878538349776599</v>
      </c>
      <c r="AG3444">
        <v>-6.6673000000000204E-2</v>
      </c>
      <c r="AH3444">
        <v>0.72402055907859997</v>
      </c>
      <c r="AI3444">
        <v>95.203287229483905</v>
      </c>
      <c r="AJ3444">
        <v>81.455125976914999</v>
      </c>
      <c r="AK3444">
        <v>0.735177066127776</v>
      </c>
      <c r="AL3444">
        <v>91.621315057570598</v>
      </c>
      <c r="AM3444">
        <v>90.921820030039697</v>
      </c>
      <c r="AN3444">
        <v>1.00000001153928</v>
      </c>
    </row>
    <row r="3445" spans="1:40" x14ac:dyDescent="0.25">
      <c r="A3445" t="str">
        <f>"20190305135859694"</f>
        <v>20190305135859694</v>
      </c>
      <c r="B3445" t="str">
        <f>"1551765539682127"</f>
        <v>1551765539682127</v>
      </c>
      <c r="C3445" t="s">
        <v>40</v>
      </c>
      <c r="D3445">
        <v>4.2562519999999999</v>
      </c>
      <c r="E3445">
        <v>0.55101239999999996</v>
      </c>
      <c r="F3445" t="s">
        <v>42</v>
      </c>
      <c r="G3445">
        <v>-188.68680000000001</v>
      </c>
      <c r="H3445" s="1">
        <v>-6.9148169999999997E-7</v>
      </c>
      <c r="I3445">
        <v>180.6533</v>
      </c>
      <c r="J3445">
        <v>-188.9717</v>
      </c>
      <c r="K3445">
        <v>1.110943</v>
      </c>
      <c r="L3445">
        <v>195.60910000000001</v>
      </c>
      <c r="M3445">
        <v>0.1426065</v>
      </c>
      <c r="N3445">
        <v>-1.3042929999999999E-2</v>
      </c>
      <c r="O3445">
        <v>-0.98969370000000001</v>
      </c>
      <c r="P3445">
        <v>0.15659699999999999</v>
      </c>
      <c r="Q3445">
        <v>-4.1115020000000002E-2</v>
      </c>
      <c r="R3445">
        <v>-0.98680659999999998</v>
      </c>
      <c r="S3445">
        <v>6.2545779999999995E-2</v>
      </c>
      <c r="T3445">
        <v>-0.22160969999999999</v>
      </c>
      <c r="U3445">
        <v>-3.0210880000000002</v>
      </c>
      <c r="V3445">
        <v>-1.4150090000000001E-2</v>
      </c>
      <c r="W3445">
        <v>-2.813614E-2</v>
      </c>
      <c r="X3445">
        <v>0.99950399999999995</v>
      </c>
      <c r="Y3445">
        <v>0.1220668</v>
      </c>
      <c r="Z3445">
        <v>5.8761569999999999E-2</v>
      </c>
      <c r="AA3445">
        <v>0.99078089999999996</v>
      </c>
      <c r="AB3445">
        <v>27</v>
      </c>
      <c r="AC3445">
        <v>0.28489999999999299</v>
      </c>
      <c r="AD3445">
        <v>-1.1109436914816999</v>
      </c>
      <c r="AE3445">
        <v>-14.9558</v>
      </c>
      <c r="AF3445">
        <v>1.84083403953889</v>
      </c>
      <c r="AG3445">
        <v>-1.1109436914816999</v>
      </c>
      <c r="AH3445">
        <v>14.7621249629904</v>
      </c>
      <c r="AI3445">
        <v>94.270805155496902</v>
      </c>
      <c r="AJ3445">
        <v>82.891919816315905</v>
      </c>
      <c r="AK3445">
        <v>14.917881862708001</v>
      </c>
      <c r="AL3445">
        <v>91.612294756872004</v>
      </c>
      <c r="AM3445">
        <v>90.811088579280096</v>
      </c>
      <c r="AN3445">
        <v>1.0000000567185501</v>
      </c>
    </row>
    <row r="3446" spans="1:40" x14ac:dyDescent="0.25">
      <c r="A3446" t="str">
        <f>"20190305135859707"</f>
        <v>20190305135859707</v>
      </c>
      <c r="B3446" t="str">
        <f>"1551765539702623"</f>
        <v>1551765539702623</v>
      </c>
      <c r="C3446" t="s">
        <v>40</v>
      </c>
      <c r="D3446">
        <v>4.2121019999999998</v>
      </c>
      <c r="E3446">
        <v>0.55109019999999898</v>
      </c>
      <c r="F3446" t="s">
        <v>42</v>
      </c>
      <c r="G3446">
        <v>-188.66290000000001</v>
      </c>
      <c r="H3446" s="1">
        <v>-5.1694540000000002E-7</v>
      </c>
      <c r="I3446">
        <v>180.1217</v>
      </c>
      <c r="J3446">
        <v>-188.94890000000001</v>
      </c>
      <c r="K3446">
        <v>1.1109039999999999</v>
      </c>
      <c r="L3446">
        <v>195.4598</v>
      </c>
      <c r="M3446">
        <v>0.14378640000000001</v>
      </c>
      <c r="N3446">
        <v>-1.297251E-2</v>
      </c>
      <c r="O3446">
        <v>-0.98952379999999995</v>
      </c>
      <c r="P3446">
        <v>0.15633459999999999</v>
      </c>
      <c r="Q3446">
        <v>-4.0540189999999997E-2</v>
      </c>
      <c r="R3446">
        <v>-0.98687230000000004</v>
      </c>
      <c r="S3446">
        <v>6.0241699999999898E-2</v>
      </c>
      <c r="T3446">
        <v>-0.2167403</v>
      </c>
      <c r="U3446">
        <v>-3.0215299999999998</v>
      </c>
      <c r="V3446">
        <v>-1.269377E-2</v>
      </c>
      <c r="W3446">
        <v>-2.762469E-2</v>
      </c>
      <c r="X3446">
        <v>0.99953780000000003</v>
      </c>
      <c r="Y3446">
        <v>0.1240068</v>
      </c>
      <c r="Z3446">
        <v>5.722464E-2</v>
      </c>
      <c r="AA3446">
        <v>0.99062989999999995</v>
      </c>
      <c r="AB3446">
        <v>27</v>
      </c>
      <c r="AC3446">
        <v>0.28600000000000098</v>
      </c>
      <c r="AD3446">
        <v>-1.1109045169453999</v>
      </c>
      <c r="AE3446">
        <v>-15.338099999999899</v>
      </c>
      <c r="AF3446">
        <v>1.91253871693181</v>
      </c>
      <c r="AG3446">
        <v>-1.1109045169453999</v>
      </c>
      <c r="AH3446">
        <v>15.1404215781226</v>
      </c>
      <c r="AI3446">
        <v>94.163498555855796</v>
      </c>
      <c r="AJ3446">
        <v>82.800526434888198</v>
      </c>
      <c r="AK3446">
        <v>15.3011201796736</v>
      </c>
      <c r="AL3446">
        <v>91.582979471152697</v>
      </c>
      <c r="AM3446">
        <v>90.727596646238396</v>
      </c>
      <c r="AN3446">
        <v>1.00000003446162</v>
      </c>
    </row>
    <row r="3447" spans="1:40" x14ac:dyDescent="0.25">
      <c r="A3447" t="str">
        <f>"20190305135859720"</f>
        <v>20190305135859720</v>
      </c>
      <c r="B3447" t="str">
        <f>"1551765539712384"</f>
        <v>1551765539712384</v>
      </c>
      <c r="C3447" t="s">
        <v>40</v>
      </c>
      <c r="D3447">
        <v>4.2852540000000001</v>
      </c>
      <c r="E3447">
        <v>0.55606809999999995</v>
      </c>
      <c r="F3447" t="s">
        <v>41</v>
      </c>
      <c r="G3447">
        <v>-188.93170000000001</v>
      </c>
      <c r="H3447">
        <v>1.048592</v>
      </c>
      <c r="I3447">
        <v>194.5847</v>
      </c>
      <c r="J3447">
        <v>-188.9248</v>
      </c>
      <c r="K3447">
        <v>1.1108610000000001</v>
      </c>
      <c r="L3447">
        <v>195.303</v>
      </c>
      <c r="M3447">
        <v>0.1449965</v>
      </c>
      <c r="N3447">
        <v>-1.2905389999999999E-2</v>
      </c>
      <c r="O3447">
        <v>-0.98934840000000002</v>
      </c>
      <c r="P3447">
        <v>0.15585589999999999</v>
      </c>
      <c r="Q3447">
        <v>-4.0160019999999998E-2</v>
      </c>
      <c r="R3447">
        <v>-0.98696349999999999</v>
      </c>
      <c r="S3447">
        <v>5.9005740000000001E-2</v>
      </c>
      <c r="T3447">
        <v>-0.215119</v>
      </c>
      <c r="U3447">
        <v>-3.0217290000000001</v>
      </c>
      <c r="V3447">
        <v>-1.098946E-2</v>
      </c>
      <c r="W3447">
        <v>-2.7303580000000001E-2</v>
      </c>
      <c r="X3447">
        <v>0.99956679999999998</v>
      </c>
      <c r="Y3447">
        <v>0.12562570000000001</v>
      </c>
      <c r="Z3447">
        <v>5.6738490000000003E-2</v>
      </c>
      <c r="AA3447">
        <v>0.9904539</v>
      </c>
      <c r="AB3447">
        <v>27</v>
      </c>
      <c r="AC3447">
        <v>-6.90000000000168E-3</v>
      </c>
      <c r="AD3447">
        <v>-6.2269000000000102E-2</v>
      </c>
      <c r="AE3447">
        <v>-0.71829999999999905</v>
      </c>
      <c r="AF3447">
        <v>0.110158915073878</v>
      </c>
      <c r="AG3447">
        <v>-6.2269000000000102E-2</v>
      </c>
      <c r="AH3447">
        <v>0.70441408153763696</v>
      </c>
      <c r="AI3447">
        <v>94.991364357613904</v>
      </c>
      <c r="AJ3447">
        <v>81.111860368979606</v>
      </c>
      <c r="AK3447">
        <v>0.71568960674287196</v>
      </c>
      <c r="AL3447">
        <v>91.564574302874306</v>
      </c>
      <c r="AM3447">
        <v>90.629897181225402</v>
      </c>
      <c r="AN3447">
        <v>1.0000000206870701</v>
      </c>
    </row>
    <row r="3448" spans="1:40" x14ac:dyDescent="0.25">
      <c r="A3448" t="str">
        <f>"20190305135859734"</f>
        <v>20190305135859734</v>
      </c>
      <c r="B3448" t="str">
        <f>"1551765539722144"</f>
        <v>1551765539722144</v>
      </c>
      <c r="C3448" t="s">
        <v>40</v>
      </c>
      <c r="D3448">
        <v>4.2694320000000001</v>
      </c>
      <c r="E3448">
        <v>0.55466439999999995</v>
      </c>
      <c r="F3448" t="s">
        <v>42</v>
      </c>
      <c r="G3448">
        <v>-188.785</v>
      </c>
      <c r="H3448" s="1">
        <v>-2.787999E-6</v>
      </c>
      <c r="I3448">
        <v>175.6293</v>
      </c>
      <c r="J3448">
        <v>-188.89920000000001</v>
      </c>
      <c r="K3448">
        <v>1.110787</v>
      </c>
      <c r="L3448">
        <v>195.13730000000001</v>
      </c>
      <c r="M3448">
        <v>0.1461993</v>
      </c>
      <c r="N3448">
        <v>-1.2844670000000001E-2</v>
      </c>
      <c r="O3448">
        <v>-0.98917189999999999</v>
      </c>
      <c r="P3448">
        <v>0.15564529999999999</v>
      </c>
      <c r="Q3448">
        <v>-3.9859249999999999E-2</v>
      </c>
      <c r="R3448">
        <v>-0.98700880000000002</v>
      </c>
      <c r="S3448">
        <v>2.1514889999999998E-2</v>
      </c>
      <c r="T3448">
        <v>-0.17104469999999999</v>
      </c>
      <c r="U3448">
        <v>-3.0292509999999999</v>
      </c>
      <c r="V3448">
        <v>-9.5643910000000002E-3</v>
      </c>
      <c r="W3448">
        <v>-2.7056279999999999E-2</v>
      </c>
      <c r="X3448">
        <v>0.99958809999999998</v>
      </c>
      <c r="Y3448">
        <v>0.1391249</v>
      </c>
      <c r="Z3448">
        <v>4.2369509999999999E-2</v>
      </c>
      <c r="AA3448">
        <v>0.98936800000000003</v>
      </c>
      <c r="AB3448">
        <v>27</v>
      </c>
      <c r="AC3448">
        <v>0.11420000000001</v>
      </c>
      <c r="AD3448">
        <v>-1.1107897879990001</v>
      </c>
      <c r="AE3448">
        <v>-19.507999999999999</v>
      </c>
      <c r="AF3448">
        <v>2.7304657474263299</v>
      </c>
      <c r="AG3448">
        <v>-1.1107897879990001</v>
      </c>
      <c r="AH3448">
        <v>19.252633680068602</v>
      </c>
      <c r="AI3448">
        <v>93.269402128250405</v>
      </c>
      <c r="AJ3448">
        <v>81.927974528851294</v>
      </c>
      <c r="AK3448">
        <v>19.476991573903401</v>
      </c>
      <c r="AL3448">
        <v>91.550399937943695</v>
      </c>
      <c r="AM3448">
        <v>90.548208322184806</v>
      </c>
      <c r="AN3448">
        <v>0.99999994476212295</v>
      </c>
    </row>
    <row r="3449" spans="1:40" x14ac:dyDescent="0.25">
      <c r="A3449" t="str">
        <f>"20190305135859752"</f>
        <v>20190305135859752</v>
      </c>
      <c r="B3449" t="str">
        <f>"1551765539742639"</f>
        <v>1551765539742639</v>
      </c>
      <c r="C3449" t="s">
        <v>40</v>
      </c>
      <c r="D3449">
        <v>4.226801</v>
      </c>
      <c r="E3449">
        <v>0.5553709</v>
      </c>
      <c r="F3449" t="s">
        <v>42</v>
      </c>
      <c r="G3449">
        <v>-188.7159</v>
      </c>
      <c r="H3449" s="1">
        <v>-3.4250630000000001E-6</v>
      </c>
      <c r="I3449">
        <v>177.0857</v>
      </c>
      <c r="J3449">
        <v>-188.86510000000001</v>
      </c>
      <c r="K3449">
        <v>1.1106590000000001</v>
      </c>
      <c r="L3449">
        <v>194.91839999999999</v>
      </c>
      <c r="M3449">
        <v>0.14765919999999999</v>
      </c>
      <c r="N3449">
        <v>-1.27764E-2</v>
      </c>
      <c r="O3449">
        <v>-0.98895580000000005</v>
      </c>
      <c r="P3449">
        <v>0.154331</v>
      </c>
      <c r="Q3449">
        <v>-4.0237170000000003E-2</v>
      </c>
      <c r="R3449">
        <v>-0.98719959999999995</v>
      </c>
      <c r="S3449">
        <v>3.07312E-2</v>
      </c>
      <c r="T3449">
        <v>-0.1862702</v>
      </c>
      <c r="U3449">
        <v>-3.0270999999999999</v>
      </c>
      <c r="V3449">
        <v>-6.7683029999999998E-3</v>
      </c>
      <c r="W3449">
        <v>-2.749041E-2</v>
      </c>
      <c r="X3449">
        <v>0.99959920000000002</v>
      </c>
      <c r="Y3449">
        <v>0.1375681</v>
      </c>
      <c r="Z3449">
        <v>4.7367810000000003E-2</v>
      </c>
      <c r="AA3449">
        <v>0.98935899999999999</v>
      </c>
      <c r="AB3449">
        <v>27</v>
      </c>
      <c r="AC3449">
        <v>0.14920000000000699</v>
      </c>
      <c r="AD3449">
        <v>-1.1106624250629999</v>
      </c>
      <c r="AE3449">
        <v>-17.8326999999999</v>
      </c>
      <c r="AF3449">
        <v>2.4762080802737301</v>
      </c>
      <c r="AG3449">
        <v>-1.1106624250629999</v>
      </c>
      <c r="AH3449">
        <v>17.590991499812802</v>
      </c>
      <c r="AI3449">
        <v>93.577575228533405</v>
      </c>
      <c r="AJ3449">
        <v>81.9873665932504</v>
      </c>
      <c r="AK3449">
        <v>17.799105579375201</v>
      </c>
      <c r="AL3449">
        <v>91.5752828519811</v>
      </c>
      <c r="AM3449">
        <v>90.387944758415202</v>
      </c>
      <c r="AN3449">
        <v>1.00000004660405</v>
      </c>
    </row>
    <row r="3450" spans="1:40" x14ac:dyDescent="0.25">
      <c r="A3450" t="str">
        <f>"20190305135859767"</f>
        <v>20190305135859767</v>
      </c>
      <c r="B3450" t="str">
        <f>"1551765539762665"</f>
        <v>1551765539762665</v>
      </c>
      <c r="C3450" t="s">
        <v>40</v>
      </c>
      <c r="D3450">
        <v>4.2751669999999997</v>
      </c>
      <c r="E3450">
        <v>0.55500090000000002</v>
      </c>
      <c r="F3450" t="s">
        <v>42</v>
      </c>
      <c r="G3450">
        <v>-188.73249999999999</v>
      </c>
      <c r="H3450" s="1">
        <v>-3.1010629999999999E-6</v>
      </c>
      <c r="I3450">
        <v>176.3373</v>
      </c>
      <c r="J3450">
        <v>-188.83850000000001</v>
      </c>
      <c r="K3450">
        <v>1.110541</v>
      </c>
      <c r="L3450">
        <v>194.74799999999999</v>
      </c>
      <c r="M3450">
        <v>0.1486576</v>
      </c>
      <c r="N3450">
        <v>-1.2745299999999999E-2</v>
      </c>
      <c r="O3450">
        <v>-0.98880659999999998</v>
      </c>
      <c r="P3450">
        <v>0.1542047</v>
      </c>
      <c r="Q3450">
        <v>-4.0774150000000002E-2</v>
      </c>
      <c r="R3450">
        <v>-0.98719730000000006</v>
      </c>
      <c r="S3450">
        <v>2.1621700000000001E-2</v>
      </c>
      <c r="T3450">
        <v>-0.1810013</v>
      </c>
      <c r="U3450">
        <v>-3.0281069999999999</v>
      </c>
      <c r="V3450">
        <v>-5.6409420000000004E-3</v>
      </c>
      <c r="W3450">
        <v>-2.8053310000000001E-2</v>
      </c>
      <c r="X3450">
        <v>0.99959050000000005</v>
      </c>
      <c r="Y3450">
        <v>0.14154559999999999</v>
      </c>
      <c r="Z3450">
        <v>4.5651730000000001E-2</v>
      </c>
      <c r="AA3450">
        <v>0.98887849999999999</v>
      </c>
      <c r="AB3450">
        <v>27</v>
      </c>
      <c r="AC3450">
        <v>0.10600000000002199</v>
      </c>
      <c r="AD3450">
        <v>-1.1105441010629999</v>
      </c>
      <c r="AE3450">
        <v>-18.410699999999899</v>
      </c>
      <c r="AF3450">
        <v>2.6227480191857402</v>
      </c>
      <c r="AG3450">
        <v>-1.1105441010629999</v>
      </c>
      <c r="AH3450">
        <v>18.155800282613701</v>
      </c>
      <c r="AI3450">
        <v>93.464403872916193</v>
      </c>
      <c r="AJ3450">
        <v>81.780037919403497</v>
      </c>
      <c r="AK3450">
        <v>18.3778453381974</v>
      </c>
      <c r="AL3450">
        <v>91.607547184049494</v>
      </c>
      <c r="AM3450">
        <v>90.323331142314899</v>
      </c>
      <c r="AN3450">
        <v>0.99999998805942603</v>
      </c>
    </row>
    <row r="3451" spans="1:40" x14ac:dyDescent="0.25">
      <c r="A3451" t="str">
        <f>"20190305135859783"</f>
        <v>20190305135859783</v>
      </c>
      <c r="B3451" t="str">
        <f>"1551765539772425"</f>
        <v>1551765539772425</v>
      </c>
      <c r="C3451" t="s">
        <v>40</v>
      </c>
      <c r="D3451">
        <v>4.2938780000000003</v>
      </c>
      <c r="E3451">
        <v>0.55499270000000001</v>
      </c>
      <c r="F3451" t="s">
        <v>42</v>
      </c>
      <c r="G3451">
        <v>-188.68629999999999</v>
      </c>
      <c r="H3451" s="1">
        <v>-2.9349999999999999E-6</v>
      </c>
      <c r="I3451">
        <v>175.93109999999999</v>
      </c>
      <c r="J3451">
        <v>-188.8092</v>
      </c>
      <c r="K3451">
        <v>1.1103860000000001</v>
      </c>
      <c r="L3451">
        <v>194.56100000000001</v>
      </c>
      <c r="M3451">
        <v>0.14960899999999999</v>
      </c>
      <c r="N3451">
        <v>-1.273583E-2</v>
      </c>
      <c r="O3451">
        <v>-0.98866330000000002</v>
      </c>
      <c r="P3451">
        <v>0.1530724</v>
      </c>
      <c r="Q3451">
        <v>-4.2043369999999997E-2</v>
      </c>
      <c r="R3451">
        <v>-0.98732030000000004</v>
      </c>
      <c r="S3451">
        <v>2.4490359999999999E-2</v>
      </c>
      <c r="T3451">
        <v>-0.17869009999999999</v>
      </c>
      <c r="U3451">
        <v>-3.027695</v>
      </c>
      <c r="V3451">
        <v>-3.5488199999999998E-3</v>
      </c>
      <c r="W3451">
        <v>-2.932485E-2</v>
      </c>
      <c r="X3451">
        <v>0.9995636</v>
      </c>
      <c r="Y3451">
        <v>0.14156070000000001</v>
      </c>
      <c r="Z3451">
        <v>4.4913740000000001E-2</v>
      </c>
      <c r="AA3451">
        <v>0.98891019999999996</v>
      </c>
      <c r="AB3451">
        <v>27</v>
      </c>
      <c r="AC3451">
        <v>0.122900000000015</v>
      </c>
      <c r="AD3451">
        <v>-1.110388935</v>
      </c>
      <c r="AE3451">
        <v>-18.6298999999999</v>
      </c>
      <c r="AF3451">
        <v>2.6564733672627501</v>
      </c>
      <c r="AG3451">
        <v>-1.110388935</v>
      </c>
      <c r="AH3451">
        <v>18.373311572105202</v>
      </c>
      <c r="AI3451">
        <v>93.422951056610401</v>
      </c>
      <c r="AJ3451">
        <v>81.772999657462094</v>
      </c>
      <c r="AK3451">
        <v>18.5975372687784</v>
      </c>
      <c r="AL3451">
        <v>91.680431103112696</v>
      </c>
      <c r="AM3451">
        <v>90.203420326545199</v>
      </c>
      <c r="AN3451">
        <v>0.99999996569793603</v>
      </c>
    </row>
    <row r="3452" spans="1:40" x14ac:dyDescent="0.25">
      <c r="A3452" t="str">
        <f>"20190305135859806"</f>
        <v>20190305135859806</v>
      </c>
      <c r="B3452" t="str">
        <f>"1551765539802681"</f>
        <v>1551765539802681</v>
      </c>
      <c r="C3452" t="s">
        <v>40</v>
      </c>
      <c r="D3452">
        <v>4.2912889999999999</v>
      </c>
      <c r="E3452">
        <v>0.55476530000000002</v>
      </c>
      <c r="F3452" t="s">
        <v>42</v>
      </c>
      <c r="G3452">
        <v>-188.68639999999999</v>
      </c>
      <c r="H3452" s="1">
        <v>-3.2081950000000001E-6</v>
      </c>
      <c r="I3452">
        <v>176.56799999999899</v>
      </c>
      <c r="J3452">
        <v>-188.7672</v>
      </c>
      <c r="K3452">
        <v>1.1101299999999901</v>
      </c>
      <c r="L3452">
        <v>194.2928</v>
      </c>
      <c r="M3452">
        <v>0.15062679999999901</v>
      </c>
      <c r="N3452">
        <v>-1.276707E-2</v>
      </c>
      <c r="O3452">
        <v>-0.98850830000000001</v>
      </c>
      <c r="P3452">
        <v>0.15266179999999999</v>
      </c>
      <c r="Q3452">
        <v>-4.2614239999999998E-2</v>
      </c>
      <c r="R3452">
        <v>-0.9873594</v>
      </c>
      <c r="S3452">
        <v>2.0660399999999999E-2</v>
      </c>
      <c r="T3452">
        <v>-0.18682599999999999</v>
      </c>
      <c r="U3452">
        <v>-3.027374</v>
      </c>
      <c r="V3452">
        <v>-2.1260459999999999E-3</v>
      </c>
      <c r="W3452">
        <v>-2.9859569999999998E-2</v>
      </c>
      <c r="X3452">
        <v>0.99955179999999999</v>
      </c>
      <c r="Y3452">
        <v>0.1438267</v>
      </c>
      <c r="Z3452">
        <v>4.7479510000000003E-2</v>
      </c>
      <c r="AA3452">
        <v>0.98846319999999999</v>
      </c>
      <c r="AB3452">
        <v>27</v>
      </c>
      <c r="AC3452">
        <v>8.0800000000010599E-2</v>
      </c>
      <c r="AD3452">
        <v>-1.1101332081949999</v>
      </c>
      <c r="AE3452">
        <v>-17.724799999999998</v>
      </c>
      <c r="AF3452">
        <v>2.5800488189336201</v>
      </c>
      <c r="AG3452">
        <v>-1.1101332081949999</v>
      </c>
      <c r="AH3452">
        <v>17.4661972834812</v>
      </c>
      <c r="AI3452">
        <v>93.597831113572198</v>
      </c>
      <c r="AJ3452">
        <v>81.5972224045329</v>
      </c>
      <c r="AK3452">
        <v>17.690593409874801</v>
      </c>
      <c r="AL3452">
        <v>91.711081741188295</v>
      </c>
      <c r="AM3452">
        <v>90.121867900344199</v>
      </c>
      <c r="AN3452">
        <v>0.99999995743770798</v>
      </c>
    </row>
    <row r="3453" spans="1:40" x14ac:dyDescent="0.25">
      <c r="A3453" t="str">
        <f>"20190305135859819"</f>
        <v>20190305135859819</v>
      </c>
      <c r="B3453" t="str">
        <f>"1551765539812442"</f>
        <v>1551765539812442</v>
      </c>
      <c r="C3453" t="s">
        <v>40</v>
      </c>
      <c r="D3453">
        <v>4.303566</v>
      </c>
      <c r="E3453">
        <v>0.55489460000000002</v>
      </c>
      <c r="F3453" t="s">
        <v>42</v>
      </c>
      <c r="G3453">
        <v>-188.64599999999999</v>
      </c>
      <c r="H3453" s="1">
        <v>-3.3052250000000002E-6</v>
      </c>
      <c r="I3453">
        <v>176.7775</v>
      </c>
      <c r="J3453">
        <v>-188.74420000000001</v>
      </c>
      <c r="K3453">
        <v>1.1099889999999999</v>
      </c>
      <c r="L3453">
        <v>194.1448</v>
      </c>
      <c r="M3453">
        <v>0.1510571</v>
      </c>
      <c r="N3453">
        <v>-1.2792049999999999E-2</v>
      </c>
      <c r="O3453">
        <v>-0.98844240000000005</v>
      </c>
      <c r="P3453">
        <v>0.15260689999999999</v>
      </c>
      <c r="Q3453">
        <v>-4.2176989999999998E-2</v>
      </c>
      <c r="R3453">
        <v>-0.98738669999999995</v>
      </c>
      <c r="S3453">
        <v>2.0950320000000001E-2</v>
      </c>
      <c r="T3453">
        <v>-0.19184660000000001</v>
      </c>
      <c r="U3453">
        <v>-3.0268860000000002</v>
      </c>
      <c r="V3453">
        <v>-1.644679E-3</v>
      </c>
      <c r="W3453">
        <v>-2.9395540000000001E-2</v>
      </c>
      <c r="X3453">
        <v>0.99956650000000002</v>
      </c>
      <c r="Y3453">
        <v>0.14416029999999999</v>
      </c>
      <c r="Z3453">
        <v>4.9070009999999997E-2</v>
      </c>
      <c r="AA3453">
        <v>0.98833700000000002</v>
      </c>
      <c r="AB3453">
        <v>27</v>
      </c>
      <c r="AC3453">
        <v>9.8200000000019799E-2</v>
      </c>
      <c r="AD3453">
        <v>-1.10999230522499</v>
      </c>
      <c r="AE3453">
        <v>-17.3673</v>
      </c>
      <c r="AF3453">
        <v>2.5163168983271298</v>
      </c>
      <c r="AG3453">
        <v>-1.10999230522499</v>
      </c>
      <c r="AH3453">
        <v>17.112911858086999</v>
      </c>
      <c r="AI3453">
        <v>93.671796508283904</v>
      </c>
      <c r="AJ3453">
        <v>81.635057020831795</v>
      </c>
      <c r="AK3453">
        <v>17.3325037404617</v>
      </c>
      <c r="AL3453">
        <v>91.684483038799598</v>
      </c>
      <c r="AM3453">
        <v>90.094273948070693</v>
      </c>
      <c r="AN3453">
        <v>0.99999999533157702</v>
      </c>
    </row>
    <row r="3454" spans="1:40" x14ac:dyDescent="0.25">
      <c r="A3454" t="str">
        <f>"20190305135859830"</f>
        <v>20190305135859830</v>
      </c>
      <c r="B3454" t="str">
        <f>"1551765539822201"</f>
        <v>1551765539822201</v>
      </c>
      <c r="C3454" t="s">
        <v>40</v>
      </c>
      <c r="D3454">
        <v>4.2561349999999996</v>
      </c>
      <c r="E3454">
        <v>0.55515639999999999</v>
      </c>
      <c r="F3454" t="s">
        <v>42</v>
      </c>
      <c r="G3454">
        <v>-188.63050000000001</v>
      </c>
      <c r="H3454" s="1">
        <v>-3.2074489999999999E-6</v>
      </c>
      <c r="I3454">
        <v>176.54320000000001</v>
      </c>
      <c r="J3454">
        <v>-188.721</v>
      </c>
      <c r="K3454">
        <v>1.1098319999999999</v>
      </c>
      <c r="L3454">
        <v>193.99600000000001</v>
      </c>
      <c r="M3454">
        <v>0.1512984</v>
      </c>
      <c r="N3454">
        <v>-1.281734E-2</v>
      </c>
      <c r="O3454">
        <v>-0.98840510000000004</v>
      </c>
      <c r="P3454">
        <v>0.15236450000000001</v>
      </c>
      <c r="Q3454">
        <v>-4.171387E-2</v>
      </c>
      <c r="R3454">
        <v>-0.98744390000000004</v>
      </c>
      <c r="S3454">
        <v>1.954651E-2</v>
      </c>
      <c r="T3454">
        <v>-0.19089700000000001</v>
      </c>
      <c r="U3454">
        <v>-3.027145</v>
      </c>
      <c r="V3454">
        <v>-1.1647280000000001E-3</v>
      </c>
      <c r="W3454">
        <v>-2.890568E-2</v>
      </c>
      <c r="X3454">
        <v>0.99958150000000001</v>
      </c>
      <c r="Y3454">
        <v>0.1448605</v>
      </c>
      <c r="Z3454">
        <v>4.8727359999999997E-2</v>
      </c>
      <c r="AA3454">
        <v>0.98825149999999995</v>
      </c>
      <c r="AB3454">
        <v>27</v>
      </c>
      <c r="AC3454">
        <v>9.0499999999963096E-2</v>
      </c>
      <c r="AD3454">
        <v>-1.1098352074490001</v>
      </c>
      <c r="AE3454">
        <v>-17.4527999999999</v>
      </c>
      <c r="AF3454">
        <v>2.5410642560455301</v>
      </c>
      <c r="AG3454">
        <v>-1.1098352074490001</v>
      </c>
      <c r="AH3454">
        <v>17.1960112864517</v>
      </c>
      <c r="AI3454">
        <v>93.653202073014199</v>
      </c>
      <c r="AJ3454">
        <v>81.594201590930695</v>
      </c>
      <c r="AK3454">
        <v>17.418138416742998</v>
      </c>
      <c r="AL3454">
        <v>91.656404129404095</v>
      </c>
      <c r="AM3454">
        <v>90.066761908337099</v>
      </c>
      <c r="AN3454">
        <v>1.0000000350349101</v>
      </c>
    </row>
    <row r="3455" spans="1:40" x14ac:dyDescent="0.25">
      <c r="A3455" t="str">
        <f>"20190305135859842"</f>
        <v>20190305135859842</v>
      </c>
      <c r="B3455" t="str">
        <f>"1551765539831961"</f>
        <v>1551765539831961</v>
      </c>
      <c r="C3455" t="s">
        <v>40</v>
      </c>
      <c r="D3455">
        <v>4.3092579999999998</v>
      </c>
      <c r="E3455">
        <v>0.55505289999999996</v>
      </c>
      <c r="F3455" t="s">
        <v>42</v>
      </c>
      <c r="G3455">
        <v>-188.62100000000001</v>
      </c>
      <c r="H3455" s="1">
        <v>-3.0055630000000001E-6</v>
      </c>
      <c r="I3455">
        <v>176.0686</v>
      </c>
      <c r="J3455">
        <v>-188.69970000000001</v>
      </c>
      <c r="K3455">
        <v>1.10968</v>
      </c>
      <c r="L3455">
        <v>193.8587</v>
      </c>
      <c r="M3455">
        <v>0.15144560000000001</v>
      </c>
      <c r="N3455">
        <v>-1.2841160000000001E-2</v>
      </c>
      <c r="O3455">
        <v>-0.98838230000000005</v>
      </c>
      <c r="P3455">
        <v>0.1523032</v>
      </c>
      <c r="Q3455">
        <v>-4.0278000000000001E-2</v>
      </c>
      <c r="R3455">
        <v>-0.98751310000000003</v>
      </c>
      <c r="S3455">
        <v>1.689148E-2</v>
      </c>
      <c r="T3455">
        <v>-0.18743280000000001</v>
      </c>
      <c r="U3455">
        <v>-3.0276339999999999</v>
      </c>
      <c r="V3455">
        <v>-9.569534E-4</v>
      </c>
      <c r="W3455">
        <v>-2.7444730000000001E-2</v>
      </c>
      <c r="X3455">
        <v>0.99962289999999998</v>
      </c>
      <c r="Y3455">
        <v>0.14587559999999999</v>
      </c>
      <c r="Z3455">
        <v>4.7573530000000003E-2</v>
      </c>
      <c r="AA3455">
        <v>0.98815839999999999</v>
      </c>
      <c r="AB3455">
        <v>27</v>
      </c>
      <c r="AC3455">
        <v>7.8700000000026193E-2</v>
      </c>
      <c r="AD3455">
        <v>-1.109683005563</v>
      </c>
      <c r="AE3455">
        <v>-17.790099999999899</v>
      </c>
      <c r="AF3455">
        <v>2.6065208155511499</v>
      </c>
      <c r="AG3455">
        <v>-1.109683005563</v>
      </c>
      <c r="AH3455">
        <v>17.528588281218099</v>
      </c>
      <c r="AI3455">
        <v>93.583098162848799</v>
      </c>
      <c r="AJ3455">
        <v>81.542030613189397</v>
      </c>
      <c r="AK3455">
        <v>17.756034305756199</v>
      </c>
      <c r="AL3455">
        <v>91.572664610347303</v>
      </c>
      <c r="AM3455">
        <v>90.054850058218094</v>
      </c>
      <c r="AN3455">
        <v>1.00000003558449</v>
      </c>
    </row>
    <row r="3456" spans="1:40" x14ac:dyDescent="0.25">
      <c r="A3456" t="str">
        <f>"20190305135859853"</f>
        <v>20190305135859853</v>
      </c>
      <c r="B3456" t="str">
        <f>"1551765539851989"</f>
        <v>1551765539851989</v>
      </c>
      <c r="C3456" t="s">
        <v>40</v>
      </c>
      <c r="D3456">
        <v>4.36165</v>
      </c>
      <c r="E3456">
        <v>0.52672849999999904</v>
      </c>
      <c r="F3456" t="s">
        <v>42</v>
      </c>
      <c r="G3456">
        <v>-188.5933</v>
      </c>
      <c r="H3456" s="1">
        <v>-2.7235900000000002E-6</v>
      </c>
      <c r="I3456">
        <v>175.3999</v>
      </c>
      <c r="J3456">
        <v>-188.67760000000001</v>
      </c>
      <c r="K3456">
        <v>1.1095189999999999</v>
      </c>
      <c r="L3456">
        <v>193.71539999999999</v>
      </c>
      <c r="M3456">
        <v>0.1514691</v>
      </c>
      <c r="N3456">
        <v>-1.2866799999999999E-2</v>
      </c>
      <c r="O3456">
        <v>-0.98837819999999998</v>
      </c>
      <c r="P3456">
        <v>0.15260109999999999</v>
      </c>
      <c r="Q3456">
        <v>-3.9452029999999999E-2</v>
      </c>
      <c r="R3456">
        <v>-0.98750009999999999</v>
      </c>
      <c r="S3456">
        <v>1.7456050000000001E-2</v>
      </c>
      <c r="T3456">
        <v>-0.18202280000000001</v>
      </c>
      <c r="U3456">
        <v>-3.0278320000000001</v>
      </c>
      <c r="V3456">
        <v>-1.2401160000000001E-3</v>
      </c>
      <c r="W3456">
        <v>-2.6592540000000001E-2</v>
      </c>
      <c r="X3456">
        <v>0.99964560000000002</v>
      </c>
      <c r="Y3456">
        <v>0.1457165</v>
      </c>
      <c r="Z3456">
        <v>4.5806659999999999E-2</v>
      </c>
      <c r="AA3456">
        <v>0.98826539999999996</v>
      </c>
      <c r="AB3456">
        <v>27</v>
      </c>
      <c r="AC3456">
        <v>8.4300000000013101E-2</v>
      </c>
      <c r="AD3456">
        <v>-1.1095217235899999</v>
      </c>
      <c r="AE3456">
        <v>-18.315499999999901</v>
      </c>
      <c r="AF3456">
        <v>2.6812954943085701</v>
      </c>
      <c r="AG3456">
        <v>-1.1095217235899999</v>
      </c>
      <c r="AH3456">
        <v>18.050670645214499</v>
      </c>
      <c r="AI3456">
        <v>93.479297525822403</v>
      </c>
      <c r="AJ3456">
        <v>81.550911155853498</v>
      </c>
      <c r="AK3456">
        <v>18.282425843550602</v>
      </c>
      <c r="AL3456">
        <v>91.523819922432196</v>
      </c>
      <c r="AM3456">
        <v>90.071078566700805</v>
      </c>
      <c r="AN3456">
        <v>1.0000000133353499</v>
      </c>
    </row>
    <row r="3457" spans="1:40" x14ac:dyDescent="0.25">
      <c r="A3457" t="str">
        <f>"20190305135859865"</f>
        <v>20190305135859865</v>
      </c>
      <c r="B3457" t="str">
        <f>"1551765539862724"</f>
        <v>1551765539862724</v>
      </c>
      <c r="C3457" t="s">
        <v>40</v>
      </c>
      <c r="D3457">
        <v>4.3184570000000004</v>
      </c>
      <c r="E3457">
        <v>0.51712000000000002</v>
      </c>
      <c r="F3457" t="s">
        <v>42</v>
      </c>
      <c r="G3457">
        <v>-186.3107</v>
      </c>
      <c r="H3457" s="1">
        <v>-3.1893530000000001E-6</v>
      </c>
      <c r="I3457">
        <v>164.99379999999999</v>
      </c>
      <c r="J3457">
        <v>-188.65729999999999</v>
      </c>
      <c r="K3457">
        <v>1.1093630000000001</v>
      </c>
      <c r="L3457">
        <v>193.58369999999999</v>
      </c>
      <c r="M3457">
        <v>0.1513456</v>
      </c>
      <c r="N3457">
        <v>-1.2892270000000001E-2</v>
      </c>
      <c r="O3457">
        <v>-0.98839710000000003</v>
      </c>
      <c r="P3457">
        <v>0.1523815</v>
      </c>
      <c r="Q3457">
        <v>-3.851562E-2</v>
      </c>
      <c r="R3457">
        <v>-0.98757130000000004</v>
      </c>
      <c r="S3457">
        <v>0.2468262</v>
      </c>
      <c r="T3457">
        <v>-0.1157058</v>
      </c>
      <c r="U3457">
        <v>-2.995209</v>
      </c>
      <c r="V3457">
        <v>-1.1476710000000001E-3</v>
      </c>
      <c r="W3457">
        <v>-2.5629800000000001E-2</v>
      </c>
      <c r="X3457">
        <v>0.99967090000000003</v>
      </c>
      <c r="Y3457">
        <v>6.9667190000000004E-2</v>
      </c>
      <c r="Z3457">
        <v>2.5019670000000001E-2</v>
      </c>
      <c r="AA3457">
        <v>0.99725649999999999</v>
      </c>
      <c r="AB3457">
        <v>27</v>
      </c>
      <c r="AC3457">
        <v>2.3465999999999898</v>
      </c>
      <c r="AD3457">
        <v>-1.10936618935299</v>
      </c>
      <c r="AE3457">
        <v>-28.5899</v>
      </c>
      <c r="AF3457">
        <v>2.0047510069541001</v>
      </c>
      <c r="AG3457">
        <v>-1.10936618935299</v>
      </c>
      <c r="AH3457">
        <v>28.572959438666999</v>
      </c>
      <c r="AI3457">
        <v>92.217986884794797</v>
      </c>
      <c r="AJ3457">
        <v>85.986560522096596</v>
      </c>
      <c r="AK3457">
        <v>28.664677410110102</v>
      </c>
      <c r="AL3457">
        <v>91.468640105717199</v>
      </c>
      <c r="AM3457">
        <v>90.065778323326299</v>
      </c>
      <c r="AN3457">
        <v>1.0000000560517801</v>
      </c>
    </row>
    <row r="3458" spans="1:40" x14ac:dyDescent="0.25">
      <c r="A3458" t="str">
        <f>"20190305135859879"</f>
        <v>20190305135859879</v>
      </c>
      <c r="B3458" t="str">
        <f>"1551765539872485"</f>
        <v>1551765539872485</v>
      </c>
      <c r="C3458" t="s">
        <v>40</v>
      </c>
      <c r="D3458">
        <v>4.3549329999999999</v>
      </c>
      <c r="E3458">
        <v>0.51104799999999995</v>
      </c>
      <c r="F3458" t="s">
        <v>42</v>
      </c>
      <c r="G3458">
        <v>-185.4502</v>
      </c>
      <c r="H3458" s="1">
        <v>-2.8363299999999998E-6</v>
      </c>
      <c r="I3458">
        <v>163.87799999999999</v>
      </c>
      <c r="J3458">
        <v>-188.6326</v>
      </c>
      <c r="K3458">
        <v>1.109165</v>
      </c>
      <c r="L3458">
        <v>193.42189999999999</v>
      </c>
      <c r="M3458">
        <v>0.15108629999999901</v>
      </c>
      <c r="N3458">
        <v>-1.2924679999999999E-2</v>
      </c>
      <c r="O3458">
        <v>-0.98843630000000005</v>
      </c>
      <c r="P3458">
        <v>0.15229809999999999</v>
      </c>
      <c r="Q3458">
        <v>-3.7383329999999999E-2</v>
      </c>
      <c r="R3458">
        <v>-0.98762760000000005</v>
      </c>
      <c r="S3458">
        <v>0.32212829999999998</v>
      </c>
      <c r="T3458">
        <v>-0.1114272</v>
      </c>
      <c r="U3458">
        <v>-2.9837039999999999</v>
      </c>
      <c r="V3458">
        <v>-1.330279E-3</v>
      </c>
      <c r="W3458">
        <v>-2.4464030000000001E-2</v>
      </c>
      <c r="X3458">
        <v>0.99969980000000003</v>
      </c>
      <c r="Y3458">
        <v>4.413574E-2</v>
      </c>
      <c r="Z3458">
        <v>2.374064E-2</v>
      </c>
      <c r="AA3458">
        <v>0.99874339999999995</v>
      </c>
      <c r="AB3458">
        <v>27</v>
      </c>
      <c r="AC3458">
        <v>3.1823999999999999</v>
      </c>
      <c r="AD3458">
        <v>-1.1091678363299999</v>
      </c>
      <c r="AE3458">
        <v>-29.543900000000001</v>
      </c>
      <c r="AF3458">
        <v>1.31635458011009</v>
      </c>
      <c r="AG3458">
        <v>-1.1091678363299999</v>
      </c>
      <c r="AH3458">
        <v>29.644249591762598</v>
      </c>
      <c r="AI3458">
        <v>92.140669121206301</v>
      </c>
      <c r="AJ3458">
        <v>87.457447934058706</v>
      </c>
      <c r="AK3458">
        <v>29.694184220625498</v>
      </c>
      <c r="AL3458">
        <v>91.401825558156403</v>
      </c>
      <c r="AM3458">
        <v>90.076242215200494</v>
      </c>
      <c r="AN3458">
        <v>0.99999997426304899</v>
      </c>
    </row>
    <row r="3459" spans="1:40" x14ac:dyDescent="0.25">
      <c r="A3459" t="str">
        <f>"20190305135859895"</f>
        <v>20190305135859895</v>
      </c>
      <c r="B3459" t="str">
        <f>"1551765539892005"</f>
        <v>1551765539892005</v>
      </c>
      <c r="C3459" t="s">
        <v>40</v>
      </c>
      <c r="D3459">
        <v>4.1904209999999997</v>
      </c>
      <c r="E3459">
        <v>0.50608059999999999</v>
      </c>
      <c r="F3459" t="s">
        <v>42</v>
      </c>
      <c r="G3459">
        <v>-184.93989999999999</v>
      </c>
      <c r="H3459" s="1">
        <v>-2.9002639999999999E-6</v>
      </c>
      <c r="I3459">
        <v>163.6909</v>
      </c>
      <c r="J3459">
        <v>-188.6044</v>
      </c>
      <c r="K3459">
        <v>1.1089059999999999</v>
      </c>
      <c r="L3459">
        <v>193.23490000000001</v>
      </c>
      <c r="M3459">
        <v>0.15051239999999999</v>
      </c>
      <c r="N3459">
        <v>-1.296374E-2</v>
      </c>
      <c r="O3459">
        <v>-0.98852340000000005</v>
      </c>
      <c r="P3459">
        <v>0.15215819999999999</v>
      </c>
      <c r="Q3459">
        <v>-3.5370319999999997E-2</v>
      </c>
      <c r="R3459">
        <v>-0.98772340000000003</v>
      </c>
      <c r="S3459">
        <v>0.36967470000000002</v>
      </c>
      <c r="T3459">
        <v>-0.1110387</v>
      </c>
      <c r="U3459">
        <v>-2.9763639999999998</v>
      </c>
      <c r="V3459">
        <v>-1.7698760000000001E-3</v>
      </c>
      <c r="W3459">
        <v>-2.2409970000000001E-2</v>
      </c>
      <c r="X3459">
        <v>0.99974730000000001</v>
      </c>
      <c r="Y3459">
        <v>2.7551119999999998E-2</v>
      </c>
      <c r="Z3459">
        <v>2.3661680000000001E-2</v>
      </c>
      <c r="AA3459">
        <v>0.99934029999999996</v>
      </c>
      <c r="AB3459">
        <v>27</v>
      </c>
      <c r="AC3459">
        <v>3.6644999999999999</v>
      </c>
      <c r="AD3459">
        <v>-1.108908900264</v>
      </c>
      <c r="AE3459">
        <v>-29.544</v>
      </c>
      <c r="AF3459">
        <v>0.82322119988944198</v>
      </c>
      <c r="AG3459">
        <v>-1.108908900264</v>
      </c>
      <c r="AH3459">
        <v>29.717748134246001</v>
      </c>
      <c r="AI3459">
        <v>92.136164749648202</v>
      </c>
      <c r="AJ3459">
        <v>88.413236395862597</v>
      </c>
      <c r="AK3459">
        <v>29.7498222896123</v>
      </c>
      <c r="AL3459">
        <v>91.284104194305499</v>
      </c>
      <c r="AM3459">
        <v>90.101431950978196</v>
      </c>
      <c r="AN3459">
        <v>1.00000000153687</v>
      </c>
    </row>
    <row r="3460" spans="1:40" x14ac:dyDescent="0.25">
      <c r="A3460" t="str">
        <f>"20190305135859919"</f>
        <v>20190305135859919</v>
      </c>
      <c r="B3460" t="str">
        <f>"1551765539912500"</f>
        <v>1551765539912500</v>
      </c>
      <c r="C3460" t="s">
        <v>40</v>
      </c>
      <c r="D3460">
        <v>4.2875909999999999</v>
      </c>
      <c r="E3460">
        <v>0.50478259999999997</v>
      </c>
      <c r="F3460" t="s">
        <v>42</v>
      </c>
      <c r="G3460">
        <v>-184.3509</v>
      </c>
      <c r="H3460" s="1">
        <v>-2.5202079999999998E-6</v>
      </c>
      <c r="I3460">
        <v>162.29310000000001</v>
      </c>
      <c r="J3460">
        <v>-188.5633</v>
      </c>
      <c r="K3460">
        <v>1.108527</v>
      </c>
      <c r="L3460">
        <v>192.9588</v>
      </c>
      <c r="M3460">
        <v>0.1492869</v>
      </c>
      <c r="N3460">
        <v>-1.302088E-2</v>
      </c>
      <c r="O3460">
        <v>-0.98870829999999998</v>
      </c>
      <c r="P3460">
        <v>0.15160899999999999</v>
      </c>
      <c r="Q3460">
        <v>-3.416172E-2</v>
      </c>
      <c r="R3460">
        <v>-0.98785009999999995</v>
      </c>
      <c r="S3460">
        <v>0.40835569999999999</v>
      </c>
      <c r="T3460">
        <v>-0.10646120000000001</v>
      </c>
      <c r="U3460">
        <v>-2.9705810000000001</v>
      </c>
      <c r="V3460">
        <v>-2.464043E-3</v>
      </c>
      <c r="W3460">
        <v>-2.114098E-2</v>
      </c>
      <c r="X3460">
        <v>0.99977340000000003</v>
      </c>
      <c r="Y3460">
        <v>1.3278730000000001E-2</v>
      </c>
      <c r="Z3460">
        <v>2.2166809999999999E-2</v>
      </c>
      <c r="AA3460">
        <v>0.9996661</v>
      </c>
      <c r="AB3460">
        <v>27</v>
      </c>
      <c r="AC3460">
        <v>4.2123999999999997</v>
      </c>
      <c r="AD3460">
        <v>-1.1085295202079899</v>
      </c>
      <c r="AE3460">
        <v>-30.665699999999902</v>
      </c>
      <c r="AF3460">
        <v>0.41265817823269102</v>
      </c>
      <c r="AG3460">
        <v>-1.1085295202079899</v>
      </c>
      <c r="AH3460">
        <v>30.911263773992001</v>
      </c>
      <c r="AI3460">
        <v>92.053659313779804</v>
      </c>
      <c r="AJ3460">
        <v>89.235160109894395</v>
      </c>
      <c r="AK3460">
        <v>30.9338868003125</v>
      </c>
      <c r="AL3460">
        <v>91.211379258495995</v>
      </c>
      <c r="AM3460">
        <v>90.141210976993904</v>
      </c>
      <c r="AN3460">
        <v>0.99999993194541004</v>
      </c>
    </row>
    <row r="3461" spans="1:40" x14ac:dyDescent="0.25">
      <c r="A3461" t="str">
        <f>"20190305135859932"</f>
        <v>20190305135859932</v>
      </c>
      <c r="B3461" t="str">
        <f>"1551765539922261"</f>
        <v>1551765539922261</v>
      </c>
      <c r="C3461" t="s">
        <v>40</v>
      </c>
      <c r="D3461">
        <v>4.27536</v>
      </c>
      <c r="E3461">
        <v>0.50447580000000003</v>
      </c>
      <c r="F3461" t="s">
        <v>42</v>
      </c>
      <c r="G3461">
        <v>-184.08439999999999</v>
      </c>
      <c r="H3461" s="1">
        <v>-2.1222900000000001E-6</v>
      </c>
      <c r="I3461">
        <v>161.07230000000001</v>
      </c>
      <c r="J3461">
        <v>-188.54150000000001</v>
      </c>
      <c r="K3461">
        <v>1.10832</v>
      </c>
      <c r="L3461">
        <v>192.8091</v>
      </c>
      <c r="M3461">
        <v>0.14837719999999999</v>
      </c>
      <c r="N3461">
        <v>-1.3050600000000001E-2</v>
      </c>
      <c r="O3461">
        <v>-0.98884479999999997</v>
      </c>
      <c r="P3461">
        <v>0.15100720000000001</v>
      </c>
      <c r="Q3461">
        <v>-3.4253840000000001E-2</v>
      </c>
      <c r="R3461">
        <v>-0.98793920000000002</v>
      </c>
      <c r="S3461">
        <v>0.4170837</v>
      </c>
      <c r="T3461">
        <v>-0.10322770000000001</v>
      </c>
      <c r="U3461">
        <v>-2.9693149999999999</v>
      </c>
      <c r="V3461">
        <v>-2.7858309999999999E-3</v>
      </c>
      <c r="W3461">
        <v>-2.1201500000000002E-2</v>
      </c>
      <c r="X3461">
        <v>0.99977139999999998</v>
      </c>
      <c r="Y3461">
        <v>9.4165220000000001E-3</v>
      </c>
      <c r="Z3461">
        <v>2.1091149999999999E-2</v>
      </c>
      <c r="AA3461">
        <v>0.99973319999999999</v>
      </c>
      <c r="AB3461">
        <v>27</v>
      </c>
      <c r="AC3461">
        <v>4.45710000000002</v>
      </c>
      <c r="AD3461">
        <v>-1.1083221222899999</v>
      </c>
      <c r="AE3461">
        <v>-31.736799999999899</v>
      </c>
      <c r="AF3461">
        <v>0.30130267911506697</v>
      </c>
      <c r="AG3461">
        <v>-1.1083221222899999</v>
      </c>
      <c r="AH3461">
        <v>32.008546918215302</v>
      </c>
      <c r="AI3461">
        <v>91.983033153940895</v>
      </c>
      <c r="AJ3461">
        <v>89.460679610098794</v>
      </c>
      <c r="AK3461">
        <v>32.029146679966203</v>
      </c>
      <c r="AL3461">
        <v>91.214847423088898</v>
      </c>
      <c r="AM3461">
        <v>90.159652442178199</v>
      </c>
      <c r="AN3461">
        <v>1.0000000583572799</v>
      </c>
    </row>
    <row r="3462" spans="1:40" x14ac:dyDescent="0.25">
      <c r="A3462" t="str">
        <f>"20190305135859946"</f>
        <v>20190305135859946</v>
      </c>
      <c r="B3462" t="str">
        <f>"1551765539942756"</f>
        <v>1551765539942756</v>
      </c>
      <c r="C3462" t="s">
        <v>40</v>
      </c>
      <c r="D3462">
        <v>4.2675660000000004</v>
      </c>
      <c r="E3462">
        <v>0.50417129999999999</v>
      </c>
      <c r="F3462" t="s">
        <v>42</v>
      </c>
      <c r="G3462">
        <v>-184.071</v>
      </c>
      <c r="H3462" s="1">
        <v>-2.1077850000000002E-6</v>
      </c>
      <c r="I3462">
        <v>161.02520000000001</v>
      </c>
      <c r="J3462">
        <v>-188.51689999999999</v>
      </c>
      <c r="K3462">
        <v>1.1080970000000001</v>
      </c>
      <c r="L3462">
        <v>192.6377</v>
      </c>
      <c r="M3462">
        <v>0.14721589999999901</v>
      </c>
      <c r="N3462">
        <v>-1.3083579999999999E-2</v>
      </c>
      <c r="O3462">
        <v>-0.98901779999999995</v>
      </c>
      <c r="P3462">
        <v>0.15011659999999999</v>
      </c>
      <c r="Q3462">
        <v>-3.4642060000000002E-2</v>
      </c>
      <c r="R3462">
        <v>-0.98806119999999997</v>
      </c>
      <c r="S3462">
        <v>0.41763309999999998</v>
      </c>
      <c r="T3462">
        <v>-0.1035383</v>
      </c>
      <c r="U3462">
        <v>-2.9692229999999999</v>
      </c>
      <c r="V3462">
        <v>-3.0723220000000002E-3</v>
      </c>
      <c r="W3462">
        <v>-2.155466E-2</v>
      </c>
      <c r="X3462">
        <v>0.99976299999999996</v>
      </c>
      <c r="Y3462">
        <v>8.0573390000000002E-3</v>
      </c>
      <c r="Z3462">
        <v>2.116962E-2</v>
      </c>
      <c r="AA3462">
        <v>0.99974339999999995</v>
      </c>
      <c r="AB3462">
        <v>27</v>
      </c>
      <c r="AC3462">
        <v>4.4458999999999902</v>
      </c>
      <c r="AD3462">
        <v>-1.108099107785</v>
      </c>
      <c r="AE3462">
        <v>-31.612499999999901</v>
      </c>
      <c r="AF3462">
        <v>0.256501348611614</v>
      </c>
      <c r="AG3462">
        <v>-1.108099107785</v>
      </c>
      <c r="AH3462">
        <v>31.884150513786999</v>
      </c>
      <c r="AI3462">
        <v>91.990387267001495</v>
      </c>
      <c r="AJ3462">
        <v>89.539077333234403</v>
      </c>
      <c r="AK3462">
        <v>31.904431205717099</v>
      </c>
      <c r="AL3462">
        <v>91.235086636044599</v>
      </c>
      <c r="AM3462">
        <v>90.176072258909002</v>
      </c>
      <c r="AN3462">
        <v>1.00000004934959</v>
      </c>
    </row>
    <row r="3463" spans="1:40" x14ac:dyDescent="0.25">
      <c r="A3463" t="str">
        <f>"20190305135859963"</f>
        <v>20190305135859963</v>
      </c>
      <c r="B3463" t="str">
        <f>"1551765539952046"</f>
        <v>1551765539952046</v>
      </c>
      <c r="C3463" t="s">
        <v>40</v>
      </c>
      <c r="D3463">
        <v>4.2447239999999997</v>
      </c>
      <c r="E3463">
        <v>0.50395849999999998</v>
      </c>
      <c r="F3463" t="s">
        <v>42</v>
      </c>
      <c r="G3463">
        <v>-184.15549999999999</v>
      </c>
      <c r="H3463" s="1">
        <v>-2.3066800000000002E-6</v>
      </c>
      <c r="I3463">
        <v>161.60169999999999</v>
      </c>
      <c r="J3463">
        <v>-188.488</v>
      </c>
      <c r="K3463">
        <v>1.107855</v>
      </c>
      <c r="L3463">
        <v>192.43369999999999</v>
      </c>
      <c r="M3463">
        <v>0.14563999999999999</v>
      </c>
      <c r="N3463">
        <v>-1.312075E-2</v>
      </c>
      <c r="O3463">
        <v>-0.98925079999999999</v>
      </c>
      <c r="P3463">
        <v>0.149202</v>
      </c>
      <c r="Q3463">
        <v>-3.499903E-2</v>
      </c>
      <c r="R3463">
        <v>-0.9881875</v>
      </c>
      <c r="S3463">
        <v>0.4172363</v>
      </c>
      <c r="T3463">
        <v>-0.10600900000000001</v>
      </c>
      <c r="U3463">
        <v>-2.969131</v>
      </c>
      <c r="V3463">
        <v>-3.7540120000000001E-3</v>
      </c>
      <c r="W3463">
        <v>-2.1870589999999999E-2</v>
      </c>
      <c r="X3463">
        <v>0.99975380000000003</v>
      </c>
      <c r="Y3463">
        <v>6.5937610000000001E-3</v>
      </c>
      <c r="Z3463">
        <v>2.195857E-2</v>
      </c>
      <c r="AA3463">
        <v>0.99973710000000005</v>
      </c>
      <c r="AB3463">
        <v>27</v>
      </c>
      <c r="AC3463">
        <v>4.3324999999999996</v>
      </c>
      <c r="AD3463">
        <v>-1.1078573066799999</v>
      </c>
      <c r="AE3463">
        <v>-30.831999999999901</v>
      </c>
      <c r="AF3463">
        <v>0.20420241429930999</v>
      </c>
      <c r="AG3463">
        <v>-1.1078573066799999</v>
      </c>
      <c r="AH3463">
        <v>31.0948716032782</v>
      </c>
      <c r="AI3463">
        <v>92.040443972898501</v>
      </c>
      <c r="AJ3463">
        <v>89.623739616393294</v>
      </c>
      <c r="AK3463">
        <v>31.115270952738399</v>
      </c>
      <c r="AL3463">
        <v>91.253192373485703</v>
      </c>
      <c r="AM3463">
        <v>90.215141000678301</v>
      </c>
      <c r="AN3463">
        <v>1.0000000379637399</v>
      </c>
    </row>
    <row r="3464" spans="1:40" x14ac:dyDescent="0.25">
      <c r="A3464" t="str">
        <f>"20190305135859985"</f>
        <v>20190305135859985</v>
      </c>
      <c r="B3464" t="str">
        <f>"1551765539972543"</f>
        <v>1551765539972543</v>
      </c>
      <c r="C3464" t="s">
        <v>40</v>
      </c>
      <c r="D3464">
        <v>4.2797739999999997</v>
      </c>
      <c r="E3464">
        <v>0.5033242</v>
      </c>
      <c r="F3464" t="s">
        <v>42</v>
      </c>
      <c r="G3464">
        <v>-184.2398</v>
      </c>
      <c r="H3464" s="1">
        <v>-2.4811010000000001E-6</v>
      </c>
      <c r="I3464">
        <v>162.11429999999999</v>
      </c>
      <c r="J3464">
        <v>-188.45349999999999</v>
      </c>
      <c r="K3464">
        <v>1.1075900000000001</v>
      </c>
      <c r="L3464">
        <v>192.18440000000001</v>
      </c>
      <c r="M3464">
        <v>0.1434154</v>
      </c>
      <c r="N3464">
        <v>-1.3162129999999999E-2</v>
      </c>
      <c r="O3464">
        <v>-0.98957510000000004</v>
      </c>
      <c r="P3464">
        <v>0.147261999999999</v>
      </c>
      <c r="Q3464">
        <v>-3.4158859999999999E-2</v>
      </c>
      <c r="R3464">
        <v>-0.98850749999999998</v>
      </c>
      <c r="S3464">
        <v>0.41603089999999998</v>
      </c>
      <c r="T3464">
        <v>-0.1084948</v>
      </c>
      <c r="U3464">
        <v>-2.9692379999999998</v>
      </c>
      <c r="V3464">
        <v>-4.0448860000000001E-3</v>
      </c>
      <c r="W3464">
        <v>-2.098531E-2</v>
      </c>
      <c r="X3464">
        <v>0.99977159999999998</v>
      </c>
      <c r="Y3464">
        <v>4.7514619999999997E-3</v>
      </c>
      <c r="Z3464">
        <v>2.2751259999999999E-2</v>
      </c>
      <c r="AA3464">
        <v>0.99972989999999995</v>
      </c>
      <c r="AB3464">
        <v>27</v>
      </c>
      <c r="AC3464">
        <v>4.2136999999999798</v>
      </c>
      <c r="AD3464">
        <v>-1.1075924811010001</v>
      </c>
      <c r="AE3464">
        <v>-30.0701</v>
      </c>
      <c r="AF3464">
        <v>0.1425654833077</v>
      </c>
      <c r="AG3464">
        <v>-1.1075924811010001</v>
      </c>
      <c r="AH3464">
        <v>30.323212607800201</v>
      </c>
      <c r="AI3464">
        <v>92.091845456566901</v>
      </c>
      <c r="AJ3464">
        <v>89.730624178301596</v>
      </c>
      <c r="AK3464">
        <v>30.343768864118999</v>
      </c>
      <c r="AL3464">
        <v>91.202457964944699</v>
      </c>
      <c r="AM3464">
        <v>90.231806576546603</v>
      </c>
      <c r="AN3464">
        <v>0.99999999825255403</v>
      </c>
    </row>
    <row r="3465" spans="1:40" x14ac:dyDescent="0.25">
      <c r="A3465" t="str">
        <f>"20190305135859998"</f>
        <v>20190305135859998</v>
      </c>
      <c r="B3465" t="str">
        <f>"1551765539992063"</f>
        <v>1551765539992063</v>
      </c>
      <c r="C3465" t="s">
        <v>40</v>
      </c>
      <c r="D3465">
        <v>4.2652890000000001</v>
      </c>
      <c r="E3465">
        <v>0.50298050000000005</v>
      </c>
      <c r="F3465" t="s">
        <v>42</v>
      </c>
      <c r="G3465">
        <v>-184.34309999999999</v>
      </c>
      <c r="H3465" s="1">
        <v>-2.7009799999999999E-6</v>
      </c>
      <c r="I3465">
        <v>162.75839999999999</v>
      </c>
      <c r="J3465">
        <v>-188.43129999999999</v>
      </c>
      <c r="K3465">
        <v>1.1074379999999999</v>
      </c>
      <c r="L3465">
        <v>192.02109999999999</v>
      </c>
      <c r="M3465">
        <v>0.14183080000000001</v>
      </c>
      <c r="N3465">
        <v>-1.318747E-2</v>
      </c>
      <c r="O3465">
        <v>-0.98980310000000005</v>
      </c>
      <c r="P3465">
        <v>0.1461674</v>
      </c>
      <c r="Q3465">
        <v>-3.2475480000000001E-2</v>
      </c>
      <c r="R3465">
        <v>-0.98872660000000001</v>
      </c>
      <c r="S3465">
        <v>0.41476439999999998</v>
      </c>
      <c r="T3465">
        <v>-0.111762</v>
      </c>
      <c r="U3465">
        <v>-2.9692379999999998</v>
      </c>
      <c r="V3465">
        <v>-4.5308290000000001E-3</v>
      </c>
      <c r="W3465">
        <v>-1.927243E-2</v>
      </c>
      <c r="X3465">
        <v>0.99980400000000003</v>
      </c>
      <c r="Y3465">
        <v>3.5725129999999998E-3</v>
      </c>
      <c r="Z3465">
        <v>2.381459E-2</v>
      </c>
      <c r="AA3465">
        <v>0.99970999999999999</v>
      </c>
      <c r="AB3465">
        <v>27</v>
      </c>
      <c r="AC3465">
        <v>4.0881999999999996</v>
      </c>
      <c r="AD3465">
        <v>-1.10744070097999</v>
      </c>
      <c r="AE3465">
        <v>-29.262699999999899</v>
      </c>
      <c r="AF3465">
        <v>0.10370246284774901</v>
      </c>
      <c r="AG3465">
        <v>-1.10744070097999</v>
      </c>
      <c r="AH3465">
        <v>29.505263014089</v>
      </c>
      <c r="AI3465">
        <v>92.149498399457201</v>
      </c>
      <c r="AJ3465">
        <v>89.798622741398404</v>
      </c>
      <c r="AK3465">
        <v>29.5262209677696</v>
      </c>
      <c r="AL3465">
        <v>91.1042972716983</v>
      </c>
      <c r="AM3465">
        <v>90.259646493059506</v>
      </c>
      <c r="AN3465">
        <v>0.99999999669276596</v>
      </c>
    </row>
    <row r="3466" spans="1:40" x14ac:dyDescent="0.25">
      <c r="A3466" t="str">
        <f>"20190305135900014"</f>
        <v>20190305135900014</v>
      </c>
      <c r="B3466" t="str">
        <f>"1551765540002800"</f>
        <v>1551765540002800</v>
      </c>
      <c r="C3466" t="s">
        <v>40</v>
      </c>
      <c r="D3466">
        <v>4.2785789999999997</v>
      </c>
      <c r="E3466">
        <v>0.50281600000000004</v>
      </c>
      <c r="F3466" t="s">
        <v>42</v>
      </c>
      <c r="G3466">
        <v>-184.24529999999999</v>
      </c>
      <c r="H3466" s="1">
        <v>-2.4345339999999998E-6</v>
      </c>
      <c r="I3466">
        <v>161.99680000000001</v>
      </c>
      <c r="J3466">
        <v>-188.40690000000001</v>
      </c>
      <c r="K3466">
        <v>1.107291</v>
      </c>
      <c r="L3466">
        <v>191.8366</v>
      </c>
      <c r="M3466">
        <v>0.13987550000000001</v>
      </c>
      <c r="N3466">
        <v>-1.321394E-2</v>
      </c>
      <c r="O3466">
        <v>-0.99008099999999999</v>
      </c>
      <c r="P3466">
        <v>0.14496429999999999</v>
      </c>
      <c r="Q3466">
        <v>-3.0673869999999999E-2</v>
      </c>
      <c r="R3466">
        <v>-0.98896139999999999</v>
      </c>
      <c r="S3466">
        <v>0.41400150000000002</v>
      </c>
      <c r="T3466">
        <v>-0.1095259</v>
      </c>
      <c r="U3466">
        <v>-2.9694060000000002</v>
      </c>
      <c r="V3466">
        <v>-5.2785389999999996E-3</v>
      </c>
      <c r="W3466">
        <v>-1.7438680000000002E-2</v>
      </c>
      <c r="X3466">
        <v>0.999834</v>
      </c>
      <c r="Y3466">
        <v>1.8551850000000001E-3</v>
      </c>
      <c r="Z3466">
        <v>2.306337E-2</v>
      </c>
      <c r="AA3466">
        <v>0.99973230000000002</v>
      </c>
      <c r="AB3466">
        <v>26</v>
      </c>
      <c r="AC3466">
        <v>4.1616000000000204</v>
      </c>
      <c r="AD3466">
        <v>-1.107293434534</v>
      </c>
      <c r="AE3466">
        <v>-29.8398</v>
      </c>
      <c r="AF3466">
        <v>5.3468304714736598E-2</v>
      </c>
      <c r="AG3466">
        <v>-1.107293434534</v>
      </c>
      <c r="AH3466">
        <v>30.087912551067799</v>
      </c>
      <c r="AI3466">
        <v>92.107641114952699</v>
      </c>
      <c r="AJ3466">
        <v>89.8981815382555</v>
      </c>
      <c r="AK3466">
        <v>30.108328404122201</v>
      </c>
      <c r="AL3466">
        <v>90.999213414323407</v>
      </c>
      <c r="AM3466">
        <v>90.302485409446604</v>
      </c>
      <c r="AN3466">
        <v>0.99999999904505799</v>
      </c>
    </row>
    <row r="3467" spans="1:40" x14ac:dyDescent="0.25">
      <c r="A3467" t="str">
        <f>"20190305135900033"</f>
        <v>20190305135900033</v>
      </c>
      <c r="B3467" t="str">
        <f>"1551765540022320"</f>
        <v>1551765540022320</v>
      </c>
      <c r="C3467" t="s">
        <v>40</v>
      </c>
      <c r="D3467">
        <v>4.2734719999999999</v>
      </c>
      <c r="E3467">
        <v>0.50274430000000003</v>
      </c>
      <c r="F3467" t="s">
        <v>42</v>
      </c>
      <c r="G3467">
        <v>-184.101</v>
      </c>
      <c r="H3467" s="1">
        <v>-1.9973229999999999E-6</v>
      </c>
      <c r="I3467">
        <v>160.75829999999999</v>
      </c>
      <c r="J3467">
        <v>-188.37960000000001</v>
      </c>
      <c r="K3467">
        <v>1.1071390000000001</v>
      </c>
      <c r="L3467">
        <v>191.626</v>
      </c>
      <c r="M3467">
        <v>0.13751369999999999</v>
      </c>
      <c r="N3467">
        <v>-1.324205E-2</v>
      </c>
      <c r="O3467">
        <v>-0.99041140000000005</v>
      </c>
      <c r="P3467">
        <v>0.14475669999999999</v>
      </c>
      <c r="Q3467">
        <v>-2.8783759999999999E-2</v>
      </c>
      <c r="R3467">
        <v>-0.98904860000000006</v>
      </c>
      <c r="S3467">
        <v>0.41148380000000001</v>
      </c>
      <c r="T3467">
        <v>-0.1058147</v>
      </c>
      <c r="U3467">
        <v>-2.969894</v>
      </c>
      <c r="V3467">
        <v>-7.4408599999999997E-3</v>
      </c>
      <c r="W3467">
        <v>-1.5507119999999999E-2</v>
      </c>
      <c r="X3467">
        <v>0.99985210000000002</v>
      </c>
      <c r="Y3467">
        <v>3.2076080000000001E-4</v>
      </c>
      <c r="Z3467">
        <v>2.1822810000000002E-2</v>
      </c>
      <c r="AA3467">
        <v>0.99976180000000003</v>
      </c>
      <c r="AB3467">
        <v>26</v>
      </c>
      <c r="AC3467">
        <v>4.2786000000000097</v>
      </c>
      <c r="AD3467">
        <v>-1.107140997323</v>
      </c>
      <c r="AE3467">
        <v>-30.8676999999999</v>
      </c>
      <c r="AF3467">
        <v>7.1490250827510498E-3</v>
      </c>
      <c r="AG3467">
        <v>-1.107140997323</v>
      </c>
      <c r="AH3467">
        <v>31.123534206105401</v>
      </c>
      <c r="AI3467">
        <v>92.037293322449003</v>
      </c>
      <c r="AJ3467">
        <v>89.986839253056601</v>
      </c>
      <c r="AK3467">
        <v>31.143220671201099</v>
      </c>
      <c r="AL3467">
        <v>90.888528115438007</v>
      </c>
      <c r="AM3467">
        <v>90.426385066116097</v>
      </c>
      <c r="AN3467">
        <v>1.0000000295213201</v>
      </c>
    </row>
    <row r="3468" spans="1:40" x14ac:dyDescent="0.25">
      <c r="A3468" t="str">
        <f>"20190305135900054"</f>
        <v>20190305135900054</v>
      </c>
      <c r="B3468" t="str">
        <f>"1551765540042815"</f>
        <v>1551765540042815</v>
      </c>
      <c r="C3468" t="s">
        <v>40</v>
      </c>
      <c r="D3468">
        <v>4.2953440000000001</v>
      </c>
      <c r="E3468">
        <v>0.50267299999999904</v>
      </c>
      <c r="F3468" t="s">
        <v>42</v>
      </c>
      <c r="G3468">
        <v>-183.9838</v>
      </c>
      <c r="H3468" s="1">
        <v>-1.694706E-6</v>
      </c>
      <c r="I3468">
        <v>159.88910000000001</v>
      </c>
      <c r="J3468">
        <v>-188.34790000000001</v>
      </c>
      <c r="K3468">
        <v>1.1069629999999999</v>
      </c>
      <c r="L3468">
        <v>191.37469999999999</v>
      </c>
      <c r="M3468">
        <v>0.13450799999999999</v>
      </c>
      <c r="N3468">
        <v>-1.3272920000000001E-2</v>
      </c>
      <c r="O3468">
        <v>-0.99082360000000003</v>
      </c>
      <c r="P3468">
        <v>0.14444009999999999</v>
      </c>
      <c r="Q3468">
        <v>-2.8496870000000001E-2</v>
      </c>
      <c r="R3468">
        <v>-0.98910330000000002</v>
      </c>
      <c r="S3468">
        <v>0.4113617</v>
      </c>
      <c r="T3468">
        <v>-0.1036084</v>
      </c>
      <c r="U3468">
        <v>-2.9700009999999999</v>
      </c>
      <c r="V3468">
        <v>-1.0157019999999999E-2</v>
      </c>
      <c r="W3468">
        <v>-1.517167E-2</v>
      </c>
      <c r="X3468">
        <v>0.99983330000000004</v>
      </c>
      <c r="Y3468">
        <v>-2.6693730000000001E-3</v>
      </c>
      <c r="Z3468">
        <v>2.1081809999999999E-2</v>
      </c>
      <c r="AA3468">
        <v>0.99977419999999995</v>
      </c>
      <c r="AB3468">
        <v>26</v>
      </c>
      <c r="AC3468">
        <v>4.3640999999999996</v>
      </c>
      <c r="AD3468">
        <v>-1.1069646947059999</v>
      </c>
      <c r="AE3468">
        <v>-31.485599999999899</v>
      </c>
      <c r="AF3468">
        <v>-8.8888227320222002E-2</v>
      </c>
      <c r="AG3468">
        <v>-1.1069646947059999</v>
      </c>
      <c r="AH3468">
        <v>31.747979218697001</v>
      </c>
      <c r="AI3468">
        <v>91.996929406843293</v>
      </c>
      <c r="AJ3468">
        <v>90.160416728610002</v>
      </c>
      <c r="AK3468">
        <v>31.767396122803301</v>
      </c>
      <c r="AL3468">
        <v>90.869306022745405</v>
      </c>
      <c r="AM3468">
        <v>90.582031385175597</v>
      </c>
      <c r="AN3468">
        <v>0.99999998620737895</v>
      </c>
    </row>
    <row r="3469" spans="1:40" x14ac:dyDescent="0.25">
      <c r="A3469" t="str">
        <f>"20190305135900074"</f>
        <v>20190305135900074</v>
      </c>
      <c r="B3469" t="str">
        <f>"1551765540062842"</f>
        <v>1551765540062842</v>
      </c>
      <c r="C3469" t="s">
        <v>40</v>
      </c>
      <c r="D3469">
        <v>4.2737610000000004</v>
      </c>
      <c r="E3469">
        <v>0.50247799999999998</v>
      </c>
      <c r="F3469" t="s">
        <v>42</v>
      </c>
      <c r="G3469">
        <v>-184.01599999999999</v>
      </c>
      <c r="H3469" s="1">
        <v>-1.7509940000000001E-6</v>
      </c>
      <c r="I3469">
        <v>160.05799999999999</v>
      </c>
      <c r="J3469">
        <v>-188.31800000000001</v>
      </c>
      <c r="K3469">
        <v>1.106797</v>
      </c>
      <c r="L3469">
        <v>191.1302</v>
      </c>
      <c r="M3469">
        <v>0.13138749999999999</v>
      </c>
      <c r="N3469">
        <v>-1.33013E-2</v>
      </c>
      <c r="O3469">
        <v>-0.99124199999999996</v>
      </c>
      <c r="P3469">
        <v>0.14489949999999999</v>
      </c>
      <c r="Q3469">
        <v>-2.8356059999999999E-2</v>
      </c>
      <c r="R3469">
        <v>-0.98904020000000004</v>
      </c>
      <c r="S3469">
        <v>0.41082760000000001</v>
      </c>
      <c r="T3469">
        <v>-0.1049829</v>
      </c>
      <c r="U3469">
        <v>-2.9700319999999998</v>
      </c>
      <c r="V3469">
        <v>-1.377224E-2</v>
      </c>
      <c r="W3469">
        <v>-1.497797E-2</v>
      </c>
      <c r="X3469">
        <v>0.99979300000000004</v>
      </c>
      <c r="Y3469">
        <v>-5.6380379999999997E-3</v>
      </c>
      <c r="Z3469">
        <v>2.1526179999999999E-2</v>
      </c>
      <c r="AA3469">
        <v>0.99975239999999999</v>
      </c>
      <c r="AB3469">
        <v>26</v>
      </c>
      <c r="AC3469">
        <v>4.3019999999999898</v>
      </c>
      <c r="AD3469">
        <v>-1.106798750994</v>
      </c>
      <c r="AE3469">
        <v>-31.072199999999999</v>
      </c>
      <c r="AF3469">
        <v>-0.18161436741487999</v>
      </c>
      <c r="AG3469">
        <v>-1.106798750994</v>
      </c>
      <c r="AH3469">
        <v>31.3290662753097</v>
      </c>
      <c r="AI3469">
        <v>92.0232799126007</v>
      </c>
      <c r="AJ3469">
        <v>90.332139493105004</v>
      </c>
      <c r="AK3469">
        <v>31.3491368451574</v>
      </c>
      <c r="AL3469">
        <v>90.858206532524093</v>
      </c>
      <c r="AM3469">
        <v>90.789204686645903</v>
      </c>
      <c r="AN3469">
        <v>1.0000000285144599</v>
      </c>
    </row>
    <row r="3470" spans="1:40" x14ac:dyDescent="0.25">
      <c r="A3470" t="str">
        <f>"20190305135900087"</f>
        <v>20190305135900087</v>
      </c>
      <c r="B3470" t="str">
        <f>"1551765540082361"</f>
        <v>1551765540082361</v>
      </c>
      <c r="C3470" t="s">
        <v>40</v>
      </c>
      <c r="D3470">
        <v>4.2720900000000004</v>
      </c>
      <c r="E3470">
        <v>0.502471</v>
      </c>
      <c r="F3470" t="s">
        <v>42</v>
      </c>
      <c r="G3470">
        <v>-184.06100000000001</v>
      </c>
      <c r="H3470" s="1">
        <v>-1.929021E-6</v>
      </c>
      <c r="I3470">
        <v>160.55269999999999</v>
      </c>
      <c r="J3470">
        <v>-188.30019999999999</v>
      </c>
      <c r="K3470">
        <v>1.1067009999999999</v>
      </c>
      <c r="L3470">
        <v>190.9803</v>
      </c>
      <c r="M3470">
        <v>0.1293743</v>
      </c>
      <c r="N3470">
        <v>-1.331794E-2</v>
      </c>
      <c r="O3470">
        <v>-0.99150649999999996</v>
      </c>
      <c r="P3470">
        <v>0.144869</v>
      </c>
      <c r="Q3470">
        <v>-2.782426E-2</v>
      </c>
      <c r="R3470">
        <v>-0.98905960000000004</v>
      </c>
      <c r="S3470">
        <v>0.4134216</v>
      </c>
      <c r="T3470">
        <v>-0.1074884</v>
      </c>
      <c r="U3470">
        <v>-2.9695740000000002</v>
      </c>
      <c r="V3470">
        <v>-1.5769399999999999E-2</v>
      </c>
      <c r="W3470">
        <v>-1.441446E-2</v>
      </c>
      <c r="X3470">
        <v>0.99977179999999999</v>
      </c>
      <c r="Y3470">
        <v>-8.5429059999999994E-3</v>
      </c>
      <c r="Z3470">
        <v>2.235324E-2</v>
      </c>
      <c r="AA3470">
        <v>0.99971370000000004</v>
      </c>
      <c r="AB3470">
        <v>26</v>
      </c>
      <c r="AC3470">
        <v>4.2392000000000101</v>
      </c>
      <c r="AD3470">
        <v>-1.106702929021</v>
      </c>
      <c r="AE3470">
        <v>-30.427600000000002</v>
      </c>
      <c r="AF3470">
        <v>-0.26632291550791398</v>
      </c>
      <c r="AG3470">
        <v>-1.106702929021</v>
      </c>
      <c r="AH3470">
        <v>30.680513486478201</v>
      </c>
      <c r="AI3470">
        <v>92.065791382892598</v>
      </c>
      <c r="AJ3470">
        <v>90.497344863637906</v>
      </c>
      <c r="AK3470">
        <v>30.701622547715601</v>
      </c>
      <c r="AL3470">
        <v>90.825916282248897</v>
      </c>
      <c r="AM3470">
        <v>90.903651361707901</v>
      </c>
      <c r="AN3470">
        <v>1.0000000513543399</v>
      </c>
    </row>
    <row r="3471" spans="1:40" x14ac:dyDescent="0.25">
      <c r="A3471" t="str">
        <f>"20190305135900099"</f>
        <v>20190305135900099</v>
      </c>
      <c r="B3471" t="str">
        <f>"1551765540092123"</f>
        <v>1551765540092123</v>
      </c>
      <c r="C3471" t="s">
        <v>40</v>
      </c>
      <c r="D3471">
        <v>4.2721900000000002</v>
      </c>
      <c r="E3471">
        <v>0.50236259999999999</v>
      </c>
      <c r="F3471" t="s">
        <v>42</v>
      </c>
      <c r="G3471">
        <v>-184.1037</v>
      </c>
      <c r="H3471" s="1">
        <v>-2.0162610000000001E-6</v>
      </c>
      <c r="I3471">
        <v>160.80950000000001</v>
      </c>
      <c r="J3471">
        <v>-188.28280000000001</v>
      </c>
      <c r="K3471">
        <v>1.1066039999999999</v>
      </c>
      <c r="L3471">
        <v>190.83150000000001</v>
      </c>
      <c r="M3471">
        <v>0.12733269999999999</v>
      </c>
      <c r="N3471">
        <v>-1.3333869999999999E-2</v>
      </c>
      <c r="O3471">
        <v>-0.99177070000000001</v>
      </c>
      <c r="P3471">
        <v>0.14492620000000001</v>
      </c>
      <c r="Q3471">
        <v>-2.7697510000000002E-2</v>
      </c>
      <c r="R3471">
        <v>-0.98905500000000002</v>
      </c>
      <c r="S3471">
        <v>0.41305540000000002</v>
      </c>
      <c r="T3471">
        <v>-0.1089306</v>
      </c>
      <c r="U3471">
        <v>-2.9696500000000001</v>
      </c>
      <c r="V3471">
        <v>-1.7887030000000002E-2</v>
      </c>
      <c r="W3471">
        <v>-1.42553E-2</v>
      </c>
      <c r="X3471">
        <v>0.99973840000000003</v>
      </c>
      <c r="Y3471">
        <v>-1.047497E-2</v>
      </c>
      <c r="Z3471">
        <v>2.2825399999999999E-2</v>
      </c>
      <c r="AA3471">
        <v>0.99968460000000003</v>
      </c>
      <c r="AB3471">
        <v>26</v>
      </c>
      <c r="AC3471">
        <v>4.1791</v>
      </c>
      <c r="AD3471">
        <v>-1.1066060162610001</v>
      </c>
      <c r="AE3471">
        <v>-30.021999999999899</v>
      </c>
      <c r="AF3471">
        <v>-0.32152661188430798</v>
      </c>
      <c r="AG3471">
        <v>-1.1066060162610001</v>
      </c>
      <c r="AH3471">
        <v>30.2694188156559</v>
      </c>
      <c r="AI3471">
        <v>92.093600094299106</v>
      </c>
      <c r="AJ3471">
        <v>90.608582053180498</v>
      </c>
      <c r="AK3471">
        <v>30.291346481709301</v>
      </c>
      <c r="AL3471">
        <v>90.816796179921894</v>
      </c>
      <c r="AM3471">
        <v>91.025010134492703</v>
      </c>
      <c r="AN3471">
        <v>1.0000000139274301</v>
      </c>
    </row>
    <row r="3472" spans="1:40" x14ac:dyDescent="0.25">
      <c r="A3472" t="str">
        <f>"20190305135900112"</f>
        <v>20190305135900112</v>
      </c>
      <c r="B3472" t="str">
        <f>"1551765540102859"</f>
        <v>1551765540102859</v>
      </c>
      <c r="C3472" t="s">
        <v>40</v>
      </c>
      <c r="D3472">
        <v>4.2832169999999996</v>
      </c>
      <c r="E3472">
        <v>0.50236259999999999</v>
      </c>
      <c r="F3472" t="s">
        <v>42</v>
      </c>
      <c r="G3472">
        <v>-184.10220000000001</v>
      </c>
      <c r="H3472" s="1">
        <v>-2.0341959999999998E-6</v>
      </c>
      <c r="I3472">
        <v>160.8552</v>
      </c>
      <c r="J3472">
        <v>-188.26490000000001</v>
      </c>
      <c r="K3472">
        <v>1.106503</v>
      </c>
      <c r="L3472">
        <v>190.67359999999999</v>
      </c>
      <c r="M3472">
        <v>0.12506800000000001</v>
      </c>
      <c r="N3472">
        <v>-1.3350010000000001E-2</v>
      </c>
      <c r="O3472">
        <v>-0.99205849999999995</v>
      </c>
      <c r="P3472">
        <v>0.1448961</v>
      </c>
      <c r="Q3472">
        <v>-2.7498709999999999E-2</v>
      </c>
      <c r="R3472">
        <v>-0.98906490000000002</v>
      </c>
      <c r="S3472">
        <v>0.41412349999999998</v>
      </c>
      <c r="T3472">
        <v>-0.1096197</v>
      </c>
      <c r="U3472">
        <v>-2.9694370000000001</v>
      </c>
      <c r="V3472">
        <v>-2.013904E-2</v>
      </c>
      <c r="W3472">
        <v>-1.4022059999999999E-2</v>
      </c>
      <c r="X3472">
        <v>0.99969889999999995</v>
      </c>
      <c r="Y3472">
        <v>-1.3118899999999999E-2</v>
      </c>
      <c r="Z3472">
        <v>2.3052300000000001E-2</v>
      </c>
      <c r="AA3472">
        <v>0.99964819999999999</v>
      </c>
      <c r="AB3472">
        <v>26</v>
      </c>
      <c r="AC3472">
        <v>4.1627000000000001</v>
      </c>
      <c r="AD3472">
        <v>-1.1065050341959899</v>
      </c>
      <c r="AE3472">
        <v>-29.8184</v>
      </c>
      <c r="AF3472">
        <v>-0.399809865815073</v>
      </c>
      <c r="AG3472">
        <v>-1.1065050341959899</v>
      </c>
      <c r="AH3472">
        <v>30.064288572761701</v>
      </c>
      <c r="AI3472">
        <v>92.107612424391505</v>
      </c>
      <c r="AJ3472">
        <v>90.761902867389495</v>
      </c>
      <c r="AK3472">
        <v>30.087300455604101</v>
      </c>
      <c r="AL3472">
        <v>90.803431151680201</v>
      </c>
      <c r="AM3472">
        <v>91.154073433456503</v>
      </c>
      <c r="AN3472">
        <v>1.00000004487998</v>
      </c>
    </row>
    <row r="3473" spans="1:40" x14ac:dyDescent="0.25">
      <c r="A3473" t="str">
        <f>"20190305135900126"</f>
        <v>20190305135900126</v>
      </c>
      <c r="B3473" t="str">
        <f>"1551765540122379"</f>
        <v>1551765540122379</v>
      </c>
      <c r="C3473" t="s">
        <v>40</v>
      </c>
      <c r="D3473">
        <v>4.2351510000000001</v>
      </c>
      <c r="E3473">
        <v>0.47761969999999998</v>
      </c>
      <c r="F3473" t="s">
        <v>42</v>
      </c>
      <c r="G3473">
        <v>-184.06299999999999</v>
      </c>
      <c r="H3473" s="1">
        <v>-1.9214910000000001E-6</v>
      </c>
      <c r="I3473">
        <v>160.53450000000001</v>
      </c>
      <c r="J3473">
        <v>-188.24809999999999</v>
      </c>
      <c r="K3473">
        <v>1.1064149999999999</v>
      </c>
      <c r="L3473">
        <v>190.52180000000001</v>
      </c>
      <c r="M3473">
        <v>0.1228356</v>
      </c>
      <c r="N3473">
        <v>-1.33648E-2</v>
      </c>
      <c r="O3473">
        <v>-0.99233709999999997</v>
      </c>
      <c r="P3473">
        <v>0.14482629999999999</v>
      </c>
      <c r="Q3473">
        <v>-2.787516E-2</v>
      </c>
      <c r="R3473">
        <v>-0.98906459999999996</v>
      </c>
      <c r="S3473">
        <v>0.41400150000000002</v>
      </c>
      <c r="T3473">
        <v>-0.10902000000000001</v>
      </c>
      <c r="U3473">
        <v>-2.9694980000000002</v>
      </c>
      <c r="V3473">
        <v>-2.2324050000000002E-2</v>
      </c>
      <c r="W3473">
        <v>-1.4365579999999999E-2</v>
      </c>
      <c r="X3473">
        <v>0.99964759999999997</v>
      </c>
      <c r="Y3473">
        <v>-1.5325409999999999E-2</v>
      </c>
      <c r="Z3473">
        <v>2.285121E-2</v>
      </c>
      <c r="AA3473">
        <v>0.99962139999999999</v>
      </c>
      <c r="AB3473">
        <v>26</v>
      </c>
      <c r="AC3473">
        <v>4.1851000000000003</v>
      </c>
      <c r="AD3473">
        <v>-1.106416921491</v>
      </c>
      <c r="AE3473">
        <v>-29.987300000000001</v>
      </c>
      <c r="AF3473">
        <v>-0.4689377370069</v>
      </c>
      <c r="AG3473">
        <v>-1.106416921491</v>
      </c>
      <c r="AH3473">
        <v>30.233919678095202</v>
      </c>
      <c r="AI3473">
        <v>92.095564546685495</v>
      </c>
      <c r="AJ3473">
        <v>90.888604561523906</v>
      </c>
      <c r="AK3473">
        <v>30.257791725551701</v>
      </c>
      <c r="AL3473">
        <v>90.823115393375701</v>
      </c>
      <c r="AM3473">
        <v>91.279312108877605</v>
      </c>
      <c r="AN3473">
        <v>1.0000000286414401</v>
      </c>
    </row>
    <row r="3474" spans="1:40" x14ac:dyDescent="0.25">
      <c r="A3474" t="str">
        <f>"20190305135900143"</f>
        <v>20190305135900143</v>
      </c>
      <c r="B3474" t="str">
        <f>"1551765540132138"</f>
        <v>1551765540132138</v>
      </c>
      <c r="C3474" t="s">
        <v>40</v>
      </c>
      <c r="D3474">
        <v>4.2103849999999996</v>
      </c>
      <c r="E3474">
        <v>0.47515600000000002</v>
      </c>
      <c r="F3474" t="s">
        <v>79</v>
      </c>
      <c r="G3474">
        <v>-179.47970000000001</v>
      </c>
      <c r="H3474" s="1">
        <v>-1.1078160000000001E-5</v>
      </c>
      <c r="I3474">
        <v>148.38</v>
      </c>
      <c r="J3474">
        <v>-188.22579999999999</v>
      </c>
      <c r="K3474">
        <v>1.1062940000000001</v>
      </c>
      <c r="L3474">
        <v>190.31440000000001</v>
      </c>
      <c r="M3474">
        <v>0.1196971</v>
      </c>
      <c r="N3474">
        <v>-1.33838E-2</v>
      </c>
      <c r="O3474">
        <v>-0.99272039999999995</v>
      </c>
      <c r="P3474">
        <v>0.1462146</v>
      </c>
      <c r="Q3474">
        <v>-2.8181080000000001E-2</v>
      </c>
      <c r="R3474">
        <v>-0.98885149999999999</v>
      </c>
      <c r="S3474">
        <v>0.61201479999999997</v>
      </c>
      <c r="T3474">
        <v>-7.722569E-2</v>
      </c>
      <c r="U3474">
        <v>-2.9413909999999999</v>
      </c>
      <c r="V3474">
        <v>-2.6893520000000001E-2</v>
      </c>
      <c r="W3474">
        <v>-1.461638E-2</v>
      </c>
      <c r="X3474">
        <v>0.99953139999999996</v>
      </c>
      <c r="Y3474">
        <v>-8.5006600000000002E-2</v>
      </c>
      <c r="Z3474">
        <v>1.2424839999999999E-2</v>
      </c>
      <c r="AA3474">
        <v>0.99630289999999999</v>
      </c>
      <c r="AB3474">
        <v>26</v>
      </c>
      <c r="AC3474">
        <v>8.7460999999999807</v>
      </c>
      <c r="AD3474">
        <v>-1.1063050781599999</v>
      </c>
      <c r="AE3474">
        <v>-41.934399999999997</v>
      </c>
      <c r="AF3474">
        <v>-3.6608915957711998</v>
      </c>
      <c r="AG3474">
        <v>-1.1063050781599999</v>
      </c>
      <c r="AH3474">
        <v>42.651385279488203</v>
      </c>
      <c r="AI3474">
        <v>91.480382078254706</v>
      </c>
      <c r="AJ3474">
        <v>94.905838261464893</v>
      </c>
      <c r="AK3474">
        <v>42.8225023143358</v>
      </c>
      <c r="AL3474">
        <v>90.837486741156894</v>
      </c>
      <c r="AM3474">
        <v>91.5412357407413</v>
      </c>
      <c r="AN3474">
        <v>0.99999995978412604</v>
      </c>
    </row>
    <row r="3475" spans="1:40" x14ac:dyDescent="0.25">
      <c r="A3475" t="str">
        <f>"20190305135900159"</f>
        <v>20190305135900159</v>
      </c>
      <c r="B3475" t="str">
        <f>"1551765540152164"</f>
        <v>1551765540152164</v>
      </c>
      <c r="C3475" t="s">
        <v>40</v>
      </c>
      <c r="D3475">
        <v>4.2458970000000003</v>
      </c>
      <c r="E3475">
        <v>0.47518739999999998</v>
      </c>
      <c r="F3475" t="s">
        <v>79</v>
      </c>
      <c r="G3475">
        <v>-179.57759999999999</v>
      </c>
      <c r="H3475" s="1">
        <v>-1.161634E-5</v>
      </c>
      <c r="I3475">
        <v>150.34049999999999</v>
      </c>
      <c r="J3475">
        <v>-188.20660000000001</v>
      </c>
      <c r="K3475">
        <v>1.1062050000000001</v>
      </c>
      <c r="L3475">
        <v>190.13050000000001</v>
      </c>
      <c r="M3475">
        <v>0.11683499999999999</v>
      </c>
      <c r="N3475">
        <v>-1.3399370000000001E-2</v>
      </c>
      <c r="O3475">
        <v>-0.99306119999999998</v>
      </c>
      <c r="P3475">
        <v>0.14585139999999999</v>
      </c>
      <c r="Q3475">
        <v>-2.8844729999999999E-2</v>
      </c>
      <c r="R3475">
        <v>-0.98888600000000004</v>
      </c>
      <c r="S3475">
        <v>0.63551329999999995</v>
      </c>
      <c r="T3475">
        <v>-8.129728E-2</v>
      </c>
      <c r="U3475">
        <v>-2.9375</v>
      </c>
      <c r="V3475">
        <v>-2.9416350000000001E-2</v>
      </c>
      <c r="W3475">
        <v>-1.524207E-2</v>
      </c>
      <c r="X3475">
        <v>0.99945099999999998</v>
      </c>
      <c r="Y3475">
        <v>-9.5755350000000003E-2</v>
      </c>
      <c r="Z3475">
        <v>1.3776439999999999E-2</v>
      </c>
      <c r="AA3475">
        <v>0.99530949999999996</v>
      </c>
      <c r="AB3475">
        <v>26</v>
      </c>
      <c r="AC3475">
        <v>8.6290000000000102</v>
      </c>
      <c r="AD3475">
        <v>-1.10621661633999</v>
      </c>
      <c r="AE3475">
        <v>-39.79</v>
      </c>
      <c r="AF3475">
        <v>-3.9177193690476</v>
      </c>
      <c r="AG3475">
        <v>-1.10621661633999</v>
      </c>
      <c r="AH3475">
        <v>40.4958083375532</v>
      </c>
      <c r="AI3475">
        <v>91.557481296313995</v>
      </c>
      <c r="AJ3475">
        <v>95.525816264781795</v>
      </c>
      <c r="AK3475">
        <v>40.699910726790598</v>
      </c>
      <c r="AL3475">
        <v>90.873340124665603</v>
      </c>
      <c r="AM3475">
        <v>91.685871818746904</v>
      </c>
      <c r="AN3475">
        <v>0.99999997187310297</v>
      </c>
    </row>
    <row r="3476" spans="1:40" x14ac:dyDescent="0.25">
      <c r="A3476" t="str">
        <f>"20190305135900175"</f>
        <v>20190305135900175</v>
      </c>
      <c r="B3476" t="str">
        <f>"1551765540162901"</f>
        <v>1551765540162901</v>
      </c>
      <c r="C3476" t="s">
        <v>40</v>
      </c>
      <c r="D3476">
        <v>4.1925739999999996</v>
      </c>
      <c r="E3476">
        <v>0.47477629999999998</v>
      </c>
      <c r="F3476" t="s">
        <v>79</v>
      </c>
      <c r="G3476">
        <v>-180.38380000000001</v>
      </c>
      <c r="H3476" s="1">
        <v>-1.255063E-5</v>
      </c>
      <c r="I3476">
        <v>153.86429999999999</v>
      </c>
      <c r="J3476">
        <v>-188.18719999999999</v>
      </c>
      <c r="K3476">
        <v>1.1061219999999901</v>
      </c>
      <c r="L3476">
        <v>189.93709999999999</v>
      </c>
      <c r="M3476">
        <v>0.11373510000000001</v>
      </c>
      <c r="N3476">
        <v>-1.3414209999999999E-2</v>
      </c>
      <c r="O3476">
        <v>-0.99342059999999999</v>
      </c>
      <c r="P3476">
        <v>0.14785219999999999</v>
      </c>
      <c r="Q3476">
        <v>-2.8375279999999999E-2</v>
      </c>
      <c r="R3476">
        <v>-0.98860250000000005</v>
      </c>
      <c r="S3476">
        <v>0.63366699999999998</v>
      </c>
      <c r="T3476">
        <v>-8.960593E-2</v>
      </c>
      <c r="U3476">
        <v>-2.9376370000000001</v>
      </c>
      <c r="V3476">
        <v>-3.45537E-2</v>
      </c>
      <c r="W3476">
        <v>-1.471686E-2</v>
      </c>
      <c r="X3476">
        <v>0.99929449999999997</v>
      </c>
      <c r="Y3476">
        <v>-9.824302E-2</v>
      </c>
      <c r="Z3476">
        <v>1.6528499999999901E-2</v>
      </c>
      <c r="AA3476">
        <v>0.99502520000000005</v>
      </c>
      <c r="AB3476">
        <v>26</v>
      </c>
      <c r="AC3476">
        <v>7.8033999999999804</v>
      </c>
      <c r="AD3476">
        <v>-1.10613455062999</v>
      </c>
      <c r="AE3476">
        <v>-36.072800000000001</v>
      </c>
      <c r="AF3476">
        <v>-3.64636765590584</v>
      </c>
      <c r="AG3476">
        <v>-1.10613455062999</v>
      </c>
      <c r="AH3476">
        <v>36.693326098619103</v>
      </c>
      <c r="AI3476">
        <v>91.718222631493703</v>
      </c>
      <c r="AJ3476">
        <v>95.675086739730801</v>
      </c>
      <c r="AK3476">
        <v>36.890645303460602</v>
      </c>
      <c r="AL3476">
        <v>90.843244389044301</v>
      </c>
      <c r="AM3476">
        <v>91.980389868923496</v>
      </c>
      <c r="AN3476">
        <v>1.00000002094109</v>
      </c>
    </row>
    <row r="3477" spans="1:40" x14ac:dyDescent="0.25">
      <c r="A3477" t="str">
        <f>"20190305135900190"</f>
        <v>20190305135900190</v>
      </c>
      <c r="B3477" t="str">
        <f>"1551765540182422"</f>
        <v>1551765540182422</v>
      </c>
      <c r="C3477" t="s">
        <v>40</v>
      </c>
      <c r="D3477">
        <v>4.1875580000000001</v>
      </c>
      <c r="E3477">
        <v>0.47551779999999999</v>
      </c>
      <c r="F3477" t="s">
        <v>79</v>
      </c>
      <c r="G3477">
        <v>-180.17580000000001</v>
      </c>
      <c r="H3477" s="1">
        <v>-1.2458279999999999E-5</v>
      </c>
      <c r="I3477">
        <v>153.34700000000001</v>
      </c>
      <c r="J3477">
        <v>-188.16990000000001</v>
      </c>
      <c r="K3477">
        <v>1.1060700000000001</v>
      </c>
      <c r="L3477">
        <v>189.75819999999999</v>
      </c>
      <c r="M3477">
        <v>0.1108122</v>
      </c>
      <c r="N3477">
        <v>-1.3426749999999999E-2</v>
      </c>
      <c r="O3477">
        <v>-0.99375060000000004</v>
      </c>
      <c r="P3477">
        <v>0.1471152</v>
      </c>
      <c r="Q3477">
        <v>-2.8096429999999999E-2</v>
      </c>
      <c r="R3477">
        <v>-0.9887205</v>
      </c>
      <c r="S3477">
        <v>0.64282229999999996</v>
      </c>
      <c r="T3477">
        <v>-8.8753579999999999E-2</v>
      </c>
      <c r="U3477">
        <v>-2.9358979999999999</v>
      </c>
      <c r="V3477">
        <v>-3.674616E-2</v>
      </c>
      <c r="W3477">
        <v>-1.4405609999999999E-2</v>
      </c>
      <c r="X3477">
        <v>0.99922080000000002</v>
      </c>
      <c r="Y3477">
        <v>-0.1042525</v>
      </c>
      <c r="Z3477">
        <v>1.6244169999999999E-2</v>
      </c>
      <c r="AA3477">
        <v>0.99441820000000003</v>
      </c>
      <c r="AB3477">
        <v>26</v>
      </c>
      <c r="AC3477">
        <v>7.9941000000000004</v>
      </c>
      <c r="AD3477">
        <v>-1.10608245828</v>
      </c>
      <c r="AE3477">
        <v>-36.411199999999901</v>
      </c>
      <c r="AF3477">
        <v>-3.9062502643680399</v>
      </c>
      <c r="AG3477">
        <v>-1.10608245828</v>
      </c>
      <c r="AH3477">
        <v>37.040231096296303</v>
      </c>
      <c r="AI3477">
        <v>91.701010931572497</v>
      </c>
      <c r="AJ3477">
        <v>96.020141219916994</v>
      </c>
      <c r="AK3477">
        <v>37.262057500887302</v>
      </c>
      <c r="AL3477">
        <v>90.825409200637495</v>
      </c>
      <c r="AM3477">
        <v>92.106092612915106</v>
      </c>
      <c r="AN3477">
        <v>1.0000000045134201</v>
      </c>
    </row>
    <row r="3478" spans="1:40" x14ac:dyDescent="0.25">
      <c r="A3478" t="str">
        <f>"20190305135900203"</f>
        <v>20190305135900203</v>
      </c>
      <c r="B3478" t="str">
        <f>"1551765540192183"</f>
        <v>1551765540192183</v>
      </c>
      <c r="C3478" t="s">
        <v>40</v>
      </c>
      <c r="D3478">
        <v>4.1578850000000003</v>
      </c>
      <c r="E3478">
        <v>0.4754022</v>
      </c>
      <c r="F3478" t="s">
        <v>79</v>
      </c>
      <c r="G3478">
        <v>-180.44450000000001</v>
      </c>
      <c r="H3478" s="1">
        <v>-1.2573450000000001E-5</v>
      </c>
      <c r="I3478">
        <v>153.99629999999999</v>
      </c>
      <c r="J3478">
        <v>-188.1559</v>
      </c>
      <c r="K3478">
        <v>1.1060319999999999</v>
      </c>
      <c r="L3478">
        <v>189.60900000000001</v>
      </c>
      <c r="M3478">
        <v>0.1083474</v>
      </c>
      <c r="N3478">
        <v>-1.3436389999999999E-2</v>
      </c>
      <c r="O3478">
        <v>-0.99402239999999997</v>
      </c>
      <c r="P3478">
        <v>0.14652760000000001</v>
      </c>
      <c r="Q3478">
        <v>-2.7687130000000001E-2</v>
      </c>
      <c r="R3478">
        <v>-0.98881940000000002</v>
      </c>
      <c r="S3478">
        <v>0.63450620000000002</v>
      </c>
      <c r="T3478">
        <v>-9.0845579999999995E-2</v>
      </c>
      <c r="U3478">
        <v>-2.9372250000000002</v>
      </c>
      <c r="V3478">
        <v>-3.8626470000000003E-2</v>
      </c>
      <c r="W3478">
        <v>-1.397003E-2</v>
      </c>
      <c r="X3478">
        <v>0.99915609999999999</v>
      </c>
      <c r="Y3478">
        <v>-0.10393380000000001</v>
      </c>
      <c r="Z3478">
        <v>1.693265E-2</v>
      </c>
      <c r="AA3478">
        <v>0.99444010000000005</v>
      </c>
      <c r="AB3478">
        <v>26</v>
      </c>
      <c r="AC3478">
        <v>7.7113999999999896</v>
      </c>
      <c r="AD3478">
        <v>-1.10604457345</v>
      </c>
      <c r="AE3478">
        <v>-35.612699999999997</v>
      </c>
      <c r="AF3478">
        <v>-3.8035995930256701</v>
      </c>
      <c r="AG3478">
        <v>-1.10604457345</v>
      </c>
      <c r="AH3478">
        <v>36.2052403594003</v>
      </c>
      <c r="AI3478">
        <v>91.740230398911294</v>
      </c>
      <c r="AJ3478">
        <v>95.997300724903894</v>
      </c>
      <c r="AK3478">
        <v>36.421286824389803</v>
      </c>
      <c r="AL3478">
        <v>90.800449765050899</v>
      </c>
      <c r="AM3478">
        <v>92.213900478388695</v>
      </c>
      <c r="AN3478">
        <v>1.0000000390450301</v>
      </c>
    </row>
    <row r="3479" spans="1:40" x14ac:dyDescent="0.25">
      <c r="A3479" t="str">
        <f>"20190305135900220"</f>
        <v>20190305135900220</v>
      </c>
      <c r="B3479" t="str">
        <f>"1551765540212680"</f>
        <v>1551765540212680</v>
      </c>
      <c r="C3479" t="s">
        <v>40</v>
      </c>
      <c r="D3479">
        <v>4.1873170000000002</v>
      </c>
      <c r="E3479">
        <v>0.4752596</v>
      </c>
      <c r="F3479" t="s">
        <v>79</v>
      </c>
      <c r="G3479">
        <v>-180.2903</v>
      </c>
      <c r="H3479" s="1">
        <v>-1.2403649999999999E-5</v>
      </c>
      <c r="I3479">
        <v>153.14779999999999</v>
      </c>
      <c r="J3479">
        <v>-188.13749999999999</v>
      </c>
      <c r="K3479">
        <v>1.1059870000000001</v>
      </c>
      <c r="L3479">
        <v>189.40790000000001</v>
      </c>
      <c r="M3479">
        <v>0.10498879999999999</v>
      </c>
      <c r="N3479">
        <v>-1.344806E-2</v>
      </c>
      <c r="O3479">
        <v>-0.99438249999999995</v>
      </c>
      <c r="P3479">
        <v>0.1465215</v>
      </c>
      <c r="Q3479">
        <v>-2.687937E-2</v>
      </c>
      <c r="R3479">
        <v>-0.98884240000000001</v>
      </c>
      <c r="S3479">
        <v>0.63369750000000002</v>
      </c>
      <c r="T3479">
        <v>-8.9109419999999995E-2</v>
      </c>
      <c r="U3479">
        <v>-2.9375309999999999</v>
      </c>
      <c r="V3479">
        <v>-4.198702E-2</v>
      </c>
      <c r="W3479">
        <v>-1.3123009999999999E-2</v>
      </c>
      <c r="X3479">
        <v>0.99903200000000003</v>
      </c>
      <c r="Y3479">
        <v>-0.1070118</v>
      </c>
      <c r="Z3479">
        <v>1.6348149999999999E-2</v>
      </c>
      <c r="AA3479">
        <v>0.99412330000000004</v>
      </c>
      <c r="AB3479">
        <v>26</v>
      </c>
      <c r="AC3479">
        <v>7.8471999999999804</v>
      </c>
      <c r="AD3479">
        <v>-1.10599940365</v>
      </c>
      <c r="AE3479">
        <v>-36.260100000000001</v>
      </c>
      <c r="AF3479">
        <v>-3.9930265125223099</v>
      </c>
      <c r="AG3479">
        <v>-1.10599940365</v>
      </c>
      <c r="AH3479">
        <v>36.850860604628899</v>
      </c>
      <c r="AI3479">
        <v>91.709095596448606</v>
      </c>
      <c r="AJ3479">
        <v>96.184236332414798</v>
      </c>
      <c r="AK3479">
        <v>37.083061129205198</v>
      </c>
      <c r="AL3479">
        <v>90.751914647532303</v>
      </c>
      <c r="AM3479">
        <v>92.406593716334299</v>
      </c>
      <c r="AN3479">
        <v>1.00000003013196</v>
      </c>
    </row>
    <row r="3480" spans="1:40" x14ac:dyDescent="0.25">
      <c r="A3480" t="str">
        <f>"20190305135900231"</f>
        <v>20190305135900231</v>
      </c>
      <c r="B3480" t="str">
        <f>"1551765540222438"</f>
        <v>1551765540222438</v>
      </c>
      <c r="C3480" t="s">
        <v>40</v>
      </c>
      <c r="D3480">
        <v>4.5198320000000001</v>
      </c>
      <c r="E3480">
        <v>0.47632550000000001</v>
      </c>
      <c r="F3480" t="s">
        <v>79</v>
      </c>
      <c r="G3480">
        <v>-180.1028</v>
      </c>
      <c r="H3480" s="1">
        <v>-1.222153E-5</v>
      </c>
      <c r="I3480">
        <v>152.2278</v>
      </c>
      <c r="J3480">
        <v>-188.12559999999999</v>
      </c>
      <c r="K3480">
        <v>1.105969</v>
      </c>
      <c r="L3480">
        <v>189.27160000000001</v>
      </c>
      <c r="M3480">
        <v>0.1026966</v>
      </c>
      <c r="N3480">
        <v>-1.345495E-2</v>
      </c>
      <c r="O3480">
        <v>-0.99462169999999905</v>
      </c>
      <c r="P3480">
        <v>0.14579929999999999</v>
      </c>
      <c r="Q3480">
        <v>-2.663072E-2</v>
      </c>
      <c r="R3480">
        <v>-0.98895580000000005</v>
      </c>
      <c r="S3480">
        <v>0.63478089999999998</v>
      </c>
      <c r="T3480">
        <v>-8.7379460000000006E-2</v>
      </c>
      <c r="U3480">
        <v>-2.937408</v>
      </c>
      <c r="V3480">
        <v>-4.3557249999999999E-2</v>
      </c>
      <c r="W3480">
        <v>-1.285468E-2</v>
      </c>
      <c r="X3480">
        <v>0.99896819999999997</v>
      </c>
      <c r="Y3480">
        <v>-0.1096635</v>
      </c>
      <c r="Z3480">
        <v>1.5769459999999999E-2</v>
      </c>
      <c r="AA3480">
        <v>0.9938437</v>
      </c>
      <c r="AB3480">
        <v>26</v>
      </c>
      <c r="AC3480">
        <v>8.0227999999999895</v>
      </c>
      <c r="AD3480">
        <v>-1.10598122153</v>
      </c>
      <c r="AE3480">
        <v>-37.043799999999997</v>
      </c>
      <c r="AF3480">
        <v>-4.17220435191284</v>
      </c>
      <c r="AG3480">
        <v>-1.10598122153</v>
      </c>
      <c r="AH3480">
        <v>37.6398443289794</v>
      </c>
      <c r="AI3480">
        <v>91.672812927970099</v>
      </c>
      <c r="AJ3480">
        <v>96.325153972297201</v>
      </c>
      <c r="AK3480">
        <v>37.886519564698702</v>
      </c>
      <c r="AL3480">
        <v>90.736539218142198</v>
      </c>
      <c r="AM3480">
        <v>92.496642892747005</v>
      </c>
      <c r="AN3480">
        <v>0.999999970718352</v>
      </c>
    </row>
    <row r="3481" spans="1:40" x14ac:dyDescent="0.25">
      <c r="A3481" t="str">
        <f>"20190305135900243"</f>
        <v>20190305135900243</v>
      </c>
      <c r="B3481" t="str">
        <f>"1551765540232198"</f>
        <v>1551765540232198</v>
      </c>
      <c r="C3481" t="s">
        <v>40</v>
      </c>
      <c r="D3481">
        <v>4.1721729999999999</v>
      </c>
      <c r="E3481">
        <v>0.47631620000000002</v>
      </c>
      <c r="F3481" t="s">
        <v>79</v>
      </c>
      <c r="G3481">
        <v>-180.3211</v>
      </c>
      <c r="H3481" s="1">
        <v>-1.2262270000000001E-5</v>
      </c>
      <c r="I3481">
        <v>152.5128</v>
      </c>
      <c r="J3481">
        <v>-188.114</v>
      </c>
      <c r="K3481">
        <v>1.1059559999999999</v>
      </c>
      <c r="L3481">
        <v>189.13630000000001</v>
      </c>
      <c r="M3481">
        <v>0.1004167</v>
      </c>
      <c r="N3481">
        <v>-1.3461239999999999E-2</v>
      </c>
      <c r="O3481">
        <v>-0.99485440000000003</v>
      </c>
      <c r="P3481">
        <v>0.14551410000000001</v>
      </c>
      <c r="Q3481">
        <v>-2.6902229999999999E-2</v>
      </c>
      <c r="R3481">
        <v>-0.98899049999999999</v>
      </c>
      <c r="S3481">
        <v>0.62402340000000001</v>
      </c>
      <c r="T3481">
        <v>-8.8430399999999895E-2</v>
      </c>
      <c r="U3481">
        <v>-2.9391020000000001</v>
      </c>
      <c r="V3481">
        <v>-4.556147E-2</v>
      </c>
      <c r="W3481">
        <v>-1.3104559999999999E-2</v>
      </c>
      <c r="X3481">
        <v>0.99887559999999997</v>
      </c>
      <c r="Y3481">
        <v>-0.1083442</v>
      </c>
      <c r="Z3481">
        <v>1.611404E-2</v>
      </c>
      <c r="AA3481">
        <v>0.9939829</v>
      </c>
      <c r="AB3481">
        <v>26</v>
      </c>
      <c r="AC3481">
        <v>7.7929000000000004</v>
      </c>
      <c r="AD3481">
        <v>-1.10596826227</v>
      </c>
      <c r="AE3481">
        <v>-36.6235</v>
      </c>
      <c r="AF3481">
        <v>-4.0720065521356998</v>
      </c>
      <c r="AG3481">
        <v>-1.10596826227</v>
      </c>
      <c r="AH3481">
        <v>37.1885153157709</v>
      </c>
      <c r="AI3481">
        <v>91.693331522515294</v>
      </c>
      <c r="AJ3481">
        <v>96.248784698918399</v>
      </c>
      <c r="AK3481">
        <v>37.427130193872898</v>
      </c>
      <c r="AL3481">
        <v>90.750857456638101</v>
      </c>
      <c r="AM3481">
        <v>92.611608299991303</v>
      </c>
      <c r="AN3481">
        <v>1.0000000206583499</v>
      </c>
    </row>
    <row r="3482" spans="1:40" x14ac:dyDescent="0.25">
      <c r="A3482" t="str">
        <f>"20190305135900255"</f>
        <v>20190305135900255</v>
      </c>
      <c r="B3482" t="str">
        <f>"1551765540252223"</f>
        <v>1551765540252223</v>
      </c>
      <c r="C3482" t="s">
        <v>40</v>
      </c>
      <c r="D3482">
        <v>4.1678199999999999</v>
      </c>
      <c r="E3482">
        <v>0.47611530000000002</v>
      </c>
      <c r="F3482" t="s">
        <v>79</v>
      </c>
      <c r="G3482">
        <v>-180.3998</v>
      </c>
      <c r="H3482" s="1">
        <v>-1.2307219999999999E-5</v>
      </c>
      <c r="I3482">
        <v>152.75450000000001</v>
      </c>
      <c r="J3482">
        <v>-188.10220000000001</v>
      </c>
      <c r="K3482">
        <v>1.105947</v>
      </c>
      <c r="L3482">
        <v>188.99430000000001</v>
      </c>
      <c r="M3482">
        <v>9.801841E-2</v>
      </c>
      <c r="N3482">
        <v>-1.346722E-2</v>
      </c>
      <c r="O3482">
        <v>-0.99509349999999996</v>
      </c>
      <c r="P3482">
        <v>0.14529979999999901</v>
      </c>
      <c r="Q3482">
        <v>-2.7337110000000001E-2</v>
      </c>
      <c r="R3482">
        <v>-0.98900999999999994</v>
      </c>
      <c r="S3482">
        <v>0.62322999999999995</v>
      </c>
      <c r="T3482">
        <v>-8.9350579999999999E-2</v>
      </c>
      <c r="U3482">
        <v>-2.93927</v>
      </c>
      <c r="V3482">
        <v>-4.7756369999999999E-2</v>
      </c>
      <c r="W3482">
        <v>-1.3517299999999999E-2</v>
      </c>
      <c r="X3482">
        <v>0.99876759999999998</v>
      </c>
      <c r="Y3482">
        <v>-0.110469899999999</v>
      </c>
      <c r="Z3482">
        <v>1.64169999999999E-2</v>
      </c>
      <c r="AA3482">
        <v>0.99374390000000001</v>
      </c>
      <c r="AB3482">
        <v>26</v>
      </c>
      <c r="AC3482">
        <v>7.7024000000000097</v>
      </c>
      <c r="AD3482">
        <v>-1.10595930722</v>
      </c>
      <c r="AE3482">
        <v>-36.239800000000002</v>
      </c>
      <c r="AF3482">
        <v>-4.1091518813134797</v>
      </c>
      <c r="AG3482">
        <v>-1.10595930722</v>
      </c>
      <c r="AH3482">
        <v>36.787523897829303</v>
      </c>
      <c r="AI3482">
        <v>91.711352622582496</v>
      </c>
      <c r="AJ3482">
        <v>96.373496598545003</v>
      </c>
      <c r="AK3482">
        <v>37.032825840142003</v>
      </c>
      <c r="AL3482">
        <v>90.774507786171199</v>
      </c>
      <c r="AM3482">
        <v>92.737529743654406</v>
      </c>
      <c r="AN3482">
        <v>1.0000000535423099</v>
      </c>
    </row>
    <row r="3483" spans="1:40" x14ac:dyDescent="0.25">
      <c r="A3483" t="str">
        <f>"20190305135900267"</f>
        <v>20190305135900267</v>
      </c>
      <c r="B3483" t="str">
        <f>"1551765540262960"</f>
        <v>1551765540262960</v>
      </c>
      <c r="C3483" t="s">
        <v>40</v>
      </c>
      <c r="D3483">
        <v>4.2736919999999996</v>
      </c>
      <c r="E3483">
        <v>0.47624699999999998</v>
      </c>
      <c r="F3483" t="s">
        <v>79</v>
      </c>
      <c r="G3483">
        <v>-180.47620000000001</v>
      </c>
      <c r="H3483" s="1">
        <v>-1.2372790000000001E-5</v>
      </c>
      <c r="I3483">
        <v>153.08969999999999</v>
      </c>
      <c r="J3483">
        <v>-188.09110000000001</v>
      </c>
      <c r="K3483">
        <v>1.105945</v>
      </c>
      <c r="L3483">
        <v>188.85570000000001</v>
      </c>
      <c r="M3483">
        <v>9.5676869999999997E-2</v>
      </c>
      <c r="N3483">
        <v>-1.347228E-2</v>
      </c>
      <c r="O3483">
        <v>-0.99532140000000002</v>
      </c>
      <c r="P3483">
        <v>0.1450119</v>
      </c>
      <c r="Q3483">
        <v>-2.7996150000000001E-2</v>
      </c>
      <c r="R3483">
        <v>-0.98903399999999997</v>
      </c>
      <c r="S3483">
        <v>0.62425229999999998</v>
      </c>
      <c r="T3483">
        <v>-9.0532779999999993E-2</v>
      </c>
      <c r="U3483">
        <v>-2.939117</v>
      </c>
      <c r="V3483">
        <v>-4.9821799999999999E-2</v>
      </c>
      <c r="W3483">
        <v>-1.4156810000000001E-2</v>
      </c>
      <c r="X3483">
        <v>0.99865780000000004</v>
      </c>
      <c r="Y3483">
        <v>-0.1131467</v>
      </c>
      <c r="Z3483">
        <v>1.6808440000000001E-2</v>
      </c>
      <c r="AA3483">
        <v>0.99343610000000004</v>
      </c>
      <c r="AB3483">
        <v>26</v>
      </c>
      <c r="AC3483">
        <v>7.6148999999999996</v>
      </c>
      <c r="AD3483">
        <v>-1.1059573727900001</v>
      </c>
      <c r="AE3483">
        <v>-35.765999999999998</v>
      </c>
      <c r="AF3483">
        <v>-4.1538712169910799</v>
      </c>
      <c r="AG3483">
        <v>-1.1059573727900001</v>
      </c>
      <c r="AH3483">
        <v>36.297326084242897</v>
      </c>
      <c r="AI3483">
        <v>91.733917232339607</v>
      </c>
      <c r="AJ3483">
        <v>96.528535681584003</v>
      </c>
      <c r="AK3483">
        <v>36.550973566563599</v>
      </c>
      <c r="AL3483">
        <v>90.811152548897098</v>
      </c>
      <c r="AM3483">
        <v>92.856047542271099</v>
      </c>
      <c r="AN3483">
        <v>1.0000000142627199</v>
      </c>
    </row>
    <row r="3484" spans="1:40" x14ac:dyDescent="0.25">
      <c r="A3484" t="str">
        <f>"20190305135900280"</f>
        <v>20190305135900280</v>
      </c>
      <c r="B3484" t="str">
        <f>"1551765540272721"</f>
        <v>1551765540272721</v>
      </c>
      <c r="C3484" t="s">
        <v>40</v>
      </c>
      <c r="D3484">
        <v>4.1465290000000001</v>
      </c>
      <c r="E3484">
        <v>0.4761456</v>
      </c>
      <c r="F3484" t="s">
        <v>79</v>
      </c>
      <c r="G3484">
        <v>-180.80289999999999</v>
      </c>
      <c r="H3484" s="1">
        <v>-1.2678239999999899E-5</v>
      </c>
      <c r="I3484">
        <v>154.4195</v>
      </c>
      <c r="J3484">
        <v>-188.07900000000001</v>
      </c>
      <c r="K3484">
        <v>1.1059460000000001</v>
      </c>
      <c r="L3484">
        <v>188.70189999999999</v>
      </c>
      <c r="M3484">
        <v>9.3080389999999999E-2</v>
      </c>
      <c r="N3484">
        <v>-1.34775E-2</v>
      </c>
      <c r="O3484">
        <v>-0.99556730000000004</v>
      </c>
      <c r="P3484">
        <v>0.144623799999999</v>
      </c>
      <c r="Q3484">
        <v>-2.9021749999999999E-2</v>
      </c>
      <c r="R3484">
        <v>-0.98906079999999996</v>
      </c>
      <c r="S3484">
        <v>0.62210080000000001</v>
      </c>
      <c r="T3484">
        <v>-9.4401479999999996E-2</v>
      </c>
      <c r="U3484">
        <v>-2.9393769999999999</v>
      </c>
      <c r="V3484">
        <v>-5.2044269999999997E-2</v>
      </c>
      <c r="W3484">
        <v>-1.5162139999999999E-2</v>
      </c>
      <c r="X3484">
        <v>0.99852969999999996</v>
      </c>
      <c r="Y3484">
        <v>-0.1150182</v>
      </c>
      <c r="Z3484">
        <v>1.8094260000000001E-2</v>
      </c>
      <c r="AA3484">
        <v>0.99319860000000004</v>
      </c>
      <c r="AB3484">
        <v>26</v>
      </c>
      <c r="AC3484">
        <v>7.2761000000000102</v>
      </c>
      <c r="AD3484">
        <v>-1.1059586782399999</v>
      </c>
      <c r="AE3484">
        <v>-34.282400000000003</v>
      </c>
      <c r="AF3484">
        <v>-4.0491640892353802</v>
      </c>
      <c r="AG3484">
        <v>-1.1059586782399999</v>
      </c>
      <c r="AH3484">
        <v>34.776230551386902</v>
      </c>
      <c r="AI3484">
        <v>91.809299790311599</v>
      </c>
      <c r="AJ3484">
        <v>96.641319150937505</v>
      </c>
      <c r="AK3484">
        <v>35.028632371001102</v>
      </c>
      <c r="AL3484">
        <v>90.868759893830799</v>
      </c>
      <c r="AM3484">
        <v>92.983607996482206</v>
      </c>
      <c r="AN3484">
        <v>1.0000000291556499</v>
      </c>
    </row>
    <row r="3485" spans="1:40" x14ac:dyDescent="0.25">
      <c r="A3485" t="str">
        <f>"20190305135900297"</f>
        <v>20190305135900297</v>
      </c>
      <c r="B3485" t="str">
        <f>"1551765540292240"</f>
        <v>1551765540292240</v>
      </c>
      <c r="C3485" t="s">
        <v>40</v>
      </c>
      <c r="D3485">
        <v>4.149521</v>
      </c>
      <c r="E3485">
        <v>0.47604220000000003</v>
      </c>
      <c r="F3485" t="s">
        <v>79</v>
      </c>
      <c r="G3485">
        <v>-181.01159999999999</v>
      </c>
      <c r="H3485" s="1">
        <v>-1.3065359999999999E-5</v>
      </c>
      <c r="I3485">
        <v>155.29409999999999</v>
      </c>
      <c r="J3485">
        <v>-188.0643</v>
      </c>
      <c r="K3485">
        <v>1.1059650000000001</v>
      </c>
      <c r="L3485">
        <v>188.50739999999999</v>
      </c>
      <c r="M3485">
        <v>8.9803099999999997E-2</v>
      </c>
      <c r="N3485">
        <v>-1.3483210000000001E-2</v>
      </c>
      <c r="O3485">
        <v>-0.99586839999999999</v>
      </c>
      <c r="P3485">
        <v>0.14542579999999999</v>
      </c>
      <c r="Q3485">
        <v>-2.948187E-2</v>
      </c>
      <c r="R3485">
        <v>-0.98892999999999998</v>
      </c>
      <c r="S3485">
        <v>0.6218262</v>
      </c>
      <c r="T3485">
        <v>-9.7307920000000006E-2</v>
      </c>
      <c r="U3485">
        <v>-2.9393919999999998</v>
      </c>
      <c r="V3485">
        <v>-5.6143470000000001E-2</v>
      </c>
      <c r="W3485">
        <v>-1.558903E-2</v>
      </c>
      <c r="X3485">
        <v>0.99830099999999999</v>
      </c>
      <c r="Y3485">
        <v>-0.1181918</v>
      </c>
      <c r="Z3485">
        <v>1.9059900000000001E-2</v>
      </c>
      <c r="AA3485">
        <v>0.99280789999999997</v>
      </c>
      <c r="AB3485">
        <v>26</v>
      </c>
      <c r="AC3485">
        <v>7.0527000000000104</v>
      </c>
      <c r="AD3485">
        <v>-1.10597806535999</v>
      </c>
      <c r="AE3485">
        <v>-33.213299999999997</v>
      </c>
      <c r="AF3485">
        <v>-4.0369873525457196</v>
      </c>
      <c r="AG3485">
        <v>-1.10597806535999</v>
      </c>
      <c r="AH3485">
        <v>33.676759348770297</v>
      </c>
      <c r="AI3485">
        <v>91.867612715546898</v>
      </c>
      <c r="AJ3485">
        <v>96.835689230311701</v>
      </c>
      <c r="AK3485">
        <v>33.935889182407699</v>
      </c>
      <c r="AL3485">
        <v>90.893221809157893</v>
      </c>
      <c r="AM3485">
        <v>93.218867778499302</v>
      </c>
      <c r="AN3485">
        <v>0.99999999684049001</v>
      </c>
    </row>
    <row r="3486" spans="1:40" x14ac:dyDescent="0.25">
      <c r="A3486" t="str">
        <f>"20190305135900309"</f>
        <v>20190305135900309</v>
      </c>
      <c r="B3486" t="str">
        <f>"1551765540302976"</f>
        <v>1551765540302976</v>
      </c>
      <c r="C3486" t="s">
        <v>40</v>
      </c>
      <c r="D3486">
        <v>4.1468949999999998</v>
      </c>
      <c r="E3486">
        <v>0.47599669999999999</v>
      </c>
      <c r="F3486" t="s">
        <v>79</v>
      </c>
      <c r="G3486">
        <v>-181.0309</v>
      </c>
      <c r="H3486" s="1">
        <v>-1.312625E-5</v>
      </c>
      <c r="I3486">
        <v>155.4308</v>
      </c>
      <c r="J3486">
        <v>-188.05420000000001</v>
      </c>
      <c r="K3486">
        <v>1.1059760000000001</v>
      </c>
      <c r="L3486">
        <v>188.36529999999999</v>
      </c>
      <c r="M3486">
        <v>8.7415779999999998E-2</v>
      </c>
      <c r="N3486">
        <v>-1.348678E-2</v>
      </c>
      <c r="O3486">
        <v>-0.99608079999999999</v>
      </c>
      <c r="P3486">
        <v>0.144816</v>
      </c>
      <c r="Q3486">
        <v>-2.8898759999999999E-2</v>
      </c>
      <c r="R3486">
        <v>-0.9890369</v>
      </c>
      <c r="S3486">
        <v>0.62489319999999904</v>
      </c>
      <c r="T3486">
        <v>-9.8262070000000007E-2</v>
      </c>
      <c r="U3486">
        <v>-2.938736</v>
      </c>
      <c r="V3486">
        <v>-5.7913770000000003E-2</v>
      </c>
      <c r="W3486">
        <v>-1.4990969999999999E-2</v>
      </c>
      <c r="X3486">
        <v>0.99820909999999996</v>
      </c>
      <c r="Y3486">
        <v>-0.12160509999999999</v>
      </c>
      <c r="Z3486">
        <v>1.937852E-2</v>
      </c>
      <c r="AA3486">
        <v>0.99238939999999998</v>
      </c>
      <c r="AB3486">
        <v>26</v>
      </c>
      <c r="AC3486">
        <v>7.0232999999999999</v>
      </c>
      <c r="AD3486">
        <v>-1.1059891262499999</v>
      </c>
      <c r="AE3486">
        <v>-32.9344999999999</v>
      </c>
      <c r="AF3486">
        <v>-4.1127167352819898</v>
      </c>
      <c r="AG3486">
        <v>-1.1059891262499999</v>
      </c>
      <c r="AH3486">
        <v>33.386391283184999</v>
      </c>
      <c r="AI3486">
        <v>91.883116603339204</v>
      </c>
      <c r="AJ3486">
        <v>97.022625492984702</v>
      </c>
      <c r="AK3486">
        <v>33.656927575255303</v>
      </c>
      <c r="AL3486">
        <v>90.858951425094403</v>
      </c>
      <c r="AM3486">
        <v>93.320445591328806</v>
      </c>
      <c r="AN3486">
        <v>1.0000000706299701</v>
      </c>
    </row>
    <row r="3487" spans="1:40" x14ac:dyDescent="0.25">
      <c r="A3487" t="str">
        <f>"20190305135900322"</f>
        <v>20190305135900322</v>
      </c>
      <c r="B3487" t="str">
        <f>"1551765540312736"</f>
        <v>1551765540312736</v>
      </c>
      <c r="C3487" t="s">
        <v>40</v>
      </c>
      <c r="D3487">
        <v>4.1260149999999998</v>
      </c>
      <c r="E3487">
        <v>0.47589629999999999</v>
      </c>
      <c r="F3487" t="s">
        <v>79</v>
      </c>
      <c r="G3487">
        <v>-180.9392</v>
      </c>
      <c r="H3487" s="1">
        <v>-1.285844E-5</v>
      </c>
      <c r="I3487">
        <v>154.8296</v>
      </c>
      <c r="J3487">
        <v>-188.04300000000001</v>
      </c>
      <c r="K3487">
        <v>1.1059939999999999</v>
      </c>
      <c r="L3487">
        <v>188.20580000000001</v>
      </c>
      <c r="M3487">
        <v>8.4742239999999996E-2</v>
      </c>
      <c r="N3487">
        <v>-1.3490459999999999E-2</v>
      </c>
      <c r="O3487">
        <v>-0.99631150000000002</v>
      </c>
      <c r="P3487">
        <v>0.14381930000000001</v>
      </c>
      <c r="Q3487">
        <v>-2.836851E-2</v>
      </c>
      <c r="R3487">
        <v>-0.98919729999999995</v>
      </c>
      <c r="S3487">
        <v>0.623565699999999</v>
      </c>
      <c r="T3487">
        <v>-9.6930379999999997E-2</v>
      </c>
      <c r="U3487">
        <v>-2.939117</v>
      </c>
      <c r="V3487">
        <v>-5.95800999999999E-2</v>
      </c>
      <c r="W3487">
        <v>-1.4446809999999999E-2</v>
      </c>
      <c r="X3487">
        <v>0.99811899999999998</v>
      </c>
      <c r="Y3487">
        <v>-0.12381490000000001</v>
      </c>
      <c r="Z3487">
        <v>1.8931670000000001E-2</v>
      </c>
      <c r="AA3487">
        <v>0.99212469999999997</v>
      </c>
      <c r="AB3487">
        <v>26</v>
      </c>
      <c r="AC3487">
        <v>7.1037999999999997</v>
      </c>
      <c r="AD3487">
        <v>-1.10600685844</v>
      </c>
      <c r="AE3487">
        <v>-33.376199999999997</v>
      </c>
      <c r="AF3487">
        <v>-4.2451511521856702</v>
      </c>
      <c r="AG3487">
        <v>-1.10600685844</v>
      </c>
      <c r="AH3487">
        <v>33.822636502142601</v>
      </c>
      <c r="AI3487">
        <v>91.858345871673293</v>
      </c>
      <c r="AJ3487">
        <v>97.153905988334998</v>
      </c>
      <c r="AK3487">
        <v>34.105942289165498</v>
      </c>
      <c r="AL3487">
        <v>90.827770020924604</v>
      </c>
      <c r="AM3487">
        <v>93.416068014070802</v>
      </c>
      <c r="AN3487">
        <v>1.0000000183980899</v>
      </c>
    </row>
    <row r="3488" spans="1:40" x14ac:dyDescent="0.25">
      <c r="A3488" t="str">
        <f>"20190305135900335"</f>
        <v>20190305135900335</v>
      </c>
      <c r="B3488" t="str">
        <f>"1551765540322496"</f>
        <v>1551765540322496</v>
      </c>
      <c r="C3488" t="s">
        <v>40</v>
      </c>
      <c r="D3488">
        <v>4.1594749999999996</v>
      </c>
      <c r="E3488">
        <v>0.47584209999999899</v>
      </c>
      <c r="F3488" t="s">
        <v>79</v>
      </c>
      <c r="G3488">
        <v>-180.846</v>
      </c>
      <c r="H3488" s="1">
        <v>-1.256968E-5</v>
      </c>
      <c r="I3488">
        <v>154.15940000000001</v>
      </c>
      <c r="J3488">
        <v>-188.03370000000001</v>
      </c>
      <c r="K3488">
        <v>1.1060099999999999</v>
      </c>
      <c r="L3488">
        <v>188.06700000000001</v>
      </c>
      <c r="M3488">
        <v>8.2422949999999995E-2</v>
      </c>
      <c r="N3488">
        <v>-1.34932E-2</v>
      </c>
      <c r="O3488">
        <v>-0.99650629999999996</v>
      </c>
      <c r="P3488">
        <v>0.14231959999999999</v>
      </c>
      <c r="Q3488">
        <v>-2.811698E-2</v>
      </c>
      <c r="R3488">
        <v>-0.98942149999999995</v>
      </c>
      <c r="S3488">
        <v>0.62141420000000003</v>
      </c>
      <c r="T3488">
        <v>-9.5496300000000006E-2</v>
      </c>
      <c r="U3488">
        <v>-2.9396819999999999</v>
      </c>
      <c r="V3488">
        <v>-6.0387499999999997E-2</v>
      </c>
      <c r="W3488">
        <v>-1.41884E-2</v>
      </c>
      <c r="X3488">
        <v>0.99807420000000002</v>
      </c>
      <c r="Y3488">
        <v>-0.1253927</v>
      </c>
      <c r="Z3488">
        <v>1.8450310000000001E-2</v>
      </c>
      <c r="AA3488">
        <v>0.99193560000000003</v>
      </c>
      <c r="AB3488">
        <v>26</v>
      </c>
      <c r="AC3488">
        <v>7.1877000000000297</v>
      </c>
      <c r="AD3488">
        <v>-1.1060225696799999</v>
      </c>
      <c r="AE3488">
        <v>-33.907600000000002</v>
      </c>
      <c r="AF3488">
        <v>-4.3637773623654903</v>
      </c>
      <c r="AG3488">
        <v>-1.1060225696799999</v>
      </c>
      <c r="AH3488">
        <v>34.349715806881697</v>
      </c>
      <c r="AI3488">
        <v>91.829528827736794</v>
      </c>
      <c r="AJ3488">
        <v>97.240055199118103</v>
      </c>
      <c r="AK3488">
        <v>34.643452697536901</v>
      </c>
      <c r="AL3488">
        <v>90.812962687672197</v>
      </c>
      <c r="AM3488">
        <v>93.462404045431796</v>
      </c>
      <c r="AN3488">
        <v>1.0000000347782201</v>
      </c>
    </row>
    <row r="3489" spans="1:40" x14ac:dyDescent="0.25">
      <c r="A3489" t="str">
        <f>"20190305135900348"</f>
        <v>20190305135900348</v>
      </c>
      <c r="B3489" t="str">
        <f>"1551765540342994"</f>
        <v>1551765540342994</v>
      </c>
      <c r="C3489" t="s">
        <v>40</v>
      </c>
      <c r="D3489">
        <v>4.1466419999999999</v>
      </c>
      <c r="E3489">
        <v>0.47567989999999999</v>
      </c>
      <c r="F3489" t="s">
        <v>79</v>
      </c>
      <c r="G3489">
        <v>-180.83199999999999</v>
      </c>
      <c r="H3489" s="1">
        <v>-1.248529E-5</v>
      </c>
      <c r="I3489">
        <v>153.76580000000001</v>
      </c>
      <c r="J3489">
        <v>-188.02350000000001</v>
      </c>
      <c r="K3489">
        <v>1.106026</v>
      </c>
      <c r="L3489">
        <v>187.9092</v>
      </c>
      <c r="M3489">
        <v>7.9797930000000003E-2</v>
      </c>
      <c r="N3489">
        <v>-1.349583E-2</v>
      </c>
      <c r="O3489">
        <v>-0.99671960000000004</v>
      </c>
      <c r="P3489">
        <v>0.14014209999999999</v>
      </c>
      <c r="Q3489">
        <v>-2.7595450000000001E-2</v>
      </c>
      <c r="R3489">
        <v>-0.98974649999999997</v>
      </c>
      <c r="S3489">
        <v>0.61738590000000004</v>
      </c>
      <c r="T3489">
        <v>-9.4817520000000002E-2</v>
      </c>
      <c r="U3489">
        <v>-2.940582</v>
      </c>
      <c r="V3489">
        <v>-6.0814359999999998E-2</v>
      </c>
      <c r="W3489">
        <v>-1.3663099999999999E-2</v>
      </c>
      <c r="X3489">
        <v>0.99805560000000004</v>
      </c>
      <c r="Y3489">
        <v>-0.1266438</v>
      </c>
      <c r="Z3489">
        <v>1.8219800000000001E-2</v>
      </c>
      <c r="AA3489">
        <v>0.99178089999999997</v>
      </c>
      <c r="AB3489">
        <v>26</v>
      </c>
      <c r="AC3489">
        <v>7.1915000000000102</v>
      </c>
      <c r="AD3489">
        <v>-1.10603848529</v>
      </c>
      <c r="AE3489">
        <v>-34.1433999999999</v>
      </c>
      <c r="AF3489">
        <v>-4.4392809461273099</v>
      </c>
      <c r="AG3489">
        <v>-1.10603848529</v>
      </c>
      <c r="AH3489">
        <v>34.573678728733299</v>
      </c>
      <c r="AI3489">
        <v>91.817400900547895</v>
      </c>
      <c r="AJ3489">
        <v>97.316777623122107</v>
      </c>
      <c r="AK3489">
        <v>34.875059817687102</v>
      </c>
      <c r="AL3489">
        <v>90.782862305304107</v>
      </c>
      <c r="AM3489">
        <v>93.486883325285206</v>
      </c>
      <c r="AN3489">
        <v>1.0000000236875799</v>
      </c>
    </row>
    <row r="3490" spans="1:40" x14ac:dyDescent="0.25">
      <c r="A3490" t="str">
        <f>"20190305135900366"</f>
        <v>20190305135900366</v>
      </c>
      <c r="B3490" t="str">
        <f>"1551765540363019"</f>
        <v>1551765540363019</v>
      </c>
      <c r="C3490" t="s">
        <v>40</v>
      </c>
      <c r="D3490">
        <v>4.1433660000000003</v>
      </c>
      <c r="E3490">
        <v>0.475574</v>
      </c>
      <c r="F3490" t="s">
        <v>79</v>
      </c>
      <c r="G3490">
        <v>-180.76259999999999</v>
      </c>
      <c r="H3490" s="1">
        <v>-1.232881E-5</v>
      </c>
      <c r="I3490">
        <v>153.01660000000001</v>
      </c>
      <c r="J3490">
        <v>-188.01070000000001</v>
      </c>
      <c r="K3490">
        <v>1.106055</v>
      </c>
      <c r="L3490">
        <v>187.70179999999999</v>
      </c>
      <c r="M3490">
        <v>7.6365649999999993E-2</v>
      </c>
      <c r="N3490">
        <v>-1.3498670000000001E-2</v>
      </c>
      <c r="O3490">
        <v>-0.9969884</v>
      </c>
      <c r="P3490">
        <v>0.1358376</v>
      </c>
      <c r="Q3490">
        <v>-2.7112109999999998E-2</v>
      </c>
      <c r="R3490">
        <v>-0.99036029999999997</v>
      </c>
      <c r="S3490">
        <v>0.61216740000000003</v>
      </c>
      <c r="T3490">
        <v>-9.3250390000000002E-2</v>
      </c>
      <c r="U3490">
        <v>-2.9418030000000002</v>
      </c>
      <c r="V3490">
        <v>-5.9906210000000001E-2</v>
      </c>
      <c r="W3490">
        <v>-1.318596E-2</v>
      </c>
      <c r="X3490">
        <v>0.99811689999999997</v>
      </c>
      <c r="Y3490">
        <v>-0.1282924</v>
      </c>
      <c r="Z3490">
        <v>1.769155E-2</v>
      </c>
      <c r="AA3490">
        <v>0.99157859999999998</v>
      </c>
      <c r="AB3490">
        <v>26</v>
      </c>
      <c r="AC3490">
        <v>7.2481000000000204</v>
      </c>
      <c r="AD3490">
        <v>-1.10606732881</v>
      </c>
      <c r="AE3490">
        <v>-34.685199999999902</v>
      </c>
      <c r="AF3490">
        <v>-4.57347520573515</v>
      </c>
      <c r="AG3490">
        <v>-1.10606732881</v>
      </c>
      <c r="AH3490">
        <v>35.103250257997203</v>
      </c>
      <c r="AI3490">
        <v>91.789618910767601</v>
      </c>
      <c r="AJ3490">
        <v>97.423046894267202</v>
      </c>
      <c r="AK3490">
        <v>35.417202586722098</v>
      </c>
      <c r="AL3490">
        <v>90.755521763093697</v>
      </c>
      <c r="AM3490">
        <v>93.434728333306396</v>
      </c>
      <c r="AN3490">
        <v>0.99999998480164698</v>
      </c>
    </row>
    <row r="3491" spans="1:40" x14ac:dyDescent="0.25">
      <c r="A3491" t="str">
        <f>"20190305135900388"</f>
        <v>20190305135900388</v>
      </c>
      <c r="B3491" t="str">
        <f>"1551765540382539"</f>
        <v>1551765540382539</v>
      </c>
      <c r="C3491" t="s">
        <v>40</v>
      </c>
      <c r="D3491">
        <v>4.1425890000000001</v>
      </c>
      <c r="E3491">
        <v>0.47536030000000001</v>
      </c>
      <c r="F3491" t="s">
        <v>79</v>
      </c>
      <c r="G3491">
        <v>-180.8117</v>
      </c>
      <c r="H3491" s="1">
        <v>-1.218648E-5</v>
      </c>
      <c r="I3491">
        <v>152.38550000000001</v>
      </c>
      <c r="J3491">
        <v>-187.99610000000001</v>
      </c>
      <c r="K3491">
        <v>1.1060909999999999</v>
      </c>
      <c r="L3491">
        <v>187.44909999999999</v>
      </c>
      <c r="M3491">
        <v>7.2216409999999995E-2</v>
      </c>
      <c r="N3491">
        <v>-1.3500989999999999E-2</v>
      </c>
      <c r="O3491">
        <v>-0.99729780000000001</v>
      </c>
      <c r="P3491">
        <v>0.12864320000000001</v>
      </c>
      <c r="Q3491">
        <v>-2.604016E-2</v>
      </c>
      <c r="R3491">
        <v>-0.99134909999999998</v>
      </c>
      <c r="S3491">
        <v>0.60018919999999998</v>
      </c>
      <c r="T3491">
        <v>-9.2213749999999997E-2</v>
      </c>
      <c r="U3491">
        <v>-2.9443510000000002</v>
      </c>
      <c r="V3491">
        <v>-5.6802129999999999E-2</v>
      </c>
      <c r="W3491">
        <v>-1.2136900000000001E-2</v>
      </c>
      <c r="X3491">
        <v>0.99831170000000002</v>
      </c>
      <c r="Y3491">
        <v>-0.12837950000000001</v>
      </c>
      <c r="Z3491">
        <v>1.733678E-2</v>
      </c>
      <c r="AA3491">
        <v>0.99157360000000005</v>
      </c>
      <c r="AB3491">
        <v>26</v>
      </c>
      <c r="AC3491">
        <v>7.1844000000000099</v>
      </c>
      <c r="AD3491">
        <v>-1.1061031864799999</v>
      </c>
      <c r="AE3491">
        <v>-35.063599999999902</v>
      </c>
      <c r="AF3491">
        <v>-4.62881971540524</v>
      </c>
      <c r="AG3491">
        <v>-1.1061031864799999</v>
      </c>
      <c r="AH3491">
        <v>35.457047941527698</v>
      </c>
      <c r="AI3491">
        <v>91.771771335763205</v>
      </c>
      <c r="AJ3491">
        <v>97.4377433748556</v>
      </c>
      <c r="AK3491">
        <v>35.7750148140383</v>
      </c>
      <c r="AL3491">
        <v>90.695410207157707</v>
      </c>
      <c r="AM3491">
        <v>93.256515028898505</v>
      </c>
      <c r="AN3491">
        <v>1.00000001833551</v>
      </c>
    </row>
    <row r="3492" spans="1:40" x14ac:dyDescent="0.25">
      <c r="A3492" t="str">
        <f>"20190305135900400"</f>
        <v>20190305135900400</v>
      </c>
      <c r="B3492" t="str">
        <f>"1551765540392299"</f>
        <v>1551765540392299</v>
      </c>
      <c r="C3492" t="s">
        <v>40</v>
      </c>
      <c r="D3492">
        <v>4.2968400000000004</v>
      </c>
      <c r="E3492">
        <v>0.4754949</v>
      </c>
      <c r="F3492" t="s">
        <v>79</v>
      </c>
      <c r="G3492">
        <v>-180.85589999999999</v>
      </c>
      <c r="H3492" s="1">
        <v>-1.191757E-5</v>
      </c>
      <c r="I3492">
        <v>151.17140000000001</v>
      </c>
      <c r="J3492">
        <v>-187.9881</v>
      </c>
      <c r="K3492">
        <v>1.106114</v>
      </c>
      <c r="L3492">
        <v>187.30420000000001</v>
      </c>
      <c r="M3492">
        <v>6.9853490000000004E-2</v>
      </c>
      <c r="N3492">
        <v>-1.3501890000000001E-2</v>
      </c>
      <c r="O3492">
        <v>-0.99746590000000002</v>
      </c>
      <c r="P3492">
        <v>0.1245983</v>
      </c>
      <c r="Q3492">
        <v>-2.5100589999999999E-2</v>
      </c>
      <c r="R3492">
        <v>-0.99189000000000005</v>
      </c>
      <c r="S3492">
        <v>0.58032229999999996</v>
      </c>
      <c r="T3492">
        <v>-8.9899060000000003E-2</v>
      </c>
      <c r="U3492">
        <v>-2.9484859999999999</v>
      </c>
      <c r="V3492">
        <v>-5.5086070000000001E-2</v>
      </c>
      <c r="W3492">
        <v>-1.121058E-2</v>
      </c>
      <c r="X3492">
        <v>0.99841869999999999</v>
      </c>
      <c r="Y3492">
        <v>-0.1240363</v>
      </c>
      <c r="Z3492">
        <v>1.655278E-2</v>
      </c>
      <c r="AA3492">
        <v>0.99213960000000001</v>
      </c>
      <c r="AB3492">
        <v>26</v>
      </c>
      <c r="AC3492">
        <v>7.1322000000000099</v>
      </c>
      <c r="AD3492">
        <v>-1.10612591757</v>
      </c>
      <c r="AE3492">
        <v>-36.132800000000003</v>
      </c>
      <c r="AF3492">
        <v>-4.5864055486472601</v>
      </c>
      <c r="AG3492">
        <v>-1.10612591757</v>
      </c>
      <c r="AH3492">
        <v>36.509843529962097</v>
      </c>
      <c r="AI3492">
        <v>91.7218150457158</v>
      </c>
      <c r="AJ3492">
        <v>97.160050805106195</v>
      </c>
      <c r="AK3492">
        <v>36.813412025843199</v>
      </c>
      <c r="AL3492">
        <v>90.642332357851799</v>
      </c>
      <c r="AM3492">
        <v>93.157996307298603</v>
      </c>
      <c r="AN3492">
        <v>1.00000002636083</v>
      </c>
    </row>
    <row r="3493" spans="1:40" x14ac:dyDescent="0.25">
      <c r="A3493" t="str">
        <f>"20190305135900412"</f>
        <v>20190305135900412</v>
      </c>
      <c r="B3493" t="str">
        <f>"1551765540402058"</f>
        <v>1551765540402058</v>
      </c>
      <c r="C3493" t="s">
        <v>40</v>
      </c>
      <c r="D3493">
        <v>4.1278920000000001</v>
      </c>
      <c r="E3493">
        <v>0.47533180000000003</v>
      </c>
      <c r="F3493" t="s">
        <v>79</v>
      </c>
      <c r="G3493">
        <v>-180.9239</v>
      </c>
      <c r="H3493" s="1">
        <v>-1.1773170000000001E-5</v>
      </c>
      <c r="I3493">
        <v>150.53919999999999</v>
      </c>
      <c r="J3493">
        <v>-187.9802</v>
      </c>
      <c r="K3493">
        <v>1.1061430000000001</v>
      </c>
      <c r="L3493">
        <v>187.15180000000001</v>
      </c>
      <c r="M3493">
        <v>6.7390640000000002E-2</v>
      </c>
      <c r="N3493">
        <v>-1.3502210000000001E-2</v>
      </c>
      <c r="O3493">
        <v>-0.99763539999999995</v>
      </c>
      <c r="P3493">
        <v>0.1199182</v>
      </c>
      <c r="Q3493">
        <v>-2.4552830000000001E-2</v>
      </c>
      <c r="R3493">
        <v>-0.99248020000000003</v>
      </c>
      <c r="S3493">
        <v>0.56703190000000003</v>
      </c>
      <c r="T3493">
        <v>-8.8786959999999998E-2</v>
      </c>
      <c r="U3493">
        <v>-2.9510649999999998</v>
      </c>
      <c r="V3493">
        <v>-5.2836260000000003E-2</v>
      </c>
      <c r="W3493">
        <v>-1.068089E-2</v>
      </c>
      <c r="X3493">
        <v>0.99854609999999999</v>
      </c>
      <c r="Y3493">
        <v>-0.12201819999999999</v>
      </c>
      <c r="Z3493">
        <v>1.6175269999999999E-2</v>
      </c>
      <c r="AA3493">
        <v>0.9923961</v>
      </c>
      <c r="AB3493">
        <v>26</v>
      </c>
      <c r="AC3493">
        <v>7.0562999999999896</v>
      </c>
      <c r="AD3493">
        <v>-1.1061547731700001</v>
      </c>
      <c r="AE3493">
        <v>-36.6126</v>
      </c>
      <c r="AF3493">
        <v>-4.5686636369001503</v>
      </c>
      <c r="AG3493">
        <v>-1.1061547731700001</v>
      </c>
      <c r="AH3493">
        <v>36.972384709148798</v>
      </c>
      <c r="AI3493">
        <v>91.700759182005498</v>
      </c>
      <c r="AJ3493">
        <v>97.044308463582894</v>
      </c>
      <c r="AK3493">
        <v>37.270008007654702</v>
      </c>
      <c r="AL3493">
        <v>90.611981534696895</v>
      </c>
      <c r="AM3493">
        <v>93.028877846408804</v>
      </c>
      <c r="AN3493">
        <v>1.0000000328035901</v>
      </c>
    </row>
    <row r="3494" spans="1:40" x14ac:dyDescent="0.25">
      <c r="A3494" t="str">
        <f>"20190305135900424"</f>
        <v>20190305135900424</v>
      </c>
      <c r="B3494" t="str">
        <f>"1551765540412796"</f>
        <v>1551765540412796</v>
      </c>
      <c r="C3494" t="s">
        <v>40</v>
      </c>
      <c r="D3494">
        <v>4.1669289999999997</v>
      </c>
      <c r="E3494">
        <v>0.47514319999999999</v>
      </c>
      <c r="F3494" t="s">
        <v>79</v>
      </c>
      <c r="G3494">
        <v>-180.95949999999999</v>
      </c>
      <c r="H3494" s="1">
        <v>-1.160047E-5</v>
      </c>
      <c r="I3494">
        <v>149.7627</v>
      </c>
      <c r="J3494">
        <v>-187.9735</v>
      </c>
      <c r="K3494">
        <v>1.1061620000000001</v>
      </c>
      <c r="L3494">
        <v>187.01779999999999</v>
      </c>
      <c r="M3494">
        <v>6.5239909999999998E-2</v>
      </c>
      <c r="N3494">
        <v>-1.350226E-2</v>
      </c>
      <c r="O3494">
        <v>-0.99777839999999995</v>
      </c>
      <c r="P3494">
        <v>0.1150943</v>
      </c>
      <c r="Q3494">
        <v>-2.4189619999999998E-2</v>
      </c>
      <c r="R3494">
        <v>-0.99306039999999995</v>
      </c>
      <c r="S3494">
        <v>0.55459590000000003</v>
      </c>
      <c r="T3494">
        <v>-8.7380289999999999E-2</v>
      </c>
      <c r="U3494">
        <v>-2.9535369999999999</v>
      </c>
      <c r="V3494">
        <v>-5.0133190000000001E-2</v>
      </c>
      <c r="W3494">
        <v>-1.0338750000000001E-2</v>
      </c>
      <c r="X3494">
        <v>0.9986891</v>
      </c>
      <c r="Y3494">
        <v>-0.1199728</v>
      </c>
      <c r="Z3494">
        <v>1.569941E-2</v>
      </c>
      <c r="AA3494">
        <v>0.99265300000000001</v>
      </c>
      <c r="AB3494">
        <v>26</v>
      </c>
      <c r="AC3494">
        <v>7.0140000000000002</v>
      </c>
      <c r="AD3494">
        <v>-1.10617360047</v>
      </c>
      <c r="AE3494">
        <v>-37.255099999999999</v>
      </c>
      <c r="AF3494">
        <v>-4.5644278232046096</v>
      </c>
      <c r="AG3494">
        <v>-1.10617360047</v>
      </c>
      <c r="AH3494">
        <v>37.601337110753299</v>
      </c>
      <c r="AI3494">
        <v>91.672795208775398</v>
      </c>
      <c r="AJ3494">
        <v>96.921273306605698</v>
      </c>
      <c r="AK3494">
        <v>37.893510973570798</v>
      </c>
      <c r="AL3494">
        <v>90.592377251003398</v>
      </c>
      <c r="AM3494">
        <v>92.873778303238694</v>
      </c>
      <c r="AN3494">
        <v>1.00000007247497</v>
      </c>
    </row>
    <row r="3495" spans="1:40" x14ac:dyDescent="0.25">
      <c r="A3495" t="str">
        <f>"20190305135900437"</f>
        <v>20190305135900437</v>
      </c>
      <c r="B3495" t="str">
        <f>"1551765540432315"</f>
        <v>1551765540432315</v>
      </c>
      <c r="C3495" t="s">
        <v>40</v>
      </c>
      <c r="D3495">
        <v>4.1575730000000002</v>
      </c>
      <c r="E3495">
        <v>0.47472439999999999</v>
      </c>
      <c r="F3495" t="s">
        <v>79</v>
      </c>
      <c r="G3495">
        <v>-181.0932</v>
      </c>
      <c r="H3495" s="1">
        <v>-1.1514250000000001E-5</v>
      </c>
      <c r="I3495">
        <v>149.4657</v>
      </c>
      <c r="J3495">
        <v>-187.96639999999999</v>
      </c>
      <c r="K3495">
        <v>1.1061909999999999</v>
      </c>
      <c r="L3495">
        <v>186.8716</v>
      </c>
      <c r="M3495">
        <v>6.2908640000000002E-2</v>
      </c>
      <c r="N3495">
        <v>-1.3502139999999999E-2</v>
      </c>
      <c r="O3495">
        <v>-0.99792820000000004</v>
      </c>
      <c r="P3495">
        <v>0.1097277</v>
      </c>
      <c r="Q3495">
        <v>-2.4055730000000001E-2</v>
      </c>
      <c r="R3495">
        <v>-0.99367059999999996</v>
      </c>
      <c r="S3495">
        <v>0.5416107</v>
      </c>
      <c r="T3495">
        <v>-8.7076780000000006E-2</v>
      </c>
      <c r="U3495">
        <v>-2.9560550000000001</v>
      </c>
      <c r="V3495">
        <v>-4.706954E-2</v>
      </c>
      <c r="W3495">
        <v>-1.022882E-2</v>
      </c>
      <c r="X3495">
        <v>0.99883929999999999</v>
      </c>
      <c r="Y3495">
        <v>-0.1179241</v>
      </c>
      <c r="Z3495">
        <v>1.5591000000000001E-2</v>
      </c>
      <c r="AA3495">
        <v>0.99290020000000001</v>
      </c>
      <c r="AB3495">
        <v>26</v>
      </c>
      <c r="AC3495">
        <v>6.87319999999999</v>
      </c>
      <c r="AD3495">
        <v>-1.1062025142499901</v>
      </c>
      <c r="AE3495">
        <v>-37.405900000000003</v>
      </c>
      <c r="AF3495">
        <v>-4.5024064481000403</v>
      </c>
      <c r="AG3495">
        <v>-1.1062025142499901</v>
      </c>
      <c r="AH3495">
        <v>37.732297881469997</v>
      </c>
      <c r="AI3495">
        <v>91.6674443557297</v>
      </c>
      <c r="AJ3495">
        <v>96.804644736830994</v>
      </c>
      <c r="AK3495">
        <v>38.016070960087497</v>
      </c>
      <c r="AL3495">
        <v>90.586078401355394</v>
      </c>
      <c r="AM3495">
        <v>92.698023918441095</v>
      </c>
      <c r="AN3495">
        <v>1.00000005878944</v>
      </c>
    </row>
    <row r="3496" spans="1:40" x14ac:dyDescent="0.25">
      <c r="A3496" t="str">
        <f>"20190305135900453"</f>
        <v>20190305135900453</v>
      </c>
      <c r="B3496" t="str">
        <f>"1551765540442075"</f>
        <v>1551765540442075</v>
      </c>
      <c r="C3496" t="s">
        <v>40</v>
      </c>
      <c r="D3496">
        <v>4.1710929999999999</v>
      </c>
      <c r="E3496">
        <v>0.47447230000000001</v>
      </c>
      <c r="F3496" t="s">
        <v>79</v>
      </c>
      <c r="G3496">
        <v>-181.33109999999999</v>
      </c>
      <c r="H3496" s="1">
        <v>-1.156238E-5</v>
      </c>
      <c r="I3496">
        <v>149.75489999999999</v>
      </c>
      <c r="J3496">
        <v>-187.95769999999999</v>
      </c>
      <c r="K3496">
        <v>1.1062369999999999</v>
      </c>
      <c r="L3496">
        <v>186.6781</v>
      </c>
      <c r="M3496">
        <v>5.9872689999999999E-2</v>
      </c>
      <c r="N3496">
        <v>-1.350107E-2</v>
      </c>
      <c r="O3496">
        <v>-0.99811470000000002</v>
      </c>
      <c r="P3496">
        <v>9.9816989999999994E-2</v>
      </c>
      <c r="Q3496">
        <v>-2.3914620000000001E-2</v>
      </c>
      <c r="R3496">
        <v>-0.99471830000000006</v>
      </c>
      <c r="S3496">
        <v>0.52890009999999998</v>
      </c>
      <c r="T3496">
        <v>-8.817506E-2</v>
      </c>
      <c r="U3496">
        <v>-2.9585569999999999</v>
      </c>
      <c r="V3496">
        <v>-4.0149999999999998E-2</v>
      </c>
      <c r="W3496">
        <v>-1.01394E-2</v>
      </c>
      <c r="X3496">
        <v>0.99914219999999998</v>
      </c>
      <c r="Y3496">
        <v>-0.1166644</v>
      </c>
      <c r="Z3496">
        <v>1.5949479999999999E-2</v>
      </c>
      <c r="AA3496">
        <v>0.99304329999999996</v>
      </c>
      <c r="AB3496">
        <v>26</v>
      </c>
      <c r="AC3496">
        <v>6.6265999999999901</v>
      </c>
      <c r="AD3496">
        <v>-1.10624856238</v>
      </c>
      <c r="AE3496">
        <v>-36.923200000000001</v>
      </c>
      <c r="AF3496">
        <v>-4.3999906014647596</v>
      </c>
      <c r="AG3496">
        <v>-1.10624856238</v>
      </c>
      <c r="AH3496">
        <v>37.221367865795301</v>
      </c>
      <c r="AI3496">
        <v>91.690610498183702</v>
      </c>
      <c r="AJ3496">
        <v>96.741728563838095</v>
      </c>
      <c r="AK3496">
        <v>37.496852254230703</v>
      </c>
      <c r="AL3496">
        <v>90.580954791444697</v>
      </c>
      <c r="AM3496">
        <v>92.301162446923797</v>
      </c>
      <c r="AN3496">
        <v>0.99999998287659997</v>
      </c>
    </row>
    <row r="3497" spans="1:40" x14ac:dyDescent="0.25">
      <c r="A3497" t="str">
        <f>"20190305135900466"</f>
        <v>20190305135900466</v>
      </c>
      <c r="B3497" t="str">
        <f>"1551765540462571"</f>
        <v>1551765540462571</v>
      </c>
      <c r="C3497" t="s">
        <v>40</v>
      </c>
      <c r="D3497">
        <v>4.3556929999999996</v>
      </c>
      <c r="E3497">
        <v>0.47405360000000002</v>
      </c>
      <c r="F3497" t="s">
        <v>79</v>
      </c>
      <c r="G3497">
        <v>-181.75290000000001</v>
      </c>
      <c r="H3497" s="1">
        <v>-1.1570820000000001E-5</v>
      </c>
      <c r="I3497">
        <v>149.98320000000001</v>
      </c>
      <c r="J3497">
        <v>-187.9512</v>
      </c>
      <c r="K3497">
        <v>1.106279</v>
      </c>
      <c r="L3497">
        <v>186.5274</v>
      </c>
      <c r="M3497">
        <v>5.7541729999999999E-2</v>
      </c>
      <c r="N3497">
        <v>-1.3499789999999999E-2</v>
      </c>
      <c r="O3497">
        <v>-0.99825180000000002</v>
      </c>
      <c r="P3497">
        <v>9.3525730000000001E-2</v>
      </c>
      <c r="Q3497">
        <v>-2.3915639999999998E-2</v>
      </c>
      <c r="R3497">
        <v>-0.99532980000000004</v>
      </c>
      <c r="S3497">
        <v>0.50109859999999995</v>
      </c>
      <c r="T3497">
        <v>-8.9341760000000006E-2</v>
      </c>
      <c r="U3497">
        <v>-2.9635159999999998</v>
      </c>
      <c r="V3497">
        <v>-3.6164839999999997E-2</v>
      </c>
      <c r="W3497">
        <v>-1.0171650000000001E-2</v>
      </c>
      <c r="X3497">
        <v>0.99929400000000002</v>
      </c>
      <c r="Y3497">
        <v>-0.10965080000000001</v>
      </c>
      <c r="Z3497">
        <v>1.6325539999999999E-2</v>
      </c>
      <c r="AA3497">
        <v>0.9938361</v>
      </c>
      <c r="AB3497">
        <v>26</v>
      </c>
      <c r="AC3497">
        <v>6.1982999999999802</v>
      </c>
      <c r="AD3497">
        <v>-1.1062905708199999</v>
      </c>
      <c r="AE3497">
        <v>-36.544199999999897</v>
      </c>
      <c r="AF3497">
        <v>-4.0813842652871699</v>
      </c>
      <c r="AG3497">
        <v>-1.1062905708199999</v>
      </c>
      <c r="AH3497">
        <v>36.807543903356098</v>
      </c>
      <c r="AI3497">
        <v>91.711087597806497</v>
      </c>
      <c r="AJ3497">
        <v>96.327363082338195</v>
      </c>
      <c r="AK3497">
        <v>37.049654040834199</v>
      </c>
      <c r="AL3497">
        <v>90.582802707481207</v>
      </c>
      <c r="AM3497">
        <v>92.0726520641241</v>
      </c>
      <c r="AN3497">
        <v>0.99999992827597095</v>
      </c>
    </row>
    <row r="3498" spans="1:40" x14ac:dyDescent="0.25">
      <c r="A3498" t="str">
        <f>"20190305135900479"</f>
        <v>20190305135900479</v>
      </c>
      <c r="B3498" t="str">
        <f>"1551765540472331"</f>
        <v>1551765540472331</v>
      </c>
      <c r="C3498" t="s">
        <v>40</v>
      </c>
      <c r="D3498">
        <v>4.5748280000000001</v>
      </c>
      <c r="E3498">
        <v>0.47405360000000002</v>
      </c>
      <c r="F3498" t="s">
        <v>79</v>
      </c>
      <c r="G3498">
        <v>-181.94069999999999</v>
      </c>
      <c r="H3498" s="1">
        <v>-1.151766E-5</v>
      </c>
      <c r="I3498">
        <v>149.8236</v>
      </c>
      <c r="J3498">
        <v>-187.9451</v>
      </c>
      <c r="K3498">
        <v>1.1063229999999999</v>
      </c>
      <c r="L3498">
        <v>186.37989999999999</v>
      </c>
      <c r="M3498">
        <v>5.5281749999999998E-2</v>
      </c>
      <c r="N3498">
        <v>-1.3498349999999999E-2</v>
      </c>
      <c r="O3498">
        <v>-0.99837960000000003</v>
      </c>
      <c r="P3498">
        <v>8.7047749999999993E-2</v>
      </c>
      <c r="Q3498">
        <v>-2.379709E-2</v>
      </c>
      <c r="R3498">
        <v>-0.99591989999999997</v>
      </c>
      <c r="S3498">
        <v>0.48574830000000002</v>
      </c>
      <c r="T3498">
        <v>-8.9406730000000004E-2</v>
      </c>
      <c r="U3498">
        <v>-2.966278</v>
      </c>
      <c r="V3498">
        <v>-3.1924180000000003E-2</v>
      </c>
      <c r="W3498">
        <v>-1.008567E-2</v>
      </c>
      <c r="X3498">
        <v>0.99943939999999998</v>
      </c>
      <c r="Y3498">
        <v>-0.1067446</v>
      </c>
      <c r="Z3498">
        <v>1.633977E-2</v>
      </c>
      <c r="AA3498">
        <v>0.99415220000000004</v>
      </c>
      <c r="AB3498">
        <v>26</v>
      </c>
      <c r="AC3498">
        <v>6.0044000000000004</v>
      </c>
      <c r="AD3498">
        <v>-1.1063345176599999</v>
      </c>
      <c r="AE3498">
        <v>-36.556299999999901</v>
      </c>
      <c r="AF3498">
        <v>-3.9705949617184202</v>
      </c>
      <c r="AG3498">
        <v>-1.1063345176599999</v>
      </c>
      <c r="AH3498">
        <v>36.799532380922102</v>
      </c>
      <c r="AI3498">
        <v>91.712080132495203</v>
      </c>
      <c r="AJ3498">
        <v>96.158274077830399</v>
      </c>
      <c r="AK3498">
        <v>37.029652764636097</v>
      </c>
      <c r="AL3498">
        <v>90.577876125228102</v>
      </c>
      <c r="AM3498">
        <v>91.829524708425595</v>
      </c>
      <c r="AN3498">
        <v>0.99999999414019003</v>
      </c>
    </row>
    <row r="3499" spans="1:40" x14ac:dyDescent="0.25">
      <c r="A3499" t="str">
        <f>"20190305135900492"</f>
        <v>20190305135900492</v>
      </c>
      <c r="B3499" t="str">
        <f>"1551765540482091"</f>
        <v>1551765540482091</v>
      </c>
      <c r="C3499" t="s">
        <v>40</v>
      </c>
      <c r="D3499">
        <v>4.2384979999999999</v>
      </c>
      <c r="E3499">
        <v>0.53065960000000001</v>
      </c>
      <c r="F3499" t="s">
        <v>79</v>
      </c>
      <c r="G3499">
        <v>-182.15049999999999</v>
      </c>
      <c r="H3499" s="1">
        <v>-1.141646E-5</v>
      </c>
      <c r="I3499">
        <v>149.48670000000001</v>
      </c>
      <c r="J3499">
        <v>-187.93899999999999</v>
      </c>
      <c r="K3499">
        <v>1.1063689999999999</v>
      </c>
      <c r="L3499">
        <v>186.2208</v>
      </c>
      <c r="M3499">
        <v>5.2893799999999998E-2</v>
      </c>
      <c r="N3499">
        <v>-1.349613E-2</v>
      </c>
      <c r="O3499">
        <v>-0.99850899999999998</v>
      </c>
      <c r="P3499">
        <v>8.0532300000000001E-2</v>
      </c>
      <c r="Q3499">
        <v>-2.354328E-2</v>
      </c>
      <c r="R3499">
        <v>-0.99647399999999997</v>
      </c>
      <c r="S3499">
        <v>0.46638489999999999</v>
      </c>
      <c r="T3499">
        <v>-8.9044570000000003E-2</v>
      </c>
      <c r="U3499">
        <v>-2.9693909999999999</v>
      </c>
      <c r="V3499">
        <v>-2.777543E-2</v>
      </c>
      <c r="W3499">
        <v>-9.8644140000000002E-3</v>
      </c>
      <c r="X3499">
        <v>0.9995655</v>
      </c>
      <c r="Y3499">
        <v>-0.1026367</v>
      </c>
      <c r="Z3499">
        <v>1.621322E-2</v>
      </c>
      <c r="AA3499">
        <v>0.99458679999999999</v>
      </c>
      <c r="AB3499">
        <v>26</v>
      </c>
      <c r="AC3499">
        <v>5.7885000000000204</v>
      </c>
      <c r="AD3499">
        <v>-1.10638041646</v>
      </c>
      <c r="AE3499">
        <v>-36.734099999999899</v>
      </c>
      <c r="AF3499">
        <v>-3.8338189409500001</v>
      </c>
      <c r="AG3499">
        <v>-1.10638041646</v>
      </c>
      <c r="AH3499">
        <v>36.956159957291803</v>
      </c>
      <c r="AI3499">
        <v>91.705640591591006</v>
      </c>
      <c r="AJ3499">
        <v>95.922658120790899</v>
      </c>
      <c r="AK3499">
        <v>37.170956459134203</v>
      </c>
      <c r="AL3499">
        <v>90.565198464573101</v>
      </c>
      <c r="AM3499">
        <v>91.591697093993005</v>
      </c>
      <c r="AN3499">
        <v>0.999999984982749</v>
      </c>
    </row>
    <row r="3500" spans="1:40" x14ac:dyDescent="0.25">
      <c r="A3500" t="str">
        <f>"20190305135900504"</f>
        <v>20190305135900504</v>
      </c>
      <c r="B3500" t="str">
        <f>"1551765540492827"</f>
        <v>1551765540492827</v>
      </c>
      <c r="C3500" t="s">
        <v>40</v>
      </c>
      <c r="D3500">
        <v>4.194496</v>
      </c>
      <c r="E3500">
        <v>0.53065960000000001</v>
      </c>
      <c r="F3500" t="s">
        <v>42</v>
      </c>
      <c r="G3500">
        <v>-187.99619999999999</v>
      </c>
      <c r="H3500" s="1">
        <v>-8.305565E-7</v>
      </c>
      <c r="I3500">
        <v>160.41890000000001</v>
      </c>
      <c r="J3500">
        <v>-187.9341</v>
      </c>
      <c r="K3500">
        <v>1.1064130000000001</v>
      </c>
      <c r="L3500">
        <v>186.0873</v>
      </c>
      <c r="M3500">
        <v>5.0914000000000001E-2</v>
      </c>
      <c r="N3500">
        <v>-1.349418E-2</v>
      </c>
      <c r="O3500">
        <v>-0.9986119</v>
      </c>
      <c r="P3500">
        <v>7.372107E-2</v>
      </c>
      <c r="Q3500">
        <v>-2.3372270000000001E-2</v>
      </c>
      <c r="R3500">
        <v>-0.99700520000000004</v>
      </c>
      <c r="S3500">
        <v>-6.6680910000000001E-3</v>
      </c>
      <c r="T3500">
        <v>-0.1289864</v>
      </c>
      <c r="U3500">
        <v>-3.0081180000000001</v>
      </c>
      <c r="V3500">
        <v>-2.2924969999999999E-2</v>
      </c>
      <c r="W3500">
        <v>-9.7290320000000003E-3</v>
      </c>
      <c r="X3500">
        <v>0.99968990000000002</v>
      </c>
      <c r="Y3500">
        <v>5.3111150000000003E-2</v>
      </c>
      <c r="Z3500">
        <v>2.923999E-2</v>
      </c>
      <c r="AA3500">
        <v>0.99816039999999995</v>
      </c>
      <c r="AB3500">
        <v>26</v>
      </c>
      <c r="AC3500">
        <v>-6.2099999999986701E-2</v>
      </c>
      <c r="AD3500">
        <v>-1.1064138305565001</v>
      </c>
      <c r="AE3500">
        <v>-25.668399999999899</v>
      </c>
      <c r="AF3500">
        <v>1.3664804704668601</v>
      </c>
      <c r="AG3500">
        <v>-1.1064138305565001</v>
      </c>
      <c r="AH3500">
        <v>25.584406370960401</v>
      </c>
      <c r="AI3500">
        <v>92.472729219074793</v>
      </c>
      <c r="AJ3500">
        <v>86.942698594630102</v>
      </c>
      <c r="AK3500">
        <v>25.644751310844299</v>
      </c>
      <c r="AL3500">
        <v>90.557441237476795</v>
      </c>
      <c r="AM3500">
        <v>91.313681222981501</v>
      </c>
      <c r="AN3500">
        <v>1.00000005223758</v>
      </c>
    </row>
    <row r="3501" spans="1:40" x14ac:dyDescent="0.25">
      <c r="A3501" t="str">
        <f>"20190305135900522"</f>
        <v>20190305135900522</v>
      </c>
      <c r="B3501" t="str">
        <f>"1551765540512347"</f>
        <v>1551765540512347</v>
      </c>
      <c r="C3501" t="s">
        <v>40</v>
      </c>
      <c r="D3501">
        <v>4.4018379999999997</v>
      </c>
      <c r="E3501">
        <v>0.60483219999999904</v>
      </c>
      <c r="F3501" t="s">
        <v>42</v>
      </c>
      <c r="G3501">
        <v>-188.16810000000001</v>
      </c>
      <c r="H3501" s="1">
        <v>-6.9557769999999995E-7</v>
      </c>
      <c r="I3501">
        <v>160.1865</v>
      </c>
      <c r="J3501">
        <v>-187.92699999999999</v>
      </c>
      <c r="K3501">
        <v>1.1064889999999901</v>
      </c>
      <c r="L3501">
        <v>185.8827</v>
      </c>
      <c r="M3501">
        <v>4.7924809999999998E-2</v>
      </c>
      <c r="N3501">
        <v>-1.349097E-2</v>
      </c>
      <c r="O3501">
        <v>-0.99875999999999998</v>
      </c>
      <c r="P3501">
        <v>6.1561419999999999E-2</v>
      </c>
      <c r="Q3501">
        <v>-2.168409E-2</v>
      </c>
      <c r="R3501">
        <v>-0.99786779999999997</v>
      </c>
      <c r="S3501">
        <v>-2.7175899999999999E-2</v>
      </c>
      <c r="T3501">
        <v>-0.12849340000000001</v>
      </c>
      <c r="U3501">
        <v>-3.0079959999999999</v>
      </c>
      <c r="V3501">
        <v>-1.371755E-2</v>
      </c>
      <c r="W3501">
        <v>-8.1054500000000002E-3</v>
      </c>
      <c r="X3501">
        <v>0.99987300000000001</v>
      </c>
      <c r="Y3501">
        <v>5.692556E-2</v>
      </c>
      <c r="Z3501">
        <v>2.9083870000000001E-2</v>
      </c>
      <c r="AA3501">
        <v>0.99795469999999997</v>
      </c>
      <c r="AB3501">
        <v>26</v>
      </c>
      <c r="AC3501">
        <v>-0.24109999999998799</v>
      </c>
      <c r="AD3501">
        <v>-1.1064896955776999</v>
      </c>
      <c r="AE3501">
        <v>-25.696200000000001</v>
      </c>
      <c r="AF3501">
        <v>1.46969542411614</v>
      </c>
      <c r="AG3501">
        <v>-1.1064896955776999</v>
      </c>
      <c r="AH3501">
        <v>25.607635055345799</v>
      </c>
      <c r="AI3501">
        <v>92.470115500717398</v>
      </c>
      <c r="AJ3501">
        <v>86.715234768888195</v>
      </c>
      <c r="AK3501">
        <v>25.673630386329499</v>
      </c>
      <c r="AL3501">
        <v>90.464413187901798</v>
      </c>
      <c r="AM3501">
        <v>90.786008238153102</v>
      </c>
      <c r="AN3501">
        <v>0.99999994281335003</v>
      </c>
    </row>
    <row r="3502" spans="1:40" x14ac:dyDescent="0.25">
      <c r="A3502" t="str">
        <f>"20190305135900534"</f>
        <v>20190305135900534</v>
      </c>
      <c r="B3502" t="str">
        <f>"1551765540532843"</f>
        <v>1551765540532843</v>
      </c>
      <c r="C3502" t="s">
        <v>40</v>
      </c>
      <c r="D3502">
        <v>4.3845749999999999</v>
      </c>
      <c r="E3502">
        <v>0.67678450000000001</v>
      </c>
      <c r="F3502" t="s">
        <v>79</v>
      </c>
      <c r="G3502">
        <v>-194.10079999999999</v>
      </c>
      <c r="H3502" s="1">
        <v>-1.4304850000000001E-5</v>
      </c>
      <c r="I3502">
        <v>157.1918</v>
      </c>
      <c r="J3502">
        <v>-187.922</v>
      </c>
      <c r="K3502">
        <v>1.106544</v>
      </c>
      <c r="L3502">
        <v>185.7268</v>
      </c>
      <c r="M3502">
        <v>4.5695409999999999E-2</v>
      </c>
      <c r="N3502">
        <v>-1.348836E-2</v>
      </c>
      <c r="O3502">
        <v>-0.99886459999999999</v>
      </c>
      <c r="P3502">
        <v>5.4770300000000001E-2</v>
      </c>
      <c r="Q3502">
        <v>-2.059944E-2</v>
      </c>
      <c r="R3502">
        <v>-0.99828669999999997</v>
      </c>
      <c r="S3502">
        <v>-0.65507510000000002</v>
      </c>
      <c r="T3502">
        <v>-0.1174071</v>
      </c>
      <c r="U3502">
        <v>-3.0442809999999998</v>
      </c>
      <c r="V3502">
        <v>-9.1375780000000004E-3</v>
      </c>
      <c r="W3502">
        <v>-7.053681E-3</v>
      </c>
      <c r="X3502">
        <v>0.99993339999999997</v>
      </c>
      <c r="Y3502">
        <v>0.25467669999999998</v>
      </c>
      <c r="Z3502">
        <v>2.3866720000000001E-2</v>
      </c>
      <c r="AA3502">
        <v>0.96673169999999997</v>
      </c>
      <c r="AB3502">
        <v>26</v>
      </c>
      <c r="AC3502">
        <v>-6.1787999999999901</v>
      </c>
      <c r="AD3502">
        <v>-1.1065583048500001</v>
      </c>
      <c r="AE3502">
        <v>-28.535</v>
      </c>
      <c r="AF3502">
        <v>7.4656572985029603</v>
      </c>
      <c r="AG3502">
        <v>-1.1065583048500001</v>
      </c>
      <c r="AH3502">
        <v>28.1823363047674</v>
      </c>
      <c r="AI3502">
        <v>92.173622566264896</v>
      </c>
      <c r="AJ3502">
        <v>75.162829555545599</v>
      </c>
      <c r="AK3502">
        <v>29.1754107044911</v>
      </c>
      <c r="AL3502">
        <v>90.404149491799998</v>
      </c>
      <c r="AM3502">
        <v>90.523564951408204</v>
      </c>
      <c r="AN3502">
        <v>1.00000002709145</v>
      </c>
    </row>
    <row r="3503" spans="1:40" x14ac:dyDescent="0.25">
      <c r="A3503" t="str">
        <f>"20190305135900549"</f>
        <v>20190305135900549</v>
      </c>
      <c r="B3503" t="str">
        <f>"1551765540542603"</f>
        <v>1551765540542603</v>
      </c>
      <c r="C3503" t="s">
        <v>40</v>
      </c>
      <c r="D3503">
        <v>4.3464710000000002</v>
      </c>
      <c r="E3503">
        <v>0.67797059999999998</v>
      </c>
      <c r="F3503" t="s">
        <v>42</v>
      </c>
      <c r="G3503">
        <v>-196.4401</v>
      </c>
      <c r="H3503" s="1">
        <v>-4.0490450000000003E-6</v>
      </c>
      <c r="I3503">
        <v>164.8553</v>
      </c>
      <c r="J3503">
        <v>-187.91739999999999</v>
      </c>
      <c r="K3503">
        <v>1.106598</v>
      </c>
      <c r="L3503">
        <v>185.57140000000001</v>
      </c>
      <c r="M3503">
        <v>4.3514659999999997E-2</v>
      </c>
      <c r="N3503">
        <v>-1.3485469999999999E-2</v>
      </c>
      <c r="O3503">
        <v>-0.99896189999999996</v>
      </c>
      <c r="P3503">
        <v>4.7991760000000001E-2</v>
      </c>
      <c r="Q3503">
        <v>-1.9806589999999999E-2</v>
      </c>
      <c r="R3503">
        <v>-0.99865170000000003</v>
      </c>
      <c r="S3503">
        <v>-1.2531429999999999</v>
      </c>
      <c r="T3503">
        <v>-0.16279170000000001</v>
      </c>
      <c r="U3503">
        <v>-3.070557</v>
      </c>
      <c r="V3503">
        <v>-4.5263350000000003E-3</v>
      </c>
      <c r="W3503">
        <v>-6.2934640000000003E-3</v>
      </c>
      <c r="X3503">
        <v>0.99997000000000003</v>
      </c>
      <c r="Y3503">
        <v>0.41739159999999997</v>
      </c>
      <c r="Z3503">
        <v>3.492634E-2</v>
      </c>
      <c r="AA3503">
        <v>0.90805530000000001</v>
      </c>
      <c r="AB3503">
        <v>26</v>
      </c>
      <c r="AC3503">
        <v>-8.5227000000000093</v>
      </c>
      <c r="AD3503">
        <v>-1.1066020490449999</v>
      </c>
      <c r="AE3503">
        <v>-20.716100000000001</v>
      </c>
      <c r="AF3503">
        <v>9.3932385356411103</v>
      </c>
      <c r="AG3503">
        <v>-1.1066020490449999</v>
      </c>
      <c r="AH3503">
        <v>20.276096376983599</v>
      </c>
      <c r="AI3503">
        <v>92.835016775182496</v>
      </c>
      <c r="AJ3503">
        <v>65.143285379060501</v>
      </c>
      <c r="AK3503">
        <v>22.373591186287701</v>
      </c>
      <c r="AL3503">
        <v>90.360591288746605</v>
      </c>
      <c r="AM3503">
        <v>90.259345901361499</v>
      </c>
      <c r="AN3503">
        <v>1.00000004814882</v>
      </c>
    </row>
    <row r="3504" spans="1:40" x14ac:dyDescent="0.25">
      <c r="A3504" t="str">
        <f>"20190305135900567"</f>
        <v>20190305135900567</v>
      </c>
      <c r="B3504" t="str">
        <f>"1551765540562123"</f>
        <v>1551765540562123</v>
      </c>
      <c r="C3504" t="s">
        <v>40</v>
      </c>
      <c r="D3504">
        <v>4.3559809999999999</v>
      </c>
      <c r="E3504">
        <v>0.67559669999999905</v>
      </c>
      <c r="F3504" t="s">
        <v>42</v>
      </c>
      <c r="G3504">
        <v>-195.4298</v>
      </c>
      <c r="H3504" s="1">
        <v>-4.9527190000000003E-6</v>
      </c>
      <c r="I3504">
        <v>167.67509999999999</v>
      </c>
      <c r="J3504">
        <v>-187.9117</v>
      </c>
      <c r="K3504">
        <v>1.1066750000000001</v>
      </c>
      <c r="L3504">
        <v>185.36770000000001</v>
      </c>
      <c r="M3504">
        <v>4.0711919999999999E-2</v>
      </c>
      <c r="N3504">
        <v>-1.3481450000000001E-2</v>
      </c>
      <c r="O3504">
        <v>-0.99908010000000003</v>
      </c>
      <c r="P3504">
        <v>3.5848709999999999E-2</v>
      </c>
      <c r="Q3504">
        <v>-1.8633690000000001E-2</v>
      </c>
      <c r="R3504">
        <v>-0.99918359999999995</v>
      </c>
      <c r="S3504">
        <v>-1.285385</v>
      </c>
      <c r="T3504">
        <v>-0.1893407</v>
      </c>
      <c r="U3504">
        <v>-3.0620569999999998</v>
      </c>
      <c r="V3504">
        <v>4.8313469999999997E-3</v>
      </c>
      <c r="W3504">
        <v>-5.1831000000000004E-3</v>
      </c>
      <c r="X3504">
        <v>0.9999749</v>
      </c>
      <c r="Y3504">
        <v>0.42372910000000003</v>
      </c>
      <c r="Z3504">
        <v>4.2785719999999999E-2</v>
      </c>
      <c r="AA3504">
        <v>0.90477790000000002</v>
      </c>
      <c r="AB3504">
        <v>26</v>
      </c>
      <c r="AC3504">
        <v>-7.5180999999999996</v>
      </c>
      <c r="AD3504">
        <v>-1.1066799527189899</v>
      </c>
      <c r="AE3504">
        <v>-17.692599999999999</v>
      </c>
      <c r="AF3504">
        <v>8.20503824414733</v>
      </c>
      <c r="AG3504">
        <v>-1.1066799527189899</v>
      </c>
      <c r="AH3504">
        <v>17.314442296784701</v>
      </c>
      <c r="AI3504">
        <v>93.305695079240195</v>
      </c>
      <c r="AJ3504">
        <v>64.644472564095693</v>
      </c>
      <c r="AK3504">
        <v>19.192115702922301</v>
      </c>
      <c r="AL3504">
        <v>90.296971083419194</v>
      </c>
      <c r="AM3504">
        <v>89.723179413221501</v>
      </c>
      <c r="AN3504">
        <v>1.0000000035347201</v>
      </c>
    </row>
    <row r="3505" spans="1:40" x14ac:dyDescent="0.25">
      <c r="A3505" t="str">
        <f>"20190305135900590"</f>
        <v>20190305135900590</v>
      </c>
      <c r="B3505" t="str">
        <f>"1551765540582619"</f>
        <v>1551765540582619</v>
      </c>
      <c r="C3505" t="s">
        <v>40</v>
      </c>
      <c r="D3505">
        <v>4.3600309999999904</v>
      </c>
      <c r="E3505">
        <v>0.67180719999999905</v>
      </c>
      <c r="F3505" t="s">
        <v>42</v>
      </c>
      <c r="G3505">
        <v>-194.6447</v>
      </c>
      <c r="H3505" s="1">
        <v>-1.267187E-6</v>
      </c>
      <c r="I3505">
        <v>169.66220000000001</v>
      </c>
      <c r="J3505">
        <v>-187.90479999999999</v>
      </c>
      <c r="K3505">
        <v>1.1067720000000001</v>
      </c>
      <c r="L3505">
        <v>185.08860000000001</v>
      </c>
      <c r="M3505">
        <v>3.6986730000000002E-2</v>
      </c>
      <c r="N3505">
        <v>-1.3475350000000001E-2</v>
      </c>
      <c r="O3505">
        <v>-0.99922489999999997</v>
      </c>
      <c r="P3505">
        <v>2.313256E-2</v>
      </c>
      <c r="Q3505">
        <v>-1.6997680000000001E-2</v>
      </c>
      <c r="R3505">
        <v>-0.99958800000000003</v>
      </c>
      <c r="S3505">
        <v>-1.3055110000000001</v>
      </c>
      <c r="T3505">
        <v>-0.214584</v>
      </c>
      <c r="U3505">
        <v>-3.0452880000000002</v>
      </c>
      <c r="V3505">
        <v>1.383679E-2</v>
      </c>
      <c r="W3505">
        <v>-3.606854E-3</v>
      </c>
      <c r="X3505">
        <v>0.99989779999999995</v>
      </c>
      <c r="Y3505">
        <v>0.42702430000000002</v>
      </c>
      <c r="Z3505">
        <v>5.0494410000000003E-2</v>
      </c>
      <c r="AA3505">
        <v>0.9028292</v>
      </c>
      <c r="AB3505">
        <v>26</v>
      </c>
      <c r="AC3505">
        <v>-6.7398999999999996</v>
      </c>
      <c r="AD3505">
        <v>-1.1067732671870001</v>
      </c>
      <c r="AE3505">
        <v>-15.426399999999999</v>
      </c>
      <c r="AF3505">
        <v>7.2744687182693397</v>
      </c>
      <c r="AG3505">
        <v>-1.1067732671870001</v>
      </c>
      <c r="AH3505">
        <v>15.1012606266817</v>
      </c>
      <c r="AI3505">
        <v>93.777674039233801</v>
      </c>
      <c r="AJ3505">
        <v>64.279293496918896</v>
      </c>
      <c r="AK3505">
        <v>16.798539064841499</v>
      </c>
      <c r="AL3505">
        <v>90.206657951689195</v>
      </c>
      <c r="AM3505">
        <v>89.207179904286704</v>
      </c>
      <c r="AN3505">
        <v>1.0000000382990599</v>
      </c>
    </row>
    <row r="3506" spans="1:40" x14ac:dyDescent="0.25">
      <c r="A3506" t="str">
        <f>"20190305135900602"</f>
        <v>20190305135900602</v>
      </c>
      <c r="B3506" t="str">
        <f>"1551765540592379"</f>
        <v>1551765540592379</v>
      </c>
      <c r="C3506" t="s">
        <v>40</v>
      </c>
      <c r="D3506">
        <v>4.4081449999999904</v>
      </c>
      <c r="E3506">
        <v>0.67064089999999998</v>
      </c>
      <c r="F3506" t="s">
        <v>42</v>
      </c>
      <c r="G3506">
        <v>-194.1987</v>
      </c>
      <c r="H3506" s="1">
        <v>-1.5511409999999999E-6</v>
      </c>
      <c r="I3506">
        <v>170.60069999999999</v>
      </c>
      <c r="J3506">
        <v>-187.9016</v>
      </c>
      <c r="K3506">
        <v>1.106822</v>
      </c>
      <c r="L3506">
        <v>184.94739999999999</v>
      </c>
      <c r="M3506">
        <v>3.5148539999999999E-2</v>
      </c>
      <c r="N3506">
        <v>-1.3472100000000001E-2</v>
      </c>
      <c r="O3506">
        <v>-0.99929140000000005</v>
      </c>
      <c r="P3506">
        <v>1.700134E-2</v>
      </c>
      <c r="Q3506">
        <v>-1.5842200000000001E-2</v>
      </c>
      <c r="R3506">
        <v>-0.99972989999999995</v>
      </c>
      <c r="S3506">
        <v>-1.315323</v>
      </c>
      <c r="T3506">
        <v>-0.23129739999999999</v>
      </c>
      <c r="U3506">
        <v>-3.0277250000000002</v>
      </c>
      <c r="V3506">
        <v>1.8137179999999999E-2</v>
      </c>
      <c r="W3506">
        <v>-2.4790530000000002E-3</v>
      </c>
      <c r="X3506">
        <v>0.99983250000000001</v>
      </c>
      <c r="Y3506">
        <v>0.42959029999999998</v>
      </c>
      <c r="Z3506">
        <v>5.5755779999999998E-2</v>
      </c>
      <c r="AA3506">
        <v>0.90130100000000002</v>
      </c>
      <c r="AB3506">
        <v>26</v>
      </c>
      <c r="AC3506">
        <v>-6.2971000000000004</v>
      </c>
      <c r="AD3506">
        <v>-1.1068235511409901</v>
      </c>
      <c r="AE3506">
        <v>-14.346699999999901</v>
      </c>
      <c r="AF3506">
        <v>6.7637654487862902</v>
      </c>
      <c r="AG3506">
        <v>-1.1068235511409901</v>
      </c>
      <c r="AH3506">
        <v>14.046382059078899</v>
      </c>
      <c r="AI3506">
        <v>94.060931773211294</v>
      </c>
      <c r="AJ3506">
        <v>64.287752781584899</v>
      </c>
      <c r="AK3506">
        <v>15.629281185299901</v>
      </c>
      <c r="AL3506">
        <v>90.142039410270399</v>
      </c>
      <c r="AM3506">
        <v>88.960756025086198</v>
      </c>
      <c r="AN3506">
        <v>1.0000000655291801</v>
      </c>
    </row>
    <row r="3507" spans="1:40" x14ac:dyDescent="0.25">
      <c r="A3507" t="str">
        <f>"20190305135900613"</f>
        <v>20190305135900613</v>
      </c>
      <c r="B3507" t="str">
        <f>"1551765540602140"</f>
        <v>1551765540602140</v>
      </c>
      <c r="C3507" t="s">
        <v>40</v>
      </c>
      <c r="D3507">
        <v>4.3696380000000001</v>
      </c>
      <c r="E3507">
        <v>0.66923859999999902</v>
      </c>
      <c r="F3507" t="s">
        <v>42</v>
      </c>
      <c r="G3507">
        <v>-194.15020000000001</v>
      </c>
      <c r="H3507" s="1">
        <v>-1.5829520000000001E-6</v>
      </c>
      <c r="I3507">
        <v>170.70500000000001</v>
      </c>
      <c r="J3507">
        <v>-187.89879999999999</v>
      </c>
      <c r="K3507">
        <v>1.106873</v>
      </c>
      <c r="L3507">
        <v>184.81399999999999</v>
      </c>
      <c r="M3507">
        <v>3.3446490000000002E-2</v>
      </c>
      <c r="N3507">
        <v>-1.3468920000000001E-2</v>
      </c>
      <c r="O3507">
        <v>-0.99934979999999995</v>
      </c>
      <c r="P3507">
        <v>1.104896E-2</v>
      </c>
      <c r="Q3507">
        <v>-1.4900989999999999E-2</v>
      </c>
      <c r="R3507">
        <v>-0.9998283</v>
      </c>
      <c r="S3507">
        <v>-1.3247990000000001</v>
      </c>
      <c r="T3507">
        <v>-0.2346644</v>
      </c>
      <c r="U3507">
        <v>-3.0196230000000002</v>
      </c>
      <c r="V3507">
        <v>2.2392370000000002E-2</v>
      </c>
      <c r="W3507">
        <v>-1.5645779999999901E-3</v>
      </c>
      <c r="X3507">
        <v>0.99974810000000003</v>
      </c>
      <c r="Y3507">
        <v>0.43128070000000002</v>
      </c>
      <c r="Z3507">
        <v>5.687387E-2</v>
      </c>
      <c r="AA3507">
        <v>0.90042339999999998</v>
      </c>
      <c r="AB3507">
        <v>26</v>
      </c>
      <c r="AC3507">
        <v>-6.2514000000000101</v>
      </c>
      <c r="AD3507">
        <v>-1.1068745829519999</v>
      </c>
      <c r="AE3507">
        <v>-14.109</v>
      </c>
      <c r="AF3507">
        <v>6.6854466732471503</v>
      </c>
      <c r="AG3507">
        <v>-1.1068745829519999</v>
      </c>
      <c r="AH3507">
        <v>13.820894452796701</v>
      </c>
      <c r="AI3507">
        <v>94.123624819659796</v>
      </c>
      <c r="AJ3507">
        <v>64.186005147132306</v>
      </c>
      <c r="AK3507">
        <v>15.392774020252601</v>
      </c>
      <c r="AL3507">
        <v>90.089643746883695</v>
      </c>
      <c r="AM3507">
        <v>88.7169029749912</v>
      </c>
      <c r="AN3507">
        <v>1.0000000647960701</v>
      </c>
    </row>
    <row r="3508" spans="1:40" x14ac:dyDescent="0.25">
      <c r="A3508" t="str">
        <f>"20190305135900627"</f>
        <v>20190305135900627</v>
      </c>
      <c r="B3508" t="str">
        <f>"1551765540622635"</f>
        <v>1551765540622635</v>
      </c>
      <c r="C3508" t="s">
        <v>40</v>
      </c>
      <c r="D3508">
        <v>4.4106519999999998</v>
      </c>
      <c r="E3508">
        <v>0.66668260000000001</v>
      </c>
      <c r="F3508" t="s">
        <v>42</v>
      </c>
      <c r="G3508">
        <v>-194.08199999999999</v>
      </c>
      <c r="H3508" s="1">
        <v>-1.6200489999999901E-6</v>
      </c>
      <c r="I3508">
        <v>170.83369999999999</v>
      </c>
      <c r="J3508">
        <v>-187.89599999999999</v>
      </c>
      <c r="K3508">
        <v>1.106927</v>
      </c>
      <c r="L3508">
        <v>184.66540000000001</v>
      </c>
      <c r="M3508">
        <v>3.1593129999999997E-2</v>
      </c>
      <c r="N3508">
        <v>-1.346524E-2</v>
      </c>
      <c r="O3508">
        <v>-0.99941029999999997</v>
      </c>
      <c r="P3508">
        <v>4.7845700000000001E-3</v>
      </c>
      <c r="Q3508">
        <v>-1.364657E-2</v>
      </c>
      <c r="R3508">
        <v>-0.99989550000000005</v>
      </c>
      <c r="S3508">
        <v>-1.3320160000000001</v>
      </c>
      <c r="T3508">
        <v>-0.23844770000000001</v>
      </c>
      <c r="U3508">
        <v>-3.0117029999999998</v>
      </c>
      <c r="V3508">
        <v>2.6809030000000001E-2</v>
      </c>
      <c r="W3508">
        <v>-3.371564E-4</v>
      </c>
      <c r="X3508">
        <v>0.99964050000000004</v>
      </c>
      <c r="Y3508">
        <v>0.43225170000000002</v>
      </c>
      <c r="Z3508">
        <v>5.8139730000000001E-2</v>
      </c>
      <c r="AA3508">
        <v>0.89987680000000003</v>
      </c>
      <c r="AB3508">
        <v>26</v>
      </c>
      <c r="AC3508">
        <v>-6.1859999999999999</v>
      </c>
      <c r="AD3508">
        <v>-1.1069286200489901</v>
      </c>
      <c r="AE3508">
        <v>-13.8317</v>
      </c>
      <c r="AF3508">
        <v>6.5847943924183996</v>
      </c>
      <c r="AG3508">
        <v>-1.1069286200489901</v>
      </c>
      <c r="AH3508">
        <v>13.556987178545</v>
      </c>
      <c r="AI3508">
        <v>94.200543213476394</v>
      </c>
      <c r="AJ3508">
        <v>64.093587582086002</v>
      </c>
      <c r="AK3508">
        <v>15.1121378209552</v>
      </c>
      <c r="AL3508">
        <v>90.019317639440501</v>
      </c>
      <c r="AM3508">
        <v>88.463771557268302</v>
      </c>
      <c r="AN3508">
        <v>0.99999998350211405</v>
      </c>
    </row>
    <row r="3509" spans="1:40" x14ac:dyDescent="0.25">
      <c r="A3509" t="str">
        <f>"20190305135900644"</f>
        <v>20190305135900644</v>
      </c>
      <c r="B3509" t="str">
        <f>"1551765540632395"</f>
        <v>1551765540632395</v>
      </c>
      <c r="C3509" t="s">
        <v>40</v>
      </c>
      <c r="D3509">
        <v>4.4086759999999998</v>
      </c>
      <c r="E3509">
        <v>0.66541790000000001</v>
      </c>
      <c r="F3509" t="s">
        <v>42</v>
      </c>
      <c r="G3509">
        <v>-193.96180000000001</v>
      </c>
      <c r="H3509" s="1">
        <v>-1.6493389999999901E-6</v>
      </c>
      <c r="I3509">
        <v>170.97659999999999</v>
      </c>
      <c r="J3509">
        <v>-187.89240000000001</v>
      </c>
      <c r="K3509">
        <v>1.1070070000000001</v>
      </c>
      <c r="L3509">
        <v>184.46459999999999</v>
      </c>
      <c r="M3509">
        <v>2.915442E-2</v>
      </c>
      <c r="N3509">
        <v>-1.3460089999999999E-2</v>
      </c>
      <c r="O3509">
        <v>-0.99948419999999905</v>
      </c>
      <c r="P3509">
        <v>-6.1296079999999999E-3</v>
      </c>
      <c r="Q3509">
        <v>-1.222577E-2</v>
      </c>
      <c r="R3509">
        <v>-0.99990659999999998</v>
      </c>
      <c r="S3509">
        <v>-1.330856</v>
      </c>
      <c r="T3509">
        <v>-0.24286350000000001</v>
      </c>
      <c r="U3509">
        <v>-3.0033720000000002</v>
      </c>
      <c r="V3509">
        <v>3.5287489999999998E-2</v>
      </c>
      <c r="W3509">
        <v>1.0340849999999999E-3</v>
      </c>
      <c r="X3509">
        <v>0.99937670000000001</v>
      </c>
      <c r="Y3509">
        <v>0.43064400000000003</v>
      </c>
      <c r="Z3509">
        <v>5.970027E-2</v>
      </c>
      <c r="AA3509">
        <v>0.90054519999999905</v>
      </c>
      <c r="AB3509">
        <v>26</v>
      </c>
      <c r="AC3509">
        <v>-6.0693999999999999</v>
      </c>
      <c r="AD3509">
        <v>-1.1070086493389999</v>
      </c>
      <c r="AE3509">
        <v>-13.488</v>
      </c>
      <c r="AF3509">
        <v>6.4241035632093597</v>
      </c>
      <c r="AG3509">
        <v>-1.1070086493389999</v>
      </c>
      <c r="AH3509">
        <v>13.231181321261399</v>
      </c>
      <c r="AI3509">
        <v>94.304214900873703</v>
      </c>
      <c r="AJ3509">
        <v>64.102147695947195</v>
      </c>
      <c r="AK3509">
        <v>14.749872334927099</v>
      </c>
      <c r="AL3509">
        <v>89.940751285201998</v>
      </c>
      <c r="AM3509">
        <v>87.977754903687099</v>
      </c>
      <c r="AN3509">
        <v>1.00000003239258</v>
      </c>
    </row>
    <row r="3510" spans="1:40" x14ac:dyDescent="0.25">
      <c r="A3510" t="str">
        <f>"20190305135900657"</f>
        <v>20190305135900657</v>
      </c>
      <c r="B3510" t="str">
        <f>"1551765540652891"</f>
        <v>1551765540652891</v>
      </c>
      <c r="C3510" t="s">
        <v>40</v>
      </c>
      <c r="D3510">
        <v>4.4245999999999999</v>
      </c>
      <c r="E3510">
        <v>0.66281319999999999</v>
      </c>
      <c r="F3510" t="s">
        <v>42</v>
      </c>
      <c r="G3510">
        <v>-194.06399999999999</v>
      </c>
      <c r="H3510" s="1">
        <v>-1.616114E-6</v>
      </c>
      <c r="I3510">
        <v>170.8357</v>
      </c>
      <c r="J3510">
        <v>-187.88980000000001</v>
      </c>
      <c r="K3510">
        <v>1.107075</v>
      </c>
      <c r="L3510">
        <v>184.303</v>
      </c>
      <c r="M3510">
        <v>2.7245399999999999E-2</v>
      </c>
      <c r="N3510">
        <v>-1.3455780000000001E-2</v>
      </c>
      <c r="O3510">
        <v>-0.99953840000000005</v>
      </c>
      <c r="P3510">
        <v>-1.249312E-2</v>
      </c>
      <c r="Q3510">
        <v>-1.1470859999999999E-2</v>
      </c>
      <c r="R3510">
        <v>-0.99985639999999998</v>
      </c>
      <c r="S3510">
        <v>-1.3534999999999999</v>
      </c>
      <c r="T3510">
        <v>-0.24278150000000001</v>
      </c>
      <c r="U3510">
        <v>-2.988998</v>
      </c>
      <c r="V3510">
        <v>3.9742310000000003E-2</v>
      </c>
      <c r="W3510">
        <v>1.7645989999999999E-3</v>
      </c>
      <c r="X3510">
        <v>0.9992084</v>
      </c>
      <c r="Y3510">
        <v>0.4361872</v>
      </c>
      <c r="Z3510">
        <v>5.9799049999999999E-2</v>
      </c>
      <c r="AA3510">
        <v>0.89786679999999996</v>
      </c>
      <c r="AB3510">
        <v>26</v>
      </c>
      <c r="AC3510">
        <v>-6.1742000000000097</v>
      </c>
      <c r="AD3510">
        <v>-1.107076616114</v>
      </c>
      <c r="AE3510">
        <v>-13.4672999999999</v>
      </c>
      <c r="AF3510">
        <v>6.5025526633784203</v>
      </c>
      <c r="AG3510">
        <v>-1.107076616114</v>
      </c>
      <c r="AH3510">
        <v>13.2202445574114</v>
      </c>
      <c r="AI3510">
        <v>94.297312459133806</v>
      </c>
      <c r="AJ3510">
        <v>63.8091217597092</v>
      </c>
      <c r="AK3510">
        <v>14.7744264163358</v>
      </c>
      <c r="AL3510">
        <v>89.8988958718747</v>
      </c>
      <c r="AM3510">
        <v>87.722329965679194</v>
      </c>
      <c r="AN3510">
        <v>0.99999999582216303</v>
      </c>
    </row>
    <row r="3511" spans="1:40" x14ac:dyDescent="0.25">
      <c r="A3511" t="str">
        <f>"20190305135900670"</f>
        <v>20190305135900670</v>
      </c>
      <c r="B3511" t="str">
        <f>"1551765540662651"</f>
        <v>1551765540662651</v>
      </c>
      <c r="C3511" t="s">
        <v>40</v>
      </c>
      <c r="D3511">
        <v>4.4346819999999996</v>
      </c>
      <c r="E3511">
        <v>0.66150600000000004</v>
      </c>
      <c r="F3511" t="s">
        <v>42</v>
      </c>
      <c r="G3511">
        <v>-193.9436</v>
      </c>
      <c r="H3511" s="1">
        <v>-1.635668E-6</v>
      </c>
      <c r="I3511">
        <v>170.95599999999999</v>
      </c>
      <c r="J3511">
        <v>-187.8879</v>
      </c>
      <c r="K3511">
        <v>1.107132</v>
      </c>
      <c r="L3511">
        <v>184.16550000000001</v>
      </c>
      <c r="M3511">
        <v>2.568819E-2</v>
      </c>
      <c r="N3511">
        <v>-1.345178E-2</v>
      </c>
      <c r="O3511">
        <v>-0.99957949999999995</v>
      </c>
      <c r="P3511">
        <v>-1.8957040000000001E-2</v>
      </c>
      <c r="Q3511">
        <v>-1.103373E-2</v>
      </c>
      <c r="R3511">
        <v>-0.99975950000000002</v>
      </c>
      <c r="S3511">
        <v>-1.3519589999999999</v>
      </c>
      <c r="T3511">
        <v>-0.2472384</v>
      </c>
      <c r="U3511">
        <v>-2.980728</v>
      </c>
      <c r="V3511">
        <v>4.4646909999999998E-2</v>
      </c>
      <c r="W3511">
        <v>2.1751549999999998E-3</v>
      </c>
      <c r="X3511">
        <v>0.99900049999999996</v>
      </c>
      <c r="Y3511">
        <v>0.43529370000000001</v>
      </c>
      <c r="Z3511">
        <v>6.1363380000000002E-2</v>
      </c>
      <c r="AA3511">
        <v>0.89819479999999996</v>
      </c>
      <c r="AB3511">
        <v>26</v>
      </c>
      <c r="AC3511">
        <v>-6.0556999999999999</v>
      </c>
      <c r="AD3511">
        <v>-1.1071336356679999</v>
      </c>
      <c r="AE3511">
        <v>-13.2095</v>
      </c>
      <c r="AF3511">
        <v>6.3561641868065903</v>
      </c>
      <c r="AG3511">
        <v>-1.1071336356679999</v>
      </c>
      <c r="AH3511">
        <v>12.9742537823004</v>
      </c>
      <c r="AI3511">
        <v>94.382078169755403</v>
      </c>
      <c r="AJ3511">
        <v>63.899491281025597</v>
      </c>
      <c r="AK3511">
        <v>14.4899216445226</v>
      </c>
      <c r="AL3511">
        <v>89.875372705228401</v>
      </c>
      <c r="AM3511">
        <v>87.441063909802594</v>
      </c>
      <c r="AN3511">
        <v>1.0000000384360299</v>
      </c>
    </row>
    <row r="3512" spans="1:40" x14ac:dyDescent="0.25">
      <c r="A3512" t="str">
        <f>"20190305135900683"</f>
        <v>20190305135900683</v>
      </c>
      <c r="B3512" t="str">
        <f>"1551765540672411"</f>
        <v>1551765540672411</v>
      </c>
      <c r="C3512" t="s">
        <v>40</v>
      </c>
      <c r="D3512">
        <v>4.4424199999999896</v>
      </c>
      <c r="E3512">
        <v>0.66025769999999995</v>
      </c>
      <c r="F3512" t="s">
        <v>42</v>
      </c>
      <c r="G3512">
        <v>-193.90090000000001</v>
      </c>
      <c r="H3512" s="1">
        <v>-1.657507E-6</v>
      </c>
      <c r="I3512">
        <v>171.0334</v>
      </c>
      <c r="J3512">
        <v>-187.88589999999999</v>
      </c>
      <c r="K3512">
        <v>1.107197</v>
      </c>
      <c r="L3512">
        <v>184.01220000000001</v>
      </c>
      <c r="M3512">
        <v>2.3984950000000001E-2</v>
      </c>
      <c r="N3512">
        <v>-1.344739E-2</v>
      </c>
      <c r="O3512">
        <v>-0.99962200000000001</v>
      </c>
      <c r="P3512">
        <v>-2.5594229999999999E-2</v>
      </c>
      <c r="Q3512">
        <v>-1.1079169999999999E-2</v>
      </c>
      <c r="R3512">
        <v>-0.99961100000000003</v>
      </c>
      <c r="S3512">
        <v>-1.360886</v>
      </c>
      <c r="T3512">
        <v>-0.25057279999999998</v>
      </c>
      <c r="U3512">
        <v>-2.972137</v>
      </c>
      <c r="V3512">
        <v>4.957574E-2</v>
      </c>
      <c r="W3512">
        <v>2.1050600000000002E-3</v>
      </c>
      <c r="X3512">
        <v>0.99876819999999999</v>
      </c>
      <c r="Y3512">
        <v>0.43693490000000001</v>
      </c>
      <c r="Z3512">
        <v>6.2503230000000007E-2</v>
      </c>
      <c r="AA3512">
        <v>0.89731890000000003</v>
      </c>
      <c r="AB3512">
        <v>26</v>
      </c>
      <c r="AC3512">
        <v>-6.0150000000000103</v>
      </c>
      <c r="AD3512">
        <v>-1.1071986575069901</v>
      </c>
      <c r="AE3512">
        <v>-12.9788</v>
      </c>
      <c r="AF3512">
        <v>6.2869296972384197</v>
      </c>
      <c r="AG3512">
        <v>-1.1071986575069901</v>
      </c>
      <c r="AH3512">
        <v>12.754374507547899</v>
      </c>
      <c r="AI3512">
        <v>94.452282450886003</v>
      </c>
      <c r="AJ3512">
        <v>63.760233371477497</v>
      </c>
      <c r="AK3512">
        <v>14.262729155529501</v>
      </c>
      <c r="AL3512">
        <v>89.879388863488799</v>
      </c>
      <c r="AM3512">
        <v>87.158348353891</v>
      </c>
      <c r="AN3512">
        <v>1.0000000513026901</v>
      </c>
    </row>
    <row r="3513" spans="1:40" x14ac:dyDescent="0.25">
      <c r="A3513" t="str">
        <f>"20190305135900700"</f>
        <v>20190305135900700</v>
      </c>
      <c r="B3513" t="str">
        <f>"1551765540692906"</f>
        <v>1551765540692906</v>
      </c>
      <c r="C3513" t="s">
        <v>40</v>
      </c>
      <c r="D3513">
        <v>4.4401859999999997</v>
      </c>
      <c r="E3513">
        <v>0.65772540000000002</v>
      </c>
      <c r="F3513" t="s">
        <v>42</v>
      </c>
      <c r="G3513">
        <v>-193.87090000000001</v>
      </c>
      <c r="H3513" s="1">
        <v>-1.6671159999999999E-6</v>
      </c>
      <c r="I3513">
        <v>171.0744</v>
      </c>
      <c r="J3513">
        <v>-187.8836</v>
      </c>
      <c r="K3513">
        <v>1.107289</v>
      </c>
      <c r="L3513">
        <v>183.81100000000001</v>
      </c>
      <c r="M3513">
        <v>2.1833789999999999E-2</v>
      </c>
      <c r="N3513">
        <v>-1.344158E-2</v>
      </c>
      <c r="O3513">
        <v>-0.99967130000000004</v>
      </c>
      <c r="P3513">
        <v>-3.6941549999999997E-2</v>
      </c>
      <c r="Q3513">
        <v>-1.148972E-2</v>
      </c>
      <c r="R3513">
        <v>-0.99925160000000002</v>
      </c>
      <c r="S3513">
        <v>-1.370789</v>
      </c>
      <c r="T3513">
        <v>-0.25359029999999999</v>
      </c>
      <c r="U3513">
        <v>-2.963257</v>
      </c>
      <c r="V3513">
        <v>5.8760680000000003E-2</v>
      </c>
      <c r="W3513">
        <v>1.649204E-3</v>
      </c>
      <c r="X3513">
        <v>0.99827080000000001</v>
      </c>
      <c r="Y3513">
        <v>0.43845879999999998</v>
      </c>
      <c r="Z3513">
        <v>6.3558009999999998E-2</v>
      </c>
      <c r="AA3513">
        <v>0.89650110000000005</v>
      </c>
      <c r="AB3513">
        <v>26</v>
      </c>
      <c r="AC3513">
        <v>-5.9873000000000003</v>
      </c>
      <c r="AD3513">
        <v>-1.1072906671160001</v>
      </c>
      <c r="AE3513">
        <v>-12.7365999999999</v>
      </c>
      <c r="AF3513">
        <v>6.2254488084056696</v>
      </c>
      <c r="AG3513">
        <v>-1.1072906671160001</v>
      </c>
      <c r="AH3513">
        <v>12.525291440463899</v>
      </c>
      <c r="AI3513">
        <v>94.5263861146897</v>
      </c>
      <c r="AJ3513">
        <v>63.571233506373702</v>
      </c>
      <c r="AK3513">
        <v>14.0308670849709</v>
      </c>
      <c r="AL3513">
        <v>89.905507534434093</v>
      </c>
      <c r="AM3513">
        <v>86.631316190795005</v>
      </c>
      <c r="AN3513">
        <v>1.00000006376026</v>
      </c>
    </row>
    <row r="3514" spans="1:40" x14ac:dyDescent="0.25">
      <c r="A3514" t="str">
        <f>"20190305135900712"</f>
        <v>20190305135900712</v>
      </c>
      <c r="B3514" t="str">
        <f>"1551765540702667"</f>
        <v>1551765540702667</v>
      </c>
      <c r="C3514" t="s">
        <v>40</v>
      </c>
      <c r="D3514">
        <v>4.439095</v>
      </c>
      <c r="E3514">
        <v>0.65772540000000002</v>
      </c>
      <c r="F3514" t="s">
        <v>42</v>
      </c>
      <c r="G3514">
        <v>-193.76679999999999</v>
      </c>
      <c r="H3514" s="1">
        <v>-1.728742E-6</v>
      </c>
      <c r="I3514">
        <v>171.2825</v>
      </c>
      <c r="J3514">
        <v>-187.88210000000001</v>
      </c>
      <c r="K3514">
        <v>1.1073519999999999</v>
      </c>
      <c r="L3514">
        <v>183.66640000000001</v>
      </c>
      <c r="M3514">
        <v>2.03518E-2</v>
      </c>
      <c r="N3514">
        <v>-1.3437360000000001E-2</v>
      </c>
      <c r="O3514">
        <v>-0.9997028</v>
      </c>
      <c r="P3514">
        <v>-4.2689209999999998E-2</v>
      </c>
      <c r="Q3514">
        <v>-1.2071709999999999E-2</v>
      </c>
      <c r="R3514">
        <v>-0.99901580000000001</v>
      </c>
      <c r="S3514">
        <v>-1.3843840000000001</v>
      </c>
      <c r="T3514">
        <v>-0.26055630000000002</v>
      </c>
      <c r="U3514">
        <v>-2.9480740000000001</v>
      </c>
      <c r="V3514">
        <v>6.3019469999999994E-2</v>
      </c>
      <c r="W3514">
        <v>1.048867E-3</v>
      </c>
      <c r="X3514">
        <v>0.9980118</v>
      </c>
      <c r="Y3514">
        <v>0.44220110000000001</v>
      </c>
      <c r="Z3514">
        <v>6.5890770000000001E-2</v>
      </c>
      <c r="AA3514">
        <v>0.89449239999999997</v>
      </c>
      <c r="AB3514">
        <v>26</v>
      </c>
      <c r="AC3514">
        <v>-5.8846999999999801</v>
      </c>
      <c r="AD3514">
        <v>-1.1073537287420001</v>
      </c>
      <c r="AE3514">
        <v>-12.383900000000001</v>
      </c>
      <c r="AF3514">
        <v>6.0957765529950203</v>
      </c>
      <c r="AG3514">
        <v>-1.1073537287420001</v>
      </c>
      <c r="AH3514">
        <v>12.182097745728401</v>
      </c>
      <c r="AI3514">
        <v>94.647405609490903</v>
      </c>
      <c r="AJ3514">
        <v>63.417163113251199</v>
      </c>
      <c r="AK3514">
        <v>13.667049043267699</v>
      </c>
      <c r="AL3514">
        <v>89.939904339815598</v>
      </c>
      <c r="AM3514">
        <v>86.386854275849799</v>
      </c>
      <c r="AN3514">
        <v>1.0000000533301501</v>
      </c>
    </row>
    <row r="3515" spans="1:40" x14ac:dyDescent="0.25">
      <c r="A3515" t="str">
        <f>"20190305135900725"</f>
        <v>20190305135900725</v>
      </c>
      <c r="B3515" t="str">
        <f>"1551765540722188"</f>
        <v>1551765540722188</v>
      </c>
      <c r="C3515" t="s">
        <v>40</v>
      </c>
      <c r="D3515">
        <v>4.4343170000000001</v>
      </c>
      <c r="E3515">
        <v>0.62968250000000003</v>
      </c>
      <c r="F3515" t="s">
        <v>42</v>
      </c>
      <c r="G3515">
        <v>-193.80369999999999</v>
      </c>
      <c r="H3515" s="1">
        <v>-1.720881E-6</v>
      </c>
      <c r="I3515">
        <v>171.2414</v>
      </c>
      <c r="J3515">
        <v>-187.8809</v>
      </c>
      <c r="K3515">
        <v>1.1073980000000001</v>
      </c>
      <c r="L3515">
        <v>183.53190000000001</v>
      </c>
      <c r="M3515">
        <v>1.9009979999999999E-2</v>
      </c>
      <c r="N3515">
        <v>-1.3433519999999999E-2</v>
      </c>
      <c r="O3515">
        <v>-0.99972919999999998</v>
      </c>
      <c r="P3515">
        <v>-4.8359609999999997E-2</v>
      </c>
      <c r="Q3515">
        <v>-1.2629649999999999E-2</v>
      </c>
      <c r="R3515">
        <v>-0.99875020000000003</v>
      </c>
      <c r="S3515">
        <v>-1.4011229999999999</v>
      </c>
      <c r="T3515">
        <v>-0.262015</v>
      </c>
      <c r="U3515">
        <v>-2.9399259999999998</v>
      </c>
      <c r="V3515">
        <v>6.7341579999999998E-2</v>
      </c>
      <c r="W3515">
        <v>4.7237039999999998E-4</v>
      </c>
      <c r="X3515">
        <v>0.9977298</v>
      </c>
      <c r="Y3515">
        <v>0.44608920000000002</v>
      </c>
      <c r="Z3515">
        <v>6.6368549999999998E-2</v>
      </c>
      <c r="AA3515">
        <v>0.89252430000000005</v>
      </c>
      <c r="AB3515">
        <v>26</v>
      </c>
      <c r="AC3515">
        <v>-5.9227999999999899</v>
      </c>
      <c r="AD3515">
        <v>-1.10739972088099</v>
      </c>
      <c r="AE3515">
        <v>-12.2905</v>
      </c>
      <c r="AF3515">
        <v>6.1151041066289098</v>
      </c>
      <c r="AG3515">
        <v>-1.10739972088099</v>
      </c>
      <c r="AH3515">
        <v>12.0959832609045</v>
      </c>
      <c r="AI3515">
        <v>94.670896387438503</v>
      </c>
      <c r="AJ3515">
        <v>63.181197047041501</v>
      </c>
      <c r="AK3515">
        <v>13.599030973742099</v>
      </c>
      <c r="AL3515">
        <v>89.972935166884298</v>
      </c>
      <c r="AM3515">
        <v>86.138688794436405</v>
      </c>
      <c r="AN3515">
        <v>0.99999993266936305</v>
      </c>
    </row>
    <row r="3516" spans="1:40" x14ac:dyDescent="0.25">
      <c r="A3516" t="str">
        <f>"20190305135900744"</f>
        <v>20190305135900744</v>
      </c>
      <c r="B3516" t="str">
        <f>"1551765540732923"</f>
        <v>1551765540732923</v>
      </c>
      <c r="C3516" t="s">
        <v>40</v>
      </c>
      <c r="D3516">
        <v>4.4853149999999999</v>
      </c>
      <c r="E3516">
        <v>0.62930229999999998</v>
      </c>
      <c r="F3516" t="s">
        <v>42</v>
      </c>
      <c r="G3516">
        <v>-192.01339999999999</v>
      </c>
      <c r="H3516" s="1">
        <v>-2.162889E-6</v>
      </c>
      <c r="I3516">
        <v>173.38210000000001</v>
      </c>
      <c r="J3516">
        <v>-187.8792</v>
      </c>
      <c r="K3516">
        <v>1.107478</v>
      </c>
      <c r="L3516">
        <v>183.30770000000001</v>
      </c>
      <c r="M3516">
        <v>1.6846239999999998E-2</v>
      </c>
      <c r="N3516">
        <v>-1.3427329999999999E-2</v>
      </c>
      <c r="O3516">
        <v>-0.99976799999999999</v>
      </c>
      <c r="P3516">
        <v>-5.831944E-2</v>
      </c>
      <c r="Q3516">
        <v>-1.4010089999999999E-2</v>
      </c>
      <c r="R3516">
        <v>-0.99819979999999997</v>
      </c>
      <c r="S3516">
        <v>-1.197708</v>
      </c>
      <c r="T3516">
        <v>-0.32095279999999998</v>
      </c>
      <c r="U3516">
        <v>-2.941681</v>
      </c>
      <c r="V3516">
        <v>7.5125259999999999E-2</v>
      </c>
      <c r="W3516">
        <v>-9.405371E-4</v>
      </c>
      <c r="X3516">
        <v>0.99717370000000005</v>
      </c>
      <c r="Y3516">
        <v>0.39092860000000001</v>
      </c>
      <c r="Z3516">
        <v>8.6770070000000005E-2</v>
      </c>
      <c r="AA3516">
        <v>0.91632190000000002</v>
      </c>
      <c r="AB3516">
        <v>26</v>
      </c>
      <c r="AC3516">
        <v>-4.1341999999999901</v>
      </c>
      <c r="AD3516">
        <v>-1.1074801628890001</v>
      </c>
      <c r="AE3516">
        <v>-9.9255999999999993</v>
      </c>
      <c r="AF3516">
        <v>4.25568817745883</v>
      </c>
      <c r="AG3516">
        <v>-1.1074801628890001</v>
      </c>
      <c r="AH3516">
        <v>9.7510886690848597</v>
      </c>
      <c r="AI3516">
        <v>95.942708637107899</v>
      </c>
      <c r="AJ3516">
        <v>66.421998300496497</v>
      </c>
      <c r="AK3516">
        <v>10.696781030165599</v>
      </c>
      <c r="AL3516">
        <v>90.053888812168495</v>
      </c>
      <c r="AM3516">
        <v>85.691578779006704</v>
      </c>
      <c r="AN3516">
        <v>1.00000003863589</v>
      </c>
    </row>
    <row r="3517" spans="1:40" x14ac:dyDescent="0.25">
      <c r="A3517" t="str">
        <f>"20190305135900756"</f>
        <v>20190305135900756</v>
      </c>
      <c r="B3517" t="str">
        <f>"1551765540752443"</f>
        <v>1551765540752443</v>
      </c>
      <c r="C3517" t="s">
        <v>40</v>
      </c>
      <c r="D3517">
        <v>4.3350010000000001</v>
      </c>
      <c r="E3517">
        <v>0.62796839999999998</v>
      </c>
      <c r="F3517" t="s">
        <v>42</v>
      </c>
      <c r="G3517">
        <v>-191.93209999999999</v>
      </c>
      <c r="H3517" s="1">
        <v>-2.2407570000000001E-6</v>
      </c>
      <c r="I3517">
        <v>173.614</v>
      </c>
      <c r="J3517">
        <v>-187.8783</v>
      </c>
      <c r="K3517">
        <v>1.1075269999999999</v>
      </c>
      <c r="L3517">
        <v>183.1643</v>
      </c>
      <c r="M3517">
        <v>1.5502149999999999E-2</v>
      </c>
      <c r="N3517">
        <v>-1.3423549999999999E-2</v>
      </c>
      <c r="O3517">
        <v>-0.99978990000000001</v>
      </c>
      <c r="P3517">
        <v>-6.362777E-2</v>
      </c>
      <c r="Q3517">
        <v>-1.469531E-2</v>
      </c>
      <c r="R3517">
        <v>-0.99786569999999997</v>
      </c>
      <c r="S3517">
        <v>-1.2246549999999901</v>
      </c>
      <c r="T3517">
        <v>-0.33465119999999998</v>
      </c>
      <c r="U3517">
        <v>-2.9291689999999999</v>
      </c>
      <c r="V3517">
        <v>7.9084459999999995E-2</v>
      </c>
      <c r="W3517">
        <v>-1.641048E-3</v>
      </c>
      <c r="X3517">
        <v>0.99686660000000005</v>
      </c>
      <c r="Y3517">
        <v>0.39807920000000002</v>
      </c>
      <c r="Z3517">
        <v>9.1078300000000001E-2</v>
      </c>
      <c r="AA3517">
        <v>0.91281860000000004</v>
      </c>
      <c r="AB3517">
        <v>26</v>
      </c>
      <c r="AC3517">
        <v>-4.0537999999999901</v>
      </c>
      <c r="AD3517">
        <v>-1.1075292407570001</v>
      </c>
      <c r="AE3517">
        <v>-9.5502999999999894</v>
      </c>
      <c r="AF3517">
        <v>4.1540392364293197</v>
      </c>
      <c r="AG3517">
        <v>-1.1075292407570001</v>
      </c>
      <c r="AH3517">
        <v>9.3794214074642692</v>
      </c>
      <c r="AI3517">
        <v>96.162116346373097</v>
      </c>
      <c r="AJ3517">
        <v>66.111991111647498</v>
      </c>
      <c r="AK3517">
        <v>10.317761818133</v>
      </c>
      <c r="AL3517">
        <v>90.094025163616607</v>
      </c>
      <c r="AM3517">
        <v>85.464051603951901</v>
      </c>
      <c r="AN3517">
        <v>1.00000003152379</v>
      </c>
    </row>
    <row r="3518" spans="1:40" x14ac:dyDescent="0.25">
      <c r="A3518" t="str">
        <f>"20190305135900780"</f>
        <v>20190305135900780</v>
      </c>
      <c r="B3518" t="str">
        <f>"1551765540772939"</f>
        <v>1551765540772939</v>
      </c>
      <c r="C3518" t="s">
        <v>40</v>
      </c>
      <c r="D3518">
        <v>4.44848</v>
      </c>
      <c r="E3518">
        <v>0.62442310000000001</v>
      </c>
      <c r="F3518" t="s">
        <v>42</v>
      </c>
      <c r="G3518">
        <v>-191.97409999999999</v>
      </c>
      <c r="H3518" s="1">
        <v>-2.172224E-6</v>
      </c>
      <c r="I3518">
        <v>173.4282</v>
      </c>
      <c r="J3518">
        <v>-187.87710000000001</v>
      </c>
      <c r="K3518">
        <v>1.1075919999999999</v>
      </c>
      <c r="L3518">
        <v>182.90309999999999</v>
      </c>
      <c r="M3518">
        <v>1.3133830000000001E-2</v>
      </c>
      <c r="N3518">
        <v>-1.341697E-2</v>
      </c>
      <c r="O3518">
        <v>-0.99982389999999999</v>
      </c>
      <c r="P3518">
        <v>-7.390534E-2</v>
      </c>
      <c r="Q3518">
        <v>-1.6864870000000001E-2</v>
      </c>
      <c r="R3518">
        <v>-0.99712299999999998</v>
      </c>
      <c r="S3518">
        <v>-1.2296910000000001</v>
      </c>
      <c r="T3518">
        <v>-0.33251750000000002</v>
      </c>
      <c r="U3518">
        <v>-2.9230960000000001</v>
      </c>
      <c r="V3518">
        <v>8.6981610000000001E-2</v>
      </c>
      <c r="W3518">
        <v>-3.844508E-3</v>
      </c>
      <c r="X3518">
        <v>0.99620249999999999</v>
      </c>
      <c r="Y3518">
        <v>0.39793849999999997</v>
      </c>
      <c r="Z3518">
        <v>9.060472E-2</v>
      </c>
      <c r="AA3518">
        <v>0.91292700000000004</v>
      </c>
      <c r="AB3518">
        <v>26</v>
      </c>
      <c r="AC3518">
        <v>-4.09699999999998</v>
      </c>
      <c r="AD3518">
        <v>-1.1075941722239999</v>
      </c>
      <c r="AE3518">
        <v>-9.4748999999999892</v>
      </c>
      <c r="AF3518">
        <v>4.1730570394830497</v>
      </c>
      <c r="AG3518">
        <v>-1.1075941722239999</v>
      </c>
      <c r="AH3518">
        <v>9.3130517339693792</v>
      </c>
      <c r="AI3518">
        <v>96.194163235986693</v>
      </c>
      <c r="AJ3518">
        <v>65.863470941945394</v>
      </c>
      <c r="AK3518">
        <v>10.2651888684385</v>
      </c>
      <c r="AL3518">
        <v>90.220274625135104</v>
      </c>
      <c r="AM3518">
        <v>85.009978139575907</v>
      </c>
      <c r="AN3518">
        <v>1.0000000008631</v>
      </c>
    </row>
    <row r="3519" spans="1:40" x14ac:dyDescent="0.25">
      <c r="A3519" t="str">
        <f>"20190305135900801"</f>
        <v>20190305135900801</v>
      </c>
      <c r="B3519" t="str">
        <f>"1551765540792459"</f>
        <v>1551765540792459</v>
      </c>
      <c r="C3519" t="s">
        <v>40</v>
      </c>
      <c r="D3519">
        <v>4.4248120000000002</v>
      </c>
      <c r="E3519">
        <v>0.62145649999999997</v>
      </c>
      <c r="F3519" t="s">
        <v>42</v>
      </c>
      <c r="G3519">
        <v>-192.16540000000001</v>
      </c>
      <c r="H3519" s="1">
        <v>-1.935465E-6</v>
      </c>
      <c r="I3519">
        <v>172.7577</v>
      </c>
      <c r="J3519">
        <v>-187.87649999999999</v>
      </c>
      <c r="K3519">
        <v>1.107642</v>
      </c>
      <c r="L3519">
        <v>182.65049999999999</v>
      </c>
      <c r="M3519">
        <v>1.08988E-2</v>
      </c>
      <c r="N3519">
        <v>-1.341124E-2</v>
      </c>
      <c r="O3519">
        <v>-0.99985089999999999</v>
      </c>
      <c r="P3519">
        <v>-8.3441349999999997E-2</v>
      </c>
      <c r="Q3519">
        <v>-1.6715480000000001E-2</v>
      </c>
      <c r="R3519">
        <v>-0.99637290000000001</v>
      </c>
      <c r="S3519">
        <v>-1.2308809999999999</v>
      </c>
      <c r="T3519">
        <v>-0.31791380000000002</v>
      </c>
      <c r="U3519">
        <v>-2.912064</v>
      </c>
      <c r="V3519">
        <v>9.4282889999999994E-2</v>
      </c>
      <c r="W3519">
        <v>-3.729352E-3</v>
      </c>
      <c r="X3519">
        <v>0.99553849999999999</v>
      </c>
      <c r="Y3519">
        <v>0.3975978</v>
      </c>
      <c r="Z3519">
        <v>8.6441660000000003E-2</v>
      </c>
      <c r="AA3519">
        <v>0.91347900000000004</v>
      </c>
      <c r="AB3519">
        <v>26</v>
      </c>
      <c r="AC3519">
        <v>-4.2889000000000097</v>
      </c>
      <c r="AD3519">
        <v>-1.1076439354650001</v>
      </c>
      <c r="AE3519">
        <v>-9.8927999999999905</v>
      </c>
      <c r="AF3519">
        <v>4.3505645101299901</v>
      </c>
      <c r="AG3519">
        <v>-1.1076439354650001</v>
      </c>
      <c r="AH3519">
        <v>9.7426533518102598</v>
      </c>
      <c r="AI3519">
        <v>95.926656317533102</v>
      </c>
      <c r="AJ3519">
        <v>65.936934675179799</v>
      </c>
      <c r="AK3519">
        <v>10.727235476958301</v>
      </c>
      <c r="AL3519">
        <v>90.213676617063399</v>
      </c>
      <c r="AM3519">
        <v>84.589915293278295</v>
      </c>
      <c r="AN3519">
        <v>1.0000000381976699</v>
      </c>
    </row>
    <row r="3520" spans="1:40" x14ac:dyDescent="0.25">
      <c r="A3520" t="str">
        <f>"20190305135900813"</f>
        <v>20190305135900813</v>
      </c>
      <c r="B3520" t="str">
        <f>"1551765540802219"</f>
        <v>1551765540802219</v>
      </c>
      <c r="C3520" t="s">
        <v>40</v>
      </c>
      <c r="D3520">
        <v>4.421278</v>
      </c>
      <c r="E3520">
        <v>0.62034</v>
      </c>
      <c r="F3520" t="s">
        <v>42</v>
      </c>
      <c r="G3520">
        <v>-192.23500000000001</v>
      </c>
      <c r="H3520" s="1">
        <v>-1.805213E-6</v>
      </c>
      <c r="I3520">
        <v>172.4109</v>
      </c>
      <c r="J3520">
        <v>-187.87639999999999</v>
      </c>
      <c r="K3520">
        <v>1.1076619999999999</v>
      </c>
      <c r="L3520">
        <v>182.50569999999999</v>
      </c>
      <c r="M3520">
        <v>9.6302869999999995E-3</v>
      </c>
      <c r="N3520">
        <v>-1.340832E-2</v>
      </c>
      <c r="O3520">
        <v>-0.99986390000000003</v>
      </c>
      <c r="P3520">
        <v>-8.8505120000000007E-2</v>
      </c>
      <c r="Q3520">
        <v>-1.6083340000000002E-2</v>
      </c>
      <c r="R3520">
        <v>-0.9959462</v>
      </c>
      <c r="S3520">
        <v>-1.235336</v>
      </c>
      <c r="T3520">
        <v>-0.31393910000000003</v>
      </c>
      <c r="U3520">
        <v>-2.9022060000000001</v>
      </c>
      <c r="V3520">
        <v>9.8081870000000002E-2</v>
      </c>
      <c r="W3520">
        <v>-3.116354E-3</v>
      </c>
      <c r="X3520">
        <v>0.99517350000000004</v>
      </c>
      <c r="Y3520">
        <v>0.39876929999999999</v>
      </c>
      <c r="Z3520">
        <v>8.5464540000000006E-2</v>
      </c>
      <c r="AA3520">
        <v>0.91306019999999999</v>
      </c>
      <c r="AB3520">
        <v>26</v>
      </c>
      <c r="AC3520">
        <v>-4.3586000000000196</v>
      </c>
      <c r="AD3520">
        <v>-1.1076638052129999</v>
      </c>
      <c r="AE3520">
        <v>-10.0947999999999</v>
      </c>
      <c r="AF3520">
        <v>4.4108609099016602</v>
      </c>
      <c r="AG3520">
        <v>-1.1076638052129999</v>
      </c>
      <c r="AH3520">
        <v>9.9513668474057209</v>
      </c>
      <c r="AI3520">
        <v>95.810397248916601</v>
      </c>
      <c r="AJ3520">
        <v>66.095081200128902</v>
      </c>
      <c r="AK3520">
        <v>10.941312316332199</v>
      </c>
      <c r="AL3520">
        <v>90.1785542153237</v>
      </c>
      <c r="AM3520">
        <v>84.371246054900894</v>
      </c>
      <c r="AN3520">
        <v>1.0000000299935901</v>
      </c>
    </row>
    <row r="3521" spans="1:40" x14ac:dyDescent="0.25">
      <c r="A3521" t="str">
        <f>"20190305135900827"</f>
        <v>20190305135900827</v>
      </c>
      <c r="B3521" t="str">
        <f>"1551765540822715"</f>
        <v>1551765540822715</v>
      </c>
      <c r="C3521" t="s">
        <v>40</v>
      </c>
      <c r="D3521">
        <v>4.4225120000000002</v>
      </c>
      <c r="E3521">
        <v>0.61814019999999903</v>
      </c>
      <c r="F3521" t="s">
        <v>42</v>
      </c>
      <c r="G3521">
        <v>-192.30029999999999</v>
      </c>
      <c r="H3521" s="1">
        <v>-1.7246490000000001E-6</v>
      </c>
      <c r="I3521">
        <v>172.18260000000001</v>
      </c>
      <c r="J3521">
        <v>-187.87639999999999</v>
      </c>
      <c r="K3521">
        <v>1.107669</v>
      </c>
      <c r="L3521">
        <v>182.35919999999999</v>
      </c>
      <c r="M3521">
        <v>8.3492389999999996E-3</v>
      </c>
      <c r="N3521">
        <v>-1.340558E-2</v>
      </c>
      <c r="O3521">
        <v>-0.99987539999999997</v>
      </c>
      <c r="P3521">
        <v>-9.3589950000000005E-2</v>
      </c>
      <c r="Q3521">
        <v>-1.4893419999999999E-2</v>
      </c>
      <c r="R3521">
        <v>-0.99549980000000005</v>
      </c>
      <c r="S3521">
        <v>-1.2414400000000001</v>
      </c>
      <c r="T3521">
        <v>-0.3108339</v>
      </c>
      <c r="U3521">
        <v>-2.8968660000000002</v>
      </c>
      <c r="V3521">
        <v>0.10189239999999999</v>
      </c>
      <c r="W3521">
        <v>-1.9468E-3</v>
      </c>
      <c r="X3521">
        <v>0.9947935</v>
      </c>
      <c r="Y3521">
        <v>0.39985860000000001</v>
      </c>
      <c r="Z3521">
        <v>8.4605470000000002E-2</v>
      </c>
      <c r="AA3521">
        <v>0.91266369999999997</v>
      </c>
      <c r="AB3521">
        <v>26</v>
      </c>
      <c r="AC3521">
        <v>-4.4238999999999997</v>
      </c>
      <c r="AD3521">
        <v>-1.1076707246490001</v>
      </c>
      <c r="AE3521">
        <v>-10.176599999999899</v>
      </c>
      <c r="AF3521">
        <v>4.4642376427260801</v>
      </c>
      <c r="AG3521">
        <v>-1.1076707246490001</v>
      </c>
      <c r="AH3521">
        <v>10.0392722453358</v>
      </c>
      <c r="AI3521">
        <v>95.756854410915196</v>
      </c>
      <c r="AJ3521">
        <v>66.026365471403395</v>
      </c>
      <c r="AK3521">
        <v>11.042795813603799</v>
      </c>
      <c r="AL3521">
        <v>90.111543496310006</v>
      </c>
      <c r="AM3521">
        <v>84.151835032102397</v>
      </c>
      <c r="AN3521">
        <v>0.99999997942512397</v>
      </c>
    </row>
    <row r="3522" spans="1:40" x14ac:dyDescent="0.25">
      <c r="A3522" t="str">
        <f>"20190305135900845"</f>
        <v>20190305135900845</v>
      </c>
      <c r="B3522" t="str">
        <f>"1551765540842235"</f>
        <v>1551765540842235</v>
      </c>
      <c r="C3522" t="s">
        <v>40</v>
      </c>
      <c r="D3522">
        <v>4.382466</v>
      </c>
      <c r="E3522">
        <v>0.61566829999999995</v>
      </c>
      <c r="F3522" t="s">
        <v>42</v>
      </c>
      <c r="G3522">
        <v>-192.36359999999999</v>
      </c>
      <c r="H3522" s="1">
        <v>-1.6130559999999999E-6</v>
      </c>
      <c r="I3522">
        <v>171.88319999999999</v>
      </c>
      <c r="J3522">
        <v>-187.8768</v>
      </c>
      <c r="K3522">
        <v>1.107674</v>
      </c>
      <c r="L3522">
        <v>182.15520000000001</v>
      </c>
      <c r="M3522">
        <v>6.5625910000000004E-3</v>
      </c>
      <c r="N3522">
        <v>-1.3402030000000001E-2</v>
      </c>
      <c r="O3522">
        <v>-0.99988889999999997</v>
      </c>
      <c r="P3522">
        <v>-0.1036234</v>
      </c>
      <c r="Q3522">
        <v>-1.390048E-2</v>
      </c>
      <c r="R3522">
        <v>-0.99451990000000001</v>
      </c>
      <c r="S3522">
        <v>-1.238953</v>
      </c>
      <c r="T3522">
        <v>-0.30584040000000001</v>
      </c>
      <c r="U3522">
        <v>-2.8925320000000001</v>
      </c>
      <c r="V3522">
        <v>0.1101454</v>
      </c>
      <c r="W3522">
        <v>-9.9949819999999999E-4</v>
      </c>
      <c r="X3522">
        <v>0.99391499999999999</v>
      </c>
      <c r="Y3522">
        <v>0.39810410000000002</v>
      </c>
      <c r="Z3522">
        <v>8.3241599999999999E-2</v>
      </c>
      <c r="AA3522">
        <v>0.91355569999999997</v>
      </c>
      <c r="AB3522">
        <v>26</v>
      </c>
      <c r="AC3522">
        <v>-4.4867999999999801</v>
      </c>
      <c r="AD3522">
        <v>-1.1076756130559999</v>
      </c>
      <c r="AE3522">
        <v>-10.272</v>
      </c>
      <c r="AF3522">
        <v>4.5100787592594598</v>
      </c>
      <c r="AG3522">
        <v>-1.1076756130559999</v>
      </c>
      <c r="AH3522">
        <v>10.1432804775564</v>
      </c>
      <c r="AI3522">
        <v>95.698324355598402</v>
      </c>
      <c r="AJ3522">
        <v>66.028294360820297</v>
      </c>
      <c r="AK3522">
        <v>11.155890575156301</v>
      </c>
      <c r="AL3522">
        <v>90.057267037013304</v>
      </c>
      <c r="AM3522">
        <v>83.676299633690107</v>
      </c>
      <c r="AN3522">
        <v>1.0000000176813999</v>
      </c>
    </row>
    <row r="3523" spans="1:40" x14ac:dyDescent="0.25">
      <c r="A3523" t="str">
        <f>"20190305135900856"</f>
        <v>20190305135900856</v>
      </c>
      <c r="B3523" t="str">
        <f>"1551765540852972"</f>
        <v>1551765540852972</v>
      </c>
      <c r="C3523" t="s">
        <v>40</v>
      </c>
      <c r="D3523">
        <v>4.427797</v>
      </c>
      <c r="E3523">
        <v>0.61461440000000001</v>
      </c>
      <c r="F3523" t="s">
        <v>42</v>
      </c>
      <c r="G3523">
        <v>-192.47120000000001</v>
      </c>
      <c r="H3523" s="1">
        <v>-1.4978479999999999E-6</v>
      </c>
      <c r="I3523">
        <v>171.5479</v>
      </c>
      <c r="J3523">
        <v>-187.87729999999999</v>
      </c>
      <c r="K3523">
        <v>1.1076699999999999</v>
      </c>
      <c r="L3523">
        <v>182.01400000000001</v>
      </c>
      <c r="M3523">
        <v>5.3208619999999896E-3</v>
      </c>
      <c r="N3523">
        <v>-1.339973E-2</v>
      </c>
      <c r="O3523">
        <v>-0.99989629999999996</v>
      </c>
      <c r="P3523">
        <v>-0.10902870000000001</v>
      </c>
      <c r="Q3523">
        <v>-1.438091E-2</v>
      </c>
      <c r="R3523">
        <v>-0.99393489999999995</v>
      </c>
      <c r="S3523">
        <v>-1.2483979999999999</v>
      </c>
      <c r="T3523">
        <v>-0.30098330000000001</v>
      </c>
      <c r="U3523">
        <v>-2.882263</v>
      </c>
      <c r="V3523">
        <v>0.1143113</v>
      </c>
      <c r="W3523">
        <v>-1.5046829999999999E-3</v>
      </c>
      <c r="X3523">
        <v>0.99344379999999999</v>
      </c>
      <c r="Y3523">
        <v>0.40071069999999998</v>
      </c>
      <c r="Z3523">
        <v>8.1920770000000004E-2</v>
      </c>
      <c r="AA3523">
        <v>0.91253490000000004</v>
      </c>
      <c r="AB3523">
        <v>26</v>
      </c>
      <c r="AC3523">
        <v>-4.5939000000000103</v>
      </c>
      <c r="AD3523">
        <v>-1.107671497848</v>
      </c>
      <c r="AE3523">
        <v>-10.466100000000001</v>
      </c>
      <c r="AF3523">
        <v>4.6062688148387902</v>
      </c>
      <c r="AG3523">
        <v>-1.107671497848</v>
      </c>
      <c r="AH3523">
        <v>10.3443570233961</v>
      </c>
      <c r="AI3523">
        <v>95.586893647524604</v>
      </c>
      <c r="AJ3523">
        <v>65.996929157796799</v>
      </c>
      <c r="AK3523">
        <v>11.377625884567699</v>
      </c>
      <c r="AL3523">
        <v>90.086212021336195</v>
      </c>
      <c r="AM3523">
        <v>83.436088784120599</v>
      </c>
      <c r="AN3523">
        <v>0.99999996056852902</v>
      </c>
    </row>
    <row r="3524" spans="1:40" x14ac:dyDescent="0.25">
      <c r="A3524" t="str">
        <f>"20190305135900869"</f>
        <v>20190305135900869</v>
      </c>
      <c r="B3524" t="str">
        <f>"1551765540862731"</f>
        <v>1551765540862731</v>
      </c>
      <c r="C3524" t="s">
        <v>40</v>
      </c>
      <c r="D3524">
        <v>4.3152679999999997</v>
      </c>
      <c r="E3524">
        <v>0.61461440000000001</v>
      </c>
      <c r="F3524" t="s">
        <v>42</v>
      </c>
      <c r="G3524">
        <v>-192.4693</v>
      </c>
      <c r="H3524" s="1">
        <v>-1.474177E-6</v>
      </c>
      <c r="I3524">
        <v>171.4939</v>
      </c>
      <c r="J3524">
        <v>-187.87790000000001</v>
      </c>
      <c r="K3524">
        <v>1.107666</v>
      </c>
      <c r="L3524">
        <v>181.87739999999999</v>
      </c>
      <c r="M3524">
        <v>4.1095280000000003E-3</v>
      </c>
      <c r="N3524">
        <v>-1.339777E-2</v>
      </c>
      <c r="O3524">
        <v>-0.99990179999999995</v>
      </c>
      <c r="P3524">
        <v>-0.11468739999999999</v>
      </c>
      <c r="Q3524">
        <v>-1.5340929999999999E-2</v>
      </c>
      <c r="R3524">
        <v>-0.99328329999999998</v>
      </c>
      <c r="S3524">
        <v>-1.255493</v>
      </c>
      <c r="T3524">
        <v>-0.30284080000000002</v>
      </c>
      <c r="U3524">
        <v>-2.8762210000000001</v>
      </c>
      <c r="V3524">
        <v>0.11876009999999999</v>
      </c>
      <c r="W3524">
        <v>-2.491797E-3</v>
      </c>
      <c r="X3524">
        <v>0.99291989999999997</v>
      </c>
      <c r="Y3524">
        <v>0.40216689999999999</v>
      </c>
      <c r="Z3524">
        <v>8.2616140000000005E-2</v>
      </c>
      <c r="AA3524">
        <v>0.91183130000000001</v>
      </c>
      <c r="AB3524">
        <v>26</v>
      </c>
      <c r="AC3524">
        <v>-4.5913999999999904</v>
      </c>
      <c r="AD3524">
        <v>-1.1076674741769901</v>
      </c>
      <c r="AE3524">
        <v>-10.3834999999999</v>
      </c>
      <c r="AF3524">
        <v>4.5903427544352704</v>
      </c>
      <c r="AG3524">
        <v>-1.1076674741769901</v>
      </c>
      <c r="AH3524">
        <v>10.2668165251239</v>
      </c>
      <c r="AI3524">
        <v>95.6250291360342</v>
      </c>
      <c r="AJ3524">
        <v>65.910353166368196</v>
      </c>
      <c r="AK3524">
        <v>11.3006944652576</v>
      </c>
      <c r="AL3524">
        <v>90.142769592236107</v>
      </c>
      <c r="AM3524">
        <v>83.1794292238514</v>
      </c>
      <c r="AN3524">
        <v>1.0000000491101499</v>
      </c>
    </row>
    <row r="3525" spans="1:40" x14ac:dyDescent="0.25">
      <c r="A3525" t="str">
        <f>"20190305135900882"</f>
        <v>20190305135900882</v>
      </c>
      <c r="B3525" t="str">
        <f>"1551765540872492"</f>
        <v>1551765540872492</v>
      </c>
      <c r="C3525" t="s">
        <v>40</v>
      </c>
      <c r="D3525">
        <v>4.391432</v>
      </c>
      <c r="E3525">
        <v>0.59573619999999905</v>
      </c>
      <c r="F3525" t="s">
        <v>42</v>
      </c>
      <c r="G3525">
        <v>-192.4744</v>
      </c>
      <c r="H3525" s="1">
        <v>-1.481604E-6</v>
      </c>
      <c r="I3525">
        <v>171.50799999999899</v>
      </c>
      <c r="J3525">
        <v>-187.87880000000001</v>
      </c>
      <c r="K3525">
        <v>1.1076629999999901</v>
      </c>
      <c r="L3525">
        <v>181.7304</v>
      </c>
      <c r="M3525">
        <v>2.80124E-3</v>
      </c>
      <c r="N3525">
        <v>-1.339577E-2</v>
      </c>
      <c r="O3525">
        <v>-0.99990630000000003</v>
      </c>
      <c r="P3525">
        <v>-0.1201864</v>
      </c>
      <c r="Q3525">
        <v>-1.5123879999999999E-2</v>
      </c>
      <c r="R3525">
        <v>-0.99263619999999997</v>
      </c>
      <c r="S3525">
        <v>-1.271652</v>
      </c>
      <c r="T3525">
        <v>-0.30644389999999999</v>
      </c>
      <c r="U3525">
        <v>-2.868744</v>
      </c>
      <c r="V3525">
        <v>0.1229589</v>
      </c>
      <c r="W3525">
        <v>-2.3010079999999998E-3</v>
      </c>
      <c r="X3525">
        <v>0.99240910000000004</v>
      </c>
      <c r="Y3525">
        <v>0.40609299999999998</v>
      </c>
      <c r="Z3525">
        <v>8.3791169999999998E-2</v>
      </c>
      <c r="AA3525">
        <v>0.90998210000000002</v>
      </c>
      <c r="AB3525">
        <v>26</v>
      </c>
      <c r="AC3525">
        <v>-4.5955999999999904</v>
      </c>
      <c r="AD3525">
        <v>-1.10766448160399</v>
      </c>
      <c r="AE3525">
        <v>-10.2224</v>
      </c>
      <c r="AF3525">
        <v>4.5794913353613804</v>
      </c>
      <c r="AG3525">
        <v>-1.10766448160399</v>
      </c>
      <c r="AH3525">
        <v>10.110732271182799</v>
      </c>
      <c r="AI3525">
        <v>95.698917628198998</v>
      </c>
      <c r="AJ3525">
        <v>65.632625804648299</v>
      </c>
      <c r="AK3525">
        <v>11.1546209507089</v>
      </c>
      <c r="AL3525">
        <v>90.131838162871503</v>
      </c>
      <c r="AM3525">
        <v>82.937081171290004</v>
      </c>
      <c r="AN3525">
        <v>1.0000000037449099</v>
      </c>
    </row>
    <row r="3526" spans="1:40" x14ac:dyDescent="0.25">
      <c r="A3526" t="str">
        <f>"20190305135900893"</f>
        <v>20190305135900893</v>
      </c>
      <c r="B3526" t="str">
        <f>"1551765540882252"</f>
        <v>1551765540882252</v>
      </c>
      <c r="C3526" t="s">
        <v>40</v>
      </c>
      <c r="D3526">
        <v>4.346387</v>
      </c>
      <c r="E3526">
        <v>0.59514609999999901</v>
      </c>
      <c r="F3526" t="s">
        <v>42</v>
      </c>
      <c r="G3526">
        <v>-192.7294</v>
      </c>
      <c r="H3526" s="1">
        <v>-5.1402199999999899E-6</v>
      </c>
      <c r="I3526">
        <v>169.41079999999999</v>
      </c>
      <c r="J3526">
        <v>-187.87979999999999</v>
      </c>
      <c r="K3526">
        <v>1.1076600000000001</v>
      </c>
      <c r="L3526">
        <v>181.59039999999999</v>
      </c>
      <c r="M3526">
        <v>1.5468249999999999E-3</v>
      </c>
      <c r="N3526">
        <v>-1.3394039999999999E-2</v>
      </c>
      <c r="O3526">
        <v>-0.99990919999999905</v>
      </c>
      <c r="P3526">
        <v>-0.12575239999999999</v>
      </c>
      <c r="Q3526">
        <v>-1.498294E-2</v>
      </c>
      <c r="R3526">
        <v>-0.99194870000000002</v>
      </c>
      <c r="S3526">
        <v>-1.134323</v>
      </c>
      <c r="T3526">
        <v>-0.25902950000000002</v>
      </c>
      <c r="U3526">
        <v>-2.880951</v>
      </c>
      <c r="V3526">
        <v>0.12727919999999901</v>
      </c>
      <c r="W3526">
        <v>-2.1872580000000001E-3</v>
      </c>
      <c r="X3526">
        <v>0.99186450000000004</v>
      </c>
      <c r="Y3526">
        <v>0.36666799999999999</v>
      </c>
      <c r="Z3526">
        <v>6.9987569999999999E-2</v>
      </c>
      <c r="AA3526">
        <v>0.92771570000000003</v>
      </c>
      <c r="AB3526">
        <v>25</v>
      </c>
      <c r="AC3526">
        <v>-4.8495999999999997</v>
      </c>
      <c r="AD3526">
        <v>-1.10766514022</v>
      </c>
      <c r="AE3526">
        <v>-12.179599999999899</v>
      </c>
      <c r="AF3526">
        <v>4.8339260729342604</v>
      </c>
      <c r="AG3526">
        <v>-1.10766514022</v>
      </c>
      <c r="AH3526">
        <v>12.085802418100499</v>
      </c>
      <c r="AI3526">
        <v>94.8639210306835</v>
      </c>
      <c r="AJ3526">
        <v>68.200204407316903</v>
      </c>
      <c r="AK3526">
        <v>13.0637048126026</v>
      </c>
      <c r="AL3526">
        <v>90.125320754210705</v>
      </c>
      <c r="AM3526">
        <v>82.687586457815797</v>
      </c>
      <c r="AN3526">
        <v>0.99999998260522405</v>
      </c>
    </row>
    <row r="3527" spans="1:40" x14ac:dyDescent="0.25">
      <c r="A3527" t="str">
        <f>"20190305135900907"</f>
        <v>20190305135900907</v>
      </c>
      <c r="B3527" t="str">
        <f>"1551765540902747"</f>
        <v>1551765540902747</v>
      </c>
      <c r="C3527" t="s">
        <v>40</v>
      </c>
      <c r="D3527">
        <v>4.3997149999999996</v>
      </c>
      <c r="E3527">
        <v>0.59371560000000001</v>
      </c>
      <c r="F3527" t="s">
        <v>42</v>
      </c>
      <c r="G3527">
        <v>-192.54519999999999</v>
      </c>
      <c r="H3527" s="1">
        <v>-8.0878950000000002E-7</v>
      </c>
      <c r="I3527">
        <v>169.89580000000001</v>
      </c>
      <c r="J3527">
        <v>-187.881</v>
      </c>
      <c r="K3527">
        <v>1.1076600000000001</v>
      </c>
      <c r="L3527">
        <v>181.44399999999999</v>
      </c>
      <c r="M3527">
        <v>2.26116E-4</v>
      </c>
      <c r="N3527">
        <v>-1.339226E-2</v>
      </c>
      <c r="O3527">
        <v>-0.99991039999999998</v>
      </c>
      <c r="P3527">
        <v>-0.131302</v>
      </c>
      <c r="Q3527">
        <v>-1.5009959999999999E-2</v>
      </c>
      <c r="R3527">
        <v>-0.99122900000000003</v>
      </c>
      <c r="S3527">
        <v>-1.146881</v>
      </c>
      <c r="T3527">
        <v>-0.27229239999999999</v>
      </c>
      <c r="U3527">
        <v>-2.8748469999999999</v>
      </c>
      <c r="V3527">
        <v>0.13151849999999901</v>
      </c>
      <c r="W3527">
        <v>-2.2414370000000002E-3</v>
      </c>
      <c r="X3527">
        <v>0.99131119999999995</v>
      </c>
      <c r="Y3527">
        <v>0.36948310000000001</v>
      </c>
      <c r="Z3527">
        <v>7.4284370000000002E-2</v>
      </c>
      <c r="AA3527">
        <v>0.92626350000000002</v>
      </c>
      <c r="AB3527">
        <v>25</v>
      </c>
      <c r="AC3527">
        <v>-4.6642000000000197</v>
      </c>
      <c r="AD3527">
        <v>-1.1076608087894999</v>
      </c>
      <c r="AE3527">
        <v>-11.5482</v>
      </c>
      <c r="AF3527">
        <v>4.6301881294569096</v>
      </c>
      <c r="AG3527">
        <v>-1.1076608087894999</v>
      </c>
      <c r="AH3527">
        <v>11.4565277107429</v>
      </c>
      <c r="AI3527">
        <v>95.122287813749594</v>
      </c>
      <c r="AJ3527">
        <v>67.993764185555193</v>
      </c>
      <c r="AK3527">
        <v>12.406352476393399</v>
      </c>
      <c r="AL3527">
        <v>90.128424985424303</v>
      </c>
      <c r="AM3527">
        <v>82.442631602416597</v>
      </c>
      <c r="AN3527">
        <v>1.00000001756375</v>
      </c>
    </row>
    <row r="3528" spans="1:40" x14ac:dyDescent="0.25">
      <c r="A3528" t="str">
        <f>"20190305135900923"</f>
        <v>20190305135900923</v>
      </c>
      <c r="B3528" t="str">
        <f>"1551765540912507"</f>
        <v>1551765540912507</v>
      </c>
      <c r="C3528" t="s">
        <v>40</v>
      </c>
      <c r="D3528">
        <v>4.3970019999999996</v>
      </c>
      <c r="E3528">
        <v>0.59280029999999995</v>
      </c>
      <c r="F3528" t="s">
        <v>42</v>
      </c>
      <c r="G3528">
        <v>-192.38079999999999</v>
      </c>
      <c r="H3528" s="1">
        <v>-9.1212239999999996E-7</v>
      </c>
      <c r="I3528">
        <v>170.23859999999999</v>
      </c>
      <c r="J3528">
        <v>-187.8828</v>
      </c>
      <c r="K3528">
        <v>1.1076600000000001</v>
      </c>
      <c r="L3528">
        <v>181.2619</v>
      </c>
      <c r="M3528">
        <v>-1.423854E-3</v>
      </c>
      <c r="N3528">
        <v>-1.339012E-2</v>
      </c>
      <c r="O3528">
        <v>-0.99990950000000001</v>
      </c>
      <c r="P3528">
        <v>-0.1406435</v>
      </c>
      <c r="Q3528">
        <v>-1.457016E-2</v>
      </c>
      <c r="R3528">
        <v>-0.98995330000000004</v>
      </c>
      <c r="S3528">
        <v>-1.152374</v>
      </c>
      <c r="T3528">
        <v>-0.28366529999999901</v>
      </c>
      <c r="U3528">
        <v>-2.8696290000000002</v>
      </c>
      <c r="V3528">
        <v>0.1392275</v>
      </c>
      <c r="W3528">
        <v>-1.8495810000000001E-3</v>
      </c>
      <c r="X3528">
        <v>0.99025870000000005</v>
      </c>
      <c r="Y3528">
        <v>0.3699422</v>
      </c>
      <c r="Z3528">
        <v>7.8036220000000003E-2</v>
      </c>
      <c r="AA3528">
        <v>0.92577169999999998</v>
      </c>
      <c r="AB3528">
        <v>25</v>
      </c>
      <c r="AC3528">
        <v>-4.4979999999999896</v>
      </c>
      <c r="AD3528">
        <v>-1.1076609121223999</v>
      </c>
      <c r="AE3528">
        <v>-11.023300000000001</v>
      </c>
      <c r="AF3528">
        <v>4.4438336846474797</v>
      </c>
      <c r="AG3528">
        <v>-1.1076609121223999</v>
      </c>
      <c r="AH3528">
        <v>10.9350427310592</v>
      </c>
      <c r="AI3528">
        <v>95.361031277234602</v>
      </c>
      <c r="AJ3528">
        <v>67.883929205538095</v>
      </c>
      <c r="AK3528">
        <v>11.8553671407993</v>
      </c>
      <c r="AL3528">
        <v>90.105973245025794</v>
      </c>
      <c r="AM3528">
        <v>81.996838785399405</v>
      </c>
      <c r="AN3528">
        <v>1.0000000053158999</v>
      </c>
    </row>
    <row r="3529" spans="1:40" x14ac:dyDescent="0.25">
      <c r="A3529" t="str">
        <f>"20190305135900934"</f>
        <v>20190305135900934</v>
      </c>
      <c r="B3529" t="str">
        <f>"1551765540932028"</f>
        <v>1551765540932028</v>
      </c>
      <c r="C3529" t="s">
        <v>40</v>
      </c>
      <c r="D3529">
        <v>4.4172580000000004</v>
      </c>
      <c r="E3529">
        <v>0.5910668</v>
      </c>
      <c r="F3529" t="s">
        <v>42</v>
      </c>
      <c r="G3529">
        <v>-192.40719999999999</v>
      </c>
      <c r="H3529" s="1">
        <v>-9.1573829999999999E-7</v>
      </c>
      <c r="I3529">
        <v>170.23070000000001</v>
      </c>
      <c r="J3529">
        <v>-187.8844</v>
      </c>
      <c r="K3529">
        <v>1.1076589999999999</v>
      </c>
      <c r="L3529">
        <v>181.12219999999999</v>
      </c>
      <c r="M3529">
        <v>-2.6960489999999998E-3</v>
      </c>
      <c r="N3529">
        <v>-1.3388580000000001E-2</v>
      </c>
      <c r="O3529">
        <v>-0.99990679999999998</v>
      </c>
      <c r="P3529">
        <v>-0.14503669999999999</v>
      </c>
      <c r="Q3529">
        <v>-1.42852E-2</v>
      </c>
      <c r="R3529">
        <v>-0.98932339999999996</v>
      </c>
      <c r="S3529">
        <v>-1.172836</v>
      </c>
      <c r="T3529">
        <v>-0.28713440000000001</v>
      </c>
      <c r="U3529">
        <v>-2.8595890000000002</v>
      </c>
      <c r="V3529">
        <v>0.14236360000000001</v>
      </c>
      <c r="W3529">
        <v>-1.5856100000000001E-3</v>
      </c>
      <c r="X3529">
        <v>0.9898131</v>
      </c>
      <c r="Y3529">
        <v>0.37551990000000002</v>
      </c>
      <c r="Z3529">
        <v>7.9221449999999999E-2</v>
      </c>
      <c r="AA3529">
        <v>0.92342230000000003</v>
      </c>
      <c r="AB3529">
        <v>25</v>
      </c>
      <c r="AC3529">
        <v>-4.5227999999999797</v>
      </c>
      <c r="AD3529">
        <v>-1.1076599157383</v>
      </c>
      <c r="AE3529">
        <v>-10.891499999999899</v>
      </c>
      <c r="AF3529">
        <v>4.4541244706975203</v>
      </c>
      <c r="AG3529">
        <v>-1.1076599157383</v>
      </c>
      <c r="AH3529">
        <v>10.808308769306599</v>
      </c>
      <c r="AI3529">
        <v>95.412721371587295</v>
      </c>
      <c r="AJ3529">
        <v>67.603348402477096</v>
      </c>
      <c r="AK3529">
        <v>11.742473067547101</v>
      </c>
      <c r="AL3529">
        <v>90.090848804395705</v>
      </c>
      <c r="AM3529">
        <v>81.815348390555698</v>
      </c>
      <c r="AN3529">
        <v>0.99999994084781896</v>
      </c>
    </row>
    <row r="3530" spans="1:40" x14ac:dyDescent="0.25">
      <c r="A3530" t="str">
        <f>"20190305135900948"</f>
        <v>20190305135900948</v>
      </c>
      <c r="B3530" t="str">
        <f>"1551765540942763"</f>
        <v>1551765540942763</v>
      </c>
      <c r="C3530" t="s">
        <v>40</v>
      </c>
      <c r="D3530">
        <v>4.281625</v>
      </c>
      <c r="E3530">
        <v>0.59001579999999998</v>
      </c>
      <c r="F3530" t="s">
        <v>42</v>
      </c>
      <c r="G3530">
        <v>-192.36529999999999</v>
      </c>
      <c r="H3530" s="1">
        <v>-8.9232050000000005E-7</v>
      </c>
      <c r="I3530">
        <v>170.2021</v>
      </c>
      <c r="J3530">
        <v>-187.88640000000001</v>
      </c>
      <c r="K3530">
        <v>1.1076589999999999</v>
      </c>
      <c r="L3530">
        <v>180.9693</v>
      </c>
      <c r="M3530">
        <v>-4.0936749999999997E-3</v>
      </c>
      <c r="N3530">
        <v>-1.338696E-2</v>
      </c>
      <c r="O3530">
        <v>-0.99990210000000002</v>
      </c>
      <c r="P3530">
        <v>-0.14969060000000001</v>
      </c>
      <c r="Q3530">
        <v>-1.407456E-2</v>
      </c>
      <c r="R3530">
        <v>-0.98863290000000004</v>
      </c>
      <c r="S3530">
        <v>-1.1720729999999999</v>
      </c>
      <c r="T3530">
        <v>-0.28973199999999999</v>
      </c>
      <c r="U3530">
        <v>-2.8563999999999998</v>
      </c>
      <c r="V3530">
        <v>0.1456375</v>
      </c>
      <c r="W3530">
        <v>-1.39688799999999E-3</v>
      </c>
      <c r="X3530">
        <v>0.98933700000000002</v>
      </c>
      <c r="Y3530">
        <v>0.3743455</v>
      </c>
      <c r="Z3530">
        <v>8.0179790000000001E-2</v>
      </c>
      <c r="AA3530">
        <v>0.92381630000000003</v>
      </c>
      <c r="AB3530">
        <v>25</v>
      </c>
      <c r="AC3530">
        <v>-4.4788999999999799</v>
      </c>
      <c r="AD3530">
        <v>-1.1076598923205001</v>
      </c>
      <c r="AE3530">
        <v>-10.767200000000001</v>
      </c>
      <c r="AF3530">
        <v>4.3951288836910898</v>
      </c>
      <c r="AG3530">
        <v>-1.1076598923205001</v>
      </c>
      <c r="AH3530">
        <v>10.689011848686</v>
      </c>
      <c r="AI3530">
        <v>95.474527946383205</v>
      </c>
      <c r="AJ3530">
        <v>67.648419094700202</v>
      </c>
      <c r="AK3530">
        <v>11.6102989902354</v>
      </c>
      <c r="AL3530">
        <v>90.0800358155917</v>
      </c>
      <c r="AM3530">
        <v>81.625794348322799</v>
      </c>
      <c r="AN3530">
        <v>0.999999966135666</v>
      </c>
    </row>
    <row r="3531" spans="1:40" x14ac:dyDescent="0.25">
      <c r="A3531" t="str">
        <f>"20190305135900962"</f>
        <v>20190305135900962</v>
      </c>
      <c r="B3531" t="str">
        <f>"1551765540952523"</f>
        <v>1551765540952523</v>
      </c>
      <c r="C3531" t="s">
        <v>40</v>
      </c>
      <c r="D3531">
        <v>4.3982650000000003</v>
      </c>
      <c r="E3531">
        <v>0.58886019999999994</v>
      </c>
      <c r="F3531" t="s">
        <v>42</v>
      </c>
      <c r="G3531">
        <v>-192.4853</v>
      </c>
      <c r="H3531" s="1">
        <v>-7.6335790000000003E-7</v>
      </c>
      <c r="I3531">
        <v>169.8271</v>
      </c>
      <c r="J3531">
        <v>-187.88849999999999</v>
      </c>
      <c r="K3531">
        <v>1.1076589999999999</v>
      </c>
      <c r="L3531">
        <v>180.81630000000001</v>
      </c>
      <c r="M3531">
        <v>-5.4917569999999999E-3</v>
      </c>
      <c r="N3531">
        <v>-1.3385350000000001E-2</v>
      </c>
      <c r="O3531">
        <v>-0.9998956</v>
      </c>
      <c r="P3531">
        <v>-0.15436159999999999</v>
      </c>
      <c r="Q3531">
        <v>-1.418901E-2</v>
      </c>
      <c r="R3531">
        <v>-0.98791320000000005</v>
      </c>
      <c r="S3531">
        <v>-1.1772309999999999</v>
      </c>
      <c r="T3531">
        <v>-0.28354069999999998</v>
      </c>
      <c r="U3531">
        <v>-2.8522029999999998</v>
      </c>
      <c r="V3531">
        <v>0.14892849999999999</v>
      </c>
      <c r="W3531">
        <v>-1.5331419999999999E-3</v>
      </c>
      <c r="X3531">
        <v>0.98884680000000003</v>
      </c>
      <c r="Y3531">
        <v>0.37501699999999999</v>
      </c>
      <c r="Z3531">
        <v>7.8282539999999998E-2</v>
      </c>
      <c r="AA3531">
        <v>0.92370669999999999</v>
      </c>
      <c r="AB3531">
        <v>25</v>
      </c>
      <c r="AC3531">
        <v>-4.5968</v>
      </c>
      <c r="AD3531">
        <v>-1.1076597633579</v>
      </c>
      <c r="AE3531">
        <v>-10.9892</v>
      </c>
      <c r="AF3531">
        <v>4.4974867418944404</v>
      </c>
      <c r="AG3531">
        <v>-1.1076597633579</v>
      </c>
      <c r="AH3531">
        <v>10.9198600192539</v>
      </c>
      <c r="AI3531">
        <v>95.358198793330601</v>
      </c>
      <c r="AJ3531">
        <v>67.6150477760673</v>
      </c>
      <c r="AK3531">
        <v>11.861603600903999</v>
      </c>
      <c r="AL3531">
        <v>90.087842598540007</v>
      </c>
      <c r="AM3531">
        <v>81.435153361595198</v>
      </c>
      <c r="AN3531">
        <v>1.0000000212534399</v>
      </c>
    </row>
    <row r="3532" spans="1:40" x14ac:dyDescent="0.25">
      <c r="A3532" t="str">
        <f>"20190305135900981"</f>
        <v>20190305135900981</v>
      </c>
      <c r="B3532" t="str">
        <f>"1551765540972043"</f>
        <v>1551765540972043</v>
      </c>
      <c r="C3532" t="s">
        <v>40</v>
      </c>
      <c r="D3532">
        <v>4.412013</v>
      </c>
      <c r="E3532">
        <v>0.5872098</v>
      </c>
      <c r="F3532" t="s">
        <v>42</v>
      </c>
      <c r="G3532">
        <v>-192.5658</v>
      </c>
      <c r="H3532" s="1">
        <v>-5.1619819999999998E-6</v>
      </c>
      <c r="I3532">
        <v>169.54300000000001</v>
      </c>
      <c r="J3532">
        <v>-187.892</v>
      </c>
      <c r="K3532">
        <v>1.1076619999999999</v>
      </c>
      <c r="L3532">
        <v>180.5977</v>
      </c>
      <c r="M3532">
        <v>-7.4854539999999999E-3</v>
      </c>
      <c r="N3532">
        <v>-1.3382990000000001E-2</v>
      </c>
      <c r="O3532">
        <v>-0.99988250000000001</v>
      </c>
      <c r="P3532">
        <v>-0.16374939999999999</v>
      </c>
      <c r="Q3532">
        <v>-1.441982E-2</v>
      </c>
      <c r="R3532">
        <v>-0.98639670000000002</v>
      </c>
      <c r="S3532">
        <v>-1.181656</v>
      </c>
      <c r="T3532">
        <v>-0.279839</v>
      </c>
      <c r="U3532">
        <v>-2.848068</v>
      </c>
      <c r="V3532">
        <v>0.15635460000000001</v>
      </c>
      <c r="W3532">
        <v>-1.8101409999999999E-3</v>
      </c>
      <c r="X3532">
        <v>0.98769929999999995</v>
      </c>
      <c r="Y3532">
        <v>0.37490319999999999</v>
      </c>
      <c r="Z3532">
        <v>7.7198660000000002E-2</v>
      </c>
      <c r="AA3532">
        <v>0.92384409999999895</v>
      </c>
      <c r="AB3532">
        <v>25</v>
      </c>
      <c r="AC3532">
        <v>-4.6738</v>
      </c>
      <c r="AD3532">
        <v>-1.107667161982</v>
      </c>
      <c r="AE3532">
        <v>-11.054699999999899</v>
      </c>
      <c r="AF3532">
        <v>4.5521401521266398</v>
      </c>
      <c r="AG3532">
        <v>-1.107667161982</v>
      </c>
      <c r="AH3532">
        <v>10.9957247864154</v>
      </c>
      <c r="AI3532">
        <v>95.317506386246393</v>
      </c>
      <c r="AJ3532">
        <v>67.5108450041174</v>
      </c>
      <c r="AK3532">
        <v>11.952191016082599</v>
      </c>
      <c r="AL3532">
        <v>90.103713499125703</v>
      </c>
      <c r="AM3532">
        <v>81.004617829670593</v>
      </c>
      <c r="AN3532">
        <v>0.99999997238604399</v>
      </c>
    </row>
    <row r="3533" spans="1:40" x14ac:dyDescent="0.25">
      <c r="A3533" t="str">
        <f>"20190305135901005"</f>
        <v>20190305135901005</v>
      </c>
      <c r="B3533" t="str">
        <f>"1551765540992539"</f>
        <v>1551765540992539</v>
      </c>
      <c r="C3533" t="s">
        <v>40</v>
      </c>
      <c r="D3533">
        <v>4.4149919999999998</v>
      </c>
      <c r="E3533">
        <v>0.58559910000000004</v>
      </c>
      <c r="F3533" t="s">
        <v>42</v>
      </c>
      <c r="G3533">
        <v>-192.5583</v>
      </c>
      <c r="H3533" s="1">
        <v>-5.1525610000000004E-6</v>
      </c>
      <c r="I3533">
        <v>169.52199999999999</v>
      </c>
      <c r="J3533">
        <v>-187.89680000000001</v>
      </c>
      <c r="K3533">
        <v>1.1076710000000001</v>
      </c>
      <c r="L3533">
        <v>180.3374</v>
      </c>
      <c r="M3533">
        <v>-9.8396040000000001E-3</v>
      </c>
      <c r="N3533">
        <v>-1.338019E-2</v>
      </c>
      <c r="O3533">
        <v>-0.99986229999999998</v>
      </c>
      <c r="P3533">
        <v>-0.17456160000000001</v>
      </c>
      <c r="Q3533">
        <v>-1.4721990000000001E-2</v>
      </c>
      <c r="R3533">
        <v>-0.98453650000000004</v>
      </c>
      <c r="S3533">
        <v>-1.195953</v>
      </c>
      <c r="T3533">
        <v>-0.28389429999999999</v>
      </c>
      <c r="U3533">
        <v>-2.8386990000000001</v>
      </c>
      <c r="V3533">
        <v>0.1648577</v>
      </c>
      <c r="W3533">
        <v>-2.1626229999999998E-3</v>
      </c>
      <c r="X3533">
        <v>0.98631500000000005</v>
      </c>
      <c r="Y3533">
        <v>0.3777085</v>
      </c>
      <c r="Z3533">
        <v>7.8644599999999995E-2</v>
      </c>
      <c r="AA3533">
        <v>0.92257860000000003</v>
      </c>
      <c r="AB3533">
        <v>25</v>
      </c>
      <c r="AC3533">
        <v>-4.6614999999999798</v>
      </c>
      <c r="AD3533">
        <v>-1.1076761525609999</v>
      </c>
      <c r="AE3533">
        <v>-10.815399999999901</v>
      </c>
      <c r="AF3533">
        <v>4.5149071760375401</v>
      </c>
      <c r="AG3533">
        <v>-1.1076761525609999</v>
      </c>
      <c r="AH3533">
        <v>10.765517179706</v>
      </c>
      <c r="AI3533">
        <v>95.420257425589298</v>
      </c>
      <c r="AJ3533">
        <v>67.247505339043599</v>
      </c>
      <c r="AK3533">
        <v>11.7263674432338</v>
      </c>
      <c r="AL3533">
        <v>90.123909266085207</v>
      </c>
      <c r="AM3533">
        <v>80.511009613834503</v>
      </c>
      <c r="AN3533">
        <v>1.0000000087062599</v>
      </c>
    </row>
    <row r="3534" spans="1:40" x14ac:dyDescent="0.25">
      <c r="A3534" t="str">
        <f>"20190305135901024"</f>
        <v>20190305135901024</v>
      </c>
      <c r="B3534" t="str">
        <f>"1551765541022796"</f>
        <v>1551765541022796</v>
      </c>
      <c r="C3534" t="s">
        <v>40</v>
      </c>
      <c r="D3534">
        <v>4.4180789999999996</v>
      </c>
      <c r="E3534">
        <v>0.57362349999999995</v>
      </c>
      <c r="F3534" t="s">
        <v>42</v>
      </c>
      <c r="G3534">
        <v>-192.6028</v>
      </c>
      <c r="H3534" s="1">
        <v>-5.1061829999999997E-6</v>
      </c>
      <c r="I3534">
        <v>169.38059999999999</v>
      </c>
      <c r="J3534">
        <v>-187.9015</v>
      </c>
      <c r="K3534">
        <v>1.107704</v>
      </c>
      <c r="L3534">
        <v>180.10429999999999</v>
      </c>
      <c r="M3534">
        <v>-1.191854E-2</v>
      </c>
      <c r="N3534">
        <v>-1.3377669999999999E-2</v>
      </c>
      <c r="O3534">
        <v>-0.99983960000000005</v>
      </c>
      <c r="P3534">
        <v>-0.18467140000000001</v>
      </c>
      <c r="Q3534">
        <v>-1.139077E-2</v>
      </c>
      <c r="R3534">
        <v>-0.98273460000000001</v>
      </c>
      <c r="S3534">
        <v>-1.2144469999999901</v>
      </c>
      <c r="T3534">
        <v>-0.28584680000000001</v>
      </c>
      <c r="U3534">
        <v>-2.827499</v>
      </c>
      <c r="V3534">
        <v>0.17294999999999999</v>
      </c>
      <c r="W3534">
        <v>1.1242069999999999E-3</v>
      </c>
      <c r="X3534">
        <v>0.98492999999999997</v>
      </c>
      <c r="Y3534">
        <v>0.38216450000000002</v>
      </c>
      <c r="Z3534">
        <v>7.9411099999999998E-2</v>
      </c>
      <c r="AA3534">
        <v>0.92067589999999999</v>
      </c>
      <c r="AB3534">
        <v>25</v>
      </c>
      <c r="AC3534">
        <v>-4.7012999999999998</v>
      </c>
      <c r="AD3534">
        <v>-1.107709106183</v>
      </c>
      <c r="AE3534">
        <v>-10.723699999999999</v>
      </c>
      <c r="AF3534">
        <v>4.5325780048409197</v>
      </c>
      <c r="AG3534">
        <v>-1.107709106183</v>
      </c>
      <c r="AH3534">
        <v>10.683361694530101</v>
      </c>
      <c r="AI3534">
        <v>95.452372506172594</v>
      </c>
      <c r="AJ3534">
        <v>67.010179937246505</v>
      </c>
      <c r="AK3534">
        <v>11.6578514285456</v>
      </c>
      <c r="AL3534">
        <v>89.9355876723275</v>
      </c>
      <c r="AM3534">
        <v>80.040611204288496</v>
      </c>
      <c r="AN3534">
        <v>1.00000003562068</v>
      </c>
    </row>
    <row r="3535" spans="1:40" x14ac:dyDescent="0.25">
      <c r="A3535" t="str">
        <f>"20190305135901047"</f>
        <v>20190305135901047</v>
      </c>
      <c r="B3535" t="str">
        <f>"1551765541042315"</f>
        <v>1551765541042315</v>
      </c>
      <c r="C3535" t="s">
        <v>40</v>
      </c>
      <c r="D3535">
        <v>4.3238899999999996</v>
      </c>
      <c r="E3535">
        <v>0.57249289999999997</v>
      </c>
      <c r="F3535" t="s">
        <v>42</v>
      </c>
      <c r="G3535">
        <v>-193.69409999999999</v>
      </c>
      <c r="H3535" s="1">
        <v>-3.9028990000000001E-6</v>
      </c>
      <c r="I3535">
        <v>165.7688</v>
      </c>
      <c r="J3535">
        <v>-187.90690000000001</v>
      </c>
      <c r="K3535">
        <v>1.1077490000000001</v>
      </c>
      <c r="L3535">
        <v>179.8586</v>
      </c>
      <c r="M3535">
        <v>-1.406051E-2</v>
      </c>
      <c r="N3535">
        <v>-1.3374820000000001E-2</v>
      </c>
      <c r="O3535">
        <v>-0.99981189999999998</v>
      </c>
      <c r="P3535">
        <v>-0.1940067</v>
      </c>
      <c r="Q3535">
        <v>-8.18920699999999E-3</v>
      </c>
      <c r="R3535">
        <v>-0.98096629999999996</v>
      </c>
      <c r="S3535">
        <v>-1.1455229999999901</v>
      </c>
      <c r="T3535">
        <v>-0.21905649999999999</v>
      </c>
      <c r="U3535">
        <v>-2.8349299999999999</v>
      </c>
      <c r="V3535">
        <v>0.1802107</v>
      </c>
      <c r="W3535">
        <v>4.2922999999999998E-3</v>
      </c>
      <c r="X3535">
        <v>0.98361869999999996</v>
      </c>
      <c r="Y3535">
        <v>0.360736</v>
      </c>
      <c r="Z3535">
        <v>5.8331349999999997E-2</v>
      </c>
      <c r="AA3535">
        <v>0.93084210000000001</v>
      </c>
      <c r="AB3535">
        <v>25</v>
      </c>
      <c r="AC3535">
        <v>-5.7871999999999799</v>
      </c>
      <c r="AD3535">
        <v>-1.1077529028990001</v>
      </c>
      <c r="AE3535">
        <v>-14.089799999999901</v>
      </c>
      <c r="AF3535">
        <v>5.5590984368148098</v>
      </c>
      <c r="AG3535">
        <v>-1.1077529028990001</v>
      </c>
      <c r="AH3535">
        <v>14.095235848162099</v>
      </c>
      <c r="AI3535">
        <v>94.181453026320099</v>
      </c>
      <c r="AJ3535">
        <v>68.475943970563193</v>
      </c>
      <c r="AK3535">
        <v>15.192312712006499</v>
      </c>
      <c r="AL3535">
        <v>89.754068578691403</v>
      </c>
      <c r="AM3535">
        <v>79.617870931152098</v>
      </c>
      <c r="AN3535">
        <v>1.0000000336117301</v>
      </c>
    </row>
    <row r="3536" spans="1:40" x14ac:dyDescent="0.25">
      <c r="A3536" t="str">
        <f>"20190305135901061"</f>
        <v>20190305135901061</v>
      </c>
      <c r="B3536" t="str">
        <f>"1551765541052075"</f>
        <v>1551765541052075</v>
      </c>
      <c r="C3536" t="s">
        <v>40</v>
      </c>
      <c r="D3536">
        <v>4.3545309999999997</v>
      </c>
      <c r="E3536">
        <v>0.57123749999999995</v>
      </c>
      <c r="F3536" t="s">
        <v>42</v>
      </c>
      <c r="G3536">
        <v>-194.26599999999999</v>
      </c>
      <c r="H3536" s="1">
        <v>-3.40928E-6</v>
      </c>
      <c r="I3536">
        <v>164.40260000000001</v>
      </c>
      <c r="J3536">
        <v>-187.911</v>
      </c>
      <c r="K3536">
        <v>1.107782</v>
      </c>
      <c r="L3536">
        <v>179.68530000000001</v>
      </c>
      <c r="M3536">
        <v>-1.5535459999999999E-2</v>
      </c>
      <c r="N3536">
        <v>-1.337268E-2</v>
      </c>
      <c r="O3536">
        <v>-0.99979010000000001</v>
      </c>
      <c r="P3536">
        <v>-0.1988472</v>
      </c>
      <c r="Q3536">
        <v>-7.6858680000000002E-3</v>
      </c>
      <c r="R3536">
        <v>-0.9800006</v>
      </c>
      <c r="S3536">
        <v>-1.1629179999999999</v>
      </c>
      <c r="T3536">
        <v>-0.20258000000000001</v>
      </c>
      <c r="U3536">
        <v>-2.826508</v>
      </c>
      <c r="V3536">
        <v>0.1836159</v>
      </c>
      <c r="W3536">
        <v>4.7867750000000001E-3</v>
      </c>
      <c r="X3536">
        <v>0.98298649999999999</v>
      </c>
      <c r="Y3536">
        <v>0.36535200000000001</v>
      </c>
      <c r="Z3536">
        <v>5.3015390000000003E-2</v>
      </c>
      <c r="AA3536">
        <v>0.92935849999999998</v>
      </c>
      <c r="AB3536">
        <v>25</v>
      </c>
      <c r="AC3536">
        <v>-6.3550000000000102</v>
      </c>
      <c r="AD3536">
        <v>-1.1077854092799999</v>
      </c>
      <c r="AE3536">
        <v>-15.2827</v>
      </c>
      <c r="AF3536">
        <v>6.0895090538152896</v>
      </c>
      <c r="AG3536">
        <v>-1.1077854092799999</v>
      </c>
      <c r="AH3536">
        <v>15.311003916908501</v>
      </c>
      <c r="AI3536">
        <v>93.8462113660011</v>
      </c>
      <c r="AJ3536">
        <v>68.311241262135695</v>
      </c>
      <c r="AK3536">
        <v>16.514725246672999</v>
      </c>
      <c r="AL3536">
        <v>89.725736971107196</v>
      </c>
      <c r="AM3536">
        <v>79.419431256060406</v>
      </c>
      <c r="AN3536">
        <v>1.00000008556497</v>
      </c>
    </row>
    <row r="3537" spans="1:40" x14ac:dyDescent="0.25">
      <c r="A3537" t="str">
        <f>"20190305135901074"</f>
        <v>20190305135901074</v>
      </c>
      <c r="B3537" t="str">
        <f>"1551765541072571"</f>
        <v>1551765541072571</v>
      </c>
      <c r="C3537" t="s">
        <v>40</v>
      </c>
      <c r="D3537">
        <v>4.3796290000000004</v>
      </c>
      <c r="E3537">
        <v>0.56959559999999998</v>
      </c>
      <c r="F3537" t="s">
        <v>42</v>
      </c>
      <c r="G3537">
        <v>-194.48830000000001</v>
      </c>
      <c r="H3537" s="1">
        <v>-3.1706210000000001E-6</v>
      </c>
      <c r="I3537">
        <v>163.77260000000001</v>
      </c>
      <c r="J3537">
        <v>-187.91480000000001</v>
      </c>
      <c r="K3537">
        <v>1.1078140000000001</v>
      </c>
      <c r="L3537">
        <v>179.53309999999999</v>
      </c>
      <c r="M3537">
        <v>-1.679659E-2</v>
      </c>
      <c r="N3537">
        <v>-1.337064E-2</v>
      </c>
      <c r="O3537">
        <v>-0.99976949999999998</v>
      </c>
      <c r="P3537">
        <v>-0.20339370000000001</v>
      </c>
      <c r="Q3537">
        <v>-7.0566580000000004E-3</v>
      </c>
      <c r="R3537">
        <v>-0.97907169999999999</v>
      </c>
      <c r="S3537">
        <v>-1.1668240000000001</v>
      </c>
      <c r="T3537">
        <v>-0.1965237</v>
      </c>
      <c r="U3537">
        <v>-2.822937</v>
      </c>
      <c r="V3537">
        <v>0.1869391</v>
      </c>
      <c r="W3537">
        <v>5.4085629999999999E-3</v>
      </c>
      <c r="X3537">
        <v>0.98235660000000002</v>
      </c>
      <c r="Y3537">
        <v>0.36573309999999998</v>
      </c>
      <c r="Z3537">
        <v>5.1097110000000001E-2</v>
      </c>
      <c r="AA3537">
        <v>0.92931609999999998</v>
      </c>
      <c r="AB3537">
        <v>25</v>
      </c>
      <c r="AC3537">
        <v>-6.5734999999999904</v>
      </c>
      <c r="AD3537">
        <v>-1.1078171706209901</v>
      </c>
      <c r="AE3537">
        <v>-15.760499999999899</v>
      </c>
      <c r="AF3537">
        <v>6.28139002198259</v>
      </c>
      <c r="AG3537">
        <v>-1.1078171706209901</v>
      </c>
      <c r="AH3537">
        <v>15.8021926617561</v>
      </c>
      <c r="AI3537">
        <v>93.727386866443695</v>
      </c>
      <c r="AJ3537">
        <v>68.3221214137114</v>
      </c>
      <c r="AK3537">
        <v>17.040904096058</v>
      </c>
      <c r="AL3537">
        <v>89.690110651246101</v>
      </c>
      <c r="AM3537">
        <v>79.225633161889604</v>
      </c>
      <c r="AN3537">
        <v>0.99999998461304695</v>
      </c>
    </row>
    <row r="3538" spans="1:40" x14ac:dyDescent="0.25">
      <c r="A3538" t="str">
        <f>"20190305135901092"</f>
        <v>20190305135901092</v>
      </c>
      <c r="B3538" t="str">
        <f>"1551765541082335"</f>
        <v>1551765541082335</v>
      </c>
      <c r="C3538" t="s">
        <v>40</v>
      </c>
      <c r="D3538">
        <v>4.3579230000000004</v>
      </c>
      <c r="E3538">
        <v>0.56880620000000004</v>
      </c>
      <c r="F3538" t="s">
        <v>42</v>
      </c>
      <c r="G3538">
        <v>-194.86510000000001</v>
      </c>
      <c r="H3538" s="1">
        <v>-2.7763969999999999E-6</v>
      </c>
      <c r="I3538">
        <v>162.72659999999999</v>
      </c>
      <c r="J3538">
        <v>-187.91990000000001</v>
      </c>
      <c r="K3538">
        <v>1.107856</v>
      </c>
      <c r="L3538">
        <v>179.34010000000001</v>
      </c>
      <c r="M3538">
        <v>-1.8347229999999999E-2</v>
      </c>
      <c r="N3538">
        <v>-1.336797E-2</v>
      </c>
      <c r="O3538">
        <v>-0.99974240000000003</v>
      </c>
      <c r="P3538">
        <v>-0.21139140000000001</v>
      </c>
      <c r="Q3538">
        <v>-7.4336649999999999E-3</v>
      </c>
      <c r="R3538">
        <v>-0.97737339999999995</v>
      </c>
      <c r="S3538">
        <v>-1.1663969999999999</v>
      </c>
      <c r="T3538">
        <v>-0.1859159</v>
      </c>
      <c r="U3538">
        <v>-2.8204959999999999</v>
      </c>
      <c r="V3538">
        <v>0.19344059999999999</v>
      </c>
      <c r="W3538">
        <v>5.0108870000000003E-3</v>
      </c>
      <c r="X3538">
        <v>0.98109919999999995</v>
      </c>
      <c r="Y3538">
        <v>0.36452610000000002</v>
      </c>
      <c r="Z3538">
        <v>4.7701880000000002E-2</v>
      </c>
      <c r="AA3538">
        <v>0.92997059999999998</v>
      </c>
      <c r="AB3538">
        <v>25</v>
      </c>
      <c r="AC3538">
        <v>-6.9451999999999998</v>
      </c>
      <c r="AD3538">
        <v>-1.107858776397</v>
      </c>
      <c r="AE3538">
        <v>-16.613499999999998</v>
      </c>
      <c r="AF3538">
        <v>6.6141554780202396</v>
      </c>
      <c r="AG3538">
        <v>-1.107858776397</v>
      </c>
      <c r="AH3538">
        <v>16.6750201802341</v>
      </c>
      <c r="AI3538">
        <v>93.533951089296195</v>
      </c>
      <c r="AJ3538">
        <v>68.364221775500198</v>
      </c>
      <c r="AK3538">
        <v>17.9730548813239</v>
      </c>
      <c r="AL3538">
        <v>89.712896123940297</v>
      </c>
      <c r="AM3538">
        <v>78.8462160923456</v>
      </c>
      <c r="AN3538">
        <v>1.0000000074787601</v>
      </c>
    </row>
    <row r="3539" spans="1:40" x14ac:dyDescent="0.25">
      <c r="A3539" t="str">
        <f>"20190305135901104"</f>
        <v>20190305135901104</v>
      </c>
      <c r="B3539" t="str">
        <f>"1551765541092092"</f>
        <v>1551765541092092</v>
      </c>
      <c r="C3539" t="s">
        <v>40</v>
      </c>
      <c r="D3539">
        <v>4.3131529999999998</v>
      </c>
      <c r="E3539">
        <v>0.56810850000000002</v>
      </c>
      <c r="F3539" t="s">
        <v>42</v>
      </c>
      <c r="G3539">
        <v>-195.0188</v>
      </c>
      <c r="H3539" s="1">
        <v>-2.6913980000000001E-6</v>
      </c>
      <c r="I3539">
        <v>162.46019999999999</v>
      </c>
      <c r="J3539">
        <v>-187.9238</v>
      </c>
      <c r="K3539">
        <v>1.1078889999999999</v>
      </c>
      <c r="L3539">
        <v>179.19839999999999</v>
      </c>
      <c r="M3539">
        <v>-1.9455030000000002E-2</v>
      </c>
      <c r="N3539">
        <v>-1.3365989999999999E-2</v>
      </c>
      <c r="O3539">
        <v>-0.99972159999999999</v>
      </c>
      <c r="P3539">
        <v>-0.21467459999999999</v>
      </c>
      <c r="Q3539">
        <v>-7.6117219999999996E-3</v>
      </c>
      <c r="R3539">
        <v>-0.97665610000000003</v>
      </c>
      <c r="S3539">
        <v>-1.182709</v>
      </c>
      <c r="T3539">
        <v>-0.18457270000000001</v>
      </c>
      <c r="U3539">
        <v>-2.8122410000000002</v>
      </c>
      <c r="V3539">
        <v>0.19564880000000001</v>
      </c>
      <c r="W3539">
        <v>4.8354119999999999E-3</v>
      </c>
      <c r="X3539">
        <v>0.98066209999999998</v>
      </c>
      <c r="Y3539">
        <v>0.36905270000000001</v>
      </c>
      <c r="Z3539">
        <v>4.7309030000000002E-2</v>
      </c>
      <c r="AA3539">
        <v>0.92820360000000002</v>
      </c>
      <c r="AB3539">
        <v>25</v>
      </c>
      <c r="AC3539">
        <v>-7.09499999999999</v>
      </c>
      <c r="AD3539">
        <v>-1.1078916913979999</v>
      </c>
      <c r="AE3539">
        <v>-16.738199999999999</v>
      </c>
      <c r="AF3539">
        <v>6.7429439751018503</v>
      </c>
      <c r="AG3539">
        <v>-1.1078916913979999</v>
      </c>
      <c r="AH3539">
        <v>16.810646343651801</v>
      </c>
      <c r="AI3539">
        <v>93.500250758894794</v>
      </c>
      <c r="AJ3539">
        <v>68.143710154289806</v>
      </c>
      <c r="AK3539">
        <v>18.1464197003862</v>
      </c>
      <c r="AL3539">
        <v>89.722950218970098</v>
      </c>
      <c r="AM3539">
        <v>78.717239132165005</v>
      </c>
      <c r="AN3539">
        <v>0.99999999426352904</v>
      </c>
    </row>
    <row r="3540" spans="1:40" x14ac:dyDescent="0.25">
      <c r="A3540" t="str">
        <f>"20190305135901119"</f>
        <v>20190305135901119</v>
      </c>
      <c r="B3540" t="str">
        <f>"1551765541112588"</f>
        <v>1551765541112588</v>
      </c>
      <c r="C3540" t="s">
        <v>40</v>
      </c>
      <c r="D3540">
        <v>4.3119750000000003</v>
      </c>
      <c r="E3540">
        <v>0.56763999999999903</v>
      </c>
      <c r="F3540" t="s">
        <v>42</v>
      </c>
      <c r="G3540">
        <v>-195.12200000000001</v>
      </c>
      <c r="H3540" s="1">
        <v>-2.573378E-6</v>
      </c>
      <c r="I3540">
        <v>162.1525</v>
      </c>
      <c r="J3540">
        <v>-187.9281</v>
      </c>
      <c r="K3540">
        <v>1.107928</v>
      </c>
      <c r="L3540">
        <v>179.0412</v>
      </c>
      <c r="M3540">
        <v>-2.0660379999999999E-2</v>
      </c>
      <c r="N3540">
        <v>-1.336382E-2</v>
      </c>
      <c r="O3540">
        <v>-0.99969710000000001</v>
      </c>
      <c r="P3540">
        <v>-0.21740309999999999</v>
      </c>
      <c r="Q3540">
        <v>-7.787871E-3</v>
      </c>
      <c r="R3540">
        <v>-0.9760508</v>
      </c>
      <c r="S3540">
        <v>-1.186401</v>
      </c>
      <c r="T3540">
        <v>-0.1826005</v>
      </c>
      <c r="U3540">
        <v>-2.8094790000000001</v>
      </c>
      <c r="V3540">
        <v>0.19720570000000001</v>
      </c>
      <c r="W3540">
        <v>4.6670890000000001E-3</v>
      </c>
      <c r="X3540">
        <v>0.98035099999999997</v>
      </c>
      <c r="Y3540">
        <v>0.36930669999999999</v>
      </c>
      <c r="Z3540">
        <v>4.6703219999999997E-2</v>
      </c>
      <c r="AA3540">
        <v>0.92813319999999999</v>
      </c>
      <c r="AB3540">
        <v>25</v>
      </c>
      <c r="AC3540">
        <v>-7.19390000000001</v>
      </c>
      <c r="AD3540">
        <v>-1.107930573378</v>
      </c>
      <c r="AE3540">
        <v>-16.8887</v>
      </c>
      <c r="AF3540">
        <v>6.8185682001294596</v>
      </c>
      <c r="AG3540">
        <v>-1.107930573378</v>
      </c>
      <c r="AH3540">
        <v>16.9719133186587</v>
      </c>
      <c r="AI3540">
        <v>93.466423740511601</v>
      </c>
      <c r="AJ3540">
        <v>68.111908550371894</v>
      </c>
      <c r="AK3540">
        <v>18.323924911200301</v>
      </c>
      <c r="AL3540">
        <v>89.7325945206439</v>
      </c>
      <c r="AM3540">
        <v>78.626270867623205</v>
      </c>
      <c r="AN3540">
        <v>0.99999997651661099</v>
      </c>
    </row>
    <row r="3541" spans="1:40" x14ac:dyDescent="0.25">
      <c r="A3541" t="str">
        <f>"20190305135901135"</f>
        <v>20190305135901135</v>
      </c>
      <c r="B3541" t="str">
        <f>"1551765541132107"</f>
        <v>1551765541132107</v>
      </c>
      <c r="C3541" t="s">
        <v>40</v>
      </c>
      <c r="D3541">
        <v>4.3264620000000003</v>
      </c>
      <c r="E3541">
        <v>0.56616080000000002</v>
      </c>
      <c r="F3541" t="s">
        <v>42</v>
      </c>
      <c r="G3541">
        <v>-195.24520000000001</v>
      </c>
      <c r="H3541" s="1">
        <v>-2.4331160000000001E-6</v>
      </c>
      <c r="I3541">
        <v>161.78649999999999</v>
      </c>
      <c r="J3541">
        <v>-187.93369999999999</v>
      </c>
      <c r="K3541">
        <v>1.107969</v>
      </c>
      <c r="L3541">
        <v>178.85130000000001</v>
      </c>
      <c r="M3541">
        <v>-2.2068850000000001E-2</v>
      </c>
      <c r="N3541">
        <v>-1.336127E-2</v>
      </c>
      <c r="O3541">
        <v>-0.99966719999999998</v>
      </c>
      <c r="P3541">
        <v>-0.22052250000000001</v>
      </c>
      <c r="Q3541">
        <v>-7.4244069999999896E-3</v>
      </c>
      <c r="R3541">
        <v>-0.9753541</v>
      </c>
      <c r="S3541">
        <v>-1.190353</v>
      </c>
      <c r="T3541">
        <v>-0.18024129999999999</v>
      </c>
      <c r="U3541">
        <v>-2.8070529999999998</v>
      </c>
      <c r="V3541">
        <v>0.19895889999999999</v>
      </c>
      <c r="W3541">
        <v>5.0375890000000003E-3</v>
      </c>
      <c r="X3541">
        <v>0.9799949</v>
      </c>
      <c r="Y3541">
        <v>0.36940849999999997</v>
      </c>
      <c r="Z3541">
        <v>4.5964520000000002E-2</v>
      </c>
      <c r="AA3541">
        <v>0.92812969999999895</v>
      </c>
      <c r="AB3541">
        <v>25</v>
      </c>
      <c r="AC3541">
        <v>-7.3115000000000201</v>
      </c>
      <c r="AD3541">
        <v>-1.107971433116</v>
      </c>
      <c r="AE3541">
        <v>-17.064800000000002</v>
      </c>
      <c r="AF3541">
        <v>6.9084788252239298</v>
      </c>
      <c r="AG3541">
        <v>-1.107971433116</v>
      </c>
      <c r="AH3541">
        <v>17.160891739660801</v>
      </c>
      <c r="AI3541">
        <v>93.4275036998731</v>
      </c>
      <c r="AJ3541">
        <v>68.071709780786094</v>
      </c>
      <c r="AK3541">
        <v>18.532427948747799</v>
      </c>
      <c r="AL3541">
        <v>89.711366194217803</v>
      </c>
      <c r="AM3541">
        <v>78.523767601899195</v>
      </c>
      <c r="AN3541">
        <v>1.00000001260907</v>
      </c>
    </row>
    <row r="3542" spans="1:40" x14ac:dyDescent="0.25">
      <c r="A3542" t="str">
        <f>"20190305135901147"</f>
        <v>20190305135901147</v>
      </c>
      <c r="B3542" t="str">
        <f>"1551765541142843"</f>
        <v>1551765541142843</v>
      </c>
      <c r="C3542" t="s">
        <v>40</v>
      </c>
      <c r="D3542">
        <v>4.3224660000000004</v>
      </c>
      <c r="E3542">
        <v>0.56554329999999997</v>
      </c>
      <c r="F3542" t="s">
        <v>42</v>
      </c>
      <c r="G3542">
        <v>-195.3366</v>
      </c>
      <c r="H3542" s="1">
        <v>-2.2563290000000001E-6</v>
      </c>
      <c r="I3542">
        <v>161.36099999999999</v>
      </c>
      <c r="J3542">
        <v>-187.93790000000001</v>
      </c>
      <c r="K3542">
        <v>1.107996</v>
      </c>
      <c r="L3542">
        <v>178.715</v>
      </c>
      <c r="M3542">
        <v>-2.305979E-2</v>
      </c>
      <c r="N3542">
        <v>-1.335955E-2</v>
      </c>
      <c r="O3542">
        <v>-0.99964489999999995</v>
      </c>
      <c r="P3542">
        <v>-0.22198580000000001</v>
      </c>
      <c r="Q3542">
        <v>-6.7560299999999997E-3</v>
      </c>
      <c r="R3542">
        <v>-0.97502630000000001</v>
      </c>
      <c r="S3542">
        <v>-1.1876370000000001</v>
      </c>
      <c r="T3542">
        <v>-0.17775089999999999</v>
      </c>
      <c r="U3542">
        <v>-2.8059539999999998</v>
      </c>
      <c r="V3542">
        <v>0.19945959999999999</v>
      </c>
      <c r="W3542">
        <v>5.7137339999999998E-3</v>
      </c>
      <c r="X3542">
        <v>0.97988940000000002</v>
      </c>
      <c r="Y3542">
        <v>0.36787209999999998</v>
      </c>
      <c r="Z3542">
        <v>4.5200579999999997E-2</v>
      </c>
      <c r="AA3542">
        <v>0.92877719999999997</v>
      </c>
      <c r="AB3542">
        <v>25</v>
      </c>
      <c r="AC3542">
        <v>-7.3986999999999901</v>
      </c>
      <c r="AD3542">
        <v>-1.1079982563290001</v>
      </c>
      <c r="AE3542">
        <v>-17.353999999999999</v>
      </c>
      <c r="AF3542">
        <v>6.9724659137960803</v>
      </c>
      <c r="AG3542">
        <v>-1.1079982563290001</v>
      </c>
      <c r="AH3542">
        <v>17.459785866723799</v>
      </c>
      <c r="AI3542">
        <v>93.372794546927295</v>
      </c>
      <c r="AJ3542">
        <v>68.230984913141299</v>
      </c>
      <c r="AK3542">
        <v>18.833137379813301</v>
      </c>
      <c r="AL3542">
        <v>89.672625377695198</v>
      </c>
      <c r="AM3542">
        <v>78.494450012283806</v>
      </c>
      <c r="AN3542">
        <v>1.0000000075103701</v>
      </c>
    </row>
    <row r="3543" spans="1:40" x14ac:dyDescent="0.25">
      <c r="A3543" t="str">
        <f>"20190305135901161"</f>
        <v>20190305135901161</v>
      </c>
      <c r="B3543" t="str">
        <f>"1551765541152604"</f>
        <v>1551765541152604</v>
      </c>
      <c r="C3543" t="s">
        <v>40</v>
      </c>
      <c r="D3543">
        <v>4.182366</v>
      </c>
      <c r="E3543">
        <v>0.56554329999999997</v>
      </c>
      <c r="F3543" t="s">
        <v>42</v>
      </c>
      <c r="G3543">
        <v>-195.50200000000001</v>
      </c>
      <c r="H3543" s="1">
        <v>-2.050917E-6</v>
      </c>
      <c r="I3543">
        <v>160.83340000000001</v>
      </c>
      <c r="J3543">
        <v>-187.94290000000001</v>
      </c>
      <c r="K3543">
        <v>1.1080239999999999</v>
      </c>
      <c r="L3543">
        <v>178.5531</v>
      </c>
      <c r="M3543">
        <v>-2.4225549999999998E-2</v>
      </c>
      <c r="N3543">
        <v>-1.3357620000000001E-2</v>
      </c>
      <c r="O3543">
        <v>-0.99961750000000005</v>
      </c>
      <c r="P3543">
        <v>-0.22407750000000001</v>
      </c>
      <c r="Q3543">
        <v>-6.0814160000000001E-3</v>
      </c>
      <c r="R3543">
        <v>-0.97455270000000005</v>
      </c>
      <c r="S3543">
        <v>-1.1867219999999901</v>
      </c>
      <c r="T3543">
        <v>-0.17383270000000001</v>
      </c>
      <c r="U3543">
        <v>-2.8054350000000001</v>
      </c>
      <c r="V3543">
        <v>0.20042099999999999</v>
      </c>
      <c r="W3543">
        <v>6.3922609999999998E-3</v>
      </c>
      <c r="X3543">
        <v>0.97968900000000003</v>
      </c>
      <c r="Y3543">
        <v>0.36661759999999999</v>
      </c>
      <c r="Z3543">
        <v>4.3945570000000003E-2</v>
      </c>
      <c r="AA3543">
        <v>0.92933330000000003</v>
      </c>
      <c r="AB3543">
        <v>25</v>
      </c>
      <c r="AC3543">
        <v>-7.5590999999999999</v>
      </c>
      <c r="AD3543">
        <v>-1.1080260509169999</v>
      </c>
      <c r="AE3543">
        <v>-17.7196999999999</v>
      </c>
      <c r="AF3543">
        <v>7.1040725967526202</v>
      </c>
      <c r="AG3543">
        <v>-1.1080260509169999</v>
      </c>
      <c r="AH3543">
        <v>17.838626647798801</v>
      </c>
      <c r="AI3543">
        <v>93.302659651613496</v>
      </c>
      <c r="AJ3543">
        <v>68.285525084986702</v>
      </c>
      <c r="AK3543">
        <v>19.233100890626002</v>
      </c>
      <c r="AL3543">
        <v>89.633747924302298</v>
      </c>
      <c r="AM3543">
        <v>78.438181338067906</v>
      </c>
      <c r="AN3543">
        <v>0.999999987481346</v>
      </c>
    </row>
    <row r="3544" spans="1:40" x14ac:dyDescent="0.25">
      <c r="A3544" t="str">
        <f>"20190305135901175"</f>
        <v>20190305135901175</v>
      </c>
      <c r="B3544" t="str">
        <f>"1551765541172124"</f>
        <v>1551765541172124</v>
      </c>
      <c r="C3544" t="s">
        <v>40</v>
      </c>
      <c r="D3544">
        <v>4.3225369999999996</v>
      </c>
      <c r="E3544">
        <v>0.55860269999999901</v>
      </c>
      <c r="F3544" t="s">
        <v>42</v>
      </c>
      <c r="G3544">
        <v>-195.63310000000001</v>
      </c>
      <c r="H3544" s="1">
        <v>-1.919562E-6</v>
      </c>
      <c r="I3544">
        <v>160.48169999999999</v>
      </c>
      <c r="J3544">
        <v>-187.9478</v>
      </c>
      <c r="K3544">
        <v>1.1080380000000001</v>
      </c>
      <c r="L3544">
        <v>178.40049999999999</v>
      </c>
      <c r="M3544">
        <v>-2.5310369999999999E-2</v>
      </c>
      <c r="N3544">
        <v>-1.335592E-2</v>
      </c>
      <c r="O3544">
        <v>-0.99959039999999999</v>
      </c>
      <c r="P3544">
        <v>-0.22601669999999999</v>
      </c>
      <c r="Q3544">
        <v>-5.5778729999999997E-3</v>
      </c>
      <c r="R3544">
        <v>-0.97410770000000002</v>
      </c>
      <c r="S3544">
        <v>-1.192795</v>
      </c>
      <c r="T3544">
        <v>-0.17186219999999999</v>
      </c>
      <c r="U3544">
        <v>-2.802994</v>
      </c>
      <c r="V3544">
        <v>0.20130880000000001</v>
      </c>
      <c r="W3544">
        <v>6.8957890000000003E-3</v>
      </c>
      <c r="X3544">
        <v>0.97950360000000003</v>
      </c>
      <c r="Y3544">
        <v>0.36761640000000001</v>
      </c>
      <c r="Z3544">
        <v>4.3312169999999997E-2</v>
      </c>
      <c r="AA3544">
        <v>0.92896840000000003</v>
      </c>
      <c r="AB3544">
        <v>25</v>
      </c>
      <c r="AC3544">
        <v>-7.6853000000000096</v>
      </c>
      <c r="AD3544">
        <v>-1.1080399195620001</v>
      </c>
      <c r="AE3544">
        <v>-17.918800000000001</v>
      </c>
      <c r="AF3544">
        <v>7.20599256256562</v>
      </c>
      <c r="AG3544">
        <v>-1.1080399195620001</v>
      </c>
      <c r="AH3544">
        <v>18.049300277310699</v>
      </c>
      <c r="AI3544">
        <v>93.263116566396704</v>
      </c>
      <c r="AJ3544">
        <v>68.236166562063602</v>
      </c>
      <c r="AK3544">
        <v>19.466158372304101</v>
      </c>
      <c r="AL3544">
        <v>89.604897279772203</v>
      </c>
      <c r="AM3544">
        <v>78.386216006229404</v>
      </c>
      <c r="AN3544">
        <v>1.00000004363816</v>
      </c>
    </row>
    <row r="3545" spans="1:40" x14ac:dyDescent="0.25">
      <c r="A3545" t="str">
        <f>"20190305135901194"</f>
        <v>20190305135901194</v>
      </c>
      <c r="B3545" t="str">
        <f>"1551765541182859"</f>
        <v>1551765541182859</v>
      </c>
      <c r="C3545" t="s">
        <v>40</v>
      </c>
      <c r="D3545">
        <v>4.2635550000000002</v>
      </c>
      <c r="E3545">
        <v>0.55779330000000005</v>
      </c>
      <c r="F3545" t="s">
        <v>79</v>
      </c>
      <c r="G3545">
        <v>-198.8511</v>
      </c>
      <c r="H3545" s="1">
        <v>-1.28373499999999E-5</v>
      </c>
      <c r="I3545">
        <v>151.50069999999999</v>
      </c>
      <c r="J3545">
        <v>-187.95480000000001</v>
      </c>
      <c r="K3545">
        <v>1.108053</v>
      </c>
      <c r="L3545">
        <v>178.1936</v>
      </c>
      <c r="M3545">
        <v>-2.6771679999999999E-2</v>
      </c>
      <c r="N3545">
        <v>-1.3353769999999999E-2</v>
      </c>
      <c r="O3545">
        <v>-0.99955240000000001</v>
      </c>
      <c r="P3545">
        <v>-0.2288705</v>
      </c>
      <c r="Q3545">
        <v>-4.9425240000000002E-3</v>
      </c>
      <c r="R3545">
        <v>-0.97344459999999999</v>
      </c>
      <c r="S3545">
        <v>-1.1407620000000001</v>
      </c>
      <c r="T3545">
        <v>-0.11593059999999999</v>
      </c>
      <c r="U3545">
        <v>-2.8144070000000001</v>
      </c>
      <c r="V3545">
        <v>0.20274880000000001</v>
      </c>
      <c r="W3545">
        <v>7.5256749999999999E-3</v>
      </c>
      <c r="X3545">
        <v>0.97920189999999996</v>
      </c>
      <c r="Y3545">
        <v>0.35046339999999998</v>
      </c>
      <c r="Z3545">
        <v>2.5041109999999998E-2</v>
      </c>
      <c r="AA3545">
        <v>0.93624160000000001</v>
      </c>
      <c r="AB3545">
        <v>25</v>
      </c>
      <c r="AC3545">
        <v>-10.896299999999901</v>
      </c>
      <c r="AD3545">
        <v>-1.1080658373500001</v>
      </c>
      <c r="AE3545">
        <v>-26.692900000000002</v>
      </c>
      <c r="AF3545">
        <v>10.1627051576071</v>
      </c>
      <c r="AG3545">
        <v>-1.1080658373500001</v>
      </c>
      <c r="AH3545">
        <v>26.935283518303901</v>
      </c>
      <c r="AI3545">
        <v>92.204203070665102</v>
      </c>
      <c r="AJ3545">
        <v>69.3284665818626</v>
      </c>
      <c r="AK3545">
        <v>28.810030965477399</v>
      </c>
      <c r="AL3545">
        <v>89.568806529947196</v>
      </c>
      <c r="AM3545">
        <v>78.3019168915515</v>
      </c>
      <c r="AN3545">
        <v>1.00000003632462</v>
      </c>
    </row>
    <row r="3546" spans="1:40" x14ac:dyDescent="0.25">
      <c r="A3546" t="str">
        <f>"20190305135901214"</f>
        <v>20190305135901214</v>
      </c>
      <c r="B3546" t="str">
        <f>"1551765541202381"</f>
        <v>1551765541202381</v>
      </c>
      <c r="C3546" t="s">
        <v>40</v>
      </c>
      <c r="D3546">
        <v>4.2720940000000001</v>
      </c>
      <c r="E3546">
        <v>0.55722269999999996</v>
      </c>
      <c r="F3546" t="s">
        <v>79</v>
      </c>
      <c r="G3546">
        <v>-198.107</v>
      </c>
      <c r="H3546" s="1">
        <v>-1.3202180000000001E-5</v>
      </c>
      <c r="I3546">
        <v>153.21299999999999</v>
      </c>
      <c r="J3546">
        <v>-187.96260000000001</v>
      </c>
      <c r="K3546">
        <v>1.108058</v>
      </c>
      <c r="L3546">
        <v>177.96979999999999</v>
      </c>
      <c r="M3546">
        <v>-2.835586E-2</v>
      </c>
      <c r="N3546">
        <v>-1.33516E-2</v>
      </c>
      <c r="O3546">
        <v>-0.99950899999999998</v>
      </c>
      <c r="P3546">
        <v>-0.23079</v>
      </c>
      <c r="Q3546">
        <v>-3.6714320000000001E-3</v>
      </c>
      <c r="R3546">
        <v>-0.97299720000000001</v>
      </c>
      <c r="S3546">
        <v>-1.1430049999999901</v>
      </c>
      <c r="T3546">
        <v>-0.124754</v>
      </c>
      <c r="U3546">
        <v>-2.8125</v>
      </c>
      <c r="V3546">
        <v>0.2031318</v>
      </c>
      <c r="W3546">
        <v>8.792589E-3</v>
      </c>
      <c r="X3546">
        <v>0.97911190000000003</v>
      </c>
      <c r="Y3546">
        <v>0.34980549999999999</v>
      </c>
      <c r="Z3546">
        <v>2.7982630000000001E-2</v>
      </c>
      <c r="AA3546">
        <v>0.93640429999999997</v>
      </c>
      <c r="AB3546">
        <v>25</v>
      </c>
      <c r="AC3546">
        <v>-10.1443999999999</v>
      </c>
      <c r="AD3546">
        <v>-1.1080712021800001</v>
      </c>
      <c r="AE3546">
        <v>-24.756799999999998</v>
      </c>
      <c r="AF3546">
        <v>9.4220957181475509</v>
      </c>
      <c r="AG3546">
        <v>-1.1080712021800001</v>
      </c>
      <c r="AH3546">
        <v>24.991654009086201</v>
      </c>
      <c r="AI3546">
        <v>92.375676769211395</v>
      </c>
      <c r="AJ3546">
        <v>69.343070985759397</v>
      </c>
      <c r="AK3546">
        <v>26.731750403235999</v>
      </c>
      <c r="AL3546">
        <v>89.496215255464705</v>
      </c>
      <c r="AM3546">
        <v>78.279381999309194</v>
      </c>
      <c r="AN3546">
        <v>0.99999997525708595</v>
      </c>
    </row>
    <row r="3547" spans="1:40" x14ac:dyDescent="0.25">
      <c r="A3547" t="str">
        <f>"20190305135901226"</f>
        <v>20190305135901226</v>
      </c>
      <c r="B3547" t="str">
        <f>"1551765541222875"</f>
        <v>1551765541222875</v>
      </c>
      <c r="C3547" t="s">
        <v>40</v>
      </c>
      <c r="D3547">
        <v>4.2606789999999997</v>
      </c>
      <c r="E3547">
        <v>0.55611959999999905</v>
      </c>
      <c r="F3547" t="s">
        <v>79</v>
      </c>
      <c r="G3547">
        <v>-197.37979999999999</v>
      </c>
      <c r="H3547" s="1">
        <v>-1.35886899999999E-5</v>
      </c>
      <c r="I3547">
        <v>154.84450000000001</v>
      </c>
      <c r="J3547">
        <v>-187.96809999999999</v>
      </c>
      <c r="K3547">
        <v>1.1080589999999999</v>
      </c>
      <c r="L3547">
        <v>177.82140000000001</v>
      </c>
      <c r="M3547">
        <v>-2.9415319999999998E-2</v>
      </c>
      <c r="N3547">
        <v>-1.3350280000000001E-2</v>
      </c>
      <c r="O3547">
        <v>-0.99947850000000005</v>
      </c>
      <c r="P3547">
        <v>-0.23152880000000001</v>
      </c>
      <c r="Q3547">
        <v>-3.123533E-3</v>
      </c>
      <c r="R3547">
        <v>-0.97282329999999995</v>
      </c>
      <c r="S3547">
        <v>-1.1447909999999999</v>
      </c>
      <c r="T3547">
        <v>-0.1347016</v>
      </c>
      <c r="U3547">
        <v>-2.8112029999999999</v>
      </c>
      <c r="V3547">
        <v>0.2028392</v>
      </c>
      <c r="W3547">
        <v>9.3385470000000009E-3</v>
      </c>
      <c r="X3547">
        <v>0.97916749999999997</v>
      </c>
      <c r="Y3547">
        <v>0.349429299999999</v>
      </c>
      <c r="Z3547">
        <v>3.1286250000000002E-2</v>
      </c>
      <c r="AA3547">
        <v>0.93644019999999994</v>
      </c>
      <c r="AB3547">
        <v>25</v>
      </c>
      <c r="AC3547">
        <v>-9.4116999999999909</v>
      </c>
      <c r="AD3547">
        <v>-1.10807258868999</v>
      </c>
      <c r="AE3547">
        <v>-22.976900000000001</v>
      </c>
      <c r="AF3547">
        <v>8.7143387420144691</v>
      </c>
      <c r="AG3547">
        <v>-1.10807258868999</v>
      </c>
      <c r="AH3547">
        <v>23.197629134220001</v>
      </c>
      <c r="AI3547">
        <v>92.560311492446104</v>
      </c>
      <c r="AJ3547">
        <v>69.410987735485094</v>
      </c>
      <c r="AK3547">
        <v>24.8051914328673</v>
      </c>
      <c r="AL3547">
        <v>89.464932877495997</v>
      </c>
      <c r="AM3547">
        <v>78.296445071351599</v>
      </c>
      <c r="AN3547">
        <v>0.99999997128647999</v>
      </c>
    </row>
    <row r="3548" spans="1:40" x14ac:dyDescent="0.25">
      <c r="A3548" t="str">
        <f>"20190305135901247"</f>
        <v>20190305135901247</v>
      </c>
      <c r="B3548" t="str">
        <f>"1551765541242396"</f>
        <v>1551765541242396</v>
      </c>
      <c r="C3548" t="s">
        <v>40</v>
      </c>
      <c r="D3548">
        <v>4.3846800000000004</v>
      </c>
      <c r="E3548">
        <v>0.55523529999999999</v>
      </c>
      <c r="F3548" t="s">
        <v>79</v>
      </c>
      <c r="G3548">
        <v>-196.577</v>
      </c>
      <c r="H3548" s="1">
        <v>-1.421045E-5</v>
      </c>
      <c r="I3548">
        <v>156.56780000000001</v>
      </c>
      <c r="J3548">
        <v>-187.97669999999999</v>
      </c>
      <c r="K3548">
        <v>1.1080559999999999</v>
      </c>
      <c r="L3548">
        <v>177.59180000000001</v>
      </c>
      <c r="M3548">
        <v>-3.106983E-2</v>
      </c>
      <c r="N3548">
        <v>-1.334844E-2</v>
      </c>
      <c r="O3548">
        <v>-0.99942819999999999</v>
      </c>
      <c r="P3548">
        <v>-0.23277680000000001</v>
      </c>
      <c r="Q3548">
        <v>-9.1497829999999999E-4</v>
      </c>
      <c r="R3548">
        <v>-0.97253020000000001</v>
      </c>
      <c r="S3548">
        <v>-1.1390990000000001</v>
      </c>
      <c r="T3548">
        <v>-0.1466161</v>
      </c>
      <c r="U3548">
        <v>-2.812195</v>
      </c>
      <c r="V3548">
        <v>0.2024813</v>
      </c>
      <c r="W3548">
        <v>1.154284E-2</v>
      </c>
      <c r="X3548">
        <v>0.97921809999999998</v>
      </c>
      <c r="Y3548">
        <v>0.34607710000000003</v>
      </c>
      <c r="Z3548">
        <v>3.5254559999999997E-2</v>
      </c>
      <c r="AA3548">
        <v>0.93754349999999997</v>
      </c>
      <c r="AB3548">
        <v>25</v>
      </c>
      <c r="AC3548">
        <v>-8.6003000000000007</v>
      </c>
      <c r="AD3548">
        <v>-1.10807021045</v>
      </c>
      <c r="AE3548">
        <v>-21.024000000000001</v>
      </c>
      <c r="AF3548">
        <v>7.9240208163100299</v>
      </c>
      <c r="AG3548">
        <v>-1.10807021045</v>
      </c>
      <c r="AH3548">
        <v>21.230561191386698</v>
      </c>
      <c r="AI3548">
        <v>92.799384620905499</v>
      </c>
      <c r="AJ3548">
        <v>69.532588983589406</v>
      </c>
      <c r="AK3548">
        <v>22.688205173389498</v>
      </c>
      <c r="AL3548">
        <v>89.338629297779406</v>
      </c>
      <c r="AM3548">
        <v>78.317114380136204</v>
      </c>
      <c r="AN3548">
        <v>1.0000000006862799</v>
      </c>
    </row>
    <row r="3549" spans="1:40" x14ac:dyDescent="0.25">
      <c r="A3549" t="str">
        <f>"20190305135901260"</f>
        <v>20190305135901260</v>
      </c>
      <c r="B3549" t="str">
        <f>"1551765541252156"</f>
        <v>1551765541252156</v>
      </c>
      <c r="C3549" t="s">
        <v>40</v>
      </c>
      <c r="D3549">
        <v>4.5703940000000003</v>
      </c>
      <c r="E3549">
        <v>0.55523529999999999</v>
      </c>
      <c r="F3549" t="s">
        <v>79</v>
      </c>
      <c r="G3549">
        <v>-196.6978</v>
      </c>
      <c r="H3549" s="1">
        <v>-1.4022999999999999E-5</v>
      </c>
      <c r="I3549">
        <v>155.99789999999999</v>
      </c>
      <c r="J3549">
        <v>-187.98259999999999</v>
      </c>
      <c r="K3549">
        <v>1.108052</v>
      </c>
      <c r="L3549">
        <v>177.44149999999999</v>
      </c>
      <c r="M3549">
        <v>-3.2163940000000002E-2</v>
      </c>
      <c r="N3549">
        <v>-1.3347349999999999E-2</v>
      </c>
      <c r="O3549">
        <v>-0.99939339999999999</v>
      </c>
      <c r="P3549">
        <v>-0.23300789999999999</v>
      </c>
      <c r="Q3549">
        <v>-2.9038129999999998E-4</v>
      </c>
      <c r="R3549">
        <v>-0.97247470000000003</v>
      </c>
      <c r="S3549">
        <v>-1.1359709999999901</v>
      </c>
      <c r="T3549">
        <v>-0.1443325</v>
      </c>
      <c r="U3549">
        <v>-2.812729</v>
      </c>
      <c r="V3549">
        <v>0.20164399999999999</v>
      </c>
      <c r="W3549">
        <v>1.216793E-2</v>
      </c>
      <c r="X3549">
        <v>0.97938329999999996</v>
      </c>
      <c r="Y3549">
        <v>0.3441034</v>
      </c>
      <c r="Z3549">
        <v>3.4520599999999999E-2</v>
      </c>
      <c r="AA3549">
        <v>0.93829700000000005</v>
      </c>
      <c r="AB3549">
        <v>25</v>
      </c>
      <c r="AC3549">
        <v>-8.71520000000001</v>
      </c>
      <c r="AD3549">
        <v>-1.1080660229999999</v>
      </c>
      <c r="AE3549">
        <v>-21.4436</v>
      </c>
      <c r="AF3549">
        <v>8.0025789750274008</v>
      </c>
      <c r="AG3549">
        <v>-1.1080660229999999</v>
      </c>
      <c r="AH3549">
        <v>21.6631995889765</v>
      </c>
      <c r="AI3549">
        <v>92.746977446087499</v>
      </c>
      <c r="AJ3549">
        <v>69.725320820790103</v>
      </c>
      <c r="AK3549">
        <v>23.1206249265609</v>
      </c>
      <c r="AL3549">
        <v>89.302811764095793</v>
      </c>
      <c r="AM3549">
        <v>78.366014572606105</v>
      </c>
      <c r="AN3549">
        <v>1.00000000478768</v>
      </c>
    </row>
    <row r="3550" spans="1:40" x14ac:dyDescent="0.25">
      <c r="A3550" t="str">
        <f>"20190305135901273"</f>
        <v>20190305135901273</v>
      </c>
      <c r="B3550" t="str">
        <f>"1551765541262892"</f>
        <v>1551765541262892</v>
      </c>
      <c r="C3550" t="s">
        <v>40</v>
      </c>
      <c r="D3550">
        <v>4.3943159999999999</v>
      </c>
      <c r="E3550">
        <v>0.50173319999999999</v>
      </c>
      <c r="F3550" t="s">
        <v>79</v>
      </c>
      <c r="G3550">
        <v>-196.82310000000001</v>
      </c>
      <c r="H3550" s="1">
        <v>-1.385022E-5</v>
      </c>
      <c r="I3550">
        <v>155.5693</v>
      </c>
      <c r="J3550">
        <v>-187.98859999999999</v>
      </c>
      <c r="K3550">
        <v>1.1080449999999999</v>
      </c>
      <c r="L3550">
        <v>177.29390000000001</v>
      </c>
      <c r="M3550">
        <v>-3.3250050000000003E-2</v>
      </c>
      <c r="N3550">
        <v>-1.334632E-2</v>
      </c>
      <c r="O3550">
        <v>-0.99935790000000002</v>
      </c>
      <c r="P3550">
        <v>-0.23296059999999999</v>
      </c>
      <c r="Q3550">
        <v>2.4000510000000001E-4</v>
      </c>
      <c r="R3550">
        <v>-0.97248639999999997</v>
      </c>
      <c r="S3550">
        <v>-1.1367799999999999</v>
      </c>
      <c r="T3550">
        <v>-0.14248339999999901</v>
      </c>
      <c r="U3550">
        <v>-2.8125</v>
      </c>
      <c r="V3550">
        <v>0.20053360000000001</v>
      </c>
      <c r="W3550">
        <v>1.2701E-2</v>
      </c>
      <c r="X3550">
        <v>0.97960449999999999</v>
      </c>
      <c r="Y3550">
        <v>0.34335090000000001</v>
      </c>
      <c r="Z3550">
        <v>3.3918740000000003E-2</v>
      </c>
      <c r="AA3550">
        <v>0.9385945</v>
      </c>
      <c r="AB3550">
        <v>25</v>
      </c>
      <c r="AC3550">
        <v>-8.8345000000000198</v>
      </c>
      <c r="AD3550">
        <v>-1.1080588502199999</v>
      </c>
      <c r="AE3550">
        <v>-21.724599999999999</v>
      </c>
      <c r="AF3550">
        <v>8.0891481839845092</v>
      </c>
      <c r="AG3550">
        <v>-1.1080588502199999</v>
      </c>
      <c r="AH3550">
        <v>21.9573433353168</v>
      </c>
      <c r="AI3550">
        <v>92.711100453122995</v>
      </c>
      <c r="AJ3550">
        <v>69.776058127769204</v>
      </c>
      <c r="AK3550">
        <v>23.426204112126101</v>
      </c>
      <c r="AL3550">
        <v>89.272266743768498</v>
      </c>
      <c r="AM3550">
        <v>78.430889795713</v>
      </c>
      <c r="AN3550">
        <v>1.0000000082750999</v>
      </c>
    </row>
    <row r="3551" spans="1:40" x14ac:dyDescent="0.25">
      <c r="A3551" t="str">
        <f>"20190305135901287"</f>
        <v>20190305135901287</v>
      </c>
      <c r="B3551" t="str">
        <f>"1551765541282411"</f>
        <v>1551765541282411</v>
      </c>
      <c r="C3551" t="s">
        <v>40</v>
      </c>
      <c r="D3551">
        <v>4.2666490000000001</v>
      </c>
      <c r="E3551">
        <v>0.47648380000000001</v>
      </c>
      <c r="F3551" t="s">
        <v>79</v>
      </c>
      <c r="G3551">
        <v>-192.655</v>
      </c>
      <c r="H3551" s="1">
        <v>-1.4695750000000001E-5</v>
      </c>
      <c r="I3551">
        <v>158.4966</v>
      </c>
      <c r="J3551">
        <v>-187.99459999999999</v>
      </c>
      <c r="K3551">
        <v>1.1080380000000001</v>
      </c>
      <c r="L3551">
        <v>177.14920000000001</v>
      </c>
      <c r="M3551">
        <v>-3.4321740000000003E-2</v>
      </c>
      <c r="N3551">
        <v>-1.3345279999999999E-2</v>
      </c>
      <c r="O3551">
        <v>-0.99932169999999998</v>
      </c>
      <c r="P3551">
        <v>-0.23288449999999999</v>
      </c>
      <c r="Q3551">
        <v>5.5414760000000005E-4</v>
      </c>
      <c r="R3551">
        <v>-0.97250449999999999</v>
      </c>
      <c r="S3551">
        <v>-0.72283940000000002</v>
      </c>
      <c r="T3551">
        <v>-0.17164209999999999</v>
      </c>
      <c r="U3551">
        <v>-2.9117739999999999</v>
      </c>
      <c r="V3551">
        <v>0.19940720000000001</v>
      </c>
      <c r="W3551">
        <v>1.3017590000000001E-2</v>
      </c>
      <c r="X3551">
        <v>0.97983030000000004</v>
      </c>
      <c r="Y3551">
        <v>0.20714920000000001</v>
      </c>
      <c r="Z3551">
        <v>4.401704E-2</v>
      </c>
      <c r="AA3551">
        <v>0.97731860000000004</v>
      </c>
      <c r="AB3551">
        <v>25</v>
      </c>
      <c r="AC3551">
        <v>-4.6604000000000099</v>
      </c>
      <c r="AD3551">
        <v>-1.1080526957500001</v>
      </c>
      <c r="AE3551">
        <v>-18.6526</v>
      </c>
      <c r="AF3551">
        <v>4.0041071283007099</v>
      </c>
      <c r="AG3551">
        <v>-1.1080526957500001</v>
      </c>
      <c r="AH3551">
        <v>18.739331898114401</v>
      </c>
      <c r="AI3551">
        <v>93.309413734716202</v>
      </c>
      <c r="AJ3551">
        <v>77.938759605693704</v>
      </c>
      <c r="AK3551">
        <v>19.194353718194201</v>
      </c>
      <c r="AL3551">
        <v>89.254126006361105</v>
      </c>
      <c r="AM3551">
        <v>78.496716755805593</v>
      </c>
      <c r="AN3551">
        <v>1.00000005292966</v>
      </c>
    </row>
    <row r="3552" spans="1:40" x14ac:dyDescent="0.25">
      <c r="A3552" t="str">
        <f>"20190305135901303"</f>
        <v>20190305135901303</v>
      </c>
      <c r="B3552" t="str">
        <f>"1551765541292172"</f>
        <v>1551765541292172</v>
      </c>
      <c r="C3552" t="s">
        <v>40</v>
      </c>
      <c r="D3552">
        <v>4.2195559999999999</v>
      </c>
      <c r="E3552">
        <v>0.47223769999999998</v>
      </c>
      <c r="F3552" t="s">
        <v>79</v>
      </c>
      <c r="G3552">
        <v>-191.4229</v>
      </c>
      <c r="H3552" s="1">
        <v>-1.4359389999999899E-5</v>
      </c>
      <c r="I3552">
        <v>157.87260000000001</v>
      </c>
      <c r="J3552">
        <v>-188.0027</v>
      </c>
      <c r="K3552">
        <v>1.1080270000000001</v>
      </c>
      <c r="L3552">
        <v>176.95949999999999</v>
      </c>
      <c r="M3552">
        <v>-3.5735690000000001E-2</v>
      </c>
      <c r="N3552">
        <v>-1.334391E-2</v>
      </c>
      <c r="O3552">
        <v>-0.99927250000000001</v>
      </c>
      <c r="P3552">
        <v>-0.23194290000000001</v>
      </c>
      <c r="Q3552">
        <v>3.9266890000000002E-4</v>
      </c>
      <c r="R3552">
        <v>-0.97272939999999997</v>
      </c>
      <c r="S3552">
        <v>-0.52622990000000003</v>
      </c>
      <c r="T3552">
        <v>-0.17008010000000001</v>
      </c>
      <c r="U3552">
        <v>-2.9588619999999999</v>
      </c>
      <c r="V3552">
        <v>0.1970712</v>
      </c>
      <c r="W3552">
        <v>1.2865969999999999E-2</v>
      </c>
      <c r="X3552">
        <v>0.98030479999999998</v>
      </c>
      <c r="Y3552">
        <v>0.13957359999999999</v>
      </c>
      <c r="Z3552">
        <v>4.3323220000000003E-2</v>
      </c>
      <c r="AA3552">
        <v>0.98926349999999996</v>
      </c>
      <c r="AB3552">
        <v>25</v>
      </c>
      <c r="AC3552">
        <v>-3.4201999999999901</v>
      </c>
      <c r="AD3552">
        <v>-1.10804135939</v>
      </c>
      <c r="AE3552">
        <v>-19.086899999999901</v>
      </c>
      <c r="AF3552">
        <v>2.7269667809940801</v>
      </c>
      <c r="AG3552">
        <v>-1.10804135939</v>
      </c>
      <c r="AH3552">
        <v>19.1344619764618</v>
      </c>
      <c r="AI3552">
        <v>93.281111562574694</v>
      </c>
      <c r="AJ3552">
        <v>81.889054277979994</v>
      </c>
      <c r="AK3552">
        <v>19.359538698208301</v>
      </c>
      <c r="AL3552">
        <v>89.2628139144729</v>
      </c>
      <c r="AM3552">
        <v>78.633304371534607</v>
      </c>
      <c r="AN3552">
        <v>1.0000000459782501</v>
      </c>
    </row>
    <row r="3553" spans="1:40" x14ac:dyDescent="0.25">
      <c r="A3553" t="str">
        <f>"20190305135901316"</f>
        <v>20190305135901316</v>
      </c>
      <c r="B3553" t="str">
        <f>"1551765541312667"</f>
        <v>1551765541312667</v>
      </c>
      <c r="C3553" t="s">
        <v>40</v>
      </c>
      <c r="D3553">
        <v>4.1091860000000002</v>
      </c>
      <c r="E3553">
        <v>0.4687364</v>
      </c>
      <c r="F3553" t="s">
        <v>79</v>
      </c>
      <c r="G3553">
        <v>-191.17660000000001</v>
      </c>
      <c r="H3553" s="1">
        <v>-1.42849799999999E-5</v>
      </c>
      <c r="I3553">
        <v>157.75</v>
      </c>
      <c r="J3553">
        <v>-188.00909999999999</v>
      </c>
      <c r="K3553">
        <v>1.1080209999999999</v>
      </c>
      <c r="L3553">
        <v>176.81209999999999</v>
      </c>
      <c r="M3553">
        <v>-3.6839070000000002E-2</v>
      </c>
      <c r="N3553">
        <v>-1.334287E-2</v>
      </c>
      <c r="O3553">
        <v>-0.99923220000000001</v>
      </c>
      <c r="P3553">
        <v>-0.2321001</v>
      </c>
      <c r="Q3553">
        <v>1.166412E-4</v>
      </c>
      <c r="R3553">
        <v>-0.97269209999999995</v>
      </c>
      <c r="S3553">
        <v>-0.4902802</v>
      </c>
      <c r="T3553">
        <v>-0.17115949999999999</v>
      </c>
      <c r="U3553">
        <v>-2.967285</v>
      </c>
      <c r="V3553">
        <v>0.19614609999999999</v>
      </c>
      <c r="W3553">
        <v>1.259276E-2</v>
      </c>
      <c r="X3553">
        <v>0.98049379999999997</v>
      </c>
      <c r="Y3553">
        <v>0.12634409999999999</v>
      </c>
      <c r="Z3553">
        <v>4.362692E-2</v>
      </c>
      <c r="AA3553">
        <v>0.99102659999999998</v>
      </c>
      <c r="AB3553">
        <v>25</v>
      </c>
      <c r="AC3553">
        <v>-3.1675000000000102</v>
      </c>
      <c r="AD3553">
        <v>-1.1080352849799999</v>
      </c>
      <c r="AE3553">
        <v>-19.062099999999901</v>
      </c>
      <c r="AF3553">
        <v>2.4549849664879702</v>
      </c>
      <c r="AG3553">
        <v>-1.1080352849799999</v>
      </c>
      <c r="AH3553">
        <v>19.103045170806698</v>
      </c>
      <c r="AI3553">
        <v>93.292593906253401</v>
      </c>
      <c r="AJ3553">
        <v>82.676900436363297</v>
      </c>
      <c r="AK3553">
        <v>19.291993888043901</v>
      </c>
      <c r="AL3553">
        <v>89.278468915229695</v>
      </c>
      <c r="AM3553">
        <v>78.687407605445401</v>
      </c>
      <c r="AN3553">
        <v>0.99999998099403298</v>
      </c>
    </row>
    <row r="3554" spans="1:40" x14ac:dyDescent="0.25">
      <c r="A3554" t="str">
        <f>"20190305135901330"</f>
        <v>20190305135901330</v>
      </c>
      <c r="B3554" t="str">
        <f>"1551765541322428"</f>
        <v>1551765541322428</v>
      </c>
      <c r="C3554" t="s">
        <v>40</v>
      </c>
      <c r="D3554">
        <v>4.1485459999999996</v>
      </c>
      <c r="E3554">
        <v>0.4677674</v>
      </c>
      <c r="F3554" t="s">
        <v>79</v>
      </c>
      <c r="G3554">
        <v>-191.12430000000001</v>
      </c>
      <c r="H3554" s="1">
        <v>-1.387825E-5</v>
      </c>
      <c r="I3554">
        <v>156.81280000000001</v>
      </c>
      <c r="J3554">
        <v>-188.01570000000001</v>
      </c>
      <c r="K3554">
        <v>1.1080179999999999</v>
      </c>
      <c r="L3554">
        <v>176.66579999999999</v>
      </c>
      <c r="M3554">
        <v>-3.7937690000000003E-2</v>
      </c>
      <c r="N3554">
        <v>-1.334187E-2</v>
      </c>
      <c r="O3554">
        <v>-0.99919119999999995</v>
      </c>
      <c r="P3554">
        <v>-0.2320054</v>
      </c>
      <c r="Q3554" s="1">
        <v>-3.4405849999999999E-5</v>
      </c>
      <c r="R3554">
        <v>-0.97271479999999999</v>
      </c>
      <c r="S3554">
        <v>-0.46319579999999999</v>
      </c>
      <c r="T3554">
        <v>-0.16475339999999999</v>
      </c>
      <c r="U3554">
        <v>-2.9736940000000001</v>
      </c>
      <c r="V3554">
        <v>0.19497210000000001</v>
      </c>
      <c r="W3554">
        <v>1.2446860000000001E-2</v>
      </c>
      <c r="X3554">
        <v>0.98072979999999998</v>
      </c>
      <c r="Y3554">
        <v>0.116124</v>
      </c>
      <c r="Z3554">
        <v>4.1455619999999999E-2</v>
      </c>
      <c r="AA3554">
        <v>0.99236919999999995</v>
      </c>
      <c r="AB3554">
        <v>25</v>
      </c>
      <c r="AC3554">
        <v>-3.1085999999999898</v>
      </c>
      <c r="AD3554">
        <v>-1.10803187825</v>
      </c>
      <c r="AE3554">
        <v>-19.852999999999899</v>
      </c>
      <c r="AF3554">
        <v>2.3459850946795702</v>
      </c>
      <c r="AG3554">
        <v>-1.10803187825</v>
      </c>
      <c r="AH3554">
        <v>19.8961564341169</v>
      </c>
      <c r="AI3554">
        <v>93.165667024084499</v>
      </c>
      <c r="AJ3554">
        <v>83.275220707858296</v>
      </c>
      <c r="AK3554">
        <v>20.0646061899686</v>
      </c>
      <c r="AL3554">
        <v>89.286829032960796</v>
      </c>
      <c r="AM3554">
        <v>78.756023784261501</v>
      </c>
      <c r="AN3554">
        <v>0.99999999235515402</v>
      </c>
    </row>
    <row r="3555" spans="1:40" x14ac:dyDescent="0.25">
      <c r="A3555" t="str">
        <f>"20190305135901348"</f>
        <v>20190305135901348</v>
      </c>
      <c r="B3555" t="str">
        <f>"1551765541342924"</f>
        <v>1551765541342924</v>
      </c>
      <c r="C3555" t="s">
        <v>40</v>
      </c>
      <c r="D3555">
        <v>4.1515089999999999</v>
      </c>
      <c r="E3555">
        <v>0.46672780000000003</v>
      </c>
      <c r="F3555" t="s">
        <v>79</v>
      </c>
      <c r="G3555">
        <v>-191.09450000000001</v>
      </c>
      <c r="H3555" s="1">
        <v>-1.375941E-5</v>
      </c>
      <c r="I3555">
        <v>156.5419</v>
      </c>
      <c r="J3555">
        <v>-188.02549999999999</v>
      </c>
      <c r="K3555">
        <v>1.1080099999999999</v>
      </c>
      <c r="L3555">
        <v>176.45650000000001</v>
      </c>
      <c r="M3555">
        <v>-3.9514229999999997E-2</v>
      </c>
      <c r="N3555">
        <v>-1.334045E-2</v>
      </c>
      <c r="O3555">
        <v>-0.99913010000000002</v>
      </c>
      <c r="P3555">
        <v>-0.23157069999999999</v>
      </c>
      <c r="Q3555">
        <v>1.790575E-4</v>
      </c>
      <c r="R3555">
        <v>-0.97281830000000002</v>
      </c>
      <c r="S3555">
        <v>-0.45523069999999999</v>
      </c>
      <c r="T3555">
        <v>-0.16383619999999999</v>
      </c>
      <c r="U3555">
        <v>-2.975571</v>
      </c>
      <c r="V3555">
        <v>0.19298650000000001</v>
      </c>
      <c r="W3555">
        <v>1.2668570000000001E-2</v>
      </c>
      <c r="X3555">
        <v>0.98111959999999998</v>
      </c>
      <c r="Y3555">
        <v>0.1118702</v>
      </c>
      <c r="Z3555">
        <v>4.1139389999999998E-2</v>
      </c>
      <c r="AA3555">
        <v>0.9928709</v>
      </c>
      <c r="AB3555">
        <v>25</v>
      </c>
      <c r="AC3555">
        <v>-3.0690000000000102</v>
      </c>
      <c r="AD3555">
        <v>-1.10802375941</v>
      </c>
      <c r="AE3555">
        <v>-19.9146</v>
      </c>
      <c r="AF3555">
        <v>2.2727502367375298</v>
      </c>
      <c r="AG3555">
        <v>-1.10802375941</v>
      </c>
      <c r="AH3555">
        <v>19.959967930978198</v>
      </c>
      <c r="AI3555">
        <v>93.157001254131004</v>
      </c>
      <c r="AJ3555">
        <v>83.503969691677796</v>
      </c>
      <c r="AK3555">
        <v>20.1194788723685</v>
      </c>
      <c r="AL3555">
        <v>89.274124971724603</v>
      </c>
      <c r="AM3555">
        <v>78.871970835906296</v>
      </c>
      <c r="AN3555">
        <v>0.99999997567612697</v>
      </c>
    </row>
    <row r="3556" spans="1:40" x14ac:dyDescent="0.25">
      <c r="A3556" t="str">
        <f>"20190305135901362"</f>
        <v>20190305135901362</v>
      </c>
      <c r="B3556" t="str">
        <f>"1551765541352684"</f>
        <v>1551765541352684</v>
      </c>
      <c r="C3556" t="s">
        <v>40</v>
      </c>
      <c r="D3556">
        <v>4.1579709999999999</v>
      </c>
      <c r="E3556">
        <v>0.46639979999999998</v>
      </c>
      <c r="F3556" t="s">
        <v>79</v>
      </c>
      <c r="G3556">
        <v>-191.0421</v>
      </c>
      <c r="H3556" s="1">
        <v>-1.3652360000000001E-5</v>
      </c>
      <c r="I3556">
        <v>156.3032</v>
      </c>
      <c r="J3556">
        <v>-188.03280000000001</v>
      </c>
      <c r="K3556">
        <v>1.108007</v>
      </c>
      <c r="L3556">
        <v>176.30199999999999</v>
      </c>
      <c r="M3556">
        <v>-4.0682280000000001E-2</v>
      </c>
      <c r="N3556">
        <v>-1.3339439999999999E-2</v>
      </c>
      <c r="O3556">
        <v>-0.99908319999999995</v>
      </c>
      <c r="P3556">
        <v>-0.23181640000000001</v>
      </c>
      <c r="Q3556">
        <v>5.1608260000000005E-4</v>
      </c>
      <c r="R3556">
        <v>-0.97275959999999995</v>
      </c>
      <c r="S3556">
        <v>-0.44572450000000002</v>
      </c>
      <c r="T3556">
        <v>-0.16371659999999999</v>
      </c>
      <c r="U3556">
        <v>-2.9777529999999999</v>
      </c>
      <c r="V3556">
        <v>0.19208839999999999</v>
      </c>
      <c r="W3556">
        <v>1.300805E-2</v>
      </c>
      <c r="X3556">
        <v>0.98129140000000004</v>
      </c>
      <c r="Y3556">
        <v>0.10750220000000001</v>
      </c>
      <c r="Z3556">
        <v>4.1083929999999998E-2</v>
      </c>
      <c r="AA3556">
        <v>0.99335560000000001</v>
      </c>
      <c r="AB3556">
        <v>25</v>
      </c>
      <c r="AC3556">
        <v>-3.0092999999999899</v>
      </c>
      <c r="AD3556">
        <v>-1.10802065236</v>
      </c>
      <c r="AE3556">
        <v>-19.998799999999999</v>
      </c>
      <c r="AF3556">
        <v>2.1865757789868598</v>
      </c>
      <c r="AG3556">
        <v>-1.10802065236</v>
      </c>
      <c r="AH3556">
        <v>20.0445096284577</v>
      </c>
      <c r="AI3556">
        <v>93.145355413733</v>
      </c>
      <c r="AJ3556">
        <v>83.774447763325895</v>
      </c>
      <c r="AK3556">
        <v>20.1938403888077</v>
      </c>
      <c r="AL3556">
        <v>89.254672605395498</v>
      </c>
      <c r="AM3556">
        <v>78.9243649329905</v>
      </c>
      <c r="AN3556">
        <v>0.99999998724666095</v>
      </c>
    </row>
    <row r="3557" spans="1:40" x14ac:dyDescent="0.25">
      <c r="A3557" t="str">
        <f>"20190305135901375"</f>
        <v>20190305135901375</v>
      </c>
      <c r="B3557" t="str">
        <f>"1551765541372204"</f>
        <v>1551765541372204</v>
      </c>
      <c r="C3557" t="s">
        <v>40</v>
      </c>
      <c r="D3557">
        <v>4.1249659999999997</v>
      </c>
      <c r="E3557">
        <v>0.46609309999999998</v>
      </c>
      <c r="F3557" t="s">
        <v>79</v>
      </c>
      <c r="G3557">
        <v>-191.05070000000001</v>
      </c>
      <c r="H3557" s="1">
        <v>-1.355036E-5</v>
      </c>
      <c r="I3557">
        <v>156.06370000000001</v>
      </c>
      <c r="J3557">
        <v>-188.0402</v>
      </c>
      <c r="K3557">
        <v>1.108004</v>
      </c>
      <c r="L3557">
        <v>176.15099999999899</v>
      </c>
      <c r="M3557">
        <v>-4.182781E-2</v>
      </c>
      <c r="N3557">
        <v>-1.333852E-2</v>
      </c>
      <c r="O3557">
        <v>-0.99903600000000004</v>
      </c>
      <c r="P3557">
        <v>-0.23246310000000001</v>
      </c>
      <c r="Q3557">
        <v>5.5154230000000002E-4</v>
      </c>
      <c r="R3557">
        <v>-0.97260519999999995</v>
      </c>
      <c r="S3557">
        <v>-0.44410709999999998</v>
      </c>
      <c r="T3557">
        <v>-0.1630576</v>
      </c>
      <c r="U3557">
        <v>-2.9782869999999999</v>
      </c>
      <c r="V3557">
        <v>0.1916158</v>
      </c>
      <c r="W3557">
        <v>1.304334E-2</v>
      </c>
      <c r="X3557">
        <v>0.98138329999999996</v>
      </c>
      <c r="Y3557">
        <v>0.1058106</v>
      </c>
      <c r="Z3557">
        <v>4.0861149999999999E-2</v>
      </c>
      <c r="AA3557">
        <v>0.99354640000000005</v>
      </c>
      <c r="AB3557">
        <v>25</v>
      </c>
      <c r="AC3557">
        <v>-3.0105</v>
      </c>
      <c r="AD3557">
        <v>-1.10801755036</v>
      </c>
      <c r="AE3557">
        <v>-20.0872999999999</v>
      </c>
      <c r="AF3557">
        <v>2.1611513496491601</v>
      </c>
      <c r="AG3557">
        <v>-1.10801755036</v>
      </c>
      <c r="AH3557">
        <v>20.135731113062899</v>
      </c>
      <c r="AI3557">
        <v>93.131712823775999</v>
      </c>
      <c r="AJ3557">
        <v>83.873942736917797</v>
      </c>
      <c r="AK3557">
        <v>20.281665254745899</v>
      </c>
      <c r="AL3557">
        <v>89.252650447278398</v>
      </c>
      <c r="AM3557">
        <v>78.9519524484285</v>
      </c>
      <c r="AN3557">
        <v>0.99999996252344203</v>
      </c>
    </row>
    <row r="3558" spans="1:40" x14ac:dyDescent="0.25">
      <c r="A3558" t="str">
        <f>"20190305135901393"</f>
        <v>20190305135901393</v>
      </c>
      <c r="B3558" t="str">
        <f>"1551765541382939"</f>
        <v>1551765541382939</v>
      </c>
      <c r="C3558" t="s">
        <v>40</v>
      </c>
      <c r="D3558">
        <v>4.1335649999999999</v>
      </c>
      <c r="E3558">
        <v>0.46596720000000003</v>
      </c>
      <c r="F3558" t="s">
        <v>79</v>
      </c>
      <c r="G3558">
        <v>-191.0891</v>
      </c>
      <c r="H3558" s="1">
        <v>-1.338765E-5</v>
      </c>
      <c r="I3558">
        <v>155.6765</v>
      </c>
      <c r="J3558">
        <v>-188.05019999999999</v>
      </c>
      <c r="K3558">
        <v>1.107996</v>
      </c>
      <c r="L3558">
        <v>175.95339999999999</v>
      </c>
      <c r="M3558">
        <v>-4.3340509999999999E-2</v>
      </c>
      <c r="N3558">
        <v>-1.333752E-2</v>
      </c>
      <c r="O3558">
        <v>-0.99897139999999995</v>
      </c>
      <c r="P3558">
        <v>-0.23257240000000001</v>
      </c>
      <c r="Q3558">
        <v>1.387557E-3</v>
      </c>
      <c r="R3558">
        <v>-0.97257830000000001</v>
      </c>
      <c r="S3558">
        <v>-0.44354250000000001</v>
      </c>
      <c r="T3558">
        <v>-0.16119069999999999</v>
      </c>
      <c r="U3558">
        <v>-2.978577</v>
      </c>
      <c r="V3558">
        <v>0.19024279999999999</v>
      </c>
      <c r="W3558">
        <v>1.3881060000000001E-2</v>
      </c>
      <c r="X3558">
        <v>0.98163900000000004</v>
      </c>
      <c r="Y3558">
        <v>0.1041113</v>
      </c>
      <c r="Z3558">
        <v>4.0240339999999999E-2</v>
      </c>
      <c r="AA3558">
        <v>0.99375119999999895</v>
      </c>
      <c r="AB3558">
        <v>25</v>
      </c>
      <c r="AC3558">
        <v>-3.0389000000000101</v>
      </c>
      <c r="AD3558">
        <v>-1.1080093876499999</v>
      </c>
      <c r="AE3558">
        <v>-20.276899999999898</v>
      </c>
      <c r="AF3558">
        <v>2.15087338410064</v>
      </c>
      <c r="AG3558">
        <v>-1.1080093876499999</v>
      </c>
      <c r="AH3558">
        <v>20.330191219712201</v>
      </c>
      <c r="AI3558">
        <v>93.102293490879404</v>
      </c>
      <c r="AJ3558">
        <v>83.960743625592798</v>
      </c>
      <c r="AK3558">
        <v>20.473656638412599</v>
      </c>
      <c r="AL3558">
        <v>89.204648356470003</v>
      </c>
      <c r="AM3558">
        <v>79.031976845604206</v>
      </c>
      <c r="AN3558">
        <v>1.0000000665497699</v>
      </c>
    </row>
    <row r="3559" spans="1:40" x14ac:dyDescent="0.25">
      <c r="A3559" t="str">
        <f>"20190305135901411"</f>
        <v>20190305135901411</v>
      </c>
      <c r="B3559" t="str">
        <f>"1551765541402460"</f>
        <v>1551765541402460</v>
      </c>
      <c r="C3559" t="s">
        <v>40</v>
      </c>
      <c r="D3559">
        <v>4.1440109999999999</v>
      </c>
      <c r="E3559">
        <v>0.46580149999999998</v>
      </c>
      <c r="F3559" t="s">
        <v>79</v>
      </c>
      <c r="G3559">
        <v>-191.16919999999999</v>
      </c>
      <c r="H3559" s="1">
        <v>-1.308886E-5</v>
      </c>
      <c r="I3559">
        <v>154.96340000000001</v>
      </c>
      <c r="J3559">
        <v>-188.06</v>
      </c>
      <c r="K3559">
        <v>1.107982</v>
      </c>
      <c r="L3559">
        <v>175.7645</v>
      </c>
      <c r="M3559">
        <v>-4.4807800000000002E-2</v>
      </c>
      <c r="N3559">
        <v>-1.33367E-2</v>
      </c>
      <c r="O3559">
        <v>-0.99890690000000004</v>
      </c>
      <c r="P3559">
        <v>-0.23333429999999999</v>
      </c>
      <c r="Q3559">
        <v>2.1869630000000001E-3</v>
      </c>
      <c r="R3559">
        <v>-0.9723946</v>
      </c>
      <c r="S3559">
        <v>-0.44265749999999998</v>
      </c>
      <c r="T3559">
        <v>-0.15725229999999901</v>
      </c>
      <c r="U3559">
        <v>-2.9789729999999999</v>
      </c>
      <c r="V3559">
        <v>0.18957299999999999</v>
      </c>
      <c r="W3559">
        <v>1.4675870000000001E-2</v>
      </c>
      <c r="X3559">
        <v>0.98175690000000004</v>
      </c>
      <c r="Y3559">
        <v>0.1023515</v>
      </c>
      <c r="Z3559">
        <v>3.893162E-2</v>
      </c>
      <c r="AA3559">
        <v>0.99398620000000004</v>
      </c>
      <c r="AB3559">
        <v>25</v>
      </c>
      <c r="AC3559">
        <v>-3.10919999999998</v>
      </c>
      <c r="AD3559">
        <v>-1.1079950888600001</v>
      </c>
      <c r="AE3559">
        <v>-20.801099999999899</v>
      </c>
      <c r="AF3559">
        <v>2.16792589531507</v>
      </c>
      <c r="AG3559">
        <v>-1.1079950888600001</v>
      </c>
      <c r="AH3559">
        <v>20.861636093085501</v>
      </c>
      <c r="AI3559">
        <v>93.023960726022494</v>
      </c>
      <c r="AJ3559">
        <v>84.067160200436305</v>
      </c>
      <c r="AK3559">
        <v>21.0032239497855</v>
      </c>
      <c r="AL3559">
        <v>89.159104364880903</v>
      </c>
      <c r="AM3559">
        <v>79.070941999046795</v>
      </c>
      <c r="AN3559">
        <v>0.99999995709343203</v>
      </c>
    </row>
    <row r="3560" spans="1:40" x14ac:dyDescent="0.25">
      <c r="A3560" t="str">
        <f>"20190305135901425"</f>
        <v>20190305135901425</v>
      </c>
      <c r="B3560" t="str">
        <f>"1551765541422956"</f>
        <v>1551765541422956</v>
      </c>
      <c r="C3560" t="s">
        <v>40</v>
      </c>
      <c r="D3560">
        <v>4.1726609999999997</v>
      </c>
      <c r="E3560">
        <v>0.46569280000000002</v>
      </c>
      <c r="F3560" t="s">
        <v>79</v>
      </c>
      <c r="G3560">
        <v>-191.28309999999999</v>
      </c>
      <c r="H3560" s="1">
        <v>-1.2825250000000001E-5</v>
      </c>
      <c r="I3560">
        <v>154.12020000000001</v>
      </c>
      <c r="J3560">
        <v>-188.06909999999999</v>
      </c>
      <c r="K3560">
        <v>1.1079760000000001</v>
      </c>
      <c r="L3560">
        <v>175.59479999999999</v>
      </c>
      <c r="M3560">
        <v>-4.6148269999999998E-2</v>
      </c>
      <c r="N3560">
        <v>-1.333611E-2</v>
      </c>
      <c r="O3560">
        <v>-0.99884569999999995</v>
      </c>
      <c r="P3560">
        <v>-0.2332428</v>
      </c>
      <c r="Q3560">
        <v>4.4151470000000003E-3</v>
      </c>
      <c r="R3560">
        <v>-0.97240870000000001</v>
      </c>
      <c r="S3560">
        <v>-0.44361879999999998</v>
      </c>
      <c r="T3560">
        <v>-0.15250069999999999</v>
      </c>
      <c r="U3560">
        <v>-2.97905</v>
      </c>
      <c r="V3560">
        <v>0.18817110000000001</v>
      </c>
      <c r="W3560">
        <v>1.6901940000000001E-2</v>
      </c>
      <c r="X3560">
        <v>0.98199080000000005</v>
      </c>
      <c r="Y3560">
        <v>0.101337</v>
      </c>
      <c r="Z3560">
        <v>3.7354730000000003E-2</v>
      </c>
      <c r="AA3560">
        <v>0.9941506</v>
      </c>
      <c r="AB3560">
        <v>25</v>
      </c>
      <c r="AC3560">
        <v>-3.2139999999999902</v>
      </c>
      <c r="AD3560">
        <v>-1.1079888252500001</v>
      </c>
      <c r="AE3560">
        <v>-21.474599999999899</v>
      </c>
      <c r="AF3560">
        <v>2.2137075947063498</v>
      </c>
      <c r="AG3560">
        <v>-1.1079888252500001</v>
      </c>
      <c r="AH3560">
        <v>21.543955477084602</v>
      </c>
      <c r="AI3560">
        <v>92.928690224584301</v>
      </c>
      <c r="AJ3560">
        <v>84.133272214282599</v>
      </c>
      <c r="AK3560">
        <v>21.685713226692499</v>
      </c>
      <c r="AL3560">
        <v>89.031544043326093</v>
      </c>
      <c r="AM3560">
        <v>79.152360601821002</v>
      </c>
      <c r="AN3560">
        <v>0.99999998486780595</v>
      </c>
    </row>
    <row r="3561" spans="1:40" x14ac:dyDescent="0.25">
      <c r="A3561" t="str">
        <f>"20190305135901440"</f>
        <v>20190305135901440</v>
      </c>
      <c r="B3561" t="str">
        <f>"1551765541432716"</f>
        <v>1551765541432716</v>
      </c>
      <c r="C3561" t="s">
        <v>40</v>
      </c>
      <c r="D3561">
        <v>4.1594199999999999</v>
      </c>
      <c r="E3561">
        <v>0.46566920000000001</v>
      </c>
      <c r="F3561" t="s">
        <v>79</v>
      </c>
      <c r="G3561">
        <v>-191.4546</v>
      </c>
      <c r="H3561" s="1">
        <v>-1.2325330000000001E-5</v>
      </c>
      <c r="I3561">
        <v>152.8151</v>
      </c>
      <c r="J3561">
        <v>-188.0778</v>
      </c>
      <c r="K3561">
        <v>1.107955</v>
      </c>
      <c r="L3561">
        <v>175.43549999999999</v>
      </c>
      <c r="M3561">
        <v>-4.7426759999999998E-2</v>
      </c>
      <c r="N3561">
        <v>-1.3335680000000001E-2</v>
      </c>
      <c r="O3561">
        <v>-0.9987859</v>
      </c>
      <c r="P3561">
        <v>-0.23382649999999999</v>
      </c>
      <c r="Q3561">
        <v>5.4980410000000004E-3</v>
      </c>
      <c r="R3561">
        <v>-0.97226299999999999</v>
      </c>
      <c r="S3561">
        <v>-0.44282529999999998</v>
      </c>
      <c r="T3561">
        <v>-0.1449242</v>
      </c>
      <c r="U3561">
        <v>-2.979568</v>
      </c>
      <c r="V3561">
        <v>0.18750829999999999</v>
      </c>
      <c r="W3561">
        <v>1.7977050000000001E-2</v>
      </c>
      <c r="X3561">
        <v>0.98209849999999999</v>
      </c>
      <c r="Y3561">
        <v>9.9794910000000001E-2</v>
      </c>
      <c r="Z3561">
        <v>3.4837439999999997E-2</v>
      </c>
      <c r="AA3561">
        <v>0.994398</v>
      </c>
      <c r="AB3561">
        <v>25</v>
      </c>
      <c r="AC3561">
        <v>-3.3767999999999998</v>
      </c>
      <c r="AD3561">
        <v>-1.10796732533</v>
      </c>
      <c r="AE3561">
        <v>-22.620399999999901</v>
      </c>
      <c r="AF3561">
        <v>2.2947067212342702</v>
      </c>
      <c r="AG3561">
        <v>-1.10796732533</v>
      </c>
      <c r="AH3561">
        <v>22.701828740263299</v>
      </c>
      <c r="AI3561">
        <v>92.779971684893695</v>
      </c>
      <c r="AJ3561">
        <v>84.228131991788302</v>
      </c>
      <c r="AK3561">
        <v>22.844393156368199</v>
      </c>
      <c r="AL3561">
        <v>88.969935420393298</v>
      </c>
      <c r="AM3561">
        <v>79.190825204430496</v>
      </c>
      <c r="AN3561">
        <v>1.00000000029892</v>
      </c>
    </row>
    <row r="3562" spans="1:40" x14ac:dyDescent="0.25">
      <c r="A3562" t="str">
        <f>"20190305135901452"</f>
        <v>20190305135901452</v>
      </c>
      <c r="B3562" t="str">
        <f>"1551765541442476"</f>
        <v>1551765541442476</v>
      </c>
      <c r="C3562" t="s">
        <v>40</v>
      </c>
      <c r="D3562">
        <v>4.4875239999999996</v>
      </c>
      <c r="E3562">
        <v>0.46623130000000002</v>
      </c>
      <c r="F3562" t="s">
        <v>79</v>
      </c>
      <c r="G3562">
        <v>-191.5694</v>
      </c>
      <c r="H3562" s="1">
        <v>-1.2011580000000001E-5</v>
      </c>
      <c r="I3562">
        <v>152.03630000000001</v>
      </c>
      <c r="J3562">
        <v>-188.08600000000001</v>
      </c>
      <c r="K3562">
        <v>1.1079300000000001</v>
      </c>
      <c r="L3562">
        <v>175.29040000000001</v>
      </c>
      <c r="M3562">
        <v>-4.8618920000000003E-2</v>
      </c>
      <c r="N3562">
        <v>-1.333559E-2</v>
      </c>
      <c r="O3562">
        <v>-0.99872839999999996</v>
      </c>
      <c r="P3562">
        <v>-0.23456370000000001</v>
      </c>
      <c r="Q3562">
        <v>6.1951419999999998E-3</v>
      </c>
      <c r="R3562">
        <v>-0.97208079999999997</v>
      </c>
      <c r="S3562">
        <v>-0.44459530000000003</v>
      </c>
      <c r="T3562">
        <v>-0.1410795</v>
      </c>
      <c r="U3562">
        <v>-2.9794619999999998</v>
      </c>
      <c r="V3562">
        <v>0.18708449999999999</v>
      </c>
      <c r="W3562">
        <v>1.8665009999999999E-2</v>
      </c>
      <c r="X3562">
        <v>0.98216650000000005</v>
      </c>
      <c r="Y3562">
        <v>9.9197859999999999E-2</v>
      </c>
      <c r="Z3562">
        <v>3.3561630000000002E-2</v>
      </c>
      <c r="AA3562">
        <v>0.99450159999999999</v>
      </c>
      <c r="AB3562">
        <v>25</v>
      </c>
      <c r="AC3562">
        <v>-3.4834000000000098</v>
      </c>
      <c r="AD3562">
        <v>-1.1079420115799901</v>
      </c>
      <c r="AE3562">
        <v>-23.254099999999902</v>
      </c>
      <c r="AF3562">
        <v>2.3433872078300002</v>
      </c>
      <c r="AG3562">
        <v>-1.1079420115799901</v>
      </c>
      <c r="AH3562">
        <v>23.344139732479402</v>
      </c>
      <c r="AI3562">
        <v>92.703721870840994</v>
      </c>
      <c r="AJ3562">
        <v>84.267601874263605</v>
      </c>
      <c r="AK3562">
        <v>23.487610754531101</v>
      </c>
      <c r="AL3562">
        <v>88.930511611926406</v>
      </c>
      <c r="AM3562">
        <v>79.215411281861293</v>
      </c>
      <c r="AN3562">
        <v>1.0000000132304001</v>
      </c>
    </row>
    <row r="3563" spans="1:40" x14ac:dyDescent="0.25">
      <c r="A3563" t="str">
        <f>"20190305135901465"</f>
        <v>20190305135901465</v>
      </c>
      <c r="B3563" t="str">
        <f>"1551765541462972"</f>
        <v>1551765541462972</v>
      </c>
      <c r="C3563" t="s">
        <v>40</v>
      </c>
      <c r="D3563">
        <v>4.1655239999999996</v>
      </c>
      <c r="E3563">
        <v>0.4661959</v>
      </c>
      <c r="F3563" t="s">
        <v>79</v>
      </c>
      <c r="G3563">
        <v>-191.6592</v>
      </c>
      <c r="H3563" s="1">
        <v>-1.189018E-5</v>
      </c>
      <c r="I3563">
        <v>151.71619999999999</v>
      </c>
      <c r="J3563">
        <v>-188.0943</v>
      </c>
      <c r="K3563">
        <v>1.107907</v>
      </c>
      <c r="L3563">
        <v>175.14709999999999</v>
      </c>
      <c r="M3563">
        <v>-4.9817050000000002E-2</v>
      </c>
      <c r="N3563">
        <v>-1.333554E-2</v>
      </c>
      <c r="O3563">
        <v>-0.99866940000000004</v>
      </c>
      <c r="P3563">
        <v>-0.23517450000000001</v>
      </c>
      <c r="Q3563">
        <v>6.6365779999999997E-3</v>
      </c>
      <c r="R3563">
        <v>-0.97193070000000004</v>
      </c>
      <c r="S3563">
        <v>-0.45140079999999999</v>
      </c>
      <c r="T3563">
        <v>-0.13996600000000001</v>
      </c>
      <c r="U3563">
        <v>-2.978119</v>
      </c>
      <c r="V3563">
        <v>0.186526</v>
      </c>
      <c r="W3563">
        <v>1.909742E-2</v>
      </c>
      <c r="X3563">
        <v>0.98226440000000004</v>
      </c>
      <c r="Y3563">
        <v>0.1002934</v>
      </c>
      <c r="Z3563">
        <v>3.3200689999999998E-2</v>
      </c>
      <c r="AA3563">
        <v>0.99440379999999995</v>
      </c>
      <c r="AB3563">
        <v>25</v>
      </c>
      <c r="AC3563">
        <v>-3.56489999999999</v>
      </c>
      <c r="AD3563">
        <v>-1.1079188901799999</v>
      </c>
      <c r="AE3563">
        <v>-23.430900000000001</v>
      </c>
      <c r="AF3563">
        <v>2.3878927312998699</v>
      </c>
      <c r="AG3563">
        <v>-1.1079188901799999</v>
      </c>
      <c r="AH3563">
        <v>23.527996307717402</v>
      </c>
      <c r="AI3563">
        <v>92.682272744303802</v>
      </c>
      <c r="AJ3563">
        <v>84.204806230151505</v>
      </c>
      <c r="AK3563">
        <v>23.6747993913228</v>
      </c>
      <c r="AL3563">
        <v>88.905731918552405</v>
      </c>
      <c r="AM3563">
        <v>79.247901298544804</v>
      </c>
      <c r="AN3563">
        <v>1.000000005817</v>
      </c>
    </row>
    <row r="3564" spans="1:40" x14ac:dyDescent="0.25">
      <c r="A3564" t="str">
        <f>"20190305135901482"</f>
        <v>20190305135901482</v>
      </c>
      <c r="B3564" t="str">
        <f>"1551765541472731"</f>
        <v>1551765541472731</v>
      </c>
      <c r="C3564" t="s">
        <v>40</v>
      </c>
      <c r="D3564">
        <v>4.1852390000000002</v>
      </c>
      <c r="E3564">
        <v>0.46615450000000003</v>
      </c>
      <c r="F3564" t="s">
        <v>79</v>
      </c>
      <c r="G3564">
        <v>-191.6859</v>
      </c>
      <c r="H3564" s="1">
        <v>-1.1823030000000001E-5</v>
      </c>
      <c r="I3564">
        <v>151.54859999999999</v>
      </c>
      <c r="J3564">
        <v>-188.1052</v>
      </c>
      <c r="K3564">
        <v>1.1078669999999999</v>
      </c>
      <c r="L3564">
        <v>174.9622</v>
      </c>
      <c r="M3564">
        <v>-5.1397409999999998E-2</v>
      </c>
      <c r="N3564">
        <v>-1.333558E-2</v>
      </c>
      <c r="O3564">
        <v>-0.99858950000000002</v>
      </c>
      <c r="P3564">
        <v>-0.2354803</v>
      </c>
      <c r="Q3564">
        <v>6.619761E-3</v>
      </c>
      <c r="R3564">
        <v>-0.97185710000000003</v>
      </c>
      <c r="S3564">
        <v>-0.45323180000000002</v>
      </c>
      <c r="T3564">
        <v>-0.139810299999999</v>
      </c>
      <c r="U3564">
        <v>-2.9779360000000001</v>
      </c>
      <c r="V3564">
        <v>0.1852818</v>
      </c>
      <c r="W3564">
        <v>1.907215E-2</v>
      </c>
      <c r="X3564">
        <v>0.98250029999999999</v>
      </c>
      <c r="Y3564">
        <v>9.9326220000000007E-2</v>
      </c>
      <c r="Z3564">
        <v>3.3148209999999997E-2</v>
      </c>
      <c r="AA3564">
        <v>0.99450269999999996</v>
      </c>
      <c r="AB3564">
        <v>25</v>
      </c>
      <c r="AC3564">
        <v>-3.5807000000000002</v>
      </c>
      <c r="AD3564">
        <v>-1.1078788230299901</v>
      </c>
      <c r="AE3564">
        <v>-23.413599999999999</v>
      </c>
      <c r="AF3564">
        <v>2.3672822311092601</v>
      </c>
      <c r="AG3564">
        <v>-1.1078788230299901</v>
      </c>
      <c r="AH3564">
        <v>23.515256617102899</v>
      </c>
      <c r="AI3564">
        <v>92.683847135132893</v>
      </c>
      <c r="AJ3564">
        <v>84.2513980476661</v>
      </c>
      <c r="AK3564">
        <v>23.660065815978701</v>
      </c>
      <c r="AL3564">
        <v>88.907180003023399</v>
      </c>
      <c r="AM3564">
        <v>79.320471935529497</v>
      </c>
      <c r="AN3564">
        <v>0.99999996590847495</v>
      </c>
    </row>
    <row r="3565" spans="1:40" x14ac:dyDescent="0.25">
      <c r="A3565" t="str">
        <f>"20190305135901495"</f>
        <v>20190305135901495</v>
      </c>
      <c r="B3565" t="str">
        <f>"1551765541492252"</f>
        <v>1551765541492252</v>
      </c>
      <c r="C3565" t="s">
        <v>40</v>
      </c>
      <c r="D3565">
        <v>4.1597799999999996</v>
      </c>
      <c r="E3565">
        <v>0.46613650000000001</v>
      </c>
      <c r="F3565" t="s">
        <v>79</v>
      </c>
      <c r="G3565">
        <v>-191.68029999999999</v>
      </c>
      <c r="H3565" s="1">
        <v>-1.181038E-5</v>
      </c>
      <c r="I3565">
        <v>151.5215</v>
      </c>
      <c r="J3565">
        <v>-188.11369999999999</v>
      </c>
      <c r="K3565">
        <v>1.1078380000000001</v>
      </c>
      <c r="L3565">
        <v>174.82230000000001</v>
      </c>
      <c r="M3565">
        <v>-5.2623650000000001E-2</v>
      </c>
      <c r="N3565">
        <v>-1.3335700000000001E-2</v>
      </c>
      <c r="O3565">
        <v>-0.99852560000000001</v>
      </c>
      <c r="P3565">
        <v>-0.2360186</v>
      </c>
      <c r="Q3565">
        <v>6.2154389999999997E-3</v>
      </c>
      <c r="R3565">
        <v>-0.97172899999999995</v>
      </c>
      <c r="S3565">
        <v>-0.45416260000000003</v>
      </c>
      <c r="T3565">
        <v>-0.1407398</v>
      </c>
      <c r="U3565">
        <v>-2.9777979999999999</v>
      </c>
      <c r="V3565">
        <v>0.18461920000000001</v>
      </c>
      <c r="W3565">
        <v>1.8659289999999999E-2</v>
      </c>
      <c r="X3565">
        <v>0.98263299999999998</v>
      </c>
      <c r="Y3565">
        <v>9.8413470000000003E-2</v>
      </c>
      <c r="Z3565">
        <v>3.345621E-2</v>
      </c>
      <c r="AA3565">
        <v>0.99458310000000005</v>
      </c>
      <c r="AB3565">
        <v>25</v>
      </c>
      <c r="AC3565">
        <v>-3.56659999999999</v>
      </c>
      <c r="AD3565">
        <v>-1.1078498103800001</v>
      </c>
      <c r="AE3565">
        <v>-23.300799999999999</v>
      </c>
      <c r="AF3565">
        <v>2.3302283161120001</v>
      </c>
      <c r="AG3565">
        <v>-1.1078498103800001</v>
      </c>
      <c r="AH3565">
        <v>23.404516632433701</v>
      </c>
      <c r="AI3565">
        <v>92.696752145420106</v>
      </c>
      <c r="AJ3565">
        <v>84.314187555410101</v>
      </c>
      <c r="AK3565">
        <v>23.546309562337701</v>
      </c>
      <c r="AL3565">
        <v>88.930839403186795</v>
      </c>
      <c r="AM3565">
        <v>79.359194269715999</v>
      </c>
      <c r="AN3565">
        <v>1.00000001540047</v>
      </c>
    </row>
    <row r="3566" spans="1:40" x14ac:dyDescent="0.25">
      <c r="A3566" t="str">
        <f>"20190305135901509"</f>
        <v>20190305135901509</v>
      </c>
      <c r="B3566" t="str">
        <f>"1551765541502988"</f>
        <v>1551765541502988</v>
      </c>
      <c r="C3566" t="s">
        <v>40</v>
      </c>
      <c r="D3566">
        <v>4.17896</v>
      </c>
      <c r="E3566">
        <v>0.46612799999999999</v>
      </c>
      <c r="F3566" t="s">
        <v>79</v>
      </c>
      <c r="G3566">
        <v>-191.64490000000001</v>
      </c>
      <c r="H3566" s="1">
        <v>-1.190146E-5</v>
      </c>
      <c r="I3566">
        <v>151.7484</v>
      </c>
      <c r="J3566">
        <v>-188.1233</v>
      </c>
      <c r="K3566">
        <v>1.1078049999999999</v>
      </c>
      <c r="L3566">
        <v>174.66919999999999</v>
      </c>
      <c r="M3566">
        <v>-5.4003950000000002E-2</v>
      </c>
      <c r="N3566">
        <v>-1.3335980000000001E-2</v>
      </c>
      <c r="O3566">
        <v>-0.9984518</v>
      </c>
      <c r="P3566">
        <v>-0.23672960000000001</v>
      </c>
      <c r="Q3566">
        <v>6.0978959999999898E-3</v>
      </c>
      <c r="R3566">
        <v>-0.97155650000000005</v>
      </c>
      <c r="S3566">
        <v>-0.4556732</v>
      </c>
      <c r="T3566">
        <v>-0.14296010000000001</v>
      </c>
      <c r="U3566">
        <v>-2.9775239999999998</v>
      </c>
      <c r="V3566">
        <v>0.1839808</v>
      </c>
      <c r="W3566">
        <v>1.8531039999999999E-2</v>
      </c>
      <c r="X3566">
        <v>0.98275509999999999</v>
      </c>
      <c r="Y3566">
        <v>9.7540589999999996E-2</v>
      </c>
      <c r="Z3566">
        <v>3.4192729999999998E-2</v>
      </c>
      <c r="AA3566">
        <v>0.99464399999999997</v>
      </c>
      <c r="AB3566">
        <v>25</v>
      </c>
      <c r="AC3566">
        <v>-3.5215999999999998</v>
      </c>
      <c r="AD3566">
        <v>-1.1078169014599999</v>
      </c>
      <c r="AE3566">
        <v>-22.9207999999999</v>
      </c>
      <c r="AF3566">
        <v>2.27334832244017</v>
      </c>
      <c r="AG3566">
        <v>-1.1078169014599999</v>
      </c>
      <c r="AH3566">
        <v>23.0249970008296</v>
      </c>
      <c r="AI3566">
        <v>92.741276843873806</v>
      </c>
      <c r="AJ3566">
        <v>84.361238369242898</v>
      </c>
      <c r="AK3566">
        <v>23.163459538042101</v>
      </c>
      <c r="AL3566">
        <v>88.938188799145706</v>
      </c>
      <c r="AM3566">
        <v>79.396441096333007</v>
      </c>
      <c r="AN3566">
        <v>0.99999996039406502</v>
      </c>
    </row>
    <row r="3567" spans="1:40" x14ac:dyDescent="0.25">
      <c r="A3567" t="str">
        <f>"20190305135901527"</f>
        <v>20190305135901527</v>
      </c>
      <c r="B3567" t="str">
        <f>"1551765541522507"</f>
        <v>1551765541522507</v>
      </c>
      <c r="C3567" t="s">
        <v>40</v>
      </c>
      <c r="D3567">
        <v>4.1700619999999997</v>
      </c>
      <c r="E3567">
        <v>0.46614499999999998</v>
      </c>
      <c r="F3567" t="s">
        <v>79</v>
      </c>
      <c r="G3567">
        <v>-191.65090000000001</v>
      </c>
      <c r="H3567" s="1">
        <v>-1.18988E-5</v>
      </c>
      <c r="I3567">
        <v>151.7397</v>
      </c>
      <c r="J3567">
        <v>-188.13589999999999</v>
      </c>
      <c r="K3567">
        <v>1.1077650000000001</v>
      </c>
      <c r="L3567">
        <v>174.4734</v>
      </c>
      <c r="M3567">
        <v>-5.5814370000000002E-2</v>
      </c>
      <c r="N3567">
        <v>-1.3336489999999999E-2</v>
      </c>
      <c r="O3567">
        <v>-0.99835220000000002</v>
      </c>
      <c r="P3567">
        <v>-0.2374926</v>
      </c>
      <c r="Q3567">
        <v>6.5663650000000002E-3</v>
      </c>
      <c r="R3567">
        <v>-0.97136730000000004</v>
      </c>
      <c r="S3567">
        <v>-0.45802310000000002</v>
      </c>
      <c r="T3567">
        <v>-0.14383770000000001</v>
      </c>
      <c r="U3567">
        <v>-2.9771420000000002</v>
      </c>
      <c r="V3567">
        <v>0.1829742</v>
      </c>
      <c r="W3567">
        <v>1.8986820000000001E-2</v>
      </c>
      <c r="X3567">
        <v>0.98293439999999999</v>
      </c>
      <c r="Y3567">
        <v>9.652065E-2</v>
      </c>
      <c r="Z3567">
        <v>3.4483649999999998E-2</v>
      </c>
      <c r="AA3567">
        <v>0.99473350000000005</v>
      </c>
      <c r="AB3567">
        <v>25</v>
      </c>
      <c r="AC3567">
        <v>-3.5150000000000099</v>
      </c>
      <c r="AD3567">
        <v>-1.1077768988000001</v>
      </c>
      <c r="AE3567">
        <v>-22.733699999999999</v>
      </c>
      <c r="AF3567">
        <v>2.23535602258886</v>
      </c>
      <c r="AG3567">
        <v>-1.1077768988000001</v>
      </c>
      <c r="AH3567">
        <v>22.841490669227099</v>
      </c>
      <c r="AI3567">
        <v>92.763400087885998</v>
      </c>
      <c r="AJ3567">
        <v>84.410613372596202</v>
      </c>
      <c r="AK3567">
        <v>22.977329744720699</v>
      </c>
      <c r="AL3567">
        <v>88.912070024603807</v>
      </c>
      <c r="AM3567">
        <v>79.455031136650504</v>
      </c>
      <c r="AN3567">
        <v>1.0000000459513501</v>
      </c>
    </row>
    <row r="3568" spans="1:40" x14ac:dyDescent="0.25">
      <c r="A3568" t="str">
        <f>"20190305135901541"</f>
        <v>20190305135901541</v>
      </c>
      <c r="B3568" t="str">
        <f>"1551765541532268"</f>
        <v>1551765541532268</v>
      </c>
      <c r="C3568" t="s">
        <v>40</v>
      </c>
      <c r="D3568">
        <v>4.1602690000000004</v>
      </c>
      <c r="E3568">
        <v>0.46616259999999998</v>
      </c>
      <c r="F3568" t="s">
        <v>79</v>
      </c>
      <c r="G3568">
        <v>-191.70830000000001</v>
      </c>
      <c r="H3568" s="1">
        <v>-1.175531E-5</v>
      </c>
      <c r="I3568">
        <v>151.38149999999999</v>
      </c>
      <c r="J3568">
        <v>-188.14609999999999</v>
      </c>
      <c r="K3568">
        <v>1.107728</v>
      </c>
      <c r="L3568">
        <v>174.3175</v>
      </c>
      <c r="M3568">
        <v>-5.7291069999999999E-2</v>
      </c>
      <c r="N3568">
        <v>-1.333699E-2</v>
      </c>
      <c r="O3568">
        <v>-0.9982685</v>
      </c>
      <c r="P3568">
        <v>-0.23839630000000001</v>
      </c>
      <c r="Q3568">
        <v>6.9369699999999998E-3</v>
      </c>
      <c r="R3568">
        <v>-0.97114339999999999</v>
      </c>
      <c r="S3568">
        <v>-0.46052549999999998</v>
      </c>
      <c r="T3568">
        <v>-0.14280509999999999</v>
      </c>
      <c r="U3568">
        <v>-2.976807</v>
      </c>
      <c r="V3568">
        <v>0.18243789999999999</v>
      </c>
      <c r="W3568">
        <v>1.9345810000000001E-2</v>
      </c>
      <c r="X3568">
        <v>0.98302699999999998</v>
      </c>
      <c r="Y3568">
        <v>9.5884289999999997E-2</v>
      </c>
      <c r="Z3568">
        <v>3.4140530000000002E-2</v>
      </c>
      <c r="AA3568">
        <v>0.99480679999999999</v>
      </c>
      <c r="AB3568">
        <v>25</v>
      </c>
      <c r="AC3568">
        <v>-3.56220000000001</v>
      </c>
      <c r="AD3568">
        <v>-1.1077397553099999</v>
      </c>
      <c r="AE3568">
        <v>-22.936</v>
      </c>
      <c r="AF3568">
        <v>2.2371079680656001</v>
      </c>
      <c r="AG3568">
        <v>-1.1077397553099999</v>
      </c>
      <c r="AH3568">
        <v>23.049921850567099</v>
      </c>
      <c r="AI3568">
        <v>92.738571841548094</v>
      </c>
      <c r="AJ3568">
        <v>84.456525943480401</v>
      </c>
      <c r="AK3568">
        <v>23.184706958327698</v>
      </c>
      <c r="AL3568">
        <v>88.891497545098304</v>
      </c>
      <c r="AM3568">
        <v>79.486216720195799</v>
      </c>
      <c r="AN3568">
        <v>0.99999996522498202</v>
      </c>
    </row>
    <row r="3569" spans="1:40" x14ac:dyDescent="0.25">
      <c r="A3569" t="str">
        <f>"20190305135901551"</f>
        <v>20190305135901551</v>
      </c>
      <c r="B3569" t="str">
        <f>"1551765541543004"</f>
        <v>1551765541543004</v>
      </c>
      <c r="C3569" t="s">
        <v>40</v>
      </c>
      <c r="D3569">
        <v>4.1506540000000003</v>
      </c>
      <c r="E3569">
        <v>0.4662232</v>
      </c>
      <c r="F3569" t="s">
        <v>79</v>
      </c>
      <c r="G3569">
        <v>-191.7714</v>
      </c>
      <c r="H3569" s="1">
        <v>-1.1613050000000001E-5</v>
      </c>
      <c r="I3569">
        <v>151.02379999999999</v>
      </c>
      <c r="J3569">
        <v>-188.1551</v>
      </c>
      <c r="K3569">
        <v>1.1076969999999999</v>
      </c>
      <c r="L3569">
        <v>174.1859</v>
      </c>
      <c r="M3569">
        <v>-5.8572220000000001E-2</v>
      </c>
      <c r="N3569">
        <v>-1.333752E-2</v>
      </c>
      <c r="O3569">
        <v>-0.99819420000000003</v>
      </c>
      <c r="P3569">
        <v>-0.23903969999999999</v>
      </c>
      <c r="Q3569">
        <v>7.1681549999999998E-3</v>
      </c>
      <c r="R3569">
        <v>-0.97098370000000001</v>
      </c>
      <c r="S3569">
        <v>-0.46322629999999998</v>
      </c>
      <c r="T3569">
        <v>-0.1415457</v>
      </c>
      <c r="U3569">
        <v>-2.9764400000000002</v>
      </c>
      <c r="V3569">
        <v>0.18182989999999999</v>
      </c>
      <c r="W3569">
        <v>1.9567500000000002E-2</v>
      </c>
      <c r="X3569">
        <v>0.98313530000000005</v>
      </c>
      <c r="Y3569">
        <v>9.5509330000000003E-2</v>
      </c>
      <c r="Z3569">
        <v>3.372232E-2</v>
      </c>
      <c r="AA3569">
        <v>0.9948572</v>
      </c>
      <c r="AB3569">
        <v>25</v>
      </c>
      <c r="AC3569">
        <v>-3.6162999999999901</v>
      </c>
      <c r="AD3569">
        <v>-1.10770861305</v>
      </c>
      <c r="AE3569">
        <v>-23.162099999999999</v>
      </c>
      <c r="AF3569">
        <v>2.2482943834850002</v>
      </c>
      <c r="AG3569">
        <v>-1.10770861305</v>
      </c>
      <c r="AH3569">
        <v>23.2821784228444</v>
      </c>
      <c r="AI3569">
        <v>92.711344106915803</v>
      </c>
      <c r="AJ3569">
        <v>84.484210865423194</v>
      </c>
      <c r="AK3569">
        <v>23.416696567180399</v>
      </c>
      <c r="AL3569">
        <v>88.878793287279194</v>
      </c>
      <c r="AM3569">
        <v>79.521606737847307</v>
      </c>
      <c r="AN3569">
        <v>1.00000000884817</v>
      </c>
    </row>
    <row r="3570" spans="1:40" x14ac:dyDescent="0.25">
      <c r="A3570" t="str">
        <f>"20190305135901564"</f>
        <v>20190305135901564</v>
      </c>
      <c r="B3570" t="str">
        <f>"1551765541552764"</f>
        <v>1551765541552764</v>
      </c>
      <c r="C3570" t="s">
        <v>40</v>
      </c>
      <c r="D3570">
        <v>4.1706450000000004</v>
      </c>
      <c r="E3570">
        <v>0.46623510000000001</v>
      </c>
      <c r="F3570" t="s">
        <v>79</v>
      </c>
      <c r="G3570">
        <v>-191.80690000000001</v>
      </c>
      <c r="H3570" s="1">
        <v>-1.1552129999999999E-5</v>
      </c>
      <c r="I3570">
        <v>150.86709999999999</v>
      </c>
      <c r="J3570">
        <v>-188.16370000000001</v>
      </c>
      <c r="K3570">
        <v>1.1076699999999999</v>
      </c>
      <c r="L3570">
        <v>174.06099999999901</v>
      </c>
      <c r="M3570">
        <v>-5.980477E-2</v>
      </c>
      <c r="N3570">
        <v>-1.3338030000000001E-2</v>
      </c>
      <c r="O3570">
        <v>-0.99812109999999998</v>
      </c>
      <c r="P3570">
        <v>-0.23976069999999999</v>
      </c>
      <c r="Q3570">
        <v>7.5687710000000002E-3</v>
      </c>
      <c r="R3570">
        <v>-0.97080259999999996</v>
      </c>
      <c r="S3570">
        <v>-0.4660492</v>
      </c>
      <c r="T3570">
        <v>-0.1413672</v>
      </c>
      <c r="U3570">
        <v>-2.9759669999999998</v>
      </c>
      <c r="V3570">
        <v>0.18134900000000001</v>
      </c>
      <c r="W3570">
        <v>1.9959859999999999E-2</v>
      </c>
      <c r="X3570">
        <v>0.98321619999999998</v>
      </c>
      <c r="Y3570">
        <v>9.5225829999999997E-2</v>
      </c>
      <c r="Z3570">
        <v>3.3663760000000001E-2</v>
      </c>
      <c r="AA3570">
        <v>0.9948863</v>
      </c>
      <c r="AB3570">
        <v>25</v>
      </c>
      <c r="AC3570">
        <v>-3.6432000000000002</v>
      </c>
      <c r="AD3570">
        <v>-1.1076815521300001</v>
      </c>
      <c r="AE3570">
        <v>-23.1938999999999</v>
      </c>
      <c r="AF3570">
        <v>2.2444529339850301</v>
      </c>
      <c r="AG3570">
        <v>-1.1076815521300001</v>
      </c>
      <c r="AH3570">
        <v>23.318374439177799</v>
      </c>
      <c r="AI3570">
        <v>92.707156884993395</v>
      </c>
      <c r="AJ3570">
        <v>84.502072154017796</v>
      </c>
      <c r="AK3570">
        <v>23.452315746627399</v>
      </c>
      <c r="AL3570">
        <v>88.856308285793901</v>
      </c>
      <c r="AM3570">
        <v>79.549549336243302</v>
      </c>
      <c r="AN3570">
        <v>0.99999997587732903</v>
      </c>
    </row>
    <row r="3571" spans="1:40" x14ac:dyDescent="0.25">
      <c r="A3571" t="str">
        <f>"20190305135901577"</f>
        <v>20190305135901577</v>
      </c>
      <c r="B3571" t="str">
        <f>"1551765541572284"</f>
        <v>1551765541572284</v>
      </c>
      <c r="C3571" t="s">
        <v>40</v>
      </c>
      <c r="D3571">
        <v>4.1540410000000003</v>
      </c>
      <c r="E3571">
        <v>0.46623439999999999</v>
      </c>
      <c r="F3571" t="s">
        <v>79</v>
      </c>
      <c r="G3571">
        <v>-191.85329999999999</v>
      </c>
      <c r="H3571" s="1">
        <v>-1.1451849999999999E-5</v>
      </c>
      <c r="I3571">
        <v>150.61420000000001</v>
      </c>
      <c r="J3571">
        <v>-188.17439999999999</v>
      </c>
      <c r="K3571">
        <v>1.1076379999999999</v>
      </c>
      <c r="L3571">
        <v>173.90889999999999</v>
      </c>
      <c r="M3571">
        <v>-6.1329040000000001E-2</v>
      </c>
      <c r="N3571">
        <v>-1.3338630000000001E-2</v>
      </c>
      <c r="O3571">
        <v>-0.99802860000000004</v>
      </c>
      <c r="P3571">
        <v>-0.24055799999999999</v>
      </c>
      <c r="Q3571">
        <v>7.6170300000000003E-3</v>
      </c>
      <c r="R3571">
        <v>-0.9706053</v>
      </c>
      <c r="S3571">
        <v>-0.46824650000000001</v>
      </c>
      <c r="T3571">
        <v>-0.14057700000000001</v>
      </c>
      <c r="U3571">
        <v>-2.9756619999999998</v>
      </c>
      <c r="V3571">
        <v>0.1806567</v>
      </c>
      <c r="W3571">
        <v>1.9997999999999998E-2</v>
      </c>
      <c r="X3571">
        <v>0.98334290000000002</v>
      </c>
      <c r="Y3571">
        <v>9.4439980000000007E-2</v>
      </c>
      <c r="Z3571">
        <v>3.3400480000000003E-2</v>
      </c>
      <c r="AA3571">
        <v>0.99497009999999997</v>
      </c>
      <c r="AB3571">
        <v>25</v>
      </c>
      <c r="AC3571">
        <v>-3.6788999999999898</v>
      </c>
      <c r="AD3571">
        <v>-1.10764945185</v>
      </c>
      <c r="AE3571">
        <v>-23.294699999999899</v>
      </c>
      <c r="AF3571">
        <v>2.23826764622219</v>
      </c>
      <c r="AG3571">
        <v>-1.10764945185</v>
      </c>
      <c r="AH3571">
        <v>23.4248123170367</v>
      </c>
      <c r="AI3571">
        <v>92.6949756305157</v>
      </c>
      <c r="AJ3571">
        <v>84.541893271748904</v>
      </c>
      <c r="AK3571">
        <v>23.5575584781765</v>
      </c>
      <c r="AL3571">
        <v>88.854122628836706</v>
      </c>
      <c r="AM3571">
        <v>79.589882043824304</v>
      </c>
      <c r="AN3571">
        <v>1.0000000111196401</v>
      </c>
    </row>
    <row r="3572" spans="1:40" x14ac:dyDescent="0.25">
      <c r="A3572" t="str">
        <f>"20190305135901595"</f>
        <v>20190305135901595</v>
      </c>
      <c r="B3572" t="str">
        <f>"1551765541583020"</f>
        <v>1551765541583020</v>
      </c>
      <c r="C3572" t="s">
        <v>40</v>
      </c>
      <c r="D3572">
        <v>4.1574289999999996</v>
      </c>
      <c r="E3572">
        <v>0.46626279999999998</v>
      </c>
      <c r="F3572" t="s">
        <v>79</v>
      </c>
      <c r="G3572">
        <v>-191.87860000000001</v>
      </c>
      <c r="H3572" s="1">
        <v>-1.140732E-5</v>
      </c>
      <c r="I3572">
        <v>150.4999</v>
      </c>
      <c r="J3572">
        <v>-188.18809999999999</v>
      </c>
      <c r="K3572">
        <v>1.1076079999999999</v>
      </c>
      <c r="L3572">
        <v>173.7217</v>
      </c>
      <c r="M3572">
        <v>-6.3255610000000004E-2</v>
      </c>
      <c r="N3572">
        <v>-1.333938E-2</v>
      </c>
      <c r="O3572">
        <v>-0.99790840000000003</v>
      </c>
      <c r="P3572">
        <v>-0.24144289999999999</v>
      </c>
      <c r="Q3572">
        <v>8.6372740000000003E-3</v>
      </c>
      <c r="R3572">
        <v>-0.97037669999999998</v>
      </c>
      <c r="S3572">
        <v>-0.47079470000000001</v>
      </c>
      <c r="T3572">
        <v>-0.14078209999999999</v>
      </c>
      <c r="U3572">
        <v>-2.9752809999999998</v>
      </c>
      <c r="V3572">
        <v>0.1796614</v>
      </c>
      <c r="W3572">
        <v>2.1008679999999998E-2</v>
      </c>
      <c r="X3572">
        <v>0.98350420000000005</v>
      </c>
      <c r="Y3572">
        <v>9.3369129999999995E-2</v>
      </c>
      <c r="Z3572">
        <v>3.3466820000000001E-2</v>
      </c>
      <c r="AA3572">
        <v>0.99506890000000003</v>
      </c>
      <c r="AB3572">
        <v>25</v>
      </c>
      <c r="AC3572">
        <v>-3.6905000000000099</v>
      </c>
      <c r="AD3572">
        <v>-1.1076194073200001</v>
      </c>
      <c r="AE3572">
        <v>-23.221800000000002</v>
      </c>
      <c r="AF3572">
        <v>2.20916625891086</v>
      </c>
      <c r="AG3572">
        <v>-1.1076194073200001</v>
      </c>
      <c r="AH3572">
        <v>23.356923411813899</v>
      </c>
      <c r="AI3572">
        <v>92.702970197104094</v>
      </c>
      <c r="AJ3572">
        <v>84.596871028605804</v>
      </c>
      <c r="AK3572">
        <v>23.4872967277276</v>
      </c>
      <c r="AL3572">
        <v>88.796202796536306</v>
      </c>
      <c r="AM3572">
        <v>79.647652539130604</v>
      </c>
      <c r="AN3572">
        <v>1.0000000473514701</v>
      </c>
    </row>
    <row r="3573" spans="1:40" x14ac:dyDescent="0.25">
      <c r="A3573" t="str">
        <f>"20190305135901616"</f>
        <v>20190305135901616</v>
      </c>
      <c r="B3573" t="str">
        <f>"1551765541612301"</f>
        <v>1551765541612301</v>
      </c>
      <c r="C3573" t="s">
        <v>40</v>
      </c>
      <c r="D3573">
        <v>4.130782</v>
      </c>
      <c r="E3573">
        <v>0.4663447</v>
      </c>
      <c r="F3573" t="s">
        <v>79</v>
      </c>
      <c r="G3573">
        <v>-191.98249999999999</v>
      </c>
      <c r="H3573" s="1">
        <v>-1.1171569999999999E-5</v>
      </c>
      <c r="I3573">
        <v>149.9074</v>
      </c>
      <c r="J3573">
        <v>-188.20599999999999</v>
      </c>
      <c r="K3573">
        <v>1.107569</v>
      </c>
      <c r="L3573">
        <v>173.483</v>
      </c>
      <c r="M3573">
        <v>-6.5764690000000001E-2</v>
      </c>
      <c r="N3573">
        <v>-1.334044E-2</v>
      </c>
      <c r="O3573">
        <v>-0.99774609999999997</v>
      </c>
      <c r="P3573">
        <v>-0.244004</v>
      </c>
      <c r="Q3573">
        <v>1.012507E-2</v>
      </c>
      <c r="R3573">
        <v>-0.96972139999999996</v>
      </c>
      <c r="S3573">
        <v>-0.473999</v>
      </c>
      <c r="T3573">
        <v>-0.13836490000000001</v>
      </c>
      <c r="U3573">
        <v>-2.9748990000000002</v>
      </c>
      <c r="V3573">
        <v>0.1797945</v>
      </c>
      <c r="W3573">
        <v>2.247652E-2</v>
      </c>
      <c r="X3573">
        <v>0.98344739999999997</v>
      </c>
      <c r="Y3573">
        <v>9.1935900000000001E-2</v>
      </c>
      <c r="Z3573">
        <v>3.2661660000000002E-2</v>
      </c>
      <c r="AA3573">
        <v>0.99522909999999998</v>
      </c>
      <c r="AB3573">
        <v>25</v>
      </c>
      <c r="AC3573">
        <v>-3.7764999999999902</v>
      </c>
      <c r="AD3573">
        <v>-1.10758017157</v>
      </c>
      <c r="AE3573">
        <v>-23.575600000000001</v>
      </c>
      <c r="AF3573">
        <v>2.2129810970204198</v>
      </c>
      <c r="AG3573">
        <v>-1.10758017157</v>
      </c>
      <c r="AH3573">
        <v>23.721888865661899</v>
      </c>
      <c r="AI3573">
        <v>92.661670952715795</v>
      </c>
      <c r="AJ3573">
        <v>84.670383713198802</v>
      </c>
      <c r="AK3573">
        <v>23.850619080582401</v>
      </c>
      <c r="AL3573">
        <v>88.712081837740001</v>
      </c>
      <c r="AM3573">
        <v>79.639563751141495</v>
      </c>
      <c r="AN3573">
        <v>1.0000000223741501</v>
      </c>
    </row>
    <row r="3574" spans="1:40" x14ac:dyDescent="0.25">
      <c r="A3574" t="str">
        <f>"20190305135901630"</f>
        <v>20190305135901630</v>
      </c>
      <c r="B3574" t="str">
        <f>"1551765541623036"</f>
        <v>1551765541623036</v>
      </c>
      <c r="C3574" t="s">
        <v>40</v>
      </c>
      <c r="D3574">
        <v>4.1350949999999997</v>
      </c>
      <c r="E3574">
        <v>0.46635979999999999</v>
      </c>
      <c r="F3574" t="s">
        <v>79</v>
      </c>
      <c r="G3574">
        <v>-192.16319999999999</v>
      </c>
      <c r="H3574" s="1">
        <v>-1.094271E-5</v>
      </c>
      <c r="I3574">
        <v>149.10050000000001</v>
      </c>
      <c r="J3574">
        <v>-188.21850000000001</v>
      </c>
      <c r="K3574">
        <v>1.1075429999999999</v>
      </c>
      <c r="L3574">
        <v>173.3228</v>
      </c>
      <c r="M3574">
        <v>-6.7485859999999995E-2</v>
      </c>
      <c r="N3574">
        <v>-1.3341169999999999E-2</v>
      </c>
      <c r="O3574">
        <v>-0.99763109999999999</v>
      </c>
      <c r="P3574">
        <v>-0.2457222</v>
      </c>
      <c r="Q3574">
        <v>1.122454E-2</v>
      </c>
      <c r="R3574">
        <v>-0.96927560000000001</v>
      </c>
      <c r="S3574">
        <v>-0.48260500000000001</v>
      </c>
      <c r="T3574">
        <v>-0.13507829999999901</v>
      </c>
      <c r="U3574">
        <v>-2.9736479999999998</v>
      </c>
      <c r="V3574">
        <v>0.1798479</v>
      </c>
      <c r="W3574">
        <v>2.3564370000000001E-2</v>
      </c>
      <c r="X3574">
        <v>0.98341210000000001</v>
      </c>
      <c r="Y3574">
        <v>9.3096520000000002E-2</v>
      </c>
      <c r="Z3574">
        <v>3.1573110000000001E-2</v>
      </c>
      <c r="AA3574">
        <v>0.99515629999999999</v>
      </c>
      <c r="AB3574">
        <v>25</v>
      </c>
      <c r="AC3574">
        <v>-3.9446999999999801</v>
      </c>
      <c r="AD3574">
        <v>-1.1075539427100001</v>
      </c>
      <c r="AE3574">
        <v>-24.222299999999901</v>
      </c>
      <c r="AF3574">
        <v>2.2962205118382402</v>
      </c>
      <c r="AG3574">
        <v>-1.1075539427100001</v>
      </c>
      <c r="AH3574">
        <v>24.383641445562901</v>
      </c>
      <c r="AI3574">
        <v>92.589261883836102</v>
      </c>
      <c r="AJ3574">
        <v>84.620291050259794</v>
      </c>
      <c r="AK3574">
        <v>24.5165510323286</v>
      </c>
      <c r="AL3574">
        <v>88.6497360060429</v>
      </c>
      <c r="AM3574">
        <v>79.636189369701995</v>
      </c>
      <c r="AN3574">
        <v>0.99999995254715701</v>
      </c>
    </row>
    <row r="3575" spans="1:40" x14ac:dyDescent="0.25">
      <c r="A3575" t="str">
        <f>"20190305135901643"</f>
        <v>20190305135901643</v>
      </c>
      <c r="B3575" t="str">
        <f>"1551765541632796"</f>
        <v>1551765541632796</v>
      </c>
      <c r="C3575" t="s">
        <v>40</v>
      </c>
      <c r="D3575">
        <v>4.103224</v>
      </c>
      <c r="E3575">
        <v>0.46646159999999998</v>
      </c>
      <c r="F3575" t="s">
        <v>79</v>
      </c>
      <c r="G3575">
        <v>-192.29480000000001</v>
      </c>
      <c r="H3575" s="1">
        <v>-1.080508E-5</v>
      </c>
      <c r="I3575">
        <v>148.49010000000001</v>
      </c>
      <c r="J3575">
        <v>-188.22980000000001</v>
      </c>
      <c r="K3575">
        <v>1.107526</v>
      </c>
      <c r="L3575">
        <v>173.1806</v>
      </c>
      <c r="M3575">
        <v>-6.9027050000000006E-2</v>
      </c>
      <c r="N3575">
        <v>-1.334174E-2</v>
      </c>
      <c r="O3575">
        <v>-0.99752580000000002</v>
      </c>
      <c r="P3575">
        <v>-0.24771670000000001</v>
      </c>
      <c r="Q3575">
        <v>1.197925E-2</v>
      </c>
      <c r="R3575">
        <v>-0.96875880000000003</v>
      </c>
      <c r="S3575">
        <v>-0.48800660000000001</v>
      </c>
      <c r="T3575">
        <v>-0.13259399999999999</v>
      </c>
      <c r="U3575">
        <v>-2.9729160000000001</v>
      </c>
      <c r="V3575">
        <v>0.18035799999999999</v>
      </c>
      <c r="W3575">
        <v>2.4306589999999999E-2</v>
      </c>
      <c r="X3575">
        <v>0.98330059999999997</v>
      </c>
      <c r="Y3575">
        <v>9.3362870000000001E-2</v>
      </c>
      <c r="Z3575">
        <v>3.074847E-2</v>
      </c>
      <c r="AA3575">
        <v>0.99515719999999996</v>
      </c>
      <c r="AB3575">
        <v>25</v>
      </c>
      <c r="AC3575">
        <v>-4.0649999999999897</v>
      </c>
      <c r="AD3575">
        <v>-1.1075368050799901</v>
      </c>
      <c r="AE3575">
        <v>-24.690499999999901</v>
      </c>
      <c r="AF3575">
        <v>2.3462423352030299</v>
      </c>
      <c r="AG3575">
        <v>-1.1075368050799901</v>
      </c>
      <c r="AH3575">
        <v>24.8635089415558</v>
      </c>
      <c r="AI3575">
        <v>92.539269706455798</v>
      </c>
      <c r="AJ3575">
        <v>84.609253189614705</v>
      </c>
      <c r="AK3575">
        <v>24.998511310814699</v>
      </c>
      <c r="AL3575">
        <v>88.607197730991501</v>
      </c>
      <c r="AM3575">
        <v>79.606281502502895</v>
      </c>
      <c r="AN3575">
        <v>0.999999944220892</v>
      </c>
    </row>
    <row r="3576" spans="1:40" x14ac:dyDescent="0.25">
      <c r="A3576" t="str">
        <f>"20190305135901662"</f>
        <v>20190305135901662</v>
      </c>
      <c r="B3576" t="str">
        <f>"1551765541652316"</f>
        <v>1551765541652316</v>
      </c>
      <c r="C3576" t="s">
        <v>40</v>
      </c>
      <c r="D3576">
        <v>4.0946569999999998</v>
      </c>
      <c r="E3576">
        <v>0.46666800000000003</v>
      </c>
      <c r="F3576" t="s">
        <v>79</v>
      </c>
      <c r="G3576">
        <v>-192.46960000000001</v>
      </c>
      <c r="H3576" s="1">
        <v>-1.0633790000000001E-5</v>
      </c>
      <c r="I3576">
        <v>147.72299999999899</v>
      </c>
      <c r="J3576">
        <v>-188.24629999999999</v>
      </c>
      <c r="K3576">
        <v>1.107505</v>
      </c>
      <c r="L3576">
        <v>172.977</v>
      </c>
      <c r="M3576">
        <v>-7.1259279999999994E-2</v>
      </c>
      <c r="N3576">
        <v>-1.3342349999999999E-2</v>
      </c>
      <c r="O3576">
        <v>-0.99736849999999999</v>
      </c>
      <c r="P3576">
        <v>-0.250892</v>
      </c>
      <c r="Q3576">
        <v>1.309574E-2</v>
      </c>
      <c r="R3576">
        <v>-0.96792659999999997</v>
      </c>
      <c r="S3576">
        <v>-0.49493409999999899</v>
      </c>
      <c r="T3576">
        <v>-0.12928799999999999</v>
      </c>
      <c r="U3576">
        <v>-2.9717859999999998</v>
      </c>
      <c r="V3576">
        <v>0.18138940000000001</v>
      </c>
      <c r="W3576">
        <v>2.5405359999999998E-2</v>
      </c>
      <c r="X3576">
        <v>0.98308309999999999</v>
      </c>
      <c r="Y3576">
        <v>9.3459269999999997E-2</v>
      </c>
      <c r="Z3576">
        <v>2.9653329999999999E-2</v>
      </c>
      <c r="AA3576">
        <v>0.99518139999999999</v>
      </c>
      <c r="AB3576">
        <v>25</v>
      </c>
      <c r="AC3576">
        <v>-4.2233000000000196</v>
      </c>
      <c r="AD3576">
        <v>-1.1075156337899901</v>
      </c>
      <c r="AE3576">
        <v>-25.254000000000001</v>
      </c>
      <c r="AF3576">
        <v>2.4083136942524401</v>
      </c>
      <c r="AG3576">
        <v>-1.1075156337899901</v>
      </c>
      <c r="AH3576">
        <v>25.443161945559002</v>
      </c>
      <c r="AI3576">
        <v>92.481377888799997</v>
      </c>
      <c r="AJ3576">
        <v>84.5927980192088</v>
      </c>
      <c r="AK3576">
        <v>25.580872845095701</v>
      </c>
      <c r="AL3576">
        <v>88.544223413238001</v>
      </c>
      <c r="AM3576">
        <v>79.545888546323695</v>
      </c>
      <c r="AN3576">
        <v>0.99999996412734904</v>
      </c>
    </row>
    <row r="3577" spans="1:40" x14ac:dyDescent="0.25">
      <c r="A3577" t="str">
        <f>"20190305135901674"</f>
        <v>20190305135901674</v>
      </c>
      <c r="B3577" t="str">
        <f>"1551765541672811"</f>
        <v>1551765541672811</v>
      </c>
      <c r="C3577" t="s">
        <v>40</v>
      </c>
      <c r="D3577">
        <v>5.3736709999999999</v>
      </c>
      <c r="E3577">
        <v>0.49531310000000001</v>
      </c>
      <c r="F3577" t="s">
        <v>79</v>
      </c>
      <c r="G3577">
        <v>-192.749</v>
      </c>
      <c r="H3577" s="1">
        <v>-1.03807199999999E-5</v>
      </c>
      <c r="I3577">
        <v>146.5754</v>
      </c>
      <c r="J3577">
        <v>-188.2587</v>
      </c>
      <c r="K3577">
        <v>1.1074930000000001</v>
      </c>
      <c r="L3577">
        <v>172.8289</v>
      </c>
      <c r="M3577">
        <v>-7.2897690000000001E-2</v>
      </c>
      <c r="N3577">
        <v>-1.3342669999999999E-2</v>
      </c>
      <c r="O3577">
        <v>-0.99725030000000003</v>
      </c>
      <c r="P3577">
        <v>-0.2532703</v>
      </c>
      <c r="Q3577">
        <v>1.3455740000000001E-2</v>
      </c>
      <c r="R3577">
        <v>-0.96730229999999995</v>
      </c>
      <c r="S3577">
        <v>-0.50648499999999996</v>
      </c>
      <c r="T3577">
        <v>-0.124579</v>
      </c>
      <c r="U3577">
        <v>-2.9697879999999999</v>
      </c>
      <c r="V3577">
        <v>0.18219360000000001</v>
      </c>
      <c r="W3577">
        <v>2.5754289999999999E-2</v>
      </c>
      <c r="X3577">
        <v>0.98292539999999995</v>
      </c>
      <c r="Y3577">
        <v>9.5703419999999997E-2</v>
      </c>
      <c r="Z3577">
        <v>2.809824E-2</v>
      </c>
      <c r="AA3577">
        <v>0.99501320000000004</v>
      </c>
      <c r="AB3577">
        <v>25</v>
      </c>
      <c r="AC3577">
        <v>-4.4903000000000102</v>
      </c>
      <c r="AD3577">
        <v>-1.1075033807200001</v>
      </c>
      <c r="AE3577">
        <v>-26.253499999999999</v>
      </c>
      <c r="AF3577">
        <v>2.55993534397231</v>
      </c>
      <c r="AG3577">
        <v>-1.1075033807200001</v>
      </c>
      <c r="AH3577">
        <v>26.465241495696102</v>
      </c>
      <c r="AI3577">
        <v>92.385165932780794</v>
      </c>
      <c r="AJ3577">
        <v>84.4750702775099</v>
      </c>
      <c r="AK3577">
        <v>26.611817678038001</v>
      </c>
      <c r="AL3577">
        <v>88.524224803466794</v>
      </c>
      <c r="AM3577">
        <v>79.498921075607996</v>
      </c>
      <c r="AN3577">
        <v>1.0000000666497499</v>
      </c>
    </row>
    <row r="3578" spans="1:40" x14ac:dyDescent="0.25">
      <c r="A3578" t="str">
        <f>"20190305135901688"</f>
        <v>20190305135901688</v>
      </c>
      <c r="B3578" t="str">
        <f>"1551765541682572"</f>
        <v>1551765541682572</v>
      </c>
      <c r="C3578" t="s">
        <v>40</v>
      </c>
      <c r="D3578">
        <v>4.5660540000000003</v>
      </c>
      <c r="E3578">
        <v>0.49531310000000001</v>
      </c>
      <c r="F3578" t="s">
        <v>79</v>
      </c>
      <c r="G3578">
        <v>-196.49889999999999</v>
      </c>
      <c r="H3578" s="1">
        <v>-9.143455E-6</v>
      </c>
      <c r="I3578">
        <v>140.13310000000001</v>
      </c>
      <c r="J3578">
        <v>-188.2705</v>
      </c>
      <c r="K3578">
        <v>1.107488</v>
      </c>
      <c r="L3578">
        <v>172.6902</v>
      </c>
      <c r="M3578">
        <v>-7.4442019999999998E-2</v>
      </c>
      <c r="N3578">
        <v>-1.334289E-2</v>
      </c>
      <c r="O3578">
        <v>-0.99713620000000003</v>
      </c>
      <c r="P3578">
        <v>-0.2562295</v>
      </c>
      <c r="Q3578">
        <v>1.388552E-2</v>
      </c>
      <c r="R3578">
        <v>-0.9665165</v>
      </c>
      <c r="S3578">
        <v>-0.7335815</v>
      </c>
      <c r="T3578">
        <v>-9.8594429999999997E-2</v>
      </c>
      <c r="U3578">
        <v>-2.9107210000000001</v>
      </c>
      <c r="V3578">
        <v>0.1836827</v>
      </c>
      <c r="W3578">
        <v>2.6169959999999999E-2</v>
      </c>
      <c r="X3578">
        <v>0.98263719999999999</v>
      </c>
      <c r="Y3578">
        <v>0.1714165</v>
      </c>
      <c r="Z3578">
        <v>1.9732320000000001E-2</v>
      </c>
      <c r="AA3578">
        <v>0.98500100000000002</v>
      </c>
      <c r="AB3578">
        <v>25</v>
      </c>
      <c r="AC3578">
        <v>-8.2283999999999899</v>
      </c>
      <c r="AD3578">
        <v>-1.1074971434550001</v>
      </c>
      <c r="AE3578">
        <v>-32.557099999999899</v>
      </c>
      <c r="AF3578">
        <v>5.7754513269997698</v>
      </c>
      <c r="AG3578">
        <v>-1.1074971434550001</v>
      </c>
      <c r="AH3578">
        <v>33.043401543927601</v>
      </c>
      <c r="AI3578">
        <v>91.890986245850897</v>
      </c>
      <c r="AJ3578">
        <v>80.085774124502805</v>
      </c>
      <c r="AK3578">
        <v>33.5626097547038</v>
      </c>
      <c r="AL3578">
        <v>88.500400588694802</v>
      </c>
      <c r="AM3578">
        <v>79.411991601035098</v>
      </c>
      <c r="AN3578">
        <v>1.0000000339547599</v>
      </c>
    </row>
    <row r="3579" spans="1:40" x14ac:dyDescent="0.25">
      <c r="A3579" t="str">
        <f>"20190305135901705"</f>
        <v>20190305135901705</v>
      </c>
      <c r="B3579" t="str">
        <f>"1551765541702093"</f>
        <v>1551765541702093</v>
      </c>
      <c r="C3579" t="s">
        <v>40</v>
      </c>
      <c r="D3579">
        <v>4.367032</v>
      </c>
      <c r="E3579">
        <v>0.57989139999999995</v>
      </c>
      <c r="F3579" t="s">
        <v>79</v>
      </c>
      <c r="G3579">
        <v>-196.7225</v>
      </c>
      <c r="H3579" s="1">
        <v>-9.0140769999999994E-6</v>
      </c>
      <c r="I3579">
        <v>139.59200000000001</v>
      </c>
      <c r="J3579">
        <v>-188.28729999999999</v>
      </c>
      <c r="K3579">
        <v>1.1074870000000001</v>
      </c>
      <c r="L3579">
        <v>172.4984</v>
      </c>
      <c r="M3579">
        <v>-7.6588710000000004E-2</v>
      </c>
      <c r="N3579">
        <v>-1.33431E-2</v>
      </c>
      <c r="O3579">
        <v>-0.99697349999999996</v>
      </c>
      <c r="P3579">
        <v>-0.26215909999999998</v>
      </c>
      <c r="Q3579">
        <v>1.5315809999999999E-2</v>
      </c>
      <c r="R3579">
        <v>-0.96490290000000001</v>
      </c>
      <c r="S3579">
        <v>-0.74270630000000004</v>
      </c>
      <c r="T3579">
        <v>-9.7319600000000006E-2</v>
      </c>
      <c r="U3579">
        <v>-2.9084469999999998</v>
      </c>
      <c r="V3579">
        <v>0.18760879999999999</v>
      </c>
      <c r="W3579">
        <v>2.7568490000000001E-2</v>
      </c>
      <c r="X3579">
        <v>0.98185690000000003</v>
      </c>
      <c r="Y3579">
        <v>0.17238319999999999</v>
      </c>
      <c r="Z3579">
        <v>1.9313070000000002E-2</v>
      </c>
      <c r="AA3579">
        <v>0.98484059999999995</v>
      </c>
      <c r="AB3579">
        <v>25</v>
      </c>
      <c r="AC3579">
        <v>-8.4352</v>
      </c>
      <c r="AD3579">
        <v>-1.107496014077</v>
      </c>
      <c r="AE3579">
        <v>-32.906399999999898</v>
      </c>
      <c r="AF3579">
        <v>5.8836827423431002</v>
      </c>
      <c r="AG3579">
        <v>-1.107496014077</v>
      </c>
      <c r="AH3579">
        <v>33.4203059236699</v>
      </c>
      <c r="AI3579">
        <v>91.869270662919007</v>
      </c>
      <c r="AJ3579">
        <v>80.015329023845695</v>
      </c>
      <c r="AK3579">
        <v>33.952335973617899</v>
      </c>
      <c r="AL3579">
        <v>88.420241767823995</v>
      </c>
      <c r="AM3579">
        <v>79.182569974753804</v>
      </c>
      <c r="AN3579">
        <v>1.0000000277779599</v>
      </c>
    </row>
    <row r="3580" spans="1:40" x14ac:dyDescent="0.25">
      <c r="A3580" t="str">
        <f>"20190305135901719"</f>
        <v>20190305135901719</v>
      </c>
      <c r="B3580" t="str">
        <f>"1551765541712828"</f>
        <v>1551765541712828</v>
      </c>
      <c r="C3580" t="s">
        <v>40</v>
      </c>
      <c r="D3580">
        <v>4.3813550000000001</v>
      </c>
      <c r="E3580">
        <v>0.5889856</v>
      </c>
      <c r="F3580" t="s">
        <v>43</v>
      </c>
      <c r="G3580">
        <v>-216.69139999999999</v>
      </c>
      <c r="H3580">
        <v>-0.05</v>
      </c>
      <c r="I3580">
        <v>117.59180000000001</v>
      </c>
      <c r="J3580">
        <v>-188.30029999999999</v>
      </c>
      <c r="K3580">
        <v>1.1074919999999999</v>
      </c>
      <c r="L3580">
        <v>172.352</v>
      </c>
      <c r="M3580">
        <v>-7.8233830000000004E-2</v>
      </c>
      <c r="N3580">
        <v>-1.334319E-2</v>
      </c>
      <c r="O3580">
        <v>-0.99684569999999995</v>
      </c>
      <c r="P3580">
        <v>-0.2660708</v>
      </c>
      <c r="Q3580">
        <v>1.6501080000000001E-2</v>
      </c>
      <c r="R3580">
        <v>-0.96381249999999996</v>
      </c>
      <c r="S3580">
        <v>-1.4105989999999999</v>
      </c>
      <c r="T3580">
        <v>-5.748296E-2</v>
      </c>
      <c r="U3580">
        <v>-2.7267610000000002</v>
      </c>
      <c r="V3580">
        <v>0.1899786</v>
      </c>
      <c r="W3580">
        <v>2.8733410000000001E-2</v>
      </c>
      <c r="X3580">
        <v>0.98136769999999995</v>
      </c>
      <c r="Y3580">
        <v>0.38848830000000001</v>
      </c>
      <c r="Z3580">
        <v>5.8692240000000001E-3</v>
      </c>
      <c r="AA3580">
        <v>0.92143489999999995</v>
      </c>
      <c r="AB3580">
        <v>25</v>
      </c>
      <c r="AC3580">
        <v>-28.391099999999899</v>
      </c>
      <c r="AD3580">
        <v>-1.157492</v>
      </c>
      <c r="AE3580">
        <v>-54.760199999999998</v>
      </c>
      <c r="AF3580">
        <v>24.011129826215399</v>
      </c>
      <c r="AG3580">
        <v>-1.157492</v>
      </c>
      <c r="AH3580">
        <v>56.7936752373083</v>
      </c>
      <c r="AI3580">
        <v>91.0754256144035</v>
      </c>
      <c r="AJ3580">
        <v>67.082416471258298</v>
      </c>
      <c r="AK3580">
        <v>61.671676564061997</v>
      </c>
      <c r="AL3580">
        <v>88.353470290905406</v>
      </c>
      <c r="AM3580">
        <v>79.043885313180198</v>
      </c>
      <c r="AN3580">
        <v>1.00000001995573</v>
      </c>
    </row>
    <row r="3581" spans="1:40" x14ac:dyDescent="0.25">
      <c r="A3581" t="str">
        <f>"20190305135901731"</f>
        <v>20190305135901731</v>
      </c>
      <c r="B3581" t="str">
        <f>"1551765541722588"</f>
        <v>1551765541722588</v>
      </c>
      <c r="C3581" t="s">
        <v>40</v>
      </c>
      <c r="D3581">
        <v>4.3018799999999997</v>
      </c>
      <c r="E3581">
        <v>0.59294840000000004</v>
      </c>
      <c r="F3581" t="s">
        <v>79</v>
      </c>
      <c r="G3581">
        <v>-203.33439999999999</v>
      </c>
      <c r="H3581" s="1">
        <v>-9.690416E-6</v>
      </c>
      <c r="I3581">
        <v>145.20410000000001</v>
      </c>
      <c r="J3581">
        <v>-188.31319999999999</v>
      </c>
      <c r="K3581">
        <v>1.107494</v>
      </c>
      <c r="L3581">
        <v>172.21080000000001</v>
      </c>
      <c r="M3581">
        <v>-7.983258E-2</v>
      </c>
      <c r="N3581">
        <v>-1.3343300000000001E-2</v>
      </c>
      <c r="O3581">
        <v>-0.99671900000000002</v>
      </c>
      <c r="P3581">
        <v>-0.27012849999999999</v>
      </c>
      <c r="Q3581">
        <v>1.7971910000000001E-2</v>
      </c>
      <c r="R3581">
        <v>-0.96265679999999998</v>
      </c>
      <c r="S3581">
        <v>-1.496078</v>
      </c>
      <c r="T3581">
        <v>-0.1102099</v>
      </c>
      <c r="U3581">
        <v>-2.7015530000000001</v>
      </c>
      <c r="V3581">
        <v>0.19254779999999999</v>
      </c>
      <c r="W3581">
        <v>3.0182850000000001E-2</v>
      </c>
      <c r="X3581">
        <v>0.98082329999999995</v>
      </c>
      <c r="Y3581">
        <v>0.41281279999999998</v>
      </c>
      <c r="Z3581">
        <v>2.3102299999999999E-2</v>
      </c>
      <c r="AA3581">
        <v>0.91052290000000002</v>
      </c>
      <c r="AB3581">
        <v>25</v>
      </c>
      <c r="AC3581">
        <v>-15.021199999999901</v>
      </c>
      <c r="AD3581">
        <v>-1.1075036904160001</v>
      </c>
      <c r="AE3581">
        <v>-27.006699999999899</v>
      </c>
      <c r="AF3581">
        <v>12.8006010172204</v>
      </c>
      <c r="AG3581">
        <v>-1.1075036904160001</v>
      </c>
      <c r="AH3581">
        <v>28.083705187541199</v>
      </c>
      <c r="AI3581">
        <v>92.055122177010801</v>
      </c>
      <c r="AJ3581">
        <v>65.496420059578</v>
      </c>
      <c r="AK3581">
        <v>30.8832713274853</v>
      </c>
      <c r="AL3581">
        <v>88.270387404175693</v>
      </c>
      <c r="AM3581">
        <v>78.893367107047297</v>
      </c>
      <c r="AN3581">
        <v>1.0000000027709199</v>
      </c>
    </row>
    <row r="3582" spans="1:40" x14ac:dyDescent="0.25">
      <c r="A3582" t="str">
        <f>"20190305135901744"</f>
        <v>20190305135901744</v>
      </c>
      <c r="B3582" t="str">
        <f>"1551765541732348"</f>
        <v>1551765541732348</v>
      </c>
      <c r="C3582" t="s">
        <v>40</v>
      </c>
      <c r="D3582">
        <v>4.28207</v>
      </c>
      <c r="E3582">
        <v>0.59493430000000003</v>
      </c>
      <c r="F3582" t="s">
        <v>79</v>
      </c>
      <c r="G3582">
        <v>-200.453</v>
      </c>
      <c r="H3582" s="1">
        <v>-1.257896E-5</v>
      </c>
      <c r="I3582">
        <v>151.0429</v>
      </c>
      <c r="J3582">
        <v>-188.32550000000001</v>
      </c>
      <c r="K3582">
        <v>1.107497</v>
      </c>
      <c r="L3582">
        <v>172.07759999999999</v>
      </c>
      <c r="M3582">
        <v>-8.1344219999999995E-2</v>
      </c>
      <c r="N3582">
        <v>-1.334337E-2</v>
      </c>
      <c r="O3582">
        <v>-0.99659690000000001</v>
      </c>
      <c r="P3582">
        <v>-0.27459020000000001</v>
      </c>
      <c r="Q3582">
        <v>1.9799339999999999E-2</v>
      </c>
      <c r="R3582">
        <v>-0.96135769999999998</v>
      </c>
      <c r="S3582">
        <v>-1.540802</v>
      </c>
      <c r="T3582">
        <v>-0.14056579999999999</v>
      </c>
      <c r="U3582">
        <v>-2.6866460000000001</v>
      </c>
      <c r="V3582">
        <v>0.19562080000000001</v>
      </c>
      <c r="W3582">
        <v>3.1984899999999997E-2</v>
      </c>
      <c r="X3582">
        <v>0.98015790000000003</v>
      </c>
      <c r="Y3582">
        <v>0.4248537</v>
      </c>
      <c r="Z3582">
        <v>3.2965540000000002E-2</v>
      </c>
      <c r="AA3582">
        <v>0.90466159999999995</v>
      </c>
      <c r="AB3582">
        <v>25</v>
      </c>
      <c r="AC3582">
        <v>-12.1274999999999</v>
      </c>
      <c r="AD3582">
        <v>-1.10750957896</v>
      </c>
      <c r="AE3582">
        <v>-21.034699999999901</v>
      </c>
      <c r="AF3582">
        <v>10.354556252763</v>
      </c>
      <c r="AG3582">
        <v>-1.10750957896</v>
      </c>
      <c r="AH3582">
        <v>21.905992445593998</v>
      </c>
      <c r="AI3582">
        <v>92.617073075168406</v>
      </c>
      <c r="AJ3582">
        <v>64.700767357444306</v>
      </c>
      <c r="AK3582">
        <v>24.255224544117201</v>
      </c>
      <c r="AL3582">
        <v>88.167087646131293</v>
      </c>
      <c r="AM3582">
        <v>78.713158248320298</v>
      </c>
      <c r="AN3582">
        <v>1.00000002007652</v>
      </c>
    </row>
    <row r="3583" spans="1:40" x14ac:dyDescent="0.25">
      <c r="A3583" t="str">
        <f>"20190305135901761"</f>
        <v>20190305135901761</v>
      </c>
      <c r="B3583" t="str">
        <f>"1551765541752844"</f>
        <v>1551765541752844</v>
      </c>
      <c r="C3583" t="s">
        <v>40</v>
      </c>
      <c r="D3583">
        <v>4.2773180000000002</v>
      </c>
      <c r="E3583">
        <v>0.59645389999999998</v>
      </c>
      <c r="F3583" t="s">
        <v>79</v>
      </c>
      <c r="G3583">
        <v>-199.17920000000001</v>
      </c>
      <c r="H3583" s="1">
        <v>-1.3391890000000001E-5</v>
      </c>
      <c r="I3583">
        <v>153.589</v>
      </c>
      <c r="J3583">
        <v>-188.34460000000001</v>
      </c>
      <c r="K3583">
        <v>1.1074980000000001</v>
      </c>
      <c r="L3583">
        <v>171.8759</v>
      </c>
      <c r="M3583">
        <v>-8.3645869999999997E-2</v>
      </c>
      <c r="N3583">
        <v>-1.334346E-2</v>
      </c>
      <c r="O3583">
        <v>-0.99640640000000003</v>
      </c>
      <c r="P3583">
        <v>-0.28331210000000001</v>
      </c>
      <c r="Q3583">
        <v>2.254538E-2</v>
      </c>
      <c r="R3583">
        <v>-0.95876300000000003</v>
      </c>
      <c r="S3583">
        <v>-1.5705260000000001</v>
      </c>
      <c r="T3583">
        <v>-0.16025690000000001</v>
      </c>
      <c r="U3583">
        <v>-2.6753079999999998</v>
      </c>
      <c r="V3583">
        <v>0.20227709999999999</v>
      </c>
      <c r="W3583">
        <v>3.4677050000000001E-2</v>
      </c>
      <c r="X3583">
        <v>0.97871419999999998</v>
      </c>
      <c r="Y3583">
        <v>0.43177860000000001</v>
      </c>
      <c r="Z3583">
        <v>3.9360539999999999E-2</v>
      </c>
      <c r="AA3583">
        <v>0.90112040000000004</v>
      </c>
      <c r="AB3583">
        <v>25</v>
      </c>
      <c r="AC3583">
        <v>-10.834599999999901</v>
      </c>
      <c r="AD3583">
        <v>-1.1075113918899999</v>
      </c>
      <c r="AE3583">
        <v>-18.286899999999999</v>
      </c>
      <c r="AF3583">
        <v>9.2417739864779591</v>
      </c>
      <c r="AG3583">
        <v>-1.1075113918899999</v>
      </c>
      <c r="AH3583">
        <v>19.0773602318706</v>
      </c>
      <c r="AI3583">
        <v>92.990755041352998</v>
      </c>
      <c r="AJ3583">
        <v>64.152747822024594</v>
      </c>
      <c r="AK3583">
        <v>21.226931980784801</v>
      </c>
      <c r="AL3583">
        <v>88.012752984774806</v>
      </c>
      <c r="AM3583">
        <v>78.322728877678699</v>
      </c>
      <c r="AN3583">
        <v>1.0000000041313699</v>
      </c>
    </row>
    <row r="3584" spans="1:40" x14ac:dyDescent="0.25">
      <c r="A3584" t="str">
        <f>"20190305135901774"</f>
        <v>20190305135901774</v>
      </c>
      <c r="B3584" t="str">
        <f>"1551765541772364"</f>
        <v>1551765541772364</v>
      </c>
      <c r="C3584" t="s">
        <v>40</v>
      </c>
      <c r="D3584">
        <v>4.3024170000000002</v>
      </c>
      <c r="E3584">
        <v>0.59701230000000005</v>
      </c>
      <c r="F3584" t="s">
        <v>79</v>
      </c>
      <c r="G3584">
        <v>-198.0607</v>
      </c>
      <c r="H3584" s="1">
        <v>-1.4024159999999999E-5</v>
      </c>
      <c r="I3584">
        <v>155.82740000000001</v>
      </c>
      <c r="J3584">
        <v>-188.3579</v>
      </c>
      <c r="K3584">
        <v>1.10749599999999</v>
      </c>
      <c r="L3584">
        <v>171.73769999999999</v>
      </c>
      <c r="M3584">
        <v>-8.5232699999999995E-2</v>
      </c>
      <c r="N3584">
        <v>-1.3343549999999999E-2</v>
      </c>
      <c r="O3584">
        <v>-0.99627180000000004</v>
      </c>
      <c r="P3584">
        <v>-0.28821829999999998</v>
      </c>
      <c r="Q3584">
        <v>2.3716350000000001E-2</v>
      </c>
      <c r="R3584">
        <v>-0.95727090000000004</v>
      </c>
      <c r="S3584">
        <v>-1.609116</v>
      </c>
      <c r="T3584">
        <v>-0.18341950000000001</v>
      </c>
      <c r="U3584">
        <v>-2.6578520000000001</v>
      </c>
      <c r="V3584">
        <v>0.20573910000000001</v>
      </c>
      <c r="W3584">
        <v>3.5818370000000002E-2</v>
      </c>
      <c r="X3584">
        <v>0.97795120000000002</v>
      </c>
      <c r="Y3584">
        <v>0.44233489999999998</v>
      </c>
      <c r="Z3584">
        <v>4.6879589999999999E-2</v>
      </c>
      <c r="AA3584">
        <v>0.89562389999999903</v>
      </c>
      <c r="AB3584">
        <v>25</v>
      </c>
      <c r="AC3584">
        <v>-9.7027999999999892</v>
      </c>
      <c r="AD3584">
        <v>-1.10751002415999</v>
      </c>
      <c r="AE3584">
        <v>-15.9102999999999</v>
      </c>
      <c r="AF3584">
        <v>8.2820358253479096</v>
      </c>
      <c r="AG3584">
        <v>-1.10751002415999</v>
      </c>
      <c r="AH3584">
        <v>16.620759166565399</v>
      </c>
      <c r="AI3584">
        <v>93.413078284581104</v>
      </c>
      <c r="AJ3584">
        <v>63.513168365021698</v>
      </c>
      <c r="AK3584">
        <v>18.602911899456199</v>
      </c>
      <c r="AL3584">
        <v>87.947319578662103</v>
      </c>
      <c r="AM3584">
        <v>78.1194972363066</v>
      </c>
      <c r="AN3584">
        <v>1.00000004123985</v>
      </c>
    </row>
    <row r="3585" spans="1:40" x14ac:dyDescent="0.25">
      <c r="A3585" t="str">
        <f>"20190305135901787"</f>
        <v>20190305135901787</v>
      </c>
      <c r="B3585" t="str">
        <f>"1551765541783100"</f>
        <v>1551765541783100</v>
      </c>
      <c r="C3585" t="s">
        <v>40</v>
      </c>
      <c r="D3585">
        <v>4.3027030000000002</v>
      </c>
      <c r="E3585">
        <v>0.59704860000000004</v>
      </c>
      <c r="F3585" t="s">
        <v>79</v>
      </c>
      <c r="G3585">
        <v>-197.39609999999999</v>
      </c>
      <c r="H3585" s="1">
        <v>-1.4329600000000001E-5</v>
      </c>
      <c r="I3585">
        <v>157.04140000000001</v>
      </c>
      <c r="J3585">
        <v>-188.3717</v>
      </c>
      <c r="K3585">
        <v>1.1074949999999999</v>
      </c>
      <c r="L3585">
        <v>171.5985</v>
      </c>
      <c r="M3585">
        <v>-8.6842119999999995E-2</v>
      </c>
      <c r="N3585">
        <v>-1.334371E-2</v>
      </c>
      <c r="O3585">
        <v>-0.99613269999999998</v>
      </c>
      <c r="P3585">
        <v>-0.2934929</v>
      </c>
      <c r="Q3585">
        <v>2.4401409999999998E-2</v>
      </c>
      <c r="R3585">
        <v>-0.95565</v>
      </c>
      <c r="S3585">
        <v>-1.628784</v>
      </c>
      <c r="T3585">
        <v>-0.19958590000000001</v>
      </c>
      <c r="U3585">
        <v>-2.6484529999999999</v>
      </c>
      <c r="V3585">
        <v>0.20955760000000001</v>
      </c>
      <c r="W3585">
        <v>3.646978E-2</v>
      </c>
      <c r="X3585">
        <v>0.97711590000000004</v>
      </c>
      <c r="Y3585">
        <v>0.44697720000000002</v>
      </c>
      <c r="Z3585">
        <v>5.2135620000000001E-2</v>
      </c>
      <c r="AA3585">
        <v>0.89302479999999995</v>
      </c>
      <c r="AB3585">
        <v>25</v>
      </c>
      <c r="AC3585">
        <v>-9.0243999999999804</v>
      </c>
      <c r="AD3585">
        <v>-1.1075093296</v>
      </c>
      <c r="AE3585">
        <v>-14.557099999999901</v>
      </c>
      <c r="AF3585">
        <v>7.6938483002076499</v>
      </c>
      <c r="AG3585">
        <v>-1.1075093296</v>
      </c>
      <c r="AH3585">
        <v>15.2222140623799</v>
      </c>
      <c r="AI3585">
        <v>93.715186447173906</v>
      </c>
      <c r="AJ3585">
        <v>63.186343159546396</v>
      </c>
      <c r="AK3585">
        <v>17.0920355587822</v>
      </c>
      <c r="AL3585">
        <v>87.909971957081595</v>
      </c>
      <c r="AM3585">
        <v>77.895397366423396</v>
      </c>
      <c r="AN3585">
        <v>0.99999995730190805</v>
      </c>
    </row>
    <row r="3586" spans="1:40" x14ac:dyDescent="0.25">
      <c r="A3586" t="str">
        <f>"20190305135901804"</f>
        <v>20190305135901804</v>
      </c>
      <c r="B3586" t="str">
        <f>"1551765541792860"</f>
        <v>1551765541792860</v>
      </c>
      <c r="C3586" t="s">
        <v>40</v>
      </c>
      <c r="D3586">
        <v>4.2842250000000002</v>
      </c>
      <c r="E3586">
        <v>0.59719469999999997</v>
      </c>
      <c r="F3586" t="s">
        <v>79</v>
      </c>
      <c r="G3586">
        <v>-197.25800000000001</v>
      </c>
      <c r="H3586" s="1">
        <v>-1.440321E-5</v>
      </c>
      <c r="I3586">
        <v>157.3339</v>
      </c>
      <c r="J3586">
        <v>-188.3896</v>
      </c>
      <c r="K3586">
        <v>1.1074850000000001</v>
      </c>
      <c r="L3586">
        <v>171.41909999999999</v>
      </c>
      <c r="M3586">
        <v>-8.8931609999999994E-2</v>
      </c>
      <c r="N3586">
        <v>-1.334397E-2</v>
      </c>
      <c r="O3586">
        <v>-0.99594870000000002</v>
      </c>
      <c r="P3586">
        <v>-0.29901179999999999</v>
      </c>
      <c r="Q3586">
        <v>2.512731E-2</v>
      </c>
      <c r="R3586">
        <v>-0.95391890000000001</v>
      </c>
      <c r="S3586">
        <v>-1.6442869999999901</v>
      </c>
      <c r="T3586">
        <v>-0.20492840000000001</v>
      </c>
      <c r="U3586">
        <v>-2.639465</v>
      </c>
      <c r="V3586">
        <v>0.21316199999999999</v>
      </c>
      <c r="W3586">
        <v>3.716121E-2</v>
      </c>
      <c r="X3586">
        <v>0.97630989999999995</v>
      </c>
      <c r="Y3586">
        <v>0.45018720000000001</v>
      </c>
      <c r="Z3586">
        <v>5.3904569999999999E-2</v>
      </c>
      <c r="AA3586">
        <v>0.89130569999999898</v>
      </c>
      <c r="AB3586">
        <v>24</v>
      </c>
      <c r="AC3586">
        <v>-8.8683999999999799</v>
      </c>
      <c r="AD3586">
        <v>-1.1074994032100001</v>
      </c>
      <c r="AE3586">
        <v>-14.085199999999899</v>
      </c>
      <c r="AF3586">
        <v>7.5471106070241696</v>
      </c>
      <c r="AG3586">
        <v>-1.1074994032100001</v>
      </c>
      <c r="AH3586">
        <v>14.7528161616068</v>
      </c>
      <c r="AI3586">
        <v>93.823551776080393</v>
      </c>
      <c r="AJ3586">
        <v>62.907038781093298</v>
      </c>
      <c r="AK3586">
        <v>16.608161190840299</v>
      </c>
      <c r="AL3586">
        <v>87.870329165587094</v>
      </c>
      <c r="AM3586">
        <v>77.6836414346959</v>
      </c>
      <c r="AN3586">
        <v>1.0000000073053299</v>
      </c>
    </row>
    <row r="3587" spans="1:40" x14ac:dyDescent="0.25">
      <c r="A3587" t="str">
        <f>"20190305135901819"</f>
        <v>20190305135901819</v>
      </c>
      <c r="B3587" t="str">
        <f>"1551765541812380"</f>
        <v>1551765541812380</v>
      </c>
      <c r="C3587" t="s">
        <v>40</v>
      </c>
      <c r="D3587">
        <v>4.296659</v>
      </c>
      <c r="E3587">
        <v>0.59673399999999999</v>
      </c>
      <c r="F3587" t="s">
        <v>79</v>
      </c>
      <c r="G3587">
        <v>-197.18879999999999</v>
      </c>
      <c r="H3587" s="1">
        <v>-1.44426799999999E-5</v>
      </c>
      <c r="I3587">
        <v>157.49080000000001</v>
      </c>
      <c r="J3587">
        <v>-188.40610000000001</v>
      </c>
      <c r="K3587">
        <v>1.107477</v>
      </c>
      <c r="L3587">
        <v>171.25829999999999</v>
      </c>
      <c r="M3587">
        <v>-9.0823109999999999E-2</v>
      </c>
      <c r="N3587">
        <v>-1.334423E-2</v>
      </c>
      <c r="O3587">
        <v>-0.99577749999999998</v>
      </c>
      <c r="P3587">
        <v>-0.30663839999999998</v>
      </c>
      <c r="Q3587">
        <v>2.6073249999999999E-2</v>
      </c>
      <c r="R3587">
        <v>-0.9514688</v>
      </c>
      <c r="S3587">
        <v>-1.6612849999999999</v>
      </c>
      <c r="T3587">
        <v>-0.20909549999999999</v>
      </c>
      <c r="U3587">
        <v>-2.6296689999999998</v>
      </c>
      <c r="V3587">
        <v>0.21912980000000001</v>
      </c>
      <c r="W3587">
        <v>3.8053200000000002E-2</v>
      </c>
      <c r="X3587">
        <v>0.97495339999999997</v>
      </c>
      <c r="Y3587">
        <v>0.45406049999999998</v>
      </c>
      <c r="Z3587">
        <v>5.52874E-2</v>
      </c>
      <c r="AA3587">
        <v>0.88925390000000004</v>
      </c>
      <c r="AB3587">
        <v>24</v>
      </c>
      <c r="AC3587">
        <v>-8.78269999999997</v>
      </c>
      <c r="AD3587">
        <v>-1.10749144268</v>
      </c>
      <c r="AE3587">
        <v>-13.767499999999901</v>
      </c>
      <c r="AF3587">
        <v>7.4615584448089898</v>
      </c>
      <c r="AG3587">
        <v>-1.10749144268</v>
      </c>
      <c r="AH3587">
        <v>14.4419100857949</v>
      </c>
      <c r="AI3587">
        <v>93.897536127194002</v>
      </c>
      <c r="AJ3587">
        <v>62.676406495371999</v>
      </c>
      <c r="AK3587">
        <v>16.293255004666602</v>
      </c>
      <c r="AL3587">
        <v>87.819185758784897</v>
      </c>
      <c r="AM3587">
        <v>77.332746192145706</v>
      </c>
      <c r="AN3587">
        <v>1.00000002372491</v>
      </c>
    </row>
    <row r="3588" spans="1:40" x14ac:dyDescent="0.25">
      <c r="A3588" t="str">
        <f>"20190305135901831"</f>
        <v>20190305135901831</v>
      </c>
      <c r="B3588" t="str">
        <f>"1551765541822142"</f>
        <v>1551765541822142</v>
      </c>
      <c r="C3588" t="s">
        <v>40</v>
      </c>
      <c r="D3588">
        <v>4.3056539999999996</v>
      </c>
      <c r="E3588">
        <v>0.59630939999999999</v>
      </c>
      <c r="F3588" t="s">
        <v>79</v>
      </c>
      <c r="G3588">
        <v>-197.11160000000001</v>
      </c>
      <c r="H3588" s="1">
        <v>-1.449358E-5</v>
      </c>
      <c r="I3588">
        <v>157.69309999999999</v>
      </c>
      <c r="J3588">
        <v>-188.42189999999999</v>
      </c>
      <c r="K3588">
        <v>1.1074649999999999</v>
      </c>
      <c r="L3588">
        <v>171.10759999999999</v>
      </c>
      <c r="M3588">
        <v>-9.2623239999999996E-2</v>
      </c>
      <c r="N3588">
        <v>-1.3344679999999999E-2</v>
      </c>
      <c r="O3588">
        <v>-0.99561189999999999</v>
      </c>
      <c r="P3588">
        <v>-0.31249729999999998</v>
      </c>
      <c r="Q3588">
        <v>2.7021759999999999E-2</v>
      </c>
      <c r="R3588">
        <v>-0.9495344</v>
      </c>
      <c r="S3588">
        <v>-1.6797789999999999</v>
      </c>
      <c r="T3588">
        <v>-0.2136979</v>
      </c>
      <c r="U3588">
        <v>-2.6175079999999999</v>
      </c>
      <c r="V3588">
        <v>0.2233849</v>
      </c>
      <c r="W3588">
        <v>3.8959479999999998E-2</v>
      </c>
      <c r="X3588">
        <v>0.97395140000000002</v>
      </c>
      <c r="Y3588">
        <v>0.45871849999999997</v>
      </c>
      <c r="Z3588">
        <v>5.6838479999999997E-2</v>
      </c>
      <c r="AA3588">
        <v>0.88676189999999999</v>
      </c>
      <c r="AB3588">
        <v>24</v>
      </c>
      <c r="AC3588">
        <v>-8.6897000000000109</v>
      </c>
      <c r="AD3588">
        <v>-1.1074794935800001</v>
      </c>
      <c r="AE3588">
        <v>-13.4145</v>
      </c>
      <c r="AF3588">
        <v>7.3743277683181798</v>
      </c>
      <c r="AG3588">
        <v>-1.1074794935800001</v>
      </c>
      <c r="AH3588">
        <v>14.094095159684301</v>
      </c>
      <c r="AI3588">
        <v>93.982694618398696</v>
      </c>
      <c r="AJ3588">
        <v>62.380487136993899</v>
      </c>
      <c r="AK3588">
        <v>15.945241899498599</v>
      </c>
      <c r="AL3588">
        <v>87.7672211293077</v>
      </c>
      <c r="AM3588">
        <v>77.082100452516599</v>
      </c>
      <c r="AN3588">
        <v>0.99999999209592005</v>
      </c>
    </row>
    <row r="3589" spans="1:40" x14ac:dyDescent="0.25">
      <c r="A3589" t="str">
        <f>"20190305135901852"</f>
        <v>20190305135901852</v>
      </c>
      <c r="B3589" t="str">
        <f>"1551765541842639"</f>
        <v>1551765541842639</v>
      </c>
      <c r="C3589" t="s">
        <v>40</v>
      </c>
      <c r="D3589">
        <v>4.2993180000000004</v>
      </c>
      <c r="E3589">
        <v>0.59539770000000003</v>
      </c>
      <c r="F3589" t="s">
        <v>79</v>
      </c>
      <c r="G3589">
        <v>-197.1345</v>
      </c>
      <c r="H3589" s="1">
        <v>-1.449186E-5</v>
      </c>
      <c r="I3589">
        <v>157.68620000000001</v>
      </c>
      <c r="J3589">
        <v>-188.44489999999999</v>
      </c>
      <c r="K3589">
        <v>1.107442</v>
      </c>
      <c r="L3589">
        <v>170.89259999999999</v>
      </c>
      <c r="M3589">
        <v>-9.5222749999999995E-2</v>
      </c>
      <c r="N3589">
        <v>-1.334542E-2</v>
      </c>
      <c r="O3589">
        <v>-0.99536659999999999</v>
      </c>
      <c r="P3589">
        <v>-0.32195449999999998</v>
      </c>
      <c r="Q3589">
        <v>2.8096779999999998E-2</v>
      </c>
      <c r="R3589">
        <v>-0.94633849999999997</v>
      </c>
      <c r="S3589">
        <v>-1.693222</v>
      </c>
      <c r="T3589">
        <v>-0.21523010000000001</v>
      </c>
      <c r="U3589">
        <v>-2.6083370000000001</v>
      </c>
      <c r="V3589">
        <v>0.23056599999999999</v>
      </c>
      <c r="W3589">
        <v>3.9962909999999997E-2</v>
      </c>
      <c r="X3589">
        <v>0.97223570000000004</v>
      </c>
      <c r="Y3589">
        <v>0.4610168</v>
      </c>
      <c r="Z3589">
        <v>5.7394880000000002E-2</v>
      </c>
      <c r="AA3589">
        <v>0.88553340000000003</v>
      </c>
      <c r="AB3589">
        <v>24</v>
      </c>
      <c r="AC3589">
        <v>-8.6896000000000093</v>
      </c>
      <c r="AD3589">
        <v>-1.1074564918600001</v>
      </c>
      <c r="AE3589">
        <v>-13.206399999999901</v>
      </c>
      <c r="AF3589">
        <v>7.35634482220539</v>
      </c>
      <c r="AG3589">
        <v>-1.1074564918600001</v>
      </c>
      <c r="AH3589">
        <v>13.9056592488426</v>
      </c>
      <c r="AI3589">
        <v>94.0268049388375</v>
      </c>
      <c r="AJ3589">
        <v>62.120351348439399</v>
      </c>
      <c r="AK3589">
        <v>15.770530370582801</v>
      </c>
      <c r="AL3589">
        <v>87.709683991692003</v>
      </c>
      <c r="AM3589">
        <v>76.6587488768063</v>
      </c>
      <c r="AN3589">
        <v>0.999999985443079</v>
      </c>
    </row>
    <row r="3590" spans="1:40" x14ac:dyDescent="0.25">
      <c r="A3590" t="str">
        <f>"20190305135901864"</f>
        <v>20190305135901864</v>
      </c>
      <c r="B3590" t="str">
        <f>"1551765541852397"</f>
        <v>1551765541852397</v>
      </c>
      <c r="C3590" t="s">
        <v>40</v>
      </c>
      <c r="D3590">
        <v>4.3224790000000004</v>
      </c>
      <c r="E3590">
        <v>0.59497900000000004</v>
      </c>
      <c r="F3590" t="s">
        <v>79</v>
      </c>
      <c r="G3590">
        <v>-197.14330000000001</v>
      </c>
      <c r="H3590" s="1">
        <v>-1.450116E-5</v>
      </c>
      <c r="I3590">
        <v>157.72319999999999</v>
      </c>
      <c r="J3590">
        <v>-188.45930000000001</v>
      </c>
      <c r="K3590">
        <v>1.107429</v>
      </c>
      <c r="L3590">
        <v>170.7611</v>
      </c>
      <c r="M3590">
        <v>-9.6835060000000001E-2</v>
      </c>
      <c r="N3590">
        <v>-1.3345920000000001E-2</v>
      </c>
      <c r="O3590">
        <v>-0.99521090000000001</v>
      </c>
      <c r="P3590">
        <v>-0.32718140000000001</v>
      </c>
      <c r="Q3590">
        <v>2.8372709999999999E-2</v>
      </c>
      <c r="R3590">
        <v>-0.94453569999999998</v>
      </c>
      <c r="S3590">
        <v>-1.7131810000000001</v>
      </c>
      <c r="T3590">
        <v>-0.21811700000000001</v>
      </c>
      <c r="U3590">
        <v>-2.59375</v>
      </c>
      <c r="V3590">
        <v>0.23436989999999999</v>
      </c>
      <c r="W3590">
        <v>4.0198289999999998E-2</v>
      </c>
      <c r="X3590">
        <v>0.97131599999999996</v>
      </c>
      <c r="Y3590">
        <v>0.4665649</v>
      </c>
      <c r="Z3590">
        <v>5.841416E-2</v>
      </c>
      <c r="AA3590">
        <v>0.88255599999999901</v>
      </c>
      <c r="AB3590">
        <v>24</v>
      </c>
      <c r="AC3590">
        <v>-8.6839999999999904</v>
      </c>
      <c r="AD3590">
        <v>-1.1074435011599999</v>
      </c>
      <c r="AE3590">
        <v>-13.0379</v>
      </c>
      <c r="AF3590">
        <v>7.3438410182067404</v>
      </c>
      <c r="AG3590">
        <v>-1.1074435011599999</v>
      </c>
      <c r="AH3590">
        <v>13.7488943394786</v>
      </c>
      <c r="AI3590">
        <v>94.063909350845407</v>
      </c>
      <c r="AJ3590">
        <v>61.891520396752099</v>
      </c>
      <c r="AK3590">
        <v>15.626596800554699</v>
      </c>
      <c r="AL3590">
        <v>87.6961868116895</v>
      </c>
      <c r="AM3590">
        <v>76.434341872360903</v>
      </c>
      <c r="AN3590">
        <v>0.99999996220046605</v>
      </c>
    </row>
    <row r="3591" spans="1:40" x14ac:dyDescent="0.25">
      <c r="A3591" t="str">
        <f>"20190305135901877"</f>
        <v>20190305135901877</v>
      </c>
      <c r="B3591" t="str">
        <f>"1551765541871916"</f>
        <v>1551765541871916</v>
      </c>
      <c r="C3591" t="s">
        <v>40</v>
      </c>
      <c r="D3591">
        <v>4.2937719999999997</v>
      </c>
      <c r="E3591">
        <v>0.59411420000000004</v>
      </c>
      <c r="F3591" t="s">
        <v>79</v>
      </c>
      <c r="G3591">
        <v>-197.06710000000001</v>
      </c>
      <c r="H3591" s="1">
        <v>-1.45351799999999E-5</v>
      </c>
      <c r="I3591">
        <v>157.85839999999999</v>
      </c>
      <c r="J3591">
        <v>-188.47550000000001</v>
      </c>
      <c r="K3591">
        <v>1.1074120000000001</v>
      </c>
      <c r="L3591">
        <v>170.61449999999999</v>
      </c>
      <c r="M3591">
        <v>-9.8650269999999998E-2</v>
      </c>
      <c r="N3591">
        <v>-1.3346490000000001E-2</v>
      </c>
      <c r="O3591">
        <v>-0.99503280000000005</v>
      </c>
      <c r="P3591">
        <v>-0.33272429999999997</v>
      </c>
      <c r="Q3591">
        <v>2.8705350000000001E-2</v>
      </c>
      <c r="R3591">
        <v>-0.94258730000000002</v>
      </c>
      <c r="S3591">
        <v>-1.7247920000000001</v>
      </c>
      <c r="T3591">
        <v>-0.22190360000000001</v>
      </c>
      <c r="U3591">
        <v>-2.5853730000000001</v>
      </c>
      <c r="V3591">
        <v>0.23830860000000001</v>
      </c>
      <c r="W3591">
        <v>4.0486059999999997E-2</v>
      </c>
      <c r="X3591">
        <v>0.97034529999999997</v>
      </c>
      <c r="Y3591">
        <v>0.46896650000000001</v>
      </c>
      <c r="Z3591">
        <v>5.9700000000000003E-2</v>
      </c>
      <c r="AA3591">
        <v>0.88119599999999898</v>
      </c>
      <c r="AB3591">
        <v>24</v>
      </c>
      <c r="AC3591">
        <v>-8.5915999999999997</v>
      </c>
      <c r="AD3591">
        <v>-1.1074265351799999</v>
      </c>
      <c r="AE3591">
        <v>-12.7561</v>
      </c>
      <c r="AF3591">
        <v>7.2535707621292698</v>
      </c>
      <c r="AG3591">
        <v>-1.1074265351799999</v>
      </c>
      <c r="AH3591">
        <v>13.4716571701529</v>
      </c>
      <c r="AI3591">
        <v>94.139809253525399</v>
      </c>
      <c r="AJ3591">
        <v>61.700558088726503</v>
      </c>
      <c r="AK3591">
        <v>15.340346451178</v>
      </c>
      <c r="AL3591">
        <v>87.679685587838307</v>
      </c>
      <c r="AM3591">
        <v>76.201729963027503</v>
      </c>
      <c r="AN3591">
        <v>1.00000005556018</v>
      </c>
    </row>
    <row r="3592" spans="1:40" x14ac:dyDescent="0.25">
      <c r="A3592" t="str">
        <f>"20190305135901895"</f>
        <v>20190305135901895</v>
      </c>
      <c r="B3592" t="str">
        <f>"1551765541892412"</f>
        <v>1551765541892412</v>
      </c>
      <c r="C3592" t="s">
        <v>40</v>
      </c>
      <c r="D3592">
        <v>4.3023819999999997</v>
      </c>
      <c r="E3592">
        <v>0.59304820000000003</v>
      </c>
      <c r="F3592" t="s">
        <v>79</v>
      </c>
      <c r="G3592">
        <v>-196.88399999999999</v>
      </c>
      <c r="H3592" s="1">
        <v>-1.459974E-5</v>
      </c>
      <c r="I3592">
        <v>158.11500000000001</v>
      </c>
      <c r="J3592">
        <v>-188.4965</v>
      </c>
      <c r="K3592">
        <v>1.107386</v>
      </c>
      <c r="L3592">
        <v>170.43010000000001</v>
      </c>
      <c r="M3592">
        <v>-0.1009784</v>
      </c>
      <c r="N3592">
        <v>-1.3347670000000001E-2</v>
      </c>
      <c r="O3592">
        <v>-0.99479910000000005</v>
      </c>
      <c r="P3592">
        <v>-0.34301029999999999</v>
      </c>
      <c r="Q3592">
        <v>2.9875510000000001E-2</v>
      </c>
      <c r="R3592">
        <v>-0.93885640000000004</v>
      </c>
      <c r="S3592">
        <v>-1.7339629999999999</v>
      </c>
      <c r="T3592">
        <v>-0.22837009999999999</v>
      </c>
      <c r="U3592">
        <v>-2.5776059999999998</v>
      </c>
      <c r="V3592">
        <v>0.24665500000000001</v>
      </c>
      <c r="W3592">
        <v>4.1569479999999999E-2</v>
      </c>
      <c r="X3592">
        <v>0.96821140000000006</v>
      </c>
      <c r="Y3592">
        <v>0.47020689999999998</v>
      </c>
      <c r="Z3592">
        <v>6.1881289999999999E-2</v>
      </c>
      <c r="AA3592">
        <v>0.8803841</v>
      </c>
      <c r="AB3592">
        <v>24</v>
      </c>
      <c r="AC3592">
        <v>-8.3875000000000099</v>
      </c>
      <c r="AD3592">
        <v>-1.1074005997399901</v>
      </c>
      <c r="AE3592">
        <v>-12.315099999999999</v>
      </c>
      <c r="AF3592">
        <v>7.0619424266525801</v>
      </c>
      <c r="AG3592">
        <v>-1.1074005997399901</v>
      </c>
      <c r="AH3592">
        <v>13.02721437966</v>
      </c>
      <c r="AI3592">
        <v>94.273907237929393</v>
      </c>
      <c r="AJ3592">
        <v>61.538254427094103</v>
      </c>
      <c r="AK3592">
        <v>14.859531668908</v>
      </c>
      <c r="AL3592">
        <v>87.617557781962603</v>
      </c>
      <c r="AM3592">
        <v>75.707723539573394</v>
      </c>
      <c r="AN3592">
        <v>1.0000000128912101</v>
      </c>
    </row>
    <row r="3593" spans="1:40" x14ac:dyDescent="0.25">
      <c r="A3593" t="str">
        <f>"20190305135901909"</f>
        <v>20190305135901909</v>
      </c>
      <c r="B3593" t="str">
        <f>"1551765541902172"</f>
        <v>1551765541902172</v>
      </c>
      <c r="C3593" t="s">
        <v>40</v>
      </c>
      <c r="D3593">
        <v>4.3232809999999997</v>
      </c>
      <c r="E3593">
        <v>0.59250369999999997</v>
      </c>
      <c r="F3593" t="s">
        <v>79</v>
      </c>
      <c r="G3593">
        <v>-196.86359999999999</v>
      </c>
      <c r="H3593" s="1">
        <v>-1.462353E-5</v>
      </c>
      <c r="I3593">
        <v>158.20949999999999</v>
      </c>
      <c r="J3593">
        <v>-188.5138</v>
      </c>
      <c r="K3593">
        <v>1.1073649999999999</v>
      </c>
      <c r="L3593">
        <v>170.28110000000001</v>
      </c>
      <c r="M3593">
        <v>-0.1028934</v>
      </c>
      <c r="N3593">
        <v>-1.3348759999999999E-2</v>
      </c>
      <c r="O3593">
        <v>-0.99460280000000001</v>
      </c>
      <c r="P3593">
        <v>-0.34887839999999998</v>
      </c>
      <c r="Q3593">
        <v>3.0325129999999999E-2</v>
      </c>
      <c r="R3593">
        <v>-0.93667750000000005</v>
      </c>
      <c r="S3593">
        <v>-1.7540739999999999</v>
      </c>
      <c r="T3593">
        <v>-0.232155</v>
      </c>
      <c r="U3593">
        <v>-2.5619200000000002</v>
      </c>
      <c r="V3593">
        <v>0.25085560000000001</v>
      </c>
      <c r="W3593">
        <v>4.1968239999999997E-2</v>
      </c>
      <c r="X3593">
        <v>0.96711429999999998</v>
      </c>
      <c r="Y3593">
        <v>0.47566069999999999</v>
      </c>
      <c r="Z3593">
        <v>6.3215350000000003E-2</v>
      </c>
      <c r="AA3593">
        <v>0.87735439999999998</v>
      </c>
      <c r="AB3593">
        <v>24</v>
      </c>
      <c r="AC3593">
        <v>-8.3497999999999806</v>
      </c>
      <c r="AD3593">
        <v>-1.10737962352999</v>
      </c>
      <c r="AE3593">
        <v>-12.0716</v>
      </c>
      <c r="AF3593">
        <v>7.0232996322549299</v>
      </c>
      <c r="AG3593">
        <v>-1.10737962352999</v>
      </c>
      <c r="AH3593">
        <v>12.793910729991699</v>
      </c>
      <c r="AI3593">
        <v>94.338972799727898</v>
      </c>
      <c r="AJ3593">
        <v>61.235131923120299</v>
      </c>
      <c r="AK3593">
        <v>14.636843208904001</v>
      </c>
      <c r="AL3593">
        <v>87.594690450986704</v>
      </c>
      <c r="AM3593">
        <v>75.458757974368396</v>
      </c>
      <c r="AN3593">
        <v>0.99999996724227302</v>
      </c>
    </row>
    <row r="3594" spans="1:40" x14ac:dyDescent="0.25">
      <c r="A3594" t="str">
        <f>"20190305135901929"</f>
        <v>20190305135901929</v>
      </c>
      <c r="B3594" t="str">
        <f>"1551765541922668"</f>
        <v>1551765541922668</v>
      </c>
      <c r="C3594" t="s">
        <v>40</v>
      </c>
      <c r="D3594">
        <v>4.2965289999999996</v>
      </c>
      <c r="E3594">
        <v>0.59142589999999995</v>
      </c>
      <c r="F3594" t="s">
        <v>79</v>
      </c>
      <c r="G3594">
        <v>-196.8424</v>
      </c>
      <c r="H3594" s="1">
        <v>-1.4632139999999999E-5</v>
      </c>
      <c r="I3594">
        <v>158.24369999999999</v>
      </c>
      <c r="J3594">
        <v>-188.54069999999999</v>
      </c>
      <c r="K3594">
        <v>1.107334</v>
      </c>
      <c r="L3594">
        <v>170.054</v>
      </c>
      <c r="M3594">
        <v>-0.1058608</v>
      </c>
      <c r="N3594">
        <v>-1.3350529999999999E-2</v>
      </c>
      <c r="O3594">
        <v>-0.99429149999999999</v>
      </c>
      <c r="P3594">
        <v>-0.35845640000000001</v>
      </c>
      <c r="Q3594">
        <v>3.1051840000000001E-2</v>
      </c>
      <c r="R3594">
        <v>-0.93303009999999997</v>
      </c>
      <c r="S3594">
        <v>-1.7661439999999999</v>
      </c>
      <c r="T3594">
        <v>-0.23482739999999999</v>
      </c>
      <c r="U3594">
        <v>-2.552597</v>
      </c>
      <c r="V3594">
        <v>0.25788549999999999</v>
      </c>
      <c r="W3594">
        <v>4.2609500000000002E-2</v>
      </c>
      <c r="X3594">
        <v>0.96523550000000002</v>
      </c>
      <c r="Y3594">
        <v>0.47730309999999998</v>
      </c>
      <c r="Z3594">
        <v>6.416326E-2</v>
      </c>
      <c r="AA3594">
        <v>0.87639310000000004</v>
      </c>
      <c r="AB3594">
        <v>24</v>
      </c>
      <c r="AC3594">
        <v>-8.3017000000000092</v>
      </c>
      <c r="AD3594">
        <v>-1.1073486321399999</v>
      </c>
      <c r="AE3594">
        <v>-11.8103</v>
      </c>
      <c r="AF3594">
        <v>6.9637110033673197</v>
      </c>
      <c r="AG3594">
        <v>-1.1073486321399999</v>
      </c>
      <c r="AH3594">
        <v>12.5489908960927</v>
      </c>
      <c r="AI3594">
        <v>94.412095749153494</v>
      </c>
      <c r="AJ3594">
        <v>60.973142514315597</v>
      </c>
      <c r="AK3594">
        <v>14.3943275091871</v>
      </c>
      <c r="AL3594">
        <v>87.557916227014204</v>
      </c>
      <c r="AM3594">
        <v>75.0414662765412</v>
      </c>
      <c r="AN3594">
        <v>1.00000003553037</v>
      </c>
    </row>
    <row r="3595" spans="1:40" x14ac:dyDescent="0.25">
      <c r="A3595" t="str">
        <f>"20190305135901942"</f>
        <v>20190305135901942</v>
      </c>
      <c r="B3595" t="str">
        <f>"1551765541932429"</f>
        <v>1551765541932429</v>
      </c>
      <c r="C3595" t="s">
        <v>40</v>
      </c>
      <c r="D3595">
        <v>4.2331539999999999</v>
      </c>
      <c r="E3595">
        <v>0.59078330000000001</v>
      </c>
      <c r="F3595" t="s">
        <v>79</v>
      </c>
      <c r="G3595">
        <v>-196.88839999999999</v>
      </c>
      <c r="H3595" s="1">
        <v>-1.461663E-5</v>
      </c>
      <c r="I3595">
        <v>158.18209999999999</v>
      </c>
      <c r="J3595">
        <v>-188.55789999999999</v>
      </c>
      <c r="K3595">
        <v>1.10731</v>
      </c>
      <c r="L3595">
        <v>169.9118</v>
      </c>
      <c r="M3595">
        <v>-0.1077509</v>
      </c>
      <c r="N3595">
        <v>-1.335167E-2</v>
      </c>
      <c r="O3595">
        <v>-0.99408839999999998</v>
      </c>
      <c r="P3595">
        <v>-0.36313709999999999</v>
      </c>
      <c r="Q3595">
        <v>3.1689700000000001E-2</v>
      </c>
      <c r="R3595">
        <v>-0.9311971</v>
      </c>
      <c r="S3595">
        <v>-1.7843629999999999</v>
      </c>
      <c r="T3595">
        <v>-0.23669979999999999</v>
      </c>
      <c r="U3595">
        <v>-2.537674</v>
      </c>
      <c r="V3595">
        <v>0.26090609999999997</v>
      </c>
      <c r="W3595">
        <v>4.32045E-2</v>
      </c>
      <c r="X3595">
        <v>0.9643969</v>
      </c>
      <c r="Y3595">
        <v>0.48222690000000001</v>
      </c>
      <c r="Z3595">
        <v>6.4878119999999997E-2</v>
      </c>
      <c r="AA3595">
        <v>0.87364069999999905</v>
      </c>
      <c r="AB3595">
        <v>24</v>
      </c>
      <c r="AC3595">
        <v>-8.3305000000000007</v>
      </c>
      <c r="AD3595">
        <v>-1.1073246166299999</v>
      </c>
      <c r="AE3595">
        <v>-11.729699999999999</v>
      </c>
      <c r="AF3595">
        <v>6.9766625535467996</v>
      </c>
      <c r="AG3595">
        <v>-1.1073246166299999</v>
      </c>
      <c r="AH3595">
        <v>12.4851334368753</v>
      </c>
      <c r="AI3595">
        <v>94.427206605231405</v>
      </c>
      <c r="AJ3595">
        <v>60.803646236802003</v>
      </c>
      <c r="AK3595">
        <v>14.344983273926699</v>
      </c>
      <c r="AL3595">
        <v>87.523793729723707</v>
      </c>
      <c r="AM3595">
        <v>74.861693041827095</v>
      </c>
      <c r="AN3595">
        <v>1.0000000012835299</v>
      </c>
    </row>
    <row r="3596" spans="1:40" x14ac:dyDescent="0.25">
      <c r="A3596" t="str">
        <f>"20190305135901955"</f>
        <v>20190305135901955</v>
      </c>
      <c r="B3596" t="str">
        <f>"1551765541952923"</f>
        <v>1551765541952923</v>
      </c>
      <c r="C3596" t="s">
        <v>40</v>
      </c>
      <c r="D3596">
        <v>4.2468029999999999</v>
      </c>
      <c r="E3596">
        <v>0.58980549999999998</v>
      </c>
      <c r="F3596" t="s">
        <v>79</v>
      </c>
      <c r="G3596">
        <v>-196.98750000000001</v>
      </c>
      <c r="H3596" s="1">
        <v>-1.457303E-5</v>
      </c>
      <c r="I3596">
        <v>158.00880000000001</v>
      </c>
      <c r="J3596">
        <v>-188.57579999999999</v>
      </c>
      <c r="K3596">
        <v>1.1072900000000001</v>
      </c>
      <c r="L3596">
        <v>169.7664</v>
      </c>
      <c r="M3596">
        <v>-0.109707</v>
      </c>
      <c r="N3596">
        <v>-1.335281E-2</v>
      </c>
      <c r="O3596">
        <v>-0.99387420000000004</v>
      </c>
      <c r="P3596">
        <v>-0.36768030000000002</v>
      </c>
      <c r="Q3596">
        <v>3.1910149999999998E-2</v>
      </c>
      <c r="R3596">
        <v>-0.92940440000000002</v>
      </c>
      <c r="S3596">
        <v>-1.792252</v>
      </c>
      <c r="T3596">
        <v>-0.23543430000000001</v>
      </c>
      <c r="U3596">
        <v>-2.5307460000000002</v>
      </c>
      <c r="V3596">
        <v>0.26372309999999999</v>
      </c>
      <c r="W3596">
        <v>4.3383640000000001E-2</v>
      </c>
      <c r="X3596">
        <v>0.96362230000000004</v>
      </c>
      <c r="Y3596">
        <v>0.48345769999999999</v>
      </c>
      <c r="Z3596">
        <v>6.4529719999999999E-2</v>
      </c>
      <c r="AA3596">
        <v>0.87298600000000004</v>
      </c>
      <c r="AB3596">
        <v>24</v>
      </c>
      <c r="AC3596">
        <v>-8.4117000000000193</v>
      </c>
      <c r="AD3596">
        <v>-1.10730457303</v>
      </c>
      <c r="AE3596">
        <v>-11.757599999999901</v>
      </c>
      <c r="AF3596">
        <v>7.0296706861576004</v>
      </c>
      <c r="AG3596">
        <v>-1.10730457303</v>
      </c>
      <c r="AH3596">
        <v>12.535978226893</v>
      </c>
      <c r="AI3596">
        <v>94.405570473594395</v>
      </c>
      <c r="AJ3596">
        <v>60.718050724432402</v>
      </c>
      <c r="AK3596">
        <v>14.415031858390501</v>
      </c>
      <c r="AL3596">
        <v>87.513520066508207</v>
      </c>
      <c r="AM3596">
        <v>74.694143600931298</v>
      </c>
      <c r="AN3596">
        <v>0.99999997537527396</v>
      </c>
    </row>
    <row r="3597" spans="1:40" x14ac:dyDescent="0.25">
      <c r="A3597" t="str">
        <f>"20190305135901967"</f>
        <v>20190305135901967</v>
      </c>
      <c r="B3597" t="str">
        <f>"1551765541962858"</f>
        <v>1551765541962858</v>
      </c>
      <c r="C3597" t="s">
        <v>40</v>
      </c>
      <c r="D3597">
        <v>4.1951409999999996</v>
      </c>
      <c r="E3597">
        <v>0.58948179999999994</v>
      </c>
      <c r="F3597" t="s">
        <v>79</v>
      </c>
      <c r="G3597">
        <v>-197.04329999999999</v>
      </c>
      <c r="H3597" s="1">
        <v>-1.453874E-5</v>
      </c>
      <c r="I3597">
        <v>157.87260000000001</v>
      </c>
      <c r="J3597">
        <v>-188.5917</v>
      </c>
      <c r="K3597">
        <v>1.1072709999999999</v>
      </c>
      <c r="L3597">
        <v>169.6405</v>
      </c>
      <c r="M3597">
        <v>-0.1114267</v>
      </c>
      <c r="N3597">
        <v>-1.3353820000000001E-2</v>
      </c>
      <c r="O3597">
        <v>-0.99368299999999998</v>
      </c>
      <c r="P3597">
        <v>-0.37201420000000002</v>
      </c>
      <c r="Q3597">
        <v>3.2138689999999998E-2</v>
      </c>
      <c r="R3597">
        <v>-0.92767100000000002</v>
      </c>
      <c r="S3597">
        <v>-1.79750099999999</v>
      </c>
      <c r="T3597">
        <v>-0.23506160000000001</v>
      </c>
      <c r="U3597">
        <v>-2.5248569999999999</v>
      </c>
      <c r="V3597">
        <v>0.26655770000000001</v>
      </c>
      <c r="W3597">
        <v>4.3573239999999999E-2</v>
      </c>
      <c r="X3597">
        <v>0.96283350000000001</v>
      </c>
      <c r="Y3597">
        <v>0.48411110000000002</v>
      </c>
      <c r="Z3597">
        <v>6.4482170000000005E-2</v>
      </c>
      <c r="AA3597">
        <v>0.87262739999999905</v>
      </c>
      <c r="AB3597">
        <v>24</v>
      </c>
      <c r="AC3597">
        <v>-8.4515999999999796</v>
      </c>
      <c r="AD3597">
        <v>-1.10728553873999</v>
      </c>
      <c r="AE3597">
        <v>-11.7678999999999</v>
      </c>
      <c r="AF3597">
        <v>7.0464269753358399</v>
      </c>
      <c r="AG3597">
        <v>-1.10728553873999</v>
      </c>
      <c r="AH3597">
        <v>12.563042445180001</v>
      </c>
      <c r="AI3597">
        <v>94.395806736570293</v>
      </c>
      <c r="AJ3597">
        <v>60.712569807375701</v>
      </c>
      <c r="AK3597">
        <v>14.446738381463</v>
      </c>
      <c r="AL3597">
        <v>87.502646544801493</v>
      </c>
      <c r="AM3597">
        <v>74.525402933367701</v>
      </c>
      <c r="AN3597">
        <v>0.99999999169781795</v>
      </c>
    </row>
    <row r="3598" spans="1:40" x14ac:dyDescent="0.25">
      <c r="A3598" t="str">
        <f>"20190305135901985"</f>
        <v>20190305135901985</v>
      </c>
      <c r="B3598" t="str">
        <f>"1551765541972617"</f>
        <v>1551765541972617</v>
      </c>
      <c r="C3598" t="s">
        <v>40</v>
      </c>
      <c r="D3598">
        <v>4.2451730000000003</v>
      </c>
      <c r="E3598">
        <v>0.58899309999999905</v>
      </c>
      <c r="F3598" t="s">
        <v>79</v>
      </c>
      <c r="G3598">
        <v>-197.22370000000001</v>
      </c>
      <c r="H3598" s="1">
        <v>-1.4473200000000001E-5</v>
      </c>
      <c r="I3598">
        <v>157.6121</v>
      </c>
      <c r="J3598">
        <v>-188.61539999999999</v>
      </c>
      <c r="K3598">
        <v>1.1072360000000001</v>
      </c>
      <c r="L3598">
        <v>169.4546</v>
      </c>
      <c r="M3598">
        <v>-0.1139936</v>
      </c>
      <c r="N3598">
        <v>-1.3355280000000001E-2</v>
      </c>
      <c r="O3598">
        <v>-0.99339189999999999</v>
      </c>
      <c r="P3598">
        <v>-0.3803569</v>
      </c>
      <c r="Q3598">
        <v>3.2392650000000002E-2</v>
      </c>
      <c r="R3598">
        <v>-0.92427239999999999</v>
      </c>
      <c r="S3598">
        <v>-1.80661</v>
      </c>
      <c r="T3598">
        <v>-0.23174620000000001</v>
      </c>
      <c r="U3598">
        <v>-2.5174560000000001</v>
      </c>
      <c r="V3598">
        <v>0.2727483</v>
      </c>
      <c r="W3598">
        <v>4.375093E-2</v>
      </c>
      <c r="X3598">
        <v>0.96109009999999995</v>
      </c>
      <c r="Y3598">
        <v>0.48519109999999999</v>
      </c>
      <c r="Z3598">
        <v>6.3459840000000003E-2</v>
      </c>
      <c r="AA3598">
        <v>0.8721023</v>
      </c>
      <c r="AB3598">
        <v>24</v>
      </c>
      <c r="AC3598">
        <v>-8.6083000000000105</v>
      </c>
      <c r="AD3598">
        <v>-1.1072504731999999</v>
      </c>
      <c r="AE3598">
        <v>-11.842499999999999</v>
      </c>
      <c r="AF3598">
        <v>7.1611277869268104</v>
      </c>
      <c r="AG3598">
        <v>-1.1072504731999999</v>
      </c>
      <c r="AH3598">
        <v>12.674176681432501</v>
      </c>
      <c r="AI3598">
        <v>94.349613790872695</v>
      </c>
      <c r="AJ3598">
        <v>60.532804826661298</v>
      </c>
      <c r="AK3598">
        <v>14.5994009926183</v>
      </c>
      <c r="AL3598">
        <v>87.492455909265402</v>
      </c>
      <c r="AM3598">
        <v>74.156558443445206</v>
      </c>
      <c r="AN3598">
        <v>0.99999997967338194</v>
      </c>
    </row>
    <row r="3599" spans="1:40" x14ac:dyDescent="0.25">
      <c r="A3599" t="str">
        <f>"20190305135901999"</f>
        <v>20190305135901999</v>
      </c>
      <c r="B3599" t="str">
        <f>"1551765541992137"</f>
        <v>1551765541992137</v>
      </c>
      <c r="C3599" t="s">
        <v>40</v>
      </c>
      <c r="D3599">
        <v>4.2170019999999999</v>
      </c>
      <c r="E3599">
        <v>0.58807180000000003</v>
      </c>
      <c r="F3599" t="s">
        <v>79</v>
      </c>
      <c r="G3599">
        <v>-197.3382</v>
      </c>
      <c r="H3599" s="1">
        <v>-1.444461E-5</v>
      </c>
      <c r="I3599">
        <v>157.4984</v>
      </c>
      <c r="J3599">
        <v>-188.6361</v>
      </c>
      <c r="K3599">
        <v>1.1072120000000001</v>
      </c>
      <c r="L3599">
        <v>169.29560000000001</v>
      </c>
      <c r="M3599">
        <v>-0.1162166</v>
      </c>
      <c r="N3599">
        <v>-1.335654E-2</v>
      </c>
      <c r="O3599">
        <v>-0.99313439999999997</v>
      </c>
      <c r="P3599">
        <v>-0.38528639999999997</v>
      </c>
      <c r="Q3599">
        <v>3.242958E-2</v>
      </c>
      <c r="R3599">
        <v>-0.92222760000000004</v>
      </c>
      <c r="S3599">
        <v>-1.82579</v>
      </c>
      <c r="T3599">
        <v>-0.2317631</v>
      </c>
      <c r="U3599">
        <v>-2.5025940000000002</v>
      </c>
      <c r="V3599">
        <v>0.27573219999999998</v>
      </c>
      <c r="W3599">
        <v>4.3743780000000003E-2</v>
      </c>
      <c r="X3599">
        <v>0.96023860000000005</v>
      </c>
      <c r="Y3599">
        <v>0.49004890000000001</v>
      </c>
      <c r="Z3599">
        <v>6.3549149999999999E-2</v>
      </c>
      <c r="AA3599">
        <v>0.86937540000000002</v>
      </c>
      <c r="AB3599">
        <v>24</v>
      </c>
      <c r="AC3599">
        <v>-8.7020999999999997</v>
      </c>
      <c r="AD3599">
        <v>-1.10722644461</v>
      </c>
      <c r="AE3599">
        <v>-11.7972</v>
      </c>
      <c r="AF3599">
        <v>7.2307214152033703</v>
      </c>
      <c r="AG3599">
        <v>-1.10722644461</v>
      </c>
      <c r="AH3599">
        <v>12.656463249124601</v>
      </c>
      <c r="AI3599">
        <v>94.343878598008402</v>
      </c>
      <c r="AJ3599">
        <v>60.260385732695198</v>
      </c>
      <c r="AK3599">
        <v>14.618322221115699</v>
      </c>
      <c r="AL3599">
        <v>87.492865934047799</v>
      </c>
      <c r="AM3599">
        <v>73.978598243825104</v>
      </c>
      <c r="AN3599">
        <v>0.99999996666774305</v>
      </c>
    </row>
    <row r="3600" spans="1:40" x14ac:dyDescent="0.25">
      <c r="A3600" t="str">
        <f>"20190305135902015"</f>
        <v>20190305135902015</v>
      </c>
      <c r="B3600" t="str">
        <f>"1551765542002872"</f>
        <v>1551765542002872</v>
      </c>
      <c r="C3600" t="s">
        <v>40</v>
      </c>
      <c r="D3600">
        <v>4.2468250000000003</v>
      </c>
      <c r="E3600">
        <v>0.58762139999999996</v>
      </c>
      <c r="F3600" t="s">
        <v>79</v>
      </c>
      <c r="G3600">
        <v>-197.44300000000001</v>
      </c>
      <c r="H3600" s="1">
        <v>-1.4394500000000001E-5</v>
      </c>
      <c r="I3600">
        <v>157.29929999999999</v>
      </c>
      <c r="J3600">
        <v>-188.65969999999999</v>
      </c>
      <c r="K3600">
        <v>1.1071879999999901</v>
      </c>
      <c r="L3600">
        <v>169.1182</v>
      </c>
      <c r="M3600">
        <v>-0.1187346</v>
      </c>
      <c r="N3600">
        <v>-1.335809E-2</v>
      </c>
      <c r="O3600">
        <v>-0.99283639999999995</v>
      </c>
      <c r="P3600">
        <v>-0.39029930000000002</v>
      </c>
      <c r="Q3600">
        <v>3.2284E-2</v>
      </c>
      <c r="R3600">
        <v>-0.920122</v>
      </c>
      <c r="S3600">
        <v>-1.8321529999999999</v>
      </c>
      <c r="T3600">
        <v>-0.23034260000000001</v>
      </c>
      <c r="U3600">
        <v>-2.4956670000000001</v>
      </c>
      <c r="V3600">
        <v>0.27852440000000001</v>
      </c>
      <c r="W3600">
        <v>4.35556E-2</v>
      </c>
      <c r="X3600">
        <v>0.95944099999999999</v>
      </c>
      <c r="Y3600">
        <v>0.49044539999999998</v>
      </c>
      <c r="Z3600">
        <v>6.3168600000000005E-2</v>
      </c>
      <c r="AA3600">
        <v>0.86917949999999999</v>
      </c>
      <c r="AB3600">
        <v>24</v>
      </c>
      <c r="AC3600">
        <v>-8.7832999999999899</v>
      </c>
      <c r="AD3600">
        <v>-1.10720239449999</v>
      </c>
      <c r="AE3600">
        <v>-11.818899999999999</v>
      </c>
      <c r="AF3600">
        <v>7.2765795569820799</v>
      </c>
      <c r="AG3600">
        <v>-1.10720239449999</v>
      </c>
      <c r="AH3600">
        <v>12.7064152505693</v>
      </c>
      <c r="AI3600">
        <v>94.324241617265997</v>
      </c>
      <c r="AJ3600">
        <v>60.201538427988702</v>
      </c>
      <c r="AK3600">
        <v>14.6842601349668</v>
      </c>
      <c r="AL3600">
        <v>87.503658178793401</v>
      </c>
      <c r="AM3600">
        <v>73.812059781546594</v>
      </c>
      <c r="AN3600">
        <v>0.99999998208385898</v>
      </c>
    </row>
    <row r="3601" spans="1:40" x14ac:dyDescent="0.25">
      <c r="A3601" t="str">
        <f>"20190305135902034"</f>
        <v>20190305135902034</v>
      </c>
      <c r="B3601" t="str">
        <f>"1551765542022394"</f>
        <v>1551765542022394</v>
      </c>
      <c r="C3601" t="s">
        <v>40</v>
      </c>
      <c r="D3601">
        <v>4.2262209999999998</v>
      </c>
      <c r="E3601">
        <v>0.58712219999999904</v>
      </c>
      <c r="F3601" t="s">
        <v>79</v>
      </c>
      <c r="G3601">
        <v>-197.45400000000001</v>
      </c>
      <c r="H3601" s="1">
        <v>-1.4381250000000001E-5</v>
      </c>
      <c r="I3601">
        <v>157.2466</v>
      </c>
      <c r="J3601">
        <v>-188.68459999999999</v>
      </c>
      <c r="K3601">
        <v>1.1071709999999999</v>
      </c>
      <c r="L3601">
        <v>168.93539999999999</v>
      </c>
      <c r="M3601">
        <v>-0.1213586</v>
      </c>
      <c r="N3601">
        <v>-1.335953E-2</v>
      </c>
      <c r="O3601">
        <v>-0.99251880000000003</v>
      </c>
      <c r="P3601">
        <v>-0.39749420000000002</v>
      </c>
      <c r="Q3601">
        <v>3.1926309999999999E-2</v>
      </c>
      <c r="R3601">
        <v>-0.91704949999999996</v>
      </c>
      <c r="S3601">
        <v>-1.842392</v>
      </c>
      <c r="T3601">
        <v>-0.23195859999999999</v>
      </c>
      <c r="U3601">
        <v>-2.4870909999999999</v>
      </c>
      <c r="V3601">
        <v>0.283501</v>
      </c>
      <c r="W3601">
        <v>4.3135439999999997E-2</v>
      </c>
      <c r="X3601">
        <v>0.95800129999999994</v>
      </c>
      <c r="Y3601">
        <v>0.49186099999999999</v>
      </c>
      <c r="Z3601">
        <v>6.3768740000000004E-2</v>
      </c>
      <c r="AA3601">
        <v>0.86833539999999998</v>
      </c>
      <c r="AB3601">
        <v>24</v>
      </c>
      <c r="AC3601">
        <v>-8.7694000000000099</v>
      </c>
      <c r="AD3601">
        <v>-1.1071853812500001</v>
      </c>
      <c r="AE3601">
        <v>-11.688799999999899</v>
      </c>
      <c r="AF3601">
        <v>7.24431933355147</v>
      </c>
      <c r="AG3601">
        <v>-1.1071853812500001</v>
      </c>
      <c r="AH3601">
        <v>12.594423069612199</v>
      </c>
      <c r="AI3601">
        <v>94.357733523086097</v>
      </c>
      <c r="AJ3601">
        <v>60.092462488954503</v>
      </c>
      <c r="AK3601">
        <v>14.571393705864301</v>
      </c>
      <c r="AL3601">
        <v>87.527754233144506</v>
      </c>
      <c r="AM3601">
        <v>73.514951831526204</v>
      </c>
      <c r="AN3601">
        <v>0.99999998699334103</v>
      </c>
    </row>
    <row r="3602" spans="1:40" x14ac:dyDescent="0.25">
      <c r="A3602" t="str">
        <f>"20190305135902054"</f>
        <v>20190305135902054</v>
      </c>
      <c r="B3602" t="str">
        <f>"1551765542042889"</f>
        <v>1551765542042889</v>
      </c>
      <c r="C3602" t="s">
        <v>40</v>
      </c>
      <c r="D3602">
        <v>4.258222</v>
      </c>
      <c r="E3602">
        <v>0.56437619999999999</v>
      </c>
      <c r="F3602" t="s">
        <v>79</v>
      </c>
      <c r="G3602">
        <v>-197.4485</v>
      </c>
      <c r="H3602" s="1">
        <v>-1.438546E-5</v>
      </c>
      <c r="I3602">
        <v>157.26339999999999</v>
      </c>
      <c r="J3602">
        <v>-188.71700000000001</v>
      </c>
      <c r="K3602">
        <v>1.1071470000000001</v>
      </c>
      <c r="L3602">
        <v>168.70249999999999</v>
      </c>
      <c r="M3602">
        <v>-0.12473620000000001</v>
      </c>
      <c r="N3602">
        <v>-1.3361140000000001E-2</v>
      </c>
      <c r="O3602">
        <v>-0.99210010000000004</v>
      </c>
      <c r="P3602">
        <v>-0.40418559999999998</v>
      </c>
      <c r="Q3602">
        <v>3.1857879999999998E-2</v>
      </c>
      <c r="R3602">
        <v>-0.91412230000000005</v>
      </c>
      <c r="S3602">
        <v>-1.8578030000000001</v>
      </c>
      <c r="T3602">
        <v>-0.23470469999999999</v>
      </c>
      <c r="U3602">
        <v>-2.4742739999999999</v>
      </c>
      <c r="V3602">
        <v>0.28724339999999998</v>
      </c>
      <c r="W3602">
        <v>4.301348E-2</v>
      </c>
      <c r="X3602">
        <v>0.95689139999999995</v>
      </c>
      <c r="Y3602">
        <v>0.49447190000000002</v>
      </c>
      <c r="Z3602">
        <v>6.4766969999999993E-2</v>
      </c>
      <c r="AA3602">
        <v>0.86677719999999903</v>
      </c>
      <c r="AB3602">
        <v>24</v>
      </c>
      <c r="AC3602">
        <v>-8.7314999999999792</v>
      </c>
      <c r="AD3602">
        <v>-1.10716138546</v>
      </c>
      <c r="AE3602">
        <v>-11.4390999999999</v>
      </c>
      <c r="AF3602">
        <v>7.1937166132593102</v>
      </c>
      <c r="AG3602">
        <v>-1.10716138546</v>
      </c>
      <c r="AH3602">
        <v>12.3657804564311</v>
      </c>
      <c r="AI3602">
        <v>94.425374725521905</v>
      </c>
      <c r="AJ3602">
        <v>59.811559364855</v>
      </c>
      <c r="AK3602">
        <v>14.3487940727432</v>
      </c>
      <c r="AL3602">
        <v>87.534748651003198</v>
      </c>
      <c r="AM3602">
        <v>73.291089142363802</v>
      </c>
      <c r="AN3602">
        <v>1.0000000408496099</v>
      </c>
    </row>
    <row r="3603" spans="1:40" x14ac:dyDescent="0.25">
      <c r="A3603" t="str">
        <f>"20190305135902076"</f>
        <v>20190305135902076</v>
      </c>
      <c r="B3603" t="str">
        <f>"1551765542072677"</f>
        <v>1551765542072677</v>
      </c>
      <c r="C3603" t="s">
        <v>40</v>
      </c>
      <c r="D3603">
        <v>4.2328299999999999</v>
      </c>
      <c r="E3603">
        <v>0.56395130000000004</v>
      </c>
      <c r="F3603" t="s">
        <v>79</v>
      </c>
      <c r="G3603">
        <v>-196.6746</v>
      </c>
      <c r="H3603" s="1">
        <v>-1.4295579999999999E-5</v>
      </c>
      <c r="I3603">
        <v>156.90620000000001</v>
      </c>
      <c r="J3603">
        <v>-188.75020000000001</v>
      </c>
      <c r="K3603">
        <v>1.107132</v>
      </c>
      <c r="L3603">
        <v>168.46979999999999</v>
      </c>
      <c r="M3603">
        <v>-0.12814500000000001</v>
      </c>
      <c r="N3603">
        <v>-1.3362479999999999E-2</v>
      </c>
      <c r="O3603">
        <v>-0.99166540000000003</v>
      </c>
      <c r="P3603">
        <v>-0.4089739</v>
      </c>
      <c r="Q3603">
        <v>3.1626889999999998E-2</v>
      </c>
      <c r="R3603">
        <v>-0.91199790000000003</v>
      </c>
      <c r="S3603">
        <v>-1.709579</v>
      </c>
      <c r="T3603">
        <v>-0.23785690000000001</v>
      </c>
      <c r="U3603">
        <v>-2.5342560000000001</v>
      </c>
      <c r="V3603">
        <v>0.28897319999999999</v>
      </c>
      <c r="W3603">
        <v>4.275193E-2</v>
      </c>
      <c r="X3603">
        <v>0.95638210000000001</v>
      </c>
      <c r="Y3603">
        <v>0.44690649999999998</v>
      </c>
      <c r="Z3603">
        <v>6.6470959999999996E-2</v>
      </c>
      <c r="AA3603">
        <v>0.89210769999999995</v>
      </c>
      <c r="AB3603">
        <v>24</v>
      </c>
      <c r="AC3603">
        <v>-7.9243999999999897</v>
      </c>
      <c r="AD3603">
        <v>-1.10714629558</v>
      </c>
      <c r="AE3603">
        <v>-11.5635999999999</v>
      </c>
      <c r="AF3603">
        <v>6.3375738842059404</v>
      </c>
      <c r="AG3603">
        <v>-1.10714629558</v>
      </c>
      <c r="AH3603">
        <v>12.40642253683</v>
      </c>
      <c r="AI3603">
        <v>94.543816653582695</v>
      </c>
      <c r="AJ3603">
        <v>62.940687743709397</v>
      </c>
      <c r="AK3603">
        <v>13.975333120178201</v>
      </c>
      <c r="AL3603">
        <v>87.549748009038794</v>
      </c>
      <c r="AM3603">
        <v>73.1876792125544</v>
      </c>
      <c r="AN3603">
        <v>0.99999997951868702</v>
      </c>
    </row>
    <row r="3604" spans="1:40" x14ac:dyDescent="0.25">
      <c r="A3604" t="str">
        <f>"20190305135902098"</f>
        <v>20190305135902098</v>
      </c>
      <c r="B3604" t="str">
        <f>"1551765542092195"</f>
        <v>1551765542092195</v>
      </c>
      <c r="C3604" t="s">
        <v>40</v>
      </c>
      <c r="D3604">
        <v>4.2111789999999996</v>
      </c>
      <c r="E3604">
        <v>0.56417269999999997</v>
      </c>
      <c r="F3604" t="s">
        <v>79</v>
      </c>
      <c r="G3604">
        <v>-196.35230000000001</v>
      </c>
      <c r="H3604" s="1">
        <v>-1.439591E-5</v>
      </c>
      <c r="I3604">
        <v>157.3049</v>
      </c>
      <c r="J3604">
        <v>-188.7834</v>
      </c>
      <c r="K3604">
        <v>1.107111</v>
      </c>
      <c r="L3604">
        <v>168.24279999999999</v>
      </c>
      <c r="M3604">
        <v>-0.1314951</v>
      </c>
      <c r="N3604">
        <v>-1.336348E-2</v>
      </c>
      <c r="O3604">
        <v>-0.99122699999999997</v>
      </c>
      <c r="P3604">
        <v>-0.41275489999999998</v>
      </c>
      <c r="Q3604">
        <v>3.1960240000000001E-2</v>
      </c>
      <c r="R3604">
        <v>-0.91028169999999997</v>
      </c>
      <c r="S3604">
        <v>-1.720383</v>
      </c>
      <c r="T3604">
        <v>-0.25055240000000001</v>
      </c>
      <c r="U3604">
        <v>-2.526688</v>
      </c>
      <c r="V3604">
        <v>0.28971560000000002</v>
      </c>
      <c r="W3604">
        <v>4.3069690000000001E-2</v>
      </c>
      <c r="X3604">
        <v>0.95614330000000003</v>
      </c>
      <c r="Y3604">
        <v>0.44755879999999998</v>
      </c>
      <c r="Z3604">
        <v>7.07348E-2</v>
      </c>
      <c r="AA3604">
        <v>0.89145260000000004</v>
      </c>
      <c r="AB3604">
        <v>24</v>
      </c>
      <c r="AC3604">
        <v>-7.56890000000001</v>
      </c>
      <c r="AD3604">
        <v>-1.10712539591</v>
      </c>
      <c r="AE3604">
        <v>-10.9378999999999</v>
      </c>
      <c r="AF3604">
        <v>6.0230307833335104</v>
      </c>
      <c r="AG3604">
        <v>-1.10712539591</v>
      </c>
      <c r="AH3604">
        <v>11.7568189740922</v>
      </c>
      <c r="AI3604">
        <v>94.790803218775693</v>
      </c>
      <c r="AJ3604">
        <v>62.873888594761603</v>
      </c>
      <c r="AK3604">
        <v>13.256146455468301</v>
      </c>
      <c r="AL3604">
        <v>87.531525136576406</v>
      </c>
      <c r="AM3604">
        <v>73.142962032360899</v>
      </c>
      <c r="AN3604">
        <v>1.0000000686074699</v>
      </c>
    </row>
    <row r="3605" spans="1:40" x14ac:dyDescent="0.25">
      <c r="A3605" t="str">
        <f>"20190305135902121"</f>
        <v>20190305135902121</v>
      </c>
      <c r="B3605" t="str">
        <f>"1551765542112692"</f>
        <v>1551765542112692</v>
      </c>
      <c r="C3605" t="s">
        <v>40</v>
      </c>
      <c r="D3605">
        <v>4.2365059999999897</v>
      </c>
      <c r="E3605">
        <v>0.56378359999999905</v>
      </c>
      <c r="F3605" t="s">
        <v>79</v>
      </c>
      <c r="G3605">
        <v>-196.2705</v>
      </c>
      <c r="H3605" s="1">
        <v>-1.440936E-5</v>
      </c>
      <c r="I3605">
        <v>157.35839999999999</v>
      </c>
      <c r="J3605">
        <v>-188.82159999999999</v>
      </c>
      <c r="K3605">
        <v>1.1071040000000001</v>
      </c>
      <c r="L3605">
        <v>167.98859999999999</v>
      </c>
      <c r="M3605">
        <v>-0.1352631</v>
      </c>
      <c r="N3605">
        <v>-1.335884E-2</v>
      </c>
      <c r="O3605">
        <v>-0.99071989999999999</v>
      </c>
      <c r="P3605">
        <v>-0.41635090000000002</v>
      </c>
      <c r="Q3605">
        <v>3.2036269999999999E-2</v>
      </c>
      <c r="R3605">
        <v>-0.90864</v>
      </c>
      <c r="S3605">
        <v>-1.73274199999999</v>
      </c>
      <c r="T3605">
        <v>-0.2562237</v>
      </c>
      <c r="U3605">
        <v>-2.519012</v>
      </c>
      <c r="V3605">
        <v>0.28986200000000001</v>
      </c>
      <c r="W3605">
        <v>4.313591E-2</v>
      </c>
      <c r="X3605">
        <v>0.9560959</v>
      </c>
      <c r="Y3605">
        <v>0.4483162</v>
      </c>
      <c r="Z3605">
        <v>7.2657949999999999E-2</v>
      </c>
      <c r="AA3605">
        <v>0.89091719999999897</v>
      </c>
      <c r="AB3605">
        <v>24</v>
      </c>
      <c r="AC3605">
        <v>-7.4489000000000001</v>
      </c>
      <c r="AD3605">
        <v>-1.1071184093599999</v>
      </c>
      <c r="AE3605">
        <v>-10.6302</v>
      </c>
      <c r="AF3605">
        <v>5.8995107168825296</v>
      </c>
      <c r="AG3605">
        <v>-1.1071184093599999</v>
      </c>
      <c r="AH3605">
        <v>11.456793071600501</v>
      </c>
      <c r="AI3605">
        <v>94.910390425591999</v>
      </c>
      <c r="AJ3605">
        <v>62.754448602030799</v>
      </c>
      <c r="AK3605">
        <v>12.9339879911971</v>
      </c>
      <c r="AL3605">
        <v>87.527727380200602</v>
      </c>
      <c r="AM3605">
        <v>73.1341385974888</v>
      </c>
      <c r="AN3605">
        <v>1.00000002788616</v>
      </c>
    </row>
    <row r="3606" spans="1:40" x14ac:dyDescent="0.25">
      <c r="A3606" t="str">
        <f>"20190305135902143"</f>
        <v>20190305135902143</v>
      </c>
      <c r="B3606" t="str">
        <f>"1551765542132211"</f>
        <v>1551765542132211</v>
      </c>
      <c r="C3606" t="s">
        <v>40</v>
      </c>
      <c r="D3606">
        <v>4.204618</v>
      </c>
      <c r="E3606">
        <v>0.56291610000000003</v>
      </c>
      <c r="F3606" t="s">
        <v>79</v>
      </c>
      <c r="G3606">
        <v>-196.15280000000001</v>
      </c>
      <c r="H3606" s="1">
        <v>-1.4419179999999999E-5</v>
      </c>
      <c r="I3606">
        <v>157.3974</v>
      </c>
      <c r="J3606">
        <v>-188.8596</v>
      </c>
      <c r="K3606">
        <v>1.107094</v>
      </c>
      <c r="L3606">
        <v>167.74189999999999</v>
      </c>
      <c r="M3606">
        <v>-0.13893050000000001</v>
      </c>
      <c r="N3606">
        <v>-1.332797E-2</v>
      </c>
      <c r="O3606">
        <v>-0.9902126</v>
      </c>
      <c r="P3606">
        <v>-0.4194639</v>
      </c>
      <c r="Q3606">
        <v>3.1204989999999998E-2</v>
      </c>
      <c r="R3606">
        <v>-0.90723569999999998</v>
      </c>
      <c r="S3606">
        <v>-1.7399290000000001</v>
      </c>
      <c r="T3606">
        <v>-0.26275359999999998</v>
      </c>
      <c r="U3606">
        <v>-2.5136409999999998</v>
      </c>
      <c r="V3606">
        <v>0.28959099999999999</v>
      </c>
      <c r="W3606">
        <v>4.2277919999999997E-2</v>
      </c>
      <c r="X3606">
        <v>0.95621630000000002</v>
      </c>
      <c r="Y3606">
        <v>0.447523</v>
      </c>
      <c r="Z3606">
        <v>7.4904120000000005E-2</v>
      </c>
      <c r="AA3606">
        <v>0.89112999999999998</v>
      </c>
      <c r="AB3606">
        <v>24</v>
      </c>
      <c r="AC3606">
        <v>-7.2932000000000103</v>
      </c>
      <c r="AD3606">
        <v>-1.10710841918</v>
      </c>
      <c r="AE3606">
        <v>-10.344499999999901</v>
      </c>
      <c r="AF3606">
        <v>5.7412385940208699</v>
      </c>
      <c r="AG3606">
        <v>-1.10710841918</v>
      </c>
      <c r="AH3606">
        <v>11.172022951387801</v>
      </c>
      <c r="AI3606">
        <v>95.036995755250501</v>
      </c>
      <c r="AJ3606">
        <v>62.801628086914299</v>
      </c>
      <c r="AK3606">
        <v>12.609583913501201</v>
      </c>
      <c r="AL3606">
        <v>87.576931388683207</v>
      </c>
      <c r="AM3606">
        <v>73.151014417894501</v>
      </c>
      <c r="AN3606">
        <v>0.999999991093108</v>
      </c>
    </row>
    <row r="3607" spans="1:40" x14ac:dyDescent="0.25">
      <c r="A3607" t="str">
        <f>"20190305135902165"</f>
        <v>20190305135902165</v>
      </c>
      <c r="B3607" t="str">
        <f>"1551765542162976"</f>
        <v>1551765542162976</v>
      </c>
      <c r="C3607" t="s">
        <v>40</v>
      </c>
      <c r="D3607">
        <v>4.1717760000000004</v>
      </c>
      <c r="E3607">
        <v>0.56276019999999904</v>
      </c>
      <c r="F3607" t="s">
        <v>79</v>
      </c>
      <c r="G3607">
        <v>-196.0522</v>
      </c>
      <c r="H3607" s="1">
        <v>-1.44141E-5</v>
      </c>
      <c r="I3607">
        <v>157.37719999999999</v>
      </c>
      <c r="J3607">
        <v>-188.89490000000001</v>
      </c>
      <c r="K3607">
        <v>1.1070770000000001</v>
      </c>
      <c r="L3607">
        <v>167.518</v>
      </c>
      <c r="M3607">
        <v>-0.142258</v>
      </c>
      <c r="N3607">
        <v>-1.328258E-2</v>
      </c>
      <c r="O3607">
        <v>-0.98974070000000003</v>
      </c>
      <c r="P3607">
        <v>-0.42227399999999998</v>
      </c>
      <c r="Q3607">
        <v>3.097484E-2</v>
      </c>
      <c r="R3607">
        <v>-0.90593889999999999</v>
      </c>
      <c r="S3607">
        <v>-1.742157</v>
      </c>
      <c r="T3607">
        <v>-0.26815939999999999</v>
      </c>
      <c r="U3607">
        <v>-2.5104980000000001</v>
      </c>
      <c r="V3607">
        <v>0.28933769999999998</v>
      </c>
      <c r="W3607">
        <v>4.2009690000000002E-2</v>
      </c>
      <c r="X3607">
        <v>0.95630479999999995</v>
      </c>
      <c r="Y3607">
        <v>0.44548989999999999</v>
      </c>
      <c r="Z3607">
        <v>7.680418E-2</v>
      </c>
      <c r="AA3607">
        <v>0.89198650000000002</v>
      </c>
      <c r="AB3607">
        <v>24</v>
      </c>
      <c r="AC3607">
        <v>-7.1572999999999896</v>
      </c>
      <c r="AD3607">
        <v>-1.1070914140999999</v>
      </c>
      <c r="AE3607">
        <v>-10.1408</v>
      </c>
      <c r="AF3607">
        <v>5.5972287684681898</v>
      </c>
      <c r="AG3607">
        <v>-1.1070914140999999</v>
      </c>
      <c r="AH3607">
        <v>10.968657171358</v>
      </c>
      <c r="AI3607">
        <v>95.137272930511301</v>
      </c>
      <c r="AJ3607">
        <v>62.965098355267003</v>
      </c>
      <c r="AK3607">
        <v>12.363901545569099</v>
      </c>
      <c r="AL3607">
        <v>87.592313510410605</v>
      </c>
      <c r="AM3607">
        <v>73.1663877325947</v>
      </c>
      <c r="AN3607">
        <v>0.99999999459911204</v>
      </c>
    </row>
    <row r="3608" spans="1:40" x14ac:dyDescent="0.25">
      <c r="A3608" t="str">
        <f>"20190305135902180"</f>
        <v>20190305135902180</v>
      </c>
      <c r="B3608" t="str">
        <f>"1551765542172737"</f>
        <v>1551765542172737</v>
      </c>
      <c r="C3608" t="s">
        <v>40</v>
      </c>
      <c r="D3608">
        <v>4.2618029999999996</v>
      </c>
      <c r="E3608">
        <v>0.56279619999999997</v>
      </c>
      <c r="F3608" t="s">
        <v>79</v>
      </c>
      <c r="G3608">
        <v>-196.12960000000001</v>
      </c>
      <c r="H3608" s="1">
        <v>-1.4356359999999999E-5</v>
      </c>
      <c r="I3608">
        <v>157.14769999999999</v>
      </c>
      <c r="J3608">
        <v>-188.92269999999999</v>
      </c>
      <c r="K3608">
        <v>1.1070679999999999</v>
      </c>
      <c r="L3608">
        <v>167.34450000000001</v>
      </c>
      <c r="M3608">
        <v>-0.14483740000000001</v>
      </c>
      <c r="N3608">
        <v>-1.322281E-2</v>
      </c>
      <c r="O3608">
        <v>-0.9893672</v>
      </c>
      <c r="P3608">
        <v>-0.42493229999999999</v>
      </c>
      <c r="Q3608">
        <v>3.1072280000000001E-2</v>
      </c>
      <c r="R3608">
        <v>-0.90469189999999999</v>
      </c>
      <c r="S3608">
        <v>-1.748138</v>
      </c>
      <c r="T3608">
        <v>-0.267509</v>
      </c>
      <c r="U3608">
        <v>-2.505798</v>
      </c>
      <c r="V3608">
        <v>0.28965350000000001</v>
      </c>
      <c r="W3608">
        <v>4.2049709999999997E-2</v>
      </c>
      <c r="X3608">
        <v>0.95620749999999999</v>
      </c>
      <c r="Y3608">
        <v>0.44538230000000001</v>
      </c>
      <c r="Z3608">
        <v>7.6690839999999996E-2</v>
      </c>
      <c r="AA3608">
        <v>0.89205000000000001</v>
      </c>
      <c r="AB3608">
        <v>24</v>
      </c>
      <c r="AC3608">
        <v>-7.2069000000000099</v>
      </c>
      <c r="AD3608">
        <v>-1.1070823563600001</v>
      </c>
      <c r="AE3608">
        <v>-10.1968</v>
      </c>
      <c r="AF3608">
        <v>5.60978808491409</v>
      </c>
      <c r="AG3608">
        <v>-1.1070823563600001</v>
      </c>
      <c r="AH3608">
        <v>11.0463458501379</v>
      </c>
      <c r="AI3608">
        <v>95.106325060294594</v>
      </c>
      <c r="AJ3608">
        <v>63.076669098099998</v>
      </c>
      <c r="AK3608">
        <v>12.438533287420499</v>
      </c>
      <c r="AL3608">
        <v>87.590018652481106</v>
      </c>
      <c r="AM3608">
        <v>73.147437849631302</v>
      </c>
      <c r="AN3608">
        <v>1.0000000556147901</v>
      </c>
    </row>
    <row r="3609" spans="1:40" x14ac:dyDescent="0.25">
      <c r="A3609" t="str">
        <f>"20190305135902200"</f>
        <v>20190305135902200</v>
      </c>
      <c r="B3609" t="str">
        <f>"1551765542192256"</f>
        <v>1551765542192256</v>
      </c>
      <c r="C3609" t="s">
        <v>40</v>
      </c>
      <c r="D3609">
        <v>4.2267609999999998</v>
      </c>
      <c r="E3609">
        <v>0.56307569999999996</v>
      </c>
      <c r="F3609" t="s">
        <v>79</v>
      </c>
      <c r="G3609">
        <v>-196.27770000000001</v>
      </c>
      <c r="H3609" s="1">
        <v>-1.428542E-5</v>
      </c>
      <c r="I3609">
        <v>156.86580000000001</v>
      </c>
      <c r="J3609">
        <v>-188.9546</v>
      </c>
      <c r="K3609">
        <v>1.107057</v>
      </c>
      <c r="L3609">
        <v>167.14930000000001</v>
      </c>
      <c r="M3609">
        <v>-0.14773989999999901</v>
      </c>
      <c r="N3609">
        <v>-1.311525E-2</v>
      </c>
      <c r="O3609">
        <v>-0.98893960000000003</v>
      </c>
      <c r="P3609">
        <v>-0.42763689999999999</v>
      </c>
      <c r="Q3609">
        <v>3.1732339999999998E-2</v>
      </c>
      <c r="R3609">
        <v>-0.90339400000000003</v>
      </c>
      <c r="S3609">
        <v>-1.7552190000000001</v>
      </c>
      <c r="T3609">
        <v>-0.26419749999999997</v>
      </c>
      <c r="U3609">
        <v>-2.5006870000000001</v>
      </c>
      <c r="V3609">
        <v>0.28971469999999999</v>
      </c>
      <c r="W3609">
        <v>4.2609010000000003E-2</v>
      </c>
      <c r="X3609">
        <v>0.95616409999999996</v>
      </c>
      <c r="Y3609">
        <v>0.44535439999999998</v>
      </c>
      <c r="Z3609">
        <v>7.5734969999999999E-2</v>
      </c>
      <c r="AA3609">
        <v>0.89214559999999998</v>
      </c>
      <c r="AB3609">
        <v>24</v>
      </c>
      <c r="AC3609">
        <v>-7.3231000000000099</v>
      </c>
      <c r="AD3609">
        <v>-1.10707128542</v>
      </c>
      <c r="AE3609">
        <v>-10.2835</v>
      </c>
      <c r="AF3609">
        <v>5.6796348115365696</v>
      </c>
      <c r="AG3609">
        <v>-1.10707128542</v>
      </c>
      <c r="AH3609">
        <v>11.16676712175</v>
      </c>
      <c r="AI3609">
        <v>95.049915524296495</v>
      </c>
      <c r="AJ3609">
        <v>63.0412265974836</v>
      </c>
      <c r="AK3609">
        <v>12.576984788685101</v>
      </c>
      <c r="AL3609">
        <v>87.557944144441606</v>
      </c>
      <c r="AM3609">
        <v>73.143357331713503</v>
      </c>
      <c r="AN3609">
        <v>0.99999996062903895</v>
      </c>
    </row>
    <row r="3610" spans="1:40" x14ac:dyDescent="0.25">
      <c r="A3610" t="str">
        <f>"20190305135902222"</f>
        <v>20190305135902222</v>
      </c>
      <c r="B3610" t="str">
        <f>"1551765542212752"</f>
        <v>1551765542212752</v>
      </c>
      <c r="C3610" t="s">
        <v>40</v>
      </c>
      <c r="D3610">
        <v>4.1036809999999999</v>
      </c>
      <c r="E3610">
        <v>0.56344899999999998</v>
      </c>
      <c r="F3610" t="s">
        <v>79</v>
      </c>
      <c r="G3610">
        <v>-196.33629999999999</v>
      </c>
      <c r="H3610" s="1">
        <v>-1.4247720000000001E-5</v>
      </c>
      <c r="I3610">
        <v>156.7159</v>
      </c>
      <c r="J3610">
        <v>-188.9956</v>
      </c>
      <c r="K3610">
        <v>1.10703</v>
      </c>
      <c r="L3610">
        <v>166.90379999999999</v>
      </c>
      <c r="M3610">
        <v>-0.15138480000000001</v>
      </c>
      <c r="N3610">
        <v>-1.2940800000000001E-2</v>
      </c>
      <c r="O3610">
        <v>-0.98839030000000005</v>
      </c>
      <c r="P3610">
        <v>-0.43152889999999999</v>
      </c>
      <c r="Q3610">
        <v>3.2053360000000003E-2</v>
      </c>
      <c r="R3610">
        <v>-0.90152969999999999</v>
      </c>
      <c r="S3610">
        <v>-1.7649840000000001</v>
      </c>
      <c r="T3610">
        <v>-0.26470329999999997</v>
      </c>
      <c r="U3610">
        <v>-2.4946440000000001</v>
      </c>
      <c r="V3610">
        <v>0.29031580000000001</v>
      </c>
      <c r="W3610">
        <v>4.2760989999999999E-2</v>
      </c>
      <c r="X3610">
        <v>0.95597500000000002</v>
      </c>
      <c r="Y3610">
        <v>0.4453916</v>
      </c>
      <c r="Z3610">
        <v>7.6094250000000002E-2</v>
      </c>
      <c r="AA3610">
        <v>0.89209640000000001</v>
      </c>
      <c r="AB3610">
        <v>24</v>
      </c>
      <c r="AC3610">
        <v>-7.3406999999999902</v>
      </c>
      <c r="AD3610">
        <v>-1.10704424772</v>
      </c>
      <c r="AE3610">
        <v>-10.1878999999999</v>
      </c>
      <c r="AF3610">
        <v>5.6695949110543804</v>
      </c>
      <c r="AG3610">
        <v>-1.10704424772</v>
      </c>
      <c r="AH3610">
        <v>11.095587662364901</v>
      </c>
      <c r="AI3610">
        <v>95.077197475490095</v>
      </c>
      <c r="AJ3610">
        <v>62.933992824486602</v>
      </c>
      <c r="AK3610">
        <v>12.509273320024899</v>
      </c>
      <c r="AL3610">
        <v>87.549228443425093</v>
      </c>
      <c r="AM3610">
        <v>73.107221772577404</v>
      </c>
      <c r="AN3610">
        <v>0.99999998331021001</v>
      </c>
    </row>
    <row r="3611" spans="1:40" x14ac:dyDescent="0.25">
      <c r="A3611" t="str">
        <f>"20190305135902243"</f>
        <v>20190305135902243</v>
      </c>
      <c r="B3611" t="str">
        <f>"1551765542232272"</f>
        <v>1551765542232272</v>
      </c>
      <c r="C3611" t="s">
        <v>40</v>
      </c>
      <c r="D3611">
        <v>4.0113379999999896</v>
      </c>
      <c r="E3611">
        <v>0.56382949999999998</v>
      </c>
      <c r="F3611" t="s">
        <v>79</v>
      </c>
      <c r="G3611">
        <v>-196.40190000000001</v>
      </c>
      <c r="H3611" s="1">
        <v>-1.420565E-5</v>
      </c>
      <c r="I3611">
        <v>156.5487</v>
      </c>
      <c r="J3611">
        <v>-189.03309999999999</v>
      </c>
      <c r="K3611">
        <v>1.107016</v>
      </c>
      <c r="L3611">
        <v>166.684</v>
      </c>
      <c r="M3611">
        <v>-0.1546457</v>
      </c>
      <c r="N3611">
        <v>-1.277207E-2</v>
      </c>
      <c r="O3611">
        <v>-0.98788770000000004</v>
      </c>
      <c r="P3611">
        <v>-0.43476930000000003</v>
      </c>
      <c r="Q3611">
        <v>3.2624939999999998E-2</v>
      </c>
      <c r="R3611">
        <v>-0.89995119999999895</v>
      </c>
      <c r="S3611">
        <v>-1.7780910000000001</v>
      </c>
      <c r="T3611">
        <v>-0.2657776</v>
      </c>
      <c r="U3611">
        <v>-2.4860380000000002</v>
      </c>
      <c r="V3611">
        <v>0.29060530000000001</v>
      </c>
      <c r="W3611">
        <v>4.3173070000000001E-2</v>
      </c>
      <c r="X3611">
        <v>0.95586850000000001</v>
      </c>
      <c r="Y3611">
        <v>0.44699050000000001</v>
      </c>
      <c r="Z3611">
        <v>7.664783E-2</v>
      </c>
      <c r="AA3611">
        <v>0.89124890000000001</v>
      </c>
      <c r="AB3611">
        <v>24</v>
      </c>
      <c r="AC3611">
        <v>-7.3688000000000198</v>
      </c>
      <c r="AD3611">
        <v>-1.1070302056499901</v>
      </c>
      <c r="AE3611">
        <v>-10.135300000000001</v>
      </c>
      <c r="AF3611">
        <v>5.6683908866618102</v>
      </c>
      <c r="AG3611">
        <v>-1.1070302056499901</v>
      </c>
      <c r="AH3611">
        <v>11.0666269044243</v>
      </c>
      <c r="AI3611">
        <v>95.087828815687701</v>
      </c>
      <c r="AJ3611">
        <v>62.878210298655702</v>
      </c>
      <c r="AK3611">
        <v>12.4830445870364</v>
      </c>
      <c r="AL3611">
        <v>87.525596144987503</v>
      </c>
      <c r="AM3611">
        <v>73.089560778619301</v>
      </c>
      <c r="AN3611">
        <v>0.99999997182678202</v>
      </c>
    </row>
    <row r="3612" spans="1:40" x14ac:dyDescent="0.25">
      <c r="A3612" t="str">
        <f>"20190305135902254"</f>
        <v>20190305135902254</v>
      </c>
      <c r="B3612" t="str">
        <f>"1551765542243008"</f>
        <v>1551765542243008</v>
      </c>
      <c r="C3612" t="s">
        <v>40</v>
      </c>
      <c r="D3612">
        <v>4.1071280000000003</v>
      </c>
      <c r="E3612">
        <v>0.56409860000000001</v>
      </c>
      <c r="F3612" t="s">
        <v>79</v>
      </c>
      <c r="G3612">
        <v>-196.68039999999999</v>
      </c>
      <c r="H3612" s="1">
        <v>-1.406134E-5</v>
      </c>
      <c r="I3612">
        <v>156.0909</v>
      </c>
      <c r="J3612">
        <v>-189.05520000000001</v>
      </c>
      <c r="K3612">
        <v>1.1070120000000001</v>
      </c>
      <c r="L3612">
        <v>166.55619999999999</v>
      </c>
      <c r="M3612">
        <v>-0.15654319999999999</v>
      </c>
      <c r="N3612">
        <v>-1.2667060000000001E-2</v>
      </c>
      <c r="O3612">
        <v>-0.98758999999999997</v>
      </c>
      <c r="P3612">
        <v>-0.4365598</v>
      </c>
      <c r="Q3612">
        <v>3.3337470000000001E-2</v>
      </c>
      <c r="R3612">
        <v>-0.89905740000000001</v>
      </c>
      <c r="S3612">
        <v>-1.7892760000000001</v>
      </c>
      <c r="T3612">
        <v>-0.25901679999999999</v>
      </c>
      <c r="U3612">
        <v>-2.4785159999999999</v>
      </c>
      <c r="V3612">
        <v>0.29067929999999997</v>
      </c>
      <c r="W3612">
        <v>4.3786659999999998E-2</v>
      </c>
      <c r="X3612">
        <v>0.9558181</v>
      </c>
      <c r="Y3612">
        <v>0.44930130000000001</v>
      </c>
      <c r="Z3612">
        <v>7.4534390000000006E-2</v>
      </c>
      <c r="AA3612">
        <v>0.89026559999999899</v>
      </c>
      <c r="AB3612">
        <v>24</v>
      </c>
      <c r="AC3612">
        <v>-7.6251999999999702</v>
      </c>
      <c r="AD3612">
        <v>-1.10702606134</v>
      </c>
      <c r="AE3612">
        <v>-10.4652999999999</v>
      </c>
      <c r="AF3612">
        <v>5.8500128502357303</v>
      </c>
      <c r="AG3612">
        <v>-1.10702606134</v>
      </c>
      <c r="AH3612">
        <v>11.4463587358066</v>
      </c>
      <c r="AI3612">
        <v>94.922098962696396</v>
      </c>
      <c r="AJ3612">
        <v>62.929302038903799</v>
      </c>
      <c r="AK3612">
        <v>12.9022201716288</v>
      </c>
      <c r="AL3612">
        <v>87.490406777326299</v>
      </c>
      <c r="AM3612">
        <v>73.084659554050404</v>
      </c>
      <c r="AN3612">
        <v>0.99999998366502696</v>
      </c>
    </row>
    <row r="3613" spans="1:40" x14ac:dyDescent="0.25">
      <c r="A3613" t="str">
        <f>"20190305135902267"</f>
        <v>20190305135902267</v>
      </c>
      <c r="B3613" t="str">
        <f>"1551765542263020"</f>
        <v>1551765542263020</v>
      </c>
      <c r="C3613" t="s">
        <v>40</v>
      </c>
      <c r="D3613">
        <v>4.138363</v>
      </c>
      <c r="E3613">
        <v>0.56311259999999996</v>
      </c>
      <c r="F3613" t="s">
        <v>79</v>
      </c>
      <c r="G3613">
        <v>-197.37819999999999</v>
      </c>
      <c r="H3613" s="1">
        <v>-1.36914299999999E-5</v>
      </c>
      <c r="I3613">
        <v>155.08439999999999</v>
      </c>
      <c r="J3613">
        <v>-189.078</v>
      </c>
      <c r="K3613">
        <v>1.1069960000000001</v>
      </c>
      <c r="L3613">
        <v>166.4263</v>
      </c>
      <c r="M3613">
        <v>-0.15847739999999999</v>
      </c>
      <c r="N3613">
        <v>-1.254858E-2</v>
      </c>
      <c r="O3613">
        <v>-0.98728289999999996</v>
      </c>
      <c r="P3613">
        <v>-0.43810260000000001</v>
      </c>
      <c r="Q3613">
        <v>3.4191760000000002E-2</v>
      </c>
      <c r="R3613">
        <v>-0.89827449999999998</v>
      </c>
      <c r="S3613">
        <v>-1.794983</v>
      </c>
      <c r="T3613">
        <v>-0.2387466</v>
      </c>
      <c r="U3613">
        <v>-2.474075</v>
      </c>
      <c r="V3613">
        <v>0.29045720000000003</v>
      </c>
      <c r="W3613">
        <v>4.4529800000000001E-2</v>
      </c>
      <c r="X3613">
        <v>0.95585129999999996</v>
      </c>
      <c r="Y3613">
        <v>0.44995289999999999</v>
      </c>
      <c r="Z3613">
        <v>6.7943219999999999E-2</v>
      </c>
      <c r="AA3613">
        <v>0.89046399999999903</v>
      </c>
      <c r="AB3613">
        <v>24</v>
      </c>
      <c r="AC3613">
        <v>-8.3001999999999896</v>
      </c>
      <c r="AD3613">
        <v>-1.1070096914299901</v>
      </c>
      <c r="AE3613">
        <v>-11.341900000000001</v>
      </c>
      <c r="AF3613">
        <v>6.3582680780831202</v>
      </c>
      <c r="AG3613">
        <v>-1.1070096914299901</v>
      </c>
      <c r="AH3613">
        <v>12.4368855702585</v>
      </c>
      <c r="AI3613">
        <v>94.531421773222604</v>
      </c>
      <c r="AJ3613">
        <v>62.921938128419903</v>
      </c>
      <c r="AK3613">
        <v>14.011751000406599</v>
      </c>
      <c r="AL3613">
        <v>87.447786452401601</v>
      </c>
      <c r="AM3613">
        <v>73.097400496896398</v>
      </c>
      <c r="AN3613">
        <v>0.99999999791578498</v>
      </c>
    </row>
    <row r="3614" spans="1:40" x14ac:dyDescent="0.25">
      <c r="A3614" t="str">
        <f>"20190305135902280"</f>
        <v>20190305135902280</v>
      </c>
      <c r="B3614" t="str">
        <f>"1551765542272777"</f>
        <v>1551765542272777</v>
      </c>
      <c r="C3614" t="s">
        <v>40</v>
      </c>
      <c r="D3614">
        <v>4.0966630000000004</v>
      </c>
      <c r="E3614">
        <v>0.56265589999999999</v>
      </c>
      <c r="F3614" t="s">
        <v>79</v>
      </c>
      <c r="G3614">
        <v>-198.02369999999999</v>
      </c>
      <c r="H3614" s="1">
        <v>-1.341072E-5</v>
      </c>
      <c r="I3614">
        <v>154.0712</v>
      </c>
      <c r="J3614">
        <v>-189.10470000000001</v>
      </c>
      <c r="K3614">
        <v>1.1069739999999999</v>
      </c>
      <c r="L3614">
        <v>166.2749</v>
      </c>
      <c r="M3614">
        <v>-0.1607364</v>
      </c>
      <c r="N3614">
        <v>-1.2397210000000001E-2</v>
      </c>
      <c r="O3614">
        <v>-0.98691949999999995</v>
      </c>
      <c r="P3614">
        <v>-0.43987749999999998</v>
      </c>
      <c r="Q3614">
        <v>3.485945E-2</v>
      </c>
      <c r="R3614">
        <v>-0.89738109999999904</v>
      </c>
      <c r="S3614">
        <v>-1.791595</v>
      </c>
      <c r="T3614">
        <v>-0.22170580000000001</v>
      </c>
      <c r="U3614">
        <v>-2.4744109999999999</v>
      </c>
      <c r="V3614">
        <v>0.290166799999999</v>
      </c>
      <c r="W3614">
        <v>4.5053790000000003E-2</v>
      </c>
      <c r="X3614">
        <v>0.95591499999999996</v>
      </c>
      <c r="Y3614">
        <v>0.44727990000000001</v>
      </c>
      <c r="Z3614">
        <v>6.2457550000000001E-2</v>
      </c>
      <c r="AA3614">
        <v>0.89221059999999996</v>
      </c>
      <c r="AB3614">
        <v>24</v>
      </c>
      <c r="AC3614">
        <v>-8.9189999999999792</v>
      </c>
      <c r="AD3614">
        <v>-1.10698741072</v>
      </c>
      <c r="AE3614">
        <v>-12.2036999999999</v>
      </c>
      <c r="AF3614">
        <v>6.8047853083764203</v>
      </c>
      <c r="AG3614">
        <v>-1.10698741072</v>
      </c>
      <c r="AH3614">
        <v>13.4068074690658</v>
      </c>
      <c r="AI3614">
        <v>94.210972744021106</v>
      </c>
      <c r="AJ3614">
        <v>63.089384142494403</v>
      </c>
      <c r="AK3614">
        <v>15.0755766302051</v>
      </c>
      <c r="AL3614">
        <v>87.417734012546504</v>
      </c>
      <c r="AM3614">
        <v>73.114398812521401</v>
      </c>
      <c r="AN3614">
        <v>1.0000000515203</v>
      </c>
    </row>
    <row r="3615" spans="1:40" x14ac:dyDescent="0.25">
      <c r="A3615" t="str">
        <f>"20190305135902298"</f>
        <v>20190305135902298</v>
      </c>
      <c r="B3615" t="str">
        <f>"1551765542292298"</f>
        <v>1551765542292298</v>
      </c>
      <c r="C3615" t="s">
        <v>40</v>
      </c>
      <c r="D3615">
        <v>4.1501939999999999</v>
      </c>
      <c r="E3615">
        <v>0.56200740000000005</v>
      </c>
      <c r="F3615" t="s">
        <v>79</v>
      </c>
      <c r="G3615">
        <v>-198.37370000000001</v>
      </c>
      <c r="H3615" s="1">
        <v>-1.329606E-5</v>
      </c>
      <c r="I3615">
        <v>153.49209999999999</v>
      </c>
      <c r="J3615">
        <v>-189.13849999999999</v>
      </c>
      <c r="K3615">
        <v>1.1069370000000001</v>
      </c>
      <c r="L3615">
        <v>166.08670000000001</v>
      </c>
      <c r="M3615">
        <v>-0.16356019999999999</v>
      </c>
      <c r="N3615">
        <v>-1.216806E-2</v>
      </c>
      <c r="O3615">
        <v>-0.98645839999999996</v>
      </c>
      <c r="P3615">
        <v>-0.44180350000000002</v>
      </c>
      <c r="Q3615">
        <v>3.5851099999999997E-2</v>
      </c>
      <c r="R3615">
        <v>-0.89639530000000001</v>
      </c>
      <c r="S3615">
        <v>-1.7928770000000001</v>
      </c>
      <c r="T3615">
        <v>-0.21412220000000001</v>
      </c>
      <c r="U3615">
        <v>-2.4725489999999999</v>
      </c>
      <c r="V3615">
        <v>0.28949560000000002</v>
      </c>
      <c r="W3615">
        <v>4.582547E-2</v>
      </c>
      <c r="X3615">
        <v>0.95608170000000003</v>
      </c>
      <c r="Y3615">
        <v>0.44543670000000002</v>
      </c>
      <c r="Z3615">
        <v>6.0177969999999997E-2</v>
      </c>
      <c r="AA3615">
        <v>0.89328869999999905</v>
      </c>
      <c r="AB3615">
        <v>24</v>
      </c>
      <c r="AC3615">
        <v>-9.2352000000000096</v>
      </c>
      <c r="AD3615">
        <v>-1.1069502960599999</v>
      </c>
      <c r="AE3615">
        <v>-12.5946</v>
      </c>
      <c r="AF3615">
        <v>7.0154433821706803</v>
      </c>
      <c r="AG3615">
        <v>-1.1069502960599999</v>
      </c>
      <c r="AH3615">
        <v>13.865932663348101</v>
      </c>
      <c r="AI3615">
        <v>94.074522519465901</v>
      </c>
      <c r="AJ3615">
        <v>63.162953576266702</v>
      </c>
      <c r="AK3615">
        <v>15.579020297531301</v>
      </c>
      <c r="AL3615">
        <v>87.373474014350407</v>
      </c>
      <c r="AM3615">
        <v>73.154013613306205</v>
      </c>
      <c r="AN3615">
        <v>0.99999994659748404</v>
      </c>
    </row>
    <row r="3616" spans="1:40" x14ac:dyDescent="0.25">
      <c r="A3616" t="str">
        <f>"20190305135902310"</f>
        <v>20190305135902310</v>
      </c>
      <c r="B3616" t="str">
        <f>"1551765542303035"</f>
        <v>1551765542303035</v>
      </c>
      <c r="C3616" t="s">
        <v>40</v>
      </c>
      <c r="D3616">
        <v>4.1023969999999998</v>
      </c>
      <c r="E3616">
        <v>0.56179820000000003</v>
      </c>
      <c r="F3616" t="s">
        <v>79</v>
      </c>
      <c r="G3616">
        <v>-198.95490000000001</v>
      </c>
      <c r="H3616" s="1">
        <v>-1.3112849999999999E-5</v>
      </c>
      <c r="I3616">
        <v>152.5591</v>
      </c>
      <c r="J3616">
        <v>-189.16380000000001</v>
      </c>
      <c r="K3616">
        <v>1.106897</v>
      </c>
      <c r="L3616">
        <v>165.9485</v>
      </c>
      <c r="M3616">
        <v>-0.16564949999999901</v>
      </c>
      <c r="N3616">
        <v>-1.1982049999999999E-2</v>
      </c>
      <c r="O3616">
        <v>-0.98611190000000004</v>
      </c>
      <c r="P3616">
        <v>-0.44347619999999999</v>
      </c>
      <c r="Q3616">
        <v>3.6490979999999999E-2</v>
      </c>
      <c r="R3616">
        <v>-0.89554339999999999</v>
      </c>
      <c r="S3616">
        <v>-1.793121</v>
      </c>
      <c r="T3616">
        <v>-0.20220279999999999</v>
      </c>
      <c r="U3616">
        <v>-2.4710540000000001</v>
      </c>
      <c r="V3616">
        <v>0.28926400000000002</v>
      </c>
      <c r="W3616">
        <v>4.6279889999999997E-2</v>
      </c>
      <c r="X3616">
        <v>0.95613000000000004</v>
      </c>
      <c r="Y3616">
        <v>0.4439979</v>
      </c>
      <c r="Z3616">
        <v>5.6409849999999997E-2</v>
      </c>
      <c r="AA3616">
        <v>0.8942504</v>
      </c>
      <c r="AB3616">
        <v>24</v>
      </c>
      <c r="AC3616">
        <v>-9.7911000000000001</v>
      </c>
      <c r="AD3616">
        <v>-1.1069101128500001</v>
      </c>
      <c r="AE3616">
        <v>-13.389399999999901</v>
      </c>
      <c r="AF3616">
        <v>7.40473226025816</v>
      </c>
      <c r="AG3616">
        <v>-1.1069101128500001</v>
      </c>
      <c r="AH3616">
        <v>14.7606701670534</v>
      </c>
      <c r="AI3616">
        <v>93.8347524976611</v>
      </c>
      <c r="AJ3616">
        <v>63.359237849783902</v>
      </c>
      <c r="AK3616">
        <v>16.550912168958401</v>
      </c>
      <c r="AL3616">
        <v>87.347410241457993</v>
      </c>
      <c r="AM3616">
        <v>73.167530347230993</v>
      </c>
      <c r="AN3616">
        <v>1.0000000334071999</v>
      </c>
    </row>
    <row r="3617" spans="1:40" x14ac:dyDescent="0.25">
      <c r="A3617" t="str">
        <f>"20190305135902323"</f>
        <v>20190305135902323</v>
      </c>
      <c r="B3617" t="str">
        <f>"1551765542312794"</f>
        <v>1551765542312794</v>
      </c>
      <c r="C3617" t="s">
        <v>40</v>
      </c>
      <c r="D3617">
        <v>4.1359879999999896</v>
      </c>
      <c r="E3617">
        <v>0.56162089999999998</v>
      </c>
      <c r="F3617" t="s">
        <v>79</v>
      </c>
      <c r="G3617">
        <v>-199.25290000000001</v>
      </c>
      <c r="H3617" s="1">
        <v>-1.30192899999999E-5</v>
      </c>
      <c r="I3617">
        <v>152.0822</v>
      </c>
      <c r="J3617">
        <v>-189.18819999999999</v>
      </c>
      <c r="K3617">
        <v>1.106857</v>
      </c>
      <c r="L3617">
        <v>165.8159</v>
      </c>
      <c r="M3617">
        <v>-0.16765769999999999</v>
      </c>
      <c r="N3617">
        <v>-1.180081E-2</v>
      </c>
      <c r="O3617">
        <v>-0.9857747</v>
      </c>
      <c r="P3617">
        <v>-0.44513710000000001</v>
      </c>
      <c r="Q3617">
        <v>3.6788059999999997E-2</v>
      </c>
      <c r="R3617">
        <v>-0.89470669999999897</v>
      </c>
      <c r="S3617">
        <v>-1.7960970000000001</v>
      </c>
      <c r="T3617">
        <v>-0.19705549999999999</v>
      </c>
      <c r="U3617">
        <v>-2.468521</v>
      </c>
      <c r="V3617">
        <v>0.2890952</v>
      </c>
      <c r="W3617">
        <v>4.6394680000000001E-2</v>
      </c>
      <c r="X3617">
        <v>0.95617540000000001</v>
      </c>
      <c r="Y3617">
        <v>0.44337260000000001</v>
      </c>
      <c r="Z3617">
        <v>5.4882489999999999E-2</v>
      </c>
      <c r="AA3617">
        <v>0.8946556</v>
      </c>
      <c r="AB3617">
        <v>24</v>
      </c>
      <c r="AC3617">
        <v>-10.0647</v>
      </c>
      <c r="AD3617">
        <v>-1.1068700192899901</v>
      </c>
      <c r="AE3617">
        <v>-13.733700000000001</v>
      </c>
      <c r="AF3617">
        <v>7.5874319320741899</v>
      </c>
      <c r="AG3617">
        <v>-1.1068700192899901</v>
      </c>
      <c r="AH3617">
        <v>15.162740563196399</v>
      </c>
      <c r="AI3617">
        <v>93.735091671385305</v>
      </c>
      <c r="AJ3617">
        <v>63.416627520268101</v>
      </c>
      <c r="AK3617">
        <v>16.991262047012999</v>
      </c>
      <c r="AL3617">
        <v>87.340825960359197</v>
      </c>
      <c r="AM3617">
        <v>73.177551543846405</v>
      </c>
      <c r="AN3617">
        <v>0.99999994828024896</v>
      </c>
    </row>
    <row r="3618" spans="1:40" x14ac:dyDescent="0.25">
      <c r="A3618" t="str">
        <f>"20190305135902335"</f>
        <v>20190305135902335</v>
      </c>
      <c r="B3618" t="str">
        <f>"1551765542322554"</f>
        <v>1551765542322554</v>
      </c>
      <c r="C3618" t="s">
        <v>40</v>
      </c>
      <c r="D3618">
        <v>4.1329359999999999</v>
      </c>
      <c r="E3618">
        <v>0.56153299999999995</v>
      </c>
      <c r="F3618" t="s">
        <v>79</v>
      </c>
      <c r="G3618">
        <v>-199.5728</v>
      </c>
      <c r="H3618" s="1">
        <v>-1.2922140000000001E-5</v>
      </c>
      <c r="I3618">
        <v>151.58330000000001</v>
      </c>
      <c r="J3618">
        <v>-189.21270000000001</v>
      </c>
      <c r="K3618">
        <v>1.106816</v>
      </c>
      <c r="L3618">
        <v>165.68450000000001</v>
      </c>
      <c r="M3618">
        <v>-0.169658</v>
      </c>
      <c r="N3618">
        <v>-1.161712E-2</v>
      </c>
      <c r="O3618">
        <v>-0.98543480000000006</v>
      </c>
      <c r="P3618">
        <v>-0.44667000000000001</v>
      </c>
      <c r="Q3618">
        <v>3.6992810000000001E-2</v>
      </c>
      <c r="R3618">
        <v>-0.89393419999999901</v>
      </c>
      <c r="S3618">
        <v>-1.7991330000000001</v>
      </c>
      <c r="T3618">
        <v>-0.19176589999999999</v>
      </c>
      <c r="U3618">
        <v>-2.4658199999999999</v>
      </c>
      <c r="V3618">
        <v>0.28879719999999998</v>
      </c>
      <c r="W3618">
        <v>4.6415159999999997E-2</v>
      </c>
      <c r="X3618">
        <v>0.95626449999999996</v>
      </c>
      <c r="Y3618">
        <v>0.44279760000000001</v>
      </c>
      <c r="Z3618">
        <v>5.3310580000000003E-2</v>
      </c>
      <c r="AA3618">
        <v>0.89503529999999998</v>
      </c>
      <c r="AB3618">
        <v>24</v>
      </c>
      <c r="AC3618">
        <v>-10.3600999999999</v>
      </c>
      <c r="AD3618">
        <v>-1.1068289221400001</v>
      </c>
      <c r="AE3618">
        <v>-14.1012</v>
      </c>
      <c r="AF3618">
        <v>7.7861929599820501</v>
      </c>
      <c r="AG3618">
        <v>-1.1068289221400001</v>
      </c>
      <c r="AH3618">
        <v>15.5921518500814</v>
      </c>
      <c r="AI3618">
        <v>93.633869083578503</v>
      </c>
      <c r="AJ3618">
        <v>63.4640093783118</v>
      </c>
      <c r="AK3618">
        <v>17.463249136084499</v>
      </c>
      <c r="AL3618">
        <v>87.339651393343104</v>
      </c>
      <c r="AM3618">
        <v>73.195391683889596</v>
      </c>
      <c r="AN3618">
        <v>0.99999999188295696</v>
      </c>
    </row>
    <row r="3619" spans="1:40" x14ac:dyDescent="0.25">
      <c r="A3619" t="str">
        <f>"20190305135902353"</f>
        <v>20190305135902353</v>
      </c>
      <c r="B3619" t="str">
        <f>"1551765542343050"</f>
        <v>1551765542343050</v>
      </c>
      <c r="C3619" t="s">
        <v>40</v>
      </c>
      <c r="D3619">
        <v>4.2491510000000003</v>
      </c>
      <c r="E3619">
        <v>0.56096259999999998</v>
      </c>
      <c r="F3619" t="s">
        <v>79</v>
      </c>
      <c r="G3619">
        <v>-199.8603</v>
      </c>
      <c r="H3619" s="1">
        <v>-1.2834119999999999E-5</v>
      </c>
      <c r="I3619">
        <v>151.13210000000001</v>
      </c>
      <c r="J3619">
        <v>-189.249</v>
      </c>
      <c r="K3619">
        <v>1.106749</v>
      </c>
      <c r="L3619">
        <v>165.49299999999999</v>
      </c>
      <c r="M3619">
        <v>-0.17260309999999901</v>
      </c>
      <c r="N3619">
        <v>-1.131995E-2</v>
      </c>
      <c r="O3619">
        <v>-0.98492639999999998</v>
      </c>
      <c r="P3619">
        <v>-0.44915270000000002</v>
      </c>
      <c r="Q3619">
        <v>3.7184979999999999E-2</v>
      </c>
      <c r="R3619">
        <v>-0.89268099999999995</v>
      </c>
      <c r="S3619">
        <v>-1.8022609999999999</v>
      </c>
      <c r="T3619">
        <v>-0.1873467</v>
      </c>
      <c r="U3619">
        <v>-2.4631959999999999</v>
      </c>
      <c r="V3619">
        <v>0.28860069999999999</v>
      </c>
      <c r="W3619">
        <v>4.630418E-2</v>
      </c>
      <c r="X3619">
        <v>0.95632919999999999</v>
      </c>
      <c r="Y3619">
        <v>0.44135839999999998</v>
      </c>
      <c r="Z3619">
        <v>5.213388E-2</v>
      </c>
      <c r="AA3619">
        <v>0.89581509999999998</v>
      </c>
      <c r="AB3619">
        <v>24</v>
      </c>
      <c r="AC3619">
        <v>-10.6112999999999</v>
      </c>
      <c r="AD3619">
        <v>-1.1067618341200001</v>
      </c>
      <c r="AE3619">
        <v>-14.3608999999999</v>
      </c>
      <c r="AF3619">
        <v>7.9426101285958897</v>
      </c>
      <c r="AG3619">
        <v>-1.1067618341200001</v>
      </c>
      <c r="AH3619">
        <v>15.9158500656204</v>
      </c>
      <c r="AI3619">
        <v>93.560405902937106</v>
      </c>
      <c r="AJ3619">
        <v>63.4790717352207</v>
      </c>
      <c r="AK3619">
        <v>17.822016180097201</v>
      </c>
      <c r="AL3619">
        <v>87.346016918011102</v>
      </c>
      <c r="AM3619">
        <v>73.207253980055498</v>
      </c>
      <c r="AN3619">
        <v>0.99999998994930095</v>
      </c>
    </row>
    <row r="3620" spans="1:40" x14ac:dyDescent="0.25">
      <c r="A3620" t="str">
        <f>"20190305135902367"</f>
        <v>20190305135902367</v>
      </c>
      <c r="B3620" t="str">
        <f>"1551765542362882"</f>
        <v>1551765542362882</v>
      </c>
      <c r="C3620" t="s">
        <v>40</v>
      </c>
      <c r="D3620">
        <v>4.246086</v>
      </c>
      <c r="E3620">
        <v>0.56040679999999998</v>
      </c>
      <c r="F3620" t="s">
        <v>79</v>
      </c>
      <c r="G3620">
        <v>-200.07660000000001</v>
      </c>
      <c r="H3620" s="1">
        <v>-1.268317E-5</v>
      </c>
      <c r="I3620">
        <v>150.72810000000001</v>
      </c>
      <c r="J3620">
        <v>-189.2784</v>
      </c>
      <c r="K3620">
        <v>1.1066860000000001</v>
      </c>
      <c r="L3620">
        <v>165.34010000000001</v>
      </c>
      <c r="M3620">
        <v>-0.1749802</v>
      </c>
      <c r="N3620">
        <v>-1.1052579999999999E-2</v>
      </c>
      <c r="O3620">
        <v>-0.98450990000000005</v>
      </c>
      <c r="P3620">
        <v>-0.45102340000000002</v>
      </c>
      <c r="Q3620">
        <v>3.7152249999999998E-2</v>
      </c>
      <c r="R3620">
        <v>-0.8917389</v>
      </c>
      <c r="S3620">
        <v>-1.804352</v>
      </c>
      <c r="T3620">
        <v>-0.18443390000000001</v>
      </c>
      <c r="U3620">
        <v>-2.460464</v>
      </c>
      <c r="V3620">
        <v>0.28829860000000002</v>
      </c>
      <c r="W3620">
        <v>4.6001239999999999E-2</v>
      </c>
      <c r="X3620">
        <v>0.95643500000000004</v>
      </c>
      <c r="Y3620">
        <v>0.44019009999999997</v>
      </c>
      <c r="Z3620">
        <v>5.1442309999999998E-2</v>
      </c>
      <c r="AA3620">
        <v>0.89642980000000005</v>
      </c>
      <c r="AB3620">
        <v>24</v>
      </c>
      <c r="AC3620">
        <v>-10.7982</v>
      </c>
      <c r="AD3620">
        <v>-1.1066986831700001</v>
      </c>
      <c r="AE3620">
        <v>-14.611999999999901</v>
      </c>
      <c r="AF3620">
        <v>8.0447696939518991</v>
      </c>
      <c r="AG3620">
        <v>-1.1066986831700001</v>
      </c>
      <c r="AH3620">
        <v>16.215959709781799</v>
      </c>
      <c r="AI3620">
        <v>93.498563030876397</v>
      </c>
      <c r="AJ3620">
        <v>63.613899411379101</v>
      </c>
      <c r="AK3620">
        <v>18.1356127746852</v>
      </c>
      <c r="AL3620">
        <v>87.363392783762293</v>
      </c>
      <c r="AM3620">
        <v>73.225595670547193</v>
      </c>
      <c r="AN3620">
        <v>1.0000000530342401</v>
      </c>
    </row>
    <row r="3621" spans="1:40" x14ac:dyDescent="0.25">
      <c r="A3621" t="str">
        <f>"20190305135902381"</f>
        <v>20190305135902381</v>
      </c>
      <c r="B3621" t="str">
        <f>"1551765542372642"</f>
        <v>1551765542372642</v>
      </c>
      <c r="C3621" t="s">
        <v>40</v>
      </c>
      <c r="D3621">
        <v>4.2352869999999996</v>
      </c>
      <c r="E3621">
        <v>0.56023199999999995</v>
      </c>
      <c r="F3621" t="s">
        <v>79</v>
      </c>
      <c r="G3621">
        <v>-200.0044</v>
      </c>
      <c r="H3621" s="1">
        <v>-1.27193E-5</v>
      </c>
      <c r="I3621">
        <v>150.73179999999999</v>
      </c>
      <c r="J3621">
        <v>-189.3082</v>
      </c>
      <c r="K3621">
        <v>1.106619</v>
      </c>
      <c r="L3621">
        <v>165.1866</v>
      </c>
      <c r="M3621">
        <v>-0.17738300000000001</v>
      </c>
      <c r="N3621">
        <v>-1.076469E-2</v>
      </c>
      <c r="O3621">
        <v>-0.98408309999999999</v>
      </c>
      <c r="P3621">
        <v>-0.45317160000000001</v>
      </c>
      <c r="Q3621">
        <v>3.7499079999999997E-2</v>
      </c>
      <c r="R3621">
        <v>-0.89063419999999904</v>
      </c>
      <c r="S3621">
        <v>-1.8054049999999999</v>
      </c>
      <c r="T3621">
        <v>-0.18627969999999999</v>
      </c>
      <c r="U3621">
        <v>-2.4588619999999999</v>
      </c>
      <c r="V3621">
        <v>0.28827599999999998</v>
      </c>
      <c r="W3621">
        <v>4.6053629999999998E-2</v>
      </c>
      <c r="X3621">
        <v>0.95643929999999999</v>
      </c>
      <c r="Y3621">
        <v>0.43850260000000002</v>
      </c>
      <c r="Z3621">
        <v>5.2350420000000002E-2</v>
      </c>
      <c r="AA3621">
        <v>0.89720390000000005</v>
      </c>
      <c r="AB3621">
        <v>24</v>
      </c>
      <c r="AC3621">
        <v>-10.696199999999999</v>
      </c>
      <c r="AD3621">
        <v>-1.1066317192999999</v>
      </c>
      <c r="AE3621">
        <v>-14.454800000000001</v>
      </c>
      <c r="AF3621">
        <v>7.9323322160347098</v>
      </c>
      <c r="AG3621">
        <v>-1.1066317192999999</v>
      </c>
      <c r="AH3621">
        <v>16.062148670815301</v>
      </c>
      <c r="AI3621">
        <v>93.534919634844996</v>
      </c>
      <c r="AJ3621">
        <v>63.717421957881101</v>
      </c>
      <c r="AK3621">
        <v>17.948235235562201</v>
      </c>
      <c r="AL3621">
        <v>87.360387896506793</v>
      </c>
      <c r="AM3621">
        <v>73.226907952127107</v>
      </c>
      <c r="AN3621">
        <v>1.00000006179833</v>
      </c>
    </row>
    <row r="3622" spans="1:40" x14ac:dyDescent="0.25">
      <c r="A3622" t="str">
        <f>"20190305135902398"</f>
        <v>20190305135902398</v>
      </c>
      <c r="B3622" t="str">
        <f>"1551765542393138"</f>
        <v>1551765542393138</v>
      </c>
      <c r="C3622" t="s">
        <v>40</v>
      </c>
      <c r="D3622">
        <v>4.288322</v>
      </c>
      <c r="E3622">
        <v>0.55968079999999998</v>
      </c>
      <c r="F3622" t="s">
        <v>79</v>
      </c>
      <c r="G3622">
        <v>-200.3015</v>
      </c>
      <c r="H3622" s="1">
        <v>-1.245803E-5</v>
      </c>
      <c r="I3622">
        <v>150.2688</v>
      </c>
      <c r="J3622">
        <v>-189.34469999999999</v>
      </c>
      <c r="K3622">
        <v>1.106536</v>
      </c>
      <c r="L3622">
        <v>165.0017</v>
      </c>
      <c r="M3622">
        <v>-0.18030180000000001</v>
      </c>
      <c r="N3622">
        <v>-1.0395410000000001E-2</v>
      </c>
      <c r="O3622">
        <v>-0.9835564</v>
      </c>
      <c r="P3622">
        <v>-0.455042</v>
      </c>
      <c r="Q3622">
        <v>3.8639659999999999E-2</v>
      </c>
      <c r="R3622">
        <v>-0.88963139999999996</v>
      </c>
      <c r="S3622">
        <v>-1.8094330000000001</v>
      </c>
      <c r="T3622">
        <v>-0.18214610000000001</v>
      </c>
      <c r="U3622">
        <v>-2.4553989999999999</v>
      </c>
      <c r="V3622">
        <v>0.28746549999999998</v>
      </c>
      <c r="W3622">
        <v>4.6824789999999998E-2</v>
      </c>
      <c r="X3622">
        <v>0.95664570000000004</v>
      </c>
      <c r="Y3622">
        <v>0.43743599999999999</v>
      </c>
      <c r="Z3622">
        <v>5.1337000000000001E-2</v>
      </c>
      <c r="AA3622">
        <v>0.897783</v>
      </c>
      <c r="AB3622">
        <v>25</v>
      </c>
      <c r="AC3622">
        <v>-10.956799999999999</v>
      </c>
      <c r="AD3622">
        <v>-1.10654845802999</v>
      </c>
      <c r="AE3622">
        <v>-14.732900000000001</v>
      </c>
      <c r="AF3622">
        <v>8.0913119388685999</v>
      </c>
      <c r="AG3622">
        <v>-1.10654845802999</v>
      </c>
      <c r="AH3622">
        <v>16.407463508482401</v>
      </c>
      <c r="AI3622">
        <v>93.461410904028497</v>
      </c>
      <c r="AJ3622">
        <v>63.749869786325803</v>
      </c>
      <c r="AK3622">
        <v>18.327537673245299</v>
      </c>
      <c r="AL3622">
        <v>87.3161557574727</v>
      </c>
      <c r="AM3622">
        <v>73.274835779717904</v>
      </c>
      <c r="AN3622">
        <v>0.99999998498864195</v>
      </c>
    </row>
    <row r="3623" spans="1:40" x14ac:dyDescent="0.25">
      <c r="A3623" t="str">
        <f>"20190305135902423"</f>
        <v>20190305135902423</v>
      </c>
      <c r="B3623" t="str">
        <f>"1551765542412658"</f>
        <v>1551765542412658</v>
      </c>
      <c r="C3623" t="s">
        <v>40</v>
      </c>
      <c r="D3623">
        <v>4.2690060000000001</v>
      </c>
      <c r="E3623">
        <v>0.55921299999999996</v>
      </c>
      <c r="F3623" t="s">
        <v>79</v>
      </c>
      <c r="G3623">
        <v>-200.5001</v>
      </c>
      <c r="H3623" s="1">
        <v>-1.227636E-5</v>
      </c>
      <c r="I3623">
        <v>149.8835</v>
      </c>
      <c r="J3623">
        <v>-189.39789999999999</v>
      </c>
      <c r="K3623">
        <v>1.106433</v>
      </c>
      <c r="L3623">
        <v>164.73759999999999</v>
      </c>
      <c r="M3623">
        <v>-0.1845019</v>
      </c>
      <c r="N3623">
        <v>-9.8662950000000006E-3</v>
      </c>
      <c r="O3623">
        <v>-0.98278270000000001</v>
      </c>
      <c r="P3623">
        <v>-0.45793410000000001</v>
      </c>
      <c r="Q3623">
        <v>4.0966139999999998E-2</v>
      </c>
      <c r="R3623">
        <v>-0.88804189999999905</v>
      </c>
      <c r="S3623">
        <v>-1.810638</v>
      </c>
      <c r="T3623">
        <v>-0.1796044</v>
      </c>
      <c r="U3623">
        <v>-2.4538419999999999</v>
      </c>
      <c r="V3623">
        <v>0.28652699999999998</v>
      </c>
      <c r="W3623">
        <v>4.8622329999999998E-2</v>
      </c>
      <c r="X3623">
        <v>0.95683759999999995</v>
      </c>
      <c r="Y3623">
        <v>0.43417250000000002</v>
      </c>
      <c r="Z3623">
        <v>5.0999179999999998E-2</v>
      </c>
      <c r="AA3623">
        <v>0.89938499999999999</v>
      </c>
      <c r="AB3623">
        <v>25</v>
      </c>
      <c r="AC3623">
        <v>-11.1022</v>
      </c>
      <c r="AD3623">
        <v>-1.1064452763599999</v>
      </c>
      <c r="AE3623">
        <v>-14.854099999999899</v>
      </c>
      <c r="AF3623">
        <v>8.14185433704648</v>
      </c>
      <c r="AG3623">
        <v>-1.1064452763599999</v>
      </c>
      <c r="AH3623">
        <v>16.588487255264301</v>
      </c>
      <c r="AI3623">
        <v>93.426569566301694</v>
      </c>
      <c r="AJ3623">
        <v>63.857569942075699</v>
      </c>
      <c r="AK3623">
        <v>18.511940001343099</v>
      </c>
      <c r="AL3623">
        <v>87.213046907492199</v>
      </c>
      <c r="AM3623">
        <v>73.329562011325606</v>
      </c>
      <c r="AN3623">
        <v>1.00000002273869</v>
      </c>
    </row>
    <row r="3624" spans="1:40" x14ac:dyDescent="0.25">
      <c r="A3624" t="str">
        <f>"20190305135902443"</f>
        <v>20190305135902443</v>
      </c>
      <c r="B3624" t="str">
        <f>"1551765542432178"</f>
        <v>1551765542432178</v>
      </c>
      <c r="C3624" t="s">
        <v>40</v>
      </c>
      <c r="D3624">
        <v>4.2391269999999999</v>
      </c>
      <c r="E3624">
        <v>0.55888930000000003</v>
      </c>
      <c r="F3624" t="s">
        <v>79</v>
      </c>
      <c r="G3624">
        <v>-201.26830000000001</v>
      </c>
      <c r="H3624" s="1">
        <v>-1.1611600000000001E-5</v>
      </c>
      <c r="I3624">
        <v>148.71350000000001</v>
      </c>
      <c r="J3624">
        <v>-189.44409999999999</v>
      </c>
      <c r="K3624">
        <v>1.106352</v>
      </c>
      <c r="L3624">
        <v>164.5127</v>
      </c>
      <c r="M3624">
        <v>-0.1880957</v>
      </c>
      <c r="N3624">
        <v>-9.4190309999999996E-3</v>
      </c>
      <c r="O3624">
        <v>-0.98210569999999997</v>
      </c>
      <c r="P3624">
        <v>-0.46003480000000002</v>
      </c>
      <c r="Q3624">
        <v>4.3188419999999998E-2</v>
      </c>
      <c r="R3624">
        <v>-0.88685009999999997</v>
      </c>
      <c r="S3624">
        <v>-1.8149869999999999</v>
      </c>
      <c r="T3624">
        <v>-0.1691754</v>
      </c>
      <c r="U3624">
        <v>-2.4500890000000002</v>
      </c>
      <c r="V3624">
        <v>0.28532669999999999</v>
      </c>
      <c r="W3624">
        <v>5.0404940000000002E-2</v>
      </c>
      <c r="X3624">
        <v>0.95710399999999995</v>
      </c>
      <c r="Y3624">
        <v>0.43267159999999899</v>
      </c>
      <c r="Z3624">
        <v>4.7948190000000002E-2</v>
      </c>
      <c r="AA3624">
        <v>0.90027570000000001</v>
      </c>
      <c r="AB3624">
        <v>25</v>
      </c>
      <c r="AC3624">
        <v>-11.824199999999999</v>
      </c>
      <c r="AD3624">
        <v>-1.1063636116</v>
      </c>
      <c r="AE3624">
        <v>-15.7991999999999</v>
      </c>
      <c r="AF3624">
        <v>8.6141586731892996</v>
      </c>
      <c r="AG3624">
        <v>-1.1063636116</v>
      </c>
      <c r="AH3624">
        <v>17.685760083622299</v>
      </c>
      <c r="AI3624">
        <v>93.2189443820252</v>
      </c>
      <c r="AJ3624">
        <v>64.030792607953302</v>
      </c>
      <c r="AK3624">
        <v>19.7031439070876</v>
      </c>
      <c r="AL3624">
        <v>87.110785444909595</v>
      </c>
      <c r="AM3624">
        <v>73.399911737628997</v>
      </c>
      <c r="AN3624">
        <v>1.00000002526264</v>
      </c>
    </row>
    <row r="3625" spans="1:40" x14ac:dyDescent="0.25">
      <c r="A3625" t="str">
        <f>"20190305135902455"</f>
        <v>20190305135902455</v>
      </c>
      <c r="B3625" t="str">
        <f>"1551765542452674"</f>
        <v>1551765542452674</v>
      </c>
      <c r="C3625" t="s">
        <v>40</v>
      </c>
      <c r="D3625">
        <v>4.3353400000000004</v>
      </c>
      <c r="E3625">
        <v>0.55851530000000005</v>
      </c>
      <c r="F3625" t="s">
        <v>79</v>
      </c>
      <c r="G3625">
        <v>-202.05359999999999</v>
      </c>
      <c r="H3625" s="1">
        <v>-1.091685E-5</v>
      </c>
      <c r="I3625">
        <v>147.5487</v>
      </c>
      <c r="J3625">
        <v>-189.47229999999999</v>
      </c>
      <c r="K3625">
        <v>1.106304</v>
      </c>
      <c r="L3625">
        <v>164.3768</v>
      </c>
      <c r="M3625">
        <v>-0.19027150000000001</v>
      </c>
      <c r="N3625">
        <v>-9.1507689999999996E-3</v>
      </c>
      <c r="O3625">
        <v>-0.98168880000000003</v>
      </c>
      <c r="P3625">
        <v>-0.46127629999999997</v>
      </c>
      <c r="Q3625">
        <v>4.4002630000000001E-2</v>
      </c>
      <c r="R3625">
        <v>-0.88616479999999997</v>
      </c>
      <c r="S3625">
        <v>-1.8188930000000001</v>
      </c>
      <c r="T3625">
        <v>-0.15959019999999999</v>
      </c>
      <c r="U3625">
        <v>-2.4470209999999999</v>
      </c>
      <c r="V3625">
        <v>0.28455950000000002</v>
      </c>
      <c r="W3625">
        <v>5.095736E-2</v>
      </c>
      <c r="X3625">
        <v>0.95730309999999996</v>
      </c>
      <c r="Y3625">
        <v>0.43223210000000001</v>
      </c>
      <c r="Z3625">
        <v>4.5001649999999997E-2</v>
      </c>
      <c r="AA3625">
        <v>0.90063879999999996</v>
      </c>
      <c r="AB3625">
        <v>25</v>
      </c>
      <c r="AC3625">
        <v>-12.581300000000001</v>
      </c>
      <c r="AD3625">
        <v>-1.1063149168499999</v>
      </c>
      <c r="AE3625">
        <v>-16.828099999999999</v>
      </c>
      <c r="AF3625">
        <v>9.1241016423690091</v>
      </c>
      <c r="AG3625">
        <v>-1.1063149168499999</v>
      </c>
      <c r="AH3625">
        <v>18.862319720548399</v>
      </c>
      <c r="AI3625">
        <v>93.022373157251195</v>
      </c>
      <c r="AJ3625">
        <v>64.185967183547106</v>
      </c>
      <c r="AK3625">
        <v>20.982379958329702</v>
      </c>
      <c r="AL3625">
        <v>87.079093289755605</v>
      </c>
      <c r="AM3625">
        <v>73.445355088532594</v>
      </c>
      <c r="AN3625">
        <v>0.99999999342401402</v>
      </c>
    </row>
    <row r="3626" spans="1:40" x14ac:dyDescent="0.25">
      <c r="A3626" t="str">
        <f>"20190305135902468"</f>
        <v>20190305135902468</v>
      </c>
      <c r="B3626" t="str">
        <f>"1551765542462868"</f>
        <v>1551765542462868</v>
      </c>
      <c r="C3626" t="s">
        <v>40</v>
      </c>
      <c r="D3626">
        <v>4.3159299999999998</v>
      </c>
      <c r="E3626">
        <v>0.55830259999999998</v>
      </c>
      <c r="F3626" t="s">
        <v>79</v>
      </c>
      <c r="G3626">
        <v>-202.4905</v>
      </c>
      <c r="H3626" s="1">
        <v>-1.0523949999999999E-5</v>
      </c>
      <c r="I3626">
        <v>146.8792</v>
      </c>
      <c r="J3626">
        <v>-189.4999</v>
      </c>
      <c r="K3626">
        <v>1.1062590000000001</v>
      </c>
      <c r="L3626">
        <v>164.24619999999999</v>
      </c>
      <c r="M3626">
        <v>-0.19236629999999999</v>
      </c>
      <c r="N3626">
        <v>-8.8952670000000001E-3</v>
      </c>
      <c r="O3626">
        <v>-0.98128309999999996</v>
      </c>
      <c r="P3626">
        <v>-0.46231640000000002</v>
      </c>
      <c r="Q3626">
        <v>4.4295399999999999E-2</v>
      </c>
      <c r="R3626">
        <v>-0.88560859999999997</v>
      </c>
      <c r="S3626">
        <v>-1.8196870000000001</v>
      </c>
      <c r="T3626">
        <v>-0.15464159999999999</v>
      </c>
      <c r="U3626">
        <v>-2.4458310000000001</v>
      </c>
      <c r="V3626">
        <v>0.28364509999999998</v>
      </c>
      <c r="W3626">
        <v>5.1003079999999999E-2</v>
      </c>
      <c r="X3626">
        <v>0.95757199999999998</v>
      </c>
      <c r="Y3626">
        <v>0.43074960000000001</v>
      </c>
      <c r="Z3626">
        <v>4.3592890000000002E-2</v>
      </c>
      <c r="AA3626">
        <v>0.90141800000000005</v>
      </c>
      <c r="AB3626">
        <v>25</v>
      </c>
      <c r="AC3626">
        <v>-12.990600000000001</v>
      </c>
      <c r="AD3626">
        <v>-1.10626952395</v>
      </c>
      <c r="AE3626">
        <v>-17.366999999999901</v>
      </c>
      <c r="AF3626">
        <v>9.3825886316323608</v>
      </c>
      <c r="AG3626">
        <v>-1.10626952395</v>
      </c>
      <c r="AH3626">
        <v>19.490953365483001</v>
      </c>
      <c r="AI3626">
        <v>92.927620882232802</v>
      </c>
      <c r="AJ3626">
        <v>64.294686657275804</v>
      </c>
      <c r="AK3626">
        <v>21.659964561039601</v>
      </c>
      <c r="AL3626">
        <v>87.076470323644102</v>
      </c>
      <c r="AM3626">
        <v>73.500035689017295</v>
      </c>
      <c r="AN3626">
        <v>0.99999999605374801</v>
      </c>
    </row>
    <row r="3627" spans="1:40" x14ac:dyDescent="0.25">
      <c r="A3627" t="str">
        <f>"20190305135902481"</f>
        <v>20190305135902481</v>
      </c>
      <c r="B3627" t="str">
        <f>"1551765542472628"</f>
        <v>1551765542472628</v>
      </c>
      <c r="C3627" t="s">
        <v>40</v>
      </c>
      <c r="D3627">
        <v>4.2911789999999996</v>
      </c>
      <c r="E3627">
        <v>0.55811009999999905</v>
      </c>
      <c r="F3627" t="s">
        <v>79</v>
      </c>
      <c r="G3627">
        <v>-202.70249999999999</v>
      </c>
      <c r="H3627" s="1">
        <v>-1.03241E-5</v>
      </c>
      <c r="I3627">
        <v>146.52350000000001</v>
      </c>
      <c r="J3627">
        <v>-189.5325</v>
      </c>
      <c r="K3627">
        <v>1.1062050000000001</v>
      </c>
      <c r="L3627">
        <v>164.09270000000001</v>
      </c>
      <c r="M3627">
        <v>-0.19482759999999999</v>
      </c>
      <c r="N3627">
        <v>-8.5975040000000006E-3</v>
      </c>
      <c r="O3627">
        <v>-0.9807998</v>
      </c>
      <c r="P3627">
        <v>-0.4634934</v>
      </c>
      <c r="Q3627">
        <v>4.4280720000000003E-2</v>
      </c>
      <c r="R3627">
        <v>-0.88499319999999904</v>
      </c>
      <c r="S3627">
        <v>-1.8210299999999999</v>
      </c>
      <c r="T3627">
        <v>-0.1525869</v>
      </c>
      <c r="U3627">
        <v>-2.4444729999999999</v>
      </c>
      <c r="V3627">
        <v>0.28251579999999998</v>
      </c>
      <c r="W3627">
        <v>5.0701629999999998E-2</v>
      </c>
      <c r="X3627">
        <v>0.95792180000000005</v>
      </c>
      <c r="Y3627">
        <v>0.42905979999999999</v>
      </c>
      <c r="Z3627">
        <v>4.318951E-2</v>
      </c>
      <c r="AA3627">
        <v>0.90224300000000002</v>
      </c>
      <c r="AB3627">
        <v>25</v>
      </c>
      <c r="AC3627">
        <v>-13.1699999999999</v>
      </c>
      <c r="AD3627">
        <v>-1.1062153240999999</v>
      </c>
      <c r="AE3627">
        <v>-17.569199999999899</v>
      </c>
      <c r="AF3627">
        <v>9.4704818011218297</v>
      </c>
      <c r="AG3627">
        <v>-1.1062153240999999</v>
      </c>
      <c r="AH3627">
        <v>19.7483549924711</v>
      </c>
      <c r="AI3627">
        <v>92.891439987334294</v>
      </c>
      <c r="AJ3627">
        <v>64.379579827048204</v>
      </c>
      <c r="AK3627">
        <v>21.929689072061901</v>
      </c>
      <c r="AL3627">
        <v>87.093764534357604</v>
      </c>
      <c r="AM3627">
        <v>73.567854774349101</v>
      </c>
      <c r="AN3627">
        <v>1.0000000037247601</v>
      </c>
    </row>
    <row r="3628" spans="1:40" x14ac:dyDescent="0.25">
      <c r="A3628" t="str">
        <f>"20190305135902499"</f>
        <v>20190305135902499</v>
      </c>
      <c r="B3628" t="str">
        <f>"1551765542493124"</f>
        <v>1551765542493124</v>
      </c>
      <c r="C3628" t="s">
        <v>40</v>
      </c>
      <c r="D3628">
        <v>4.3054009999999998</v>
      </c>
      <c r="E3628">
        <v>0.55782799999999999</v>
      </c>
      <c r="F3628" t="s">
        <v>79</v>
      </c>
      <c r="G3628">
        <v>-202.8169</v>
      </c>
      <c r="H3628" s="1">
        <v>-1.020483E-5</v>
      </c>
      <c r="I3628">
        <v>146.29310000000001</v>
      </c>
      <c r="J3628">
        <v>-189.5752</v>
      </c>
      <c r="K3628">
        <v>1.106134</v>
      </c>
      <c r="L3628">
        <v>163.8948</v>
      </c>
      <c r="M3628">
        <v>-0.1979976</v>
      </c>
      <c r="N3628">
        <v>-8.2223130000000002E-3</v>
      </c>
      <c r="O3628">
        <v>-0.98016820000000004</v>
      </c>
      <c r="P3628">
        <v>-0.46436769999999999</v>
      </c>
      <c r="Q3628">
        <v>4.402155E-2</v>
      </c>
      <c r="R3628">
        <v>-0.88454809999999995</v>
      </c>
      <c r="S3628">
        <v>-1.8230440000000001</v>
      </c>
      <c r="T3628">
        <v>-0.15180839999999901</v>
      </c>
      <c r="U3628">
        <v>-2.4426730000000001</v>
      </c>
      <c r="V3628">
        <v>0.28036030000000001</v>
      </c>
      <c r="W3628">
        <v>5.008729E-2</v>
      </c>
      <c r="X3628">
        <v>0.95858719999999997</v>
      </c>
      <c r="Y3628">
        <v>0.42693930000000002</v>
      </c>
      <c r="Z3628">
        <v>4.3284759999999999E-2</v>
      </c>
      <c r="AA3628">
        <v>0.90324380000000004</v>
      </c>
      <c r="AB3628">
        <v>25</v>
      </c>
      <c r="AC3628">
        <v>-13.2417</v>
      </c>
      <c r="AD3628">
        <v>-1.1061442048300001</v>
      </c>
      <c r="AE3628">
        <v>-17.601699999999902</v>
      </c>
      <c r="AF3628">
        <v>9.4704341979460605</v>
      </c>
      <c r="AG3628">
        <v>-1.1061442048300001</v>
      </c>
      <c r="AH3628">
        <v>19.825121792265598</v>
      </c>
      <c r="AI3628">
        <v>92.882160382079405</v>
      </c>
      <c r="AJ3628">
        <v>64.466256171831304</v>
      </c>
      <c r="AK3628">
        <v>21.998821172455301</v>
      </c>
      <c r="AL3628">
        <v>87.129008472626694</v>
      </c>
      <c r="AM3628">
        <v>73.6972586826368</v>
      </c>
      <c r="AN3628">
        <v>1.00000002721973</v>
      </c>
    </row>
    <row r="3629" spans="1:40" x14ac:dyDescent="0.25">
      <c r="A3629" t="str">
        <f>"20190305135902511"</f>
        <v>20190305135902511</v>
      </c>
      <c r="B3629" t="str">
        <f>"1551765542502884"</f>
        <v>1551765542502884</v>
      </c>
      <c r="C3629" t="s">
        <v>40</v>
      </c>
      <c r="D3629">
        <v>4.3087269999999904</v>
      </c>
      <c r="E3629">
        <v>0.55771680000000001</v>
      </c>
      <c r="F3629" t="s">
        <v>79</v>
      </c>
      <c r="G3629">
        <v>-202.92269999999999</v>
      </c>
      <c r="H3629" s="1">
        <v>-1.007676E-5</v>
      </c>
      <c r="I3629">
        <v>146.0204</v>
      </c>
      <c r="J3629">
        <v>-189.6052</v>
      </c>
      <c r="K3629">
        <v>1.1060909999999999</v>
      </c>
      <c r="L3629">
        <v>163.7578</v>
      </c>
      <c r="M3629">
        <v>-0.20018639999999999</v>
      </c>
      <c r="N3629">
        <v>-7.9757509999999997E-3</v>
      </c>
      <c r="O3629">
        <v>-0.97972530000000002</v>
      </c>
      <c r="P3629">
        <v>-0.46530840000000001</v>
      </c>
      <c r="Q3629">
        <v>4.3728400000000001E-2</v>
      </c>
      <c r="R3629">
        <v>-0.88406810000000002</v>
      </c>
      <c r="S3629">
        <v>-1.82341</v>
      </c>
      <c r="T3629">
        <v>-0.15111089999999999</v>
      </c>
      <c r="U3629">
        <v>-2.4418329999999999</v>
      </c>
      <c r="V3629">
        <v>0.27923409999999999</v>
      </c>
      <c r="W3629">
        <v>4.955818E-2</v>
      </c>
      <c r="X3629">
        <v>0.95894330000000005</v>
      </c>
      <c r="Y3629">
        <v>0.4251588</v>
      </c>
      <c r="Z3629">
        <v>4.3286959999999999E-2</v>
      </c>
      <c r="AA3629">
        <v>0.90408310000000003</v>
      </c>
      <c r="AB3629">
        <v>25</v>
      </c>
      <c r="AC3629">
        <v>-13.3174999999999</v>
      </c>
      <c r="AD3629">
        <v>-1.1061010767599999</v>
      </c>
      <c r="AE3629">
        <v>-17.737400000000001</v>
      </c>
      <c r="AF3629">
        <v>9.4734490464366807</v>
      </c>
      <c r="AG3629">
        <v>-1.1061010767599999</v>
      </c>
      <c r="AH3629">
        <v>19.994676954339599</v>
      </c>
      <c r="AI3629">
        <v>92.861968821329796</v>
      </c>
      <c r="AJ3629">
        <v>64.648473450355795</v>
      </c>
      <c r="AK3629">
        <v>22.153031461536798</v>
      </c>
      <c r="AL3629">
        <v>87.159361788040897</v>
      </c>
      <c r="AM3629">
        <v>73.765001343346199</v>
      </c>
      <c r="AN3629">
        <v>0.99999997421130504</v>
      </c>
    </row>
    <row r="3630" spans="1:40" x14ac:dyDescent="0.25">
      <c r="A3630" t="str">
        <f>"20190305135902523"</f>
        <v>20190305135902523</v>
      </c>
      <c r="B3630" t="str">
        <f>"1551765542512644"</f>
        <v>1551765542512644</v>
      </c>
      <c r="C3630" t="s">
        <v>40</v>
      </c>
      <c r="D3630">
        <v>4.308948</v>
      </c>
      <c r="E3630">
        <v>0.55760929999999997</v>
      </c>
      <c r="F3630" t="s">
        <v>79</v>
      </c>
      <c r="G3630">
        <v>-202.9316</v>
      </c>
      <c r="H3630" s="1">
        <v>-1.0050179999999999E-5</v>
      </c>
      <c r="I3630">
        <v>145.9442</v>
      </c>
      <c r="J3630">
        <v>-189.63499999999999</v>
      </c>
      <c r="K3630">
        <v>1.1060479999999999</v>
      </c>
      <c r="L3630">
        <v>163.62289999999999</v>
      </c>
      <c r="M3630">
        <v>-0.2023392</v>
      </c>
      <c r="N3630">
        <v>-7.740734E-3</v>
      </c>
      <c r="O3630">
        <v>-0.97928490000000001</v>
      </c>
      <c r="P3630">
        <v>-0.46645180000000003</v>
      </c>
      <c r="Q3630">
        <v>4.3853919999999998E-2</v>
      </c>
      <c r="R3630">
        <v>-0.88345899999999999</v>
      </c>
      <c r="S3630">
        <v>-1.825439</v>
      </c>
      <c r="T3630">
        <v>-0.15151329999999999</v>
      </c>
      <c r="U3630">
        <v>-2.4401090000000001</v>
      </c>
      <c r="V3630">
        <v>0.27836949999999999</v>
      </c>
      <c r="W3630">
        <v>4.9456269999999997E-2</v>
      </c>
      <c r="X3630">
        <v>0.95920000000000005</v>
      </c>
      <c r="Y3630">
        <v>0.42395189999999999</v>
      </c>
      <c r="Z3630">
        <v>4.3645080000000003E-2</v>
      </c>
      <c r="AA3630">
        <v>0.9046324</v>
      </c>
      <c r="AB3630">
        <v>25</v>
      </c>
      <c r="AC3630">
        <v>-13.2966</v>
      </c>
      <c r="AD3630">
        <v>-1.1060580501799999</v>
      </c>
      <c r="AE3630">
        <v>-17.6786999999999</v>
      </c>
      <c r="AF3630">
        <v>9.4207961434927601</v>
      </c>
      <c r="AG3630">
        <v>-1.1060580501799999</v>
      </c>
      <c r="AH3630">
        <v>19.953621760924499</v>
      </c>
      <c r="AI3630">
        <v>92.869578002116199</v>
      </c>
      <c r="AJ3630">
        <v>64.726380750210097</v>
      </c>
      <c r="AK3630">
        <v>22.093478353705599</v>
      </c>
      <c r="AL3630">
        <v>87.165208243300498</v>
      </c>
      <c r="AM3630">
        <v>73.816739149466898</v>
      </c>
      <c r="AN3630">
        <v>1.0000000705862699</v>
      </c>
    </row>
    <row r="3631" spans="1:40" x14ac:dyDescent="0.25">
      <c r="A3631" t="str">
        <f>"20190305135902535"</f>
        <v>20190305135902535</v>
      </c>
      <c r="B3631" t="str">
        <f>"1551765542532164"</f>
        <v>1551765542532164</v>
      </c>
      <c r="C3631" t="s">
        <v>40</v>
      </c>
      <c r="D3631">
        <v>4.3474370000000002</v>
      </c>
      <c r="E3631">
        <v>0.55747460000000004</v>
      </c>
      <c r="F3631" t="s">
        <v>79</v>
      </c>
      <c r="G3631">
        <v>-203.07169999999999</v>
      </c>
      <c r="H3631" s="1">
        <v>-9.9198930000000005E-6</v>
      </c>
      <c r="I3631">
        <v>145.69880000000001</v>
      </c>
      <c r="J3631">
        <v>-189.6653</v>
      </c>
      <c r="K3631">
        <v>1.106006</v>
      </c>
      <c r="L3631">
        <v>163.48679999999999</v>
      </c>
      <c r="M3631">
        <v>-0.20450879999999999</v>
      </c>
      <c r="N3631">
        <v>-7.513039E-3</v>
      </c>
      <c r="O3631">
        <v>-0.97883600000000004</v>
      </c>
      <c r="P3631">
        <v>-0.46770810000000002</v>
      </c>
      <c r="Q3631">
        <v>4.4022789999999999E-2</v>
      </c>
      <c r="R3631">
        <v>-0.88278599999999996</v>
      </c>
      <c r="S3631">
        <v>-1.8277589999999999</v>
      </c>
      <c r="T3631">
        <v>-0.1504537</v>
      </c>
      <c r="U3631">
        <v>-2.4381710000000001</v>
      </c>
      <c r="V3631">
        <v>0.27761170000000002</v>
      </c>
      <c r="W3631">
        <v>4.9402929999999998E-2</v>
      </c>
      <c r="X3631">
        <v>0.95942229999999995</v>
      </c>
      <c r="Y3631">
        <v>0.42284860000000002</v>
      </c>
      <c r="Z3631">
        <v>4.3506419999999997E-2</v>
      </c>
      <c r="AA3631">
        <v>0.90515540000000005</v>
      </c>
      <c r="AB3631">
        <v>25</v>
      </c>
      <c r="AC3631">
        <v>-13.4063999999999</v>
      </c>
      <c r="AD3631">
        <v>-1.106015919893</v>
      </c>
      <c r="AE3631">
        <v>-17.787999999999901</v>
      </c>
      <c r="AF3631">
        <v>9.4618025339695908</v>
      </c>
      <c r="AG3631">
        <v>-1.106015919893</v>
      </c>
      <c r="AH3631">
        <v>20.10426009107</v>
      </c>
      <c r="AI3631">
        <v>92.849647053801206</v>
      </c>
      <c r="AJ3631">
        <v>64.796603233413094</v>
      </c>
      <c r="AK3631">
        <v>22.2470279411943</v>
      </c>
      <c r="AL3631">
        <v>87.1682680185355</v>
      </c>
      <c r="AM3631">
        <v>73.862042647248899</v>
      </c>
      <c r="AN3631">
        <v>1.00000002760338</v>
      </c>
    </row>
    <row r="3632" spans="1:40" x14ac:dyDescent="0.25">
      <c r="A3632" t="str">
        <f>"20190305135902548"</f>
        <v>20190305135902548</v>
      </c>
      <c r="B3632" t="str">
        <f>"1551765542542900"</f>
        <v>1551765542542900</v>
      </c>
      <c r="C3632" t="s">
        <v>40</v>
      </c>
      <c r="D3632">
        <v>4.3328230000000003</v>
      </c>
      <c r="E3632">
        <v>0.55740179999999995</v>
      </c>
      <c r="F3632" t="s">
        <v>79</v>
      </c>
      <c r="G3632">
        <v>-202.97579999999999</v>
      </c>
      <c r="H3632" s="1">
        <v>-9.9795180000000008E-6</v>
      </c>
      <c r="I3632">
        <v>145.77260000000001</v>
      </c>
      <c r="J3632">
        <v>-189.69560000000001</v>
      </c>
      <c r="K3632">
        <v>1.1059699999999999</v>
      </c>
      <c r="L3632">
        <v>163.35290000000001</v>
      </c>
      <c r="M3632">
        <v>-0.20663780000000001</v>
      </c>
      <c r="N3632">
        <v>-7.3022059999999899E-3</v>
      </c>
      <c r="O3632">
        <v>-0.97839050000000005</v>
      </c>
      <c r="P3632">
        <v>-0.46918680000000001</v>
      </c>
      <c r="Q3632">
        <v>4.3920769999999998E-2</v>
      </c>
      <c r="R3632">
        <v>-0.88200619999999996</v>
      </c>
      <c r="S3632">
        <v>-1.83049</v>
      </c>
      <c r="T3632">
        <v>-0.1521025</v>
      </c>
      <c r="U3632">
        <v>-2.4361109999999999</v>
      </c>
      <c r="V3632">
        <v>0.27713120000000002</v>
      </c>
      <c r="W3632">
        <v>4.9092410000000003E-2</v>
      </c>
      <c r="X3632">
        <v>0.95957709999999996</v>
      </c>
      <c r="Y3632">
        <v>0.42187590000000003</v>
      </c>
      <c r="Z3632">
        <v>4.4256950000000003E-2</v>
      </c>
      <c r="AA3632">
        <v>0.90557279999999996</v>
      </c>
      <c r="AB3632">
        <v>25</v>
      </c>
      <c r="AC3632">
        <v>-13.280199999999899</v>
      </c>
      <c r="AD3632">
        <v>-1.1059799795180001</v>
      </c>
      <c r="AE3632">
        <v>-17.580299999999902</v>
      </c>
      <c r="AF3632">
        <v>9.3371864483310194</v>
      </c>
      <c r="AG3632">
        <v>-1.1059799795180001</v>
      </c>
      <c r="AH3632">
        <v>19.8949853375766</v>
      </c>
      <c r="AI3632">
        <v>92.880932213810595</v>
      </c>
      <c r="AJ3632">
        <v>64.858225879657894</v>
      </c>
      <c r="AK3632">
        <v>22.004924086857901</v>
      </c>
      <c r="AL3632">
        <v>87.186081008723207</v>
      </c>
      <c r="AM3632">
        <v>73.890988590499802</v>
      </c>
      <c r="AN3632">
        <v>0.99999998878872898</v>
      </c>
    </row>
    <row r="3633" spans="1:40" x14ac:dyDescent="0.25">
      <c r="A3633" t="str">
        <f>"20190305135902565"</f>
        <v>20190305135902565</v>
      </c>
      <c r="B3633" t="str">
        <f>"1551765542552659"</f>
        <v>1551765542552659</v>
      </c>
      <c r="C3633" t="s">
        <v>40</v>
      </c>
      <c r="D3633">
        <v>4.309412</v>
      </c>
      <c r="E3633">
        <v>0.55736059999999998</v>
      </c>
      <c r="F3633" t="s">
        <v>79</v>
      </c>
      <c r="G3633">
        <v>-202.89840000000001</v>
      </c>
      <c r="H3633" s="1">
        <v>-1.0032980000000001E-5</v>
      </c>
      <c r="I3633">
        <v>145.83690000000001</v>
      </c>
      <c r="J3633">
        <v>-189.7398</v>
      </c>
      <c r="K3633">
        <v>1.105915</v>
      </c>
      <c r="L3633">
        <v>163.15889999999999</v>
      </c>
      <c r="M3633">
        <v>-0.2097183</v>
      </c>
      <c r="N3633">
        <v>-7.0111419999999997E-3</v>
      </c>
      <c r="O3633">
        <v>-0.97773690000000002</v>
      </c>
      <c r="P3633">
        <v>-0.47153139999999999</v>
      </c>
      <c r="Q3633">
        <v>4.3994070000000003E-2</v>
      </c>
      <c r="R3633">
        <v>-0.88075149999999902</v>
      </c>
      <c r="S3633">
        <v>-1.834106</v>
      </c>
      <c r="T3633">
        <v>-0.15364040000000001</v>
      </c>
      <c r="U3633">
        <v>-2.4332889999999998</v>
      </c>
      <c r="V3633">
        <v>0.27666370000000001</v>
      </c>
      <c r="W3633">
        <v>4.8875229999999999E-2</v>
      </c>
      <c r="X3633">
        <v>0.95972310000000005</v>
      </c>
      <c r="Y3633">
        <v>0.42036570000000001</v>
      </c>
      <c r="Z3633">
        <v>4.504495E-2</v>
      </c>
      <c r="AA3633">
        <v>0.90623600000000004</v>
      </c>
      <c r="AB3633">
        <v>26</v>
      </c>
      <c r="AC3633">
        <v>-13.1586</v>
      </c>
      <c r="AD3633">
        <v>-1.1059250329799999</v>
      </c>
      <c r="AE3633">
        <v>-17.3219999999999</v>
      </c>
      <c r="AF3633">
        <v>9.2093304777399005</v>
      </c>
      <c r="AG3633">
        <v>-1.1059250329799999</v>
      </c>
      <c r="AH3633">
        <v>19.645660612460301</v>
      </c>
      <c r="AI3633">
        <v>92.917904880878595</v>
      </c>
      <c r="AJ3633">
        <v>64.884143975649195</v>
      </c>
      <c r="AK3633">
        <v>21.7252576262464</v>
      </c>
      <c r="AL3633">
        <v>87.198539520775796</v>
      </c>
      <c r="AM3633">
        <v>73.919077259925203</v>
      </c>
      <c r="AN3633">
        <v>1.0000000098394199</v>
      </c>
    </row>
    <row r="3634" spans="1:40" x14ac:dyDescent="0.25">
      <c r="A3634" t="str">
        <f>"20190305135902578"</f>
        <v>20190305135902578</v>
      </c>
      <c r="B3634" t="str">
        <f>"1551765542572687"</f>
        <v>1551765542572687</v>
      </c>
      <c r="C3634" t="s">
        <v>40</v>
      </c>
      <c r="D3634">
        <v>4.2859099999999897</v>
      </c>
      <c r="E3634">
        <v>0.55733319999999997</v>
      </c>
      <c r="F3634" t="s">
        <v>79</v>
      </c>
      <c r="G3634">
        <v>-203.08160000000001</v>
      </c>
      <c r="H3634" s="1">
        <v>-9.8785160000000008E-6</v>
      </c>
      <c r="I3634">
        <v>145.55619999999999</v>
      </c>
      <c r="J3634">
        <v>-189.77430000000001</v>
      </c>
      <c r="K3634">
        <v>1.1058790000000001</v>
      </c>
      <c r="L3634">
        <v>163.0093</v>
      </c>
      <c r="M3634">
        <v>-0.2120908</v>
      </c>
      <c r="N3634">
        <v>-6.7983369999999998E-3</v>
      </c>
      <c r="O3634">
        <v>-0.97722640000000005</v>
      </c>
      <c r="P3634">
        <v>-0.47353859999999998</v>
      </c>
      <c r="Q3634">
        <v>4.3884329999999999E-2</v>
      </c>
      <c r="R3634">
        <v>-0.87967929999999905</v>
      </c>
      <c r="S3634">
        <v>-1.8405910000000001</v>
      </c>
      <c r="T3634">
        <v>-0.15256929999999999</v>
      </c>
      <c r="U3634">
        <v>-2.4284059999999998</v>
      </c>
      <c r="V3634">
        <v>0.27652189999999999</v>
      </c>
      <c r="W3634">
        <v>4.8550419999999997E-2</v>
      </c>
      <c r="X3634">
        <v>0.95978050000000004</v>
      </c>
      <c r="Y3634">
        <v>0.4205856</v>
      </c>
      <c r="Z3634">
        <v>4.489315E-2</v>
      </c>
      <c r="AA3634">
        <v>0.90614150000000004</v>
      </c>
      <c r="AB3634">
        <v>26</v>
      </c>
      <c r="AC3634">
        <v>-13.3072999999999</v>
      </c>
      <c r="AD3634">
        <v>-1.1058888785159999</v>
      </c>
      <c r="AE3634">
        <v>-17.453099999999999</v>
      </c>
      <c r="AF3634">
        <v>9.2792577621194194</v>
      </c>
      <c r="AG3634">
        <v>-1.1058888785159999</v>
      </c>
      <c r="AH3634">
        <v>19.828101565446001</v>
      </c>
      <c r="AI3634">
        <v>92.891880358651903</v>
      </c>
      <c r="AJ3634">
        <v>64.921102348177001</v>
      </c>
      <c r="AK3634">
        <v>21.919881991404999</v>
      </c>
      <c r="AL3634">
        <v>87.217172012132707</v>
      </c>
      <c r="AM3634">
        <v>73.927805166011495</v>
      </c>
      <c r="AN3634">
        <v>1.0000000563210101</v>
      </c>
    </row>
    <row r="3635" spans="1:40" x14ac:dyDescent="0.25">
      <c r="A3635" t="str">
        <f>"20190305135902590"</f>
        <v>20190305135902590</v>
      </c>
      <c r="B3635" t="str">
        <f>"1551765542582447"</f>
        <v>1551765542582447</v>
      </c>
      <c r="C3635" t="s">
        <v>40</v>
      </c>
      <c r="D3635">
        <v>4.2151350000000001</v>
      </c>
      <c r="E3635">
        <v>0.55739050000000001</v>
      </c>
      <c r="F3635" t="s">
        <v>79</v>
      </c>
      <c r="G3635">
        <v>-203.23050000000001</v>
      </c>
      <c r="H3635" s="1">
        <v>-9.7643890000000008E-6</v>
      </c>
      <c r="I3635">
        <v>145.33609999999999</v>
      </c>
      <c r="J3635">
        <v>-189.80789999999999</v>
      </c>
      <c r="K3635">
        <v>1.1058460000000001</v>
      </c>
      <c r="L3635">
        <v>162.86600000000001</v>
      </c>
      <c r="M3635">
        <v>-0.2143593</v>
      </c>
      <c r="N3635">
        <v>-6.6139249999999997E-3</v>
      </c>
      <c r="O3635">
        <v>-0.9767325</v>
      </c>
      <c r="P3635">
        <v>-0.4754892</v>
      </c>
      <c r="Q3635">
        <v>4.3804820000000001E-2</v>
      </c>
      <c r="R3635">
        <v>-0.87863029999999998</v>
      </c>
      <c r="S3635">
        <v>-1.8458399999999999</v>
      </c>
      <c r="T3635">
        <v>-0.15169929999999901</v>
      </c>
      <c r="U3635">
        <v>-2.4243009999999998</v>
      </c>
      <c r="V3635">
        <v>0.27642260000000002</v>
      </c>
      <c r="W3635">
        <v>4.8283220000000002E-2</v>
      </c>
      <c r="X3635">
        <v>0.95982250000000002</v>
      </c>
      <c r="Y3635">
        <v>0.42046670000000003</v>
      </c>
      <c r="Z3635">
        <v>4.4780760000000003E-2</v>
      </c>
      <c r="AA3635">
        <v>0.90620219999999996</v>
      </c>
      <c r="AB3635">
        <v>26</v>
      </c>
      <c r="AC3635">
        <v>-13.422599999999999</v>
      </c>
      <c r="AD3635">
        <v>-1.1058557643889999</v>
      </c>
      <c r="AE3635">
        <v>-17.529900000000001</v>
      </c>
      <c r="AF3635">
        <v>9.3293920149319298</v>
      </c>
      <c r="AG3635">
        <v>-1.1058557643889999</v>
      </c>
      <c r="AH3635">
        <v>19.949670891814598</v>
      </c>
      <c r="AI3635">
        <v>92.874574654262204</v>
      </c>
      <c r="AJ3635">
        <v>64.937027345056606</v>
      </c>
      <c r="AK3635">
        <v>22.0510734666506</v>
      </c>
      <c r="AL3635">
        <v>87.232499200487993</v>
      </c>
      <c r="AM3635">
        <v>73.9339456321553</v>
      </c>
      <c r="AN3635">
        <v>0.999999977315289</v>
      </c>
    </row>
    <row r="3636" spans="1:40" x14ac:dyDescent="0.25">
      <c r="A3636" t="str">
        <f>"20190305135902602"</f>
        <v>20190305135902602</v>
      </c>
      <c r="B3636" t="str">
        <f>"1551765542592206"</f>
        <v>1551765542592206</v>
      </c>
      <c r="C3636" t="s">
        <v>40</v>
      </c>
      <c r="D3636">
        <v>4.3074830000000004</v>
      </c>
      <c r="E3636">
        <v>0.5573977</v>
      </c>
      <c r="F3636" t="s">
        <v>79</v>
      </c>
      <c r="G3636">
        <v>-203.45240000000001</v>
      </c>
      <c r="H3636" s="1">
        <v>-9.6008930000000007E-6</v>
      </c>
      <c r="I3636">
        <v>145.03319999999999</v>
      </c>
      <c r="J3636">
        <v>-189.8389</v>
      </c>
      <c r="K3636">
        <v>1.105817</v>
      </c>
      <c r="L3636">
        <v>162.73439999999999</v>
      </c>
      <c r="M3636">
        <v>-0.21643999999999999</v>
      </c>
      <c r="N3636">
        <v>-6.4509579999999997E-3</v>
      </c>
      <c r="O3636">
        <v>-0.97627470000000005</v>
      </c>
      <c r="P3636">
        <v>-0.4773482</v>
      </c>
      <c r="Q3636">
        <v>4.4012210000000003E-2</v>
      </c>
      <c r="R3636">
        <v>-0.87761119999999904</v>
      </c>
      <c r="S3636">
        <v>-1.851532</v>
      </c>
      <c r="T3636">
        <v>-0.1500621</v>
      </c>
      <c r="U3636">
        <v>-2.419861</v>
      </c>
      <c r="V3636">
        <v>0.2764142</v>
      </c>
      <c r="W3636">
        <v>4.8323240000000003E-2</v>
      </c>
      <c r="X3636">
        <v>0.95982299999999998</v>
      </c>
      <c r="Y3636">
        <v>0.42069410000000002</v>
      </c>
      <c r="Z3636">
        <v>4.4392420000000002E-2</v>
      </c>
      <c r="AA3636">
        <v>0.90611580000000003</v>
      </c>
      <c r="AB3636">
        <v>26</v>
      </c>
      <c r="AC3636">
        <v>-13.6135</v>
      </c>
      <c r="AD3636">
        <v>-1.105826600893</v>
      </c>
      <c r="AE3636">
        <v>-17.7012</v>
      </c>
      <c r="AF3636">
        <v>9.4363234006169794</v>
      </c>
      <c r="AG3636">
        <v>-1.105826600893</v>
      </c>
      <c r="AH3636">
        <v>20.178675041307201</v>
      </c>
      <c r="AI3636">
        <v>92.841939306315993</v>
      </c>
      <c r="AJ3636">
        <v>64.9374038174128</v>
      </c>
      <c r="AK3636">
        <v>22.303496995201201</v>
      </c>
      <c r="AL3636">
        <v>87.230203796163295</v>
      </c>
      <c r="AM3636">
        <v>73.934416597653794</v>
      </c>
      <c r="AN3636">
        <v>1.00000006840736</v>
      </c>
    </row>
    <row r="3637" spans="1:40" x14ac:dyDescent="0.25">
      <c r="A3637" t="str">
        <f>"20190305135902617"</f>
        <v>20190305135902617</v>
      </c>
      <c r="B3637" t="str">
        <f>"1551765542612702"</f>
        <v>1551765542612702</v>
      </c>
      <c r="C3637" t="s">
        <v>40</v>
      </c>
      <c r="D3637">
        <v>4.278905</v>
      </c>
      <c r="E3637">
        <v>0.55745800000000001</v>
      </c>
      <c r="F3637" t="s">
        <v>79</v>
      </c>
      <c r="G3637">
        <v>-203.61269999999999</v>
      </c>
      <c r="H3637" s="1">
        <v>-9.4828869999999997E-6</v>
      </c>
      <c r="I3637">
        <v>144.81479999999999</v>
      </c>
      <c r="J3637">
        <v>-189.87989999999999</v>
      </c>
      <c r="K3637">
        <v>1.105782</v>
      </c>
      <c r="L3637">
        <v>162.56200000000001</v>
      </c>
      <c r="M3637">
        <v>-0.2191641</v>
      </c>
      <c r="N3637">
        <v>-6.2515940000000001E-3</v>
      </c>
      <c r="O3637">
        <v>-0.97566790000000003</v>
      </c>
      <c r="P3637">
        <v>-0.47997529999999999</v>
      </c>
      <c r="Q3637">
        <v>4.4049310000000001E-2</v>
      </c>
      <c r="R3637">
        <v>-0.87617559999999906</v>
      </c>
      <c r="S3637">
        <v>-1.8569180000000001</v>
      </c>
      <c r="T3637">
        <v>-0.14908179999999999</v>
      </c>
      <c r="U3637">
        <v>-2.4158330000000001</v>
      </c>
      <c r="V3637">
        <v>0.27661259999999999</v>
      </c>
      <c r="W3637">
        <v>4.8153189999999998E-2</v>
      </c>
      <c r="X3637">
        <v>0.95977429999999997</v>
      </c>
      <c r="Y3637">
        <v>0.42016920000000002</v>
      </c>
      <c r="Z3637">
        <v>4.4251209999999999E-2</v>
      </c>
      <c r="AA3637">
        <v>0.90636620000000001</v>
      </c>
      <c r="AB3637">
        <v>26</v>
      </c>
      <c r="AC3637">
        <v>-13.7327999999999</v>
      </c>
      <c r="AD3637">
        <v>-1.1057914828869999</v>
      </c>
      <c r="AE3637">
        <v>-17.747199999999999</v>
      </c>
      <c r="AF3637">
        <v>9.4862542050920808</v>
      </c>
      <c r="AG3637">
        <v>-1.1057914828869999</v>
      </c>
      <c r="AH3637">
        <v>20.2762721980124</v>
      </c>
      <c r="AI3637">
        <v>92.827963300908095</v>
      </c>
      <c r="AJ3637">
        <v>64.927455991224505</v>
      </c>
      <c r="AK3637">
        <v>22.412920557016701</v>
      </c>
      <c r="AL3637">
        <v>87.239958064067807</v>
      </c>
      <c r="AM3637">
        <v>73.922707300354404</v>
      </c>
      <c r="AN3637">
        <v>0.99999998356321196</v>
      </c>
    </row>
    <row r="3638" spans="1:40" x14ac:dyDescent="0.25">
      <c r="A3638" t="str">
        <f>"20190305135902635"</f>
        <v>20190305135902635</v>
      </c>
      <c r="B3638" t="str">
        <f>"1551765542622462"</f>
        <v>1551765542622462</v>
      </c>
      <c r="C3638" t="s">
        <v>40</v>
      </c>
      <c r="D3638">
        <v>4.3001760000000004</v>
      </c>
      <c r="E3638">
        <v>0.55746989999999996</v>
      </c>
      <c r="F3638" t="s">
        <v>79</v>
      </c>
      <c r="G3638">
        <v>-203.79230000000001</v>
      </c>
      <c r="H3638" s="1">
        <v>-9.3527609999999996E-6</v>
      </c>
      <c r="I3638">
        <v>144.578</v>
      </c>
      <c r="J3638">
        <v>-189.92619999999999</v>
      </c>
      <c r="K3638">
        <v>1.105745</v>
      </c>
      <c r="L3638">
        <v>162.37029999999999</v>
      </c>
      <c r="M3638">
        <v>-0.222194</v>
      </c>
      <c r="N3638">
        <v>-6.0489469999999998E-3</v>
      </c>
      <c r="O3638">
        <v>-0.97498379999999996</v>
      </c>
      <c r="P3638">
        <v>-0.48282180000000002</v>
      </c>
      <c r="Q3638">
        <v>4.4469729999999999E-2</v>
      </c>
      <c r="R3638">
        <v>-0.87458910000000001</v>
      </c>
      <c r="S3638">
        <v>-1.864441</v>
      </c>
      <c r="T3638">
        <v>-0.14818999999999999</v>
      </c>
      <c r="U3638">
        <v>-2.4100799999999998</v>
      </c>
      <c r="V3638">
        <v>0.27676139999999999</v>
      </c>
      <c r="W3638">
        <v>4.8361330000000001E-2</v>
      </c>
      <c r="X3638">
        <v>0.95972100000000005</v>
      </c>
      <c r="Y3638">
        <v>0.42017349999999998</v>
      </c>
      <c r="Z3638">
        <v>4.4146980000000002E-2</v>
      </c>
      <c r="AA3638">
        <v>0.90636930000000004</v>
      </c>
      <c r="AB3638">
        <v>26</v>
      </c>
      <c r="AC3638">
        <v>-13.866099999999999</v>
      </c>
      <c r="AD3638">
        <v>-1.1057543527610001</v>
      </c>
      <c r="AE3638">
        <v>-17.792299999999901</v>
      </c>
      <c r="AF3638">
        <v>9.5431233127561192</v>
      </c>
      <c r="AG3638">
        <v>-1.1057543527610001</v>
      </c>
      <c r="AH3638">
        <v>20.379569831817602</v>
      </c>
      <c r="AI3638">
        <v>92.813106029449798</v>
      </c>
      <c r="AJ3638">
        <v>64.907758092532006</v>
      </c>
      <c r="AK3638">
        <v>22.530440780886899</v>
      </c>
      <c r="AL3638">
        <v>87.228018778625497</v>
      </c>
      <c r="AM3638">
        <v>73.913658827889194</v>
      </c>
      <c r="AN3638">
        <v>1.00000004430516</v>
      </c>
    </row>
    <row r="3639" spans="1:40" x14ac:dyDescent="0.25">
      <c r="A3639" t="str">
        <f>"20190305135902655"</f>
        <v>20190305135902655</v>
      </c>
      <c r="B3639" t="str">
        <f>"1551765542642958"</f>
        <v>1551765542642958</v>
      </c>
      <c r="C3639" t="s">
        <v>40</v>
      </c>
      <c r="D3639">
        <v>4.2836610000000004</v>
      </c>
      <c r="E3639">
        <v>0.55748109999999995</v>
      </c>
      <c r="F3639" t="s">
        <v>79</v>
      </c>
      <c r="G3639">
        <v>-203.8058</v>
      </c>
      <c r="H3639" s="1">
        <v>-9.341269E-6</v>
      </c>
      <c r="I3639">
        <v>144.55359999999999</v>
      </c>
      <c r="J3639">
        <v>-189.9837</v>
      </c>
      <c r="K3639">
        <v>1.105702</v>
      </c>
      <c r="L3639">
        <v>162.136</v>
      </c>
      <c r="M3639">
        <v>-0.22590540000000001</v>
      </c>
      <c r="N3639">
        <v>-5.8212180000000004E-3</v>
      </c>
      <c r="O3639">
        <v>-0.974132</v>
      </c>
      <c r="P3639">
        <v>-0.4865659</v>
      </c>
      <c r="Q3639">
        <v>4.552701E-2</v>
      </c>
      <c r="R3639">
        <v>-0.87245729999999999</v>
      </c>
      <c r="S3639">
        <v>-1.8727259999999999</v>
      </c>
      <c r="T3639">
        <v>-0.1491963</v>
      </c>
      <c r="U3639">
        <v>-2.4039459999999999</v>
      </c>
      <c r="V3639">
        <v>0.2772425</v>
      </c>
      <c r="W3639">
        <v>4.9172899999999999E-2</v>
      </c>
      <c r="X3639">
        <v>0.95954079999999997</v>
      </c>
      <c r="Y3639">
        <v>0.41977150000000002</v>
      </c>
      <c r="Z3639">
        <v>4.4696069999999997E-2</v>
      </c>
      <c r="AA3639">
        <v>0.90652869999999997</v>
      </c>
      <c r="AB3639">
        <v>26</v>
      </c>
      <c r="AC3639">
        <v>-13.822100000000001</v>
      </c>
      <c r="AD3639">
        <v>-1.1057113412690001</v>
      </c>
      <c r="AE3639">
        <v>-17.5824</v>
      </c>
      <c r="AF3639">
        <v>9.4696040996619004</v>
      </c>
      <c r="AG3639">
        <v>-1.1057113412690001</v>
      </c>
      <c r="AH3639">
        <v>20.201029110841301</v>
      </c>
      <c r="AI3639">
        <v>92.837274750726806</v>
      </c>
      <c r="AJ3639">
        <v>64.884300781506795</v>
      </c>
      <c r="AK3639">
        <v>22.3378059914487</v>
      </c>
      <c r="AL3639">
        <v>87.181463620384093</v>
      </c>
      <c r="AM3639">
        <v>73.884276757386601</v>
      </c>
      <c r="AN3639">
        <v>0.99999996238264899</v>
      </c>
    </row>
    <row r="3640" spans="1:40" x14ac:dyDescent="0.25">
      <c r="A3640" t="str">
        <f>"20190305135902668"</f>
        <v>20190305135902668</v>
      </c>
      <c r="B3640" t="str">
        <f>"1551765542662985"</f>
        <v>1551765542662985</v>
      </c>
      <c r="C3640" t="s">
        <v>40</v>
      </c>
      <c r="D3640">
        <v>4.3006419999999999</v>
      </c>
      <c r="E3640">
        <v>0.55761309999999997</v>
      </c>
      <c r="F3640" t="s">
        <v>79</v>
      </c>
      <c r="G3640">
        <v>-203.84970000000001</v>
      </c>
      <c r="H3640" s="1">
        <v>-9.3090130000000007E-6</v>
      </c>
      <c r="I3640">
        <v>144.494</v>
      </c>
      <c r="J3640">
        <v>-190.0213</v>
      </c>
      <c r="K3640">
        <v>1.105667</v>
      </c>
      <c r="L3640">
        <v>161.98500000000001</v>
      </c>
      <c r="M3640">
        <v>-0.2283058</v>
      </c>
      <c r="N3640">
        <v>-5.68893E-3</v>
      </c>
      <c r="O3640">
        <v>-0.97357300000000002</v>
      </c>
      <c r="P3640">
        <v>-0.48886499999999999</v>
      </c>
      <c r="Q3640">
        <v>4.6269030000000003E-2</v>
      </c>
      <c r="R3640">
        <v>-0.87113169999999995</v>
      </c>
      <c r="S3640">
        <v>-1.8832549999999999</v>
      </c>
      <c r="T3640">
        <v>-0.150176</v>
      </c>
      <c r="U3640">
        <v>-2.3961030000000001</v>
      </c>
      <c r="V3640">
        <v>0.27742420000000001</v>
      </c>
      <c r="W3640">
        <v>4.9769639999999997E-2</v>
      </c>
      <c r="X3640">
        <v>0.95945760000000002</v>
      </c>
      <c r="Y3640">
        <v>0.42142649999999998</v>
      </c>
      <c r="Z3640">
        <v>4.5157940000000001E-2</v>
      </c>
      <c r="AA3640">
        <v>0.90573749999999997</v>
      </c>
      <c r="AB3640">
        <v>26</v>
      </c>
      <c r="AC3640">
        <v>-13.8284</v>
      </c>
      <c r="AD3640">
        <v>-1.105676309013</v>
      </c>
      <c r="AE3640">
        <v>-17.491</v>
      </c>
      <c r="AF3640">
        <v>9.4465827711063692</v>
      </c>
      <c r="AG3640">
        <v>-1.105676309013</v>
      </c>
      <c r="AH3640">
        <v>20.136676746484</v>
      </c>
      <c r="AI3640">
        <v>92.845849575394993</v>
      </c>
      <c r="AJ3640">
        <v>64.867635570653206</v>
      </c>
      <c r="AK3640">
        <v>22.269849495316901</v>
      </c>
      <c r="AL3640">
        <v>87.147231254803202</v>
      </c>
      <c r="AM3640">
        <v>73.872937951416802</v>
      </c>
      <c r="AN3640">
        <v>1.0000000450045601</v>
      </c>
    </row>
    <row r="3641" spans="1:40" x14ac:dyDescent="0.25">
      <c r="A3641" t="str">
        <f>"20190305135902681"</f>
        <v>20190305135902681</v>
      </c>
      <c r="B3641" t="str">
        <f>"1551765542672745"</f>
        <v>1551765542672745</v>
      </c>
      <c r="C3641" t="s">
        <v>40</v>
      </c>
      <c r="D3641">
        <v>4.2376849999999999</v>
      </c>
      <c r="E3641">
        <v>0.55777840000000001</v>
      </c>
      <c r="F3641" t="s">
        <v>79</v>
      </c>
      <c r="G3641">
        <v>-203.8032</v>
      </c>
      <c r="H3641" s="1">
        <v>-9.3433019999999996E-6</v>
      </c>
      <c r="I3641">
        <v>144.55770000000001</v>
      </c>
      <c r="J3641">
        <v>-190.0592</v>
      </c>
      <c r="K3641">
        <v>1.1056330000000001</v>
      </c>
      <c r="L3641">
        <v>161.83369999999999</v>
      </c>
      <c r="M3641">
        <v>-0.23071620000000001</v>
      </c>
      <c r="N3641">
        <v>-5.5635969999999896E-3</v>
      </c>
      <c r="O3641">
        <v>-0.97300520000000001</v>
      </c>
      <c r="P3641">
        <v>-0.4911681</v>
      </c>
      <c r="Q3641">
        <v>4.671264E-2</v>
      </c>
      <c r="R3641">
        <v>-0.86981149999999996</v>
      </c>
      <c r="S3641">
        <v>-1.890701</v>
      </c>
      <c r="T3641">
        <v>-0.15168429999999999</v>
      </c>
      <c r="U3641">
        <v>-2.3907929999999999</v>
      </c>
      <c r="V3641">
        <v>0.27759790000000001</v>
      </c>
      <c r="W3641">
        <v>5.0073010000000001E-2</v>
      </c>
      <c r="X3641">
        <v>0.95939149999999995</v>
      </c>
      <c r="Y3641">
        <v>0.42187910000000001</v>
      </c>
      <c r="Z3641">
        <v>4.5779090000000001E-2</v>
      </c>
      <c r="AA3641">
        <v>0.90549559999999996</v>
      </c>
      <c r="AB3641">
        <v>26</v>
      </c>
      <c r="AC3641">
        <v>-13.744</v>
      </c>
      <c r="AD3641">
        <v>-1.105642343302</v>
      </c>
      <c r="AE3641">
        <v>-17.2759999999999</v>
      </c>
      <c r="AF3641">
        <v>9.3637882080610595</v>
      </c>
      <c r="AG3641">
        <v>-1.105642343302</v>
      </c>
      <c r="AH3641">
        <v>19.930917203235801</v>
      </c>
      <c r="AI3641">
        <v>92.874331236416097</v>
      </c>
      <c r="AJ3641">
        <v>64.835289053554703</v>
      </c>
      <c r="AK3641">
        <v>22.048683297625001</v>
      </c>
      <c r="AL3641">
        <v>87.129827535262706</v>
      </c>
      <c r="AM3641">
        <v>73.8623120072034</v>
      </c>
      <c r="AN3641">
        <v>0.999999975343559</v>
      </c>
    </row>
    <row r="3642" spans="1:40" x14ac:dyDescent="0.25">
      <c r="A3642" t="str">
        <f>"20190305135902693"</f>
        <v>20190305135902693</v>
      </c>
      <c r="B3642" t="str">
        <f>"1551765542682505"</f>
        <v>1551765542682505</v>
      </c>
      <c r="C3642" t="s">
        <v>40</v>
      </c>
      <c r="D3642">
        <v>4.2930529999999996</v>
      </c>
      <c r="E3642">
        <v>0.55784789999999995</v>
      </c>
      <c r="F3642" t="s">
        <v>79</v>
      </c>
      <c r="G3642">
        <v>-204.12190000000001</v>
      </c>
      <c r="H3642" s="1">
        <v>-9.1192700000000005E-6</v>
      </c>
      <c r="I3642">
        <v>144.1634</v>
      </c>
      <c r="J3642">
        <v>-190.09649999999999</v>
      </c>
      <c r="K3642">
        <v>1.105588</v>
      </c>
      <c r="L3642">
        <v>161.68680000000001</v>
      </c>
      <c r="M3642">
        <v>-0.2330672</v>
      </c>
      <c r="N3642">
        <v>-5.4532309999999898E-3</v>
      </c>
      <c r="O3642">
        <v>-0.97244540000000002</v>
      </c>
      <c r="P3642">
        <v>-0.49372149999999998</v>
      </c>
      <c r="Q3642">
        <v>4.6926830000000003E-2</v>
      </c>
      <c r="R3642">
        <v>-0.86835289999999998</v>
      </c>
      <c r="S3642">
        <v>-1.898193</v>
      </c>
      <c r="T3642">
        <v>-0.1492406</v>
      </c>
      <c r="U3642">
        <v>-2.3851469999999999</v>
      </c>
      <c r="V3642">
        <v>0.2781052</v>
      </c>
      <c r="W3642">
        <v>5.0157300000000002E-2</v>
      </c>
      <c r="X3642">
        <v>0.95924019999999999</v>
      </c>
      <c r="Y3642">
        <v>0.42249680000000001</v>
      </c>
      <c r="Z3642">
        <v>4.5067030000000001E-2</v>
      </c>
      <c r="AA3642">
        <v>0.90524329999999997</v>
      </c>
      <c r="AB3642">
        <v>26</v>
      </c>
      <c r="AC3642">
        <v>-14.025399999999999</v>
      </c>
      <c r="AD3642">
        <v>-1.10559711927</v>
      </c>
      <c r="AE3642">
        <v>-17.523399999999999</v>
      </c>
      <c r="AF3642">
        <v>9.5318200339713393</v>
      </c>
      <c r="AG3642">
        <v>-1.10559711927</v>
      </c>
      <c r="AH3642">
        <v>20.2605522717501</v>
      </c>
      <c r="AI3642">
        <v>92.826821308694704</v>
      </c>
      <c r="AJ3642">
        <v>64.804797861109293</v>
      </c>
      <c r="AK3642">
        <v>22.418026597059601</v>
      </c>
      <c r="AL3642">
        <v>87.124992095058104</v>
      </c>
      <c r="AM3642">
        <v>73.831943462594097</v>
      </c>
      <c r="AN3642">
        <v>1.00000000915318</v>
      </c>
    </row>
    <row r="3643" spans="1:40" x14ac:dyDescent="0.25">
      <c r="A3643" t="str">
        <f>"20190305135902711"</f>
        <v>20190305135902711</v>
      </c>
      <c r="B3643" t="str">
        <f>"1551765542703001"</f>
        <v>1551765542703001</v>
      </c>
      <c r="C3643" t="s">
        <v>40</v>
      </c>
      <c r="D3643">
        <v>4.3365039999999997</v>
      </c>
      <c r="E3643">
        <v>0.55798499999999995</v>
      </c>
      <c r="F3643" t="s">
        <v>79</v>
      </c>
      <c r="G3643">
        <v>-204.11449999999999</v>
      </c>
      <c r="H3643" s="1">
        <v>-9.1281779999999999E-6</v>
      </c>
      <c r="I3643">
        <v>144.1866</v>
      </c>
      <c r="J3643">
        <v>-190.15090000000001</v>
      </c>
      <c r="K3643">
        <v>1.105526</v>
      </c>
      <c r="L3643">
        <v>161.47479999999999</v>
      </c>
      <c r="M3643">
        <v>-0.2364802</v>
      </c>
      <c r="N3643">
        <v>-5.3075319999999898E-3</v>
      </c>
      <c r="O3643">
        <v>-0.97162199999999999</v>
      </c>
      <c r="P3643">
        <v>-0.49703000000000003</v>
      </c>
      <c r="Q3643">
        <v>4.6571109999999999E-2</v>
      </c>
      <c r="R3643">
        <v>-0.866483</v>
      </c>
      <c r="S3643">
        <v>-1.905869</v>
      </c>
      <c r="T3643">
        <v>-0.1503149</v>
      </c>
      <c r="U3643">
        <v>-2.3792879999999998</v>
      </c>
      <c r="V3643">
        <v>0.27839350000000002</v>
      </c>
      <c r="W3643">
        <v>4.962867E-2</v>
      </c>
      <c r="X3643">
        <v>0.95918409999999998</v>
      </c>
      <c r="Y3643">
        <v>0.42216920000000002</v>
      </c>
      <c r="Z3643">
        <v>4.5560059999999999E-2</v>
      </c>
      <c r="AA3643">
        <v>0.90537140000000005</v>
      </c>
      <c r="AB3643">
        <v>26</v>
      </c>
      <c r="AC3643">
        <v>-13.9635999999999</v>
      </c>
      <c r="AD3643">
        <v>-1.1055351281779999</v>
      </c>
      <c r="AE3643">
        <v>-17.2881999999999</v>
      </c>
      <c r="AF3643">
        <v>9.4557547720543802</v>
      </c>
      <c r="AG3643">
        <v>-1.1055351281779999</v>
      </c>
      <c r="AH3643">
        <v>20.0503694308318</v>
      </c>
      <c r="AI3643">
        <v>92.854994721576205</v>
      </c>
      <c r="AJ3643">
        <v>64.751433842375803</v>
      </c>
      <c r="AK3643">
        <v>22.195738792428099</v>
      </c>
      <c r="AL3643">
        <v>87.155318224723899</v>
      </c>
      <c r="AM3643">
        <v>73.815162690180301</v>
      </c>
      <c r="AN3643">
        <v>1.0000000417105099</v>
      </c>
    </row>
    <row r="3644" spans="1:40" x14ac:dyDescent="0.25">
      <c r="A3644" t="str">
        <f>"20190305135902726"</f>
        <v>20190305135902726</v>
      </c>
      <c r="B3644" t="str">
        <f>"1551765542722522"</f>
        <v>1551765542722522</v>
      </c>
      <c r="C3644" t="s">
        <v>40</v>
      </c>
      <c r="D3644">
        <v>4.2679720000000003</v>
      </c>
      <c r="E3644">
        <v>0.55811869999999997</v>
      </c>
      <c r="F3644" t="s">
        <v>79</v>
      </c>
      <c r="G3644">
        <v>-203.92449999999999</v>
      </c>
      <c r="H3644" s="1">
        <v>-9.2637120000000003E-6</v>
      </c>
      <c r="I3644">
        <v>144.42920000000001</v>
      </c>
      <c r="J3644">
        <v>-190.19380000000001</v>
      </c>
      <c r="K3644">
        <v>1.1054820000000001</v>
      </c>
      <c r="L3644">
        <v>161.31020000000001</v>
      </c>
      <c r="M3644">
        <v>-0.2391509</v>
      </c>
      <c r="N3644">
        <v>-5.2049749999999997E-3</v>
      </c>
      <c r="O3644">
        <v>-0.97096850000000001</v>
      </c>
      <c r="P3644">
        <v>-0.49960579999999999</v>
      </c>
      <c r="Q3644">
        <v>4.6106500000000002E-2</v>
      </c>
      <c r="R3644">
        <v>-0.86502489999999999</v>
      </c>
      <c r="S3644">
        <v>-1.9161680000000001</v>
      </c>
      <c r="T3644">
        <v>-0.15380079999999999</v>
      </c>
      <c r="U3644">
        <v>-2.3713679999999999</v>
      </c>
      <c r="V3644">
        <v>0.27860489999999999</v>
      </c>
      <c r="W3644">
        <v>4.9036200000000002E-2</v>
      </c>
      <c r="X3644">
        <v>0.95915320000000004</v>
      </c>
      <c r="Y3644">
        <v>0.42349680000000001</v>
      </c>
      <c r="Z3644">
        <v>4.6830120000000003E-2</v>
      </c>
      <c r="AA3644">
        <v>0.9046864</v>
      </c>
      <c r="AB3644">
        <v>27</v>
      </c>
      <c r="AC3644">
        <v>-13.730699999999899</v>
      </c>
      <c r="AD3644">
        <v>-1.105491263712</v>
      </c>
      <c r="AE3644">
        <v>-16.881</v>
      </c>
      <c r="AF3644">
        <v>9.2711673988838204</v>
      </c>
      <c r="AG3644">
        <v>-1.105491263712</v>
      </c>
      <c r="AH3644">
        <v>19.624243860086999</v>
      </c>
      <c r="AI3644">
        <v>92.915829677897804</v>
      </c>
      <c r="AJ3644">
        <v>64.712339439794803</v>
      </c>
      <c r="AK3644">
        <v>21.7321789738726</v>
      </c>
      <c r="AL3644">
        <v>87.189305660603793</v>
      </c>
      <c r="AM3644">
        <v>73.803022313127997</v>
      </c>
      <c r="AN3644">
        <v>1.0000000501423401</v>
      </c>
    </row>
    <row r="3645" spans="1:40" x14ac:dyDescent="0.25">
      <c r="A3645" t="str">
        <f>"20190305135902740"</f>
        <v>20190305135902740</v>
      </c>
      <c r="B3645" t="str">
        <f>"1551765542732281"</f>
        <v>1551765542732281</v>
      </c>
      <c r="C3645" t="s">
        <v>40</v>
      </c>
      <c r="D3645">
        <v>4.2983510000000003</v>
      </c>
      <c r="E3645">
        <v>0.55815269999999995</v>
      </c>
      <c r="F3645" t="s">
        <v>79</v>
      </c>
      <c r="G3645">
        <v>-203.80260000000001</v>
      </c>
      <c r="H3645" s="1">
        <v>-9.3499679999999994E-6</v>
      </c>
      <c r="I3645">
        <v>144.5821</v>
      </c>
      <c r="J3645">
        <v>-190.2353</v>
      </c>
      <c r="K3645">
        <v>1.1054269999999999</v>
      </c>
      <c r="L3645">
        <v>161.15209999999999</v>
      </c>
      <c r="M3645">
        <v>-0.24173269999999999</v>
      </c>
      <c r="N3645">
        <v>-5.1135E-3</v>
      </c>
      <c r="O3645">
        <v>-0.97032940000000001</v>
      </c>
      <c r="P3645">
        <v>-0.50213909999999995</v>
      </c>
      <c r="Q3645">
        <v>4.6078500000000001E-2</v>
      </c>
      <c r="R3645">
        <v>-0.86355849999999901</v>
      </c>
      <c r="S3645">
        <v>-1.924118</v>
      </c>
      <c r="T3645">
        <v>-0.15630250000000001</v>
      </c>
      <c r="U3645">
        <v>-2.3651430000000002</v>
      </c>
      <c r="V3645">
        <v>0.27886879999999997</v>
      </c>
      <c r="W3645">
        <v>4.8889990000000001E-2</v>
      </c>
      <c r="X3645">
        <v>0.95908389999999999</v>
      </c>
      <c r="Y3645">
        <v>0.42405569999999998</v>
      </c>
      <c r="Z3645">
        <v>4.7755819999999997E-2</v>
      </c>
      <c r="AA3645">
        <v>0.90437610000000002</v>
      </c>
      <c r="AB3645">
        <v>27</v>
      </c>
      <c r="AC3645">
        <v>-13.567299999999999</v>
      </c>
      <c r="AD3645">
        <v>-1.105436349968</v>
      </c>
      <c r="AE3645">
        <v>-16.569999999999901</v>
      </c>
      <c r="AF3645">
        <v>9.1350197084582891</v>
      </c>
      <c r="AG3645">
        <v>-1.105436349968</v>
      </c>
      <c r="AH3645">
        <v>19.306830350357199</v>
      </c>
      <c r="AI3645">
        <v>92.962718073608897</v>
      </c>
      <c r="AJ3645">
        <v>64.678845220486096</v>
      </c>
      <c r="AK3645">
        <v>21.3874793459918</v>
      </c>
      <c r="AL3645">
        <v>87.197692747569505</v>
      </c>
      <c r="AM3645">
        <v>73.787375836773293</v>
      </c>
      <c r="AN3645">
        <v>0.99999998298742399</v>
      </c>
    </row>
    <row r="3646" spans="1:40" x14ac:dyDescent="0.25">
      <c r="A3646" t="str">
        <f>"20190305135902755"</f>
        <v>20190305135902755</v>
      </c>
      <c r="B3646" t="str">
        <f>"1551765542743017"</f>
        <v>1551765542743017</v>
      </c>
      <c r="C3646" t="s">
        <v>40</v>
      </c>
      <c r="D3646">
        <v>4.3142589999999998</v>
      </c>
      <c r="E3646">
        <v>0.55820780000000003</v>
      </c>
      <c r="F3646" t="s">
        <v>79</v>
      </c>
      <c r="G3646">
        <v>-203.7347</v>
      </c>
      <c r="H3646" s="1">
        <v>-9.3962279999999999E-6</v>
      </c>
      <c r="I3646">
        <v>144.66050000000001</v>
      </c>
      <c r="J3646">
        <v>-190.28540000000001</v>
      </c>
      <c r="K3646">
        <v>1.1053580000000001</v>
      </c>
      <c r="L3646">
        <v>160.96430000000001</v>
      </c>
      <c r="M3646">
        <v>-0.24483669999999999</v>
      </c>
      <c r="N3646">
        <v>-5.0227190000000001E-3</v>
      </c>
      <c r="O3646">
        <v>-0.96955139999999995</v>
      </c>
      <c r="P3646">
        <v>-0.50496579999999902</v>
      </c>
      <c r="Q3646">
        <v>4.5127199999999999E-2</v>
      </c>
      <c r="R3646">
        <v>-0.86195929999999998</v>
      </c>
      <c r="S3646">
        <v>-1.931305</v>
      </c>
      <c r="T3646">
        <v>-0.1581504</v>
      </c>
      <c r="U3646">
        <v>-2.3593899999999999</v>
      </c>
      <c r="V3646">
        <v>0.27892840000000002</v>
      </c>
      <c r="W3646">
        <v>4.7812649999999998E-2</v>
      </c>
      <c r="X3646">
        <v>0.95912090000000005</v>
      </c>
      <c r="Y3646">
        <v>0.42386760000000001</v>
      </c>
      <c r="Z3646">
        <v>4.845737E-2</v>
      </c>
      <c r="AA3646">
        <v>0.90442690000000003</v>
      </c>
      <c r="AB3646">
        <v>27</v>
      </c>
      <c r="AC3646">
        <v>-13.4492999999999</v>
      </c>
      <c r="AD3646">
        <v>-1.105367396228</v>
      </c>
      <c r="AE3646">
        <v>-16.303799999999899</v>
      </c>
      <c r="AF3646">
        <v>9.0234509405718004</v>
      </c>
      <c r="AG3646">
        <v>-1.105367396228</v>
      </c>
      <c r="AH3646">
        <v>19.0483913652184</v>
      </c>
      <c r="AI3646">
        <v>93.002002946853196</v>
      </c>
      <c r="AJ3646">
        <v>64.652525186575701</v>
      </c>
      <c r="AK3646">
        <v>21.1065325802244</v>
      </c>
      <c r="AL3646">
        <v>87.259492118064699</v>
      </c>
      <c r="AM3646">
        <v>73.784685625834896</v>
      </c>
      <c r="AN3646">
        <v>1.0000000013216901</v>
      </c>
    </row>
    <row r="3647" spans="1:40" x14ac:dyDescent="0.25">
      <c r="A3647" t="str">
        <f>"20190305135902767"</f>
        <v>20190305135902767</v>
      </c>
      <c r="B3647" t="str">
        <f>"1551765542763044"</f>
        <v>1551765542763044</v>
      </c>
      <c r="C3647" t="s">
        <v>40</v>
      </c>
      <c r="D3647">
        <v>4.2536480000000001</v>
      </c>
      <c r="E3647">
        <v>0.55834869999999903</v>
      </c>
      <c r="F3647" t="s">
        <v>79</v>
      </c>
      <c r="G3647">
        <v>-203.45240000000001</v>
      </c>
      <c r="H3647" s="1">
        <v>-9.5897459999999998E-6</v>
      </c>
      <c r="I3647">
        <v>144.99100000000001</v>
      </c>
      <c r="J3647">
        <v>-190.32300000000001</v>
      </c>
      <c r="K3647">
        <v>1.105305</v>
      </c>
      <c r="L3647">
        <v>160.8252</v>
      </c>
      <c r="M3647">
        <v>-0.2471641</v>
      </c>
      <c r="N3647">
        <v>-4.9647830000000004E-3</v>
      </c>
      <c r="O3647">
        <v>-0.96896110000000002</v>
      </c>
      <c r="P3647">
        <v>-0.50724529999999901</v>
      </c>
      <c r="Q3647">
        <v>4.5089009999999999E-2</v>
      </c>
      <c r="R3647">
        <v>-0.86062159999999999</v>
      </c>
      <c r="S3647">
        <v>-1.939438</v>
      </c>
      <c r="T3647">
        <v>-0.16281499999999999</v>
      </c>
      <c r="U3647">
        <v>-2.3527830000000001</v>
      </c>
      <c r="V3647">
        <v>0.27916809999999997</v>
      </c>
      <c r="W3647">
        <v>4.7685949999999998E-2</v>
      </c>
      <c r="X3647">
        <v>0.95905750000000001</v>
      </c>
      <c r="Y3647">
        <v>0.42474899999999999</v>
      </c>
      <c r="Z3647">
        <v>5.0079220000000001E-2</v>
      </c>
      <c r="AA3647">
        <v>0.90392499999999998</v>
      </c>
      <c r="AB3647">
        <v>27</v>
      </c>
      <c r="AC3647">
        <v>-13.1294</v>
      </c>
      <c r="AD3647">
        <v>-1.1053145897459999</v>
      </c>
      <c r="AE3647">
        <v>-15.8341999999999</v>
      </c>
      <c r="AF3647">
        <v>8.7829780077747497</v>
      </c>
      <c r="AG3647">
        <v>-1.1053145897459999</v>
      </c>
      <c r="AH3647">
        <v>18.534547020982998</v>
      </c>
      <c r="AI3647">
        <v>93.084734514575104</v>
      </c>
      <c r="AJ3647">
        <v>64.645099676506305</v>
      </c>
      <c r="AK3647">
        <v>20.5400062390543</v>
      </c>
      <c r="AL3647">
        <v>87.266759870086304</v>
      </c>
      <c r="AM3647">
        <v>73.7704676140483</v>
      </c>
      <c r="AN3647">
        <v>1.00000003309563</v>
      </c>
    </row>
    <row r="3648" spans="1:40" x14ac:dyDescent="0.25">
      <c r="A3648" t="str">
        <f>"20190305135902781"</f>
        <v>20190305135902781</v>
      </c>
      <c r="B3648" t="str">
        <f>"1551765542772805"</f>
        <v>1551765542772805</v>
      </c>
      <c r="C3648" t="s">
        <v>40</v>
      </c>
      <c r="D3648">
        <v>4.3220349999999996</v>
      </c>
      <c r="E3648">
        <v>0.55841350000000001</v>
      </c>
      <c r="F3648" t="s">
        <v>79</v>
      </c>
      <c r="G3648">
        <v>-203.35929999999999</v>
      </c>
      <c r="H3648" s="1">
        <v>-9.6558990000000008E-6</v>
      </c>
      <c r="I3648">
        <v>145.10890000000001</v>
      </c>
      <c r="J3648">
        <v>-190.3681</v>
      </c>
      <c r="K3648">
        <v>1.1052390000000001</v>
      </c>
      <c r="L3648">
        <v>160.65940000000001</v>
      </c>
      <c r="M3648">
        <v>-0.2499593</v>
      </c>
      <c r="N3648">
        <v>-4.9010069999999998E-3</v>
      </c>
      <c r="O3648">
        <v>-0.96824390000000005</v>
      </c>
      <c r="P3648">
        <v>-0.50988979999999995</v>
      </c>
      <c r="Q3648">
        <v>4.4926609999999999E-2</v>
      </c>
      <c r="R3648">
        <v>-0.85906579999999999</v>
      </c>
      <c r="S3648">
        <v>-1.9468380000000001</v>
      </c>
      <c r="T3648">
        <v>-0.16506670000000001</v>
      </c>
      <c r="U3648">
        <v>-2.3470610000000001</v>
      </c>
      <c r="V3648">
        <v>0.27935290000000002</v>
      </c>
      <c r="W3648">
        <v>4.7421610000000003E-2</v>
      </c>
      <c r="X3648">
        <v>0.95901670000000006</v>
      </c>
      <c r="Y3648">
        <v>0.42488239999999999</v>
      </c>
      <c r="Z3648">
        <v>5.0887969999999998E-2</v>
      </c>
      <c r="AA3648">
        <v>0.90381710000000004</v>
      </c>
      <c r="AB3648">
        <v>27</v>
      </c>
      <c r="AC3648">
        <v>-12.9911999999999</v>
      </c>
      <c r="AD3648">
        <v>-1.10524865589899</v>
      </c>
      <c r="AE3648">
        <v>-15.5505</v>
      </c>
      <c r="AF3648">
        <v>8.6659799924685696</v>
      </c>
      <c r="AG3648">
        <v>-1.10524865589899</v>
      </c>
      <c r="AH3648">
        <v>18.249872037245101</v>
      </c>
      <c r="AI3648">
        <v>93.131383627004396</v>
      </c>
      <c r="AJ3648">
        <v>64.599222143900604</v>
      </c>
      <c r="AK3648">
        <v>20.233106859725002</v>
      </c>
      <c r="AL3648">
        <v>87.281922340345005</v>
      </c>
      <c r="AM3648">
        <v>73.759635766292206</v>
      </c>
      <c r="AN3648">
        <v>0.99999994135614401</v>
      </c>
    </row>
    <row r="3649" spans="1:40" x14ac:dyDescent="0.25">
      <c r="A3649" t="str">
        <f>"20190305135902793"</f>
        <v>20190305135902793</v>
      </c>
      <c r="B3649" t="str">
        <f>"1551765542782564"</f>
        <v>1551765542782564</v>
      </c>
      <c r="C3649" t="s">
        <v>40</v>
      </c>
      <c r="D3649">
        <v>4.2764410000000002</v>
      </c>
      <c r="E3649">
        <v>0.55847559999999996</v>
      </c>
      <c r="F3649" t="s">
        <v>79</v>
      </c>
      <c r="G3649">
        <v>-203.30959999999999</v>
      </c>
      <c r="H3649" s="1">
        <v>-9.6888990000000003E-6</v>
      </c>
      <c r="I3649">
        <v>145.16299999999899</v>
      </c>
      <c r="J3649">
        <v>-190.40819999999999</v>
      </c>
      <c r="K3649">
        <v>1.1051799999999901</v>
      </c>
      <c r="L3649">
        <v>160.51410000000001</v>
      </c>
      <c r="M3649">
        <v>-0.25244450000000002</v>
      </c>
      <c r="N3649">
        <v>-4.8516339999999996E-3</v>
      </c>
      <c r="O3649">
        <v>-0.96759919999999999</v>
      </c>
      <c r="P3649">
        <v>-0.51233200000000001</v>
      </c>
      <c r="Q3649">
        <v>4.4865790000000003E-2</v>
      </c>
      <c r="R3649">
        <v>-0.85761489999999996</v>
      </c>
      <c r="S3649">
        <v>-1.954758</v>
      </c>
      <c r="T3649">
        <v>-0.1669426</v>
      </c>
      <c r="U3649">
        <v>-2.340652</v>
      </c>
      <c r="V3649">
        <v>0.27962409999999999</v>
      </c>
      <c r="W3649">
        <v>4.7273959999999997E-2</v>
      </c>
      <c r="X3649">
        <v>0.95894500000000005</v>
      </c>
      <c r="Y3649">
        <v>0.42555530000000003</v>
      </c>
      <c r="Z3649">
        <v>5.1564659999999998E-2</v>
      </c>
      <c r="AA3649">
        <v>0.90346210000000005</v>
      </c>
      <c r="AB3649">
        <v>27</v>
      </c>
      <c r="AC3649">
        <v>-12.901399999999899</v>
      </c>
      <c r="AD3649">
        <v>-1.1051896888989901</v>
      </c>
      <c r="AE3649">
        <v>-15.351100000000001</v>
      </c>
      <c r="AF3649">
        <v>8.5821155522649697</v>
      </c>
      <c r="AG3649">
        <v>-1.1051896888989901</v>
      </c>
      <c r="AH3649">
        <v>18.055965312054699</v>
      </c>
      <c r="AI3649">
        <v>93.164218939549997</v>
      </c>
      <c r="AJ3649">
        <v>64.577960764371099</v>
      </c>
      <c r="AK3649">
        <v>20.022288454394999</v>
      </c>
      <c r="AL3649">
        <v>87.290391689902407</v>
      </c>
      <c r="AM3649">
        <v>73.743550300888202</v>
      </c>
      <c r="AN3649">
        <v>0.99999998880994501</v>
      </c>
    </row>
    <row r="3650" spans="1:40" x14ac:dyDescent="0.25">
      <c r="A3650" t="str">
        <f>"20190305135902805"</f>
        <v>20190305135902805</v>
      </c>
      <c r="B3650" t="str">
        <f>"1551765542803060"</f>
        <v>1551765542803060</v>
      </c>
      <c r="C3650" t="s">
        <v>40</v>
      </c>
      <c r="D3650">
        <v>4.2168239999999999</v>
      </c>
      <c r="E3650">
        <v>0.55863609999999997</v>
      </c>
      <c r="F3650" t="s">
        <v>79</v>
      </c>
      <c r="G3650">
        <v>-203.26240000000001</v>
      </c>
      <c r="H3650" s="1">
        <v>-9.7203719999999994E-6</v>
      </c>
      <c r="I3650">
        <v>145.2149</v>
      </c>
      <c r="J3650">
        <v>-190.44730000000001</v>
      </c>
      <c r="K3650">
        <v>1.105119</v>
      </c>
      <c r="L3650">
        <v>160.37379999999999</v>
      </c>
      <c r="M3650">
        <v>-0.25487320000000002</v>
      </c>
      <c r="N3650">
        <v>-4.8095509999999996E-3</v>
      </c>
      <c r="O3650">
        <v>-0.96696269999999995</v>
      </c>
      <c r="P3650">
        <v>-0.51458190000000004</v>
      </c>
      <c r="Q3650">
        <v>4.455692E-2</v>
      </c>
      <c r="R3650">
        <v>-0.85628289999999996</v>
      </c>
      <c r="S3650">
        <v>-1.9618070000000001</v>
      </c>
      <c r="T3650">
        <v>-0.16867360000000001</v>
      </c>
      <c r="U3650">
        <v>-2.3349609999999998</v>
      </c>
      <c r="V3650">
        <v>0.27973350000000002</v>
      </c>
      <c r="W3650">
        <v>4.688577E-2</v>
      </c>
      <c r="X3650">
        <v>0.95893220000000001</v>
      </c>
      <c r="Y3650">
        <v>0.42594650000000001</v>
      </c>
      <c r="Z3650">
        <v>5.2182899999999997E-2</v>
      </c>
      <c r="AA3650">
        <v>0.9032422</v>
      </c>
      <c r="AB3650">
        <v>27</v>
      </c>
      <c r="AC3650">
        <v>-12.815099999999999</v>
      </c>
      <c r="AD3650">
        <v>-1.1051287203719999</v>
      </c>
      <c r="AE3650">
        <v>-15.1588999999999</v>
      </c>
      <c r="AF3650">
        <v>8.5018709459905697</v>
      </c>
      <c r="AG3650">
        <v>-1.1051287203719999</v>
      </c>
      <c r="AH3650">
        <v>17.8691331265366</v>
      </c>
      <c r="AI3650">
        <v>93.196465846082504</v>
      </c>
      <c r="AJ3650">
        <v>64.5555814826117</v>
      </c>
      <c r="AK3650">
        <v>19.819410631115101</v>
      </c>
      <c r="AL3650">
        <v>87.312658154544806</v>
      </c>
      <c r="AM3650">
        <v>73.737320601141207</v>
      </c>
      <c r="AN3650">
        <v>1.0000000353237899</v>
      </c>
    </row>
    <row r="3651" spans="1:40" x14ac:dyDescent="0.25">
      <c r="A3651" t="str">
        <f>"20190305135902824"</f>
        <v>20190305135902824</v>
      </c>
      <c r="B3651" t="str">
        <f>"1551765542812820"</f>
        <v>1551765542812820</v>
      </c>
      <c r="C3651" t="s">
        <v>40</v>
      </c>
      <c r="D3651">
        <v>4.2844179999999996</v>
      </c>
      <c r="E3651">
        <v>0.55873949999999994</v>
      </c>
      <c r="F3651" t="s">
        <v>79</v>
      </c>
      <c r="G3651">
        <v>-203.13069999999999</v>
      </c>
      <c r="H3651" s="1">
        <v>-9.8104630000000008E-6</v>
      </c>
      <c r="I3651">
        <v>145.36840000000001</v>
      </c>
      <c r="J3651">
        <v>-190.50819999999999</v>
      </c>
      <c r="K3651">
        <v>1.1050219999999999</v>
      </c>
      <c r="L3651">
        <v>160.15790000000001</v>
      </c>
      <c r="M3651">
        <v>-0.2586618</v>
      </c>
      <c r="N3651">
        <v>-4.7534270000000002E-3</v>
      </c>
      <c r="O3651">
        <v>-0.9659565</v>
      </c>
      <c r="P3651">
        <v>-0.51832800000000001</v>
      </c>
      <c r="Q3651">
        <v>4.3591159999999997E-2</v>
      </c>
      <c r="R3651">
        <v>-0.85407060000000001</v>
      </c>
      <c r="S3651">
        <v>-1.968842</v>
      </c>
      <c r="T3651">
        <v>-0.17154839999999999</v>
      </c>
      <c r="U3651">
        <v>-2.329285</v>
      </c>
      <c r="V3651">
        <v>0.28016380000000002</v>
      </c>
      <c r="W3651">
        <v>4.5802120000000002E-2</v>
      </c>
      <c r="X3651">
        <v>0.95885889999999996</v>
      </c>
      <c r="Y3651">
        <v>0.42504229999999998</v>
      </c>
      <c r="Z3651">
        <v>5.3183250000000001E-2</v>
      </c>
      <c r="AA3651">
        <v>0.90360980000000002</v>
      </c>
      <c r="AB3651">
        <v>27</v>
      </c>
      <c r="AC3651">
        <v>-12.6225</v>
      </c>
      <c r="AD3651">
        <v>-1.1050318104629999</v>
      </c>
      <c r="AE3651">
        <v>-14.7895</v>
      </c>
      <c r="AF3651">
        <v>8.3404606806583992</v>
      </c>
      <c r="AG3651">
        <v>-1.1050318104629999</v>
      </c>
      <c r="AH3651">
        <v>17.494659840054901</v>
      </c>
      <c r="AI3651">
        <v>93.263242969749001</v>
      </c>
      <c r="AJ3651">
        <v>64.510843967976896</v>
      </c>
      <c r="AK3651">
        <v>19.412560433569102</v>
      </c>
      <c r="AL3651">
        <v>87.374813389988702</v>
      </c>
      <c r="AM3651">
        <v>73.712450486215403</v>
      </c>
      <c r="AN3651">
        <v>0.99999998956807201</v>
      </c>
    </row>
    <row r="3652" spans="1:40" x14ac:dyDescent="0.25">
      <c r="A3652" t="str">
        <f>"20190305135902846"</f>
        <v>20190305135902846</v>
      </c>
      <c r="B3652" t="str">
        <f>"1551765542843076"</f>
        <v>1551765542843076</v>
      </c>
      <c r="C3652" t="s">
        <v>40</v>
      </c>
      <c r="D3652">
        <v>4.2417059999999998</v>
      </c>
      <c r="E3652">
        <v>0.55899100000000002</v>
      </c>
      <c r="F3652" t="s">
        <v>79</v>
      </c>
      <c r="G3652">
        <v>-202.9485</v>
      </c>
      <c r="H3652" s="1">
        <v>-9.9349730000000001E-6</v>
      </c>
      <c r="I3652">
        <v>145.58019999999999</v>
      </c>
      <c r="J3652">
        <v>-190.58179999999999</v>
      </c>
      <c r="K3652">
        <v>1.1049009999999999</v>
      </c>
      <c r="L3652">
        <v>159.90190000000001</v>
      </c>
      <c r="M3652">
        <v>-0.26324619999999999</v>
      </c>
      <c r="N3652">
        <v>-4.69989E-3</v>
      </c>
      <c r="O3652">
        <v>-0.96471739999999995</v>
      </c>
      <c r="P3652">
        <v>-0.52251800000000004</v>
      </c>
      <c r="Q3652">
        <v>4.2828819999999997E-2</v>
      </c>
      <c r="R3652">
        <v>-0.85155219999999898</v>
      </c>
      <c r="S3652">
        <v>-1.9798579999999999</v>
      </c>
      <c r="T3652">
        <v>-0.175864299999999</v>
      </c>
      <c r="U3652">
        <v>-2.3200069999999999</v>
      </c>
      <c r="V3652">
        <v>0.28031650000000002</v>
      </c>
      <c r="W3652">
        <v>4.4912319999999999E-2</v>
      </c>
      <c r="X3652">
        <v>0.95885629999999999</v>
      </c>
      <c r="Y3652">
        <v>0.42495859999999902</v>
      </c>
      <c r="Z3652">
        <v>5.4670610000000001E-2</v>
      </c>
      <c r="AA3652">
        <v>0.90356029999999998</v>
      </c>
      <c r="AB3652">
        <v>27</v>
      </c>
      <c r="AC3652">
        <v>-12.3667</v>
      </c>
      <c r="AD3652">
        <v>-1.104910934973</v>
      </c>
      <c r="AE3652">
        <v>-14.3217</v>
      </c>
      <c r="AF3652">
        <v>8.1325967610541099</v>
      </c>
      <c r="AG3652">
        <v>-1.104910934973</v>
      </c>
      <c r="AH3652">
        <v>17.014053155233999</v>
      </c>
      <c r="AI3652">
        <v>93.353222156591301</v>
      </c>
      <c r="AJ3652">
        <v>64.452531120385601</v>
      </c>
      <c r="AK3652">
        <v>18.890155187855299</v>
      </c>
      <c r="AL3652">
        <v>87.425847547195204</v>
      </c>
      <c r="AM3652">
        <v>73.704002248380107</v>
      </c>
      <c r="AN3652">
        <v>0.99999993035485801</v>
      </c>
    </row>
    <row r="3653" spans="1:40" x14ac:dyDescent="0.25">
      <c r="A3653" t="str">
        <f>"20190305135902868"</f>
        <v>20190305135902868</v>
      </c>
      <c r="B3653" t="str">
        <f>"1551765542862597"</f>
        <v>1551765542862597</v>
      </c>
      <c r="C3653" t="s">
        <v>40</v>
      </c>
      <c r="D3653">
        <v>4.3350949999999999</v>
      </c>
      <c r="E3653">
        <v>0.55910590000000004</v>
      </c>
      <c r="F3653" t="s">
        <v>79</v>
      </c>
      <c r="G3653">
        <v>-202.74279999999999</v>
      </c>
      <c r="H3653" s="1">
        <v>-1.009421E-5</v>
      </c>
      <c r="I3653">
        <v>145.8107</v>
      </c>
      <c r="J3653">
        <v>-190.65880000000001</v>
      </c>
      <c r="K3653">
        <v>1.1047739999999999</v>
      </c>
      <c r="L3653">
        <v>159.6386</v>
      </c>
      <c r="M3653">
        <v>-0.26806170000000001</v>
      </c>
      <c r="N3653">
        <v>-4.6547759999999898E-3</v>
      </c>
      <c r="O3653">
        <v>-0.96339059999999999</v>
      </c>
      <c r="P3653">
        <v>-0.52740229999999999</v>
      </c>
      <c r="Q3653">
        <v>4.2217490000000003E-2</v>
      </c>
      <c r="R3653">
        <v>-0.8485663</v>
      </c>
      <c r="S3653">
        <v>-1.99292</v>
      </c>
      <c r="T3653">
        <v>-0.18107029999999999</v>
      </c>
      <c r="U3653">
        <v>-2.3092190000000001</v>
      </c>
      <c r="V3653">
        <v>0.28103479999999997</v>
      </c>
      <c r="W3653">
        <v>4.4173469999999999E-2</v>
      </c>
      <c r="X3653">
        <v>0.95868039999999999</v>
      </c>
      <c r="Y3653">
        <v>0.42538930000000003</v>
      </c>
      <c r="Z3653">
        <v>5.644478E-2</v>
      </c>
      <c r="AA3653">
        <v>0.90324850000000001</v>
      </c>
      <c r="AB3653">
        <v>27</v>
      </c>
      <c r="AC3653">
        <v>-12.0839999999999</v>
      </c>
      <c r="AD3653">
        <v>-1.10478409421</v>
      </c>
      <c r="AE3653">
        <v>-13.8279</v>
      </c>
      <c r="AF3653">
        <v>7.9063514431186199</v>
      </c>
      <c r="AG3653">
        <v>-1.10478409421</v>
      </c>
      <c r="AH3653">
        <v>16.501380983760001</v>
      </c>
      <c r="AI3653">
        <v>93.455226616007394</v>
      </c>
      <c r="AJ3653">
        <v>64.399394598952</v>
      </c>
      <c r="AK3653">
        <v>18.331026032607099</v>
      </c>
      <c r="AL3653">
        <v>87.468222726547694</v>
      </c>
      <c r="AM3653">
        <v>73.661630779059806</v>
      </c>
      <c r="AN3653">
        <v>0.99999998180352001</v>
      </c>
    </row>
    <row r="3654" spans="1:40" x14ac:dyDescent="0.25">
      <c r="A3654" t="str">
        <f>"20190305135902880"</f>
        <v>20190305135902880</v>
      </c>
      <c r="B3654" t="str">
        <f>"1551765542872357"</f>
        <v>1551765542872357</v>
      </c>
      <c r="C3654" t="s">
        <v>40</v>
      </c>
      <c r="D3654">
        <v>4.2635249999999996</v>
      </c>
      <c r="E3654">
        <v>0.55917910000000004</v>
      </c>
      <c r="F3654" t="s">
        <v>79</v>
      </c>
      <c r="G3654">
        <v>-202.6626</v>
      </c>
      <c r="H3654" s="1">
        <v>-1.0155780000000001E-5</v>
      </c>
      <c r="I3654">
        <v>145.8982</v>
      </c>
      <c r="J3654">
        <v>-190.70570000000001</v>
      </c>
      <c r="K3654">
        <v>1.1046990000000001</v>
      </c>
      <c r="L3654">
        <v>159.48070000000001</v>
      </c>
      <c r="M3654">
        <v>-0.27099259999999997</v>
      </c>
      <c r="N3654">
        <v>-4.631006E-3</v>
      </c>
      <c r="O3654">
        <v>-0.96257040000000005</v>
      </c>
      <c r="P3654">
        <v>-0.53044740000000001</v>
      </c>
      <c r="Q3654">
        <v>4.1768340000000001E-2</v>
      </c>
      <c r="R3654">
        <v>-0.84668869999999896</v>
      </c>
      <c r="S3654">
        <v>-2.0069119999999998</v>
      </c>
      <c r="T3654">
        <v>-0.18470900000000001</v>
      </c>
      <c r="U3654">
        <v>-2.297256</v>
      </c>
      <c r="V3654">
        <v>0.28155809999999998</v>
      </c>
      <c r="W3654">
        <v>4.3649930000000003E-2</v>
      </c>
      <c r="X3654">
        <v>0.95855089999999998</v>
      </c>
      <c r="Y3654">
        <v>0.42803590000000002</v>
      </c>
      <c r="Z3654">
        <v>5.7702299999999998E-2</v>
      </c>
      <c r="AA3654">
        <v>0.90191779999999999</v>
      </c>
      <c r="AB3654">
        <v>28</v>
      </c>
      <c r="AC3654">
        <v>-11.9568999999999</v>
      </c>
      <c r="AD3654">
        <v>-1.10470915578</v>
      </c>
      <c r="AE3654">
        <v>-13.5825</v>
      </c>
      <c r="AF3654">
        <v>7.7996157073244001</v>
      </c>
      <c r="AG3654">
        <v>-1.10470915578</v>
      </c>
      <c r="AH3654">
        <v>16.253940177874</v>
      </c>
      <c r="AI3654">
        <v>93.506467464735394</v>
      </c>
      <c r="AJ3654">
        <v>64.365513958203806</v>
      </c>
      <c r="AK3654">
        <v>18.062252318210799</v>
      </c>
      <c r="AL3654">
        <v>87.498248502729098</v>
      </c>
      <c r="AM3654">
        <v>73.630741991902497</v>
      </c>
      <c r="AN3654">
        <v>1.0000000539777101</v>
      </c>
    </row>
    <row r="3655" spans="1:40" x14ac:dyDescent="0.25">
      <c r="A3655" t="str">
        <f>"20190305135902892"</f>
        <v>20190305135902892</v>
      </c>
      <c r="B3655" t="str">
        <f>"1551765542883092"</f>
        <v>1551765542883092</v>
      </c>
      <c r="C3655" t="s">
        <v>40</v>
      </c>
      <c r="D3655">
        <v>4.3036050000000001</v>
      </c>
      <c r="E3655">
        <v>0.55927360000000004</v>
      </c>
      <c r="F3655" t="s">
        <v>79</v>
      </c>
      <c r="G3655">
        <v>-202.62039999999999</v>
      </c>
      <c r="H3655" s="1">
        <v>-1.0188230000000001E-5</v>
      </c>
      <c r="I3655">
        <v>145.94450000000001</v>
      </c>
      <c r="J3655">
        <v>-190.75069999999999</v>
      </c>
      <c r="K3655">
        <v>1.104627</v>
      </c>
      <c r="L3655">
        <v>159.3312</v>
      </c>
      <c r="M3655">
        <v>-0.273812</v>
      </c>
      <c r="N3655">
        <v>-4.6118309999999899E-3</v>
      </c>
      <c r="O3655">
        <v>-0.96177230000000002</v>
      </c>
      <c r="P3655">
        <v>-0.53359599999999996</v>
      </c>
      <c r="Q3655">
        <v>4.118745E-2</v>
      </c>
      <c r="R3655">
        <v>-0.84473569999999998</v>
      </c>
      <c r="S3655">
        <v>-2.0154879999999999</v>
      </c>
      <c r="T3655">
        <v>-0.1868716</v>
      </c>
      <c r="U3655">
        <v>-2.2897799999999999</v>
      </c>
      <c r="V3655">
        <v>0.2823119</v>
      </c>
      <c r="W3655">
        <v>4.2998219999999997E-2</v>
      </c>
      <c r="X3655">
        <v>0.95835859999999995</v>
      </c>
      <c r="Y3655">
        <v>0.42872290000000002</v>
      </c>
      <c r="Z3655">
        <v>5.8444879999999998E-2</v>
      </c>
      <c r="AA3655">
        <v>0.9015436</v>
      </c>
      <c r="AB3655">
        <v>28</v>
      </c>
      <c r="AC3655">
        <v>-11.8696999999999</v>
      </c>
      <c r="AD3655">
        <v>-1.1046371882299999</v>
      </c>
      <c r="AE3655">
        <v>-13.3866999999999</v>
      </c>
      <c r="AF3655">
        <v>7.7211573737420904</v>
      </c>
      <c r="AG3655">
        <v>-1.1046371882299999</v>
      </c>
      <c r="AH3655">
        <v>16.063955968031099</v>
      </c>
      <c r="AI3655">
        <v>93.546509489503094</v>
      </c>
      <c r="AJ3655">
        <v>64.328684363098603</v>
      </c>
      <c r="AK3655">
        <v>17.8574123503534</v>
      </c>
      <c r="AL3655">
        <v>87.5356237699377</v>
      </c>
      <c r="AM3655">
        <v>73.5861567096388</v>
      </c>
      <c r="AN3655">
        <v>1.00000003099936</v>
      </c>
    </row>
    <row r="3656" spans="1:40" x14ac:dyDescent="0.25">
      <c r="A3656" t="str">
        <f>"20190305135902906"</f>
        <v>20190305135902906</v>
      </c>
      <c r="B3656" t="str">
        <f>"1551765542902611"</f>
        <v>1551765542902611</v>
      </c>
      <c r="C3656" t="s">
        <v>40</v>
      </c>
      <c r="D3656">
        <v>4.3134779999999999</v>
      </c>
      <c r="E3656">
        <v>0.55945859999999903</v>
      </c>
      <c r="F3656" t="s">
        <v>79</v>
      </c>
      <c r="G3656">
        <v>-202.55269999999999</v>
      </c>
      <c r="H3656" s="1">
        <v>-1.0243279999999999E-5</v>
      </c>
      <c r="I3656">
        <v>146.02850000000001</v>
      </c>
      <c r="J3656">
        <v>-190.79900000000001</v>
      </c>
      <c r="K3656">
        <v>1.1045480000000001</v>
      </c>
      <c r="L3656">
        <v>159.17269999999999</v>
      </c>
      <c r="M3656">
        <v>-0.27683819999999998</v>
      </c>
      <c r="N3656">
        <v>-4.5937249999999999E-3</v>
      </c>
      <c r="O3656">
        <v>-0.96090580000000003</v>
      </c>
      <c r="P3656">
        <v>-0.53712490000000002</v>
      </c>
      <c r="Q3656">
        <v>4.0770750000000001E-2</v>
      </c>
      <c r="R3656">
        <v>-0.84251699999999996</v>
      </c>
      <c r="S3656">
        <v>-2.0244450000000001</v>
      </c>
      <c r="T3656">
        <v>-0.18948229999999999</v>
      </c>
      <c r="U3656">
        <v>-2.28186</v>
      </c>
      <c r="V3656">
        <v>0.28330119999999998</v>
      </c>
      <c r="W3656">
        <v>4.2506580000000002E-2</v>
      </c>
      <c r="X3656">
        <v>0.95808850000000001</v>
      </c>
      <c r="Y3656">
        <v>0.42937730000000002</v>
      </c>
      <c r="Z3656">
        <v>5.9335550000000001E-2</v>
      </c>
      <c r="AA3656">
        <v>0.90117389999999997</v>
      </c>
      <c r="AB3656">
        <v>28</v>
      </c>
      <c r="AC3656">
        <v>-11.753699999999901</v>
      </c>
      <c r="AD3656">
        <v>-1.1045582432800001</v>
      </c>
      <c r="AE3656">
        <v>-13.1441999999999</v>
      </c>
      <c r="AF3656">
        <v>7.6255382577441599</v>
      </c>
      <c r="AG3656">
        <v>-1.1045582432800001</v>
      </c>
      <c r="AH3656">
        <v>15.822288501787201</v>
      </c>
      <c r="AI3656">
        <v>93.598459302863105</v>
      </c>
      <c r="AJ3656">
        <v>64.268298252155802</v>
      </c>
      <c r="AK3656">
        <v>17.5986844981921</v>
      </c>
      <c r="AL3656">
        <v>87.563818312099002</v>
      </c>
      <c r="AM3656">
        <v>73.527357915370303</v>
      </c>
      <c r="AN3656">
        <v>0.99999997654849204</v>
      </c>
    </row>
    <row r="3657" spans="1:40" x14ac:dyDescent="0.25">
      <c r="A3657" t="str">
        <f>"20190305135902924"</f>
        <v>20190305135902924</v>
      </c>
      <c r="B3657" t="str">
        <f>"1551765542912372"</f>
        <v>1551765542912372</v>
      </c>
      <c r="C3657" t="s">
        <v>40</v>
      </c>
      <c r="D3657">
        <v>4.2905829999999998</v>
      </c>
      <c r="E3657">
        <v>0.55955859999999902</v>
      </c>
      <c r="F3657" t="s">
        <v>79</v>
      </c>
      <c r="G3657">
        <v>-202.5034</v>
      </c>
      <c r="H3657" s="1">
        <v>-1.0287499999999999E-5</v>
      </c>
      <c r="I3657">
        <v>146.1037</v>
      </c>
      <c r="J3657">
        <v>-190.8648</v>
      </c>
      <c r="K3657">
        <v>1.1044400000000001</v>
      </c>
      <c r="L3657">
        <v>158.95920000000001</v>
      </c>
      <c r="M3657">
        <v>-0.28096579999999999</v>
      </c>
      <c r="N3657">
        <v>-4.5739040000000002E-3</v>
      </c>
      <c r="O3657">
        <v>-0.95970690000000003</v>
      </c>
      <c r="P3657">
        <v>-0.54212159999999998</v>
      </c>
      <c r="Q3657">
        <v>3.933064E-2</v>
      </c>
      <c r="R3657">
        <v>-0.83937919999999999</v>
      </c>
      <c r="S3657">
        <v>-2.0352480000000002</v>
      </c>
      <c r="T3657">
        <v>-0.19206809999999999</v>
      </c>
      <c r="U3657">
        <v>-2.2725219999999999</v>
      </c>
      <c r="V3657">
        <v>0.28485240000000001</v>
      </c>
      <c r="W3657">
        <v>4.0966320000000001E-2</v>
      </c>
      <c r="X3657">
        <v>0.95769559999999998</v>
      </c>
      <c r="Y3657">
        <v>0.42967870000000002</v>
      </c>
      <c r="Z3657">
        <v>6.0208249999999998E-2</v>
      </c>
      <c r="AA3657">
        <v>0.90097240000000001</v>
      </c>
      <c r="AB3657">
        <v>28</v>
      </c>
      <c r="AC3657">
        <v>-11.638599999999901</v>
      </c>
      <c r="AD3657">
        <v>-1.1044502875</v>
      </c>
      <c r="AE3657">
        <v>-12.855499999999999</v>
      </c>
      <c r="AF3657">
        <v>7.5272351768627797</v>
      </c>
      <c r="AG3657">
        <v>-1.1044502875</v>
      </c>
      <c r="AH3657">
        <v>15.5446699468917</v>
      </c>
      <c r="AI3657">
        <v>93.658930254360001</v>
      </c>
      <c r="AJ3657">
        <v>64.162223556808897</v>
      </c>
      <c r="AK3657">
        <v>17.306526040865499</v>
      </c>
      <c r="AL3657">
        <v>87.652145728958601</v>
      </c>
      <c r="AM3657">
        <v>73.435668328071898</v>
      </c>
      <c r="AN3657">
        <v>0.99999999570973097</v>
      </c>
    </row>
    <row r="3658" spans="1:40" x14ac:dyDescent="0.25">
      <c r="A3658" t="str">
        <f>"20190305135902935"</f>
        <v>20190305135902935</v>
      </c>
      <c r="B3658" t="str">
        <f>"1551765542932868"</f>
        <v>1551765542932868</v>
      </c>
      <c r="C3658" t="s">
        <v>40</v>
      </c>
      <c r="D3658">
        <v>4.2783540000000002</v>
      </c>
      <c r="E3658">
        <v>0.55976890000000001</v>
      </c>
      <c r="F3658" t="s">
        <v>79</v>
      </c>
      <c r="G3658">
        <v>-202.32409999999999</v>
      </c>
      <c r="H3658" s="1">
        <v>-1.043136E-5</v>
      </c>
      <c r="I3658">
        <v>146.32</v>
      </c>
      <c r="J3658">
        <v>-190.91120000000001</v>
      </c>
      <c r="K3658">
        <v>1.1043670000000001</v>
      </c>
      <c r="L3658">
        <v>158.81049999999999</v>
      </c>
      <c r="M3658">
        <v>-0.28387689999999999</v>
      </c>
      <c r="N3658">
        <v>-4.5639030000000002E-3</v>
      </c>
      <c r="O3658">
        <v>-0.95884979999999997</v>
      </c>
      <c r="P3658">
        <v>-0.54544389999999998</v>
      </c>
      <c r="Q3658">
        <v>3.8623530000000003E-2</v>
      </c>
      <c r="R3658">
        <v>-0.83725689999999997</v>
      </c>
      <c r="S3658">
        <v>-2.0489959999999998</v>
      </c>
      <c r="T3658">
        <v>-0.19748209999999999</v>
      </c>
      <c r="U3658">
        <v>-2.2599640000000001</v>
      </c>
      <c r="V3658">
        <v>0.28573189999999998</v>
      </c>
      <c r="W3658">
        <v>4.0193520000000003E-2</v>
      </c>
      <c r="X3658">
        <v>0.95746629999999999</v>
      </c>
      <c r="Y3658">
        <v>0.43235790000000002</v>
      </c>
      <c r="Z3658">
        <v>6.2050859999999999E-2</v>
      </c>
      <c r="AA3658">
        <v>0.89956460000000005</v>
      </c>
      <c r="AB3658">
        <v>28</v>
      </c>
      <c r="AC3658">
        <v>-11.412899999999899</v>
      </c>
      <c r="AD3658">
        <v>-1.1043774313600001</v>
      </c>
      <c r="AE3658">
        <v>-12.4904999999999</v>
      </c>
      <c r="AF3658">
        <v>7.3661861346025699</v>
      </c>
      <c r="AG3658">
        <v>-1.1043774313600001</v>
      </c>
      <c r="AH3658">
        <v>15.151976123669201</v>
      </c>
      <c r="AI3658">
        <v>93.750421797661204</v>
      </c>
      <c r="AJ3658">
        <v>64.0731343119255</v>
      </c>
      <c r="AK3658">
        <v>16.8838007608698</v>
      </c>
      <c r="AL3658">
        <v>87.696460366999602</v>
      </c>
      <c r="AM3658">
        <v>73.383580318034703</v>
      </c>
      <c r="AN3658">
        <v>0.99999997668164398</v>
      </c>
    </row>
    <row r="3659" spans="1:40" x14ac:dyDescent="0.25">
      <c r="A3659" t="str">
        <f>"20190305135902948"</f>
        <v>20190305135902948</v>
      </c>
      <c r="B3659" t="str">
        <f>"1551765542942628"</f>
        <v>1551765542942628</v>
      </c>
      <c r="C3659" t="s">
        <v>40</v>
      </c>
      <c r="D3659">
        <v>4.2825680000000004</v>
      </c>
      <c r="E3659">
        <v>0.55987880000000001</v>
      </c>
      <c r="F3659" t="s">
        <v>79</v>
      </c>
      <c r="G3659">
        <v>-202.22929999999999</v>
      </c>
      <c r="H3659" s="1">
        <v>-1.050882E-5</v>
      </c>
      <c r="I3659">
        <v>146.4391</v>
      </c>
      <c r="J3659">
        <v>-190.95949999999999</v>
      </c>
      <c r="K3659">
        <v>1.104293</v>
      </c>
      <c r="L3659">
        <v>158.65809999999999</v>
      </c>
      <c r="M3659">
        <v>-0.28690490000000002</v>
      </c>
      <c r="N3659">
        <v>-4.5571860000000004E-3</v>
      </c>
      <c r="O3659">
        <v>-0.95794809999999997</v>
      </c>
      <c r="P3659">
        <v>-0.54881429999999998</v>
      </c>
      <c r="Q3659">
        <v>3.8248070000000002E-2</v>
      </c>
      <c r="R3659">
        <v>-0.83506879999999994</v>
      </c>
      <c r="S3659">
        <v>-2.0592350000000001</v>
      </c>
      <c r="T3659">
        <v>-0.2009319</v>
      </c>
      <c r="U3659">
        <v>-2.2508849999999998</v>
      </c>
      <c r="V3659">
        <v>0.28656399999999999</v>
      </c>
      <c r="W3659">
        <v>3.9754699999999997E-2</v>
      </c>
      <c r="X3659">
        <v>0.95723590000000003</v>
      </c>
      <c r="Y3659">
        <v>0.43349349999999998</v>
      </c>
      <c r="Z3659">
        <v>6.3210539999999996E-2</v>
      </c>
      <c r="AA3659">
        <v>0.89893699999999999</v>
      </c>
      <c r="AB3659">
        <v>28</v>
      </c>
      <c r="AC3659">
        <v>-11.2698</v>
      </c>
      <c r="AD3659">
        <v>-1.1043035088199999</v>
      </c>
      <c r="AE3659">
        <v>-12.2189999999999</v>
      </c>
      <c r="AF3659">
        <v>7.2582353906722101</v>
      </c>
      <c r="AG3659">
        <v>-1.1043035088199999</v>
      </c>
      <c r="AH3659">
        <v>14.8730444578818</v>
      </c>
      <c r="AI3659">
        <v>93.817509484668605</v>
      </c>
      <c r="AJ3659">
        <v>63.9870338788851</v>
      </c>
      <c r="AK3659">
        <v>16.586407648195799</v>
      </c>
      <c r="AL3659">
        <v>87.721622987820794</v>
      </c>
      <c r="AM3659">
        <v>73.334081289639897</v>
      </c>
      <c r="AN3659">
        <v>0.99999996525844903</v>
      </c>
    </row>
    <row r="3660" spans="1:40" x14ac:dyDescent="0.25">
      <c r="A3660" t="str">
        <f>"20190305135902968"</f>
        <v>20190305135902968</v>
      </c>
      <c r="B3660" t="str">
        <f>"1551765542963124"</f>
        <v>1551765542963124</v>
      </c>
      <c r="C3660" t="s">
        <v>40</v>
      </c>
      <c r="D3660">
        <v>4.3029380000000002</v>
      </c>
      <c r="E3660">
        <v>0.56005340000000003</v>
      </c>
      <c r="F3660" t="s">
        <v>79</v>
      </c>
      <c r="G3660">
        <v>-202.23159999999999</v>
      </c>
      <c r="H3660" s="1">
        <v>-1.0508810000000001E-5</v>
      </c>
      <c r="I3660">
        <v>146.44239999999999</v>
      </c>
      <c r="J3660">
        <v>-191.03659999999999</v>
      </c>
      <c r="K3660">
        <v>1.1041909999999999</v>
      </c>
      <c r="L3660">
        <v>158.4179</v>
      </c>
      <c r="M3660">
        <v>-0.29173549999999998</v>
      </c>
      <c r="N3660">
        <v>-4.5490349999999999E-3</v>
      </c>
      <c r="O3660">
        <v>-0.95648840000000002</v>
      </c>
      <c r="P3660">
        <v>-0.55519030000000003</v>
      </c>
      <c r="Q3660">
        <v>3.7832699999999997E-2</v>
      </c>
      <c r="R3660">
        <v>-0.83086260000000001</v>
      </c>
      <c r="S3660">
        <v>-2.0689090000000001</v>
      </c>
      <c r="T3660">
        <v>-0.20268700000000001</v>
      </c>
      <c r="U3660">
        <v>-2.242111</v>
      </c>
      <c r="V3660">
        <v>0.2890605</v>
      </c>
      <c r="W3660">
        <v>3.9227249999999998E-2</v>
      </c>
      <c r="X3660">
        <v>0.95650679999999999</v>
      </c>
      <c r="Y3660">
        <v>0.4327703</v>
      </c>
      <c r="Z3660">
        <v>6.3780740000000002E-2</v>
      </c>
      <c r="AA3660">
        <v>0.89924519999999997</v>
      </c>
      <c r="AB3660">
        <v>28</v>
      </c>
      <c r="AC3660">
        <v>-11.194999999999901</v>
      </c>
      <c r="AD3660">
        <v>-1.1042015088099999</v>
      </c>
      <c r="AE3660">
        <v>-11.9755</v>
      </c>
      <c r="AF3660">
        <v>7.1816995591979396</v>
      </c>
      <c r="AG3660">
        <v>-1.1042015088099999</v>
      </c>
      <c r="AH3660">
        <v>14.6540707681781</v>
      </c>
      <c r="AI3660">
        <v>93.870871624464698</v>
      </c>
      <c r="AJ3660">
        <v>63.891347261728598</v>
      </c>
      <c r="AK3660">
        <v>16.356584594878399</v>
      </c>
      <c r="AL3660">
        <v>87.751867328269498</v>
      </c>
      <c r="AM3660">
        <v>73.184955530609599</v>
      </c>
      <c r="AN3660">
        <v>1.0000000041245201</v>
      </c>
    </row>
    <row r="3661" spans="1:40" x14ac:dyDescent="0.25">
      <c r="A3661" t="str">
        <f>"20190305135902981"</f>
        <v>20190305135902981</v>
      </c>
      <c r="B3661" t="str">
        <f>"1551765542972884"</f>
        <v>1551765542972884</v>
      </c>
      <c r="C3661" t="s">
        <v>40</v>
      </c>
      <c r="D3661">
        <v>4.479082</v>
      </c>
      <c r="E3661">
        <v>0.56027830000000001</v>
      </c>
      <c r="F3661" t="s">
        <v>79</v>
      </c>
      <c r="G3661">
        <v>-202.29060000000001</v>
      </c>
      <c r="H3661" s="1">
        <v>-1.0476119999999999E-5</v>
      </c>
      <c r="I3661">
        <v>146.4205</v>
      </c>
      <c r="J3661">
        <v>-191.08789999999999</v>
      </c>
      <c r="K3661">
        <v>1.104117</v>
      </c>
      <c r="L3661">
        <v>158.2604</v>
      </c>
      <c r="M3661">
        <v>-0.2949444</v>
      </c>
      <c r="N3661">
        <v>-4.5449389999999996E-3</v>
      </c>
      <c r="O3661">
        <v>-0.95550369999999996</v>
      </c>
      <c r="P3661">
        <v>-0.55911250000000001</v>
      </c>
      <c r="Q3661">
        <v>3.8171299999999998E-2</v>
      </c>
      <c r="R3661">
        <v>-0.82821279999999997</v>
      </c>
      <c r="S3661">
        <v>-2.0873569999999999</v>
      </c>
      <c r="T3661">
        <v>-0.2048044</v>
      </c>
      <c r="U3661">
        <v>-2.22525</v>
      </c>
      <c r="V3661">
        <v>0.29038730000000001</v>
      </c>
      <c r="W3661">
        <v>3.949598E-2</v>
      </c>
      <c r="X3661">
        <v>0.95609370000000005</v>
      </c>
      <c r="Y3661">
        <v>0.43707230000000002</v>
      </c>
      <c r="Z3661">
        <v>6.4529310000000006E-2</v>
      </c>
      <c r="AA3661">
        <v>0.89710859999999903</v>
      </c>
      <c r="AB3661">
        <v>28</v>
      </c>
      <c r="AC3661">
        <v>-11.2027</v>
      </c>
      <c r="AD3661">
        <v>-1.10412747612</v>
      </c>
      <c r="AE3661">
        <v>-11.8399</v>
      </c>
      <c r="AF3661">
        <v>7.1792407967872798</v>
      </c>
      <c r="AG3661">
        <v>-1.10412747612</v>
      </c>
      <c r="AH3661">
        <v>14.5506256024557</v>
      </c>
      <c r="AI3661">
        <v>93.892947683480998</v>
      </c>
      <c r="AJ3661">
        <v>63.738388419064897</v>
      </c>
      <c r="AK3661">
        <v>16.2628810892971</v>
      </c>
      <c r="AL3661">
        <v>87.7364581462801</v>
      </c>
      <c r="AM3661">
        <v>73.105276623985603</v>
      </c>
      <c r="AN3661">
        <v>0.99999993980856805</v>
      </c>
    </row>
    <row r="3662" spans="1:40" x14ac:dyDescent="0.25">
      <c r="A3662" t="str">
        <f>"20190305135902993"</f>
        <v>20190305135902993</v>
      </c>
      <c r="B3662" t="str">
        <f>"1551765542982644"</f>
        <v>1551765542982644</v>
      </c>
      <c r="C3662" t="s">
        <v>40</v>
      </c>
      <c r="D3662">
        <v>4.2085160000000004</v>
      </c>
      <c r="E3662">
        <v>0.56027830000000001</v>
      </c>
      <c r="F3662" t="s">
        <v>79</v>
      </c>
      <c r="G3662">
        <v>-202.44309999999999</v>
      </c>
      <c r="H3662" s="1">
        <v>-1.036757E-5</v>
      </c>
      <c r="I3662">
        <v>146.28290000000001</v>
      </c>
      <c r="J3662">
        <v>-191.13659999999999</v>
      </c>
      <c r="K3662">
        <v>1.10405</v>
      </c>
      <c r="L3662">
        <v>158.11279999999999</v>
      </c>
      <c r="M3662">
        <v>-0.29798609999999998</v>
      </c>
      <c r="N3662">
        <v>-4.5423349999999998E-3</v>
      </c>
      <c r="O3662">
        <v>-0.95455970000000001</v>
      </c>
      <c r="P3662">
        <v>-0.56294309999999903</v>
      </c>
      <c r="Q3662">
        <v>3.8128000000000002E-2</v>
      </c>
      <c r="R3662">
        <v>-0.82561609999999996</v>
      </c>
      <c r="S3662">
        <v>-2.0993650000000001</v>
      </c>
      <c r="T3662">
        <v>-0.20413339999999999</v>
      </c>
      <c r="U3662">
        <v>-2.2144170000000001</v>
      </c>
      <c r="V3662">
        <v>0.29177629999999999</v>
      </c>
      <c r="W3662">
        <v>3.9386879999999999E-2</v>
      </c>
      <c r="X3662">
        <v>0.95567530000000001</v>
      </c>
      <c r="Y3662">
        <v>0.43897229999999998</v>
      </c>
      <c r="Z3662">
        <v>6.4314960000000004E-2</v>
      </c>
      <c r="AA3662">
        <v>0.89619579999999999</v>
      </c>
      <c r="AB3662">
        <v>28</v>
      </c>
      <c r="AC3662">
        <v>-11.3065</v>
      </c>
      <c r="AD3662">
        <v>-1.10406036757</v>
      </c>
      <c r="AE3662">
        <v>-11.829899999999901</v>
      </c>
      <c r="AF3662">
        <v>7.23472395672845</v>
      </c>
      <c r="AG3662">
        <v>-1.10406036757</v>
      </c>
      <c r="AH3662">
        <v>14.5952352649121</v>
      </c>
      <c r="AI3662">
        <v>93.877326060649196</v>
      </c>
      <c r="AJ3662">
        <v>63.632807909396902</v>
      </c>
      <c r="AK3662">
        <v>16.3273106316819</v>
      </c>
      <c r="AL3662">
        <v>87.742714136384606</v>
      </c>
      <c r="AM3662">
        <v>73.022096261433902</v>
      </c>
      <c r="AN3662">
        <v>1.0000000072939501</v>
      </c>
    </row>
    <row r="3663" spans="1:40" x14ac:dyDescent="0.25">
      <c r="A3663" t="str">
        <f>"20190305135903006"</f>
        <v>20190305135903006</v>
      </c>
      <c r="B3663" t="str">
        <f>"1551765543003140"</f>
        <v>1551765543003140</v>
      </c>
      <c r="C3663" t="s">
        <v>40</v>
      </c>
      <c r="D3663">
        <v>4.4365860000000001</v>
      </c>
      <c r="E3663">
        <v>0.63433490000000003</v>
      </c>
      <c r="F3663" t="s">
        <v>79</v>
      </c>
      <c r="G3663">
        <v>-202.55500000000001</v>
      </c>
      <c r="H3663" s="1">
        <v>-1.0287839999999999E-5</v>
      </c>
      <c r="I3663">
        <v>146.18170000000001</v>
      </c>
      <c r="J3663">
        <v>-191.18729999999999</v>
      </c>
      <c r="K3663">
        <v>1.103982</v>
      </c>
      <c r="L3663">
        <v>157.96090000000001</v>
      </c>
      <c r="M3663">
        <v>-0.30114750000000001</v>
      </c>
      <c r="N3663">
        <v>-4.5405230000000003E-3</v>
      </c>
      <c r="O3663">
        <v>-0.9535669</v>
      </c>
      <c r="P3663">
        <v>-0.56679389999999996</v>
      </c>
      <c r="Q3663">
        <v>3.8158539999999998E-2</v>
      </c>
      <c r="R3663">
        <v>-0.82297589999999998</v>
      </c>
      <c r="S3663">
        <v>-2.1098020000000002</v>
      </c>
      <c r="T3663">
        <v>-0.20399919999999999</v>
      </c>
      <c r="U3663">
        <v>-2.204529</v>
      </c>
      <c r="V3663">
        <v>0.29308109999999998</v>
      </c>
      <c r="W3663">
        <v>3.9352089999999999E-2</v>
      </c>
      <c r="X3663">
        <v>0.95527740000000005</v>
      </c>
      <c r="Y3663">
        <v>0.4402201</v>
      </c>
      <c r="Z3663">
        <v>6.4277230000000005E-2</v>
      </c>
      <c r="AA3663">
        <v>0.89558629999999995</v>
      </c>
      <c r="AB3663">
        <v>28</v>
      </c>
      <c r="AC3663">
        <v>-11.367699999999999</v>
      </c>
      <c r="AD3663">
        <v>-1.1039922878399999</v>
      </c>
      <c r="AE3663">
        <v>-11.779199999999999</v>
      </c>
      <c r="AF3663">
        <v>7.2596417488053699</v>
      </c>
      <c r="AG3663">
        <v>-1.1039922878399999</v>
      </c>
      <c r="AH3663">
        <v>14.5894033255972</v>
      </c>
      <c r="AI3663">
        <v>93.875697655731202</v>
      </c>
      <c r="AJ3663">
        <v>63.545205033631099</v>
      </c>
      <c r="AK3663">
        <v>16.333152992902299</v>
      </c>
      <c r="AL3663">
        <v>87.744709019507297</v>
      </c>
      <c r="AM3663">
        <v>72.9438772502116</v>
      </c>
      <c r="AN3663">
        <v>1.00000001455766</v>
      </c>
    </row>
    <row r="3664" spans="1:40" x14ac:dyDescent="0.25">
      <c r="A3664" t="str">
        <f>"20190305135903027"</f>
        <v>20190305135903027</v>
      </c>
      <c r="B3664" t="str">
        <f>"1551765543022660"</f>
        <v>1551765543022660</v>
      </c>
      <c r="C3664" t="s">
        <v>40</v>
      </c>
      <c r="D3664">
        <v>4.3875849999999996</v>
      </c>
      <c r="E3664">
        <v>0.64250059999999998</v>
      </c>
      <c r="F3664" t="s">
        <v>79</v>
      </c>
      <c r="G3664">
        <v>-205.05410000000001</v>
      </c>
      <c r="H3664" s="1">
        <v>-9.7947760000000008E-6</v>
      </c>
      <c r="I3664">
        <v>148.0761</v>
      </c>
      <c r="J3664">
        <v>-191.27359999999999</v>
      </c>
      <c r="K3664">
        <v>1.1038570000000001</v>
      </c>
      <c r="L3664">
        <v>157.7062</v>
      </c>
      <c r="M3664">
        <v>-0.30651440000000002</v>
      </c>
      <c r="N3664">
        <v>-4.5392230000000002E-3</v>
      </c>
      <c r="O3664">
        <v>-0.95185540000000002</v>
      </c>
      <c r="P3664">
        <v>-0.5736656</v>
      </c>
      <c r="Q3664">
        <v>3.6973850000000003E-2</v>
      </c>
      <c r="R3664">
        <v>-0.81825490000000001</v>
      </c>
      <c r="S3664">
        <v>-2.607758</v>
      </c>
      <c r="T3664">
        <v>-0.2076141</v>
      </c>
      <c r="U3664">
        <v>-1.8589169999999999</v>
      </c>
      <c r="V3664">
        <v>0.29567969999999999</v>
      </c>
      <c r="W3664">
        <v>3.8053209999999997E-2</v>
      </c>
      <c r="X3664">
        <v>0.95452890000000001</v>
      </c>
      <c r="Y3664">
        <v>0.59538729999999995</v>
      </c>
      <c r="Z3664">
        <v>6.4290639999999996E-2</v>
      </c>
      <c r="AA3664">
        <v>0.80086239999999997</v>
      </c>
      <c r="AB3664">
        <v>29</v>
      </c>
      <c r="AC3664">
        <v>-13.7805</v>
      </c>
      <c r="AD3664">
        <v>-1.1038667947759999</v>
      </c>
      <c r="AE3664">
        <v>-9.6301000000000005</v>
      </c>
      <c r="AF3664">
        <v>10.1217449227027</v>
      </c>
      <c r="AG3664">
        <v>-1.1038667947759999</v>
      </c>
      <c r="AH3664">
        <v>13.333038361417399</v>
      </c>
      <c r="AI3664">
        <v>93.772781923859696</v>
      </c>
      <c r="AJ3664">
        <v>52.7961341508651</v>
      </c>
      <c r="AK3664">
        <v>16.7761185656246</v>
      </c>
      <c r="AL3664">
        <v>87.819185082066198</v>
      </c>
      <c r="AM3664">
        <v>72.788845611263596</v>
      </c>
      <c r="AN3664">
        <v>0.99999997635930105</v>
      </c>
    </row>
    <row r="3665" spans="1:40" x14ac:dyDescent="0.25">
      <c r="A3665" t="str">
        <f>"20190305135903048"</f>
        <v>20190305135903048</v>
      </c>
      <c r="B3665" t="str">
        <f>"1551765543043158"</f>
        <v>1551765543043158</v>
      </c>
      <c r="C3665" t="s">
        <v>40</v>
      </c>
      <c r="D3665">
        <v>4.3117549999999998</v>
      </c>
      <c r="E3665">
        <v>0.64199680000000003</v>
      </c>
      <c r="F3665" t="s">
        <v>79</v>
      </c>
      <c r="G3665">
        <v>-204.20949999999999</v>
      </c>
      <c r="H3665" s="1">
        <v>-1.0396200000000001E-5</v>
      </c>
      <c r="I3665">
        <v>149.01230000000001</v>
      </c>
      <c r="J3665">
        <v>-191.36099999999999</v>
      </c>
      <c r="K3665">
        <v>1.103737</v>
      </c>
      <c r="L3665">
        <v>157.4529</v>
      </c>
      <c r="M3665">
        <v>-0.31193379999999998</v>
      </c>
      <c r="N3665">
        <v>-4.5400570000000001E-3</v>
      </c>
      <c r="O3665">
        <v>-0.95009319999999997</v>
      </c>
      <c r="P3665">
        <v>-0.58098570000000005</v>
      </c>
      <c r="Q3665">
        <v>3.6059540000000001E-2</v>
      </c>
      <c r="R3665">
        <v>-0.81311480000000003</v>
      </c>
      <c r="S3665">
        <v>-2.6775509999999998</v>
      </c>
      <c r="T3665">
        <v>-0.22848399999999999</v>
      </c>
      <c r="U3665">
        <v>-1.7995000000000001</v>
      </c>
      <c r="V3665">
        <v>0.29879240000000001</v>
      </c>
      <c r="W3665">
        <v>3.7020150000000002E-2</v>
      </c>
      <c r="X3665">
        <v>0.9535998</v>
      </c>
      <c r="Y3665">
        <v>0.61236040000000003</v>
      </c>
      <c r="Z3665">
        <v>7.0865189999999995E-2</v>
      </c>
      <c r="AA3665">
        <v>0.78739630000000005</v>
      </c>
      <c r="AB3665">
        <v>29</v>
      </c>
      <c r="AC3665">
        <v>-12.8485</v>
      </c>
      <c r="AD3665">
        <v>-1.1037473962</v>
      </c>
      <c r="AE3665">
        <v>-8.4405999999999892</v>
      </c>
      <c r="AF3665">
        <v>9.5253580435414396</v>
      </c>
      <c r="AG3665">
        <v>-1.1037473962</v>
      </c>
      <c r="AH3665">
        <v>11.9656771498812</v>
      </c>
      <c r="AI3665">
        <v>94.127772678131507</v>
      </c>
      <c r="AJ3665">
        <v>51.478220200626801</v>
      </c>
      <c r="AK3665">
        <v>15.333888411863001</v>
      </c>
      <c r="AL3665">
        <v>87.878416824231607</v>
      </c>
      <c r="AM3665">
        <v>72.6026077000665</v>
      </c>
      <c r="AN3665">
        <v>0.99999998418191105</v>
      </c>
    </row>
    <row r="3666" spans="1:40" x14ac:dyDescent="0.25">
      <c r="A3666" t="str">
        <f>"20190305135903070"</f>
        <v>20190305135903070</v>
      </c>
      <c r="B3666" t="str">
        <f>"1551765543062677"</f>
        <v>1551765543062677</v>
      </c>
      <c r="C3666" t="s">
        <v>40</v>
      </c>
      <c r="D3666">
        <v>4.3480339999999904</v>
      </c>
      <c r="E3666">
        <v>0.64350189999999996</v>
      </c>
      <c r="F3666" t="s">
        <v>79</v>
      </c>
      <c r="G3666">
        <v>-206.59049999999999</v>
      </c>
      <c r="H3666" s="1">
        <v>-8.9284769999999997E-6</v>
      </c>
      <c r="I3666">
        <v>147.37549999999999</v>
      </c>
      <c r="J3666">
        <v>-191.4615</v>
      </c>
      <c r="K3666">
        <v>1.103612</v>
      </c>
      <c r="L3666">
        <v>157.16749999999999</v>
      </c>
      <c r="M3666">
        <v>-0.31813780000000003</v>
      </c>
      <c r="N3666">
        <v>-4.5428760000000004E-3</v>
      </c>
      <c r="O3666">
        <v>-0.94803369999999998</v>
      </c>
      <c r="P3666">
        <v>-0.58911279999999999</v>
      </c>
      <c r="Q3666">
        <v>3.6869869999999999E-2</v>
      </c>
      <c r="R3666">
        <v>-0.80720950000000002</v>
      </c>
      <c r="S3666">
        <v>-2.6872099999999999</v>
      </c>
      <c r="T3666">
        <v>-0.19475229999999999</v>
      </c>
      <c r="U3666">
        <v>-1.778122</v>
      </c>
      <c r="V3666">
        <v>0.30215500000000001</v>
      </c>
      <c r="W3666">
        <v>3.7699650000000001E-2</v>
      </c>
      <c r="X3666">
        <v>0.95251300000000005</v>
      </c>
      <c r="Y3666">
        <v>0.61347069999999904</v>
      </c>
      <c r="Z3666">
        <v>5.9986459999999998E-2</v>
      </c>
      <c r="AA3666">
        <v>0.78743589999999997</v>
      </c>
      <c r="AB3666">
        <v>29</v>
      </c>
      <c r="AC3666">
        <v>-15.1289999999999</v>
      </c>
      <c r="AD3666">
        <v>-1.103620928477</v>
      </c>
      <c r="AE3666">
        <v>-9.7919999999999998</v>
      </c>
      <c r="AF3666">
        <v>11.185761504590401</v>
      </c>
      <c r="AG3666">
        <v>-1.103620928477</v>
      </c>
      <c r="AH3666">
        <v>14.043728897755299</v>
      </c>
      <c r="AI3666">
        <v>93.517501217364497</v>
      </c>
      <c r="AJ3666">
        <v>51.462849406918501</v>
      </c>
      <c r="AK3666">
        <v>17.987928200462601</v>
      </c>
      <c r="AL3666">
        <v>87.839457092723805</v>
      </c>
      <c r="AM3666">
        <v>72.399995729654606</v>
      </c>
      <c r="AN3666">
        <v>0.99999996140206004</v>
      </c>
    </row>
    <row r="3667" spans="1:40" x14ac:dyDescent="0.25">
      <c r="A3667" t="str">
        <f>"20190305135903084"</f>
        <v>20190305135903084</v>
      </c>
      <c r="B3667" t="str">
        <f>"1551765543072436"</f>
        <v>1551765543072436</v>
      </c>
      <c r="C3667" t="s">
        <v>40</v>
      </c>
      <c r="D3667">
        <v>4.3475619999999999</v>
      </c>
      <c r="E3667">
        <v>0.64404110000000003</v>
      </c>
      <c r="F3667" t="s">
        <v>79</v>
      </c>
      <c r="G3667">
        <v>-205.97149999999999</v>
      </c>
      <c r="H3667" s="1">
        <v>-9.327461E-6</v>
      </c>
      <c r="I3667">
        <v>147.84700000000001</v>
      </c>
      <c r="J3667">
        <v>-191.52090000000001</v>
      </c>
      <c r="K3667">
        <v>1.10354</v>
      </c>
      <c r="L3667">
        <v>157.0017</v>
      </c>
      <c r="M3667">
        <v>-0.32178669999999998</v>
      </c>
      <c r="N3667">
        <v>-4.5452460000000002E-3</v>
      </c>
      <c r="O3667">
        <v>-0.94680120000000001</v>
      </c>
      <c r="P3667">
        <v>-0.59375369999999905</v>
      </c>
      <c r="Q3667">
        <v>3.7189689999999997E-2</v>
      </c>
      <c r="R3667">
        <v>-0.80378729999999998</v>
      </c>
      <c r="S3667">
        <v>-2.7153320000000001</v>
      </c>
      <c r="T3667">
        <v>-0.20652709999999999</v>
      </c>
      <c r="U3667">
        <v>-1.744202</v>
      </c>
      <c r="V3667">
        <v>0.30398900000000001</v>
      </c>
      <c r="W3667">
        <v>3.7945050000000001E-2</v>
      </c>
      <c r="X3667">
        <v>0.95191959999999998</v>
      </c>
      <c r="Y3667">
        <v>0.62088319999999997</v>
      </c>
      <c r="Z3667">
        <v>6.3853190000000004E-2</v>
      </c>
      <c r="AA3667">
        <v>0.78129819999999905</v>
      </c>
      <c r="AB3667">
        <v>29</v>
      </c>
      <c r="AC3667">
        <v>-14.4505999999999</v>
      </c>
      <c r="AD3667">
        <v>-1.103549327461</v>
      </c>
      <c r="AE3667">
        <v>-9.1546999999999894</v>
      </c>
      <c r="AF3667">
        <v>10.691601554877399</v>
      </c>
      <c r="AG3667">
        <v>-1.103549327461</v>
      </c>
      <c r="AH3667">
        <v>13.2626357472052</v>
      </c>
      <c r="AI3667">
        <v>93.706409656185997</v>
      </c>
      <c r="AJ3667">
        <v>51.126165409681398</v>
      </c>
      <c r="AK3667">
        <v>17.071194213921999</v>
      </c>
      <c r="AL3667">
        <v>87.825386793531607</v>
      </c>
      <c r="AM3667">
        <v>72.289473987082999</v>
      </c>
      <c r="AN3667">
        <v>1.0000000319023301</v>
      </c>
    </row>
    <row r="3668" spans="1:40" x14ac:dyDescent="0.25">
      <c r="A3668" t="str">
        <f>"20190305135903103"</f>
        <v>20190305135903103</v>
      </c>
      <c r="B3668" t="str">
        <f>"1551765543092932"</f>
        <v>1551765543092932</v>
      </c>
      <c r="C3668" t="s">
        <v>40</v>
      </c>
      <c r="D3668">
        <v>4.329745</v>
      </c>
      <c r="E3668">
        <v>0.64492289999999997</v>
      </c>
      <c r="F3668" t="s">
        <v>79</v>
      </c>
      <c r="G3668">
        <v>-205.8725</v>
      </c>
      <c r="H3668" s="1">
        <v>-9.3914850000000004E-6</v>
      </c>
      <c r="I3668">
        <v>147.92330000000001</v>
      </c>
      <c r="J3668">
        <v>-191.6071</v>
      </c>
      <c r="K3668">
        <v>1.103432</v>
      </c>
      <c r="L3668">
        <v>156.7646</v>
      </c>
      <c r="M3668">
        <v>-0.32706570000000001</v>
      </c>
      <c r="N3668">
        <v>-4.5497640000000004E-3</v>
      </c>
      <c r="O3668">
        <v>-0.94499080000000002</v>
      </c>
      <c r="P3668">
        <v>-0.60133479999999995</v>
      </c>
      <c r="Q3668">
        <v>3.7331860000000001E-2</v>
      </c>
      <c r="R3668">
        <v>-0.79812459999999996</v>
      </c>
      <c r="S3668">
        <v>-2.7288969999999999</v>
      </c>
      <c r="T3668">
        <v>-0.20983479999999999</v>
      </c>
      <c r="U3668">
        <v>-1.7262120000000001</v>
      </c>
      <c r="V3668">
        <v>0.30769780000000002</v>
      </c>
      <c r="W3668">
        <v>3.7965060000000002E-2</v>
      </c>
      <c r="X3668">
        <v>0.95072639999999997</v>
      </c>
      <c r="Y3668">
        <v>0.62188920000000003</v>
      </c>
      <c r="Z3668">
        <v>6.4926819999999996E-2</v>
      </c>
      <c r="AA3668">
        <v>0.78040909999999997</v>
      </c>
      <c r="AB3668">
        <v>29</v>
      </c>
      <c r="AC3668">
        <v>-14.2654</v>
      </c>
      <c r="AD3668">
        <v>-1.1034413914850001</v>
      </c>
      <c r="AE3668">
        <v>-8.8412999999999897</v>
      </c>
      <c r="AF3668">
        <v>10.543517153042</v>
      </c>
      <c r="AG3668">
        <v>-1.1034413914850001</v>
      </c>
      <c r="AH3668">
        <v>12.964760020729599</v>
      </c>
      <c r="AI3668">
        <v>93.777850026771702</v>
      </c>
      <c r="AJ3668">
        <v>50.880463070529203</v>
      </c>
      <c r="AK3668">
        <v>16.747188995650699</v>
      </c>
      <c r="AL3668">
        <v>87.824239375745705</v>
      </c>
      <c r="AM3668">
        <v>72.066087742012797</v>
      </c>
      <c r="AN3668">
        <v>0.99999998478130103</v>
      </c>
    </row>
    <row r="3669" spans="1:40" x14ac:dyDescent="0.25">
      <c r="A3669" t="str">
        <f>"20190305135903115"</f>
        <v>20190305135903115</v>
      </c>
      <c r="B3669" t="str">
        <f>"1551765543112452"</f>
        <v>1551765543112452</v>
      </c>
      <c r="C3669" t="s">
        <v>40</v>
      </c>
      <c r="D3669">
        <v>4.3235140000000003</v>
      </c>
      <c r="E3669">
        <v>0.64554489999999998</v>
      </c>
      <c r="F3669" t="s">
        <v>79</v>
      </c>
      <c r="G3669">
        <v>-205.4008</v>
      </c>
      <c r="H3669" s="1">
        <v>-9.6896090000000008E-6</v>
      </c>
      <c r="I3669">
        <v>148.2602</v>
      </c>
      <c r="J3669">
        <v>-191.66329999999999</v>
      </c>
      <c r="K3669">
        <v>1.103361</v>
      </c>
      <c r="L3669">
        <v>156.6123</v>
      </c>
      <c r="M3669">
        <v>-0.33049430000000002</v>
      </c>
      <c r="N3669">
        <v>-4.5533359999999998E-3</v>
      </c>
      <c r="O3669">
        <v>-0.9437972</v>
      </c>
      <c r="P3669">
        <v>-0.60603739999999995</v>
      </c>
      <c r="Q3669">
        <v>3.671514E-2</v>
      </c>
      <c r="R3669">
        <v>-0.79458869999999904</v>
      </c>
      <c r="S3669">
        <v>-2.7512050000000001</v>
      </c>
      <c r="T3669">
        <v>-0.22008559999999999</v>
      </c>
      <c r="U3669">
        <v>-1.6962279999999901</v>
      </c>
      <c r="V3669">
        <v>0.3098494</v>
      </c>
      <c r="W3669">
        <v>3.7271270000000002E-2</v>
      </c>
      <c r="X3669">
        <v>0.95005479999999998</v>
      </c>
      <c r="Y3669">
        <v>0.62782950000000004</v>
      </c>
      <c r="Z3669">
        <v>6.8314609999999998E-2</v>
      </c>
      <c r="AA3669">
        <v>0.77534720000000001</v>
      </c>
      <c r="AB3669">
        <v>29</v>
      </c>
      <c r="AC3669">
        <v>-13.737500000000001</v>
      </c>
      <c r="AD3669">
        <v>-1.1033706896089901</v>
      </c>
      <c r="AE3669">
        <v>-8.3521000000000001</v>
      </c>
      <c r="AF3669">
        <v>10.1573552488522</v>
      </c>
      <c r="AG3669">
        <v>-1.1033706896089901</v>
      </c>
      <c r="AH3669">
        <v>12.3647424612262</v>
      </c>
      <c r="AI3669">
        <v>93.944458769133703</v>
      </c>
      <c r="AJ3669">
        <v>50.597672301113299</v>
      </c>
      <c r="AK3669">
        <v>16.039830069627499</v>
      </c>
      <c r="AL3669">
        <v>87.864018720801894</v>
      </c>
      <c r="AM3669">
        <v>71.936861306324701</v>
      </c>
      <c r="AN3669">
        <v>0.99999996062540497</v>
      </c>
    </row>
    <row r="3670" spans="1:40" x14ac:dyDescent="0.25">
      <c r="A3670" t="str">
        <f>"20190305135903129"</f>
        <v>20190305135903129</v>
      </c>
      <c r="B3670" t="str">
        <f>"1551765543122212"</f>
        <v>1551765543122212</v>
      </c>
      <c r="C3670" t="s">
        <v>40</v>
      </c>
      <c r="D3670">
        <v>4.3390269999999997</v>
      </c>
      <c r="E3670">
        <v>0.64562469999999905</v>
      </c>
      <c r="F3670" t="s">
        <v>79</v>
      </c>
      <c r="G3670">
        <v>-204.90520000000001</v>
      </c>
      <c r="H3670" s="1">
        <v>-9.991178E-6</v>
      </c>
      <c r="I3670">
        <v>148.58330000000001</v>
      </c>
      <c r="J3670">
        <v>-191.7244</v>
      </c>
      <c r="K3670">
        <v>1.10327999999999</v>
      </c>
      <c r="L3670">
        <v>156.44919999999999</v>
      </c>
      <c r="M3670">
        <v>-0.33420759999999899</v>
      </c>
      <c r="N3670">
        <v>-4.5580330000000004E-3</v>
      </c>
      <c r="O3670">
        <v>-0.94248860000000001</v>
      </c>
      <c r="P3670">
        <v>-0.61079700000000003</v>
      </c>
      <c r="Q3670">
        <v>3.6561870000000003E-2</v>
      </c>
      <c r="R3670">
        <v>-0.79094279999999995</v>
      </c>
      <c r="S3670">
        <v>-2.7655789999999998</v>
      </c>
      <c r="T3670">
        <v>-0.2304399</v>
      </c>
      <c r="U3670">
        <v>-1.676849</v>
      </c>
      <c r="V3670">
        <v>0.311814799999999</v>
      </c>
      <c r="W3670">
        <v>3.7038729999999999E-2</v>
      </c>
      <c r="X3670">
        <v>0.94942070000000001</v>
      </c>
      <c r="Y3670">
        <v>0.63031819999999905</v>
      </c>
      <c r="Z3670">
        <v>7.1696469999999998E-2</v>
      </c>
      <c r="AA3670">
        <v>0.77301909999999996</v>
      </c>
      <c r="AB3670">
        <v>29</v>
      </c>
      <c r="AC3670">
        <v>-13.1808</v>
      </c>
      <c r="AD3670">
        <v>-1.1032899911780001</v>
      </c>
      <c r="AE3670">
        <v>-7.8658999999999804</v>
      </c>
      <c r="AF3670">
        <v>9.7436703564914104</v>
      </c>
      <c r="AG3670">
        <v>-1.1032899911780001</v>
      </c>
      <c r="AH3670">
        <v>11.7580185109362</v>
      </c>
      <c r="AI3670">
        <v>94.132408817955096</v>
      </c>
      <c r="AJ3670">
        <v>50.352034007662802</v>
      </c>
      <c r="AK3670">
        <v>15.310367733144799</v>
      </c>
      <c r="AL3670">
        <v>87.877351574391895</v>
      </c>
      <c r="AM3670">
        <v>71.818455700847906</v>
      </c>
      <c r="AN3670">
        <v>1.00000000130377</v>
      </c>
    </row>
    <row r="3671" spans="1:40" x14ac:dyDescent="0.25">
      <c r="A3671" t="str">
        <f>"20190305135903147"</f>
        <v>20190305135903147</v>
      </c>
      <c r="B3671" t="str">
        <f>"1551765543142708"</f>
        <v>1551765543142708</v>
      </c>
      <c r="C3671" t="s">
        <v>40</v>
      </c>
      <c r="D3671">
        <v>4.3214899999999998</v>
      </c>
      <c r="E3671">
        <v>0.64571669999999903</v>
      </c>
      <c r="F3671" t="s">
        <v>79</v>
      </c>
      <c r="G3671">
        <v>-204.84460000000001</v>
      </c>
      <c r="H3671" s="1">
        <v>-1.0019540000000001E-5</v>
      </c>
      <c r="I3671">
        <v>148.6044</v>
      </c>
      <c r="J3671">
        <v>-191.81389999999999</v>
      </c>
      <c r="K3671">
        <v>1.103162</v>
      </c>
      <c r="L3671">
        <v>156.2133</v>
      </c>
      <c r="M3671">
        <v>-0.33964299999999997</v>
      </c>
      <c r="N3671">
        <v>-4.5659439999999997E-3</v>
      </c>
      <c r="O3671">
        <v>-0.94054349999999998</v>
      </c>
      <c r="P3671">
        <v>-0.61848210000000003</v>
      </c>
      <c r="Q3671">
        <v>3.7043819999999998E-2</v>
      </c>
      <c r="R3671">
        <v>-0.784925599999999</v>
      </c>
      <c r="S3671">
        <v>-2.776138</v>
      </c>
      <c r="T3671">
        <v>-0.2334473</v>
      </c>
      <c r="U3671">
        <v>-1.659897</v>
      </c>
      <c r="V3671">
        <v>0.3156158</v>
      </c>
      <c r="W3671">
        <v>3.7388020000000001E-2</v>
      </c>
      <c r="X3671">
        <v>0.94815020000000005</v>
      </c>
      <c r="Y3671">
        <v>0.63055319999999904</v>
      </c>
      <c r="Z3671">
        <v>7.2685130000000001E-2</v>
      </c>
      <c r="AA3671">
        <v>0.77273519999999996</v>
      </c>
      <c r="AB3671">
        <v>29</v>
      </c>
      <c r="AC3671">
        <v>-13.0307</v>
      </c>
      <c r="AD3671">
        <v>-1.1031720195400001</v>
      </c>
      <c r="AE3671">
        <v>-7.6089000000000002</v>
      </c>
      <c r="AF3671">
        <v>9.6203110435555104</v>
      </c>
      <c r="AG3671">
        <v>-1.1031720195400001</v>
      </c>
      <c r="AH3671">
        <v>11.5208296475026</v>
      </c>
      <c r="AI3671">
        <v>94.203629544933605</v>
      </c>
      <c r="AJ3671">
        <v>50.136892925974998</v>
      </c>
      <c r="AK3671">
        <v>15.049813581776601</v>
      </c>
      <c r="AL3671">
        <v>87.857324855978106</v>
      </c>
      <c r="AM3671">
        <v>71.588672496339001</v>
      </c>
      <c r="AN3671">
        <v>0.99999999950459995</v>
      </c>
    </row>
    <row r="3672" spans="1:40" x14ac:dyDescent="0.25">
      <c r="A3672" t="str">
        <f>"20190305135903161"</f>
        <v>20190305135903161</v>
      </c>
      <c r="B3672" t="str">
        <f>"1551765543152469"</f>
        <v>1551765543152469</v>
      </c>
      <c r="C3672" t="s">
        <v>40</v>
      </c>
      <c r="D3672">
        <v>4.3341880000000002</v>
      </c>
      <c r="E3672">
        <v>0.64561119999999905</v>
      </c>
      <c r="F3672" t="s">
        <v>79</v>
      </c>
      <c r="G3672">
        <v>-205.00530000000001</v>
      </c>
      <c r="H3672" s="1">
        <v>-9.9292789999999992E-6</v>
      </c>
      <c r="I3672">
        <v>148.50360000000001</v>
      </c>
      <c r="J3672">
        <v>-191.88149999999999</v>
      </c>
      <c r="K3672">
        <v>1.1030679999999999</v>
      </c>
      <c r="L3672">
        <v>156.03749999999999</v>
      </c>
      <c r="M3672">
        <v>-0.34374719999999997</v>
      </c>
      <c r="N3672">
        <v>-4.5728560000000001E-3</v>
      </c>
      <c r="O3672">
        <v>-0.93905130000000003</v>
      </c>
      <c r="P3672">
        <v>-0.62369069999999904</v>
      </c>
      <c r="Q3672">
        <v>3.7257940000000003E-2</v>
      </c>
      <c r="R3672">
        <v>-0.78078309999999995</v>
      </c>
      <c r="S3672">
        <v>-2.7929529999999998</v>
      </c>
      <c r="T3672">
        <v>-0.23356959999999999</v>
      </c>
      <c r="U3672">
        <v>-1.632339</v>
      </c>
      <c r="V3672">
        <v>0.31779750000000001</v>
      </c>
      <c r="W3672">
        <v>3.7507140000000001E-2</v>
      </c>
      <c r="X3672">
        <v>0.94741649999999999</v>
      </c>
      <c r="Y3672">
        <v>0.63486390000000004</v>
      </c>
      <c r="Z3672">
        <v>7.2803199999999998E-2</v>
      </c>
      <c r="AA3672">
        <v>0.76918629999999999</v>
      </c>
      <c r="AB3672">
        <v>29</v>
      </c>
      <c r="AC3672">
        <v>-13.123799999999999</v>
      </c>
      <c r="AD3672">
        <v>-1.1030779292789901</v>
      </c>
      <c r="AE3672">
        <v>-7.5338999999999796</v>
      </c>
      <c r="AF3672">
        <v>9.6828137057854597</v>
      </c>
      <c r="AG3672">
        <v>-1.1030779292789901</v>
      </c>
      <c r="AH3672">
        <v>11.524868437196201</v>
      </c>
      <c r="AI3672">
        <v>94.191243861472998</v>
      </c>
      <c r="AJ3672">
        <v>49.964132467941504</v>
      </c>
      <c r="AK3672">
        <v>15.092920680693</v>
      </c>
      <c r="AL3672">
        <v>87.850495058891198</v>
      </c>
      <c r="AM3672">
        <v>71.456698620867101</v>
      </c>
      <c r="AN3672">
        <v>1.0000000305147301</v>
      </c>
    </row>
    <row r="3673" spans="1:40" x14ac:dyDescent="0.25">
      <c r="A3673" t="str">
        <f>"20190305135903173"</f>
        <v>20190305135903173</v>
      </c>
      <c r="B3673" t="str">
        <f>"1551765543162229"</f>
        <v>1551765543162229</v>
      </c>
      <c r="C3673" t="s">
        <v>40</v>
      </c>
      <c r="D3673">
        <v>4.3209350000000004</v>
      </c>
      <c r="E3673">
        <v>0.64548419999999995</v>
      </c>
      <c r="F3673" t="s">
        <v>79</v>
      </c>
      <c r="G3673">
        <v>-205.05179999999999</v>
      </c>
      <c r="H3673" s="1">
        <v>-9.895601E-6</v>
      </c>
      <c r="I3673">
        <v>148.45419999999999</v>
      </c>
      <c r="J3673">
        <v>-191.94380000000001</v>
      </c>
      <c r="K3673">
        <v>1.1029799999999901</v>
      </c>
      <c r="L3673">
        <v>155.87809999999999</v>
      </c>
      <c r="M3673">
        <v>-0.34751720000000003</v>
      </c>
      <c r="N3673">
        <v>-4.5802589999999997E-3</v>
      </c>
      <c r="O3673">
        <v>-0.93766240000000001</v>
      </c>
      <c r="P3673">
        <v>-0.62821009999999999</v>
      </c>
      <c r="Q3673">
        <v>3.7524849999999998E-2</v>
      </c>
      <c r="R3673">
        <v>-0.77713869999999996</v>
      </c>
      <c r="S3673">
        <v>-2.8034059999999998</v>
      </c>
      <c r="T3673">
        <v>-0.23480000000000001</v>
      </c>
      <c r="U3673">
        <v>-1.614166</v>
      </c>
      <c r="V3673">
        <v>0.31950319999999999</v>
      </c>
      <c r="W3673">
        <v>3.7689640000000003E-2</v>
      </c>
      <c r="X3673">
        <v>0.94683530000000005</v>
      </c>
      <c r="Y3673">
        <v>0.63671940000000005</v>
      </c>
      <c r="Z3673">
        <v>7.3247220000000002E-2</v>
      </c>
      <c r="AA3673">
        <v>0.76760879999999998</v>
      </c>
      <c r="AB3673">
        <v>30</v>
      </c>
      <c r="AC3673">
        <v>-13.107999999999899</v>
      </c>
      <c r="AD3673">
        <v>-1.10298989560099</v>
      </c>
      <c r="AE3673">
        <v>-7.4238999999999997</v>
      </c>
      <c r="AF3673">
        <v>9.6592648048225396</v>
      </c>
      <c r="AG3673">
        <v>-1.10298989560099</v>
      </c>
      <c r="AH3673">
        <v>11.455078024918301</v>
      </c>
      <c r="AI3673">
        <v>94.210017095990295</v>
      </c>
      <c r="AJ3673">
        <v>49.861410498856799</v>
      </c>
      <c r="AK3673">
        <v>15.024539787842</v>
      </c>
      <c r="AL3673">
        <v>87.840030994977099</v>
      </c>
      <c r="AM3673">
        <v>71.353379294333294</v>
      </c>
      <c r="AN3673">
        <v>0.99999994454982799</v>
      </c>
    </row>
    <row r="3674" spans="1:40" x14ac:dyDescent="0.25">
      <c r="A3674" t="str">
        <f>"20190305135903195"</f>
        <v>20190305135903195</v>
      </c>
      <c r="B3674" t="str">
        <f>"1551765543192484"</f>
        <v>1551765543192484</v>
      </c>
      <c r="C3674" t="s">
        <v>40</v>
      </c>
      <c r="D3674">
        <v>4.3209929999999996</v>
      </c>
      <c r="E3674">
        <v>0.64492510000000003</v>
      </c>
      <c r="F3674" t="s">
        <v>79</v>
      </c>
      <c r="G3674">
        <v>-205.13720000000001</v>
      </c>
      <c r="H3674" s="1">
        <v>-9.837637E-6</v>
      </c>
      <c r="I3674">
        <v>148.37799999999999</v>
      </c>
      <c r="J3674">
        <v>-192.04730000000001</v>
      </c>
      <c r="K3674">
        <v>1.1028260000000001</v>
      </c>
      <c r="L3674">
        <v>155.61699999999999</v>
      </c>
      <c r="M3674">
        <v>-0.35378939999999998</v>
      </c>
      <c r="N3674">
        <v>-4.5937970000000002E-3</v>
      </c>
      <c r="O3674">
        <v>-0.93531399999999998</v>
      </c>
      <c r="P3674">
        <v>-0.63633359999999894</v>
      </c>
      <c r="Q3674">
        <v>3.8218589999999997E-2</v>
      </c>
      <c r="R3674">
        <v>-0.77046689999999995</v>
      </c>
      <c r="S3674">
        <v>-2.8119960000000002</v>
      </c>
      <c r="T3674">
        <v>-0.2350875</v>
      </c>
      <c r="U3674">
        <v>-1.598541</v>
      </c>
      <c r="V3674">
        <v>0.3231347</v>
      </c>
      <c r="W3674">
        <v>3.8225700000000001E-2</v>
      </c>
      <c r="X3674">
        <v>0.94558070000000005</v>
      </c>
      <c r="Y3674">
        <v>0.63578859999999904</v>
      </c>
      <c r="Z3674">
        <v>7.3333819999999994E-2</v>
      </c>
      <c r="AA3674">
        <v>0.76837159999999904</v>
      </c>
      <c r="AB3674">
        <v>30</v>
      </c>
      <c r="AC3674">
        <v>-13.0899</v>
      </c>
      <c r="AD3674">
        <v>-1.102835837637</v>
      </c>
      <c r="AE3674">
        <v>-7.2390000000000301</v>
      </c>
      <c r="AF3674">
        <v>9.6298402322594594</v>
      </c>
      <c r="AG3674">
        <v>-1.102835837637</v>
      </c>
      <c r="AH3674">
        <v>11.340281182291299</v>
      </c>
      <c r="AI3674">
        <v>94.239494450453293</v>
      </c>
      <c r="AJ3674">
        <v>49.663043051318297</v>
      </c>
      <c r="AK3674">
        <v>14.918178410149499</v>
      </c>
      <c r="AL3674">
        <v>87.809295096978204</v>
      </c>
      <c r="AM3674">
        <v>71.133086737221703</v>
      </c>
      <c r="AN3674">
        <v>1.0000000493485299</v>
      </c>
    </row>
    <row r="3675" spans="1:40" x14ac:dyDescent="0.25">
      <c r="A3675" t="str">
        <f>"20190305135903213"</f>
        <v>20190305135903213</v>
      </c>
      <c r="B3675" t="str">
        <f>"1551765543202244"</f>
        <v>1551765543202244</v>
      </c>
      <c r="C3675" t="s">
        <v>40</v>
      </c>
      <c r="D3675">
        <v>4.3142909999999999</v>
      </c>
      <c r="E3675">
        <v>0.64465509999999904</v>
      </c>
      <c r="F3675" t="s">
        <v>79</v>
      </c>
      <c r="G3675">
        <v>-205.1729</v>
      </c>
      <c r="H3675" s="1">
        <v>-9.8056919999999998E-6</v>
      </c>
      <c r="I3675">
        <v>148.31700000000001</v>
      </c>
      <c r="J3675">
        <v>-192.14070000000001</v>
      </c>
      <c r="K3675">
        <v>1.1026849999999999</v>
      </c>
      <c r="L3675">
        <v>155.38650000000001</v>
      </c>
      <c r="M3675">
        <v>-0.35944769999999998</v>
      </c>
      <c r="N3675">
        <v>-4.6078409999999997E-3</v>
      </c>
      <c r="O3675">
        <v>-0.93315409999999999</v>
      </c>
      <c r="P3675">
        <v>-0.64431340000000004</v>
      </c>
      <c r="Q3675">
        <v>3.9147620000000001E-2</v>
      </c>
      <c r="R3675">
        <v>-0.76375939999999998</v>
      </c>
      <c r="S3675">
        <v>-2.8258209999999999</v>
      </c>
      <c r="T3675">
        <v>-0.23743159999999999</v>
      </c>
      <c r="U3675">
        <v>-1.5716399999999999</v>
      </c>
      <c r="V3675">
        <v>0.32728390000000002</v>
      </c>
      <c r="W3675">
        <v>3.8992359999999997E-2</v>
      </c>
      <c r="X3675">
        <v>0.94412119999999999</v>
      </c>
      <c r="Y3675">
        <v>0.63824360000000002</v>
      </c>
      <c r="Z3675">
        <v>7.4175909999999998E-2</v>
      </c>
      <c r="AA3675">
        <v>0.76625259999999995</v>
      </c>
      <c r="AB3675">
        <v>30</v>
      </c>
      <c r="AC3675">
        <v>-13.0321999999999</v>
      </c>
      <c r="AD3675">
        <v>-1.1026948056919901</v>
      </c>
      <c r="AE3675">
        <v>-7.0694999999999997</v>
      </c>
      <c r="AF3675">
        <v>9.5671137810828792</v>
      </c>
      <c r="AG3675">
        <v>-1.1026948056919901</v>
      </c>
      <c r="AH3675">
        <v>11.219383216212</v>
      </c>
      <c r="AI3675">
        <v>94.276970555371705</v>
      </c>
      <c r="AJ3675">
        <v>49.544750268105197</v>
      </c>
      <c r="AK3675">
        <v>14.7858094701272</v>
      </c>
      <c r="AL3675">
        <v>87.765335824287206</v>
      </c>
      <c r="AM3675">
        <v>70.880893952898205</v>
      </c>
      <c r="AN3675">
        <v>0.99999999781350901</v>
      </c>
    </row>
    <row r="3676" spans="1:40" x14ac:dyDescent="0.25">
      <c r="A3676" t="str">
        <f>"20190305135903234"</f>
        <v>20190305135903234</v>
      </c>
      <c r="B3676" t="str">
        <f>"1551765543222740"</f>
        <v>1551765543222740</v>
      </c>
      <c r="C3676" t="s">
        <v>40</v>
      </c>
      <c r="D3676">
        <v>4.2705279999999997</v>
      </c>
      <c r="E3676">
        <v>0.64405310000000005</v>
      </c>
      <c r="F3676" t="s">
        <v>79</v>
      </c>
      <c r="G3676">
        <v>-205.4427</v>
      </c>
      <c r="H3676" s="1">
        <v>-9.6440889999999996E-6</v>
      </c>
      <c r="I3676">
        <v>148.15819999999999</v>
      </c>
      <c r="J3676">
        <v>-192.24299999999999</v>
      </c>
      <c r="K3676">
        <v>1.102525</v>
      </c>
      <c r="L3676">
        <v>155.13829999999999</v>
      </c>
      <c r="M3676">
        <v>-0.36567230000000001</v>
      </c>
      <c r="N3676">
        <v>-4.6254820000000002E-3</v>
      </c>
      <c r="O3676">
        <v>-0.93073249999999996</v>
      </c>
      <c r="P3676">
        <v>-0.65124680000000001</v>
      </c>
      <c r="Q3676">
        <v>3.9615890000000001E-2</v>
      </c>
      <c r="R3676">
        <v>-0.7578319</v>
      </c>
      <c r="S3676">
        <v>-2.8406370000000001</v>
      </c>
      <c r="T3676">
        <v>-0.2354783</v>
      </c>
      <c r="U3676">
        <v>-1.5435939999999999</v>
      </c>
      <c r="V3676">
        <v>0.32961259999999998</v>
      </c>
      <c r="W3676">
        <v>3.930778E-2</v>
      </c>
      <c r="X3676">
        <v>0.94329759999999996</v>
      </c>
      <c r="Y3676">
        <v>0.64066460000000003</v>
      </c>
      <c r="Z3676">
        <v>7.3596460000000002E-2</v>
      </c>
      <c r="AA3676">
        <v>0.76428560000000001</v>
      </c>
      <c r="AB3676">
        <v>30</v>
      </c>
      <c r="AC3676">
        <v>-13.1997</v>
      </c>
      <c r="AD3676">
        <v>-1.102534644089</v>
      </c>
      <c r="AE3676">
        <v>-6.9800999999999904</v>
      </c>
      <c r="AF3676">
        <v>9.6802831397079601</v>
      </c>
      <c r="AG3676">
        <v>-1.102534644089</v>
      </c>
      <c r="AH3676">
        <v>11.2620854323463</v>
      </c>
      <c r="AI3676">
        <v>94.245929380644796</v>
      </c>
      <c r="AJ3676">
        <v>49.319417575803797</v>
      </c>
      <c r="AK3676">
        <v>14.8915423174296</v>
      </c>
      <c r="AL3676">
        <v>87.747249649377196</v>
      </c>
      <c r="AM3676">
        <v>70.7392635126741</v>
      </c>
      <c r="AN3676">
        <v>0.99999996490652299</v>
      </c>
    </row>
    <row r="3677" spans="1:40" x14ac:dyDescent="0.25">
      <c r="A3677" t="str">
        <f>"20190305135903252"</f>
        <v>20190305135903252</v>
      </c>
      <c r="B3677" t="str">
        <f>"1551765543243236"</f>
        <v>1551765543243236</v>
      </c>
      <c r="C3677" t="s">
        <v>40</v>
      </c>
      <c r="D3677">
        <v>4.2684899999999999</v>
      </c>
      <c r="E3677">
        <v>0.64358400000000004</v>
      </c>
      <c r="F3677" t="s">
        <v>79</v>
      </c>
      <c r="G3677">
        <v>-205.672</v>
      </c>
      <c r="H3677" s="1">
        <v>-9.4938840000000003E-6</v>
      </c>
      <c r="I3677">
        <v>147.9743</v>
      </c>
      <c r="J3677">
        <v>-192.34180000000001</v>
      </c>
      <c r="K3677">
        <v>1.1023579999999999</v>
      </c>
      <c r="L3677">
        <v>154.90350000000001</v>
      </c>
      <c r="M3677">
        <v>-0.37169930000000001</v>
      </c>
      <c r="N3677">
        <v>-4.6446020000000003E-3</v>
      </c>
      <c r="O3677">
        <v>-0.92834159999999999</v>
      </c>
      <c r="P3677">
        <v>-0.65986919999999905</v>
      </c>
      <c r="Q3677">
        <v>3.9653210000000001E-2</v>
      </c>
      <c r="R3677">
        <v>-0.75033369999999999</v>
      </c>
      <c r="S3677">
        <v>-2.8509519999999999</v>
      </c>
      <c r="T3677">
        <v>-0.23406730000000001</v>
      </c>
      <c r="U3677">
        <v>-1.52092</v>
      </c>
      <c r="V3677">
        <v>0.33429619999999999</v>
      </c>
      <c r="W3677">
        <v>3.9152449999999998E-2</v>
      </c>
      <c r="X3677">
        <v>0.9416544</v>
      </c>
      <c r="Y3677">
        <v>0.64160030000000001</v>
      </c>
      <c r="Z3677">
        <v>7.3186509999999996E-2</v>
      </c>
      <c r="AA3677">
        <v>0.76353959999999998</v>
      </c>
      <c r="AB3677">
        <v>30</v>
      </c>
      <c r="AC3677">
        <v>-13.3301999999999</v>
      </c>
      <c r="AD3677">
        <v>-1.102367493884</v>
      </c>
      <c r="AE3677">
        <v>-6.9291999999999998</v>
      </c>
      <c r="AF3677">
        <v>9.7470276895057992</v>
      </c>
      <c r="AG3677">
        <v>-1.102367493884</v>
      </c>
      <c r="AH3677">
        <v>11.3266303870443</v>
      </c>
      <c r="AI3677">
        <v>94.219116390253006</v>
      </c>
      <c r="AJ3677">
        <v>49.286661501455399</v>
      </c>
      <c r="AK3677">
        <v>14.9837351416888</v>
      </c>
      <c r="AL3677">
        <v>87.756156195322205</v>
      </c>
      <c r="AM3677">
        <v>70.454657402979905</v>
      </c>
      <c r="AN3677">
        <v>0.99999993635739903</v>
      </c>
    </row>
    <row r="3678" spans="1:40" x14ac:dyDescent="0.25">
      <c r="A3678" t="str">
        <f>"20190305135903272"</f>
        <v>20190305135903272</v>
      </c>
      <c r="B3678" t="str">
        <f>"1551765543262756"</f>
        <v>1551765543262756</v>
      </c>
      <c r="C3678" t="s">
        <v>40</v>
      </c>
      <c r="D3678">
        <v>4.2829899999999999</v>
      </c>
      <c r="E3678">
        <v>0.642961</v>
      </c>
      <c r="F3678" t="s">
        <v>79</v>
      </c>
      <c r="G3678">
        <v>-205.8108</v>
      </c>
      <c r="H3678" s="1">
        <v>-9.4123309999999994E-6</v>
      </c>
      <c r="I3678">
        <v>147.89850000000001</v>
      </c>
      <c r="J3678">
        <v>-192.4485</v>
      </c>
      <c r="K3678">
        <v>1.1021700000000001</v>
      </c>
      <c r="L3678">
        <v>154.655</v>
      </c>
      <c r="M3678">
        <v>-0.3782278</v>
      </c>
      <c r="N3678">
        <v>-4.6668289999999999E-3</v>
      </c>
      <c r="O3678">
        <v>-0.92570079999999999</v>
      </c>
      <c r="P3678">
        <v>-0.66875059999999997</v>
      </c>
      <c r="Q3678">
        <v>3.8570989999999999E-2</v>
      </c>
      <c r="R3678">
        <v>-0.74248610000000004</v>
      </c>
      <c r="S3678">
        <v>-2.8656920000000001</v>
      </c>
      <c r="T3678">
        <v>-0.2345431</v>
      </c>
      <c r="U3678">
        <v>-1.4904170000000001</v>
      </c>
      <c r="V3678">
        <v>0.33884609999999998</v>
      </c>
      <c r="W3678">
        <v>3.7862140000000002E-2</v>
      </c>
      <c r="X3678">
        <v>0.94007969999999996</v>
      </c>
      <c r="Y3678">
        <v>0.64419139999999997</v>
      </c>
      <c r="Z3678">
        <v>7.3413300000000001E-2</v>
      </c>
      <c r="AA3678">
        <v>0.76133300000000004</v>
      </c>
      <c r="AB3678">
        <v>30</v>
      </c>
      <c r="AC3678">
        <v>-13.362299999999999</v>
      </c>
      <c r="AD3678">
        <v>-1.102179412331</v>
      </c>
      <c r="AE3678">
        <v>-6.7564999999999804</v>
      </c>
      <c r="AF3678">
        <v>9.7612128651104708</v>
      </c>
      <c r="AG3678">
        <v>-1.102179412331</v>
      </c>
      <c r="AH3678">
        <v>11.2476701109128</v>
      </c>
      <c r="AI3678">
        <v>94.232642444467899</v>
      </c>
      <c r="AJ3678">
        <v>49.047146765285397</v>
      </c>
      <c r="AK3678">
        <v>14.9333907395101</v>
      </c>
      <c r="AL3678">
        <v>87.830140602195698</v>
      </c>
      <c r="AM3678">
        <v>70.1786055026529</v>
      </c>
      <c r="AN3678">
        <v>1.00000003174133</v>
      </c>
    </row>
    <row r="3679" spans="1:40" x14ac:dyDescent="0.25">
      <c r="A3679" t="str">
        <f>"20190305135903286"</f>
        <v>20190305135903286</v>
      </c>
      <c r="B3679" t="str">
        <f>"1551765543282276"</f>
        <v>1551765543282276</v>
      </c>
      <c r="C3679" t="s">
        <v>40</v>
      </c>
      <c r="D3679">
        <v>4.2705909999999996</v>
      </c>
      <c r="E3679">
        <v>0.64233989999999996</v>
      </c>
      <c r="F3679" t="s">
        <v>79</v>
      </c>
      <c r="G3679">
        <v>-205.89689999999999</v>
      </c>
      <c r="H3679" s="1">
        <v>-9.3584160000000005E-6</v>
      </c>
      <c r="I3679">
        <v>147.839</v>
      </c>
      <c r="J3679">
        <v>-192.52170000000001</v>
      </c>
      <c r="K3679">
        <v>1.102033</v>
      </c>
      <c r="L3679">
        <v>154.4872</v>
      </c>
      <c r="M3679">
        <v>-0.38273020000000002</v>
      </c>
      <c r="N3679">
        <v>-4.6829940000000002E-3</v>
      </c>
      <c r="O3679">
        <v>-0.92384829999999996</v>
      </c>
      <c r="P3679">
        <v>-0.67437139999999995</v>
      </c>
      <c r="Q3679">
        <v>3.8329549999999997E-2</v>
      </c>
      <c r="R3679">
        <v>-0.73739699999999997</v>
      </c>
      <c r="S3679">
        <v>-2.8793329999999999</v>
      </c>
      <c r="T3679">
        <v>-0.2359782</v>
      </c>
      <c r="U3679">
        <v>-1.459335</v>
      </c>
      <c r="V3679">
        <v>0.34141319999999997</v>
      </c>
      <c r="W3679">
        <v>3.7483799999999998E-2</v>
      </c>
      <c r="X3679">
        <v>0.93916560000000004</v>
      </c>
      <c r="Y3679">
        <v>0.64841199999999999</v>
      </c>
      <c r="Z3679">
        <v>7.4015170000000005E-2</v>
      </c>
      <c r="AA3679">
        <v>0.757683</v>
      </c>
      <c r="AB3679">
        <v>30</v>
      </c>
      <c r="AC3679">
        <v>-13.3751999999999</v>
      </c>
      <c r="AD3679">
        <v>-1.102042358416</v>
      </c>
      <c r="AE3679">
        <v>-6.6482000000000001</v>
      </c>
      <c r="AF3679">
        <v>9.7591687409280397</v>
      </c>
      <c r="AG3679">
        <v>-1.102042358416</v>
      </c>
      <c r="AH3679">
        <v>11.200172353238401</v>
      </c>
      <c r="AI3679">
        <v>94.2426723133227</v>
      </c>
      <c r="AJ3679">
        <v>48.9330293523686</v>
      </c>
      <c r="AK3679">
        <v>14.896299292639601</v>
      </c>
      <c r="AL3679">
        <v>87.851833252858498</v>
      </c>
      <c r="AM3679">
        <v>70.022366139560901</v>
      </c>
      <c r="AN3679">
        <v>1.00000001631002</v>
      </c>
    </row>
    <row r="3680" spans="1:40" x14ac:dyDescent="0.25">
      <c r="A3680" t="str">
        <f>"20190305135903304"</f>
        <v>20190305135903304</v>
      </c>
      <c r="B3680" t="str">
        <f>"1551765543293012"</f>
        <v>1551765543293012</v>
      </c>
      <c r="C3680" t="s">
        <v>40</v>
      </c>
      <c r="D3680">
        <v>4.2078699999999998</v>
      </c>
      <c r="E3680">
        <v>0.64184300000000005</v>
      </c>
      <c r="F3680" t="s">
        <v>79</v>
      </c>
      <c r="G3680">
        <v>-205.96539999999999</v>
      </c>
      <c r="H3680" s="1">
        <v>-9.3115870000000002E-6</v>
      </c>
      <c r="I3680">
        <v>147.7766</v>
      </c>
      <c r="J3680">
        <v>-192.6259</v>
      </c>
      <c r="K3680">
        <v>1.101837</v>
      </c>
      <c r="L3680">
        <v>154.2527</v>
      </c>
      <c r="M3680">
        <v>-0.38914670000000001</v>
      </c>
      <c r="N3680">
        <v>-4.7069479999999999E-3</v>
      </c>
      <c r="O3680">
        <v>-0.92116399999999998</v>
      </c>
      <c r="P3680">
        <v>-0.68338730000000003</v>
      </c>
      <c r="Q3680">
        <v>3.7097909999999998E-2</v>
      </c>
      <c r="R3680">
        <v>-0.72911319999999902</v>
      </c>
      <c r="S3680">
        <v>-2.8864899999999998</v>
      </c>
      <c r="T3680">
        <v>-0.2366201</v>
      </c>
      <c r="U3680">
        <v>-1.440842</v>
      </c>
      <c r="V3680">
        <v>0.34639750000000002</v>
      </c>
      <c r="W3680">
        <v>3.6029470000000001E-2</v>
      </c>
      <c r="X3680">
        <v>0.93739570000000005</v>
      </c>
      <c r="Y3680">
        <v>0.64774509999999996</v>
      </c>
      <c r="Z3680">
        <v>7.4238979999999996E-2</v>
      </c>
      <c r="AA3680">
        <v>0.7582314</v>
      </c>
      <c r="AB3680">
        <v>30</v>
      </c>
      <c r="AC3680">
        <v>-13.3394999999999</v>
      </c>
      <c r="AD3680">
        <v>-1.1018463115870001</v>
      </c>
      <c r="AE3680">
        <v>-6.4760999999999997</v>
      </c>
      <c r="AF3680">
        <v>9.71418411314135</v>
      </c>
      <c r="AG3680">
        <v>-1.1018463115870001</v>
      </c>
      <c r="AH3680">
        <v>11.0954310870514</v>
      </c>
      <c r="AI3680">
        <v>94.273008992522406</v>
      </c>
      <c r="AJ3680">
        <v>48.797461214415399</v>
      </c>
      <c r="AK3680">
        <v>14.7881043168444</v>
      </c>
      <c r="AL3680">
        <v>87.935216593481101</v>
      </c>
      <c r="AM3680">
        <v>69.719126618859306</v>
      </c>
      <c r="AN3680">
        <v>1.0000000245466101</v>
      </c>
    </row>
    <row r="3681" spans="1:40" x14ac:dyDescent="0.25">
      <c r="A3681" t="str">
        <f>"20190305135903320"</f>
        <v>20190305135903320</v>
      </c>
      <c r="B3681" t="str">
        <f>"1551765543312532"</f>
        <v>1551765543312532</v>
      </c>
      <c r="C3681" t="s">
        <v>40</v>
      </c>
      <c r="D3681">
        <v>4.2542119999999999</v>
      </c>
      <c r="E3681">
        <v>0.64112049999999998</v>
      </c>
      <c r="F3681" t="s">
        <v>79</v>
      </c>
      <c r="G3681">
        <v>-206.03120000000001</v>
      </c>
      <c r="H3681" s="1">
        <v>-9.2742970000000004E-6</v>
      </c>
      <c r="I3681">
        <v>147.74590000000001</v>
      </c>
      <c r="J3681">
        <v>-192.71350000000001</v>
      </c>
      <c r="K3681">
        <v>1.1016729999999999</v>
      </c>
      <c r="L3681">
        <v>154.05850000000001</v>
      </c>
      <c r="M3681">
        <v>-0.3945591</v>
      </c>
      <c r="N3681">
        <v>-4.727714E-3</v>
      </c>
      <c r="O3681">
        <v>-0.91885850000000002</v>
      </c>
      <c r="P3681">
        <v>-0.68950349999999905</v>
      </c>
      <c r="Q3681">
        <v>3.704648E-2</v>
      </c>
      <c r="R3681">
        <v>-0.72333429999999999</v>
      </c>
      <c r="S3681">
        <v>-2.900665</v>
      </c>
      <c r="T3681">
        <v>-0.2384193</v>
      </c>
      <c r="U3681">
        <v>-1.4079440000000001</v>
      </c>
      <c r="V3681">
        <v>0.34878910000000002</v>
      </c>
      <c r="W3681">
        <v>3.5818849999999999E-2</v>
      </c>
      <c r="X3681">
        <v>0.93651649999999997</v>
      </c>
      <c r="Y3681">
        <v>0.65162449999999905</v>
      </c>
      <c r="Z3681">
        <v>7.4944819999999995E-2</v>
      </c>
      <c r="AA3681">
        <v>0.75483029999999995</v>
      </c>
      <c r="AB3681">
        <v>30</v>
      </c>
      <c r="AC3681">
        <v>-13.3177</v>
      </c>
      <c r="AD3681">
        <v>-1.1016822742969901</v>
      </c>
      <c r="AE3681">
        <v>-6.3125999999999998</v>
      </c>
      <c r="AF3681">
        <v>9.6923382846881001</v>
      </c>
      <c r="AG3681">
        <v>-1.1016822742969901</v>
      </c>
      <c r="AH3681">
        <v>10.993699007014699</v>
      </c>
      <c r="AI3681">
        <v>94.298758171075306</v>
      </c>
      <c r="AJ3681">
        <v>48.599739478899799</v>
      </c>
      <c r="AK3681">
        <v>14.697501254130399</v>
      </c>
      <c r="AL3681">
        <v>87.947291954899399</v>
      </c>
      <c r="AM3681">
        <v>69.573038336934999</v>
      </c>
      <c r="AN3681">
        <v>0.999999990533191</v>
      </c>
    </row>
    <row r="3682" spans="1:40" x14ac:dyDescent="0.25">
      <c r="A3682" t="str">
        <f>"20190305135903337"</f>
        <v>20190305135903337</v>
      </c>
      <c r="B3682" t="str">
        <f>"1551765543333028"</f>
        <v>1551765543333028</v>
      </c>
      <c r="C3682" t="s">
        <v>40</v>
      </c>
      <c r="D3682">
        <v>4.2292239999999897</v>
      </c>
      <c r="E3682">
        <v>0.64028600000000002</v>
      </c>
      <c r="F3682" t="s">
        <v>79</v>
      </c>
      <c r="G3682">
        <v>-206.02719999999999</v>
      </c>
      <c r="H3682" s="1">
        <v>-9.2659560000000004E-6</v>
      </c>
      <c r="I3682">
        <v>147.70750000000001</v>
      </c>
      <c r="J3682">
        <v>-192.81800000000001</v>
      </c>
      <c r="K3682">
        <v>1.101478</v>
      </c>
      <c r="L3682">
        <v>153.8314</v>
      </c>
      <c r="M3682">
        <v>-0.40103460000000002</v>
      </c>
      <c r="N3682">
        <v>-4.7533749999999998E-3</v>
      </c>
      <c r="O3682">
        <v>-0.91605060000000005</v>
      </c>
      <c r="P3682">
        <v>-0.69819399999999998</v>
      </c>
      <c r="Q3682">
        <v>3.660041E-2</v>
      </c>
      <c r="R3682">
        <v>-0.71497230000000001</v>
      </c>
      <c r="S3682">
        <v>-2.9084469999999998</v>
      </c>
      <c r="T3682">
        <v>-0.24066789999999999</v>
      </c>
      <c r="U3682">
        <v>-1.387405</v>
      </c>
      <c r="V3682">
        <v>0.35349229999999998</v>
      </c>
      <c r="W3682">
        <v>3.5148840000000001E-2</v>
      </c>
      <c r="X3682">
        <v>0.93477679999999996</v>
      </c>
      <c r="Y3682">
        <v>0.65135089999999995</v>
      </c>
      <c r="Z3682">
        <v>7.5698509999999997E-2</v>
      </c>
      <c r="AA3682">
        <v>0.75499130000000003</v>
      </c>
      <c r="AB3682">
        <v>31</v>
      </c>
      <c r="AC3682">
        <v>-13.209199999999999</v>
      </c>
      <c r="AD3682">
        <v>-1.101487265956</v>
      </c>
      <c r="AE3682">
        <v>-6.1238999999999901</v>
      </c>
      <c r="AF3682">
        <v>9.5896233443836394</v>
      </c>
      <c r="AG3682">
        <v>-1.101487265956</v>
      </c>
      <c r="AH3682">
        <v>10.8452001300397</v>
      </c>
      <c r="AI3682">
        <v>94.351029404780505</v>
      </c>
      <c r="AJ3682">
        <v>48.516004232567497</v>
      </c>
      <c r="AK3682">
        <v>14.518695394036801</v>
      </c>
      <c r="AL3682">
        <v>87.9857048231097</v>
      </c>
      <c r="AM3682">
        <v>69.285542294405005</v>
      </c>
      <c r="AN3682">
        <v>0.99999995646543605</v>
      </c>
    </row>
    <row r="3683" spans="1:40" x14ac:dyDescent="0.25">
      <c r="A3683" t="str">
        <f>"20190305135903351"</f>
        <v>20190305135903351</v>
      </c>
      <c r="B3683" t="str">
        <f>"1551765543342789"</f>
        <v>1551765543342789</v>
      </c>
      <c r="C3683" t="s">
        <v>40</v>
      </c>
      <c r="D3683">
        <v>4.2074220000000002</v>
      </c>
      <c r="E3683">
        <v>0.6397467</v>
      </c>
      <c r="F3683" t="s">
        <v>79</v>
      </c>
      <c r="G3683">
        <v>-205.98560000000001</v>
      </c>
      <c r="H3683" s="1">
        <v>-9.2860739999999996E-6</v>
      </c>
      <c r="I3683">
        <v>147.7139</v>
      </c>
      <c r="J3683">
        <v>-192.90020000000001</v>
      </c>
      <c r="K3683">
        <v>1.101326</v>
      </c>
      <c r="L3683">
        <v>153.65629999999999</v>
      </c>
      <c r="M3683">
        <v>-0.40614080000000002</v>
      </c>
      <c r="N3683">
        <v>-4.7742059999999996E-3</v>
      </c>
      <c r="O3683">
        <v>-0.913798</v>
      </c>
      <c r="P3683">
        <v>-0.703984099999999</v>
      </c>
      <c r="Q3683">
        <v>3.6202459999999999E-2</v>
      </c>
      <c r="R3683">
        <v>-0.70929240000000005</v>
      </c>
      <c r="S3683">
        <v>-2.920258</v>
      </c>
      <c r="T3683">
        <v>-0.24428320000000001</v>
      </c>
      <c r="U3683">
        <v>-1.3567199999999999</v>
      </c>
      <c r="V3683">
        <v>0.35587249999999998</v>
      </c>
      <c r="W3683">
        <v>3.4599379999999999E-2</v>
      </c>
      <c r="X3683">
        <v>0.9338938</v>
      </c>
      <c r="Y3683">
        <v>0.65470839999999997</v>
      </c>
      <c r="Z3683">
        <v>7.7004989999999995E-2</v>
      </c>
      <c r="AA3683">
        <v>0.75194890000000003</v>
      </c>
      <c r="AB3683">
        <v>31</v>
      </c>
      <c r="AC3683">
        <v>-13.0853999999999</v>
      </c>
      <c r="AD3683">
        <v>-1.101335286074</v>
      </c>
      <c r="AE3683">
        <v>-5.9423999999999904</v>
      </c>
      <c r="AF3683">
        <v>9.4883484707071695</v>
      </c>
      <c r="AG3683">
        <v>-1.101335286074</v>
      </c>
      <c r="AH3683">
        <v>10.682058736530699</v>
      </c>
      <c r="AI3683">
        <v>94.407835132674506</v>
      </c>
      <c r="AJ3683">
        <v>48.386886441642602</v>
      </c>
      <c r="AK3683">
        <v>14.3299712129723</v>
      </c>
      <c r="AL3683">
        <v>88.017205794998503</v>
      </c>
      <c r="AM3683">
        <v>69.140000593987594</v>
      </c>
      <c r="AN3683">
        <v>0.99999999151553698</v>
      </c>
    </row>
    <row r="3684" spans="1:40" x14ac:dyDescent="0.25">
      <c r="A3684" t="str">
        <f>"20190305135903365"</f>
        <v>20190305135903365</v>
      </c>
      <c r="B3684" t="str">
        <f>"1551765543352549"</f>
        <v>1551765543352549</v>
      </c>
      <c r="C3684" t="s">
        <v>40</v>
      </c>
      <c r="D3684">
        <v>4.162642</v>
      </c>
      <c r="E3684">
        <v>0.63920059999999901</v>
      </c>
      <c r="F3684" t="s">
        <v>79</v>
      </c>
      <c r="G3684">
        <v>-206.00370000000001</v>
      </c>
      <c r="H3684" s="1">
        <v>-9.2684239999999999E-6</v>
      </c>
      <c r="I3684">
        <v>147.67750000000001</v>
      </c>
      <c r="J3684">
        <v>-192.98179999999999</v>
      </c>
      <c r="K3684">
        <v>1.1011679999999999</v>
      </c>
      <c r="L3684">
        <v>153.48490000000001</v>
      </c>
      <c r="M3684">
        <v>-0.41120830000000003</v>
      </c>
      <c r="N3684">
        <v>-4.7952359999999996E-3</v>
      </c>
      <c r="O3684">
        <v>-0.91152889999999998</v>
      </c>
      <c r="P3684">
        <v>-0.70991190000000004</v>
      </c>
      <c r="Q3684">
        <v>3.5533170000000003E-2</v>
      </c>
      <c r="R3684">
        <v>-0.70339390000000002</v>
      </c>
      <c r="S3684">
        <v>-2.9280400000000002</v>
      </c>
      <c r="T3684">
        <v>-0.2460994</v>
      </c>
      <c r="U3684">
        <v>-1.336014</v>
      </c>
      <c r="V3684">
        <v>0.3585102</v>
      </c>
      <c r="W3684">
        <v>3.3771120000000002E-2</v>
      </c>
      <c r="X3684">
        <v>0.93291469999999999</v>
      </c>
      <c r="Y3684">
        <v>0.65562580000000004</v>
      </c>
      <c r="Z3684">
        <v>7.7641080000000001E-2</v>
      </c>
      <c r="AA3684">
        <v>0.75108369999999902</v>
      </c>
      <c r="AB3684">
        <v>31</v>
      </c>
      <c r="AC3684">
        <v>-13.0219</v>
      </c>
      <c r="AD3684">
        <v>-1.101177268424</v>
      </c>
      <c r="AE3684">
        <v>-5.8074000000000003</v>
      </c>
      <c r="AF3684">
        <v>9.4256741908925701</v>
      </c>
      <c r="AG3684">
        <v>-1.101177268424</v>
      </c>
      <c r="AH3684">
        <v>10.5853098436633</v>
      </c>
      <c r="AI3684">
        <v>94.442494438048001</v>
      </c>
      <c r="AJ3684">
        <v>48.316578669472001</v>
      </c>
      <c r="AK3684">
        <v>14.2163536047647</v>
      </c>
      <c r="AL3684">
        <v>88.064689262086006</v>
      </c>
      <c r="AM3684">
        <v>68.978709503339303</v>
      </c>
      <c r="AN3684">
        <v>0.99999994476308995</v>
      </c>
    </row>
    <row r="3685" spans="1:40" x14ac:dyDescent="0.25">
      <c r="A3685" t="str">
        <f>"20190305135903388"</f>
        <v>20190305135903388</v>
      </c>
      <c r="B3685" t="str">
        <f>"1551765543382804"</f>
        <v>1551765543382804</v>
      </c>
      <c r="C3685" t="s">
        <v>40</v>
      </c>
      <c r="D3685">
        <v>4.3622540000000001</v>
      </c>
      <c r="E3685">
        <v>0.6381289</v>
      </c>
      <c r="F3685" t="s">
        <v>79</v>
      </c>
      <c r="G3685">
        <v>-205.97499999999999</v>
      </c>
      <c r="H3685" s="1">
        <v>-9.2783560000000004E-6</v>
      </c>
      <c r="I3685">
        <v>147.66679999999999</v>
      </c>
      <c r="J3685">
        <v>-193.12010000000001</v>
      </c>
      <c r="K3685">
        <v>1.1008979999999999</v>
      </c>
      <c r="L3685">
        <v>153.19999999999999</v>
      </c>
      <c r="M3685">
        <v>-0.41982079999999999</v>
      </c>
      <c r="N3685">
        <v>-4.8331140000000003E-3</v>
      </c>
      <c r="O3685">
        <v>-0.90759409999999896</v>
      </c>
      <c r="P3685">
        <v>-0.72056969999999898</v>
      </c>
      <c r="Q3685">
        <v>3.3817949999999999E-2</v>
      </c>
      <c r="R3685">
        <v>-0.69255749999999905</v>
      </c>
      <c r="S3685">
        <v>-2.9358219999999999</v>
      </c>
      <c r="T3685">
        <v>-0.24881200000000001</v>
      </c>
      <c r="U3685">
        <v>-1.3145899999999999</v>
      </c>
      <c r="V3685">
        <v>0.36387069999999999</v>
      </c>
      <c r="W3685">
        <v>3.1764229999999997E-2</v>
      </c>
      <c r="X3685">
        <v>0.9309077</v>
      </c>
      <c r="Y3685">
        <v>0.65372969999999997</v>
      </c>
      <c r="Z3685">
        <v>7.8479809999999997E-2</v>
      </c>
      <c r="AA3685">
        <v>0.75264759999999997</v>
      </c>
      <c r="AB3685">
        <v>31</v>
      </c>
      <c r="AC3685">
        <v>-12.854899999999899</v>
      </c>
      <c r="AD3685">
        <v>-1.1009072783560001</v>
      </c>
      <c r="AE3685">
        <v>-5.5331999999999901</v>
      </c>
      <c r="AF3685">
        <v>9.2867229213604805</v>
      </c>
      <c r="AG3685">
        <v>-1.1009072783560001</v>
      </c>
      <c r="AH3685">
        <v>10.3547020719438</v>
      </c>
      <c r="AI3685">
        <v>94.525534365332902</v>
      </c>
      <c r="AJ3685">
        <v>48.112325151504301</v>
      </c>
      <c r="AK3685">
        <v>13.9526009923733</v>
      </c>
      <c r="AL3685">
        <v>88.179737495385993</v>
      </c>
      <c r="AM3685">
        <v>68.650599185301402</v>
      </c>
      <c r="AN3685">
        <v>0.99999999927263605</v>
      </c>
    </row>
    <row r="3686" spans="1:40" x14ac:dyDescent="0.25">
      <c r="A3686" t="str">
        <f>"20190305135903405"</f>
        <v>20190305135903405</v>
      </c>
      <c r="B3686" t="str">
        <f>"1551765543392564"</f>
        <v>1551765543392564</v>
      </c>
      <c r="C3686" t="s">
        <v>40</v>
      </c>
      <c r="D3686">
        <v>4.2432259999999999</v>
      </c>
      <c r="E3686">
        <v>0.6385267</v>
      </c>
      <c r="F3686" t="s">
        <v>79</v>
      </c>
      <c r="G3686">
        <v>-205.7458</v>
      </c>
      <c r="H3686" s="1">
        <v>-9.3983870000000008E-6</v>
      </c>
      <c r="I3686">
        <v>147.73650000000001</v>
      </c>
      <c r="J3686">
        <v>-193.22620000000001</v>
      </c>
      <c r="K3686">
        <v>1.1006860000000001</v>
      </c>
      <c r="L3686">
        <v>152.98609999999999</v>
      </c>
      <c r="M3686">
        <v>-0.42643249999999999</v>
      </c>
      <c r="N3686">
        <v>-4.862936E-3</v>
      </c>
      <c r="O3686">
        <v>-0.90450629999999999</v>
      </c>
      <c r="P3686">
        <v>-0.72967519999999997</v>
      </c>
      <c r="Q3686">
        <v>3.157915E-2</v>
      </c>
      <c r="R3686">
        <v>-0.68306429999999996</v>
      </c>
      <c r="S3686">
        <v>-2.948944</v>
      </c>
      <c r="T3686">
        <v>-0.2571349</v>
      </c>
      <c r="U3686">
        <v>-1.2760929999999999</v>
      </c>
      <c r="V3686">
        <v>0.36932389999999998</v>
      </c>
      <c r="W3686">
        <v>2.9272010000000001E-2</v>
      </c>
      <c r="X3686">
        <v>0.92883959999999999</v>
      </c>
      <c r="Y3686">
        <v>0.65747140000000004</v>
      </c>
      <c r="Z3686">
        <v>8.1364439999999996E-2</v>
      </c>
      <c r="AA3686">
        <v>0.74907360000000001</v>
      </c>
      <c r="AB3686">
        <v>31</v>
      </c>
      <c r="AC3686">
        <v>-12.519599999999899</v>
      </c>
      <c r="AD3686">
        <v>-1.100695398387</v>
      </c>
      <c r="AE3686">
        <v>-5.2495999999999796</v>
      </c>
      <c r="AF3686">
        <v>9.0262285605674606</v>
      </c>
      <c r="AG3686">
        <v>-1.100695398387</v>
      </c>
      <c r="AH3686">
        <v>10.021302644428699</v>
      </c>
      <c r="AI3686">
        <v>94.665657260534203</v>
      </c>
      <c r="AJ3686">
        <v>47.990506358494699</v>
      </c>
      <c r="AK3686">
        <v>13.531845368569201</v>
      </c>
      <c r="AL3686">
        <v>88.322597760596196</v>
      </c>
      <c r="AM3686">
        <v>68.316311374425197</v>
      </c>
      <c r="AN3686">
        <v>0.99999999810440499</v>
      </c>
    </row>
    <row r="3687" spans="1:40" x14ac:dyDescent="0.25">
      <c r="A3687" t="str">
        <f>"20190305135903427"</f>
        <v>20190305135903427</v>
      </c>
      <c r="B3687" t="str">
        <f>"1551765543422820"</f>
        <v>1551765543422820</v>
      </c>
      <c r="C3687" t="s">
        <v>40</v>
      </c>
      <c r="D3687">
        <v>4.2393519999999896</v>
      </c>
      <c r="E3687">
        <v>0.66976590000000003</v>
      </c>
      <c r="F3687" t="s">
        <v>79</v>
      </c>
      <c r="G3687">
        <v>-205.4992</v>
      </c>
      <c r="H3687" s="1">
        <v>-9.5450779999999993E-6</v>
      </c>
      <c r="I3687">
        <v>147.87790000000001</v>
      </c>
      <c r="J3687">
        <v>-193.3683</v>
      </c>
      <c r="K3687">
        <v>1.100417</v>
      </c>
      <c r="L3687">
        <v>152.70609999999999</v>
      </c>
      <c r="M3687">
        <v>-0.43527149999999998</v>
      </c>
      <c r="N3687">
        <v>-4.9023740000000001E-3</v>
      </c>
      <c r="O3687">
        <v>-0.90028609999999898</v>
      </c>
      <c r="P3687">
        <v>-0.74009590000000003</v>
      </c>
      <c r="Q3687">
        <v>3.005592E-2</v>
      </c>
      <c r="R3687">
        <v>-0.67183019999999904</v>
      </c>
      <c r="S3687">
        <v>-2.9669490000000001</v>
      </c>
      <c r="T3687">
        <v>-0.26608979999999999</v>
      </c>
      <c r="U3687">
        <v>-1.2348790000000001</v>
      </c>
      <c r="V3687">
        <v>0.37446639999999998</v>
      </c>
      <c r="W3687">
        <v>2.745409E-2</v>
      </c>
      <c r="X3687">
        <v>0.92683400000000005</v>
      </c>
      <c r="Y3687">
        <v>0.6603443</v>
      </c>
      <c r="Z3687">
        <v>8.4315340000000003E-2</v>
      </c>
      <c r="AA3687">
        <v>0.74621470000000001</v>
      </c>
      <c r="AB3687">
        <v>31</v>
      </c>
      <c r="AC3687">
        <v>-12.130899999999899</v>
      </c>
      <c r="AD3687">
        <v>-1.100426545078</v>
      </c>
      <c r="AE3687">
        <v>-4.8281999999999803</v>
      </c>
      <c r="AF3687">
        <v>8.7575973753429501</v>
      </c>
      <c r="AG3687">
        <v>-1.100426545078</v>
      </c>
      <c r="AH3687">
        <v>9.5592062750693092</v>
      </c>
      <c r="AI3687">
        <v>94.851697840509303</v>
      </c>
      <c r="AJ3687">
        <v>47.505869450240901</v>
      </c>
      <c r="AK3687">
        <v>13.0109521165459</v>
      </c>
      <c r="AL3687">
        <v>88.426798902306402</v>
      </c>
      <c r="AM3687">
        <v>67.999938512451195</v>
      </c>
      <c r="AN3687">
        <v>1.00000003767134</v>
      </c>
    </row>
    <row r="3688" spans="1:40" x14ac:dyDescent="0.25">
      <c r="A3688" t="str">
        <f>"20190305135903451"</f>
        <v>20190305135903451</v>
      </c>
      <c r="B3688" t="str">
        <f>"1551765543442341"</f>
        <v>1551765543442341</v>
      </c>
      <c r="C3688" t="s">
        <v>40</v>
      </c>
      <c r="D3688">
        <v>4.1452349999999996</v>
      </c>
      <c r="E3688">
        <v>0.66845140000000003</v>
      </c>
      <c r="F3688" t="s">
        <v>42</v>
      </c>
      <c r="G3688">
        <v>-211.875</v>
      </c>
      <c r="H3688" s="1">
        <v>-5.2638630000000002E-6</v>
      </c>
      <c r="I3688">
        <v>146.79069999999999</v>
      </c>
      <c r="J3688">
        <v>-193.52379999999999</v>
      </c>
      <c r="K3688">
        <v>1.1001369999999999</v>
      </c>
      <c r="L3688">
        <v>152.4074</v>
      </c>
      <c r="M3688">
        <v>-0.44491969999999997</v>
      </c>
      <c r="N3688">
        <v>-4.9448850000000004E-3</v>
      </c>
      <c r="O3688">
        <v>-0.89555689999999999</v>
      </c>
      <c r="P3688">
        <v>-0.75025649999999999</v>
      </c>
      <c r="Q3688">
        <v>2.9318440000000001E-2</v>
      </c>
      <c r="R3688">
        <v>-0.6604968</v>
      </c>
      <c r="S3688">
        <v>-3.1477970000000002</v>
      </c>
      <c r="T3688">
        <v>-0.18717010000000001</v>
      </c>
      <c r="U3688">
        <v>-1.006149</v>
      </c>
      <c r="V3688">
        <v>0.3786292</v>
      </c>
      <c r="W3688">
        <v>2.642736E-2</v>
      </c>
      <c r="X3688">
        <v>0.92517110000000002</v>
      </c>
      <c r="Y3688">
        <v>0.71583830000000004</v>
      </c>
      <c r="Z3688">
        <v>5.7781239999999998E-2</v>
      </c>
      <c r="AA3688">
        <v>0.69587140000000003</v>
      </c>
      <c r="AB3688">
        <v>31</v>
      </c>
      <c r="AC3688">
        <v>-18.351199999999999</v>
      </c>
      <c r="AD3688">
        <v>-1.1001422638630001</v>
      </c>
      <c r="AE3688">
        <v>-5.6166999999999998</v>
      </c>
      <c r="AF3688">
        <v>13.890088520266101</v>
      </c>
      <c r="AG3688">
        <v>-1.1001422638630001</v>
      </c>
      <c r="AH3688">
        <v>13.151827050306601</v>
      </c>
      <c r="AI3688">
        <v>93.291615395237002</v>
      </c>
      <c r="AJ3688">
        <v>43.436177270920098</v>
      </c>
      <c r="AK3688">
        <v>19.160256440422302</v>
      </c>
      <c r="AL3688">
        <v>88.485647532293598</v>
      </c>
      <c r="AM3688">
        <v>67.743013045354999</v>
      </c>
      <c r="AN3688">
        <v>1.0000000203621999</v>
      </c>
    </row>
    <row r="3689" spans="1:40" x14ac:dyDescent="0.25">
      <c r="A3689" t="str">
        <f>"20190305135903473"</f>
        <v>20190305135903473</v>
      </c>
      <c r="B3689" t="str">
        <f>"1551765543462837"</f>
        <v>1551765543462837</v>
      </c>
      <c r="C3689" t="s">
        <v>40</v>
      </c>
      <c r="D3689">
        <v>4.1779609999999998</v>
      </c>
      <c r="E3689">
        <v>0.66614569999999995</v>
      </c>
      <c r="F3689" t="s">
        <v>42</v>
      </c>
      <c r="G3689">
        <v>-210.1816</v>
      </c>
      <c r="H3689" s="1">
        <v>-6.0067889999999997E-6</v>
      </c>
      <c r="I3689">
        <v>147.31290000000001</v>
      </c>
      <c r="J3689">
        <v>-193.6763</v>
      </c>
      <c r="K3689">
        <v>1.0998779999999999</v>
      </c>
      <c r="L3689">
        <v>152.12219999999999</v>
      </c>
      <c r="M3689">
        <v>-0.45433849999999998</v>
      </c>
      <c r="N3689">
        <v>-4.9867080000000003E-3</v>
      </c>
      <c r="O3689">
        <v>-0.89081529999999998</v>
      </c>
      <c r="P3689">
        <v>-0.75993319999999998</v>
      </c>
      <c r="Q3689">
        <v>2.909805E-2</v>
      </c>
      <c r="R3689">
        <v>-0.64934979999999998</v>
      </c>
      <c r="S3689">
        <v>-3.1568149999999999</v>
      </c>
      <c r="T3689">
        <v>-0.20848739999999999</v>
      </c>
      <c r="U3689">
        <v>-0.96545409999999998</v>
      </c>
      <c r="V3689">
        <v>0.38254680000000002</v>
      </c>
      <c r="W3689">
        <v>2.5929230000000001E-2</v>
      </c>
      <c r="X3689">
        <v>0.92357219999999995</v>
      </c>
      <c r="Y3689">
        <v>0.71679029999999999</v>
      </c>
      <c r="Z3689">
        <v>6.4807820000000002E-2</v>
      </c>
      <c r="AA3689">
        <v>0.69427059999999996</v>
      </c>
      <c r="AB3689">
        <v>31</v>
      </c>
      <c r="AC3689">
        <v>-16.505299999999998</v>
      </c>
      <c r="AD3689">
        <v>-1.0998840067889999</v>
      </c>
      <c r="AE3689">
        <v>-4.8092999999999702</v>
      </c>
      <c r="AF3689">
        <v>12.4672476003048</v>
      </c>
      <c r="AG3689">
        <v>-1.0998840067889999</v>
      </c>
      <c r="AH3689">
        <v>11.7353021477458</v>
      </c>
      <c r="AI3689">
        <v>93.6756025514333</v>
      </c>
      <c r="AJ3689">
        <v>43.267760740705299</v>
      </c>
      <c r="AK3689">
        <v>17.156903102092301</v>
      </c>
      <c r="AL3689">
        <v>88.514198023869895</v>
      </c>
      <c r="AM3689">
        <v>67.500494100742202</v>
      </c>
      <c r="AN3689">
        <v>0.99999999388573602</v>
      </c>
    </row>
    <row r="3690" spans="1:40" x14ac:dyDescent="0.25">
      <c r="A3690" t="str">
        <f>"20190305135903494"</f>
        <v>20190305135903494</v>
      </c>
      <c r="B3690" t="str">
        <f>"1551765543482356"</f>
        <v>1551765543482356</v>
      </c>
      <c r="C3690" t="s">
        <v>40</v>
      </c>
      <c r="D3690">
        <v>4.1480269999999999</v>
      </c>
      <c r="E3690">
        <v>0.663450599999999</v>
      </c>
      <c r="F3690" t="s">
        <v>42</v>
      </c>
      <c r="G3690">
        <v>-211.09299999999999</v>
      </c>
      <c r="H3690" s="1">
        <v>-5.5970099999999998E-6</v>
      </c>
      <c r="I3690">
        <v>146.97579999999999</v>
      </c>
      <c r="J3690">
        <v>-193.82210000000001</v>
      </c>
      <c r="K3690">
        <v>1.0996440000000001</v>
      </c>
      <c r="L3690">
        <v>151.85640000000001</v>
      </c>
      <c r="M3690">
        <v>-0.46329979999999998</v>
      </c>
      <c r="N3690">
        <v>-5.0274990000000004E-3</v>
      </c>
      <c r="O3690">
        <v>-0.88618739999999996</v>
      </c>
      <c r="P3690">
        <v>-0.76918050000000004</v>
      </c>
      <c r="Q3690">
        <v>2.814701E-2</v>
      </c>
      <c r="R3690">
        <v>-0.63841159999999997</v>
      </c>
      <c r="S3690">
        <v>-3.15802</v>
      </c>
      <c r="T3690">
        <v>-0.19943259999999999</v>
      </c>
      <c r="U3690">
        <v>-0.93315119999999896</v>
      </c>
      <c r="V3690">
        <v>0.38646779999999997</v>
      </c>
      <c r="W3690">
        <v>2.4711299999999999E-2</v>
      </c>
      <c r="X3690">
        <v>0.92197180000000001</v>
      </c>
      <c r="Y3690">
        <v>0.71654700000000005</v>
      </c>
      <c r="Z3690">
        <v>6.1967809999999998E-2</v>
      </c>
      <c r="AA3690">
        <v>0.69478090000000003</v>
      </c>
      <c r="AB3690">
        <v>31</v>
      </c>
      <c r="AC3690">
        <v>-17.270899999999902</v>
      </c>
      <c r="AD3690">
        <v>-1.09964959701</v>
      </c>
      <c r="AE3690">
        <v>-4.88060000000001</v>
      </c>
      <c r="AF3690">
        <v>12.995450305051801</v>
      </c>
      <c r="AG3690">
        <v>-1.09964959701</v>
      </c>
      <c r="AH3690">
        <v>12.2807820238275</v>
      </c>
      <c r="AI3690">
        <v>93.519325387894199</v>
      </c>
      <c r="AJ3690">
        <v>43.380432284391603</v>
      </c>
      <c r="AK3690">
        <v>17.913920982968499</v>
      </c>
      <c r="AL3690">
        <v>88.584002672255195</v>
      </c>
      <c r="AM3690">
        <v>67.257772867360401</v>
      </c>
      <c r="AN3690">
        <v>1.00000000438988</v>
      </c>
    </row>
    <row r="3691" spans="1:40" x14ac:dyDescent="0.25">
      <c r="A3691" t="str">
        <f>"20190305135903509"</f>
        <v>20190305135903509</v>
      </c>
      <c r="B3691" t="str">
        <f>"1551765543502853"</f>
        <v>1551765543502853</v>
      </c>
      <c r="C3691" t="s">
        <v>40</v>
      </c>
      <c r="D3691">
        <v>4.1829190000000001</v>
      </c>
      <c r="E3691">
        <v>0.66135469999999996</v>
      </c>
      <c r="F3691" t="s">
        <v>42</v>
      </c>
      <c r="G3691">
        <v>-210.60769999999999</v>
      </c>
      <c r="H3691" s="1">
        <v>-5.7960860000000003E-6</v>
      </c>
      <c r="I3691">
        <v>147.04750000000001</v>
      </c>
      <c r="J3691">
        <v>-193.92939999999999</v>
      </c>
      <c r="K3691">
        <v>1.0994649999999999</v>
      </c>
      <c r="L3691">
        <v>151.6651</v>
      </c>
      <c r="M3691">
        <v>-0.46986440000000002</v>
      </c>
      <c r="N3691">
        <v>-5.0584009999999997E-3</v>
      </c>
      <c r="O3691">
        <v>-0.88272450000000002</v>
      </c>
      <c r="P3691">
        <v>-0.77502890000000002</v>
      </c>
      <c r="Q3691">
        <v>2.7835599999999999E-2</v>
      </c>
      <c r="R3691">
        <v>-0.63131309999999996</v>
      </c>
      <c r="S3691">
        <v>-3.1571349999999998</v>
      </c>
      <c r="T3691">
        <v>-0.2068285</v>
      </c>
      <c r="U3691">
        <v>-0.90447999999999995</v>
      </c>
      <c r="V3691">
        <v>0.38811469999999998</v>
      </c>
      <c r="W3691">
        <v>2.423318E-2</v>
      </c>
      <c r="X3691">
        <v>0.92129240000000001</v>
      </c>
      <c r="Y3691">
        <v>0.71697230000000001</v>
      </c>
      <c r="Z3691">
        <v>6.4550280000000002E-2</v>
      </c>
      <c r="AA3691">
        <v>0.69410669999999897</v>
      </c>
      <c r="AB3691">
        <v>32</v>
      </c>
      <c r="AC3691">
        <v>-16.6783</v>
      </c>
      <c r="AD3691">
        <v>-1.099470796086</v>
      </c>
      <c r="AE3691">
        <v>-4.6175999999999799</v>
      </c>
      <c r="AF3691">
        <v>12.502390536940901</v>
      </c>
      <c r="AG3691">
        <v>-1.099470796086</v>
      </c>
      <c r="AH3691">
        <v>11.864865734512099</v>
      </c>
      <c r="AI3691">
        <v>93.649875895080299</v>
      </c>
      <c r="AJ3691">
        <v>43.501302361166502</v>
      </c>
      <c r="AK3691">
        <v>17.271179579508601</v>
      </c>
      <c r="AL3691">
        <v>88.611405098992194</v>
      </c>
      <c r="AM3691">
        <v>67.155670075146702</v>
      </c>
      <c r="AN3691">
        <v>0.99999997683338004</v>
      </c>
    </row>
    <row r="3692" spans="1:40" x14ac:dyDescent="0.25">
      <c r="A3692" t="str">
        <f>"20190305135903528"</f>
        <v>20190305135903528</v>
      </c>
      <c r="B3692" t="str">
        <f>"1551765543522372"</f>
        <v>1551765543522372</v>
      </c>
      <c r="C3692" t="s">
        <v>40</v>
      </c>
      <c r="D3692">
        <v>4.1546640000000004</v>
      </c>
      <c r="E3692">
        <v>0.65929079999999995</v>
      </c>
      <c r="F3692" t="s">
        <v>42</v>
      </c>
      <c r="G3692">
        <v>-210.84379999999999</v>
      </c>
      <c r="H3692" s="1">
        <v>-5.6794220000000004E-6</v>
      </c>
      <c r="I3692">
        <v>146.9008</v>
      </c>
      <c r="J3692">
        <v>-194.06120000000001</v>
      </c>
      <c r="K3692">
        <v>1.0992500000000001</v>
      </c>
      <c r="L3692">
        <v>151.43450000000001</v>
      </c>
      <c r="M3692">
        <v>-0.47788659999999999</v>
      </c>
      <c r="N3692">
        <v>-5.0963659999999997E-3</v>
      </c>
      <c r="O3692">
        <v>-0.87840689999999999</v>
      </c>
      <c r="P3692">
        <v>-0.78267369999999903</v>
      </c>
      <c r="Q3692">
        <v>2.6518159999999999E-2</v>
      </c>
      <c r="R3692">
        <v>-0.62186770000000002</v>
      </c>
      <c r="S3692">
        <v>-3.1544189999999999</v>
      </c>
      <c r="T3692">
        <v>-0.20504459999999999</v>
      </c>
      <c r="U3692">
        <v>-0.88851930000000001</v>
      </c>
      <c r="V3692">
        <v>0.39091629999999999</v>
      </c>
      <c r="W3692">
        <v>2.2693419999999999E-2</v>
      </c>
      <c r="X3692">
        <v>0.92014649999999998</v>
      </c>
      <c r="Y3692">
        <v>0.71375569999999999</v>
      </c>
      <c r="Z3692">
        <v>6.3976710000000006E-2</v>
      </c>
      <c r="AA3692">
        <v>0.69746680000000005</v>
      </c>
      <c r="AB3692">
        <v>32</v>
      </c>
      <c r="AC3692">
        <v>-16.782599999999899</v>
      </c>
      <c r="AD3692">
        <v>-1.0992556794220001</v>
      </c>
      <c r="AE3692">
        <v>-4.5336999999999996</v>
      </c>
      <c r="AF3692">
        <v>12.5254368924272</v>
      </c>
      <c r="AG3692">
        <v>-1.0992556794220001</v>
      </c>
      <c r="AH3692">
        <v>11.954966363283701</v>
      </c>
      <c r="AI3692">
        <v>93.6325988552654</v>
      </c>
      <c r="AJ3692">
        <v>43.665069412641401</v>
      </c>
      <c r="AK3692">
        <v>17.349817092470001</v>
      </c>
      <c r="AL3692">
        <v>88.699651265784496</v>
      </c>
      <c r="AM3692">
        <v>66.982206733538902</v>
      </c>
      <c r="AN3692">
        <v>1.00000006318961</v>
      </c>
    </row>
    <row r="3693" spans="1:40" x14ac:dyDescent="0.25">
      <c r="A3693" t="str">
        <f>"20190305135903551"</f>
        <v>20190305135903551</v>
      </c>
      <c r="B3693" t="str">
        <f>"1551765543542869"</f>
        <v>1551765543542869</v>
      </c>
      <c r="C3693" t="s">
        <v>40</v>
      </c>
      <c r="D3693">
        <v>4.1391839999999904</v>
      </c>
      <c r="E3693">
        <v>0.65764560000000005</v>
      </c>
      <c r="F3693" t="s">
        <v>42</v>
      </c>
      <c r="G3693">
        <v>-210.9128</v>
      </c>
      <c r="H3693" s="1">
        <v>-5.639079E-6</v>
      </c>
      <c r="I3693">
        <v>146.8228</v>
      </c>
      <c r="J3693">
        <v>-194.23390000000001</v>
      </c>
      <c r="K3693">
        <v>1.0989789999999999</v>
      </c>
      <c r="L3693">
        <v>151.13980000000001</v>
      </c>
      <c r="M3693">
        <v>-0.48831160000000001</v>
      </c>
      <c r="N3693">
        <v>-5.1457050000000004E-3</v>
      </c>
      <c r="O3693">
        <v>-0.87265439999999905</v>
      </c>
      <c r="P3693">
        <v>-0.79102059999999996</v>
      </c>
      <c r="Q3693">
        <v>2.5497780000000001E-2</v>
      </c>
      <c r="R3693">
        <v>-0.61125819999999997</v>
      </c>
      <c r="S3693">
        <v>-3.1541440000000001</v>
      </c>
      <c r="T3693">
        <v>-0.20575060000000001</v>
      </c>
      <c r="U3693">
        <v>-0.86318969999999995</v>
      </c>
      <c r="V3693">
        <v>0.3923874</v>
      </c>
      <c r="W3693">
        <v>2.1439639999999999E-2</v>
      </c>
      <c r="X3693">
        <v>0.91955010000000004</v>
      </c>
      <c r="Y3693">
        <v>0.71059319999999904</v>
      </c>
      <c r="Z3693">
        <v>6.4198909999999998E-2</v>
      </c>
      <c r="AA3693">
        <v>0.70066819999999996</v>
      </c>
      <c r="AB3693">
        <v>32</v>
      </c>
      <c r="AC3693">
        <v>-16.678899999999999</v>
      </c>
      <c r="AD3693">
        <v>-1.0989846390789999</v>
      </c>
      <c r="AE3693">
        <v>-4.3170000000000002</v>
      </c>
      <c r="AF3693">
        <v>12.396594952052499</v>
      </c>
      <c r="AG3693">
        <v>-1.0989846390789999</v>
      </c>
      <c r="AH3693">
        <v>11.863631692534801</v>
      </c>
      <c r="AI3693">
        <v>93.664686488673993</v>
      </c>
      <c r="AJ3693">
        <v>43.741494266941302</v>
      </c>
      <c r="AK3693">
        <v>17.1938678190308</v>
      </c>
      <c r="AL3693">
        <v>88.771504935383305</v>
      </c>
      <c r="AM3693">
        <v>66.891247146484403</v>
      </c>
      <c r="AN3693">
        <v>0.99999995812604903</v>
      </c>
    </row>
    <row r="3694" spans="1:40" x14ac:dyDescent="0.25">
      <c r="A3694" t="str">
        <f>"20190305135903564"</f>
        <v>20190305135903564</v>
      </c>
      <c r="B3694" t="str">
        <f>"1551765543552629"</f>
        <v>1551765543552629</v>
      </c>
      <c r="C3694" t="s">
        <v>40</v>
      </c>
      <c r="D3694">
        <v>4.112946</v>
      </c>
      <c r="E3694">
        <v>0.65685260000000001</v>
      </c>
      <c r="F3694" t="s">
        <v>42</v>
      </c>
      <c r="G3694">
        <v>-210.61709999999999</v>
      </c>
      <c r="H3694" s="1">
        <v>-5.7538829999999901E-6</v>
      </c>
      <c r="I3694">
        <v>146.82990000000001</v>
      </c>
      <c r="J3694">
        <v>-194.32749999999999</v>
      </c>
      <c r="K3694">
        <v>1.098838</v>
      </c>
      <c r="L3694">
        <v>150.98339999999999</v>
      </c>
      <c r="M3694">
        <v>-0.49392160000000002</v>
      </c>
      <c r="N3694">
        <v>-5.1720259999999997E-3</v>
      </c>
      <c r="O3694">
        <v>-0.86949120000000002</v>
      </c>
      <c r="P3694">
        <v>-0.7954523</v>
      </c>
      <c r="Q3694">
        <v>2.4877819999999998E-2</v>
      </c>
      <c r="R3694">
        <v>-0.60550579999999998</v>
      </c>
      <c r="S3694">
        <v>-3.1575160000000002</v>
      </c>
      <c r="T3694">
        <v>-0.2118062</v>
      </c>
      <c r="U3694">
        <v>-0.83064269999999996</v>
      </c>
      <c r="V3694">
        <v>0.39314389999999999</v>
      </c>
      <c r="W3694">
        <v>2.069785E-2</v>
      </c>
      <c r="X3694">
        <v>0.91924399999999995</v>
      </c>
      <c r="Y3694">
        <v>0.71284759999999903</v>
      </c>
      <c r="Z3694">
        <v>6.6318589999999997E-2</v>
      </c>
      <c r="AA3694">
        <v>0.69817640000000003</v>
      </c>
      <c r="AB3694">
        <v>32</v>
      </c>
      <c r="AC3694">
        <v>-16.2896</v>
      </c>
      <c r="AD3694">
        <v>-1.098843753883</v>
      </c>
      <c r="AE3694">
        <v>-4.1534999999999798</v>
      </c>
      <c r="AF3694">
        <v>12.0607896731164</v>
      </c>
      <c r="AG3694">
        <v>-1.098843753883</v>
      </c>
      <c r="AH3694">
        <v>11.6077757150513</v>
      </c>
      <c r="AI3694">
        <v>93.755773927758</v>
      </c>
      <c r="AJ3694">
        <v>43.903498432729599</v>
      </c>
      <c r="AK3694">
        <v>16.775296187714101</v>
      </c>
      <c r="AL3694">
        <v>88.814015895037002</v>
      </c>
      <c r="AM3694">
        <v>66.844487378286701</v>
      </c>
      <c r="AN3694">
        <v>1.00000002931891</v>
      </c>
    </row>
    <row r="3695" spans="1:40" x14ac:dyDescent="0.25">
      <c r="A3695" t="str">
        <f>"20190305135903583"</f>
        <v>20190305135903583</v>
      </c>
      <c r="B3695" t="str">
        <f>"1551765543573127"</f>
        <v>1551765543573127</v>
      </c>
      <c r="C3695" t="s">
        <v>40</v>
      </c>
      <c r="D3695">
        <v>4.1131589999999996</v>
      </c>
      <c r="E3695">
        <v>0.65537650000000003</v>
      </c>
      <c r="F3695" t="s">
        <v>42</v>
      </c>
      <c r="G3695">
        <v>-210.3604</v>
      </c>
      <c r="H3695" s="1">
        <v>-5.8578120000000004E-6</v>
      </c>
      <c r="I3695">
        <v>146.86000000000001</v>
      </c>
      <c r="J3695">
        <v>-194.47839999999999</v>
      </c>
      <c r="K3695">
        <v>1.0986129999999901</v>
      </c>
      <c r="L3695">
        <v>150.73599999999999</v>
      </c>
      <c r="M3695">
        <v>-0.50290089999999998</v>
      </c>
      <c r="N3695">
        <v>-5.214069E-3</v>
      </c>
      <c r="O3695">
        <v>-0.8643284</v>
      </c>
      <c r="P3695">
        <v>-0.80204119999999901</v>
      </c>
      <c r="Q3695">
        <v>2.4262829999999999E-2</v>
      </c>
      <c r="R3695">
        <v>-0.59677609999999903</v>
      </c>
      <c r="S3695">
        <v>-3.1596220000000002</v>
      </c>
      <c r="T3695">
        <v>-0.2165513</v>
      </c>
      <c r="U3695">
        <v>-0.81260679999999996</v>
      </c>
      <c r="V3695">
        <v>0.39368239999999999</v>
      </c>
      <c r="W3695">
        <v>1.9907419999999999E-2</v>
      </c>
      <c r="X3695">
        <v>0.91903100000000004</v>
      </c>
      <c r="Y3695">
        <v>0.70933259999999998</v>
      </c>
      <c r="Z3695">
        <v>6.7752670000000001E-2</v>
      </c>
      <c r="AA3695">
        <v>0.70161010000000001</v>
      </c>
      <c r="AB3695">
        <v>32</v>
      </c>
      <c r="AC3695">
        <v>-15.882</v>
      </c>
      <c r="AD3695">
        <v>-1.09861885781199</v>
      </c>
      <c r="AE3695">
        <v>-3.8759999999999701</v>
      </c>
      <c r="AF3695">
        <v>11.725227738989901</v>
      </c>
      <c r="AG3695">
        <v>-1.09861885781199</v>
      </c>
      <c r="AH3695">
        <v>11.2863927746585</v>
      </c>
      <c r="AI3695">
        <v>93.861892115176403</v>
      </c>
      <c r="AJ3695">
        <v>43.907493540522601</v>
      </c>
      <c r="AK3695">
        <v>16.311670386253599</v>
      </c>
      <c r="AL3695">
        <v>88.859313567577203</v>
      </c>
      <c r="AM3695">
        <v>66.811313621835296</v>
      </c>
      <c r="AN3695">
        <v>1.0000000582009001</v>
      </c>
    </row>
    <row r="3696" spans="1:40" x14ac:dyDescent="0.25">
      <c r="A3696" t="str">
        <f>"20190305135903597"</f>
        <v>20190305135903597</v>
      </c>
      <c r="B3696" t="str">
        <f>"1551765543592645"</f>
        <v>1551765543592645</v>
      </c>
      <c r="C3696" t="s">
        <v>40</v>
      </c>
      <c r="D3696">
        <v>4.1264219999999998</v>
      </c>
      <c r="E3696">
        <v>0.6537887</v>
      </c>
      <c r="F3696" t="s">
        <v>42</v>
      </c>
      <c r="G3696">
        <v>-210.03890000000001</v>
      </c>
      <c r="H3696" s="1">
        <v>-5.9814309999999998E-6</v>
      </c>
      <c r="I3696">
        <v>146.86089999999999</v>
      </c>
      <c r="J3696">
        <v>-194.58760000000001</v>
      </c>
      <c r="K3696">
        <v>1.0984579999999999</v>
      </c>
      <c r="L3696">
        <v>150.56010000000001</v>
      </c>
      <c r="M3696">
        <v>-0.50934970000000002</v>
      </c>
      <c r="N3696">
        <v>-5.2439849999999996E-3</v>
      </c>
      <c r="O3696">
        <v>-0.86054370000000002</v>
      </c>
      <c r="P3696">
        <v>-0.80674659999999998</v>
      </c>
      <c r="Q3696">
        <v>2.3986830000000001E-2</v>
      </c>
      <c r="R3696">
        <v>-0.59041089999999996</v>
      </c>
      <c r="S3696">
        <v>-3.1614070000000001</v>
      </c>
      <c r="T3696">
        <v>-0.22320599999999999</v>
      </c>
      <c r="U3696">
        <v>-0.78730769999999906</v>
      </c>
      <c r="V3696">
        <v>0.39409090000000002</v>
      </c>
      <c r="W3696">
        <v>1.950648E-2</v>
      </c>
      <c r="X3696">
        <v>0.91886440000000003</v>
      </c>
      <c r="Y3696">
        <v>0.70928009999999997</v>
      </c>
      <c r="Z3696">
        <v>6.9972530000000005E-2</v>
      </c>
      <c r="AA3696">
        <v>0.70144530000000005</v>
      </c>
      <c r="AB3696">
        <v>32</v>
      </c>
      <c r="AC3696">
        <v>-15.4513</v>
      </c>
      <c r="AD3696">
        <v>-1.098463981431</v>
      </c>
      <c r="AE3696">
        <v>-3.69920000000001</v>
      </c>
      <c r="AF3696">
        <v>11.358195726453401</v>
      </c>
      <c r="AG3696">
        <v>-1.098463981431</v>
      </c>
      <c r="AH3696">
        <v>11.001004027574099</v>
      </c>
      <c r="AI3696">
        <v>93.973878836364094</v>
      </c>
      <c r="AJ3696">
        <v>44.084768849604004</v>
      </c>
      <c r="AK3696">
        <v>15.8504675922708</v>
      </c>
      <c r="AL3696">
        <v>88.882290091786302</v>
      </c>
      <c r="AM3696">
        <v>66.786035697161694</v>
      </c>
      <c r="AN3696">
        <v>0.99999996290607895</v>
      </c>
    </row>
    <row r="3697" spans="1:40" x14ac:dyDescent="0.25">
      <c r="A3697" t="str">
        <f>"20190305135903617"</f>
        <v>20190305135903617</v>
      </c>
      <c r="B3697" t="str">
        <f>"1551765543613141"</f>
        <v>1551765543613141</v>
      </c>
      <c r="C3697" t="s">
        <v>40</v>
      </c>
      <c r="D3697">
        <v>4.1104050000000001</v>
      </c>
      <c r="E3697">
        <v>0.65226719999999905</v>
      </c>
      <c r="F3697" t="s">
        <v>79</v>
      </c>
      <c r="G3697">
        <v>-209.9288</v>
      </c>
      <c r="H3697" s="1">
        <v>-7.2988679999999997E-6</v>
      </c>
      <c r="I3697">
        <v>146.81020000000001</v>
      </c>
      <c r="J3697">
        <v>-194.7337</v>
      </c>
      <c r="K3697">
        <v>1.0982459999999901</v>
      </c>
      <c r="L3697">
        <v>150.33029999999999</v>
      </c>
      <c r="M3697">
        <v>-0.51789510000000005</v>
      </c>
      <c r="N3697">
        <v>-5.2845909999999999E-3</v>
      </c>
      <c r="O3697">
        <v>-0.85542790000000002</v>
      </c>
      <c r="P3697">
        <v>-0.81344050000000001</v>
      </c>
      <c r="Q3697">
        <v>2.2132300000000001E-2</v>
      </c>
      <c r="R3697">
        <v>-0.58122689999999999</v>
      </c>
      <c r="S3697">
        <v>-3.1600489999999999</v>
      </c>
      <c r="T3697">
        <v>-0.2262681</v>
      </c>
      <c r="U3697">
        <v>-0.77243039999999996</v>
      </c>
      <c r="V3697">
        <v>0.395366</v>
      </c>
      <c r="W3697">
        <v>1.7472629999999999E-2</v>
      </c>
      <c r="X3697">
        <v>0.91835750000000005</v>
      </c>
      <c r="Y3697">
        <v>0.7052349</v>
      </c>
      <c r="Z3697">
        <v>7.0869639999999998E-2</v>
      </c>
      <c r="AA3697">
        <v>0.70542269999999996</v>
      </c>
      <c r="AB3697">
        <v>32</v>
      </c>
      <c r="AC3697">
        <v>-15.195099999999901</v>
      </c>
      <c r="AD3697">
        <v>-1.0982532988679901</v>
      </c>
      <c r="AE3697">
        <v>-3.5200999999999798</v>
      </c>
      <c r="AF3697">
        <v>11.1202922170598</v>
      </c>
      <c r="AG3697">
        <v>-1.0982532988679901</v>
      </c>
      <c r="AH3697">
        <v>10.827131221678201</v>
      </c>
      <c r="AI3697">
        <v>94.047571906254205</v>
      </c>
      <c r="AJ3697">
        <v>44.234721609300003</v>
      </c>
      <c r="AK3697">
        <v>15.559364697593301</v>
      </c>
      <c r="AL3697">
        <v>88.998841130819997</v>
      </c>
      <c r="AM3697">
        <v>66.707432790330202</v>
      </c>
      <c r="AN3697">
        <v>1.0000000322806799</v>
      </c>
    </row>
    <row r="3698" spans="1:40" x14ac:dyDescent="0.25">
      <c r="A3698" t="str">
        <f>"20190305135903641"</f>
        <v>20190305135903641</v>
      </c>
      <c r="B3698" t="str">
        <f>"1551765543632661"</f>
        <v>1551765543632661</v>
      </c>
      <c r="C3698" t="s">
        <v>40</v>
      </c>
      <c r="D3698">
        <v>4.1105839999999896</v>
      </c>
      <c r="E3698">
        <v>0.65092190000000005</v>
      </c>
      <c r="F3698" t="s">
        <v>79</v>
      </c>
      <c r="G3698">
        <v>-209.53559999999999</v>
      </c>
      <c r="H3698" s="1">
        <v>-7.4795759999999997E-6</v>
      </c>
      <c r="I3698">
        <v>146.83430000000001</v>
      </c>
      <c r="J3698">
        <v>-194.92689999999999</v>
      </c>
      <c r="K3698">
        <v>1.0979749999999999</v>
      </c>
      <c r="L3698">
        <v>150.03389999999999</v>
      </c>
      <c r="M3698">
        <v>-0.52907910000000002</v>
      </c>
      <c r="N3698">
        <v>-5.3395109999999999E-3</v>
      </c>
      <c r="O3698">
        <v>-0.84855579999999997</v>
      </c>
      <c r="P3698">
        <v>-0.82006919999999905</v>
      </c>
      <c r="Q3698">
        <v>2.094476E-2</v>
      </c>
      <c r="R3698">
        <v>-0.57188119999999998</v>
      </c>
      <c r="S3698">
        <v>-3.1609799999999999</v>
      </c>
      <c r="T3698">
        <v>-0.23453499999999999</v>
      </c>
      <c r="U3698">
        <v>-0.74658199999999997</v>
      </c>
      <c r="V3698">
        <v>0.39382800000000001</v>
      </c>
      <c r="W3698">
        <v>1.6135299999999901E-2</v>
      </c>
      <c r="X3698">
        <v>0.91904249999999998</v>
      </c>
      <c r="Y3698">
        <v>0.70123579999999996</v>
      </c>
      <c r="Z3698">
        <v>7.3426000000000005E-2</v>
      </c>
      <c r="AA3698">
        <v>0.70913819999999905</v>
      </c>
      <c r="AB3698">
        <v>32</v>
      </c>
      <c r="AC3698">
        <v>-14.608700000000001</v>
      </c>
      <c r="AD3698">
        <v>-1.09798247957599</v>
      </c>
      <c r="AE3698">
        <v>-3.19959999999997</v>
      </c>
      <c r="AF3698">
        <v>10.6462202977642</v>
      </c>
      <c r="AG3698">
        <v>-1.09798247957599</v>
      </c>
      <c r="AH3698">
        <v>10.388348008196401</v>
      </c>
      <c r="AI3698">
        <v>94.2216272824122</v>
      </c>
      <c r="AJ3698">
        <v>44.297620302972199</v>
      </c>
      <c r="AK3698">
        <v>14.9152722567636</v>
      </c>
      <c r="AL3698">
        <v>89.075475270237803</v>
      </c>
      <c r="AM3698">
        <v>66.803903786535798</v>
      </c>
      <c r="AN3698">
        <v>0.99999997914816896</v>
      </c>
    </row>
    <row r="3699" spans="1:40" x14ac:dyDescent="0.25">
      <c r="A3699" t="str">
        <f>"20190305135903663"</f>
        <v>20190305135903663</v>
      </c>
      <c r="B3699" t="str">
        <f>"1551765543653156"</f>
        <v>1551765543653156</v>
      </c>
      <c r="C3699" t="s">
        <v>40</v>
      </c>
      <c r="D3699">
        <v>3.9849220000000001</v>
      </c>
      <c r="E3699">
        <v>0.65030410000000005</v>
      </c>
      <c r="F3699" t="s">
        <v>79</v>
      </c>
      <c r="G3699">
        <v>-209.45679999999999</v>
      </c>
      <c r="H3699" s="1">
        <v>-7.4872939999999997E-6</v>
      </c>
      <c r="I3699">
        <v>146.73099999999999</v>
      </c>
      <c r="J3699">
        <v>-195.11580000000001</v>
      </c>
      <c r="K3699">
        <v>1.0977220000000001</v>
      </c>
      <c r="L3699">
        <v>149.75239999999999</v>
      </c>
      <c r="M3699">
        <v>-0.53987600000000002</v>
      </c>
      <c r="N3699">
        <v>-5.3942510000000001E-3</v>
      </c>
      <c r="O3699">
        <v>-0.84172739999999902</v>
      </c>
      <c r="P3699">
        <v>-0.82632169999999905</v>
      </c>
      <c r="Q3699">
        <v>1.9602149999999999E-2</v>
      </c>
      <c r="R3699">
        <v>-0.56285769999999902</v>
      </c>
      <c r="S3699">
        <v>-3.1629489999999998</v>
      </c>
      <c r="T3699">
        <v>-0.2390158</v>
      </c>
      <c r="U3699">
        <v>-0.71899409999999997</v>
      </c>
      <c r="V3699">
        <v>0.3921654</v>
      </c>
      <c r="W3699">
        <v>1.465966E-2</v>
      </c>
      <c r="X3699">
        <v>0.91977790000000004</v>
      </c>
      <c r="Y3699">
        <v>0.69800139999999999</v>
      </c>
      <c r="Z3699">
        <v>7.4730309999999994E-2</v>
      </c>
      <c r="AA3699">
        <v>0.71218630000000005</v>
      </c>
      <c r="AB3699">
        <v>32</v>
      </c>
      <c r="AC3699">
        <v>-14.3409999999999</v>
      </c>
      <c r="AD3699">
        <v>-1.09772948729399</v>
      </c>
      <c r="AE3699">
        <v>-3.0213999999999999</v>
      </c>
      <c r="AF3699">
        <v>10.3819384334756</v>
      </c>
      <c r="AG3699">
        <v>-1.09772948729399</v>
      </c>
      <c r="AH3699">
        <v>10.228323581497101</v>
      </c>
      <c r="AI3699">
        <v>94.307428871303998</v>
      </c>
      <c r="AJ3699">
        <v>44.572964200646197</v>
      </c>
      <c r="AK3699">
        <v>14.615343271766299</v>
      </c>
      <c r="AL3699">
        <v>89.160033262079196</v>
      </c>
      <c r="AM3699">
        <v>66.908070621246594</v>
      </c>
      <c r="AN3699">
        <v>0.99999999595844202</v>
      </c>
    </row>
    <row r="3700" spans="1:40" x14ac:dyDescent="0.25">
      <c r="A3700" t="str">
        <f>"20190305135903684"</f>
        <v>20190305135903684</v>
      </c>
      <c r="B3700" t="str">
        <f>"1551765543672677"</f>
        <v>1551765543672677</v>
      </c>
      <c r="C3700" t="s">
        <v>40</v>
      </c>
      <c r="D3700">
        <v>4.0474759999999996</v>
      </c>
      <c r="E3700">
        <v>0.62920140000000002</v>
      </c>
      <c r="F3700" t="s">
        <v>79</v>
      </c>
      <c r="G3700">
        <v>-209.43469999999999</v>
      </c>
      <c r="H3700" s="1">
        <v>-7.4737269999999998E-6</v>
      </c>
      <c r="I3700">
        <v>146.64250000000001</v>
      </c>
      <c r="J3700">
        <v>-195.29079999999999</v>
      </c>
      <c r="K3700">
        <v>1.097494</v>
      </c>
      <c r="L3700">
        <v>149.4982</v>
      </c>
      <c r="M3700">
        <v>-0.54973969999999905</v>
      </c>
      <c r="N3700">
        <v>-5.4421130000000002E-3</v>
      </c>
      <c r="O3700">
        <v>-0.83531840000000002</v>
      </c>
      <c r="P3700">
        <v>-0.83154110000000003</v>
      </c>
      <c r="Q3700">
        <v>1.857023E-2</v>
      </c>
      <c r="R3700">
        <v>-0.55515329999999996</v>
      </c>
      <c r="S3700">
        <v>-3.167694</v>
      </c>
      <c r="T3700">
        <v>-0.2428449</v>
      </c>
      <c r="U3700">
        <v>-0.68797299999999995</v>
      </c>
      <c r="V3700">
        <v>0.38989600000000002</v>
      </c>
      <c r="W3700">
        <v>1.353682E-2</v>
      </c>
      <c r="X3700">
        <v>0.92075940000000001</v>
      </c>
      <c r="Y3700">
        <v>0.69637969999999905</v>
      </c>
      <c r="Z3700">
        <v>7.5819839999999999E-2</v>
      </c>
      <c r="AA3700">
        <v>0.71365730000000005</v>
      </c>
      <c r="AB3700">
        <v>33</v>
      </c>
      <c r="AC3700">
        <v>-14.1439</v>
      </c>
      <c r="AD3700">
        <v>-1.0975014737269999</v>
      </c>
      <c r="AE3700">
        <v>-2.8556999999999801</v>
      </c>
      <c r="AF3700">
        <v>10.1859909178109</v>
      </c>
      <c r="AG3700">
        <v>-1.0975014737269999</v>
      </c>
      <c r="AH3700">
        <v>10.102586039353101</v>
      </c>
      <c r="AI3700">
        <v>94.374640945874205</v>
      </c>
      <c r="AJ3700">
        <v>44.764462504346497</v>
      </c>
      <c r="AK3700">
        <v>14.3882300907753</v>
      </c>
      <c r="AL3700">
        <v>89.224373659893303</v>
      </c>
      <c r="AM3700">
        <v>67.049748707834596</v>
      </c>
      <c r="AN3700">
        <v>1.0000000045000299</v>
      </c>
    </row>
    <row r="3701" spans="1:40" x14ac:dyDescent="0.25">
      <c r="A3701" t="str">
        <f>"20190305135903706"</f>
        <v>20190305135903706</v>
      </c>
      <c r="B3701" t="str">
        <f>"1551765543702933"</f>
        <v>1551765543702933</v>
      </c>
      <c r="C3701" t="s">
        <v>40</v>
      </c>
      <c r="D3701">
        <v>3.9897659999999999</v>
      </c>
      <c r="E3701">
        <v>0.62850550000000005</v>
      </c>
      <c r="F3701" t="s">
        <v>42</v>
      </c>
      <c r="G3701">
        <v>-217.12790000000001</v>
      </c>
      <c r="H3701" s="1">
        <v>-2.4544550000000002E-6</v>
      </c>
      <c r="I3701">
        <v>143.81190000000001</v>
      </c>
      <c r="J3701">
        <v>-195.4838</v>
      </c>
      <c r="K3701">
        <v>1.0972679999999999</v>
      </c>
      <c r="L3701">
        <v>149.2253</v>
      </c>
      <c r="M3701">
        <v>-0.56045959999999995</v>
      </c>
      <c r="N3701">
        <v>-5.4927379999999996E-3</v>
      </c>
      <c r="O3701">
        <v>-0.8281636</v>
      </c>
      <c r="P3701">
        <v>-0.83711080000000004</v>
      </c>
      <c r="Q3701">
        <v>1.8777660000000002E-2</v>
      </c>
      <c r="R3701">
        <v>-0.54671130000000001</v>
      </c>
      <c r="S3701">
        <v>-3.0763850000000001</v>
      </c>
      <c r="T3701">
        <v>-0.1546141</v>
      </c>
      <c r="U3701">
        <v>-0.80108639999999998</v>
      </c>
      <c r="V3701">
        <v>0.38735429999999998</v>
      </c>
      <c r="W3701">
        <v>1.365649E-2</v>
      </c>
      <c r="X3701">
        <v>0.92182980000000003</v>
      </c>
      <c r="Y3701">
        <v>0.65893840000000004</v>
      </c>
      <c r="Z3701">
        <v>4.7105540000000001E-2</v>
      </c>
      <c r="AA3701">
        <v>0.75072050000000001</v>
      </c>
      <c r="AB3701">
        <v>33</v>
      </c>
      <c r="AC3701">
        <v>-21.644100000000002</v>
      </c>
      <c r="AD3701">
        <v>-1.097270454455</v>
      </c>
      <c r="AE3701">
        <v>-5.4133999999999904</v>
      </c>
      <c r="AF3701">
        <v>14.8551564000325</v>
      </c>
      <c r="AG3701">
        <v>-1.097270454455</v>
      </c>
      <c r="AH3701">
        <v>16.573985530690699</v>
      </c>
      <c r="AI3701">
        <v>92.822401645637001</v>
      </c>
      <c r="AJ3701">
        <v>48.130331981154796</v>
      </c>
      <c r="AK3701">
        <v>22.2840003251479</v>
      </c>
      <c r="AL3701">
        <v>89.217516449743897</v>
      </c>
      <c r="AM3701">
        <v>67.207779187565706</v>
      </c>
      <c r="AN3701">
        <v>1.00000001680782</v>
      </c>
    </row>
    <row r="3702" spans="1:40" x14ac:dyDescent="0.25">
      <c r="A3702" t="str">
        <f>"20190305135903729"</f>
        <v>20190305135903729</v>
      </c>
      <c r="B3702" t="str">
        <f>"1551765543722452"</f>
        <v>1551765543722452</v>
      </c>
      <c r="C3702" t="s">
        <v>40</v>
      </c>
      <c r="D3702">
        <v>4.0043139999999999</v>
      </c>
      <c r="E3702">
        <v>0.62939969999999901</v>
      </c>
      <c r="F3702" t="s">
        <v>42</v>
      </c>
      <c r="G3702">
        <v>-216.22370000000001</v>
      </c>
      <c r="H3702" s="1">
        <v>-2.93591E-6</v>
      </c>
      <c r="I3702">
        <v>144.01499999999999</v>
      </c>
      <c r="J3702">
        <v>-195.68029999999999</v>
      </c>
      <c r="K3702">
        <v>1.097045</v>
      </c>
      <c r="L3702">
        <v>148.95490000000001</v>
      </c>
      <c r="M3702">
        <v>-0.57120689999999996</v>
      </c>
      <c r="N3702">
        <v>-5.5442690000000001E-3</v>
      </c>
      <c r="O3702">
        <v>-0.8207875</v>
      </c>
      <c r="P3702">
        <v>-0.84313869999999902</v>
      </c>
      <c r="Q3702">
        <v>1.889184E-2</v>
      </c>
      <c r="R3702">
        <v>-0.53736479999999998</v>
      </c>
      <c r="S3702">
        <v>-3.0818180000000002</v>
      </c>
      <c r="T3702">
        <v>-0.1630472</v>
      </c>
      <c r="U3702">
        <v>-0.77421569999999995</v>
      </c>
      <c r="V3702">
        <v>0.38560260000000002</v>
      </c>
      <c r="W3702">
        <v>1.3666029999999999E-2</v>
      </c>
      <c r="X3702">
        <v>0.92256369999999999</v>
      </c>
      <c r="Y3702">
        <v>0.65545929999999997</v>
      </c>
      <c r="Z3702">
        <v>4.9654579999999997E-2</v>
      </c>
      <c r="AA3702">
        <v>0.75359639999999894</v>
      </c>
      <c r="AB3702">
        <v>33</v>
      </c>
      <c r="AC3702">
        <v>-20.543399999999998</v>
      </c>
      <c r="AD3702">
        <v>-1.09704793591</v>
      </c>
      <c r="AE3702">
        <v>-4.9399000000000202</v>
      </c>
      <c r="AF3702">
        <v>14.0025269133068</v>
      </c>
      <c r="AG3702">
        <v>-1.09704793591</v>
      </c>
      <c r="AH3702">
        <v>15.7469300449123</v>
      </c>
      <c r="AI3702">
        <v>92.980210632399803</v>
      </c>
      <c r="AJ3702">
        <v>48.3557797722872</v>
      </c>
      <c r="AK3702">
        <v>21.100712783480301</v>
      </c>
      <c r="AL3702">
        <v>89.216969747060304</v>
      </c>
      <c r="AM3702">
        <v>67.316607035625694</v>
      </c>
      <c r="AN3702">
        <v>0.99999995303020395</v>
      </c>
    </row>
    <row r="3703" spans="1:40" x14ac:dyDescent="0.25">
      <c r="A3703" t="str">
        <f>"20190305135903752"</f>
        <v>20190305135903752</v>
      </c>
      <c r="B3703" t="str">
        <f>"1551765543742949"</f>
        <v>1551765543742949</v>
      </c>
      <c r="C3703" t="s">
        <v>40</v>
      </c>
      <c r="D3703">
        <v>4.0083479999999998</v>
      </c>
      <c r="E3703">
        <v>0.63010980000000005</v>
      </c>
      <c r="F3703" t="s">
        <v>42</v>
      </c>
      <c r="G3703">
        <v>-214.71789999999999</v>
      </c>
      <c r="H3703" s="1">
        <v>-3.7555170000000001E-6</v>
      </c>
      <c r="I3703">
        <v>144.4418</v>
      </c>
      <c r="J3703">
        <v>-195.89580000000001</v>
      </c>
      <c r="K3703">
        <v>1.0968</v>
      </c>
      <c r="L3703">
        <v>148.66640000000001</v>
      </c>
      <c r="M3703">
        <v>-0.58281419999999995</v>
      </c>
      <c r="N3703">
        <v>-5.6015079999999998E-3</v>
      </c>
      <c r="O3703">
        <v>-0.81258640000000004</v>
      </c>
      <c r="P3703">
        <v>-0.84993940000000001</v>
      </c>
      <c r="Q3703">
        <v>1.8384259999999999E-2</v>
      </c>
      <c r="R3703">
        <v>-0.52655989999999997</v>
      </c>
      <c r="S3703">
        <v>-3.0945740000000002</v>
      </c>
      <c r="T3703">
        <v>-0.1783255</v>
      </c>
      <c r="U3703">
        <v>-0.73359680000000005</v>
      </c>
      <c r="V3703">
        <v>0.38426979999999999</v>
      </c>
      <c r="W3703">
        <v>1.30338E-2</v>
      </c>
      <c r="X3703">
        <v>0.92312879999999997</v>
      </c>
      <c r="Y3703">
        <v>0.65452319999999997</v>
      </c>
      <c r="Z3703">
        <v>5.4358499999999997E-2</v>
      </c>
      <c r="AA3703">
        <v>0.75408520000000001</v>
      </c>
      <c r="AB3703">
        <v>33</v>
      </c>
      <c r="AC3703">
        <v>-18.822099999999899</v>
      </c>
      <c r="AD3703">
        <v>-1.096803755517</v>
      </c>
      <c r="AE3703">
        <v>-4.2245999999999997</v>
      </c>
      <c r="AF3703">
        <v>12.791272809923999</v>
      </c>
      <c r="AG3703">
        <v>-1.096803755517</v>
      </c>
      <c r="AH3703">
        <v>14.356451279120501</v>
      </c>
      <c r="AI3703">
        <v>93.264691670450901</v>
      </c>
      <c r="AJ3703">
        <v>48.299685621929498</v>
      </c>
      <c r="AK3703">
        <v>19.259473822142201</v>
      </c>
      <c r="AL3703">
        <v>89.253197101283206</v>
      </c>
      <c r="AM3703">
        <v>67.399557327541004</v>
      </c>
      <c r="AN3703">
        <v>0.99999997026195897</v>
      </c>
    </row>
    <row r="3704" spans="1:40" x14ac:dyDescent="0.25">
      <c r="A3704" t="str">
        <f>"20190305135903774"</f>
        <v>20190305135903774</v>
      </c>
      <c r="B3704" t="str">
        <f>"1551765543762468"</f>
        <v>1551765543762468</v>
      </c>
      <c r="C3704" t="s">
        <v>40</v>
      </c>
      <c r="D3704">
        <v>3.9893079999999999</v>
      </c>
      <c r="E3704">
        <v>0.63054370000000004</v>
      </c>
      <c r="F3704" t="s">
        <v>42</v>
      </c>
      <c r="G3704">
        <v>-213.60669999999999</v>
      </c>
      <c r="H3704" s="1">
        <v>-4.2349790000000002E-6</v>
      </c>
      <c r="I3704">
        <v>144.73929999999999</v>
      </c>
      <c r="J3704">
        <v>-196.08879999999999</v>
      </c>
      <c r="K3704">
        <v>1.0965830000000001</v>
      </c>
      <c r="L3704">
        <v>148.4153</v>
      </c>
      <c r="M3704">
        <v>-0.59303680000000003</v>
      </c>
      <c r="N3704">
        <v>-5.6530290000000004E-3</v>
      </c>
      <c r="O3704">
        <v>-0.80515559999999997</v>
      </c>
      <c r="P3704">
        <v>-0.85571070000000005</v>
      </c>
      <c r="Q3704">
        <v>1.764953E-2</v>
      </c>
      <c r="R3704">
        <v>-0.51715370000000005</v>
      </c>
      <c r="S3704">
        <v>-3.1070099999999998</v>
      </c>
      <c r="T3704">
        <v>-0.19241179999999999</v>
      </c>
      <c r="U3704">
        <v>-0.6889343</v>
      </c>
      <c r="V3704">
        <v>0.38278440000000002</v>
      </c>
      <c r="W3704">
        <v>1.2201790000000001E-2</v>
      </c>
      <c r="X3704">
        <v>0.9237571</v>
      </c>
      <c r="Y3704">
        <v>0.65566679999999999</v>
      </c>
      <c r="Z3704">
        <v>5.8714080000000002E-2</v>
      </c>
      <c r="AA3704">
        <v>0.75276399999999999</v>
      </c>
      <c r="AB3704">
        <v>33</v>
      </c>
      <c r="AC3704">
        <v>-17.517899999999901</v>
      </c>
      <c r="AD3704">
        <v>-1.096587234979</v>
      </c>
      <c r="AE3704">
        <v>-3.6760000000000099</v>
      </c>
      <c r="AF3704">
        <v>11.880232193641399</v>
      </c>
      <c r="AG3704">
        <v>-1.096587234979</v>
      </c>
      <c r="AH3704">
        <v>13.2988099001912</v>
      </c>
      <c r="AI3704">
        <v>93.518899920103493</v>
      </c>
      <c r="AJ3704">
        <v>48.2246136207239</v>
      </c>
      <c r="AK3704">
        <v>17.866190564867999</v>
      </c>
      <c r="AL3704">
        <v>89.300871567771594</v>
      </c>
      <c r="AM3704">
        <v>67.491970268009396</v>
      </c>
      <c r="AN3704">
        <v>0.99999998018148595</v>
      </c>
    </row>
    <row r="3705" spans="1:40" x14ac:dyDescent="0.25">
      <c r="A3705" t="str">
        <f>"20190305135903794"</f>
        <v>20190305135903794</v>
      </c>
      <c r="B3705" t="str">
        <f>"1551765543782964"</f>
        <v>1551765543782964</v>
      </c>
      <c r="C3705" t="s">
        <v>40</v>
      </c>
      <c r="D3705">
        <v>4.0246009999999997</v>
      </c>
      <c r="E3705">
        <v>0.63059430000000005</v>
      </c>
      <c r="F3705" t="s">
        <v>42</v>
      </c>
      <c r="G3705">
        <v>-213.0127</v>
      </c>
      <c r="H3705" s="1">
        <v>-4.4878280000000004E-6</v>
      </c>
      <c r="I3705">
        <v>144.87870000000001</v>
      </c>
      <c r="J3705">
        <v>-196.28479999999999</v>
      </c>
      <c r="K3705">
        <v>1.096373</v>
      </c>
      <c r="L3705">
        <v>148.1669</v>
      </c>
      <c r="M3705">
        <v>-0.60325150000000005</v>
      </c>
      <c r="N3705">
        <v>-5.7047599999999997E-3</v>
      </c>
      <c r="O3705">
        <v>-0.79753079999999998</v>
      </c>
      <c r="P3705">
        <v>-0.86120490000000005</v>
      </c>
      <c r="Q3705">
        <v>1.7524060000000001E-2</v>
      </c>
      <c r="R3705">
        <v>-0.50795619999999997</v>
      </c>
      <c r="S3705">
        <v>-3.1164399999999999</v>
      </c>
      <c r="T3705">
        <v>-0.2019311</v>
      </c>
      <c r="U3705">
        <v>-0.65124510000000002</v>
      </c>
      <c r="V3705">
        <v>0.38091190000000003</v>
      </c>
      <c r="W3705">
        <v>1.1995810000000001E-2</v>
      </c>
      <c r="X3705">
        <v>0.92453350000000001</v>
      </c>
      <c r="Y3705">
        <v>0.65503509999999998</v>
      </c>
      <c r="Z3705">
        <v>6.1524250000000003E-2</v>
      </c>
      <c r="AA3705">
        <v>0.75308949999999997</v>
      </c>
      <c r="AB3705">
        <v>33</v>
      </c>
      <c r="AC3705">
        <v>-16.727900000000002</v>
      </c>
      <c r="AD3705">
        <v>-1.0963774878279999</v>
      </c>
      <c r="AE3705">
        <v>-3.2881999999999798</v>
      </c>
      <c r="AF3705">
        <v>11.310806408273301</v>
      </c>
      <c r="AG3705">
        <v>-1.0963774878279999</v>
      </c>
      <c r="AH3705">
        <v>12.661409941543701</v>
      </c>
      <c r="AI3705">
        <v>93.694866530602297</v>
      </c>
      <c r="AJ3705">
        <v>48.224656345669104</v>
      </c>
      <c r="AK3705">
        <v>17.013162166660099</v>
      </c>
      <c r="AL3705">
        <v>89.312674219065102</v>
      </c>
      <c r="AM3705">
        <v>67.6081218311529</v>
      </c>
      <c r="AN3705">
        <v>0.99999998382070698</v>
      </c>
    </row>
    <row r="3706" spans="1:40" x14ac:dyDescent="0.25">
      <c r="A3706" t="str">
        <f>"20190305135903820"</f>
        <v>20190305135903820</v>
      </c>
      <c r="B3706" t="str">
        <f>"1551765543812245"</f>
        <v>1551765543812245</v>
      </c>
      <c r="C3706" t="s">
        <v>40</v>
      </c>
      <c r="D3706">
        <v>4.000572</v>
      </c>
      <c r="E3706">
        <v>0.63078159999999905</v>
      </c>
      <c r="F3706" t="s">
        <v>42</v>
      </c>
      <c r="G3706">
        <v>-213.00139999999999</v>
      </c>
      <c r="H3706" s="1">
        <v>-4.4896549999999998E-6</v>
      </c>
      <c r="I3706">
        <v>144.86449999999999</v>
      </c>
      <c r="J3706">
        <v>-196.5231</v>
      </c>
      <c r="K3706">
        <v>1.096125</v>
      </c>
      <c r="L3706">
        <v>147.8732</v>
      </c>
      <c r="M3706">
        <v>-0.61545439999999996</v>
      </c>
      <c r="N3706">
        <v>-5.7661889999999997E-3</v>
      </c>
      <c r="O3706">
        <v>-0.7881515</v>
      </c>
      <c r="P3706">
        <v>-0.86811949999999904</v>
      </c>
      <c r="Q3706">
        <v>1.7701680000000001E-2</v>
      </c>
      <c r="R3706">
        <v>-0.49603979999999998</v>
      </c>
      <c r="S3706">
        <v>-3.123688</v>
      </c>
      <c r="T3706">
        <v>-0.20487030000000001</v>
      </c>
      <c r="U3706">
        <v>-0.61708069999999904</v>
      </c>
      <c r="V3706">
        <v>0.3794342</v>
      </c>
      <c r="W3706">
        <v>1.2059220000000001E-2</v>
      </c>
      <c r="X3706">
        <v>0.92514010000000002</v>
      </c>
      <c r="Y3706">
        <v>0.65162679999999995</v>
      </c>
      <c r="Z3706">
        <v>6.2084779999999999E-2</v>
      </c>
      <c r="AA3706">
        <v>0.75599469999999902</v>
      </c>
      <c r="AB3706">
        <v>33</v>
      </c>
      <c r="AC3706">
        <v>-16.478299999999901</v>
      </c>
      <c r="AD3706">
        <v>-1.096129489655</v>
      </c>
      <c r="AE3706">
        <v>-3.0087000000000002</v>
      </c>
      <c r="AF3706">
        <v>11.088381927483301</v>
      </c>
      <c r="AG3706">
        <v>-1.096129489655</v>
      </c>
      <c r="AH3706">
        <v>12.459806590134001</v>
      </c>
      <c r="AI3706">
        <v>93.759955163174695</v>
      </c>
      <c r="AJ3706">
        <v>48.333088092082598</v>
      </c>
      <c r="AK3706">
        <v>16.715277260379999</v>
      </c>
      <c r="AL3706">
        <v>89.309040821795904</v>
      </c>
      <c r="AM3706">
        <v>67.699650472859602</v>
      </c>
      <c r="AN3706">
        <v>0.99999997077232805</v>
      </c>
    </row>
    <row r="3707" spans="1:40" x14ac:dyDescent="0.25">
      <c r="A3707" t="str">
        <f>"20190305135903841"</f>
        <v>20190305135903841</v>
      </c>
      <c r="B3707" t="str">
        <f>"1551765543832740"</f>
        <v>1551765543832740</v>
      </c>
      <c r="C3707" t="s">
        <v>40</v>
      </c>
      <c r="D3707">
        <v>4.0105120000000003</v>
      </c>
      <c r="E3707">
        <v>0.63079929999999995</v>
      </c>
      <c r="F3707" t="s">
        <v>42</v>
      </c>
      <c r="G3707">
        <v>-213.05240000000001</v>
      </c>
      <c r="H3707" s="1">
        <v>-4.4682270000000004E-6</v>
      </c>
      <c r="I3707">
        <v>144.85409999999999</v>
      </c>
      <c r="J3707">
        <v>-196.73840000000001</v>
      </c>
      <c r="K3707">
        <v>1.0959110000000001</v>
      </c>
      <c r="L3707">
        <v>147.61600000000001</v>
      </c>
      <c r="M3707">
        <v>-0.62626159999999997</v>
      </c>
      <c r="N3707">
        <v>-5.82024E-3</v>
      </c>
      <c r="O3707">
        <v>-0.77959149999999999</v>
      </c>
      <c r="P3707">
        <v>-0.87351819999999902</v>
      </c>
      <c r="Q3707">
        <v>1.7403689999999999E-2</v>
      </c>
      <c r="R3707">
        <v>-0.4864811</v>
      </c>
      <c r="S3707">
        <v>-3.1329799999999999</v>
      </c>
      <c r="T3707">
        <v>-0.2077619</v>
      </c>
      <c r="U3707">
        <v>-0.57225039999999905</v>
      </c>
      <c r="V3707">
        <v>0.37683719999999998</v>
      </c>
      <c r="W3707">
        <v>1.1706859999999999E-2</v>
      </c>
      <c r="X3707">
        <v>0.92620550000000001</v>
      </c>
      <c r="Y3707">
        <v>0.6519954</v>
      </c>
      <c r="Z3707">
        <v>6.2748680000000001E-2</v>
      </c>
      <c r="AA3707">
        <v>0.75562200000000002</v>
      </c>
      <c r="AB3707">
        <v>34</v>
      </c>
      <c r="AC3707">
        <v>-16.313999999999901</v>
      </c>
      <c r="AD3707">
        <v>-1.095915468227</v>
      </c>
      <c r="AE3707">
        <v>-2.7619000000000198</v>
      </c>
      <c r="AF3707">
        <v>10.9407714780326</v>
      </c>
      <c r="AG3707">
        <v>-1.095915468227</v>
      </c>
      <c r="AH3707">
        <v>12.316162560389101</v>
      </c>
      <c r="AI3707">
        <v>93.805963894332194</v>
      </c>
      <c r="AJ3707">
        <v>48.384471318874603</v>
      </c>
      <c r="AK3707">
        <v>16.510280780833501</v>
      </c>
      <c r="AL3707">
        <v>89.3292309931158</v>
      </c>
      <c r="AM3707">
        <v>67.860493382819897</v>
      </c>
      <c r="AN3707">
        <v>0.99999997705257404</v>
      </c>
    </row>
    <row r="3708" spans="1:40" x14ac:dyDescent="0.25">
      <c r="A3708" t="str">
        <f>"20190305135903865"</f>
        <v>20190305135903865</v>
      </c>
      <c r="B3708" t="str">
        <f>"1551765543852260"</f>
        <v>1551765543852260</v>
      </c>
      <c r="C3708" t="s">
        <v>40</v>
      </c>
      <c r="D3708">
        <v>4.043107</v>
      </c>
      <c r="E3708">
        <v>0.63097019999999904</v>
      </c>
      <c r="F3708" t="s">
        <v>42</v>
      </c>
      <c r="G3708">
        <v>-213.17339999999999</v>
      </c>
      <c r="H3708" s="1">
        <v>-4.4127119999999996E-6</v>
      </c>
      <c r="I3708">
        <v>144.803</v>
      </c>
      <c r="J3708">
        <v>-196.97620000000001</v>
      </c>
      <c r="K3708">
        <v>1.0956790000000001</v>
      </c>
      <c r="L3708">
        <v>147.34010000000001</v>
      </c>
      <c r="M3708">
        <v>-0.6379513</v>
      </c>
      <c r="N3708">
        <v>-5.8758589999999998E-3</v>
      </c>
      <c r="O3708">
        <v>-0.77005449999999998</v>
      </c>
      <c r="P3708">
        <v>-0.87901600000000002</v>
      </c>
      <c r="Q3708">
        <v>1.6415490000000001E-2</v>
      </c>
      <c r="R3708">
        <v>-0.47650969999999998</v>
      </c>
      <c r="S3708">
        <v>-3.139313</v>
      </c>
      <c r="T3708">
        <v>-0.20933570000000001</v>
      </c>
      <c r="U3708">
        <v>-0.537323</v>
      </c>
      <c r="V3708">
        <v>0.37339410000000001</v>
      </c>
      <c r="W3708">
        <v>1.069174E-2</v>
      </c>
      <c r="X3708">
        <v>0.92761119999999997</v>
      </c>
      <c r="Y3708">
        <v>0.64897209999999905</v>
      </c>
      <c r="Z3708">
        <v>6.2851409999999996E-2</v>
      </c>
      <c r="AA3708">
        <v>0.75821169999999904</v>
      </c>
      <c r="AB3708">
        <v>34</v>
      </c>
      <c r="AC3708">
        <v>-16.197199999999899</v>
      </c>
      <c r="AD3708">
        <v>-1.0956834127120001</v>
      </c>
      <c r="AE3708">
        <v>-2.5371000000000001</v>
      </c>
      <c r="AF3708">
        <v>10.8061011491877</v>
      </c>
      <c r="AG3708">
        <v>-1.0956834127120001</v>
      </c>
      <c r="AH3708">
        <v>12.2323051344056</v>
      </c>
      <c r="AI3708">
        <v>93.840507337932607</v>
      </c>
      <c r="AJ3708">
        <v>48.542403134750799</v>
      </c>
      <c r="AK3708">
        <v>16.358533952911898</v>
      </c>
      <c r="AL3708">
        <v>89.387396752230998</v>
      </c>
      <c r="AM3708">
        <v>68.073588665064804</v>
      </c>
      <c r="AN3708">
        <v>1.00000000279223</v>
      </c>
    </row>
    <row r="3709" spans="1:40" x14ac:dyDescent="0.25">
      <c r="A3709" t="str">
        <f>"20190305135903885"</f>
        <v>20190305135903885</v>
      </c>
      <c r="B3709" t="str">
        <f>"1551765543872756"</f>
        <v>1551765543872756</v>
      </c>
      <c r="C3709" t="s">
        <v>40</v>
      </c>
      <c r="D3709">
        <v>4.077089</v>
      </c>
      <c r="E3709">
        <v>0.63110730000000004</v>
      </c>
      <c r="F3709" t="s">
        <v>42</v>
      </c>
      <c r="G3709">
        <v>-213.21899999999999</v>
      </c>
      <c r="H3709" s="1">
        <v>-4.387716E-6</v>
      </c>
      <c r="I3709">
        <v>144.761</v>
      </c>
      <c r="J3709">
        <v>-197.1824</v>
      </c>
      <c r="K3709">
        <v>1.0954919999999999</v>
      </c>
      <c r="L3709">
        <v>147.10740000000001</v>
      </c>
      <c r="M3709">
        <v>-0.64788159999999995</v>
      </c>
      <c r="N3709">
        <v>-5.9216069999999997E-3</v>
      </c>
      <c r="O3709">
        <v>-0.76171809999999995</v>
      </c>
      <c r="P3709">
        <v>-0.88368119999999994</v>
      </c>
      <c r="Q3709">
        <v>1.546664E-2</v>
      </c>
      <c r="R3709">
        <v>-0.46783380000000002</v>
      </c>
      <c r="S3709">
        <v>-3.1460720000000002</v>
      </c>
      <c r="T3709">
        <v>-0.21222279999999999</v>
      </c>
      <c r="U3709">
        <v>-0.49954219999999999</v>
      </c>
      <c r="V3709">
        <v>0.37048750000000003</v>
      </c>
      <c r="W3709">
        <v>9.7261970000000007E-3</v>
      </c>
      <c r="X3709">
        <v>0.92878649999999996</v>
      </c>
      <c r="Y3709">
        <v>0.6482021</v>
      </c>
      <c r="Z3709">
        <v>6.3458379999999995E-2</v>
      </c>
      <c r="AA3709">
        <v>0.75881960000000004</v>
      </c>
      <c r="AB3709">
        <v>34</v>
      </c>
      <c r="AC3709">
        <v>-16.0366</v>
      </c>
      <c r="AD3709">
        <v>-1.095496387716</v>
      </c>
      <c r="AE3709">
        <v>-2.3464000000000098</v>
      </c>
      <c r="AF3709">
        <v>10.646723813399401</v>
      </c>
      <c r="AG3709">
        <v>-1.095496387716</v>
      </c>
      <c r="AH3709">
        <v>12.121944122905999</v>
      </c>
      <c r="AI3709">
        <v>93.884500361592401</v>
      </c>
      <c r="AJ3709">
        <v>48.707108329851003</v>
      </c>
      <c r="AK3709">
        <v>16.1707875384337</v>
      </c>
      <c r="AL3709">
        <v>89.442721160453402</v>
      </c>
      <c r="AM3709">
        <v>68.253232563949595</v>
      </c>
      <c r="AN3709">
        <v>0.99999997457329104</v>
      </c>
    </row>
    <row r="3710" spans="1:40" x14ac:dyDescent="0.25">
      <c r="A3710" t="str">
        <f>"20190305135903908"</f>
        <v>20190305135903908</v>
      </c>
      <c r="B3710" t="str">
        <f>"1551765543903013"</f>
        <v>1551765543903013</v>
      </c>
      <c r="C3710" t="s">
        <v>40</v>
      </c>
      <c r="D3710">
        <v>4.0587910000000003</v>
      </c>
      <c r="E3710">
        <v>0.63120769999999904</v>
      </c>
      <c r="F3710" t="s">
        <v>42</v>
      </c>
      <c r="G3710">
        <v>-213.19649999999999</v>
      </c>
      <c r="H3710" s="1">
        <v>-4.3917529999999998E-6</v>
      </c>
      <c r="I3710">
        <v>144.73490000000001</v>
      </c>
      <c r="J3710">
        <v>-197.43020000000001</v>
      </c>
      <c r="K3710">
        <v>1.0952809999999999</v>
      </c>
      <c r="L3710">
        <v>146.83539999999999</v>
      </c>
      <c r="M3710">
        <v>-0.65957239999999995</v>
      </c>
      <c r="N3710">
        <v>-5.9758240000000002E-3</v>
      </c>
      <c r="O3710">
        <v>-0.75161730000000004</v>
      </c>
      <c r="P3710">
        <v>-0.88949259999999997</v>
      </c>
      <c r="Q3710">
        <v>1.542462E-2</v>
      </c>
      <c r="R3710">
        <v>-0.45668950000000003</v>
      </c>
      <c r="S3710">
        <v>-3.1515049999999998</v>
      </c>
      <c r="T3710">
        <v>-0.2155888</v>
      </c>
      <c r="U3710">
        <v>-0.46688839999999998</v>
      </c>
      <c r="V3710">
        <v>0.36781720000000001</v>
      </c>
      <c r="W3710">
        <v>9.6465690000000007E-3</v>
      </c>
      <c r="X3710">
        <v>0.92984809999999996</v>
      </c>
      <c r="Y3710">
        <v>0.64427349999999906</v>
      </c>
      <c r="Z3710">
        <v>6.4028039999999994E-2</v>
      </c>
      <c r="AA3710">
        <v>0.76211039999999997</v>
      </c>
      <c r="AB3710">
        <v>34</v>
      </c>
      <c r="AC3710">
        <v>-15.7662999999999</v>
      </c>
      <c r="AD3710">
        <v>-1.0952853917530001</v>
      </c>
      <c r="AE3710">
        <v>-2.1004999999999798</v>
      </c>
      <c r="AF3710">
        <v>10.415588847855201</v>
      </c>
      <c r="AG3710">
        <v>-1.0952853917530001</v>
      </c>
      <c r="AH3710">
        <v>11.921471527447199</v>
      </c>
      <c r="AI3710">
        <v>93.957880360040704</v>
      </c>
      <c r="AJ3710">
        <v>48.856835306011298</v>
      </c>
      <c r="AK3710">
        <v>15.8683844331012</v>
      </c>
      <c r="AL3710">
        <v>89.447283747501601</v>
      </c>
      <c r="AM3710">
        <v>68.4178846905059</v>
      </c>
      <c r="AN3710">
        <v>1.00000001899146</v>
      </c>
    </row>
    <row r="3711" spans="1:40" x14ac:dyDescent="0.25">
      <c r="A3711" t="str">
        <f>"20190305135903930"</f>
        <v>20190305135903930</v>
      </c>
      <c r="B3711" t="str">
        <f>"1551765543922533"</f>
        <v>1551765543922533</v>
      </c>
      <c r="C3711" t="s">
        <v>40</v>
      </c>
      <c r="D3711">
        <v>4.0975549999999998</v>
      </c>
      <c r="E3711">
        <v>0.63114199999999998</v>
      </c>
      <c r="F3711" t="s">
        <v>42</v>
      </c>
      <c r="G3711">
        <v>-213.24270000000001</v>
      </c>
      <c r="H3711" s="1">
        <v>-4.3680679999999997E-6</v>
      </c>
      <c r="I3711">
        <v>144.70160000000001</v>
      </c>
      <c r="J3711">
        <v>-197.65520000000001</v>
      </c>
      <c r="K3711">
        <v>1.0950869999999999</v>
      </c>
      <c r="L3711">
        <v>146.59559999999999</v>
      </c>
      <c r="M3711">
        <v>-0.6699581</v>
      </c>
      <c r="N3711">
        <v>-6.0254269999999999E-3</v>
      </c>
      <c r="O3711">
        <v>-0.74237439999999999</v>
      </c>
      <c r="P3711">
        <v>-0.89490409999999998</v>
      </c>
      <c r="Q3711">
        <v>1.577781E-2</v>
      </c>
      <c r="R3711">
        <v>-0.44597959999999898</v>
      </c>
      <c r="S3711">
        <v>-3.1577299999999999</v>
      </c>
      <c r="T3711">
        <v>-0.21872649999999999</v>
      </c>
      <c r="U3711">
        <v>-0.42613220000000002</v>
      </c>
      <c r="V3711">
        <v>0.36606280000000002</v>
      </c>
      <c r="W3711">
        <v>9.9488700000000003E-3</v>
      </c>
      <c r="X3711">
        <v>0.93053699999999995</v>
      </c>
      <c r="Y3711">
        <v>0.6434569</v>
      </c>
      <c r="Z3711">
        <v>6.464317E-2</v>
      </c>
      <c r="AA3711">
        <v>0.76274790000000003</v>
      </c>
      <c r="AB3711">
        <v>34</v>
      </c>
      <c r="AC3711">
        <v>-15.5875</v>
      </c>
      <c r="AD3711">
        <v>-1.0950913680679999</v>
      </c>
      <c r="AE3711">
        <v>-1.8939999999999699</v>
      </c>
      <c r="AF3711">
        <v>10.253177601133</v>
      </c>
      <c r="AG3711">
        <v>-1.0950913680679999</v>
      </c>
      <c r="AH3711">
        <v>11.7918903055955</v>
      </c>
      <c r="AI3711">
        <v>94.008775476607397</v>
      </c>
      <c r="AJ3711">
        <v>48.992684058389102</v>
      </c>
      <c r="AK3711">
        <v>15.6644678493714</v>
      </c>
      <c r="AL3711">
        <v>89.429962351740201</v>
      </c>
      <c r="AM3711">
        <v>68.525881320926104</v>
      </c>
      <c r="AN3711">
        <v>1.0000000309635499</v>
      </c>
    </row>
    <row r="3712" spans="1:40" x14ac:dyDescent="0.25">
      <c r="A3712" t="str">
        <f>"20190305135903952"</f>
        <v>20190305135903952</v>
      </c>
      <c r="B3712" t="str">
        <f>"1551765543943029"</f>
        <v>1551765543943029</v>
      </c>
      <c r="C3712" t="s">
        <v>40</v>
      </c>
      <c r="D3712">
        <v>4.1252409999999999</v>
      </c>
      <c r="E3712">
        <v>0.63122019999999901</v>
      </c>
      <c r="F3712" t="s">
        <v>42</v>
      </c>
      <c r="G3712">
        <v>-213.27459999999999</v>
      </c>
      <c r="H3712" s="1">
        <v>-4.3511099999999996E-6</v>
      </c>
      <c r="I3712">
        <v>144.67490000000001</v>
      </c>
      <c r="J3712">
        <v>-197.90479999999999</v>
      </c>
      <c r="K3712">
        <v>1.094873</v>
      </c>
      <c r="L3712">
        <v>146.33690000000001</v>
      </c>
      <c r="M3712">
        <v>-0.68123440000000002</v>
      </c>
      <c r="N3712">
        <v>-6.0810419999999896E-3</v>
      </c>
      <c r="O3712">
        <v>-0.73204029999999998</v>
      </c>
      <c r="P3712">
        <v>-0.90069169999999998</v>
      </c>
      <c r="Q3712">
        <v>1.365064E-2</v>
      </c>
      <c r="R3712">
        <v>-0.43424469999999998</v>
      </c>
      <c r="S3712">
        <v>-3.1624150000000002</v>
      </c>
      <c r="T3712">
        <v>-0.22172030000000001</v>
      </c>
      <c r="U3712">
        <v>-0.3888702</v>
      </c>
      <c r="V3712">
        <v>0.36395660000000002</v>
      </c>
      <c r="W3712">
        <v>7.77457699999999E-3</v>
      </c>
      <c r="X3712">
        <v>0.93138350000000003</v>
      </c>
      <c r="Y3712">
        <v>0.64070139999999998</v>
      </c>
      <c r="Z3712">
        <v>6.5093609999999996E-2</v>
      </c>
      <c r="AA3712">
        <v>0.76502590000000004</v>
      </c>
      <c r="AB3712">
        <v>34</v>
      </c>
      <c r="AC3712">
        <v>-15.3697999999999</v>
      </c>
      <c r="AD3712">
        <v>-1.0948773511100001</v>
      </c>
      <c r="AE3712">
        <v>-1.6619999999999999</v>
      </c>
      <c r="AF3712">
        <v>10.0687834270375</v>
      </c>
      <c r="AG3712">
        <v>-1.0948773511100001</v>
      </c>
      <c r="AH3712">
        <v>11.6289725265793</v>
      </c>
      <c r="AI3712">
        <v>94.071332918021895</v>
      </c>
      <c r="AJ3712">
        <v>49.112806053058797</v>
      </c>
      <c r="AK3712">
        <v>15.421159429125099</v>
      </c>
      <c r="AL3712">
        <v>89.554545079468099</v>
      </c>
      <c r="AM3712">
        <v>68.6559399860149</v>
      </c>
      <c r="AN3712">
        <v>1.00000003740166</v>
      </c>
    </row>
    <row r="3713" spans="1:40" x14ac:dyDescent="0.25">
      <c r="A3713" t="str">
        <f>"20190305135903975"</f>
        <v>20190305135903975</v>
      </c>
      <c r="B3713" t="str">
        <f>"1551765543962549"</f>
        <v>1551765543962549</v>
      </c>
      <c r="C3713" t="s">
        <v>40</v>
      </c>
      <c r="D3713">
        <v>4.1355309999999896</v>
      </c>
      <c r="E3713">
        <v>0.63110489999999997</v>
      </c>
      <c r="F3713" t="s">
        <v>42</v>
      </c>
      <c r="G3713">
        <v>-212.93090000000001</v>
      </c>
      <c r="H3713" s="1">
        <v>-4.4862929999999997E-6</v>
      </c>
      <c r="I3713">
        <v>144.69290000000001</v>
      </c>
      <c r="J3713">
        <v>-198.14429999999999</v>
      </c>
      <c r="K3713">
        <v>1.0946769999999999</v>
      </c>
      <c r="L3713">
        <v>146.0958</v>
      </c>
      <c r="M3713">
        <v>-0.69182219999999905</v>
      </c>
      <c r="N3713">
        <v>-6.1351919999999898E-3</v>
      </c>
      <c r="O3713">
        <v>-0.72204190000000001</v>
      </c>
      <c r="P3713">
        <v>-0.90520599999999996</v>
      </c>
      <c r="Q3713">
        <v>1.097864E-2</v>
      </c>
      <c r="R3713">
        <v>-0.42483159999999998</v>
      </c>
      <c r="S3713">
        <v>-3.1672060000000002</v>
      </c>
      <c r="T3713">
        <v>-0.23077880000000001</v>
      </c>
      <c r="U3713">
        <v>-0.34652709999999998</v>
      </c>
      <c r="V3713">
        <v>0.36004659999999999</v>
      </c>
      <c r="W3713">
        <v>5.1262790000000001E-3</v>
      </c>
      <c r="X3713">
        <v>0.93292030000000004</v>
      </c>
      <c r="Y3713">
        <v>0.63955479999999998</v>
      </c>
      <c r="Z3713">
        <v>6.7438239999999997E-2</v>
      </c>
      <c r="AA3713">
        <v>0.76578179999999996</v>
      </c>
      <c r="AB3713">
        <v>34</v>
      </c>
      <c r="AC3713">
        <v>-14.7866</v>
      </c>
      <c r="AD3713">
        <v>-1.0946814862929899</v>
      </c>
      <c r="AE3713">
        <v>-1.4028999999999801</v>
      </c>
      <c r="AF3713">
        <v>9.6537320323028002</v>
      </c>
      <c r="AG3713">
        <v>-1.0946814862929899</v>
      </c>
      <c r="AH3713">
        <v>11.182122231877599</v>
      </c>
      <c r="AI3713">
        <v>94.237949537675405</v>
      </c>
      <c r="AJ3713">
        <v>49.195352212090398</v>
      </c>
      <c r="AK3713">
        <v>14.8132618729499</v>
      </c>
      <c r="AL3713">
        <v>89.706284579757096</v>
      </c>
      <c r="AM3713">
        <v>68.896652854721907</v>
      </c>
      <c r="AN3713">
        <v>1.00000005953001</v>
      </c>
    </row>
    <row r="3714" spans="1:40" x14ac:dyDescent="0.25">
      <c r="A3714" t="str">
        <f>"20190305135903996"</f>
        <v>20190305135903996</v>
      </c>
      <c r="B3714" t="str">
        <f>"1551765543992805"</f>
        <v>1551765543992805</v>
      </c>
      <c r="C3714" t="s">
        <v>40</v>
      </c>
      <c r="D3714">
        <v>4.1461739999999896</v>
      </c>
      <c r="E3714">
        <v>0.63088100000000003</v>
      </c>
      <c r="F3714" t="s">
        <v>42</v>
      </c>
      <c r="G3714">
        <v>-212.70939999999999</v>
      </c>
      <c r="H3714" s="1">
        <v>-4.5649299999999997E-6</v>
      </c>
      <c r="I3714">
        <v>144.6567</v>
      </c>
      <c r="J3714">
        <v>-198.38820000000001</v>
      </c>
      <c r="K3714">
        <v>1.094492</v>
      </c>
      <c r="L3714">
        <v>145.85740000000001</v>
      </c>
      <c r="M3714">
        <v>-0.70237209999999894</v>
      </c>
      <c r="N3714">
        <v>-6.191251E-3</v>
      </c>
      <c r="O3714">
        <v>-0.71178319999999995</v>
      </c>
      <c r="P3714">
        <v>-0.90863689999999997</v>
      </c>
      <c r="Q3714">
        <v>1.029154E-2</v>
      </c>
      <c r="R3714">
        <v>-0.41746040000000001</v>
      </c>
      <c r="S3714">
        <v>-3.170029</v>
      </c>
      <c r="T3714">
        <v>-0.23825360000000001</v>
      </c>
      <c r="U3714">
        <v>-0.31323240000000002</v>
      </c>
      <c r="V3714">
        <v>0.353883</v>
      </c>
      <c r="W3714">
        <v>4.5454989999999997E-3</v>
      </c>
      <c r="X3714">
        <v>0.93527870000000002</v>
      </c>
      <c r="Y3714">
        <v>0.63611430000000002</v>
      </c>
      <c r="Z3714">
        <v>6.9162230000000005E-2</v>
      </c>
      <c r="AA3714">
        <v>0.76848890000000003</v>
      </c>
      <c r="AB3714">
        <v>34</v>
      </c>
      <c r="AC3714">
        <v>-14.3211999999999</v>
      </c>
      <c r="AD3714">
        <v>-1.09449656492999</v>
      </c>
      <c r="AE3714">
        <v>-1.2007000000000101</v>
      </c>
      <c r="AF3714">
        <v>9.2965098100713899</v>
      </c>
      <c r="AG3714">
        <v>-1.09449656492999</v>
      </c>
      <c r="AH3714">
        <v>10.8507231850589</v>
      </c>
      <c r="AI3714">
        <v>94.380270768393402</v>
      </c>
      <c r="AJ3714">
        <v>49.411218625951399</v>
      </c>
      <c r="AK3714">
        <v>14.3304295475806</v>
      </c>
      <c r="AL3714">
        <v>89.739561205857399</v>
      </c>
      <c r="AM3714">
        <v>69.274775410852996</v>
      </c>
      <c r="AN3714">
        <v>1.00000004296192</v>
      </c>
    </row>
    <row r="3715" spans="1:40" x14ac:dyDescent="0.25">
      <c r="A3715" t="str">
        <f>"20190305135904022"</f>
        <v>20190305135904022</v>
      </c>
      <c r="B3715" t="str">
        <f>"1551765544012325"</f>
        <v>1551765544012325</v>
      </c>
      <c r="C3715" t="s">
        <v>40</v>
      </c>
      <c r="D3715">
        <v>4.1492009999999997</v>
      </c>
      <c r="E3715">
        <v>0.63066889999999998</v>
      </c>
      <c r="F3715" t="s">
        <v>42</v>
      </c>
      <c r="G3715">
        <v>-212.90559999999999</v>
      </c>
      <c r="H3715" s="1">
        <v>-4.4688040000000004E-6</v>
      </c>
      <c r="I3715">
        <v>144.53960000000001</v>
      </c>
      <c r="J3715">
        <v>-198.66890000000001</v>
      </c>
      <c r="K3715">
        <v>1.0942670000000001</v>
      </c>
      <c r="L3715">
        <v>145.59180000000001</v>
      </c>
      <c r="M3715">
        <v>-0.71423190000000003</v>
      </c>
      <c r="N3715">
        <v>-6.2580669999999904E-3</v>
      </c>
      <c r="O3715">
        <v>-0.69988139999999999</v>
      </c>
      <c r="P3715">
        <v>-0.91302380000000005</v>
      </c>
      <c r="Q3715">
        <v>1.126248E-2</v>
      </c>
      <c r="R3715">
        <v>-0.40775149999999999</v>
      </c>
      <c r="S3715">
        <v>-3.1720890000000002</v>
      </c>
      <c r="T3715">
        <v>-0.23915049999999999</v>
      </c>
      <c r="U3715">
        <v>-0.2879333</v>
      </c>
      <c r="V3715">
        <v>0.34816259999999999</v>
      </c>
      <c r="W3715">
        <v>5.6012029999999999E-3</v>
      </c>
      <c r="X3715">
        <v>0.93741739999999996</v>
      </c>
      <c r="Y3715">
        <v>0.62929269999999904</v>
      </c>
      <c r="Z3715">
        <v>6.8650509999999998E-2</v>
      </c>
      <c r="AA3715">
        <v>0.7741304</v>
      </c>
      <c r="AB3715">
        <v>34</v>
      </c>
      <c r="AC3715">
        <v>-14.2366999999999</v>
      </c>
      <c r="AD3715">
        <v>-1.0942714688040001</v>
      </c>
      <c r="AE3715">
        <v>-1.05219999999999</v>
      </c>
      <c r="AF3715">
        <v>9.1588501294862592</v>
      </c>
      <c r="AG3715">
        <v>-1.0942714688040001</v>
      </c>
      <c r="AH3715">
        <v>10.841231447424599</v>
      </c>
      <c r="AI3715">
        <v>94.409013228570302</v>
      </c>
      <c r="AJ3715">
        <v>49.808327936893001</v>
      </c>
      <c r="AK3715">
        <v>14.234263768753801</v>
      </c>
      <c r="AL3715">
        <v>89.679073021981196</v>
      </c>
      <c r="AM3715">
        <v>69.624693031552496</v>
      </c>
      <c r="AN3715">
        <v>0.99999997566828303</v>
      </c>
    </row>
    <row r="3716" spans="1:40" x14ac:dyDescent="0.25">
      <c r="A3716" t="str">
        <f>"20190305135904043"</f>
        <v>20190305135904043</v>
      </c>
      <c r="B3716" t="str">
        <f>"1551765544032821"</f>
        <v>1551765544032821</v>
      </c>
      <c r="C3716" t="s">
        <v>40</v>
      </c>
      <c r="D3716">
        <v>4.1949589999999999</v>
      </c>
      <c r="E3716">
        <v>0.63042480000000001</v>
      </c>
      <c r="F3716" t="s">
        <v>42</v>
      </c>
      <c r="G3716">
        <v>-213.40379999999999</v>
      </c>
      <c r="H3716" s="1">
        <v>-4.2539510000000004E-6</v>
      </c>
      <c r="I3716">
        <v>144.40700000000001</v>
      </c>
      <c r="J3716">
        <v>-198.92740000000001</v>
      </c>
      <c r="K3716">
        <v>1.0940650000000001</v>
      </c>
      <c r="L3716">
        <v>145.35480000000001</v>
      </c>
      <c r="M3716">
        <v>-0.72490559999999904</v>
      </c>
      <c r="N3716">
        <v>-6.3211750000000001E-3</v>
      </c>
      <c r="O3716">
        <v>-0.68881919999999996</v>
      </c>
      <c r="P3716">
        <v>-0.91706969999999999</v>
      </c>
      <c r="Q3716">
        <v>1.259295E-2</v>
      </c>
      <c r="R3716">
        <v>-0.39852779999999999</v>
      </c>
      <c r="S3716">
        <v>-3.1746829999999999</v>
      </c>
      <c r="T3716">
        <v>-0.23576320000000001</v>
      </c>
      <c r="U3716">
        <v>-0.2552643</v>
      </c>
      <c r="V3716">
        <v>0.34323609999999999</v>
      </c>
      <c r="W3716">
        <v>7.0045059999999998E-3</v>
      </c>
      <c r="X3716">
        <v>0.93922309999999998</v>
      </c>
      <c r="Y3716">
        <v>0.62545019999999996</v>
      </c>
      <c r="Z3716">
        <v>6.7012829999999995E-2</v>
      </c>
      <c r="AA3716">
        <v>0.77738109999999905</v>
      </c>
      <c r="AB3716">
        <v>35</v>
      </c>
      <c r="AC3716">
        <v>-14.4763999999999</v>
      </c>
      <c r="AD3716">
        <v>-1.094069253951</v>
      </c>
      <c r="AE3716">
        <v>-0.94779999999999998</v>
      </c>
      <c r="AF3716">
        <v>9.2322352897871802</v>
      </c>
      <c r="AG3716">
        <v>-1.094069253951</v>
      </c>
      <c r="AH3716">
        <v>11.0840699931339</v>
      </c>
      <c r="AI3716">
        <v>94.337209273393199</v>
      </c>
      <c r="AJ3716">
        <v>50.208128268776697</v>
      </c>
      <c r="AK3716">
        <v>14.466781383262999</v>
      </c>
      <c r="AL3716">
        <v>89.598668109896593</v>
      </c>
      <c r="AM3716">
        <v>69.925329656625294</v>
      </c>
      <c r="AN3716">
        <v>1.0000000575105601</v>
      </c>
    </row>
    <row r="3717" spans="1:40" x14ac:dyDescent="0.25">
      <c r="A3717" t="str">
        <f>"20190305135904066"</f>
        <v>20190305135904066</v>
      </c>
      <c r="B3717" t="str">
        <f>"1551765544063078"</f>
        <v>1551765544063078</v>
      </c>
      <c r="C3717" t="s">
        <v>40</v>
      </c>
      <c r="D3717">
        <v>4.1936140000000002</v>
      </c>
      <c r="E3717">
        <v>0.63005459999999902</v>
      </c>
      <c r="F3717" t="s">
        <v>42</v>
      </c>
      <c r="G3717">
        <v>-213.80850000000001</v>
      </c>
      <c r="H3717" s="1">
        <v>-4.0795919999999996E-6</v>
      </c>
      <c r="I3717">
        <v>144.30000000000001</v>
      </c>
      <c r="J3717">
        <v>-199.1969</v>
      </c>
      <c r="K3717">
        <v>1.0938540000000001</v>
      </c>
      <c r="L3717">
        <v>145.11529999999999</v>
      </c>
      <c r="M3717">
        <v>-0.73576799999999998</v>
      </c>
      <c r="N3717">
        <v>-6.3852179999999998E-3</v>
      </c>
      <c r="O3717">
        <v>-0.67720369999999996</v>
      </c>
      <c r="P3717">
        <v>-0.92098709999999995</v>
      </c>
      <c r="Q3717">
        <v>1.091072E-2</v>
      </c>
      <c r="R3717">
        <v>-0.38944099999999998</v>
      </c>
      <c r="S3717">
        <v>-3.176666</v>
      </c>
      <c r="T3717">
        <v>-0.2335515</v>
      </c>
      <c r="U3717">
        <v>-0.22515869999999999</v>
      </c>
      <c r="V3717">
        <v>0.33754529999999999</v>
      </c>
      <c r="W3717">
        <v>5.427159E-3</v>
      </c>
      <c r="X3717">
        <v>0.94129370000000001</v>
      </c>
      <c r="Y3717">
        <v>0.62051060000000002</v>
      </c>
      <c r="Z3717">
        <v>6.5659460000000003E-2</v>
      </c>
      <c r="AA3717">
        <v>0.78144440000000004</v>
      </c>
      <c r="AB3717">
        <v>35</v>
      </c>
      <c r="AC3717">
        <v>-14.611599999999999</v>
      </c>
      <c r="AD3717">
        <v>-1.0938580795919901</v>
      </c>
      <c r="AE3717">
        <v>-0.81529999999997904</v>
      </c>
      <c r="AF3717">
        <v>9.2437023343342606</v>
      </c>
      <c r="AG3717">
        <v>-1.0938580795919901</v>
      </c>
      <c r="AH3717">
        <v>11.2403021003344</v>
      </c>
      <c r="AI3717">
        <v>94.2984768011234</v>
      </c>
      <c r="AJ3717">
        <v>50.567100479205997</v>
      </c>
      <c r="AK3717">
        <v>14.594072414883</v>
      </c>
      <c r="AL3717">
        <v>89.689045185671205</v>
      </c>
      <c r="AM3717">
        <v>70.272307715288704</v>
      </c>
      <c r="AN3717">
        <v>1.0000000566332901</v>
      </c>
    </row>
    <row r="3718" spans="1:40" x14ac:dyDescent="0.25">
      <c r="A3718" t="str">
        <f>"20190305135904088"</f>
        <v>20190305135904088</v>
      </c>
      <c r="B3718" t="str">
        <f>"1551765544082597"</f>
        <v>1551765544082597</v>
      </c>
      <c r="C3718" t="s">
        <v>40</v>
      </c>
      <c r="D3718">
        <v>4.2135449999999999</v>
      </c>
      <c r="E3718">
        <v>0.62990930000000001</v>
      </c>
      <c r="F3718" t="s">
        <v>42</v>
      </c>
      <c r="G3718">
        <v>-213.71870000000001</v>
      </c>
      <c r="H3718" s="1">
        <v>-4.1000660000000003E-6</v>
      </c>
      <c r="I3718">
        <v>144.22120000000001</v>
      </c>
      <c r="J3718">
        <v>-199.4573</v>
      </c>
      <c r="K3718">
        <v>1.093664</v>
      </c>
      <c r="L3718">
        <v>144.89089999999999</v>
      </c>
      <c r="M3718">
        <v>-0.74602409999999997</v>
      </c>
      <c r="N3718">
        <v>-6.4461989999999997E-3</v>
      </c>
      <c r="O3718">
        <v>-0.66588800000000004</v>
      </c>
      <c r="P3718">
        <v>-0.92411699999999997</v>
      </c>
      <c r="Q3718">
        <v>8.8620709999999991E-3</v>
      </c>
      <c r="R3718">
        <v>-0.38200719999999999</v>
      </c>
      <c r="S3718">
        <v>-3.177505</v>
      </c>
      <c r="T3718">
        <v>-0.23934510000000001</v>
      </c>
      <c r="U3718">
        <v>-0.19564819999999999</v>
      </c>
      <c r="V3718">
        <v>0.33069769999999998</v>
      </c>
      <c r="W3718">
        <v>3.53652E-3</v>
      </c>
      <c r="X3718">
        <v>0.94373010000000002</v>
      </c>
      <c r="Y3718">
        <v>0.61566500000000002</v>
      </c>
      <c r="Z3718">
        <v>6.6654649999999996E-2</v>
      </c>
      <c r="AA3718">
        <v>0.78518390000000005</v>
      </c>
      <c r="AB3718">
        <v>35</v>
      </c>
      <c r="AC3718">
        <v>-14.2614</v>
      </c>
      <c r="AD3718">
        <v>-1.093668100066</v>
      </c>
      <c r="AE3718">
        <v>-0.66969999999997698</v>
      </c>
      <c r="AF3718">
        <v>8.9445813785238304</v>
      </c>
      <c r="AG3718">
        <v>-1.093668100066</v>
      </c>
      <c r="AH3718">
        <v>11.0208513719551</v>
      </c>
      <c r="AI3718">
        <v>94.406070276539893</v>
      </c>
      <c r="AJ3718">
        <v>50.9370327927384</v>
      </c>
      <c r="AK3718">
        <v>14.235898668958701</v>
      </c>
      <c r="AL3718">
        <v>89.797371905168305</v>
      </c>
      <c r="AM3718">
        <v>70.688745717102094</v>
      </c>
      <c r="AN3718">
        <v>0.99999998870250495</v>
      </c>
    </row>
    <row r="3719" spans="1:40" x14ac:dyDescent="0.25">
      <c r="A3719" t="str">
        <f>"20190305135904108"</f>
        <v>20190305135904108</v>
      </c>
      <c r="B3719" t="str">
        <f>"1551765544103093"</f>
        <v>1551765544103093</v>
      </c>
      <c r="C3719" t="s">
        <v>40</v>
      </c>
      <c r="D3719">
        <v>4.2364220000000001</v>
      </c>
      <c r="E3719">
        <v>0.62282349999999997</v>
      </c>
      <c r="F3719" t="s">
        <v>42</v>
      </c>
      <c r="G3719">
        <v>-213.89</v>
      </c>
      <c r="H3719" s="1">
        <v>-4.0163099999999998E-6</v>
      </c>
      <c r="I3719">
        <v>144.1198</v>
      </c>
      <c r="J3719">
        <v>-199.71879999999999</v>
      </c>
      <c r="K3719">
        <v>1.093475</v>
      </c>
      <c r="L3719">
        <v>144.67230000000001</v>
      </c>
      <c r="M3719">
        <v>-0.75608160000000002</v>
      </c>
      <c r="N3719">
        <v>-6.5083349999999996E-3</v>
      </c>
      <c r="O3719">
        <v>-0.65444499999999906</v>
      </c>
      <c r="P3719">
        <v>-0.92699379999999998</v>
      </c>
      <c r="Q3719">
        <v>7.8244560000000005E-3</v>
      </c>
      <c r="R3719">
        <v>-0.37499519999999997</v>
      </c>
      <c r="S3719">
        <v>-3.1784520000000001</v>
      </c>
      <c r="T3719">
        <v>-0.24085409999999999</v>
      </c>
      <c r="U3719">
        <v>-0.169799799999999</v>
      </c>
      <c r="V3719">
        <v>0.32343749999999999</v>
      </c>
      <c r="W3719">
        <v>2.6825080000000001E-3</v>
      </c>
      <c r="X3719">
        <v>0.94624569999999997</v>
      </c>
      <c r="Y3719">
        <v>0.61004459999999905</v>
      </c>
      <c r="Z3719">
        <v>6.6325110000000007E-2</v>
      </c>
      <c r="AA3719">
        <v>0.78958640000000002</v>
      </c>
      <c r="AB3719">
        <v>35</v>
      </c>
      <c r="AC3719">
        <v>-14.171200000000001</v>
      </c>
      <c r="AD3719">
        <v>-1.0934790163100001</v>
      </c>
      <c r="AE3719">
        <v>-0.55250000000000898</v>
      </c>
      <c r="AF3719">
        <v>8.8043818832936207</v>
      </c>
      <c r="AG3719">
        <v>-1.0934790163100001</v>
      </c>
      <c r="AH3719">
        <v>11.010939555405599</v>
      </c>
      <c r="AI3719">
        <v>94.435087909853493</v>
      </c>
      <c r="AJ3719">
        <v>51.354059181812801</v>
      </c>
      <c r="AK3719">
        <v>14.140495981357001</v>
      </c>
      <c r="AL3719">
        <v>89.846303423920304</v>
      </c>
      <c r="AM3719">
        <v>71.128990675355396</v>
      </c>
      <c r="AN3719">
        <v>0.99999996851195405</v>
      </c>
    </row>
    <row r="3720" spans="1:40" x14ac:dyDescent="0.25">
      <c r="A3720" t="str">
        <f>"20190305135904132"</f>
        <v>20190305135904132</v>
      </c>
      <c r="B3720" t="str">
        <f>"1551765544122616"</f>
        <v>1551765544122616</v>
      </c>
      <c r="C3720" t="s">
        <v>40</v>
      </c>
      <c r="D3720">
        <v>4.2348249999999998</v>
      </c>
      <c r="E3720">
        <v>0.62245600000000001</v>
      </c>
      <c r="F3720" t="s">
        <v>42</v>
      </c>
      <c r="G3720">
        <v>-212.33690000000001</v>
      </c>
      <c r="H3720" s="1">
        <v>-4.5727539999999997E-6</v>
      </c>
      <c r="I3720">
        <v>143.89449999999999</v>
      </c>
      <c r="J3720">
        <v>-200.0094</v>
      </c>
      <c r="K3720">
        <v>1.0932630000000001</v>
      </c>
      <c r="L3720">
        <v>144.43690000000001</v>
      </c>
      <c r="M3720">
        <v>-0.76699629999999996</v>
      </c>
      <c r="N3720">
        <v>-6.5797599999999996E-3</v>
      </c>
      <c r="O3720">
        <v>-0.64161780000000002</v>
      </c>
      <c r="P3720">
        <v>-0.93123160000000005</v>
      </c>
      <c r="Q3720">
        <v>5.5643389999999997E-3</v>
      </c>
      <c r="R3720">
        <v>-0.36438579999999998</v>
      </c>
      <c r="S3720">
        <v>-3.1597900000000001</v>
      </c>
      <c r="T3720">
        <v>-0.27382450000000003</v>
      </c>
      <c r="U3720">
        <v>-0.1947632</v>
      </c>
      <c r="V3720">
        <v>0.31823770000000001</v>
      </c>
      <c r="W3720">
        <v>5.272063E-4</v>
      </c>
      <c r="X3720">
        <v>0.94801080000000004</v>
      </c>
      <c r="Y3720">
        <v>0.58919600000000005</v>
      </c>
      <c r="Z3720">
        <v>7.4411959999999999E-2</v>
      </c>
      <c r="AA3720">
        <v>0.80455639999999995</v>
      </c>
      <c r="AB3720">
        <v>35</v>
      </c>
      <c r="AC3720">
        <v>-12.327500000000001</v>
      </c>
      <c r="AD3720">
        <v>-1.09326757275399</v>
      </c>
      <c r="AE3720">
        <v>-0.54240000000001398</v>
      </c>
      <c r="AF3720">
        <v>7.4353204155852701</v>
      </c>
      <c r="AG3720">
        <v>-1.09326757275399</v>
      </c>
      <c r="AH3720">
        <v>9.7270166002904492</v>
      </c>
      <c r="AI3720">
        <v>95.102695259175206</v>
      </c>
      <c r="AJ3720">
        <v>52.605745008403801</v>
      </c>
      <c r="AK3720">
        <v>12.2920330137199</v>
      </c>
      <c r="AL3720">
        <v>89.969793302505195</v>
      </c>
      <c r="AM3720">
        <v>71.443615336406907</v>
      </c>
      <c r="AN3720">
        <v>0.99999999428220598</v>
      </c>
    </row>
    <row r="3721" spans="1:40" x14ac:dyDescent="0.25">
      <c r="A3721" t="str">
        <f>"20190305135904153"</f>
        <v>20190305135904153</v>
      </c>
      <c r="B3721" t="str">
        <f>"1551765544143111"</f>
        <v>1551765544143111</v>
      </c>
      <c r="C3721" t="s">
        <v>40</v>
      </c>
      <c r="D3721">
        <v>4.1946389999999996</v>
      </c>
      <c r="E3721">
        <v>0.62223790000000001</v>
      </c>
      <c r="F3721" t="s">
        <v>42</v>
      </c>
      <c r="G3721">
        <v>-212.3064</v>
      </c>
      <c r="H3721" s="1">
        <v>-4.5700119999999998E-6</v>
      </c>
      <c r="I3721">
        <v>143.81290000000001</v>
      </c>
      <c r="J3721">
        <v>-200.28129999999999</v>
      </c>
      <c r="K3721">
        <v>1.093065</v>
      </c>
      <c r="L3721">
        <v>144.22380000000001</v>
      </c>
      <c r="M3721">
        <v>-0.77695349999999996</v>
      </c>
      <c r="N3721">
        <v>-6.6484880000000001E-3</v>
      </c>
      <c r="O3721">
        <v>-0.6295229</v>
      </c>
      <c r="P3721">
        <v>-0.93389820000000001</v>
      </c>
      <c r="Q3721">
        <v>3.7287959999999999E-3</v>
      </c>
      <c r="R3721">
        <v>-0.35752</v>
      </c>
      <c r="S3721">
        <v>-3.1604459999999999</v>
      </c>
      <c r="T3721">
        <v>-0.28098200000000001</v>
      </c>
      <c r="U3721">
        <v>-0.1603851</v>
      </c>
      <c r="V3721">
        <v>0.31030170000000001</v>
      </c>
      <c r="W3721">
        <v>-1.085309E-3</v>
      </c>
      <c r="X3721">
        <v>0.95063750000000002</v>
      </c>
      <c r="Y3721">
        <v>0.58512280000000005</v>
      </c>
      <c r="Z3721">
        <v>7.5535640000000001E-2</v>
      </c>
      <c r="AA3721">
        <v>0.807419199999999</v>
      </c>
      <c r="AB3721">
        <v>35</v>
      </c>
      <c r="AC3721">
        <v>-12.0251</v>
      </c>
      <c r="AD3721">
        <v>-1.0930695700119999</v>
      </c>
      <c r="AE3721">
        <v>-0.41089999999999799</v>
      </c>
      <c r="AF3721">
        <v>7.1916333049680201</v>
      </c>
      <c r="AG3721">
        <v>-1.0930695700119999</v>
      </c>
      <c r="AH3721">
        <v>9.5232314323108103</v>
      </c>
      <c r="AI3721">
        <v>95.233445597315196</v>
      </c>
      <c r="AJ3721">
        <v>52.941089288998</v>
      </c>
      <c r="AK3721">
        <v>11.983585756832699</v>
      </c>
      <c r="AL3721">
        <v>90.062183638017999</v>
      </c>
      <c r="AM3721">
        <v>71.9225755236792</v>
      </c>
      <c r="AN3721">
        <v>0.99999998966238202</v>
      </c>
    </row>
    <row r="3722" spans="1:40" x14ac:dyDescent="0.25">
      <c r="A3722" t="str">
        <f>"20190305135904176"</f>
        <v>20190305135904176</v>
      </c>
      <c r="B3722" t="str">
        <f>"1551765544172389"</f>
        <v>1551765544172389</v>
      </c>
      <c r="C3722" t="s">
        <v>40</v>
      </c>
      <c r="D3722">
        <v>4.2204290000000002</v>
      </c>
      <c r="E3722">
        <v>0.62198169999999897</v>
      </c>
      <c r="F3722" t="s">
        <v>42</v>
      </c>
      <c r="G3722">
        <v>-212.76089999999999</v>
      </c>
      <c r="H3722" s="1">
        <v>-4.3711079999999998E-6</v>
      </c>
      <c r="I3722">
        <v>143.6756</v>
      </c>
      <c r="J3722">
        <v>-200.56540000000001</v>
      </c>
      <c r="K3722">
        <v>1.0928690000000001</v>
      </c>
      <c r="L3722">
        <v>144.00819999999999</v>
      </c>
      <c r="M3722">
        <v>-0.78710469999999999</v>
      </c>
      <c r="N3722">
        <v>-6.7215089999999996E-3</v>
      </c>
      <c r="O3722">
        <v>-0.61678299999999997</v>
      </c>
      <c r="P3722">
        <v>-0.93712580000000001</v>
      </c>
      <c r="Q3722">
        <v>4.1612460000000004E-3</v>
      </c>
      <c r="R3722">
        <v>-0.34896719999999998</v>
      </c>
      <c r="S3722">
        <v>-3.1603089999999998</v>
      </c>
      <c r="T3722">
        <v>-0.27680670000000002</v>
      </c>
      <c r="U3722">
        <v>-0.13882449999999999</v>
      </c>
      <c r="V3722">
        <v>0.30352010000000001</v>
      </c>
      <c r="W3722">
        <v>-4.6628149999999998E-4</v>
      </c>
      <c r="X3722">
        <v>0.95282500000000003</v>
      </c>
      <c r="Y3722">
        <v>0.57760389999999995</v>
      </c>
      <c r="Z3722">
        <v>7.3285249999999996E-2</v>
      </c>
      <c r="AA3722">
        <v>0.81302089999999905</v>
      </c>
      <c r="AB3722">
        <v>35</v>
      </c>
      <c r="AC3722">
        <v>-12.1954999999999</v>
      </c>
      <c r="AD3722">
        <v>-1.0928733711080001</v>
      </c>
      <c r="AE3722">
        <v>-0.33259999999998502</v>
      </c>
      <c r="AF3722">
        <v>7.2025523045256001</v>
      </c>
      <c r="AG3722">
        <v>-1.0928733711080001</v>
      </c>
      <c r="AH3722">
        <v>9.7264478106785806</v>
      </c>
      <c r="AI3722">
        <v>95.159721581584407</v>
      </c>
      <c r="AJ3722">
        <v>53.479604338441703</v>
      </c>
      <c r="AK3722">
        <v>12.1521569656813</v>
      </c>
      <c r="AL3722">
        <v>90.026715960990799</v>
      </c>
      <c r="AM3722">
        <v>72.330847661773106</v>
      </c>
      <c r="AN3722">
        <v>1.0000000745737201</v>
      </c>
    </row>
    <row r="3723" spans="1:40" x14ac:dyDescent="0.25">
      <c r="A3723" t="str">
        <f>"20190305135904198"</f>
        <v>20190305135904198</v>
      </c>
      <c r="B3723" t="str">
        <f>"1551765544192885"</f>
        <v>1551765544192885</v>
      </c>
      <c r="C3723" t="s">
        <v>40</v>
      </c>
      <c r="D3723">
        <v>4.1994150000000001</v>
      </c>
      <c r="E3723">
        <v>0.62151749999999995</v>
      </c>
      <c r="F3723" t="s">
        <v>42</v>
      </c>
      <c r="G3723">
        <v>-212.81700000000001</v>
      </c>
      <c r="H3723" s="1">
        <v>-4.3313639999999996E-6</v>
      </c>
      <c r="I3723">
        <v>143.5729</v>
      </c>
      <c r="J3723">
        <v>-200.86019999999999</v>
      </c>
      <c r="K3723">
        <v>1.0926629999999999</v>
      </c>
      <c r="L3723">
        <v>143.79169999999999</v>
      </c>
      <c r="M3723">
        <v>-0.79736289999999999</v>
      </c>
      <c r="N3723">
        <v>-6.7977289999999998E-3</v>
      </c>
      <c r="O3723">
        <v>-0.60346199999999905</v>
      </c>
      <c r="P3723">
        <v>-0.93993919999999997</v>
      </c>
      <c r="Q3723">
        <v>1.390304E-3</v>
      </c>
      <c r="R3723">
        <v>-0.34133970000000002</v>
      </c>
      <c r="S3723">
        <v>-3.1607059999999998</v>
      </c>
      <c r="T3723">
        <v>-0.28194419999999998</v>
      </c>
      <c r="U3723">
        <v>-0.1122894</v>
      </c>
      <c r="V3723">
        <v>0.29514299999999999</v>
      </c>
      <c r="W3723">
        <v>-2.9839770000000001E-3</v>
      </c>
      <c r="X3723">
        <v>0.95544839999999998</v>
      </c>
      <c r="Y3723">
        <v>0.57062000000000002</v>
      </c>
      <c r="Z3723">
        <v>7.3534799999999997E-2</v>
      </c>
      <c r="AA3723">
        <v>0.81791530000000001</v>
      </c>
      <c r="AB3723">
        <v>35</v>
      </c>
      <c r="AC3723">
        <v>-11.956799999999999</v>
      </c>
      <c r="AD3723">
        <v>-1.0926673313639901</v>
      </c>
      <c r="AE3723">
        <v>-0.218799999999987</v>
      </c>
      <c r="AF3723">
        <v>6.9828779587410601</v>
      </c>
      <c r="AG3723">
        <v>-1.0926673313639901</v>
      </c>
      <c r="AH3723">
        <v>9.5861401891535003</v>
      </c>
      <c r="AI3723">
        <v>95.263919049703105</v>
      </c>
      <c r="AJ3723">
        <v>53.929103141144203</v>
      </c>
      <c r="AK3723">
        <v>11.9100205797389</v>
      </c>
      <c r="AL3723">
        <v>90.170969547147607</v>
      </c>
      <c r="AM3723">
        <v>72.833808195686501</v>
      </c>
      <c r="AN3723">
        <v>0.99999996981514705</v>
      </c>
    </row>
    <row r="3724" spans="1:40" x14ac:dyDescent="0.25">
      <c r="A3724" t="str">
        <f>"20190305135904221"</f>
        <v>20190305135904221</v>
      </c>
      <c r="B3724" t="str">
        <f>"1551765544213380"</f>
        <v>1551765544213380</v>
      </c>
      <c r="C3724" t="s">
        <v>40</v>
      </c>
      <c r="D3724">
        <v>4.2125349999999999</v>
      </c>
      <c r="E3724">
        <v>0.62120559999999903</v>
      </c>
      <c r="F3724" t="s">
        <v>42</v>
      </c>
      <c r="G3724">
        <v>-212.79939999999999</v>
      </c>
      <c r="H3724" s="1">
        <v>-4.316797E-6</v>
      </c>
      <c r="I3724">
        <v>143.45269999999999</v>
      </c>
      <c r="J3724">
        <v>-201.16640000000001</v>
      </c>
      <c r="K3724">
        <v>1.0924640000000001</v>
      </c>
      <c r="L3724">
        <v>143.57550000000001</v>
      </c>
      <c r="M3724">
        <v>-0.80771919999999897</v>
      </c>
      <c r="N3724">
        <v>-6.8767419999999999E-3</v>
      </c>
      <c r="O3724">
        <v>-0.58952749999999998</v>
      </c>
      <c r="P3724">
        <v>-0.94241699999999995</v>
      </c>
      <c r="Q3724">
        <v>1.071911E-3</v>
      </c>
      <c r="R3724">
        <v>-0.33443919999999999</v>
      </c>
      <c r="S3724">
        <v>-3.1595149999999999</v>
      </c>
      <c r="T3724">
        <v>-0.28915750000000001</v>
      </c>
      <c r="U3724">
        <v>-8.9721679999999998E-2</v>
      </c>
      <c r="V3724">
        <v>0.28554170000000001</v>
      </c>
      <c r="W3724">
        <v>-2.9891449999999999E-3</v>
      </c>
      <c r="X3724">
        <v>0.95836160000000004</v>
      </c>
      <c r="Y3724">
        <v>0.56204609999999899</v>
      </c>
      <c r="Z3724">
        <v>7.4180040000000003E-2</v>
      </c>
      <c r="AA3724">
        <v>0.82377269999999903</v>
      </c>
      <c r="AB3724">
        <v>35</v>
      </c>
      <c r="AC3724">
        <v>-11.6329999999999</v>
      </c>
      <c r="AD3724">
        <v>-1.092468316797</v>
      </c>
      <c r="AE3724">
        <v>-0.122800000000012</v>
      </c>
      <c r="AF3724">
        <v>6.6998628622521004</v>
      </c>
      <c r="AG3724">
        <v>-1.092468316797</v>
      </c>
      <c r="AH3724">
        <v>9.3860449011166907</v>
      </c>
      <c r="AI3724">
        <v>95.411707906164096</v>
      </c>
      <c r="AJ3724">
        <v>54.4803333886179</v>
      </c>
      <c r="AK3724">
        <v>11.5835870213837</v>
      </c>
      <c r="AL3724">
        <v>90.171265651853801</v>
      </c>
      <c r="AM3724">
        <v>73.408692028058397</v>
      </c>
      <c r="AN3724">
        <v>0.99999997689064002</v>
      </c>
    </row>
    <row r="3725" spans="1:40" x14ac:dyDescent="0.25">
      <c r="A3725" t="str">
        <f>"20190305135904233"</f>
        <v>20190305135904233</v>
      </c>
      <c r="B3725" t="str">
        <f>"1551765544223142"</f>
        <v>1551765544223142</v>
      </c>
      <c r="C3725" t="s">
        <v>40</v>
      </c>
      <c r="D3725">
        <v>4.2246030000000001</v>
      </c>
      <c r="E3725">
        <v>0.62112239999999996</v>
      </c>
      <c r="F3725" t="s">
        <v>42</v>
      </c>
      <c r="G3725">
        <v>-213.17420000000001</v>
      </c>
      <c r="H3725" s="1">
        <v>-4.149037E-6</v>
      </c>
      <c r="I3725">
        <v>143.3184</v>
      </c>
      <c r="J3725">
        <v>-201.34020000000001</v>
      </c>
      <c r="K3725">
        <v>1.092357</v>
      </c>
      <c r="L3725">
        <v>143.45609999999999</v>
      </c>
      <c r="M3725">
        <v>-0.8134614</v>
      </c>
      <c r="N3725">
        <v>-6.9205789999999996E-3</v>
      </c>
      <c r="O3725">
        <v>-0.58157780000000003</v>
      </c>
      <c r="P3725">
        <v>-0.94423509999999999</v>
      </c>
      <c r="Q3725">
        <v>1.1930319999999999E-3</v>
      </c>
      <c r="R3725">
        <v>-0.32927099999999998</v>
      </c>
      <c r="S3725">
        <v>-3.159637</v>
      </c>
      <c r="T3725">
        <v>-0.28746440000000001</v>
      </c>
      <c r="U3725">
        <v>-6.7642209999999994E-2</v>
      </c>
      <c r="V3725">
        <v>0.28139950000000002</v>
      </c>
      <c r="W3725">
        <v>-2.7365860000000001E-3</v>
      </c>
      <c r="X3725">
        <v>0.95958679999999996</v>
      </c>
      <c r="Y3725">
        <v>0.55979000000000001</v>
      </c>
      <c r="Z3725">
        <v>7.3117429999999997E-2</v>
      </c>
      <c r="AA3725">
        <v>0.82540239999999998</v>
      </c>
      <c r="AB3725">
        <v>36</v>
      </c>
      <c r="AC3725">
        <v>-11.834</v>
      </c>
      <c r="AD3725">
        <v>-1.092361149037</v>
      </c>
      <c r="AE3725">
        <v>-0.13769999999999499</v>
      </c>
      <c r="AF3725">
        <v>6.7133460283126896</v>
      </c>
      <c r="AG3725">
        <v>-1.092361149037</v>
      </c>
      <c r="AH3725">
        <v>9.6248195496100095</v>
      </c>
      <c r="AI3725">
        <v>95.318172890699202</v>
      </c>
      <c r="AJ3725">
        <v>55.104088881685001</v>
      </c>
      <c r="AK3725">
        <v>11.7855597719557</v>
      </c>
      <c r="AL3725">
        <v>90.156795024230505</v>
      </c>
      <c r="AM3725">
        <v>73.656188030514102</v>
      </c>
      <c r="AN3725">
        <v>0.99999999711871201</v>
      </c>
    </row>
    <row r="3726" spans="1:40" x14ac:dyDescent="0.25">
      <c r="A3726" t="str">
        <f>"20190305135904254"</f>
        <v>20190305135904254</v>
      </c>
      <c r="B3726" t="str">
        <f>"1551765544242664"</f>
        <v>1551765544242664</v>
      </c>
      <c r="C3726" t="s">
        <v>40</v>
      </c>
      <c r="D3726">
        <v>4.2017709999999999</v>
      </c>
      <c r="E3726">
        <v>0.62094099999999997</v>
      </c>
      <c r="F3726" t="s">
        <v>42</v>
      </c>
      <c r="G3726">
        <v>-213.42670000000001</v>
      </c>
      <c r="H3726" s="1">
        <v>-4.0422739999999999E-6</v>
      </c>
      <c r="I3726">
        <v>143.26310000000001</v>
      </c>
      <c r="J3726">
        <v>-201.6155</v>
      </c>
      <c r="K3726">
        <v>1.0922019999999999</v>
      </c>
      <c r="L3726">
        <v>143.27170000000001</v>
      </c>
      <c r="M3726">
        <v>-0.82235979999999997</v>
      </c>
      <c r="N3726">
        <v>-6.9863E-3</v>
      </c>
      <c r="O3726">
        <v>-0.56892509999999996</v>
      </c>
      <c r="P3726">
        <v>-0.9471697</v>
      </c>
      <c r="Q3726">
        <v>3.201813E-4</v>
      </c>
      <c r="R3726">
        <v>-0.3207333</v>
      </c>
      <c r="S3726">
        <v>-3.1599430000000002</v>
      </c>
      <c r="T3726">
        <v>-0.28559119999999999</v>
      </c>
      <c r="U3726">
        <v>-5.0460820000000003E-2</v>
      </c>
      <c r="V3726">
        <v>0.27518619999999999</v>
      </c>
      <c r="W3726">
        <v>-3.4091870000000002E-3</v>
      </c>
      <c r="X3726">
        <v>0.96138489999999999</v>
      </c>
      <c r="Y3726">
        <v>0.55159320000000001</v>
      </c>
      <c r="Z3726">
        <v>7.1388320000000005E-2</v>
      </c>
      <c r="AA3726">
        <v>0.83105269999999998</v>
      </c>
      <c r="AB3726">
        <v>36</v>
      </c>
      <c r="AC3726">
        <v>-11.811199999999999</v>
      </c>
      <c r="AD3726">
        <v>-1.0922060422740001</v>
      </c>
      <c r="AE3726">
        <v>-8.6000000000012698E-3</v>
      </c>
      <c r="AF3726">
        <v>6.6558641217270704</v>
      </c>
      <c r="AG3726">
        <v>-1.0922060422740001</v>
      </c>
      <c r="AH3726">
        <v>9.6357885511462698</v>
      </c>
      <c r="AI3726">
        <v>95.328151079516999</v>
      </c>
      <c r="AJ3726">
        <v>55.365451643605901</v>
      </c>
      <c r="AK3726">
        <v>11.761881747750801</v>
      </c>
      <c r="AL3726">
        <v>90.195332405715703</v>
      </c>
      <c r="AM3726">
        <v>74.026793866158798</v>
      </c>
      <c r="AN3726">
        <v>0.99999999658722505</v>
      </c>
    </row>
    <row r="3727" spans="1:40" x14ac:dyDescent="0.25">
      <c r="A3727" t="str">
        <f>"20190305135904277"</f>
        <v>20190305135904277</v>
      </c>
      <c r="B3727" t="str">
        <f>"1551765544272917"</f>
        <v>1551765544272917</v>
      </c>
      <c r="C3727" t="s">
        <v>40</v>
      </c>
      <c r="D3727">
        <v>4.2326519999999999</v>
      </c>
      <c r="E3727">
        <v>0.58376490000000003</v>
      </c>
      <c r="F3727" t="s">
        <v>42</v>
      </c>
      <c r="G3727">
        <v>-213.66220000000001</v>
      </c>
      <c r="H3727" s="1">
        <v>-3.9261460000000004E-6</v>
      </c>
      <c r="I3727">
        <v>143.1857</v>
      </c>
      <c r="J3727">
        <v>-201.93010000000001</v>
      </c>
      <c r="K3727">
        <v>1.0920240000000001</v>
      </c>
      <c r="L3727">
        <v>143.06799999999899</v>
      </c>
      <c r="M3727">
        <v>-0.83222479999999999</v>
      </c>
      <c r="N3727">
        <v>-7.0565239999999998E-3</v>
      </c>
      <c r="O3727">
        <v>-0.55439340000000004</v>
      </c>
      <c r="P3727">
        <v>-0.95095799999999997</v>
      </c>
      <c r="Q3727">
        <v>-3.377125E-4</v>
      </c>
      <c r="R3727">
        <v>-0.30932019999999999</v>
      </c>
      <c r="S3727">
        <v>-3.1597900000000001</v>
      </c>
      <c r="T3727">
        <v>-0.28648079999999998</v>
      </c>
      <c r="U3727">
        <v>-2.2552490000000001E-2</v>
      </c>
      <c r="V3727">
        <v>0.26983669999999998</v>
      </c>
      <c r="W3727">
        <v>-3.9003169999999999E-3</v>
      </c>
      <c r="X3727">
        <v>0.96289820000000004</v>
      </c>
      <c r="Y3727">
        <v>0.54434139999999998</v>
      </c>
      <c r="Z3727">
        <v>7.0299990000000007E-2</v>
      </c>
      <c r="AA3727">
        <v>0.83591280000000001</v>
      </c>
      <c r="AB3727">
        <v>36</v>
      </c>
      <c r="AC3727">
        <v>-11.732100000000001</v>
      </c>
      <c r="AD3727">
        <v>-1.092027926146</v>
      </c>
      <c r="AE3727">
        <v>0.117700000000013</v>
      </c>
      <c r="AF3727">
        <v>6.5456110549842004</v>
      </c>
      <c r="AG3727">
        <v>-1.092027926146</v>
      </c>
      <c r="AH3727">
        <v>9.6154348988441196</v>
      </c>
      <c r="AI3727">
        <v>95.363321187681706</v>
      </c>
      <c r="AJ3727">
        <v>55.755315574584003</v>
      </c>
      <c r="AK3727">
        <v>11.6830705453884</v>
      </c>
      <c r="AL3727">
        <v>90.223472269381304</v>
      </c>
      <c r="AM3727">
        <v>74.345328093552695</v>
      </c>
      <c r="AN3727">
        <v>1.00000000035141</v>
      </c>
    </row>
    <row r="3728" spans="1:40" x14ac:dyDescent="0.25">
      <c r="A3728" t="str">
        <f>"20190305135904300"</f>
        <v>20190305135904300</v>
      </c>
      <c r="B3728" t="str">
        <f>"1551765544292437"</f>
        <v>1551765544292437</v>
      </c>
      <c r="C3728" t="s">
        <v>40</v>
      </c>
      <c r="D3728">
        <v>4.2323300000000001</v>
      </c>
      <c r="E3728">
        <v>0.57651619999999903</v>
      </c>
      <c r="F3728" t="s">
        <v>42</v>
      </c>
      <c r="G3728">
        <v>-214.10570000000001</v>
      </c>
      <c r="H3728" s="1">
        <v>-3.401932E-6</v>
      </c>
      <c r="I3728">
        <v>142.00360000000001</v>
      </c>
      <c r="J3728">
        <v>-202.2423</v>
      </c>
      <c r="K3728">
        <v>1.091863</v>
      </c>
      <c r="L3728">
        <v>142.87360000000001</v>
      </c>
      <c r="M3728">
        <v>-0.84169289999999997</v>
      </c>
      <c r="N3728">
        <v>-7.1217819999999897E-3</v>
      </c>
      <c r="O3728">
        <v>-0.53990990000000005</v>
      </c>
      <c r="P3728">
        <v>-0.95411049999999997</v>
      </c>
      <c r="Q3728">
        <v>-1.51429E-3</v>
      </c>
      <c r="R3728">
        <v>-0.29945119999999997</v>
      </c>
      <c r="S3728">
        <v>-3.0673979999999998</v>
      </c>
      <c r="T3728">
        <v>-0.275113</v>
      </c>
      <c r="U3728">
        <v>-0.26815800000000001</v>
      </c>
      <c r="V3728">
        <v>0.26310430000000001</v>
      </c>
      <c r="W3728">
        <v>-4.8457999999999999E-3</v>
      </c>
      <c r="X3728">
        <v>0.96475520000000003</v>
      </c>
      <c r="Y3728">
        <v>0.4610032</v>
      </c>
      <c r="Z3728">
        <v>6.4104439999999999E-2</v>
      </c>
      <c r="AA3728">
        <v>0.88507999999999998</v>
      </c>
      <c r="AB3728">
        <v>36</v>
      </c>
      <c r="AC3728">
        <v>-11.8634</v>
      </c>
      <c r="AD3728">
        <v>-1.0918664019319999</v>
      </c>
      <c r="AE3728">
        <v>-0.87000000000000399</v>
      </c>
      <c r="AF3728">
        <v>5.6256387996247996</v>
      </c>
      <c r="AG3728">
        <v>-1.0918664019319999</v>
      </c>
      <c r="AH3728">
        <v>10.367969995365501</v>
      </c>
      <c r="AI3728">
        <v>95.288424323829602</v>
      </c>
      <c r="AJ3728">
        <v>61.515835015877101</v>
      </c>
      <c r="AK3728">
        <v>11.8462984078703</v>
      </c>
      <c r="AL3728">
        <v>90.277644981859297</v>
      </c>
      <c r="AM3728">
        <v>74.745475781818598</v>
      </c>
      <c r="AN3728">
        <v>0.99999997519158401</v>
      </c>
    </row>
    <row r="3729" spans="1:40" x14ac:dyDescent="0.25">
      <c r="A3729" t="str">
        <f>"20190305135904321"</f>
        <v>20190305135904321</v>
      </c>
      <c r="B3729" t="str">
        <f>"1551765544312933"</f>
        <v>1551765544312933</v>
      </c>
      <c r="C3729" t="s">
        <v>40</v>
      </c>
      <c r="D3729">
        <v>4.1995889999999996</v>
      </c>
      <c r="E3729">
        <v>0.57450769999999995</v>
      </c>
      <c r="F3729" t="s">
        <v>42</v>
      </c>
      <c r="G3729">
        <v>-216.57660000000001</v>
      </c>
      <c r="H3729" s="1">
        <v>-2.0963830000000001E-6</v>
      </c>
      <c r="I3729">
        <v>141.48660000000001</v>
      </c>
      <c r="J3729">
        <v>-202.56280000000001</v>
      </c>
      <c r="K3729">
        <v>1.091701</v>
      </c>
      <c r="L3729">
        <v>142.68190000000001</v>
      </c>
      <c r="M3729">
        <v>-0.85107369999999904</v>
      </c>
      <c r="N3729">
        <v>-7.1836240000000004E-3</v>
      </c>
      <c r="O3729">
        <v>-0.52499700000000005</v>
      </c>
      <c r="P3729">
        <v>-0.95720519999999998</v>
      </c>
      <c r="Q3729">
        <v>-2.0700660000000002E-3</v>
      </c>
      <c r="R3729">
        <v>-0.28940270000000001</v>
      </c>
      <c r="S3729">
        <v>-3.0512700000000001</v>
      </c>
      <c r="T3729">
        <v>-0.2324204</v>
      </c>
      <c r="U3729">
        <v>-0.29525759999999901</v>
      </c>
      <c r="V3729">
        <v>0.25622800000000001</v>
      </c>
      <c r="W3729">
        <v>-5.1576529999999999E-3</v>
      </c>
      <c r="X3729">
        <v>0.96660259999999998</v>
      </c>
      <c r="Y3729">
        <v>0.4381467</v>
      </c>
      <c r="Z3729">
        <v>5.2259220000000002E-2</v>
      </c>
      <c r="AA3729">
        <v>0.89738309999999999</v>
      </c>
      <c r="AB3729">
        <v>36</v>
      </c>
      <c r="AC3729">
        <v>-14.0138</v>
      </c>
      <c r="AD3729">
        <v>-1.0917030963829999</v>
      </c>
      <c r="AE3729">
        <v>-1.1953</v>
      </c>
      <c r="AF3729">
        <v>6.3021089665270598</v>
      </c>
      <c r="AG3729">
        <v>-1.0917030963829999</v>
      </c>
      <c r="AH3729">
        <v>12.4794428450738</v>
      </c>
      <c r="AI3729">
        <v>94.4650416596931</v>
      </c>
      <c r="AJ3729">
        <v>63.206259747482498</v>
      </c>
      <c r="AK3729">
        <v>14.0230127576101</v>
      </c>
      <c r="AL3729">
        <v>90.2955130628701</v>
      </c>
      <c r="AM3729">
        <v>75.153435700249901</v>
      </c>
      <c r="AN3729">
        <v>0.99999998784761401</v>
      </c>
    </row>
    <row r="3730" spans="1:40" x14ac:dyDescent="0.25">
      <c r="A3730" t="str">
        <f>"20190305135904344"</f>
        <v>20190305135904344</v>
      </c>
      <c r="B3730" t="str">
        <f>"1551765544332453"</f>
        <v>1551765544332453</v>
      </c>
      <c r="C3730" t="s">
        <v>40</v>
      </c>
      <c r="D3730">
        <v>4.1908849999999997</v>
      </c>
      <c r="E3730">
        <v>0.57376689999999997</v>
      </c>
      <c r="F3730" t="s">
        <v>42</v>
      </c>
      <c r="G3730">
        <v>-216.2389</v>
      </c>
      <c r="H3730" s="1">
        <v>-2.2428540000000002E-6</v>
      </c>
      <c r="I3730">
        <v>141.43719999999999</v>
      </c>
      <c r="J3730">
        <v>-202.87559999999999</v>
      </c>
      <c r="K3730">
        <v>1.091558</v>
      </c>
      <c r="L3730">
        <v>142.5016</v>
      </c>
      <c r="M3730">
        <v>-0.85990230000000001</v>
      </c>
      <c r="N3730">
        <v>-7.2378750000000004E-3</v>
      </c>
      <c r="O3730">
        <v>-0.51040719999999995</v>
      </c>
      <c r="P3730">
        <v>-0.96014679999999997</v>
      </c>
      <c r="Q3730">
        <v>-2.7689749999999999E-3</v>
      </c>
      <c r="R3730">
        <v>-0.27948250000000002</v>
      </c>
      <c r="S3730">
        <v>-3.0496829999999999</v>
      </c>
      <c r="T3730">
        <v>-0.24344279999999999</v>
      </c>
      <c r="U3730">
        <v>-0.27755740000000001</v>
      </c>
      <c r="V3730">
        <v>0.24971750000000001</v>
      </c>
      <c r="W3730">
        <v>-5.62029E-3</v>
      </c>
      <c r="X3730">
        <v>0.96830240000000001</v>
      </c>
      <c r="Y3730">
        <v>0.42773719999999998</v>
      </c>
      <c r="Z3730">
        <v>5.3556109999999997E-2</v>
      </c>
      <c r="AA3730">
        <v>0.90231510000000004</v>
      </c>
      <c r="AB3730">
        <v>36</v>
      </c>
      <c r="AC3730">
        <v>-13.363300000000001</v>
      </c>
      <c r="AD3730">
        <v>-1.0915602428540001</v>
      </c>
      <c r="AE3730">
        <v>-1.0644</v>
      </c>
      <c r="AF3730">
        <v>5.8667026806622404</v>
      </c>
      <c r="AG3730">
        <v>-1.0915602428540001</v>
      </c>
      <c r="AH3730">
        <v>11.955459758383499</v>
      </c>
      <c r="AI3730">
        <v>94.685797277041203</v>
      </c>
      <c r="AJ3730">
        <v>63.862200665499998</v>
      </c>
      <c r="AK3730">
        <v>13.361987956191101</v>
      </c>
      <c r="AL3730">
        <v>90.322020599162897</v>
      </c>
      <c r="AM3730">
        <v>75.538970369693999</v>
      </c>
      <c r="AN3730">
        <v>0.99999997765584603</v>
      </c>
    </row>
    <row r="3731" spans="1:40" x14ac:dyDescent="0.25">
      <c r="A3731" t="str">
        <f>"20190305135904366"</f>
        <v>20190305135904366</v>
      </c>
      <c r="B3731" t="str">
        <f>"1551765544362709"</f>
        <v>1551765544362709</v>
      </c>
      <c r="C3731" t="s">
        <v>40</v>
      </c>
      <c r="D3731">
        <v>4.1871429999999998</v>
      </c>
      <c r="E3731">
        <v>0.57304549999999999</v>
      </c>
      <c r="F3731" t="s">
        <v>42</v>
      </c>
      <c r="G3731">
        <v>-216.24959999999999</v>
      </c>
      <c r="H3731" s="1">
        <v>-2.2276679999999998E-6</v>
      </c>
      <c r="I3731">
        <v>141.39920000000001</v>
      </c>
      <c r="J3731">
        <v>-203.1926</v>
      </c>
      <c r="K3731">
        <v>1.0914200000000001</v>
      </c>
      <c r="L3731">
        <v>142.32589999999999</v>
      </c>
      <c r="M3731">
        <v>-0.86852050000000003</v>
      </c>
      <c r="N3731">
        <v>-7.2863069999999997E-3</v>
      </c>
      <c r="O3731">
        <v>-0.49559959999999997</v>
      </c>
      <c r="P3731">
        <v>-0.96364190000000005</v>
      </c>
      <c r="Q3731">
        <v>-2.1444260000000001E-3</v>
      </c>
      <c r="R3731">
        <v>-0.26718920000000002</v>
      </c>
      <c r="S3731">
        <v>-3.050583</v>
      </c>
      <c r="T3731">
        <v>-0.2489816</v>
      </c>
      <c r="U3731">
        <v>-0.25146479999999999</v>
      </c>
      <c r="V3731">
        <v>0.24552930000000001</v>
      </c>
      <c r="W3731">
        <v>-4.850404E-3</v>
      </c>
      <c r="X3731">
        <v>0.96937700000000004</v>
      </c>
      <c r="Y3731">
        <v>0.41986820000000002</v>
      </c>
      <c r="Z3731">
        <v>5.3559580000000002E-2</v>
      </c>
      <c r="AA3731">
        <v>0.90600340000000001</v>
      </c>
      <c r="AB3731">
        <v>36</v>
      </c>
      <c r="AC3731">
        <v>-13.056999999999899</v>
      </c>
      <c r="AD3731">
        <v>-1.0914222276679999</v>
      </c>
      <c r="AE3731">
        <v>-0.92669999999998198</v>
      </c>
      <c r="AF3731">
        <v>5.6272156707892398</v>
      </c>
      <c r="AG3731">
        <v>-1.0914222276679999</v>
      </c>
      <c r="AH3731">
        <v>11.7183905264696</v>
      </c>
      <c r="AI3731">
        <v>94.7992392987111</v>
      </c>
      <c r="AJ3731">
        <v>64.349504578165593</v>
      </c>
      <c r="AK3731">
        <v>13.0452073657522</v>
      </c>
      <c r="AL3731">
        <v>90.277908777329998</v>
      </c>
      <c r="AM3731">
        <v>75.786712931978499</v>
      </c>
      <c r="AN3731">
        <v>0.99999996585322604</v>
      </c>
    </row>
    <row r="3732" spans="1:40" x14ac:dyDescent="0.25">
      <c r="A3732" t="str">
        <f>"20190305135904388"</f>
        <v>20190305135904388</v>
      </c>
      <c r="B3732" t="str">
        <f>"1551765544382736"</f>
        <v>1551765544382736</v>
      </c>
      <c r="C3732" t="s">
        <v>40</v>
      </c>
      <c r="D3732">
        <v>4.1713959999999997</v>
      </c>
      <c r="E3732">
        <v>0.57262749999999996</v>
      </c>
      <c r="F3732" t="s">
        <v>42</v>
      </c>
      <c r="G3732">
        <v>-216.5257</v>
      </c>
      <c r="H3732" s="1">
        <v>-2.0897559999999999E-6</v>
      </c>
      <c r="I3732">
        <v>141.37129999999999</v>
      </c>
      <c r="J3732">
        <v>-203.52350000000001</v>
      </c>
      <c r="K3732">
        <v>1.091283</v>
      </c>
      <c r="L3732">
        <v>142.1497</v>
      </c>
      <c r="M3732">
        <v>-0.87716260000000001</v>
      </c>
      <c r="N3732">
        <v>-7.3301659999999999E-3</v>
      </c>
      <c r="O3732">
        <v>-0.48013790000000001</v>
      </c>
      <c r="P3732">
        <v>-0.967727</v>
      </c>
      <c r="Q3732">
        <v>-2.8665140000000001E-3</v>
      </c>
      <c r="R3732">
        <v>-0.25198579999999998</v>
      </c>
      <c r="S3732">
        <v>-3.0520480000000001</v>
      </c>
      <c r="T3732">
        <v>-0.2498349</v>
      </c>
      <c r="U3732">
        <v>-0.2185211</v>
      </c>
      <c r="V3732">
        <v>0.2435909</v>
      </c>
      <c r="W3732">
        <v>-5.5206090000000001E-3</v>
      </c>
      <c r="X3732">
        <v>0.96986229999999995</v>
      </c>
      <c r="Y3732">
        <v>0.41359249999999997</v>
      </c>
      <c r="Z3732">
        <v>5.249707E-2</v>
      </c>
      <c r="AA3732">
        <v>0.90894730000000001</v>
      </c>
      <c r="AB3732">
        <v>36</v>
      </c>
      <c r="AC3732">
        <v>-13.002199999999901</v>
      </c>
      <c r="AD3732">
        <v>-1.091285089756</v>
      </c>
      <c r="AE3732">
        <v>-0.77840000000000398</v>
      </c>
      <c r="AF3732">
        <v>5.5214576717200101</v>
      </c>
      <c r="AG3732">
        <v>-1.091285089756</v>
      </c>
      <c r="AH3732">
        <v>11.6969934286276</v>
      </c>
      <c r="AI3732">
        <v>94.822559716258993</v>
      </c>
      <c r="AJ3732">
        <v>64.730779629557802</v>
      </c>
      <c r="AK3732">
        <v>12.980641480184101</v>
      </c>
      <c r="AL3732">
        <v>90.316309220998505</v>
      </c>
      <c r="AM3732">
        <v>75.901204293045694</v>
      </c>
      <c r="AN3732">
        <v>0.99999994232391298</v>
      </c>
    </row>
    <row r="3733" spans="1:40" x14ac:dyDescent="0.25">
      <c r="A3733" t="str">
        <f>"20190305135904412"</f>
        <v>20190305135904412</v>
      </c>
      <c r="B3733" t="str">
        <f>"1551765544403232"</f>
        <v>1551765544403232</v>
      </c>
      <c r="C3733" t="s">
        <v>40</v>
      </c>
      <c r="D3733">
        <v>4.093572</v>
      </c>
      <c r="E3733">
        <v>0.57238809999999996</v>
      </c>
      <c r="F3733" t="s">
        <v>42</v>
      </c>
      <c r="G3733">
        <v>-216.6122</v>
      </c>
      <c r="H3733" s="1">
        <v>-2.057225E-6</v>
      </c>
      <c r="I3733">
        <v>141.40270000000001</v>
      </c>
      <c r="J3733">
        <v>-203.86940000000001</v>
      </c>
      <c r="K3733">
        <v>1.0911459999999999</v>
      </c>
      <c r="L3733">
        <v>141.97299999999899</v>
      </c>
      <c r="M3733">
        <v>-0.88581589999999999</v>
      </c>
      <c r="N3733">
        <v>-7.3691999999999898E-3</v>
      </c>
      <c r="O3733">
        <v>-0.46397850000000002</v>
      </c>
      <c r="P3733">
        <v>-0.97171890000000005</v>
      </c>
      <c r="Q3733">
        <v>-5.3587069999999999E-3</v>
      </c>
      <c r="R3733">
        <v>-0.23608009999999999</v>
      </c>
      <c r="S3733">
        <v>-3.053909</v>
      </c>
      <c r="T3733">
        <v>-0.25462249999999997</v>
      </c>
      <c r="U3733">
        <v>-0.17428589999999999</v>
      </c>
      <c r="V3733">
        <v>0.24161530000000001</v>
      </c>
      <c r="W3733">
        <v>-7.9604800000000007E-3</v>
      </c>
      <c r="X3733">
        <v>0.97033950000000002</v>
      </c>
      <c r="Y3733">
        <v>0.41001130000000002</v>
      </c>
      <c r="Z3733">
        <v>5.2328819999999998E-2</v>
      </c>
      <c r="AA3733">
        <v>0.91057809999999995</v>
      </c>
      <c r="AB3733">
        <v>36</v>
      </c>
      <c r="AC3733">
        <v>-12.7427999999999</v>
      </c>
      <c r="AD3733">
        <v>-1.0911480572250001</v>
      </c>
      <c r="AE3733">
        <v>-0.57029999999997405</v>
      </c>
      <c r="AF3733">
        <v>5.3680694280238903</v>
      </c>
      <c r="AG3733">
        <v>-1.0911480572250001</v>
      </c>
      <c r="AH3733">
        <v>11.4687706738271</v>
      </c>
      <c r="AI3733">
        <v>94.924951020131402</v>
      </c>
      <c r="AJ3733">
        <v>64.917599787014595</v>
      </c>
      <c r="AK3733">
        <v>12.709818025279001</v>
      </c>
      <c r="AL3733">
        <v>90.456106708735604</v>
      </c>
      <c r="AM3733">
        <v>76.017652140891997</v>
      </c>
      <c r="AN3733">
        <v>1.0000000338480799</v>
      </c>
    </row>
    <row r="3734" spans="1:40" x14ac:dyDescent="0.25">
      <c r="A3734" t="str">
        <f>"20190305135904434"</f>
        <v>20190305135904434</v>
      </c>
      <c r="B3734" t="str">
        <f>"1551765544422756"</f>
        <v>1551765544422756</v>
      </c>
      <c r="C3734" t="s">
        <v>40</v>
      </c>
      <c r="D3734">
        <v>4.1710200000000004</v>
      </c>
      <c r="E3734">
        <v>0.5718065</v>
      </c>
      <c r="F3734" t="s">
        <v>42</v>
      </c>
      <c r="G3734">
        <v>-216.76259999999999</v>
      </c>
      <c r="H3734" s="1">
        <v>-1.9959930000000001E-6</v>
      </c>
      <c r="I3734">
        <v>141.43969999999999</v>
      </c>
      <c r="J3734">
        <v>-204.20820000000001</v>
      </c>
      <c r="K3734">
        <v>1.091011</v>
      </c>
      <c r="L3734">
        <v>141.8073</v>
      </c>
      <c r="M3734">
        <v>-0.89391749999999903</v>
      </c>
      <c r="N3734">
        <v>-7.4029769999999998E-3</v>
      </c>
      <c r="O3734">
        <v>-0.44817069999999998</v>
      </c>
      <c r="P3734">
        <v>-0.97502109999999997</v>
      </c>
      <c r="Q3734">
        <v>-9.6046780000000002E-3</v>
      </c>
      <c r="R3734">
        <v>-0.22190509999999999</v>
      </c>
      <c r="S3734">
        <v>-3.0551759999999999</v>
      </c>
      <c r="T3734">
        <v>-0.25855889999999998</v>
      </c>
      <c r="U3734">
        <v>-0.126358</v>
      </c>
      <c r="V3734">
        <v>0.23832300000000001</v>
      </c>
      <c r="W3734">
        <v>-1.209642E-2</v>
      </c>
      <c r="X3734">
        <v>0.97111060000000005</v>
      </c>
      <c r="Y3734">
        <v>0.40805399999999997</v>
      </c>
      <c r="Z3734">
        <v>5.2027759999999999E-2</v>
      </c>
      <c r="AA3734">
        <v>0.91147409999999995</v>
      </c>
      <c r="AB3734">
        <v>37</v>
      </c>
      <c r="AC3734">
        <v>-12.5543999999999</v>
      </c>
      <c r="AD3734">
        <v>-1.0910129959929999</v>
      </c>
      <c r="AE3734">
        <v>-0.36760000000000997</v>
      </c>
      <c r="AF3734">
        <v>5.2583768208291399</v>
      </c>
      <c r="AG3734">
        <v>-1.0910129959929999</v>
      </c>
      <c r="AH3734">
        <v>11.3023723163416</v>
      </c>
      <c r="AI3734">
        <v>95.001842383962497</v>
      </c>
      <c r="AJ3734">
        <v>65.050012370764804</v>
      </c>
      <c r="AK3734">
        <v>12.5133710935328</v>
      </c>
      <c r="AL3734">
        <v>90.6930907257901</v>
      </c>
      <c r="AM3734">
        <v>76.211387459608304</v>
      </c>
      <c r="AN3734">
        <v>0.99999998656908795</v>
      </c>
    </row>
    <row r="3735" spans="1:40" x14ac:dyDescent="0.25">
      <c r="A3735" t="str">
        <f>"20190305135904455"</f>
        <v>20190305135904455</v>
      </c>
      <c r="B3735" t="str">
        <f>"1551765544453011"</f>
        <v>1551765544453011</v>
      </c>
      <c r="C3735" t="s">
        <v>40</v>
      </c>
      <c r="D3735">
        <v>4.1688799999999997</v>
      </c>
      <c r="E3735">
        <v>0.57071930000000004</v>
      </c>
      <c r="F3735" t="s">
        <v>42</v>
      </c>
      <c r="G3735">
        <v>-216.59909999999999</v>
      </c>
      <c r="H3735" s="1">
        <v>-2.0783620000000001E-6</v>
      </c>
      <c r="I3735">
        <v>141.4589</v>
      </c>
      <c r="J3735">
        <v>-204.5308</v>
      </c>
      <c r="K3735">
        <v>1.0908979999999999</v>
      </c>
      <c r="L3735">
        <v>141.65620000000001</v>
      </c>
      <c r="M3735">
        <v>-0.9012886</v>
      </c>
      <c r="N3735">
        <v>-7.4341669999999898E-3</v>
      </c>
      <c r="O3735">
        <v>-0.43315559999999997</v>
      </c>
      <c r="P3735">
        <v>-0.97766180000000003</v>
      </c>
      <c r="Q3735">
        <v>-1.387803E-2</v>
      </c>
      <c r="R3735">
        <v>-0.209726</v>
      </c>
      <c r="S3735">
        <v>-3.0546720000000001</v>
      </c>
      <c r="T3735">
        <v>-0.2689626</v>
      </c>
      <c r="U3735">
        <v>-8.5876460000000002E-2</v>
      </c>
      <c r="V3735">
        <v>0.23399619999999999</v>
      </c>
      <c r="W3735">
        <v>-1.6209339999999999E-2</v>
      </c>
      <c r="X3735">
        <v>0.97210240000000003</v>
      </c>
      <c r="Y3735">
        <v>0.40467069999999999</v>
      </c>
      <c r="Z3735">
        <v>5.2994180000000002E-2</v>
      </c>
      <c r="AA3735">
        <v>0.91292569999999995</v>
      </c>
      <c r="AB3735">
        <v>37</v>
      </c>
      <c r="AC3735">
        <v>-12.068299999999899</v>
      </c>
      <c r="AD3735">
        <v>-1.090900078362</v>
      </c>
      <c r="AE3735">
        <v>-0.19730000000001199</v>
      </c>
      <c r="AF3735">
        <v>5.0088499572600798</v>
      </c>
      <c r="AG3735">
        <v>-1.090900078362</v>
      </c>
      <c r="AH3735">
        <v>10.873956882021</v>
      </c>
      <c r="AI3735">
        <v>95.206418770678894</v>
      </c>
      <c r="AJ3735">
        <v>65.267875025890604</v>
      </c>
      <c r="AK3735">
        <v>12.0217128208657</v>
      </c>
      <c r="AL3735">
        <v>90.928767426101203</v>
      </c>
      <c r="AM3735">
        <v>76.465728729892604</v>
      </c>
      <c r="AN3735">
        <v>1.0000000202017101</v>
      </c>
    </row>
    <row r="3736" spans="1:40" x14ac:dyDescent="0.25">
      <c r="A3736" t="str">
        <f>"20190305135904479"</f>
        <v>20190305135904479</v>
      </c>
      <c r="B3736" t="str">
        <f>"1551765544473035"</f>
        <v>1551765544473035</v>
      </c>
      <c r="C3736" t="s">
        <v>40</v>
      </c>
      <c r="D3736">
        <v>4.1264019999999997</v>
      </c>
      <c r="E3736">
        <v>0.56990580000000002</v>
      </c>
      <c r="F3736" t="s">
        <v>42</v>
      </c>
      <c r="G3736">
        <v>-216.4529</v>
      </c>
      <c r="H3736" s="1">
        <v>-2.1418890000000001E-6</v>
      </c>
      <c r="I3736">
        <v>141.43790000000001</v>
      </c>
      <c r="J3736">
        <v>-204.89109999999999</v>
      </c>
      <c r="K3736">
        <v>1.090789</v>
      </c>
      <c r="L3736">
        <v>141.49469999999999</v>
      </c>
      <c r="M3736">
        <v>-0.90913790000000005</v>
      </c>
      <c r="N3736">
        <v>-7.4705240000000001E-3</v>
      </c>
      <c r="O3736">
        <v>-0.41642849999999998</v>
      </c>
      <c r="P3736">
        <v>-0.98035559999999999</v>
      </c>
      <c r="Q3736">
        <v>-1.5838540000000002E-2</v>
      </c>
      <c r="R3736">
        <v>-0.1966019</v>
      </c>
      <c r="S3736">
        <v>-3.052597</v>
      </c>
      <c r="T3736">
        <v>-0.27931889999999998</v>
      </c>
      <c r="U3736">
        <v>-5.5877690000000001E-2</v>
      </c>
      <c r="V3736">
        <v>0.22897190000000001</v>
      </c>
      <c r="W3736">
        <v>-1.797197E-2</v>
      </c>
      <c r="X3736">
        <v>0.97326710000000005</v>
      </c>
      <c r="Y3736">
        <v>0.39656799999999998</v>
      </c>
      <c r="Z3736">
        <v>5.348634E-2</v>
      </c>
      <c r="AA3736">
        <v>0.91644590000000004</v>
      </c>
      <c r="AB3736">
        <v>37</v>
      </c>
      <c r="AC3736">
        <v>-11.5618</v>
      </c>
      <c r="AD3736">
        <v>-1.0907911418889999</v>
      </c>
      <c r="AE3736">
        <v>-5.6799999999981303E-2</v>
      </c>
      <c r="AF3736">
        <v>4.7211351949516196</v>
      </c>
      <c r="AG3736">
        <v>-1.0907911418889999</v>
      </c>
      <c r="AH3736">
        <v>10.442273463886499</v>
      </c>
      <c r="AI3736">
        <v>95.437202706471297</v>
      </c>
      <c r="AJ3736">
        <v>65.671438853388594</v>
      </c>
      <c r="AK3736">
        <v>11.511733924080399</v>
      </c>
      <c r="AL3736">
        <v>91.029773485444395</v>
      </c>
      <c r="AM3736">
        <v>76.761271990070696</v>
      </c>
      <c r="AN3736">
        <v>0.99999998531885004</v>
      </c>
    </row>
    <row r="3737" spans="1:40" x14ac:dyDescent="0.25">
      <c r="A3737" t="str">
        <f>"20190305135904503"</f>
        <v>20190305135904503</v>
      </c>
      <c r="B3737" t="str">
        <f>"1551765544492558"</f>
        <v>1551765544492558</v>
      </c>
      <c r="C3737" t="s">
        <v>40</v>
      </c>
      <c r="D3737">
        <v>4.1155819999999999</v>
      </c>
      <c r="E3737">
        <v>0.56895680000000004</v>
      </c>
      <c r="F3737" t="s">
        <v>42</v>
      </c>
      <c r="G3737">
        <v>-216.65799999999999</v>
      </c>
      <c r="H3737" s="1">
        <v>-2.0382479999999999E-6</v>
      </c>
      <c r="I3737">
        <v>141.4128</v>
      </c>
      <c r="J3737">
        <v>-205.2627</v>
      </c>
      <c r="K3737">
        <v>1.0906940000000001</v>
      </c>
      <c r="L3737">
        <v>141.33690000000001</v>
      </c>
      <c r="M3737">
        <v>-0.91680649999999997</v>
      </c>
      <c r="N3737">
        <v>-7.5140579999999997E-3</v>
      </c>
      <c r="O3737">
        <v>-0.39926080000000003</v>
      </c>
      <c r="P3737">
        <v>-0.98318589999999995</v>
      </c>
      <c r="Q3737">
        <v>-1.6414680000000001E-2</v>
      </c>
      <c r="R3737">
        <v>-0.18186869999999999</v>
      </c>
      <c r="S3737">
        <v>-3.0512999999999999</v>
      </c>
      <c r="T3737">
        <v>-0.28285379999999999</v>
      </c>
      <c r="U3737">
        <v>-2.1224980000000001E-2</v>
      </c>
      <c r="V3737">
        <v>0.225249</v>
      </c>
      <c r="W3737">
        <v>-1.8393380000000001E-2</v>
      </c>
      <c r="X3737">
        <v>0.97412759999999998</v>
      </c>
      <c r="Y3737">
        <v>0.38971549999999999</v>
      </c>
      <c r="Z3737">
        <v>5.2547749999999997E-2</v>
      </c>
      <c r="AA3737">
        <v>0.91943490000000005</v>
      </c>
      <c r="AB3737">
        <v>37</v>
      </c>
      <c r="AC3737">
        <v>-11.395299999999899</v>
      </c>
      <c r="AD3737">
        <v>-1.090696038248</v>
      </c>
      <c r="AE3737">
        <v>7.5899999999990003E-2</v>
      </c>
      <c r="AF3737">
        <v>4.57747937674573</v>
      </c>
      <c r="AG3737">
        <v>-1.090696038248</v>
      </c>
      <c r="AH3737">
        <v>10.322711307835799</v>
      </c>
      <c r="AI3737">
        <v>95.5170411344874</v>
      </c>
      <c r="AJ3737">
        <v>66.085696557589998</v>
      </c>
      <c r="AK3737">
        <v>11.344659714478199</v>
      </c>
      <c r="AL3737">
        <v>91.053922472213401</v>
      </c>
      <c r="AM3737">
        <v>76.980238090233399</v>
      </c>
      <c r="AN3737">
        <v>1.0000000047552899</v>
      </c>
    </row>
    <row r="3738" spans="1:40" x14ac:dyDescent="0.25">
      <c r="A3738" t="str">
        <f>"20190305135904523"</f>
        <v>20190305135904523</v>
      </c>
      <c r="B3738" t="str">
        <f>"1551765544513051"</f>
        <v>1551765544513051</v>
      </c>
      <c r="C3738" t="s">
        <v>40</v>
      </c>
      <c r="D3738">
        <v>4.1162020000000004</v>
      </c>
      <c r="E3738">
        <v>0.56806540000000005</v>
      </c>
      <c r="F3738" t="s">
        <v>42</v>
      </c>
      <c r="G3738">
        <v>-217.04140000000001</v>
      </c>
      <c r="H3738" s="1">
        <v>-1.854101E-6</v>
      </c>
      <c r="I3738">
        <v>141.40190000000001</v>
      </c>
      <c r="J3738">
        <v>-205.59620000000001</v>
      </c>
      <c r="K3738">
        <v>1.0906309999999999</v>
      </c>
      <c r="L3738">
        <v>141.20169999999999</v>
      </c>
      <c r="M3738">
        <v>-0.92334110000000003</v>
      </c>
      <c r="N3738">
        <v>-7.5580789999999997E-3</v>
      </c>
      <c r="O3738">
        <v>-0.38390649999999998</v>
      </c>
      <c r="P3738">
        <v>-0.98551420000000001</v>
      </c>
      <c r="Q3738">
        <v>-1.551642E-2</v>
      </c>
      <c r="R3738">
        <v>-0.16888310000000001</v>
      </c>
      <c r="S3738">
        <v>-3.0496829999999999</v>
      </c>
      <c r="T3738">
        <v>-0.2823967</v>
      </c>
      <c r="U3738">
        <v>1.6830439999999999E-2</v>
      </c>
      <c r="V3738">
        <v>0.22188740000000001</v>
      </c>
      <c r="W3738">
        <v>-1.7344769999999999E-2</v>
      </c>
      <c r="X3738">
        <v>0.97491799999999995</v>
      </c>
      <c r="Y3738">
        <v>0.38590530000000001</v>
      </c>
      <c r="Z3738">
        <v>5.1112060000000001E-2</v>
      </c>
      <c r="AA3738">
        <v>0.92112139999999998</v>
      </c>
      <c r="AB3738">
        <v>37</v>
      </c>
      <c r="AC3738">
        <v>-11.4452</v>
      </c>
      <c r="AD3738">
        <v>-1.090632854101</v>
      </c>
      <c r="AE3738">
        <v>0.200200000000023</v>
      </c>
      <c r="AF3738">
        <v>4.5376782475109403</v>
      </c>
      <c r="AG3738">
        <v>-1.090632854101</v>
      </c>
      <c r="AH3738">
        <v>10.396884381154299</v>
      </c>
      <c r="AI3738">
        <v>95.4916549397864</v>
      </c>
      <c r="AJ3738">
        <v>66.421331308109103</v>
      </c>
      <c r="AK3738">
        <v>11.3962804780976</v>
      </c>
      <c r="AL3738">
        <v>90.993831969653101</v>
      </c>
      <c r="AM3738">
        <v>77.178124810222997</v>
      </c>
      <c r="AN3738">
        <v>0.99999998302455595</v>
      </c>
    </row>
    <row r="3739" spans="1:40" x14ac:dyDescent="0.25">
      <c r="A3739" t="str">
        <f>"20190305135904545"</f>
        <v>20190305135904545</v>
      </c>
      <c r="B3739" t="str">
        <f>"1551765544543308"</f>
        <v>1551765544543308</v>
      </c>
      <c r="C3739" t="s">
        <v>40</v>
      </c>
      <c r="D3739">
        <v>4.1173469999999996</v>
      </c>
      <c r="E3739">
        <v>0.55503729999999996</v>
      </c>
      <c r="F3739" t="s">
        <v>42</v>
      </c>
      <c r="G3739">
        <v>-217.54589999999999</v>
      </c>
      <c r="H3739" s="1">
        <v>-1.6138919999999999E-6</v>
      </c>
      <c r="I3739">
        <v>141.3954</v>
      </c>
      <c r="J3739">
        <v>-205.92689999999999</v>
      </c>
      <c r="K3739">
        <v>1.0905750000000001</v>
      </c>
      <c r="L3739">
        <v>141.07390000000001</v>
      </c>
      <c r="M3739">
        <v>-0.92949490000000001</v>
      </c>
      <c r="N3739">
        <v>-7.6156560000000002E-3</v>
      </c>
      <c r="O3739">
        <v>-0.36875659999999999</v>
      </c>
      <c r="P3739">
        <v>-0.9876026</v>
      </c>
      <c r="Q3739">
        <v>-1.461049E-2</v>
      </c>
      <c r="R3739">
        <v>-0.15629319999999999</v>
      </c>
      <c r="S3739">
        <v>-3.0481720000000001</v>
      </c>
      <c r="T3739">
        <v>-0.27820270000000002</v>
      </c>
      <c r="U3739">
        <v>4.9407960000000001E-2</v>
      </c>
      <c r="V3739">
        <v>0.21843029999999999</v>
      </c>
      <c r="W3739">
        <v>-1.6267730000000001E-2</v>
      </c>
      <c r="X3739">
        <v>0.9757169</v>
      </c>
      <c r="Y3739">
        <v>0.3808376</v>
      </c>
      <c r="Z3739">
        <v>4.893803E-2</v>
      </c>
      <c r="AA3739">
        <v>0.923346</v>
      </c>
      <c r="AB3739">
        <v>37</v>
      </c>
      <c r="AC3739">
        <v>-11.619</v>
      </c>
      <c r="AD3739">
        <v>-1.0905766138919999</v>
      </c>
      <c r="AE3739">
        <v>0.32149999999998602</v>
      </c>
      <c r="AF3739">
        <v>4.5435500589572797</v>
      </c>
      <c r="AG3739">
        <v>-1.0905766138919999</v>
      </c>
      <c r="AH3739">
        <v>10.5883429925467</v>
      </c>
      <c r="AI3739">
        <v>95.407025376232795</v>
      </c>
      <c r="AJ3739">
        <v>66.775408065512906</v>
      </c>
      <c r="AK3739">
        <v>11.5735133739428</v>
      </c>
      <c r="AL3739">
        <v>90.932113431378497</v>
      </c>
      <c r="AM3739">
        <v>77.381448388554801</v>
      </c>
      <c r="AN3739">
        <v>0.99999995197152503</v>
      </c>
    </row>
    <row r="3740" spans="1:40" x14ac:dyDescent="0.25">
      <c r="A3740" t="str">
        <f>"20190305135904568"</f>
        <v>20190305135904568</v>
      </c>
      <c r="B3740" t="str">
        <f>"1551765544562827"</f>
        <v>1551765544562827</v>
      </c>
      <c r="C3740" t="s">
        <v>40</v>
      </c>
      <c r="D3740">
        <v>4.1354759999999997</v>
      </c>
      <c r="E3740">
        <v>0.55443019999999998</v>
      </c>
      <c r="F3740" t="s">
        <v>42</v>
      </c>
      <c r="G3740">
        <v>-220.71010000000001</v>
      </c>
      <c r="H3740" s="1">
        <v>-4.2763540000000003E-6</v>
      </c>
      <c r="I3740">
        <v>140.98050000000001</v>
      </c>
      <c r="J3740">
        <v>-206.2818</v>
      </c>
      <c r="K3740">
        <v>1.0905149999999999</v>
      </c>
      <c r="L3740">
        <v>140.9434</v>
      </c>
      <c r="M3740">
        <v>-0.93574089999999999</v>
      </c>
      <c r="N3740">
        <v>-7.717069E-3</v>
      </c>
      <c r="O3740">
        <v>-0.35260390000000003</v>
      </c>
      <c r="P3740">
        <v>-0.98932520000000002</v>
      </c>
      <c r="Q3740">
        <v>-1.679288E-2</v>
      </c>
      <c r="R3740">
        <v>-0.14475450000000001</v>
      </c>
      <c r="S3740">
        <v>-3.0313110000000001</v>
      </c>
      <c r="T3740">
        <v>-0.22362470000000001</v>
      </c>
      <c r="U3740">
        <v>-1.9134519999999999E-2</v>
      </c>
      <c r="V3740">
        <v>0.2128217</v>
      </c>
      <c r="W3740">
        <v>-1.8146789999999999E-2</v>
      </c>
      <c r="X3740">
        <v>0.97692250000000003</v>
      </c>
      <c r="Y3740">
        <v>0.34493289999999999</v>
      </c>
      <c r="Z3740">
        <v>3.6812919999999999E-2</v>
      </c>
      <c r="AA3740">
        <v>0.93790510000000005</v>
      </c>
      <c r="AB3740">
        <v>37</v>
      </c>
      <c r="AC3740">
        <v>-14.4283</v>
      </c>
      <c r="AD3740">
        <v>-1.0905192763539999</v>
      </c>
      <c r="AE3740">
        <v>3.7100000000009403E-2</v>
      </c>
      <c r="AF3740">
        <v>5.0932474576681601</v>
      </c>
      <c r="AG3740">
        <v>-1.0905192763539999</v>
      </c>
      <c r="AH3740">
        <v>13.411853329252301</v>
      </c>
      <c r="AI3740">
        <v>94.346892474630096</v>
      </c>
      <c r="AJ3740">
        <v>69.205367573638597</v>
      </c>
      <c r="AK3740">
        <v>14.387779942802799</v>
      </c>
      <c r="AL3740">
        <v>91.0397915767456</v>
      </c>
      <c r="AM3740">
        <v>77.710181842433499</v>
      </c>
      <c r="AN3740">
        <v>0.99999997649222105</v>
      </c>
    </row>
    <row r="3741" spans="1:40" x14ac:dyDescent="0.25">
      <c r="A3741" t="str">
        <f>"20190305135904590"</f>
        <v>20190305135904590</v>
      </c>
      <c r="B3741" t="str">
        <f>"1551765544582855"</f>
        <v>1551765544582855</v>
      </c>
      <c r="C3741" t="s">
        <v>40</v>
      </c>
      <c r="D3741">
        <v>4.0237999999999996</v>
      </c>
      <c r="E3741">
        <v>0.55412109999999903</v>
      </c>
      <c r="F3741" t="s">
        <v>42</v>
      </c>
      <c r="G3741">
        <v>-224.3528</v>
      </c>
      <c r="H3741" s="1">
        <v>-2.770484E-6</v>
      </c>
      <c r="I3741">
        <v>140.99010000000001</v>
      </c>
      <c r="J3741">
        <v>-206.66149999999999</v>
      </c>
      <c r="K3741">
        <v>1.09046</v>
      </c>
      <c r="L3741">
        <v>140.81129999999999</v>
      </c>
      <c r="M3741">
        <v>-0.94201029999999997</v>
      </c>
      <c r="N3741">
        <v>-7.9014250000000001E-3</v>
      </c>
      <c r="O3741">
        <v>-0.33549129999999999</v>
      </c>
      <c r="P3741">
        <v>-0.99085440000000002</v>
      </c>
      <c r="Q3741">
        <v>-1.972732E-2</v>
      </c>
      <c r="R3741">
        <v>-0.13348769999999999</v>
      </c>
      <c r="S3741">
        <v>-3.0304259999999998</v>
      </c>
      <c r="T3741">
        <v>-0.1828756</v>
      </c>
      <c r="U3741">
        <v>7.8430180000000002E-3</v>
      </c>
      <c r="V3741">
        <v>0.20599880000000001</v>
      </c>
      <c r="W3741">
        <v>-2.0645340000000002E-2</v>
      </c>
      <c r="X3741">
        <v>0.97833440000000005</v>
      </c>
      <c r="Y3741">
        <v>0.33680500000000002</v>
      </c>
      <c r="Z3741">
        <v>2.872458E-2</v>
      </c>
      <c r="AA3741">
        <v>0.94113619999999998</v>
      </c>
      <c r="AB3741">
        <v>37</v>
      </c>
      <c r="AC3741">
        <v>-17.691299999999998</v>
      </c>
      <c r="AD3741">
        <v>-1.090462770484</v>
      </c>
      <c r="AE3741">
        <v>0.178800000000023</v>
      </c>
      <c r="AF3741">
        <v>6.0807981151182897</v>
      </c>
      <c r="AG3741">
        <v>-1.090462770484</v>
      </c>
      <c r="AH3741">
        <v>16.5430718098279</v>
      </c>
      <c r="AI3741">
        <v>93.540340619019602</v>
      </c>
      <c r="AJ3741">
        <v>69.817899757163502</v>
      </c>
      <c r="AK3741">
        <v>17.658947864347901</v>
      </c>
      <c r="AL3741">
        <v>91.182974934450698</v>
      </c>
      <c r="AM3741">
        <v>78.109454173327705</v>
      </c>
      <c r="AN3741">
        <v>0.99999996694425697</v>
      </c>
    </row>
    <row r="3742" spans="1:40" x14ac:dyDescent="0.25">
      <c r="A3742" t="str">
        <f>"20190305135904612"</f>
        <v>20190305135904612</v>
      </c>
      <c r="B3742" t="str">
        <f>"1551765544602375"</f>
        <v>1551765544602375</v>
      </c>
      <c r="C3742" t="s">
        <v>40</v>
      </c>
      <c r="D3742">
        <v>4.0628849999999996</v>
      </c>
      <c r="E3742">
        <v>0.55367519999999903</v>
      </c>
      <c r="F3742" t="s">
        <v>42</v>
      </c>
      <c r="G3742">
        <v>-224.786</v>
      </c>
      <c r="H3742" s="1">
        <v>-2.599343E-6</v>
      </c>
      <c r="I3742">
        <v>141.0455</v>
      </c>
      <c r="J3742">
        <v>-207.0147</v>
      </c>
      <c r="K3742">
        <v>1.0904529999999999</v>
      </c>
      <c r="L3742">
        <v>140.69540000000001</v>
      </c>
      <c r="M3742">
        <v>-0.94746549999999996</v>
      </c>
      <c r="N3742">
        <v>-8.1737579999999997E-3</v>
      </c>
      <c r="O3742">
        <v>-0.31975360000000003</v>
      </c>
      <c r="P3742">
        <v>-0.9920523</v>
      </c>
      <c r="Q3742">
        <v>-1.9715150000000001E-2</v>
      </c>
      <c r="R3742">
        <v>-0.12427290000000001</v>
      </c>
      <c r="S3742">
        <v>-3.0293429999999999</v>
      </c>
      <c r="T3742">
        <v>-0.1822608</v>
      </c>
      <c r="U3742">
        <v>3.913879E-2</v>
      </c>
      <c r="V3742">
        <v>0.19880590000000001</v>
      </c>
      <c r="W3742">
        <v>-2.0085459999999999E-2</v>
      </c>
      <c r="X3742">
        <v>0.97983310000000001</v>
      </c>
      <c r="Y3742">
        <v>0.3308835</v>
      </c>
      <c r="Z3742">
        <v>2.762326E-2</v>
      </c>
      <c r="AA3742">
        <v>0.94326719999999997</v>
      </c>
      <c r="AB3742">
        <v>37</v>
      </c>
      <c r="AC3742">
        <v>-17.771299999999901</v>
      </c>
      <c r="AD3742">
        <v>-1.0904555993430001</v>
      </c>
      <c r="AE3742">
        <v>0.35009999999999702</v>
      </c>
      <c r="AF3742">
        <v>5.9917945814014502</v>
      </c>
      <c r="AG3742">
        <v>-1.0904555993430001</v>
      </c>
      <c r="AH3742">
        <v>16.663590354311399</v>
      </c>
      <c r="AI3742">
        <v>93.523794494771906</v>
      </c>
      <c r="AJ3742">
        <v>70.222731965706203</v>
      </c>
      <c r="AK3742">
        <v>17.741644208363301</v>
      </c>
      <c r="AL3742">
        <v>91.150889413057399</v>
      </c>
      <c r="AM3742">
        <v>78.530515492838902</v>
      </c>
      <c r="AN3742">
        <v>1.0000000577169099</v>
      </c>
    </row>
    <row r="3743" spans="1:40" x14ac:dyDescent="0.25">
      <c r="A3743" t="str">
        <f>"20190305135904634"</f>
        <v>20190305135904634</v>
      </c>
      <c r="B3743" t="str">
        <f>"1551765544622875"</f>
        <v>1551765544622875</v>
      </c>
      <c r="C3743" t="s">
        <v>40</v>
      </c>
      <c r="D3743">
        <v>4.0068519999999896</v>
      </c>
      <c r="E3743">
        <v>0.55306080000000002</v>
      </c>
      <c r="F3743" t="s">
        <v>42</v>
      </c>
      <c r="G3743">
        <v>-226.92349999999999</v>
      </c>
      <c r="H3743" s="1">
        <v>-1.6981840000000001E-6</v>
      </c>
      <c r="I3743">
        <v>141.10480000000001</v>
      </c>
      <c r="J3743">
        <v>-207.37430000000001</v>
      </c>
      <c r="K3743">
        <v>1.090498</v>
      </c>
      <c r="L3743">
        <v>140.584</v>
      </c>
      <c r="M3743">
        <v>-0.95265619999999995</v>
      </c>
      <c r="N3743">
        <v>-8.590182E-3</v>
      </c>
      <c r="O3743">
        <v>-0.30392829999999998</v>
      </c>
      <c r="P3743">
        <v>-0.99287409999999998</v>
      </c>
      <c r="Q3743">
        <v>-1.805957E-2</v>
      </c>
      <c r="R3743">
        <v>-0.11779340000000001</v>
      </c>
      <c r="S3743">
        <v>-3.0285340000000001</v>
      </c>
      <c r="T3743">
        <v>-0.1658809</v>
      </c>
      <c r="U3743">
        <v>6.2286380000000002E-2</v>
      </c>
      <c r="V3743">
        <v>0.18897800000000001</v>
      </c>
      <c r="W3743">
        <v>-1.7615769999999999E-2</v>
      </c>
      <c r="X3743">
        <v>0.98182329999999995</v>
      </c>
      <c r="Y3743">
        <v>0.32259310000000002</v>
      </c>
      <c r="Z3743">
        <v>2.4019639999999998E-2</v>
      </c>
      <c r="AA3743">
        <v>0.94623290000000004</v>
      </c>
      <c r="AB3743">
        <v>37</v>
      </c>
      <c r="AC3743">
        <v>-19.5491999999999</v>
      </c>
      <c r="AD3743">
        <v>-1.0904996981840001</v>
      </c>
      <c r="AE3743">
        <v>0.52080000000000803</v>
      </c>
      <c r="AF3743">
        <v>6.4179794327498501</v>
      </c>
      <c r="AG3743">
        <v>-1.0904996981840001</v>
      </c>
      <c r="AH3743">
        <v>18.408820209255701</v>
      </c>
      <c r="AI3743">
        <v>93.201556196566997</v>
      </c>
      <c r="AJ3743">
        <v>70.779600513041899</v>
      </c>
      <c r="AK3743">
        <v>19.5259906557297</v>
      </c>
      <c r="AL3743">
        <v>91.0093614857646</v>
      </c>
      <c r="AM3743">
        <v>79.105141274486002</v>
      </c>
      <c r="AN3743">
        <v>0.99999999612979096</v>
      </c>
    </row>
    <row r="3744" spans="1:40" x14ac:dyDescent="0.25">
      <c r="A3744" t="str">
        <f>"20190305135904670"</f>
        <v>20190305135904670</v>
      </c>
      <c r="B3744" t="str">
        <f>"1551765544662887"</f>
        <v>1551765544662887</v>
      </c>
      <c r="C3744" t="s">
        <v>40</v>
      </c>
      <c r="D3744">
        <v>3.9894349999999998</v>
      </c>
      <c r="E3744">
        <v>0.55125970000000002</v>
      </c>
      <c r="F3744" t="s">
        <v>42</v>
      </c>
      <c r="G3744">
        <v>-226.81630000000001</v>
      </c>
      <c r="H3744" s="1">
        <v>-1.7380759999999999E-6</v>
      </c>
      <c r="I3744">
        <v>141.08199999999999</v>
      </c>
      <c r="J3744">
        <v>-207.941</v>
      </c>
      <c r="K3744">
        <v>1.0906610000000001</v>
      </c>
      <c r="L3744">
        <v>140.42259999999999</v>
      </c>
      <c r="M3744">
        <v>-0.9601731</v>
      </c>
      <c r="N3744">
        <v>-9.5460279999999998E-3</v>
      </c>
      <c r="O3744">
        <v>-0.27924310000000002</v>
      </c>
      <c r="P3744">
        <v>-0.99461529999999998</v>
      </c>
      <c r="Q3744">
        <v>-1.6941669999999999E-2</v>
      </c>
      <c r="R3744">
        <v>-0.1022434</v>
      </c>
      <c r="S3744">
        <v>-3.0276640000000001</v>
      </c>
      <c r="T3744">
        <v>-0.169821</v>
      </c>
      <c r="U3744">
        <v>7.7560420000000005E-2</v>
      </c>
      <c r="V3744">
        <v>0.17909639999999999</v>
      </c>
      <c r="W3744">
        <v>-1.5139120000000001E-2</v>
      </c>
      <c r="X3744">
        <v>0.98371509999999995</v>
      </c>
      <c r="Y3744">
        <v>0.30290430000000002</v>
      </c>
      <c r="Z3744">
        <v>2.2748919999999999E-2</v>
      </c>
      <c r="AA3744">
        <v>0.95274939999999997</v>
      </c>
      <c r="AB3744">
        <v>37</v>
      </c>
      <c r="AC3744">
        <v>-18.875299999999999</v>
      </c>
      <c r="AD3744">
        <v>-1.0906627380759999</v>
      </c>
      <c r="AE3744">
        <v>0.65940000000000498</v>
      </c>
      <c r="AF3744">
        <v>5.8845801918351297</v>
      </c>
      <c r="AG3744">
        <v>-1.0906627380759999</v>
      </c>
      <c r="AH3744">
        <v>17.8806104990792</v>
      </c>
      <c r="AI3744">
        <v>93.316003468657101</v>
      </c>
      <c r="AJ3744">
        <v>71.783418550702095</v>
      </c>
      <c r="AK3744">
        <v>18.855610864200301</v>
      </c>
      <c r="AL3744">
        <v>90.867440770587905</v>
      </c>
      <c r="AM3744">
        <v>79.681673026493499</v>
      </c>
      <c r="AN3744">
        <v>1.00000005570767</v>
      </c>
    </row>
    <row r="3745" spans="1:40" x14ac:dyDescent="0.25">
      <c r="A3745" t="str">
        <f>"20190305135904692"</f>
        <v>20190305135904692</v>
      </c>
      <c r="B3745" t="str">
        <f>"1551765544682915"</f>
        <v>1551765544682915</v>
      </c>
      <c r="C3745" t="s">
        <v>40</v>
      </c>
      <c r="D3745">
        <v>4.072673</v>
      </c>
      <c r="E3745">
        <v>0.55044569999999904</v>
      </c>
      <c r="F3745" t="s">
        <v>42</v>
      </c>
      <c r="G3745">
        <v>-226.46100000000001</v>
      </c>
      <c r="H3745" s="1">
        <v>-1.8960280000000001E-6</v>
      </c>
      <c r="I3745">
        <v>141.1027</v>
      </c>
      <c r="J3745">
        <v>-208.3271</v>
      </c>
      <c r="K3745">
        <v>1.0908</v>
      </c>
      <c r="L3745">
        <v>140.32169999999999</v>
      </c>
      <c r="M3745">
        <v>-0.96491059999999995</v>
      </c>
      <c r="N3745">
        <v>-1.0304489999999999E-2</v>
      </c>
      <c r="O3745">
        <v>-0.26237630000000001</v>
      </c>
      <c r="P3745">
        <v>-0.99565579999999998</v>
      </c>
      <c r="Q3745">
        <v>-1.4981339999999999E-2</v>
      </c>
      <c r="R3745">
        <v>-9.189696E-2</v>
      </c>
      <c r="S3745">
        <v>-3.0246430000000002</v>
      </c>
      <c r="T3745">
        <v>-0.17812510000000001</v>
      </c>
      <c r="U3745">
        <v>0.111084</v>
      </c>
      <c r="V3745">
        <v>0.17221439999999999</v>
      </c>
      <c r="W3745">
        <v>-1.2125449999999999E-2</v>
      </c>
      <c r="X3745">
        <v>0.98498490000000005</v>
      </c>
      <c r="Y3745">
        <v>0.29672409999999999</v>
      </c>
      <c r="Z3745">
        <v>2.2849919999999999E-2</v>
      </c>
      <c r="AA3745">
        <v>0.95468989999999998</v>
      </c>
      <c r="AB3745">
        <v>37</v>
      </c>
      <c r="AC3745">
        <v>-18.133899999999901</v>
      </c>
      <c r="AD3745">
        <v>-1.0908018960279999</v>
      </c>
      <c r="AE3745">
        <v>0.78100000000000502</v>
      </c>
      <c r="AF3745">
        <v>5.49195850050081</v>
      </c>
      <c r="AG3745">
        <v>-1.0908018960279999</v>
      </c>
      <c r="AH3745">
        <v>17.231361368207299</v>
      </c>
      <c r="AI3745">
        <v>93.451554885778407</v>
      </c>
      <c r="AJ3745">
        <v>72.321942748469695</v>
      </c>
      <c r="AK3745">
        <v>18.118257961221001</v>
      </c>
      <c r="AL3745">
        <v>90.694754107395397</v>
      </c>
      <c r="AM3745">
        <v>80.082669967818205</v>
      </c>
      <c r="AN3745">
        <v>1.0000000396665301</v>
      </c>
    </row>
    <row r="3746" spans="1:40" x14ac:dyDescent="0.25">
      <c r="A3746" t="str">
        <f>"20190305135904714"</f>
        <v>20190305135904714</v>
      </c>
      <c r="B3746" t="str">
        <f>"1551765544702434"</f>
        <v>1551765544702434</v>
      </c>
      <c r="C3746" t="s">
        <v>40</v>
      </c>
      <c r="D3746">
        <v>4.0417489999999896</v>
      </c>
      <c r="E3746">
        <v>0.54967699999999997</v>
      </c>
      <c r="F3746" t="s">
        <v>42</v>
      </c>
      <c r="G3746">
        <v>-226.8955</v>
      </c>
      <c r="H3746" s="1">
        <v>-1.7240389999999999E-6</v>
      </c>
      <c r="I3746">
        <v>141.15690000000001</v>
      </c>
      <c r="J3746">
        <v>-208.6721</v>
      </c>
      <c r="K3746">
        <v>1.0909169999999999</v>
      </c>
      <c r="L3746">
        <v>140.23779999999999</v>
      </c>
      <c r="M3746">
        <v>-0.96890670000000001</v>
      </c>
      <c r="N3746">
        <v>-1.099143E-2</v>
      </c>
      <c r="O3746">
        <v>-0.2471825</v>
      </c>
      <c r="P3746">
        <v>-0.99641570000000002</v>
      </c>
      <c r="Q3746">
        <v>-1.534378E-2</v>
      </c>
      <c r="R3746">
        <v>-8.3190819999999999E-2</v>
      </c>
      <c r="S3746">
        <v>-3.022964</v>
      </c>
      <c r="T3746">
        <v>-0.17758479999999999</v>
      </c>
      <c r="U3746">
        <v>0.13598629999999901</v>
      </c>
      <c r="V3746">
        <v>0.16536400000000001</v>
      </c>
      <c r="W3746">
        <v>-1.1502979999999999E-2</v>
      </c>
      <c r="X3746">
        <v>0.98616550000000003</v>
      </c>
      <c r="Y3746">
        <v>0.28962480000000002</v>
      </c>
      <c r="Z3746">
        <v>2.1765039999999999E-2</v>
      </c>
      <c r="AA3746">
        <v>0.95689279999999999</v>
      </c>
      <c r="AB3746">
        <v>37</v>
      </c>
      <c r="AC3746">
        <v>-18.223400000000002</v>
      </c>
      <c r="AD3746">
        <v>-1.0909187240389999</v>
      </c>
      <c r="AE3746">
        <v>0.91910000000001402</v>
      </c>
      <c r="AF3746">
        <v>5.3761357946077597</v>
      </c>
      <c r="AG3746">
        <v>-1.0909187240389999</v>
      </c>
      <c r="AH3746">
        <v>17.368555227779598</v>
      </c>
      <c r="AI3746">
        <v>93.433707061795104</v>
      </c>
      <c r="AJ3746">
        <v>72.800993929884996</v>
      </c>
      <c r="AK3746">
        <v>18.214270516409702</v>
      </c>
      <c r="AL3746">
        <v>90.659086752989197</v>
      </c>
      <c r="AM3746">
        <v>80.480983563658597</v>
      </c>
      <c r="AN3746">
        <v>0.99999998221756503</v>
      </c>
    </row>
    <row r="3747" spans="1:40" x14ac:dyDescent="0.25">
      <c r="A3747" t="str">
        <f>"20190305135904735"</f>
        <v>20190305135904735</v>
      </c>
      <c r="B3747" t="str">
        <f>"1551765544722934"</f>
        <v>1551765544722934</v>
      </c>
      <c r="C3747" t="s">
        <v>40</v>
      </c>
      <c r="D3747">
        <v>4.0657449999999997</v>
      </c>
      <c r="E3747">
        <v>0.54894940000000003</v>
      </c>
      <c r="F3747" t="s">
        <v>42</v>
      </c>
      <c r="G3747">
        <v>-226.59389999999999</v>
      </c>
      <c r="H3747" s="1">
        <v>-1.8555329999999999E-6</v>
      </c>
      <c r="I3747">
        <v>141.16480000000001</v>
      </c>
      <c r="J3747">
        <v>-209.0247</v>
      </c>
      <c r="K3747">
        <v>1.0910260000000001</v>
      </c>
      <c r="L3747">
        <v>140.15809999999999</v>
      </c>
      <c r="M3747">
        <v>-0.97275979999999995</v>
      </c>
      <c r="N3747">
        <v>-1.1665689999999999E-2</v>
      </c>
      <c r="O3747">
        <v>-0.23152149999999999</v>
      </c>
      <c r="P3747">
        <v>-0.99696030000000002</v>
      </c>
      <c r="Q3747">
        <v>-1.7444600000000001E-2</v>
      </c>
      <c r="R3747">
        <v>-7.5933059999999997E-2</v>
      </c>
      <c r="S3747">
        <v>-3.0210110000000001</v>
      </c>
      <c r="T3747">
        <v>-0.183892</v>
      </c>
      <c r="U3747">
        <v>0.156265299999999</v>
      </c>
      <c r="V3747">
        <v>0.15657399999999999</v>
      </c>
      <c r="W3747">
        <v>-1.2542289999999999E-2</v>
      </c>
      <c r="X3747">
        <v>0.98758659999999998</v>
      </c>
      <c r="Y3747">
        <v>0.28058919999999998</v>
      </c>
      <c r="Z3747">
        <v>2.144882E-2</v>
      </c>
      <c r="AA3747">
        <v>0.95958829999999995</v>
      </c>
      <c r="AB3747">
        <v>37</v>
      </c>
      <c r="AC3747">
        <v>-17.569199999999899</v>
      </c>
      <c r="AD3747">
        <v>-1.091027855533</v>
      </c>
      <c r="AE3747">
        <v>1.0067000000000199</v>
      </c>
      <c r="AF3747">
        <v>5.0279428074708497</v>
      </c>
      <c r="AG3747">
        <v>-1.091027855533</v>
      </c>
      <c r="AH3747">
        <v>16.794135788047601</v>
      </c>
      <c r="AI3747">
        <v>93.561238185151396</v>
      </c>
      <c r="AJ3747">
        <v>73.332993285652705</v>
      </c>
      <c r="AK3747">
        <v>17.564553724024101</v>
      </c>
      <c r="AL3747">
        <v>90.718639117841406</v>
      </c>
      <c r="AM3747">
        <v>80.991191067208803</v>
      </c>
      <c r="AN3747">
        <v>1.0000000095070001</v>
      </c>
    </row>
    <row r="3748" spans="1:40" x14ac:dyDescent="0.25">
      <c r="A3748" t="str">
        <f>"20190305135904758"</f>
        <v>20190305135904758</v>
      </c>
      <c r="B3748" t="str">
        <f>"1551765544752843"</f>
        <v>1551765544752843</v>
      </c>
      <c r="C3748" t="s">
        <v>40</v>
      </c>
      <c r="D3748">
        <v>4.100193</v>
      </c>
      <c r="E3748">
        <v>0.54785430000000002</v>
      </c>
      <c r="F3748" t="s">
        <v>42</v>
      </c>
      <c r="G3748">
        <v>-226.9597</v>
      </c>
      <c r="H3748" s="1">
        <v>-1.7021449999999999E-6</v>
      </c>
      <c r="I3748">
        <v>141.178</v>
      </c>
      <c r="J3748">
        <v>-209.40440000000001</v>
      </c>
      <c r="K3748">
        <v>1.0911360000000001</v>
      </c>
      <c r="L3748">
        <v>140.0788</v>
      </c>
      <c r="M3748">
        <v>-0.97663489999999997</v>
      </c>
      <c r="N3748">
        <v>-1.23345E-2</v>
      </c>
      <c r="O3748">
        <v>-0.2145514</v>
      </c>
      <c r="P3748">
        <v>-0.9974054</v>
      </c>
      <c r="Q3748">
        <v>-1.9461260000000001E-2</v>
      </c>
      <c r="R3748">
        <v>-6.9313650000000004E-2</v>
      </c>
      <c r="S3748">
        <v>-3.019012</v>
      </c>
      <c r="T3748">
        <v>-0.1836545</v>
      </c>
      <c r="U3748">
        <v>0.17169189999999901</v>
      </c>
      <c r="V3748">
        <v>0.1458766</v>
      </c>
      <c r="W3748">
        <v>-1.341155E-2</v>
      </c>
      <c r="X3748">
        <v>0.98921190000000003</v>
      </c>
      <c r="Y3748">
        <v>0.2688333</v>
      </c>
      <c r="Z3748">
        <v>2.0142279999999999E-2</v>
      </c>
      <c r="AA3748">
        <v>0.9629761</v>
      </c>
      <c r="AB3748">
        <v>37</v>
      </c>
      <c r="AC3748">
        <v>-17.5552999999999</v>
      </c>
      <c r="AD3748">
        <v>-1.0911377021449999</v>
      </c>
      <c r="AE3748">
        <v>1.09919999999999</v>
      </c>
      <c r="AF3748">
        <v>4.8218442744035501</v>
      </c>
      <c r="AG3748">
        <v>-1.0911377021449999</v>
      </c>
      <c r="AH3748">
        <v>16.845745092029301</v>
      </c>
      <c r="AI3748">
        <v>93.563295638944993</v>
      </c>
      <c r="AJ3748">
        <v>74.027017208836995</v>
      </c>
      <c r="AK3748">
        <v>17.556192394630099</v>
      </c>
      <c r="AL3748">
        <v>90.768448236132201</v>
      </c>
      <c r="AM3748">
        <v>81.611195790548507</v>
      </c>
      <c r="AN3748">
        <v>1.00000001760128</v>
      </c>
    </row>
    <row r="3749" spans="1:40" x14ac:dyDescent="0.25">
      <c r="A3749" t="str">
        <f>"20190305135904781"</f>
        <v>20190305135904781</v>
      </c>
      <c r="B3749" t="str">
        <f>"1551765544772363"</f>
        <v>1551765544772363</v>
      </c>
      <c r="C3749" t="s">
        <v>40</v>
      </c>
      <c r="D3749">
        <v>4.0775779999999999</v>
      </c>
      <c r="E3749">
        <v>0.54742669999999904</v>
      </c>
      <c r="F3749" t="s">
        <v>42</v>
      </c>
      <c r="G3749">
        <v>-227.58750000000001</v>
      </c>
      <c r="H3749" s="1">
        <v>-1.4329859999999999E-6</v>
      </c>
      <c r="I3749">
        <v>141.17869999999999</v>
      </c>
      <c r="J3749">
        <v>-209.78210000000001</v>
      </c>
      <c r="K3749">
        <v>1.091267</v>
      </c>
      <c r="L3749">
        <v>140.00739999999999</v>
      </c>
      <c r="M3749">
        <v>-0.98018970000000005</v>
      </c>
      <c r="N3749">
        <v>-1.291403E-2</v>
      </c>
      <c r="O3749">
        <v>-0.19764000000000001</v>
      </c>
      <c r="P3749">
        <v>-0.99781330000000001</v>
      </c>
      <c r="Q3749">
        <v>-1.8904669999999998E-2</v>
      </c>
      <c r="R3749">
        <v>-6.3335859999999994E-2</v>
      </c>
      <c r="S3749">
        <v>-3.016953</v>
      </c>
      <c r="T3749">
        <v>-0.18104290000000001</v>
      </c>
      <c r="U3749">
        <v>0.18251039999999999</v>
      </c>
      <c r="V3749">
        <v>0.13476340000000001</v>
      </c>
      <c r="W3749">
        <v>-1.1765619999999999E-2</v>
      </c>
      <c r="X3749">
        <v>0.99080800000000002</v>
      </c>
      <c r="Y3749">
        <v>0.25571569999999999</v>
      </c>
      <c r="Z3749">
        <v>1.8553340000000001E-2</v>
      </c>
      <c r="AA3749">
        <v>0.96657400000000004</v>
      </c>
      <c r="AB3749">
        <v>37</v>
      </c>
      <c r="AC3749">
        <v>-17.805399999999899</v>
      </c>
      <c r="AD3749">
        <v>-1.0912684329860001</v>
      </c>
      <c r="AE3749">
        <v>1.1713</v>
      </c>
      <c r="AF3749">
        <v>4.6501521524477498</v>
      </c>
      <c r="AG3749">
        <v>-1.0912684329860001</v>
      </c>
      <c r="AH3749">
        <v>17.158434072452302</v>
      </c>
      <c r="AI3749">
        <v>93.512703521825202</v>
      </c>
      <c r="AJ3749">
        <v>74.836362071240202</v>
      </c>
      <c r="AK3749">
        <v>17.810857409244498</v>
      </c>
      <c r="AL3749">
        <v>90.674135890801494</v>
      </c>
      <c r="AM3749">
        <v>82.2545222817499</v>
      </c>
      <c r="AN3749">
        <v>1.0000000483287701</v>
      </c>
    </row>
    <row r="3750" spans="1:40" x14ac:dyDescent="0.25">
      <c r="A3750" t="str">
        <f>"20190305135904802"</f>
        <v>20190305135904802</v>
      </c>
      <c r="B3750" t="str">
        <f>"1551765544792862"</f>
        <v>1551765544792862</v>
      </c>
      <c r="C3750" t="s">
        <v>40</v>
      </c>
      <c r="D3750">
        <v>4.1175079999999999</v>
      </c>
      <c r="E3750">
        <v>0.54694290000000001</v>
      </c>
      <c r="F3750" t="s">
        <v>42</v>
      </c>
      <c r="G3750">
        <v>-228.7645</v>
      </c>
      <c r="H3750" s="1">
        <v>-9.4620350000000003E-7</v>
      </c>
      <c r="I3750">
        <v>141.24680000000001</v>
      </c>
      <c r="J3750">
        <v>-210.1464</v>
      </c>
      <c r="K3750">
        <v>1.091442</v>
      </c>
      <c r="L3750">
        <v>139.94470000000001</v>
      </c>
      <c r="M3750">
        <v>-0.98332240000000004</v>
      </c>
      <c r="N3750">
        <v>-1.339417E-2</v>
      </c>
      <c r="O3750">
        <v>-0.18137739999999999</v>
      </c>
      <c r="P3750">
        <v>-0.99828459999999997</v>
      </c>
      <c r="Q3750">
        <v>-1.508906E-2</v>
      </c>
      <c r="R3750">
        <v>-5.6570250000000002E-2</v>
      </c>
      <c r="S3750">
        <v>-3.0157929999999999</v>
      </c>
      <c r="T3750">
        <v>-0.17337359999999999</v>
      </c>
      <c r="U3750">
        <v>0.1969147</v>
      </c>
      <c r="V3750">
        <v>0.1252672</v>
      </c>
      <c r="W3750">
        <v>-7.0189579999999996E-3</v>
      </c>
      <c r="X3750">
        <v>0.99209820000000004</v>
      </c>
      <c r="Y3750">
        <v>0.24441299999999999</v>
      </c>
      <c r="Z3750">
        <v>1.6599929999999999E-2</v>
      </c>
      <c r="AA3750">
        <v>0.96952910000000003</v>
      </c>
      <c r="AB3750">
        <v>37</v>
      </c>
      <c r="AC3750">
        <v>-18.618099999999998</v>
      </c>
      <c r="AD3750">
        <v>-1.0914429462035</v>
      </c>
      <c r="AE3750">
        <v>1.30209999999999</v>
      </c>
      <c r="AF3750">
        <v>4.6418296885279604</v>
      </c>
      <c r="AG3750">
        <v>-1.0914429462035</v>
      </c>
      <c r="AH3750">
        <v>18.011446362623602</v>
      </c>
      <c r="AI3750">
        <v>93.358255701527696</v>
      </c>
      <c r="AJ3750">
        <v>75.548453694152499</v>
      </c>
      <c r="AK3750">
        <v>18.631962608264999</v>
      </c>
      <c r="AL3750">
        <v>90.402159977050204</v>
      </c>
      <c r="AM3750">
        <v>82.803635203526895</v>
      </c>
      <c r="AN3750">
        <v>0.99999998780524202</v>
      </c>
    </row>
    <row r="3751" spans="1:40" x14ac:dyDescent="0.25">
      <c r="A3751" t="str">
        <f>"20190305135904825"</f>
        <v>20190305135904825</v>
      </c>
      <c r="B3751" t="str">
        <f>"1551765544812379"</f>
        <v>1551765544812379</v>
      </c>
      <c r="C3751" t="s">
        <v>40</v>
      </c>
      <c r="D3751">
        <v>4.1304589999999903</v>
      </c>
      <c r="E3751">
        <v>0.546656699999999</v>
      </c>
      <c r="F3751" t="s">
        <v>42</v>
      </c>
      <c r="G3751">
        <v>-231.04570000000001</v>
      </c>
      <c r="H3751" s="1">
        <v>-4.2404540000000003E-6</v>
      </c>
      <c r="I3751">
        <v>141.42179999999999</v>
      </c>
      <c r="J3751">
        <v>-210.51050000000001</v>
      </c>
      <c r="K3751">
        <v>1.0916189999999999</v>
      </c>
      <c r="L3751">
        <v>139.88810000000001</v>
      </c>
      <c r="M3751">
        <v>-0.98615870000000005</v>
      </c>
      <c r="N3751">
        <v>-1.3796020000000001E-2</v>
      </c>
      <c r="O3751">
        <v>-0.1652295</v>
      </c>
      <c r="P3751">
        <v>-0.99885210000000002</v>
      </c>
      <c r="Q3751">
        <v>-1.046271E-2</v>
      </c>
      <c r="R3751">
        <v>-4.6746500000000003E-2</v>
      </c>
      <c r="S3751">
        <v>-3.0148470000000001</v>
      </c>
      <c r="T3751">
        <v>-0.157447799999999</v>
      </c>
      <c r="U3751">
        <v>0.213089</v>
      </c>
      <c r="V3751">
        <v>0.1189839</v>
      </c>
      <c r="W3751">
        <v>-1.6724470000000001E-3</v>
      </c>
      <c r="X3751">
        <v>0.99289479999999997</v>
      </c>
      <c r="Y3751">
        <v>0.2338469</v>
      </c>
      <c r="Z3751">
        <v>1.4025960000000001E-2</v>
      </c>
      <c r="AA3751">
        <v>0.97217229999999999</v>
      </c>
      <c r="AB3751">
        <v>37</v>
      </c>
      <c r="AC3751">
        <v>-20.5352</v>
      </c>
      <c r="AD3751">
        <v>-1.0916232404539901</v>
      </c>
      <c r="AE3751">
        <v>1.5336999999999801</v>
      </c>
      <c r="AF3751">
        <v>4.8922111583138097</v>
      </c>
      <c r="AG3751">
        <v>-1.0916232404539901</v>
      </c>
      <c r="AH3751">
        <v>19.943411712438699</v>
      </c>
      <c r="AI3751">
        <v>93.042977209328399</v>
      </c>
      <c r="AJ3751">
        <v>76.217235009391601</v>
      </c>
      <c r="AK3751">
        <v>20.563682599390201</v>
      </c>
      <c r="AL3751">
        <v>90.095824196863504</v>
      </c>
      <c r="AM3751">
        <v>83.166526366053503</v>
      </c>
      <c r="AN3751">
        <v>1.0000000247026</v>
      </c>
    </row>
    <row r="3752" spans="1:40" x14ac:dyDescent="0.25">
      <c r="A3752" t="str">
        <f>"20190305135904845"</f>
        <v>20190305135904845</v>
      </c>
      <c r="B3752" t="str">
        <f>"1551765544842635"</f>
        <v>1551765544842635</v>
      </c>
      <c r="C3752" t="s">
        <v>40</v>
      </c>
      <c r="D3752">
        <v>4.0919230000000004</v>
      </c>
      <c r="E3752">
        <v>0.53794019999999898</v>
      </c>
      <c r="F3752" t="s">
        <v>42</v>
      </c>
      <c r="G3752">
        <v>-233.5214</v>
      </c>
      <c r="H3752" s="1">
        <v>-3.3218909999999999E-6</v>
      </c>
      <c r="I3752">
        <v>141.72190000000001</v>
      </c>
      <c r="J3752">
        <v>-210.85849999999999</v>
      </c>
      <c r="K3752">
        <v>1.0918110000000001</v>
      </c>
      <c r="L3752">
        <v>139.83940000000001</v>
      </c>
      <c r="M3752">
        <v>-0.98858570000000001</v>
      </c>
      <c r="N3752">
        <v>-1.4114069999999999E-2</v>
      </c>
      <c r="O3752">
        <v>-0.14999749999999901</v>
      </c>
      <c r="P3752">
        <v>-0.99934480000000003</v>
      </c>
      <c r="Q3752">
        <v>-8.7009180000000002E-3</v>
      </c>
      <c r="R3752">
        <v>-3.5135420000000001E-2</v>
      </c>
      <c r="S3752">
        <v>-3.0131990000000002</v>
      </c>
      <c r="T3752">
        <v>-0.1429446</v>
      </c>
      <c r="U3752">
        <v>0.24014279999999999</v>
      </c>
      <c r="V3752">
        <v>0.1152976</v>
      </c>
      <c r="W3752">
        <v>6.1971360000000002E-4</v>
      </c>
      <c r="X3752">
        <v>0.99333079999999996</v>
      </c>
      <c r="Y3752">
        <v>0.22767129999999999</v>
      </c>
      <c r="Z3752">
        <v>1.197433E-2</v>
      </c>
      <c r="AA3752">
        <v>0.97366439999999999</v>
      </c>
      <c r="AB3752">
        <v>37</v>
      </c>
      <c r="AC3752">
        <v>-22.6629</v>
      </c>
      <c r="AD3752">
        <v>-1.0918143218909999</v>
      </c>
      <c r="AE3752">
        <v>1.8824999999999901</v>
      </c>
      <c r="AF3752">
        <v>5.24881579527207</v>
      </c>
      <c r="AG3752">
        <v>-1.0918143218909999</v>
      </c>
      <c r="AH3752">
        <v>22.073170963444699</v>
      </c>
      <c r="AI3752">
        <v>92.755039469508802</v>
      </c>
      <c r="AJ3752">
        <v>76.623964391329295</v>
      </c>
      <c r="AK3752">
        <v>22.714907046863299</v>
      </c>
      <c r="AL3752">
        <v>89.9644930239198</v>
      </c>
      <c r="AM3752">
        <v>83.379208266421301</v>
      </c>
      <c r="AN3752">
        <v>0.99999999941967299</v>
      </c>
    </row>
    <row r="3753" spans="1:40" x14ac:dyDescent="0.25">
      <c r="A3753" t="str">
        <f>"20190305135904868"</f>
        <v>20190305135904868</v>
      </c>
      <c r="B3753" t="str">
        <f>"1551765544863131"</f>
        <v>1551765544863131</v>
      </c>
      <c r="C3753" t="s">
        <v>40</v>
      </c>
      <c r="D3753">
        <v>4.0900559999999997</v>
      </c>
      <c r="E3753">
        <v>0.5369661</v>
      </c>
      <c r="F3753" t="s">
        <v>42</v>
      </c>
      <c r="G3753">
        <v>-226.17019999999999</v>
      </c>
      <c r="H3753" s="1">
        <v>-1.9697270000000001E-6</v>
      </c>
      <c r="I3753">
        <v>140.91069999999999</v>
      </c>
      <c r="J3753">
        <v>-211.239</v>
      </c>
      <c r="K3753">
        <v>1.09209</v>
      </c>
      <c r="L3753">
        <v>139.79220000000001</v>
      </c>
      <c r="M3753">
        <v>-0.99091620000000002</v>
      </c>
      <c r="N3753">
        <v>-1.4389880000000001E-2</v>
      </c>
      <c r="O3753">
        <v>-0.13370989999999999</v>
      </c>
      <c r="P3753">
        <v>-0.99967629999999996</v>
      </c>
      <c r="Q3753">
        <v>-1.100361E-2</v>
      </c>
      <c r="R3753">
        <v>-2.2937840000000001E-2</v>
      </c>
      <c r="S3753">
        <v>-3.0075069999999999</v>
      </c>
      <c r="T3753">
        <v>-0.21445349999999999</v>
      </c>
      <c r="U3753">
        <v>0.21043400000000001</v>
      </c>
      <c r="V3753">
        <v>0.11099150000000001</v>
      </c>
      <c r="W3753">
        <v>-1.1507760000000001E-3</v>
      </c>
      <c r="X3753">
        <v>0.9938207</v>
      </c>
      <c r="Y3753">
        <v>0.20174120000000001</v>
      </c>
      <c r="Z3753">
        <v>1.6208719999999999E-2</v>
      </c>
      <c r="AA3753">
        <v>0.97930470000000003</v>
      </c>
      <c r="AB3753">
        <v>37</v>
      </c>
      <c r="AC3753">
        <v>-14.931199999999899</v>
      </c>
      <c r="AD3753">
        <v>-1.092091969727</v>
      </c>
      <c r="AE3753">
        <v>1.1184999999999801</v>
      </c>
      <c r="AF3753">
        <v>3.0886787480434701</v>
      </c>
      <c r="AG3753">
        <v>-1.092091969727</v>
      </c>
      <c r="AH3753">
        <v>14.570017494377</v>
      </c>
      <c r="AI3753">
        <v>94.193722868777499</v>
      </c>
      <c r="AJ3753">
        <v>78.031134426206194</v>
      </c>
      <c r="AK3753">
        <v>14.933787565966201</v>
      </c>
      <c r="AL3753">
        <v>90.065934621821796</v>
      </c>
      <c r="AM3753">
        <v>83.627521487131204</v>
      </c>
      <c r="AN3753">
        <v>1.00000001055307</v>
      </c>
    </row>
    <row r="3754" spans="1:40" x14ac:dyDescent="0.25">
      <c r="A3754" t="str">
        <f>"20190305135904893"</f>
        <v>20190305135904893</v>
      </c>
      <c r="B3754" t="str">
        <f>"1551765544882650"</f>
        <v>1551765544882650</v>
      </c>
      <c r="C3754" t="s">
        <v>40</v>
      </c>
      <c r="D3754">
        <v>4.1283690000000002</v>
      </c>
      <c r="E3754">
        <v>0.53567209999999998</v>
      </c>
      <c r="F3754" t="s">
        <v>42</v>
      </c>
      <c r="G3754">
        <v>-225.86510000000001</v>
      </c>
      <c r="H3754" s="1">
        <v>-2.1132029999999998E-6</v>
      </c>
      <c r="I3754">
        <v>140.95820000000001</v>
      </c>
      <c r="J3754">
        <v>-211.6472</v>
      </c>
      <c r="K3754">
        <v>1.0924959999999999</v>
      </c>
      <c r="L3754">
        <v>139.74799999999999</v>
      </c>
      <c r="M3754">
        <v>-0.99304269999999994</v>
      </c>
      <c r="N3754">
        <v>-1.4604249999999999E-2</v>
      </c>
      <c r="O3754">
        <v>-0.11684650000000001</v>
      </c>
      <c r="P3754">
        <v>-0.99982950000000004</v>
      </c>
      <c r="Q3754">
        <v>-1.5022219999999999E-2</v>
      </c>
      <c r="R3754">
        <v>-1.073876E-2</v>
      </c>
      <c r="S3754">
        <v>-3.004013</v>
      </c>
      <c r="T3754">
        <v>-0.2243019</v>
      </c>
      <c r="U3754">
        <v>0.2394867</v>
      </c>
      <c r="V3754">
        <v>0.1060733</v>
      </c>
      <c r="W3754">
        <v>-4.6447249999999997E-3</v>
      </c>
      <c r="X3754">
        <v>0.99434750000000005</v>
      </c>
      <c r="Y3754">
        <v>0.19456109999999999</v>
      </c>
      <c r="Z3754">
        <v>1.565855E-2</v>
      </c>
      <c r="AA3754">
        <v>0.98076540000000001</v>
      </c>
      <c r="AB3754">
        <v>37</v>
      </c>
      <c r="AC3754">
        <v>-14.2179</v>
      </c>
      <c r="AD3754">
        <v>-1.0924981132029901</v>
      </c>
      <c r="AE3754">
        <v>1.2102000000000099</v>
      </c>
      <c r="AF3754">
        <v>2.8467102146042098</v>
      </c>
      <c r="AG3754">
        <v>-1.0924981132029901</v>
      </c>
      <c r="AH3754">
        <v>13.8975979073841</v>
      </c>
      <c r="AI3754">
        <v>94.403746030500798</v>
      </c>
      <c r="AJ3754">
        <v>78.4239634269737</v>
      </c>
      <c r="AK3754">
        <v>14.228160062657899</v>
      </c>
      <c r="AL3754">
        <v>90.266124087166901</v>
      </c>
      <c r="AM3754">
        <v>83.910926802209602</v>
      </c>
      <c r="AN3754">
        <v>1.00000003459973</v>
      </c>
    </row>
    <row r="3755" spans="1:40" x14ac:dyDescent="0.25">
      <c r="A3755" t="str">
        <f>"20190305135904916"</f>
        <v>20190305135904916</v>
      </c>
      <c r="B3755" t="str">
        <f>"1551765544912908"</f>
        <v>1551765544912908</v>
      </c>
      <c r="C3755" t="s">
        <v>40</v>
      </c>
      <c r="D3755">
        <v>4.1238799999999998</v>
      </c>
      <c r="E3755">
        <v>0.53430500000000003</v>
      </c>
      <c r="F3755" t="s">
        <v>42</v>
      </c>
      <c r="G3755">
        <v>-225.25360000000001</v>
      </c>
      <c r="H3755" s="1">
        <v>-2.3754350000000001E-6</v>
      </c>
      <c r="I3755">
        <v>140.95779999999999</v>
      </c>
      <c r="J3755">
        <v>-212.0231</v>
      </c>
      <c r="K3755">
        <v>1.092997</v>
      </c>
      <c r="L3755">
        <v>139.71289999999999</v>
      </c>
      <c r="M3755">
        <v>-0.99466750000000004</v>
      </c>
      <c r="N3755">
        <v>-1.4730679999999999E-2</v>
      </c>
      <c r="O3755">
        <v>-0.1020754</v>
      </c>
      <c r="P3755">
        <v>-0.99986059999999999</v>
      </c>
      <c r="Q3755">
        <v>-1.6561559999999999E-2</v>
      </c>
      <c r="R3755">
        <v>-2.1229270000000001E-3</v>
      </c>
      <c r="S3755">
        <v>-2.999771</v>
      </c>
      <c r="T3755">
        <v>-0.24086070000000001</v>
      </c>
      <c r="U3755">
        <v>0.2667389</v>
      </c>
      <c r="V3755">
        <v>9.9817299999999998E-2</v>
      </c>
      <c r="W3755">
        <v>-5.6795190000000001E-3</v>
      </c>
      <c r="X3755">
        <v>0.99498960000000003</v>
      </c>
      <c r="Y3755">
        <v>0.1888599</v>
      </c>
      <c r="Z3755">
        <v>1.561773E-2</v>
      </c>
      <c r="AA3755">
        <v>0.98187979999999997</v>
      </c>
      <c r="AB3755">
        <v>37</v>
      </c>
      <c r="AC3755">
        <v>-13.230499999999999</v>
      </c>
      <c r="AD3755">
        <v>-1.092999375435</v>
      </c>
      <c r="AE3755">
        <v>1.2448999999999999</v>
      </c>
      <c r="AF3755">
        <v>2.5716544097452001</v>
      </c>
      <c r="AG3755">
        <v>-1.092999375435</v>
      </c>
      <c r="AH3755">
        <v>12.946707404993001</v>
      </c>
      <c r="AI3755">
        <v>94.733589675767007</v>
      </c>
      <c r="AJ3755">
        <v>78.765351016745697</v>
      </c>
      <c r="AK3755">
        <v>13.2448211263257</v>
      </c>
      <c r="AL3755">
        <v>90.325414209002702</v>
      </c>
      <c r="AM3755">
        <v>84.271257550877493</v>
      </c>
      <c r="AN3755">
        <v>1.00000002721176</v>
      </c>
    </row>
    <row r="3756" spans="1:40" x14ac:dyDescent="0.25">
      <c r="A3756" t="str">
        <f>"20190305135904937"</f>
        <v>20190305135904937</v>
      </c>
      <c r="B3756" t="str">
        <f>"1551765544932428"</f>
        <v>1551765544932428</v>
      </c>
      <c r="C3756" t="s">
        <v>40</v>
      </c>
      <c r="D3756">
        <v>4.1232470000000001</v>
      </c>
      <c r="E3756">
        <v>0.53370859999999998</v>
      </c>
      <c r="F3756" t="s">
        <v>42</v>
      </c>
      <c r="G3756">
        <v>-224.97460000000001</v>
      </c>
      <c r="H3756" s="1">
        <v>-2.488518E-6</v>
      </c>
      <c r="I3756">
        <v>140.93289999999999</v>
      </c>
      <c r="J3756">
        <v>-212.3672</v>
      </c>
      <c r="K3756">
        <v>1.0935779999999999</v>
      </c>
      <c r="L3756">
        <v>139.68520000000001</v>
      </c>
      <c r="M3756">
        <v>-0.99588929999999998</v>
      </c>
      <c r="N3756">
        <v>-1.4794949999999999E-2</v>
      </c>
      <c r="O3756">
        <v>-8.9362360000000002E-2</v>
      </c>
      <c r="P3756">
        <v>-0.99981889999999995</v>
      </c>
      <c r="Q3756">
        <v>-1.8663320000000001E-2</v>
      </c>
      <c r="R3756">
        <v>3.740658E-3</v>
      </c>
      <c r="S3756">
        <v>-2.996826</v>
      </c>
      <c r="T3756">
        <v>-0.25290699999999999</v>
      </c>
      <c r="U3756">
        <v>0.28231810000000002</v>
      </c>
      <c r="V3756">
        <v>9.2877360000000006E-2</v>
      </c>
      <c r="W3756">
        <v>-7.3132509999999998E-3</v>
      </c>
      <c r="X3756">
        <v>0.9956507</v>
      </c>
      <c r="Y3756">
        <v>0.18142559999999999</v>
      </c>
      <c r="Z3756">
        <v>1.516752E-2</v>
      </c>
      <c r="AA3756">
        <v>0.98328769999999999</v>
      </c>
      <c r="AB3756">
        <v>37</v>
      </c>
      <c r="AC3756">
        <v>-12.6074</v>
      </c>
      <c r="AD3756">
        <v>-1.093580488518</v>
      </c>
      <c r="AE3756">
        <v>1.24769999999998</v>
      </c>
      <c r="AF3756">
        <v>2.35193303946558</v>
      </c>
      <c r="AG3756">
        <v>-1.093580488518</v>
      </c>
      <c r="AH3756">
        <v>12.3533936177596</v>
      </c>
      <c r="AI3756">
        <v>94.970088902894204</v>
      </c>
      <c r="AJ3756">
        <v>79.220600018521196</v>
      </c>
      <c r="AK3756">
        <v>12.6227509356043</v>
      </c>
      <c r="AL3756">
        <v>90.419022151165905</v>
      </c>
      <c r="AM3756">
        <v>84.670695792687994</v>
      </c>
      <c r="AN3756">
        <v>1.0000000020256199</v>
      </c>
    </row>
    <row r="3757" spans="1:40" x14ac:dyDescent="0.25">
      <c r="A3757" t="str">
        <f>"20190305135904959"</f>
        <v>20190305135904959</v>
      </c>
      <c r="B3757" t="str">
        <f>"1551765544952923"</f>
        <v>1551765544952923</v>
      </c>
      <c r="C3757" t="s">
        <v>40</v>
      </c>
      <c r="D3757">
        <v>4.1648370000000003</v>
      </c>
      <c r="E3757">
        <v>0.53327309999999895</v>
      </c>
      <c r="F3757" t="s">
        <v>41</v>
      </c>
      <c r="G3757">
        <v>-213.1343</v>
      </c>
      <c r="H3757">
        <v>1.027053</v>
      </c>
      <c r="I3757">
        <v>139.7612</v>
      </c>
      <c r="J3757">
        <v>-212.744</v>
      </c>
      <c r="K3757">
        <v>1.0943339999999999</v>
      </c>
      <c r="L3757">
        <v>139.65940000000001</v>
      </c>
      <c r="M3757">
        <v>-0.99696450000000003</v>
      </c>
      <c r="N3757">
        <v>-1.48237E-2</v>
      </c>
      <c r="O3757">
        <v>-7.6434269999999999E-2</v>
      </c>
      <c r="P3757">
        <v>-0.99971370000000004</v>
      </c>
      <c r="Q3757">
        <v>-2.2632949999999999E-2</v>
      </c>
      <c r="R3757">
        <v>7.7758819999999996E-3</v>
      </c>
      <c r="S3757">
        <v>-2.9945979999999999</v>
      </c>
      <c r="T3757">
        <v>-0.25939669999999998</v>
      </c>
      <c r="U3757">
        <v>0.2957611</v>
      </c>
      <c r="V3757">
        <v>8.3852369999999996E-2</v>
      </c>
      <c r="W3757">
        <v>-1.076322E-2</v>
      </c>
      <c r="X3757">
        <v>0.99642010000000003</v>
      </c>
      <c r="Y3757">
        <v>0.17312259999999999</v>
      </c>
      <c r="Z3757">
        <v>1.422065E-2</v>
      </c>
      <c r="AA3757">
        <v>0.98479760000000005</v>
      </c>
      <c r="AB3757">
        <v>37</v>
      </c>
      <c r="AC3757">
        <v>-0.39029999999996701</v>
      </c>
      <c r="AD3757">
        <v>-6.7280999999999896E-2</v>
      </c>
      <c r="AE3757">
        <v>0.101799999999997</v>
      </c>
      <c r="AF3757">
        <v>0.127782408574275</v>
      </c>
      <c r="AG3757">
        <v>-6.7280999999999896E-2</v>
      </c>
      <c r="AH3757">
        <v>0.37105231061267502</v>
      </c>
      <c r="AI3757">
        <v>99.728399495750097</v>
      </c>
      <c r="AJ3757">
        <v>70.997397567118895</v>
      </c>
      <c r="AK3757">
        <v>0.398164405884112</v>
      </c>
      <c r="AL3757">
        <v>90.616698962019896</v>
      </c>
      <c r="AM3757">
        <v>85.189685995590196</v>
      </c>
      <c r="AN3757">
        <v>1.0000000412716901</v>
      </c>
    </row>
    <row r="3758" spans="1:40" x14ac:dyDescent="0.25">
      <c r="A3758" t="str">
        <f>"20190305135904982"</f>
        <v>20190305135904982</v>
      </c>
      <c r="B3758" t="str">
        <f>"1551765544972444"</f>
        <v>1551765544972444</v>
      </c>
      <c r="C3758" t="s">
        <v>40</v>
      </c>
      <c r="D3758">
        <v>4.1680039999999998</v>
      </c>
      <c r="E3758">
        <v>0.53287099999999998</v>
      </c>
      <c r="F3758" t="s">
        <v>41</v>
      </c>
      <c r="G3758">
        <v>-213.78049999999999</v>
      </c>
      <c r="H3758">
        <v>0.99964569999999997</v>
      </c>
      <c r="I3758">
        <v>139.7654</v>
      </c>
      <c r="J3758">
        <v>-213.11529999999999</v>
      </c>
      <c r="K3758">
        <v>1.0951649999999999</v>
      </c>
      <c r="L3758">
        <v>139.63820000000001</v>
      </c>
      <c r="M3758">
        <v>-0.99778840000000002</v>
      </c>
      <c r="N3758">
        <v>-1.48226E-2</v>
      </c>
      <c r="O3758">
        <v>-6.4799140000000005E-2</v>
      </c>
      <c r="P3758">
        <v>-0.99965970000000004</v>
      </c>
      <c r="Q3758">
        <v>-2.4620179999999998E-2</v>
      </c>
      <c r="R3758">
        <v>8.6262189999999992E-3</v>
      </c>
      <c r="S3758">
        <v>-2.9922939999999998</v>
      </c>
      <c r="T3758">
        <v>-0.27307920000000002</v>
      </c>
      <c r="U3758">
        <v>0.30520629999999999</v>
      </c>
      <c r="V3758">
        <v>7.3032920000000001E-2</v>
      </c>
      <c r="W3758">
        <v>-1.2223680000000001E-2</v>
      </c>
      <c r="X3758">
        <v>0.99725459999999999</v>
      </c>
      <c r="Y3758">
        <v>0.16475229999999999</v>
      </c>
      <c r="Z3758">
        <v>1.3641810000000001E-2</v>
      </c>
      <c r="AA3758">
        <v>0.98624060000000002</v>
      </c>
      <c r="AB3758">
        <v>37</v>
      </c>
      <c r="AC3758">
        <v>-0.66519999999999802</v>
      </c>
      <c r="AD3758">
        <v>-9.5519299999999793E-2</v>
      </c>
      <c r="AE3758">
        <v>0.12719999999998699</v>
      </c>
      <c r="AF3758">
        <v>0.16672520732364299</v>
      </c>
      <c r="AG3758">
        <v>-9.5519299999999793E-2</v>
      </c>
      <c r="AH3758">
        <v>0.64277220282499703</v>
      </c>
      <c r="AI3758">
        <v>98.185562952718897</v>
      </c>
      <c r="AJ3758">
        <v>75.458816217654899</v>
      </c>
      <c r="AK3758">
        <v>0.67087803373944299</v>
      </c>
      <c r="AL3758">
        <v>90.700382729494393</v>
      </c>
      <c r="AM3758">
        <v>85.8114795259999</v>
      </c>
      <c r="AN3758">
        <v>0.99999998148881397</v>
      </c>
    </row>
    <row r="3759" spans="1:40" x14ac:dyDescent="0.25">
      <c r="A3759" t="str">
        <f>"20190305135905005"</f>
        <v>20190305135905005</v>
      </c>
      <c r="B3759" t="str">
        <f>"1551765544992939"</f>
        <v>1551765544992939</v>
      </c>
      <c r="C3759" t="s">
        <v>40</v>
      </c>
      <c r="D3759">
        <v>4.1371869999999999</v>
      </c>
      <c r="E3759">
        <v>0.53264219999999995</v>
      </c>
      <c r="F3759" t="s">
        <v>41</v>
      </c>
      <c r="G3759">
        <v>-214.1103</v>
      </c>
      <c r="H3759">
        <v>1.002899</v>
      </c>
      <c r="I3759">
        <v>139.7398</v>
      </c>
      <c r="J3759">
        <v>-213.4983</v>
      </c>
      <c r="K3759">
        <v>1.096004</v>
      </c>
      <c r="L3759">
        <v>139.62039999999999</v>
      </c>
      <c r="M3759">
        <v>-0.99844350000000004</v>
      </c>
      <c r="N3759">
        <v>-1.480969E-2</v>
      </c>
      <c r="O3759">
        <v>-5.3770310000000002E-2</v>
      </c>
      <c r="P3759">
        <v>-0.99969589999999997</v>
      </c>
      <c r="Q3759">
        <v>-2.3160420000000001E-2</v>
      </c>
      <c r="R3759">
        <v>8.4819439999999999E-3</v>
      </c>
      <c r="S3759">
        <v>-2.9915470000000002</v>
      </c>
      <c r="T3759">
        <v>-0.27729749999999997</v>
      </c>
      <c r="U3759">
        <v>0.3051605</v>
      </c>
      <c r="V3759">
        <v>6.1943459999999999E-2</v>
      </c>
      <c r="W3759">
        <v>-1.028391E-2</v>
      </c>
      <c r="X3759">
        <v>0.99802670000000004</v>
      </c>
      <c r="Y3759">
        <v>0.1539121</v>
      </c>
      <c r="Z3759">
        <v>1.2414970000000001E-2</v>
      </c>
      <c r="AA3759">
        <v>0.98800650000000001</v>
      </c>
      <c r="AB3759">
        <v>37</v>
      </c>
      <c r="AC3759">
        <v>-0.61199999999999399</v>
      </c>
      <c r="AD3759">
        <v>-9.3104999999999993E-2</v>
      </c>
      <c r="AE3759">
        <v>0.119400000000013</v>
      </c>
      <c r="AF3759">
        <v>0.14882023109194101</v>
      </c>
      <c r="AG3759">
        <v>-9.3104999999999993E-2</v>
      </c>
      <c r="AH3759">
        <v>0.59150558704216705</v>
      </c>
      <c r="AI3759">
        <v>98.678990951303803</v>
      </c>
      <c r="AJ3759">
        <v>75.877742904707105</v>
      </c>
      <c r="AK3759">
        <v>0.61700475015137202</v>
      </c>
      <c r="AL3759">
        <v>90.5892350130907</v>
      </c>
      <c r="AM3759">
        <v>86.448439631296296</v>
      </c>
      <c r="AN3759">
        <v>1.00000002247727</v>
      </c>
    </row>
    <row r="3760" spans="1:40" x14ac:dyDescent="0.25">
      <c r="A3760" t="str">
        <f>"20190305135905028"</f>
        <v>20190305135905028</v>
      </c>
      <c r="B3760" t="str">
        <f>"1551765545023196"</f>
        <v>1551765545023196</v>
      </c>
      <c r="C3760" t="s">
        <v>40</v>
      </c>
      <c r="D3760">
        <v>4.2314429999999996</v>
      </c>
      <c r="E3760">
        <v>0.53235330000000003</v>
      </c>
      <c r="F3760" t="s">
        <v>41</v>
      </c>
      <c r="G3760">
        <v>-214.44200000000001</v>
      </c>
      <c r="H3760">
        <v>1.010311</v>
      </c>
      <c r="I3760">
        <v>139.71610000000001</v>
      </c>
      <c r="J3760">
        <v>-213.8717</v>
      </c>
      <c r="K3760">
        <v>1.0967960000000001</v>
      </c>
      <c r="L3760">
        <v>139.60659999999999</v>
      </c>
      <c r="M3760">
        <v>-0.99892340000000002</v>
      </c>
      <c r="N3760">
        <v>-1.479249E-2</v>
      </c>
      <c r="O3760">
        <v>-4.3968609999999998E-2</v>
      </c>
      <c r="P3760">
        <v>-0.99978350000000005</v>
      </c>
      <c r="Q3760">
        <v>-1.9226710000000001E-2</v>
      </c>
      <c r="R3760">
        <v>7.9648789999999994E-3</v>
      </c>
      <c r="S3760">
        <v>-2.9920499999999999</v>
      </c>
      <c r="T3760">
        <v>-0.27157720000000002</v>
      </c>
      <c r="U3760">
        <v>0.30316159999999998</v>
      </c>
      <c r="V3760">
        <v>5.1770690000000001E-2</v>
      </c>
      <c r="W3760">
        <v>-5.9528979999999999E-3</v>
      </c>
      <c r="X3760">
        <v>0.99864129999999995</v>
      </c>
      <c r="Y3760">
        <v>0.1436511</v>
      </c>
      <c r="Z3760">
        <v>1.088356E-2</v>
      </c>
      <c r="AA3760">
        <v>0.98956849999999996</v>
      </c>
      <c r="AB3760">
        <v>37</v>
      </c>
      <c r="AC3760">
        <v>-0.57030000000000303</v>
      </c>
      <c r="AD3760">
        <v>-8.6484999999999895E-2</v>
      </c>
      <c r="AE3760">
        <v>0.10950000000002499</v>
      </c>
      <c r="AF3760">
        <v>0.13155430986324701</v>
      </c>
      <c r="AG3760">
        <v>-8.6484999999999895E-2</v>
      </c>
      <c r="AH3760">
        <v>0.55267518344051403</v>
      </c>
      <c r="AI3760">
        <v>98.655743712363602</v>
      </c>
      <c r="AJ3760">
        <v>76.610937998355098</v>
      </c>
      <c r="AK3760">
        <v>0.57466168313156396</v>
      </c>
      <c r="AL3760">
        <v>90.341077930849096</v>
      </c>
      <c r="AM3760">
        <v>87.032378837885602</v>
      </c>
      <c r="AN3760">
        <v>1.0000000437016801</v>
      </c>
    </row>
    <row r="3761" spans="1:40" x14ac:dyDescent="0.25">
      <c r="A3761" t="str">
        <f>"20190305135905049"</f>
        <v>20190305135905049</v>
      </c>
      <c r="B3761" t="str">
        <f>"1551765545042715"</f>
        <v>1551765545042715</v>
      </c>
      <c r="C3761" t="s">
        <v>40</v>
      </c>
      <c r="D3761">
        <v>4.0724090000000004</v>
      </c>
      <c r="E3761">
        <v>0.50775859999999995</v>
      </c>
      <c r="F3761" t="s">
        <v>41</v>
      </c>
      <c r="G3761">
        <v>-214.77440000000001</v>
      </c>
      <c r="H3761">
        <v>1.0188379999999999</v>
      </c>
      <c r="I3761">
        <v>139.6968</v>
      </c>
      <c r="J3761">
        <v>-214.21979999999999</v>
      </c>
      <c r="K3761">
        <v>1.0975159999999999</v>
      </c>
      <c r="L3761">
        <v>139.5968</v>
      </c>
      <c r="M3761">
        <v>-0.99925450000000005</v>
      </c>
      <c r="N3761">
        <v>-1.4768359999999999E-2</v>
      </c>
      <c r="O3761">
        <v>-3.5669329999999999E-2</v>
      </c>
      <c r="P3761">
        <v>-0.99986200000000003</v>
      </c>
      <c r="Q3761">
        <v>-1.540772E-2</v>
      </c>
      <c r="R3761">
        <v>6.1995979999999997E-3</v>
      </c>
      <c r="S3761">
        <v>-2.9933010000000002</v>
      </c>
      <c r="T3761">
        <v>-0.25847799999999999</v>
      </c>
      <c r="U3761">
        <v>0.29887390000000003</v>
      </c>
      <c r="V3761">
        <v>4.1830239999999998E-2</v>
      </c>
      <c r="W3761">
        <v>-1.795781E-3</v>
      </c>
      <c r="X3761">
        <v>0.99912310000000004</v>
      </c>
      <c r="Y3761">
        <v>0.1341165</v>
      </c>
      <c r="Z3761">
        <v>9.303749E-3</v>
      </c>
      <c r="AA3761">
        <v>0.99092190000000002</v>
      </c>
      <c r="AB3761">
        <v>37</v>
      </c>
      <c r="AC3761">
        <v>-0.55460000000002196</v>
      </c>
      <c r="AD3761">
        <v>-7.8677999999999998E-2</v>
      </c>
      <c r="AE3761">
        <v>9.9999999999994302E-2</v>
      </c>
      <c r="AF3761">
        <v>0.117431763101134</v>
      </c>
      <c r="AG3761">
        <v>-7.8677999999999998E-2</v>
      </c>
      <c r="AH3761">
        <v>0.54015116235374605</v>
      </c>
      <c r="AI3761">
        <v>98.100744720750995</v>
      </c>
      <c r="AJ3761">
        <v>77.734456760186902</v>
      </c>
      <c r="AK3761">
        <v>0.55834015157531303</v>
      </c>
      <c r="AL3761">
        <v>90.102890729446401</v>
      </c>
      <c r="AM3761">
        <v>87.602600384421294</v>
      </c>
      <c r="AN3761">
        <v>0.99999998138073298</v>
      </c>
    </row>
    <row r="3762" spans="1:40" x14ac:dyDescent="0.25">
      <c r="A3762" t="str">
        <f>"20190305135905073"</f>
        <v>20190305135905073</v>
      </c>
      <c r="B3762" t="str">
        <f>"1551765545063212"</f>
        <v>1551765545063212</v>
      </c>
      <c r="C3762" t="s">
        <v>40</v>
      </c>
      <c r="D3762">
        <v>4.0976809999999997</v>
      </c>
      <c r="E3762">
        <v>0.50178990000000001</v>
      </c>
      <c r="F3762" t="s">
        <v>42</v>
      </c>
      <c r="G3762">
        <v>-252.56290000000001</v>
      </c>
      <c r="H3762" s="1">
        <v>-3.45227E-6</v>
      </c>
      <c r="I3762">
        <v>140.66650000000001</v>
      </c>
      <c r="J3762">
        <v>-214.62719999999999</v>
      </c>
      <c r="K3762">
        <v>1.0983350000000001</v>
      </c>
      <c r="L3762">
        <v>139.58879999999999</v>
      </c>
      <c r="M3762">
        <v>-0.99952940000000001</v>
      </c>
      <c r="N3762">
        <v>-1.472979E-2</v>
      </c>
      <c r="O3762">
        <v>-2.6907239999999999E-2</v>
      </c>
      <c r="P3762">
        <v>-0.99990650000000003</v>
      </c>
      <c r="Q3762">
        <v>-1.2766380000000001E-2</v>
      </c>
      <c r="R3762">
        <v>4.8901659999999996E-3</v>
      </c>
      <c r="S3762">
        <v>-2.9985810000000002</v>
      </c>
      <c r="T3762">
        <v>-8.5830450000000003E-2</v>
      </c>
      <c r="U3762">
        <v>8.3663940000000006E-2</v>
      </c>
      <c r="V3762">
        <v>3.1835530000000001E-2</v>
      </c>
      <c r="W3762">
        <v>1.1447110000000001E-3</v>
      </c>
      <c r="X3762">
        <v>0.99949250000000001</v>
      </c>
      <c r="Y3762">
        <v>5.4743359999999998E-2</v>
      </c>
      <c r="Z3762">
        <v>1.56020799999999E-3</v>
      </c>
      <c r="AA3762">
        <v>0.99849920000000003</v>
      </c>
      <c r="AB3762">
        <v>37</v>
      </c>
      <c r="AC3762">
        <v>-37.935699999999997</v>
      </c>
      <c r="AD3762">
        <v>-1.0983384522699999</v>
      </c>
      <c r="AE3762">
        <v>1.0777000000000201</v>
      </c>
      <c r="AF3762">
        <v>2.0964095513239598</v>
      </c>
      <c r="AG3762">
        <v>-1.0983384522699999</v>
      </c>
      <c r="AH3762">
        <v>37.8612489481512</v>
      </c>
      <c r="AI3762">
        <v>91.659119751408099</v>
      </c>
      <c r="AJ3762">
        <v>86.830720251484493</v>
      </c>
      <c r="AK3762">
        <v>37.935147980158199</v>
      </c>
      <c r="AL3762">
        <v>89.934412878873104</v>
      </c>
      <c r="AM3762">
        <v>88.175649107699996</v>
      </c>
      <c r="AN3762">
        <v>1.00000003444495</v>
      </c>
    </row>
    <row r="3763" spans="1:40" x14ac:dyDescent="0.25">
      <c r="A3763" t="str">
        <f>"20190305135905094"</f>
        <v>20190305135905094</v>
      </c>
      <c r="B3763" t="str">
        <f>"1551765545082732"</f>
        <v>1551765545082732</v>
      </c>
      <c r="C3763" t="s">
        <v>40</v>
      </c>
      <c r="D3763">
        <v>4.0433589999999997</v>
      </c>
      <c r="E3763">
        <v>0.50010239999999995</v>
      </c>
      <c r="F3763" t="s">
        <v>42</v>
      </c>
      <c r="G3763">
        <v>-260.96850000000001</v>
      </c>
      <c r="H3763" s="1">
        <v>-3.9784970000000002E-6</v>
      </c>
      <c r="I3763">
        <v>140.0737</v>
      </c>
      <c r="J3763">
        <v>-214.9734</v>
      </c>
      <c r="K3763">
        <v>1.0990500000000001</v>
      </c>
      <c r="L3763">
        <v>139.5847</v>
      </c>
      <c r="M3763">
        <v>-0.99968789999999996</v>
      </c>
      <c r="N3763">
        <v>-1.469139E-2</v>
      </c>
      <c r="O3763">
        <v>-2.0206620000000002E-2</v>
      </c>
      <c r="P3763">
        <v>-0.99995060000000002</v>
      </c>
      <c r="Q3763">
        <v>-9.7587869999999997E-3</v>
      </c>
      <c r="R3763">
        <v>1.9381369999999999E-3</v>
      </c>
      <c r="S3763">
        <v>-2.9992220000000001</v>
      </c>
      <c r="T3763">
        <v>-7.1084739999999993E-2</v>
      </c>
      <c r="U3763">
        <v>3.1387329999999998E-2</v>
      </c>
      <c r="V3763">
        <v>2.225717E-2</v>
      </c>
      <c r="W3763">
        <v>4.3981569999999998E-3</v>
      </c>
      <c r="X3763">
        <v>0.99974260000000004</v>
      </c>
      <c r="Y3763">
        <v>3.0655370000000001E-2</v>
      </c>
      <c r="Z3763">
        <v>7.7043949999999999E-4</v>
      </c>
      <c r="AA3763">
        <v>0.99952969999999997</v>
      </c>
      <c r="AB3763">
        <v>37</v>
      </c>
      <c r="AC3763">
        <v>-45.995100000000001</v>
      </c>
      <c r="AD3763">
        <v>-1.0990539784969999</v>
      </c>
      <c r="AE3763">
        <v>0.48900000000000399</v>
      </c>
      <c r="AF3763">
        <v>1.4175966247587799</v>
      </c>
      <c r="AG3763">
        <v>-1.0990539784969999</v>
      </c>
      <c r="AH3763">
        <v>45.949591867414902</v>
      </c>
      <c r="AI3763">
        <v>91.369527303353905</v>
      </c>
      <c r="AJ3763">
        <v>88.232921204620894</v>
      </c>
      <c r="AK3763">
        <v>45.984589729823398</v>
      </c>
      <c r="AL3763">
        <v>89.748003352780103</v>
      </c>
      <c r="AM3763">
        <v>88.7246404404912</v>
      </c>
      <c r="AN3763">
        <v>0.99999999582808197</v>
      </c>
    </row>
    <row r="3764" spans="1:40" x14ac:dyDescent="0.25">
      <c r="A3764" t="str">
        <f>"20190305135905118"</f>
        <v>20190305135905118</v>
      </c>
      <c r="B3764" t="str">
        <f>"1551765545112987"</f>
        <v>1551765545112987</v>
      </c>
      <c r="C3764" t="s">
        <v>40</v>
      </c>
      <c r="D3764">
        <v>3.9918279999999999</v>
      </c>
      <c r="E3764">
        <v>0.50078290000000003</v>
      </c>
      <c r="F3764" t="s">
        <v>42</v>
      </c>
      <c r="G3764">
        <v>-267.9436</v>
      </c>
      <c r="H3764" s="1">
        <v>-8.9840790000000001E-7</v>
      </c>
      <c r="I3764">
        <v>139.74359999999999</v>
      </c>
      <c r="J3764">
        <v>-215.34370000000001</v>
      </c>
      <c r="K3764">
        <v>1.0998190000000001</v>
      </c>
      <c r="L3764">
        <v>139.58269999999999</v>
      </c>
      <c r="M3764">
        <v>-0.9997992</v>
      </c>
      <c r="N3764">
        <v>-1.464907E-2</v>
      </c>
      <c r="O3764">
        <v>-1.367176E-2</v>
      </c>
      <c r="P3764">
        <v>-0.9999671</v>
      </c>
      <c r="Q3764">
        <v>-8.0770029999999993E-3</v>
      </c>
      <c r="R3764">
        <v>-8.2168849999999995E-4</v>
      </c>
      <c r="S3764">
        <v>-2.9995419999999999</v>
      </c>
      <c r="T3764">
        <v>-6.2235949999999998E-2</v>
      </c>
      <c r="U3764">
        <v>9.0026859999999993E-3</v>
      </c>
      <c r="V3764">
        <v>1.299404E-2</v>
      </c>
      <c r="W3764">
        <v>6.2840209999999999E-3</v>
      </c>
      <c r="X3764">
        <v>0.9998958</v>
      </c>
      <c r="Y3764">
        <v>1.666786E-2</v>
      </c>
      <c r="Z3764">
        <v>3.7835670000000002E-4</v>
      </c>
      <c r="AA3764">
        <v>0.999861</v>
      </c>
      <c r="AB3764">
        <v>36</v>
      </c>
      <c r="AC3764">
        <v>-52.599899999999899</v>
      </c>
      <c r="AD3764">
        <v>-1.0998198984079</v>
      </c>
      <c r="AE3764">
        <v>0.16089999999999799</v>
      </c>
      <c r="AF3764">
        <v>0.879710758293069</v>
      </c>
      <c r="AG3764">
        <v>-1.0998198984079</v>
      </c>
      <c r="AH3764">
        <v>52.569799844930898</v>
      </c>
      <c r="AI3764">
        <v>91.198350190503206</v>
      </c>
      <c r="AJ3764">
        <v>89.0412934859431</v>
      </c>
      <c r="AK3764">
        <v>52.588661806165803</v>
      </c>
      <c r="AL3764">
        <v>89.639949738707998</v>
      </c>
      <c r="AM3764">
        <v>89.255460674590594</v>
      </c>
      <c r="AN3764">
        <v>0.99999997242654404</v>
      </c>
    </row>
    <row r="3765" spans="1:40" x14ac:dyDescent="0.25">
      <c r="A3765" t="str">
        <f>"20190305135905138"</f>
        <v>20190305135905138</v>
      </c>
      <c r="B3765" t="str">
        <f>"1551765545132507"</f>
        <v>1551765545132507</v>
      </c>
      <c r="C3765" t="s">
        <v>40</v>
      </c>
      <c r="D3765">
        <v>4.0198660000000004</v>
      </c>
      <c r="E3765">
        <v>0.5008224</v>
      </c>
      <c r="F3765" t="s">
        <v>42</v>
      </c>
      <c r="G3765">
        <v>-262.32279999999997</v>
      </c>
      <c r="H3765" s="1">
        <v>-3.295305E-6</v>
      </c>
      <c r="I3765">
        <v>139.68950000000001</v>
      </c>
      <c r="J3765">
        <v>-215.67740000000001</v>
      </c>
      <c r="K3765">
        <v>1.100516</v>
      </c>
      <c r="L3765">
        <v>139.583</v>
      </c>
      <c r="M3765">
        <v>-0.99985889999999999</v>
      </c>
      <c r="N3765">
        <v>-1.461107E-2</v>
      </c>
      <c r="O3765">
        <v>-8.2879400000000006E-3</v>
      </c>
      <c r="P3765">
        <v>-0.99996379999999996</v>
      </c>
      <c r="Q3765">
        <v>-7.042708E-3</v>
      </c>
      <c r="R3765">
        <v>-4.775947E-3</v>
      </c>
      <c r="S3765">
        <v>-2.9995419999999999</v>
      </c>
      <c r="T3765">
        <v>-7.0222019999999996E-2</v>
      </c>
      <c r="U3765">
        <v>6.8206789999999996E-3</v>
      </c>
      <c r="V3765">
        <v>3.6683190000000002E-3</v>
      </c>
      <c r="W3765">
        <v>7.4946819999999999E-3</v>
      </c>
      <c r="X3765">
        <v>0.9999652</v>
      </c>
      <c r="Y3765">
        <v>1.055761E-2</v>
      </c>
      <c r="Z3765">
        <v>2.7361859999999998E-4</v>
      </c>
      <c r="AA3765">
        <v>0.99994419999999995</v>
      </c>
      <c r="AB3765">
        <v>36</v>
      </c>
      <c r="AC3765">
        <v>-46.645399999999903</v>
      </c>
      <c r="AD3765">
        <v>-1.100519295305</v>
      </c>
      <c r="AE3765">
        <v>0.106500000000011</v>
      </c>
      <c r="AF3765">
        <v>0.49285754667530901</v>
      </c>
      <c r="AG3765">
        <v>-1.100519295305</v>
      </c>
      <c r="AH3765">
        <v>46.616965907554302</v>
      </c>
      <c r="AI3765">
        <v>91.352294765107104</v>
      </c>
      <c r="AJ3765">
        <v>89.394263339609793</v>
      </c>
      <c r="AK3765">
        <v>46.632559030217699</v>
      </c>
      <c r="AL3765">
        <v>89.5705823384789</v>
      </c>
      <c r="AM3765">
        <v>89.789814431755801</v>
      </c>
      <c r="AN3765">
        <v>1.0000000140167999</v>
      </c>
    </row>
    <row r="3766" spans="1:40" x14ac:dyDescent="0.25">
      <c r="A3766" t="str">
        <f>"20190305135905160"</f>
        <v>20190305135905160</v>
      </c>
      <c r="B3766" t="str">
        <f>"1551765545153004"</f>
        <v>1551765545153004</v>
      </c>
      <c r="C3766" t="s">
        <v>40</v>
      </c>
      <c r="D3766">
        <v>4.0324229999999996</v>
      </c>
      <c r="E3766">
        <v>0.50004910000000002</v>
      </c>
      <c r="F3766" t="s">
        <v>42</v>
      </c>
      <c r="G3766">
        <v>-264.77870000000001</v>
      </c>
      <c r="H3766" s="1">
        <v>-2.2417960000000002E-6</v>
      </c>
      <c r="I3766">
        <v>139.50569999999999</v>
      </c>
      <c r="J3766">
        <v>-216.0513</v>
      </c>
      <c r="K3766">
        <v>1.1012630000000001</v>
      </c>
      <c r="L3766">
        <v>139.58529999999999</v>
      </c>
      <c r="M3766">
        <v>-0.99989030000000001</v>
      </c>
      <c r="N3766">
        <v>-1.4570110000000001E-2</v>
      </c>
      <c r="O3766">
        <v>-2.7218979999999999E-3</v>
      </c>
      <c r="P3766">
        <v>-0.99996160000000001</v>
      </c>
      <c r="Q3766">
        <v>-8.0821250000000008E-3</v>
      </c>
      <c r="R3766">
        <v>-3.4547470000000002E-3</v>
      </c>
      <c r="S3766">
        <v>-2.9996339999999999</v>
      </c>
      <c r="T3766">
        <v>-6.723142E-2</v>
      </c>
      <c r="U3766">
        <v>-4.7149660000000001E-3</v>
      </c>
      <c r="V3766">
        <v>-6.0921010000000004E-4</v>
      </c>
      <c r="W3766">
        <v>6.5014549999999997E-3</v>
      </c>
      <c r="X3766">
        <v>0.9999787</v>
      </c>
      <c r="Y3766">
        <v>1.1497829999999999E-3</v>
      </c>
      <c r="Z3766" s="1">
        <v>4.2601890000000002E-5</v>
      </c>
      <c r="AA3766">
        <v>0.99999930000000004</v>
      </c>
      <c r="AB3766">
        <v>36</v>
      </c>
      <c r="AC3766">
        <v>-48.727400000000003</v>
      </c>
      <c r="AD3766">
        <v>-1.1012652417959901</v>
      </c>
      <c r="AE3766">
        <v>-7.9599999999999199E-2</v>
      </c>
      <c r="AF3766">
        <v>5.3018286454916297E-2</v>
      </c>
      <c r="AG3766">
        <v>-1.1012652417959901</v>
      </c>
      <c r="AH3766">
        <v>48.702559715687201</v>
      </c>
      <c r="AI3766">
        <v>91.2953541392571</v>
      </c>
      <c r="AJ3766">
        <v>89.937627039140494</v>
      </c>
      <c r="AK3766">
        <v>48.715037913682899</v>
      </c>
      <c r="AL3766">
        <v>89.627491451063605</v>
      </c>
      <c r="AM3766">
        <v>90.0349059067441</v>
      </c>
      <c r="AN3766">
        <v>1.0000000202538699</v>
      </c>
    </row>
    <row r="3767" spans="1:40" x14ac:dyDescent="0.25">
      <c r="A3767" t="str">
        <f>"20190305135905183"</f>
        <v>20190305135905183</v>
      </c>
      <c r="B3767" t="str">
        <f>"1551765545172523"</f>
        <v>1551765545172523</v>
      </c>
      <c r="C3767" t="s">
        <v>40</v>
      </c>
      <c r="D3767">
        <v>4.0536240000000001</v>
      </c>
      <c r="E3767">
        <v>0.50031629999999905</v>
      </c>
      <c r="F3767" t="s">
        <v>42</v>
      </c>
      <c r="G3767">
        <v>-265.09140000000002</v>
      </c>
      <c r="H3767" s="1">
        <v>-2.114577E-6</v>
      </c>
      <c r="I3767">
        <v>139.46680000000001</v>
      </c>
      <c r="J3767">
        <v>-216.4211</v>
      </c>
      <c r="K3767">
        <v>1.1019639999999999</v>
      </c>
      <c r="L3767">
        <v>139.58949999999999</v>
      </c>
      <c r="M3767">
        <v>-0.99989159999999999</v>
      </c>
      <c r="N3767">
        <v>-1.453159E-2</v>
      </c>
      <c r="O3767">
        <v>2.3869049999999999E-3</v>
      </c>
      <c r="P3767">
        <v>-0.99993449999999995</v>
      </c>
      <c r="Q3767">
        <v>-9.1269279999999994E-3</v>
      </c>
      <c r="R3767">
        <v>-6.8978399999999997E-3</v>
      </c>
      <c r="S3767">
        <v>-2.9995569999999998</v>
      </c>
      <c r="T3767">
        <v>-6.7359329999999995E-2</v>
      </c>
      <c r="U3767">
        <v>-7.2479249999999997E-3</v>
      </c>
      <c r="V3767">
        <v>-9.1896370000000005E-3</v>
      </c>
      <c r="W3767">
        <v>5.564963E-3</v>
      </c>
      <c r="X3767">
        <v>0.99994229999999995</v>
      </c>
      <c r="Y3767">
        <v>-4.8013989999999996E-3</v>
      </c>
      <c r="Z3767">
        <v>-1.077081E-4</v>
      </c>
      <c r="AA3767">
        <v>0.99998849999999995</v>
      </c>
      <c r="AB3767">
        <v>36</v>
      </c>
      <c r="AC3767">
        <v>-48.670299999999997</v>
      </c>
      <c r="AD3767">
        <v>-1.1019661145770001</v>
      </c>
      <c r="AE3767">
        <v>-0.12269999999998001</v>
      </c>
      <c r="AF3767">
        <v>-0.238760899654681</v>
      </c>
      <c r="AG3767">
        <v>-1.1019661145770001</v>
      </c>
      <c r="AH3767">
        <v>48.644931475065597</v>
      </c>
      <c r="AI3767">
        <v>91.297698416774395</v>
      </c>
      <c r="AJ3767">
        <v>90.281219062207398</v>
      </c>
      <c r="AK3767">
        <v>48.657997228602703</v>
      </c>
      <c r="AL3767">
        <v>89.681149464640896</v>
      </c>
      <c r="AM3767">
        <v>90.526542974281</v>
      </c>
      <c r="AN3767">
        <v>1.00000001078533</v>
      </c>
    </row>
    <row r="3768" spans="1:40" x14ac:dyDescent="0.25">
      <c r="A3768" t="str">
        <f>"20190305135905205"</f>
        <v>20190305135905205</v>
      </c>
      <c r="B3768" t="str">
        <f>"1551765545202780"</f>
        <v>1551765545202780</v>
      </c>
      <c r="C3768" t="s">
        <v>40</v>
      </c>
      <c r="D3768">
        <v>4.0708719999999996</v>
      </c>
      <c r="E3768">
        <v>0.49970510000000001</v>
      </c>
      <c r="F3768" t="s">
        <v>42</v>
      </c>
      <c r="G3768">
        <v>-262.9581</v>
      </c>
      <c r="H3768" s="1">
        <v>-3.0504570000000001E-6</v>
      </c>
      <c r="I3768">
        <v>139.3501</v>
      </c>
      <c r="J3768">
        <v>-216.78829999999999</v>
      </c>
      <c r="K3768">
        <v>1.1025860000000001</v>
      </c>
      <c r="L3768">
        <v>139.59530000000001</v>
      </c>
      <c r="M3768">
        <v>-0.99986920000000001</v>
      </c>
      <c r="N3768">
        <v>-1.44952E-2</v>
      </c>
      <c r="O3768">
        <v>7.1692290000000001E-3</v>
      </c>
      <c r="P3768">
        <v>-0.99989600000000001</v>
      </c>
      <c r="Q3768">
        <v>-1.010434E-2</v>
      </c>
      <c r="R3768">
        <v>-1.028097E-2</v>
      </c>
      <c r="S3768">
        <v>-2.9994510000000001</v>
      </c>
      <c r="T3768">
        <v>-7.1025130000000006E-2</v>
      </c>
      <c r="U3768">
        <v>-1.542664E-2</v>
      </c>
      <c r="V3768">
        <v>-1.7377569999999998E-2</v>
      </c>
      <c r="W3768">
        <v>4.6666140000000004E-3</v>
      </c>
      <c r="X3768">
        <v>0.99983809999999995</v>
      </c>
      <c r="Y3768">
        <v>-1.230698E-2</v>
      </c>
      <c r="Z3768">
        <v>-3.007299E-4</v>
      </c>
      <c r="AA3768">
        <v>0.99992420000000004</v>
      </c>
      <c r="AB3768">
        <v>36</v>
      </c>
      <c r="AC3768">
        <v>-46.169800000000002</v>
      </c>
      <c r="AD3768">
        <v>-1.102589050457</v>
      </c>
      <c r="AE3768">
        <v>-0.24520000000001099</v>
      </c>
      <c r="AF3768">
        <v>-0.57590192396080397</v>
      </c>
      <c r="AG3768">
        <v>-1.102589050457</v>
      </c>
      <c r="AH3768">
        <v>46.140541448604402</v>
      </c>
      <c r="AI3768">
        <v>91.368791068413302</v>
      </c>
      <c r="AJ3768">
        <v>90.715098594220905</v>
      </c>
      <c r="AK3768">
        <v>46.157306364329699</v>
      </c>
      <c r="AL3768">
        <v>89.732621740500903</v>
      </c>
      <c r="AM3768">
        <v>90.995722389096599</v>
      </c>
      <c r="AN3768">
        <v>0.99999999171846898</v>
      </c>
    </row>
    <row r="3769" spans="1:40" x14ac:dyDescent="0.25">
      <c r="A3769" t="str">
        <f>"20190305135905226"</f>
        <v>20190305135905226</v>
      </c>
      <c r="B3769" t="str">
        <f>"1551765545223276"</f>
        <v>1551765545223276</v>
      </c>
      <c r="C3769" t="s">
        <v>40</v>
      </c>
      <c r="D3769">
        <v>4.090001</v>
      </c>
      <c r="E3769">
        <v>0.49971320000000002</v>
      </c>
      <c r="F3769" t="s">
        <v>42</v>
      </c>
      <c r="G3769">
        <v>-262.2011</v>
      </c>
      <c r="H3769" s="1">
        <v>-3.4134830000000002E-6</v>
      </c>
      <c r="I3769">
        <v>139.1343</v>
      </c>
      <c r="J3769">
        <v>-217.12700000000001</v>
      </c>
      <c r="K3769">
        <v>1.103092</v>
      </c>
      <c r="L3769">
        <v>139.602</v>
      </c>
      <c r="M3769">
        <v>-0.99983089999999997</v>
      </c>
      <c r="N3769">
        <v>-1.4463E-2</v>
      </c>
      <c r="O3769">
        <v>1.1355519999999999E-2</v>
      </c>
      <c r="P3769">
        <v>-0.99983809999999995</v>
      </c>
      <c r="Q3769">
        <v>-1.097539E-2</v>
      </c>
      <c r="R3769">
        <v>-1.425747E-2</v>
      </c>
      <c r="S3769">
        <v>-2.9992679999999998</v>
      </c>
      <c r="T3769">
        <v>-7.2820070000000001E-2</v>
      </c>
      <c r="U3769">
        <v>-3.0441280000000001E-2</v>
      </c>
      <c r="V3769">
        <v>-2.5557710000000001E-2</v>
      </c>
      <c r="W3769">
        <v>3.8607670000000002E-3</v>
      </c>
      <c r="X3769">
        <v>0.9996659</v>
      </c>
      <c r="Y3769">
        <v>-2.149386E-2</v>
      </c>
      <c r="Z3769">
        <v>-5.2778999999999999E-4</v>
      </c>
      <c r="AA3769">
        <v>0.99976889999999996</v>
      </c>
      <c r="AB3769">
        <v>36</v>
      </c>
      <c r="AC3769">
        <v>-45.074099999999902</v>
      </c>
      <c r="AD3769">
        <v>-1.103095413483</v>
      </c>
      <c r="AE3769">
        <v>-0.467700000000007</v>
      </c>
      <c r="AF3769">
        <v>-0.97897696507996101</v>
      </c>
      <c r="AG3769">
        <v>-1.103095413483</v>
      </c>
      <c r="AH3769">
        <v>45.038909662518201</v>
      </c>
      <c r="AI3769">
        <v>91.402679654529294</v>
      </c>
      <c r="AJ3769">
        <v>91.245199263364299</v>
      </c>
      <c r="AK3769">
        <v>45.063051372248196</v>
      </c>
      <c r="AL3769">
        <v>89.778793797195505</v>
      </c>
      <c r="AM3769">
        <v>91.4645192889448</v>
      </c>
      <c r="AN3769">
        <v>1.0000000068425401</v>
      </c>
    </row>
    <row r="3770" spans="1:40" x14ac:dyDescent="0.25">
      <c r="A3770" t="str">
        <f>"20190305135905248"</f>
        <v>20190305135905248</v>
      </c>
      <c r="B3770" t="str">
        <f>"1551765545242796"</f>
        <v>1551765545242796</v>
      </c>
      <c r="C3770" t="s">
        <v>40</v>
      </c>
      <c r="D3770">
        <v>4.0856839999999996</v>
      </c>
      <c r="E3770">
        <v>0.49945099999999998</v>
      </c>
      <c r="F3770" t="s">
        <v>42</v>
      </c>
      <c r="G3770">
        <v>-259.14879999999999</v>
      </c>
      <c r="H3770" s="1">
        <v>-4.5458599999999999E-7</v>
      </c>
      <c r="I3770">
        <v>139.01240000000001</v>
      </c>
      <c r="J3770">
        <v>-217.49090000000001</v>
      </c>
      <c r="K3770">
        <v>1.103588</v>
      </c>
      <c r="L3770">
        <v>139.61060000000001</v>
      </c>
      <c r="M3770">
        <v>-0.99977400000000005</v>
      </c>
      <c r="N3770">
        <v>-1.4428740000000001E-2</v>
      </c>
      <c r="O3770">
        <v>1.5616919999999999E-2</v>
      </c>
      <c r="P3770">
        <v>-0.99977329999999998</v>
      </c>
      <c r="Q3770">
        <v>-1.249807E-2</v>
      </c>
      <c r="R3770">
        <v>-1.7239279999999999E-2</v>
      </c>
      <c r="S3770">
        <v>-2.9990079999999999</v>
      </c>
      <c r="T3770">
        <v>-7.8725580000000003E-2</v>
      </c>
      <c r="U3770">
        <v>-4.2068479999999998E-2</v>
      </c>
      <c r="V3770">
        <v>-3.282264E-2</v>
      </c>
      <c r="W3770">
        <v>2.3697039999999998E-3</v>
      </c>
      <c r="X3770">
        <v>0.99945839999999997</v>
      </c>
      <c r="Y3770">
        <v>-2.9624480000000002E-2</v>
      </c>
      <c r="Z3770">
        <v>-7.8708789999999999E-4</v>
      </c>
      <c r="AA3770">
        <v>0.99956080000000003</v>
      </c>
      <c r="AB3770">
        <v>36</v>
      </c>
      <c r="AC3770">
        <v>-41.657899999999898</v>
      </c>
      <c r="AD3770">
        <v>-1.103588454586</v>
      </c>
      <c r="AE3770">
        <v>-0.59819999999999096</v>
      </c>
      <c r="AF3770">
        <v>-1.2478872153088001</v>
      </c>
      <c r="AG3770">
        <v>-1.103588454586</v>
      </c>
      <c r="AH3770">
        <v>41.6142763902917</v>
      </c>
      <c r="AI3770">
        <v>91.518415295749506</v>
      </c>
      <c r="AJ3770">
        <v>91.717613701076402</v>
      </c>
      <c r="AK3770">
        <v>41.647606527468199</v>
      </c>
      <c r="AL3770">
        <v>89.864225837375002</v>
      </c>
      <c r="AM3770">
        <v>91.880941828478399</v>
      </c>
      <c r="AN3770">
        <v>1.00000001726208</v>
      </c>
    </row>
    <row r="3771" spans="1:40" x14ac:dyDescent="0.25">
      <c r="A3771" t="str">
        <f>"20190305135905273"</f>
        <v>20190305135905273</v>
      </c>
      <c r="B3771" t="str">
        <f>"1551765545263292"</f>
        <v>1551765545263292</v>
      </c>
      <c r="C3771" t="s">
        <v>40</v>
      </c>
      <c r="D3771">
        <v>4.0822010000000004</v>
      </c>
      <c r="E3771">
        <v>0.49971379999999999</v>
      </c>
      <c r="F3771" t="s">
        <v>42</v>
      </c>
      <c r="G3771">
        <v>-257.78410000000002</v>
      </c>
      <c r="H3771" s="1">
        <v>-1.060651E-6</v>
      </c>
      <c r="I3771">
        <v>138.89619999999999</v>
      </c>
      <c r="J3771">
        <v>-217.88300000000001</v>
      </c>
      <c r="K3771">
        <v>1.104088</v>
      </c>
      <c r="L3771">
        <v>139.62129999999999</v>
      </c>
      <c r="M3771">
        <v>-0.99969770000000002</v>
      </c>
      <c r="N3771">
        <v>-1.4391370000000001E-2</v>
      </c>
      <c r="O3771">
        <v>1.9940050000000001E-2</v>
      </c>
      <c r="P3771">
        <v>-0.99968179999999995</v>
      </c>
      <c r="Q3771">
        <v>-1.4293109999999999E-2</v>
      </c>
      <c r="R3771">
        <v>-2.0788729999999998E-2</v>
      </c>
      <c r="S3771">
        <v>-2.9987490000000001</v>
      </c>
      <c r="T3771">
        <v>-8.2132700000000003E-2</v>
      </c>
      <c r="U3771">
        <v>-5.316162E-2</v>
      </c>
      <c r="V3771">
        <v>-4.0716170000000003E-2</v>
      </c>
      <c r="W3771">
        <v>5.9348739999999999E-4</v>
      </c>
      <c r="X3771">
        <v>0.99917060000000002</v>
      </c>
      <c r="Y3771">
        <v>-3.763739E-2</v>
      </c>
      <c r="Z3771">
        <v>-1.0452839999999901E-3</v>
      </c>
      <c r="AA3771">
        <v>0.99929089999999998</v>
      </c>
      <c r="AB3771">
        <v>36</v>
      </c>
      <c r="AC3771">
        <v>-39.9011</v>
      </c>
      <c r="AD3771">
        <v>-1.1040890606510001</v>
      </c>
      <c r="AE3771">
        <v>-0.72509999999999697</v>
      </c>
      <c r="AF3771">
        <v>-1.51950500800262</v>
      </c>
      <c r="AG3771">
        <v>-1.1040890606510001</v>
      </c>
      <c r="AH3771">
        <v>39.848204811867802</v>
      </c>
      <c r="AI3771">
        <v>91.585957415347906</v>
      </c>
      <c r="AJ3771">
        <v>92.183763691523595</v>
      </c>
      <c r="AK3771">
        <v>39.892447090292201</v>
      </c>
      <c r="AL3771">
        <v>89.965995675582406</v>
      </c>
      <c r="AM3771">
        <v>92.333510110068602</v>
      </c>
      <c r="AN3771">
        <v>1.0000000233155599</v>
      </c>
    </row>
    <row r="3772" spans="1:40" x14ac:dyDescent="0.25">
      <c r="A3772" t="str">
        <f>"20190305135905297"</f>
        <v>20190305135905297</v>
      </c>
      <c r="B3772" t="str">
        <f>"1551765545292571"</f>
        <v>1551765545292571</v>
      </c>
      <c r="C3772" t="s">
        <v>40</v>
      </c>
      <c r="D3772">
        <v>4.0717879999999997</v>
      </c>
      <c r="E3772">
        <v>0.4994615</v>
      </c>
      <c r="F3772" t="s">
        <v>42</v>
      </c>
      <c r="G3772">
        <v>-254.90989999999999</v>
      </c>
      <c r="H3772" s="1">
        <v>-2.300016E-6</v>
      </c>
      <c r="I3772">
        <v>138.8605</v>
      </c>
      <c r="J3772">
        <v>-218.28450000000001</v>
      </c>
      <c r="K3772">
        <v>1.1045579999999999</v>
      </c>
      <c r="L3772">
        <v>139.6336</v>
      </c>
      <c r="M3772">
        <v>-0.99960740000000003</v>
      </c>
      <c r="N3772">
        <v>-1.4303440000000001E-2</v>
      </c>
      <c r="O3772">
        <v>2.4094649999999999E-2</v>
      </c>
      <c r="P3772">
        <v>-0.99958259999999999</v>
      </c>
      <c r="Q3772">
        <v>-1.5013230000000001E-2</v>
      </c>
      <c r="R3772">
        <v>-2.4685849999999999E-2</v>
      </c>
      <c r="S3772">
        <v>-2.9983979999999999</v>
      </c>
      <c r="T3772">
        <v>-8.9408280000000007E-2</v>
      </c>
      <c r="U3772">
        <v>-6.1599729999999998E-2</v>
      </c>
      <c r="V3772">
        <v>-4.8770920000000002E-2</v>
      </c>
      <c r="W3772">
        <v>-1.7368179999999999E-4</v>
      </c>
      <c r="X3772">
        <v>0.99880999999999998</v>
      </c>
      <c r="Y3772">
        <v>-4.4593720000000003E-2</v>
      </c>
      <c r="Z3772">
        <v>-1.3573680000000001E-3</v>
      </c>
      <c r="AA3772">
        <v>0.99900429999999996</v>
      </c>
      <c r="AB3772">
        <v>36</v>
      </c>
      <c r="AC3772">
        <v>-36.6253999999999</v>
      </c>
      <c r="AD3772">
        <v>-1.104560300016</v>
      </c>
      <c r="AE3772">
        <v>-0.77309999999999901</v>
      </c>
      <c r="AF3772">
        <v>-1.6539383209899701</v>
      </c>
      <c r="AG3772">
        <v>-1.104560300016</v>
      </c>
      <c r="AH3772">
        <v>36.562895309033799</v>
      </c>
      <c r="AI3772">
        <v>91.728605160383097</v>
      </c>
      <c r="AJ3772">
        <v>92.590033619098193</v>
      </c>
      <c r="AK3772">
        <v>36.616947972289701</v>
      </c>
      <c r="AL3772">
        <v>90.009951233924895</v>
      </c>
      <c r="AM3772">
        <v>92.795476821979506</v>
      </c>
      <c r="AN3772">
        <v>1.0000000244514999</v>
      </c>
    </row>
    <row r="3773" spans="1:40" x14ac:dyDescent="0.25">
      <c r="A3773" t="str">
        <f>"20190305135905316"</f>
        <v>20190305135905316</v>
      </c>
      <c r="B3773" t="str">
        <f>"1551765545313067"</f>
        <v>1551765545313067</v>
      </c>
      <c r="C3773" t="s">
        <v>40</v>
      </c>
      <c r="D3773">
        <v>4.053604</v>
      </c>
      <c r="E3773">
        <v>0.49947279999999999</v>
      </c>
      <c r="F3773" t="s">
        <v>42</v>
      </c>
      <c r="G3773">
        <v>-255.10429999999999</v>
      </c>
      <c r="H3773" s="1">
        <v>-2.2437409999999999E-6</v>
      </c>
      <c r="I3773">
        <v>138.70740000000001</v>
      </c>
      <c r="J3773">
        <v>-218.59819999999999</v>
      </c>
      <c r="K3773">
        <v>1.104878</v>
      </c>
      <c r="L3773">
        <v>139.64429999999999</v>
      </c>
      <c r="M3773">
        <v>-0.99953230000000004</v>
      </c>
      <c r="N3773">
        <v>-1.4113590000000001E-2</v>
      </c>
      <c r="O3773">
        <v>2.7129710000000001E-2</v>
      </c>
      <c r="P3773">
        <v>-0.99946829999999998</v>
      </c>
      <c r="Q3773">
        <v>-1.3821E-2</v>
      </c>
      <c r="R3773">
        <v>-2.9529880000000001E-2</v>
      </c>
      <c r="S3773">
        <v>-2.9980470000000001</v>
      </c>
      <c r="T3773">
        <v>-8.9938760000000006E-2</v>
      </c>
      <c r="U3773">
        <v>-7.5408939999999994E-2</v>
      </c>
      <c r="V3773">
        <v>-5.6631099999999997E-2</v>
      </c>
      <c r="W3773">
        <v>8.6719179999999996E-4</v>
      </c>
      <c r="X3773">
        <v>0.99839480000000003</v>
      </c>
      <c r="Y3773">
        <v>-5.222135E-2</v>
      </c>
      <c r="Z3773">
        <v>-1.582448E-3</v>
      </c>
      <c r="AA3773">
        <v>0.99863429999999997</v>
      </c>
      <c r="AB3773">
        <v>36</v>
      </c>
      <c r="AC3773">
        <v>-36.506100000000004</v>
      </c>
      <c r="AD3773">
        <v>-1.1048802437409999</v>
      </c>
      <c r="AE3773">
        <v>-0.93689999999997997</v>
      </c>
      <c r="AF3773">
        <v>-1.9252912013225201</v>
      </c>
      <c r="AG3773">
        <v>-1.1048802437409999</v>
      </c>
      <c r="AH3773">
        <v>36.4338880753848</v>
      </c>
      <c r="AI3773">
        <v>91.734579020463698</v>
      </c>
      <c r="AJ3773">
        <v>93.024891362365295</v>
      </c>
      <c r="AK3773">
        <v>36.501448010353897</v>
      </c>
      <c r="AL3773">
        <v>89.950313563856895</v>
      </c>
      <c r="AM3773">
        <v>93.246461080958795</v>
      </c>
      <c r="AN3773">
        <v>1.0000000050879301</v>
      </c>
    </row>
    <row r="3774" spans="1:40" x14ac:dyDescent="0.25">
      <c r="A3774" t="str">
        <f>"20190305135905338"</f>
        <v>20190305135905338</v>
      </c>
      <c r="B3774" t="str">
        <f>"1551765545332587"</f>
        <v>1551765545332587</v>
      </c>
      <c r="C3774" t="s">
        <v>40</v>
      </c>
      <c r="D3774">
        <v>4.0850759999999999</v>
      </c>
      <c r="E3774">
        <v>0.49966240000000001</v>
      </c>
      <c r="F3774" t="s">
        <v>42</v>
      </c>
      <c r="G3774">
        <v>-257.74619999999999</v>
      </c>
      <c r="H3774" s="1">
        <v>-1.1525289999999999E-6</v>
      </c>
      <c r="I3774">
        <v>138.4699</v>
      </c>
      <c r="J3774">
        <v>-218.94489999999999</v>
      </c>
      <c r="K3774">
        <v>1.1051759999999999</v>
      </c>
      <c r="L3774">
        <v>139.65690000000001</v>
      </c>
      <c r="M3774">
        <v>-0.99944549999999999</v>
      </c>
      <c r="N3774">
        <v>-1.382094E-2</v>
      </c>
      <c r="O3774">
        <v>3.0296690000000001E-2</v>
      </c>
      <c r="P3774">
        <v>-0.99941329999999995</v>
      </c>
      <c r="Q3774">
        <v>-1.147025E-2</v>
      </c>
      <c r="R3774">
        <v>-3.2271759999999997E-2</v>
      </c>
      <c r="S3774">
        <v>-2.997757</v>
      </c>
      <c r="T3774">
        <v>-8.4606290000000001E-2</v>
      </c>
      <c r="U3774">
        <v>-8.9920040000000007E-2</v>
      </c>
      <c r="V3774">
        <v>-6.2513600000000002E-2</v>
      </c>
      <c r="W3774">
        <v>2.9328470000000001E-3</v>
      </c>
      <c r="X3774">
        <v>0.99803980000000003</v>
      </c>
      <c r="Y3774">
        <v>-6.0215640000000001E-2</v>
      </c>
      <c r="Z3774">
        <v>-1.7018279999999901E-3</v>
      </c>
      <c r="AA3774">
        <v>0.99818399999999996</v>
      </c>
      <c r="AB3774">
        <v>36</v>
      </c>
      <c r="AC3774">
        <v>-38.801299999999998</v>
      </c>
      <c r="AD3774">
        <v>-1.105177152529</v>
      </c>
      <c r="AE3774">
        <v>-1.18700000000001</v>
      </c>
      <c r="AF3774">
        <v>-2.3602051276705498</v>
      </c>
      <c r="AG3774">
        <v>-1.105177152529</v>
      </c>
      <c r="AH3774">
        <v>38.716138961913799</v>
      </c>
      <c r="AI3774">
        <v>91.632072733908302</v>
      </c>
      <c r="AJ3774">
        <v>93.488536016645497</v>
      </c>
      <c r="AK3774">
        <v>38.803754984554899</v>
      </c>
      <c r="AL3774">
        <v>89.831960003549199</v>
      </c>
      <c r="AM3774">
        <v>93.584117893007104</v>
      </c>
      <c r="AN3774">
        <v>0.99999999708026199</v>
      </c>
    </row>
    <row r="3775" spans="1:40" x14ac:dyDescent="0.25">
      <c r="A3775" t="str">
        <f>"20190305135905361"</f>
        <v>20190305135905361</v>
      </c>
      <c r="B3775" t="str">
        <f>"1551765545353083"</f>
        <v>1551765545353083</v>
      </c>
      <c r="C3775" t="s">
        <v>40</v>
      </c>
      <c r="D3775">
        <v>4.0469210000000002</v>
      </c>
      <c r="E3775">
        <v>0.4997489</v>
      </c>
      <c r="F3775" t="s">
        <v>42</v>
      </c>
      <c r="G3775">
        <v>-261.50069999999999</v>
      </c>
      <c r="H3775" s="1">
        <v>-3.8645050000000004E-6</v>
      </c>
      <c r="I3775">
        <v>138.28559999999999</v>
      </c>
      <c r="J3775">
        <v>-219.32300000000001</v>
      </c>
      <c r="K3775">
        <v>1.105456</v>
      </c>
      <c r="L3775">
        <v>139.67169999999999</v>
      </c>
      <c r="M3775">
        <v>-0.99934590000000001</v>
      </c>
      <c r="N3775">
        <v>-1.349326E-2</v>
      </c>
      <c r="O3775">
        <v>3.3556780000000001E-2</v>
      </c>
      <c r="P3775">
        <v>-0.99939310000000003</v>
      </c>
      <c r="Q3775">
        <v>-8.1043219999999902E-3</v>
      </c>
      <c r="R3775">
        <v>-3.388588E-2</v>
      </c>
      <c r="S3775">
        <v>-2.9977420000000001</v>
      </c>
      <c r="T3775">
        <v>-7.7851890000000007E-2</v>
      </c>
      <c r="U3775">
        <v>-9.6588129999999994E-2</v>
      </c>
      <c r="V3775">
        <v>-6.7355209999999999E-2</v>
      </c>
      <c r="W3775">
        <v>5.9650220000000004E-3</v>
      </c>
      <c r="X3775">
        <v>0.99771120000000002</v>
      </c>
      <c r="Y3775">
        <v>-6.5691639999999996E-2</v>
      </c>
      <c r="Z3775">
        <v>-1.714531E-3</v>
      </c>
      <c r="AA3775">
        <v>0.99783849999999996</v>
      </c>
      <c r="AB3775">
        <v>36</v>
      </c>
      <c r="AC3775">
        <v>-42.177700000000002</v>
      </c>
      <c r="AD3775">
        <v>-1.105459864505</v>
      </c>
      <c r="AE3775">
        <v>-1.3860999999999899</v>
      </c>
      <c r="AF3775">
        <v>-2.7988750451481401</v>
      </c>
      <c r="AG3775">
        <v>-1.105459864505</v>
      </c>
      <c r="AH3775">
        <v>42.078550109959998</v>
      </c>
      <c r="AI3775">
        <v>91.501574183022598</v>
      </c>
      <c r="AJ3775">
        <v>93.805450836693595</v>
      </c>
      <c r="AK3775">
        <v>42.186018091149599</v>
      </c>
      <c r="AL3775">
        <v>89.658227378380303</v>
      </c>
      <c r="AM3775">
        <v>93.862162155482693</v>
      </c>
      <c r="AN3775">
        <v>0.99999997220352099</v>
      </c>
    </row>
    <row r="3776" spans="1:40" x14ac:dyDescent="0.25">
      <c r="A3776" t="str">
        <f>"20190305135905385"</f>
        <v>20190305135905385</v>
      </c>
      <c r="B3776" t="str">
        <f>"1551765545372604"</f>
        <v>1551765545372604</v>
      </c>
      <c r="C3776" t="s">
        <v>40</v>
      </c>
      <c r="D3776">
        <v>4.0910149999999996</v>
      </c>
      <c r="E3776">
        <v>0.50000800000000001</v>
      </c>
      <c r="F3776" t="s">
        <v>42</v>
      </c>
      <c r="G3776">
        <v>-269.35050000000001</v>
      </c>
      <c r="H3776" s="1">
        <v>-6.4031599999999995E-7</v>
      </c>
      <c r="I3776">
        <v>137.988</v>
      </c>
      <c r="J3776">
        <v>-219.70419999999999</v>
      </c>
      <c r="K3776">
        <v>1.105674</v>
      </c>
      <c r="L3776">
        <v>139.68770000000001</v>
      </c>
      <c r="M3776">
        <v>-0.99923859999999998</v>
      </c>
      <c r="N3776">
        <v>-1.3184359999999999E-2</v>
      </c>
      <c r="O3776">
        <v>3.6720450000000002E-2</v>
      </c>
      <c r="P3776">
        <v>-0.99941340000000001</v>
      </c>
      <c r="Q3776">
        <v>-4.9956660000000002E-3</v>
      </c>
      <c r="R3776">
        <v>-3.3880529999999999E-2</v>
      </c>
      <c r="S3776">
        <v>-2.9978639999999999</v>
      </c>
      <c r="T3776">
        <v>-6.6243769999999993E-2</v>
      </c>
      <c r="U3776">
        <v>-0.1008911</v>
      </c>
      <c r="V3776">
        <v>-7.0488590000000004E-2</v>
      </c>
      <c r="W3776">
        <v>8.7496750000000002E-3</v>
      </c>
      <c r="X3776">
        <v>0.99747419999999998</v>
      </c>
      <c r="Y3776">
        <v>-7.0286630000000003E-2</v>
      </c>
      <c r="Z3776">
        <v>-1.5668990000000001E-3</v>
      </c>
      <c r="AA3776">
        <v>0.99752560000000001</v>
      </c>
      <c r="AB3776">
        <v>36</v>
      </c>
      <c r="AC3776">
        <v>-49.646299999999997</v>
      </c>
      <c r="AD3776">
        <v>-1.105674640316</v>
      </c>
      <c r="AE3776">
        <v>-1.6997</v>
      </c>
      <c r="AF3776">
        <v>-3.5200025548601399</v>
      </c>
      <c r="AG3776">
        <v>-1.105674640316</v>
      </c>
      <c r="AH3776">
        <v>49.525856365593398</v>
      </c>
      <c r="AI3776">
        <v>91.275710266102806</v>
      </c>
      <c r="AJ3776">
        <v>94.065406066624206</v>
      </c>
      <c r="AK3776">
        <v>49.663098807281898</v>
      </c>
      <c r="AL3776">
        <v>89.498674148033302</v>
      </c>
      <c r="AM3776">
        <v>94.042205719421005</v>
      </c>
      <c r="AN3776">
        <v>0.99999998889921604</v>
      </c>
    </row>
    <row r="3777" spans="1:40" x14ac:dyDescent="0.25">
      <c r="A3777" t="str">
        <f>"20190305135905405"</f>
        <v>20190305135905405</v>
      </c>
      <c r="B3777" t="str">
        <f>"1551765545402860"</f>
        <v>1551765545402860</v>
      </c>
      <c r="C3777" t="s">
        <v>40</v>
      </c>
      <c r="D3777">
        <v>4.0885949999999998</v>
      </c>
      <c r="E3777">
        <v>0.50035370000000001</v>
      </c>
      <c r="F3777" t="s">
        <v>42</v>
      </c>
      <c r="G3777">
        <v>-278.99079999999998</v>
      </c>
      <c r="H3777" s="1">
        <v>-8.316251E-7</v>
      </c>
      <c r="I3777">
        <v>137.72899999999899</v>
      </c>
      <c r="J3777">
        <v>-220.04939999999999</v>
      </c>
      <c r="K3777">
        <v>1.1058059999999901</v>
      </c>
      <c r="L3777">
        <v>139.703</v>
      </c>
      <c r="M3777">
        <v>-0.99913569999999996</v>
      </c>
      <c r="N3777">
        <v>-1.292011E-2</v>
      </c>
      <c r="O3777">
        <v>3.9509570000000001E-2</v>
      </c>
      <c r="P3777">
        <v>-0.99942089999999995</v>
      </c>
      <c r="Q3777">
        <v>-4.1684599999999997E-3</v>
      </c>
      <c r="R3777">
        <v>-3.3776069999999998E-2</v>
      </c>
      <c r="S3777">
        <v>-2.9981080000000002</v>
      </c>
      <c r="T3777">
        <v>-5.5913810000000001E-2</v>
      </c>
      <c r="U3777">
        <v>-9.9044800000000002E-2</v>
      </c>
      <c r="V3777">
        <v>-7.3167200000000002E-2</v>
      </c>
      <c r="W3777">
        <v>9.3046919999999998E-3</v>
      </c>
      <c r="X3777">
        <v>0.9972763</v>
      </c>
      <c r="Y3777">
        <v>-7.2461339999999999E-2</v>
      </c>
      <c r="Z3777">
        <v>-1.369969E-3</v>
      </c>
      <c r="AA3777">
        <v>0.99737030000000004</v>
      </c>
      <c r="AB3777">
        <v>36</v>
      </c>
      <c r="AC3777">
        <v>-58.941399999999902</v>
      </c>
      <c r="AD3777">
        <v>-1.10580683162509</v>
      </c>
      <c r="AE3777">
        <v>-1.97400000000001</v>
      </c>
      <c r="AF3777">
        <v>-4.2998903151684296</v>
      </c>
      <c r="AG3777">
        <v>-1.10580683162509</v>
      </c>
      <c r="AH3777">
        <v>58.796699949065399</v>
      </c>
      <c r="AI3777">
        <v>91.074582513102598</v>
      </c>
      <c r="AJ3777">
        <v>94.182679747722801</v>
      </c>
      <c r="AK3777">
        <v>58.964088989585598</v>
      </c>
      <c r="AL3777">
        <v>89.466872735083598</v>
      </c>
      <c r="AM3777">
        <v>94.196103120646498</v>
      </c>
      <c r="AN3777">
        <v>1.00000001749537</v>
      </c>
    </row>
    <row r="3778" spans="1:40" x14ac:dyDescent="0.25">
      <c r="A3778" t="str">
        <f>"20190305135905427"</f>
        <v>20190305135905427</v>
      </c>
      <c r="B3778" t="str">
        <f>"1551765545422380"</f>
        <v>1551765545422380</v>
      </c>
      <c r="C3778" t="s">
        <v>40</v>
      </c>
      <c r="D3778">
        <v>4.08439</v>
      </c>
      <c r="E3778">
        <v>0.50057459999999998</v>
      </c>
      <c r="F3778" t="s">
        <v>79</v>
      </c>
      <c r="G3778">
        <v>-283.99439999999998</v>
      </c>
      <c r="H3778" s="1">
        <v>-4.6434289999999996E-6</v>
      </c>
      <c r="I3778">
        <v>137.65190000000001</v>
      </c>
      <c r="J3778">
        <v>-220.3947</v>
      </c>
      <c r="K3778">
        <v>1.1058889999999999</v>
      </c>
      <c r="L3778">
        <v>139.7193</v>
      </c>
      <c r="M3778">
        <v>-0.99902679999999999</v>
      </c>
      <c r="N3778">
        <v>-1.267245E-2</v>
      </c>
      <c r="O3778">
        <v>4.224953E-2</v>
      </c>
      <c r="P3778">
        <v>-0.99946230000000003</v>
      </c>
      <c r="Q3778">
        <v>-6.4564890000000002E-3</v>
      </c>
      <c r="R3778">
        <v>-3.21503E-2</v>
      </c>
      <c r="S3778">
        <v>-2.9982760000000002</v>
      </c>
      <c r="T3778">
        <v>-5.1849600000000003E-2</v>
      </c>
      <c r="U3778">
        <v>-9.6176150000000002E-2</v>
      </c>
      <c r="V3778">
        <v>-7.4301889999999995E-2</v>
      </c>
      <c r="W3778">
        <v>6.7565580000000002E-3</v>
      </c>
      <c r="X3778">
        <v>0.99721289999999996</v>
      </c>
      <c r="Y3778">
        <v>-7.4243580000000003E-2</v>
      </c>
      <c r="Z3778">
        <v>-1.307402E-3</v>
      </c>
      <c r="AA3778">
        <v>0.99723930000000005</v>
      </c>
      <c r="AB3778">
        <v>36</v>
      </c>
      <c r="AC3778">
        <v>-63.599699999999899</v>
      </c>
      <c r="AD3778">
        <v>-1.1058936434290001</v>
      </c>
      <c r="AE3778">
        <v>-2.0673999999999899</v>
      </c>
      <c r="AF3778">
        <v>-4.7513916142490098</v>
      </c>
      <c r="AG3778">
        <v>-1.1058936434290001</v>
      </c>
      <c r="AH3778">
        <v>63.436388349271098</v>
      </c>
      <c r="AI3778">
        <v>90.995953364946203</v>
      </c>
      <c r="AJ3778">
        <v>94.283461259933702</v>
      </c>
      <c r="AK3778">
        <v>63.623691262155397</v>
      </c>
      <c r="AL3778">
        <v>89.612874795116696</v>
      </c>
      <c r="AM3778">
        <v>94.261209094268096</v>
      </c>
      <c r="AN3778">
        <v>0.99999999492999403</v>
      </c>
    </row>
    <row r="3779" spans="1:40" x14ac:dyDescent="0.25">
      <c r="A3779" t="str">
        <f>"20190305135905450"</f>
        <v>20190305135905450</v>
      </c>
      <c r="B3779" t="str">
        <f>"1551765545442876"</f>
        <v>1551765545442876</v>
      </c>
      <c r="C3779" t="s">
        <v>40</v>
      </c>
      <c r="D3779">
        <v>4.0621340000000004</v>
      </c>
      <c r="E3779">
        <v>0.50074070000000004</v>
      </c>
      <c r="F3779" t="s">
        <v>42</v>
      </c>
      <c r="G3779">
        <v>-277.01870000000002</v>
      </c>
      <c r="H3779" s="1">
        <v>-1.543388E-6</v>
      </c>
      <c r="I3779">
        <v>138.0257</v>
      </c>
      <c r="J3779">
        <v>-220.77809999999999</v>
      </c>
      <c r="K3779">
        <v>1.10595</v>
      </c>
      <c r="L3779">
        <v>139.73840000000001</v>
      </c>
      <c r="M3779">
        <v>-0.99889830000000002</v>
      </c>
      <c r="N3779">
        <v>-1.242061E-2</v>
      </c>
      <c r="O3779">
        <v>4.5257230000000002E-2</v>
      </c>
      <c r="P3779">
        <v>-0.99951650000000003</v>
      </c>
      <c r="Q3779">
        <v>-8.4926689999999996E-3</v>
      </c>
      <c r="R3779">
        <v>-2.9920510000000001E-2</v>
      </c>
      <c r="S3779">
        <v>-2.998367</v>
      </c>
      <c r="T3779">
        <v>-5.8559420000000001E-2</v>
      </c>
      <c r="U3779">
        <v>-8.9675899999999906E-2</v>
      </c>
      <c r="V3779">
        <v>-7.5097399999999995E-2</v>
      </c>
      <c r="W3779">
        <v>4.4587150000000002E-3</v>
      </c>
      <c r="X3779">
        <v>0.9971662</v>
      </c>
      <c r="Y3779">
        <v>-7.5080179999999996E-2</v>
      </c>
      <c r="Z3779">
        <v>-1.5208929999999999E-3</v>
      </c>
      <c r="AA3779">
        <v>0.99717630000000002</v>
      </c>
      <c r="AB3779">
        <v>36</v>
      </c>
      <c r="AC3779">
        <v>-56.240600000000001</v>
      </c>
      <c r="AD3779">
        <v>-1.1059515433880001</v>
      </c>
      <c r="AE3779">
        <v>-1.7127000000000101</v>
      </c>
      <c r="AF3779">
        <v>-4.2547907847884101</v>
      </c>
      <c r="AG3779">
        <v>-1.1059515433880001</v>
      </c>
      <c r="AH3779">
        <v>56.0837796898184</v>
      </c>
      <c r="AI3779">
        <v>91.126469117251503</v>
      </c>
      <c r="AJ3779">
        <v>94.338428523601706</v>
      </c>
      <c r="AK3779">
        <v>56.255814968185497</v>
      </c>
      <c r="AL3779">
        <v>89.744533593057099</v>
      </c>
      <c r="AM3779">
        <v>94.306861738603601</v>
      </c>
      <c r="AN3779">
        <v>0.99999996502432398</v>
      </c>
    </row>
    <row r="3780" spans="1:40" x14ac:dyDescent="0.25">
      <c r="A3780" t="str">
        <f>"20190305135905473"</f>
        <v>20190305135905473</v>
      </c>
      <c r="B3780" t="str">
        <f>"1551765545462412"</f>
        <v>1551765545462412</v>
      </c>
      <c r="C3780" t="s">
        <v>40</v>
      </c>
      <c r="D3780">
        <v>4.0529479999999998</v>
      </c>
      <c r="E3780">
        <v>0.50089989999999995</v>
      </c>
      <c r="F3780" t="s">
        <v>42</v>
      </c>
      <c r="G3780">
        <v>-272.12639999999999</v>
      </c>
      <c r="H3780" s="1">
        <v>-3.586888E-6</v>
      </c>
      <c r="I3780">
        <v>138.33750000000001</v>
      </c>
      <c r="J3780">
        <v>-221.14510000000001</v>
      </c>
      <c r="K3780">
        <v>1.1059890000000001</v>
      </c>
      <c r="L3780">
        <v>139.7577</v>
      </c>
      <c r="M3780">
        <v>-0.99876699999999996</v>
      </c>
      <c r="N3780">
        <v>-1.2203500000000001E-2</v>
      </c>
      <c r="O3780">
        <v>4.8123449999999998E-2</v>
      </c>
      <c r="P3780">
        <v>-0.99957439999999997</v>
      </c>
      <c r="Q3780">
        <v>-1.0424839999999999E-2</v>
      </c>
      <c r="R3780">
        <v>-2.725091E-2</v>
      </c>
      <c r="S3780">
        <v>-2.998459</v>
      </c>
      <c r="T3780">
        <v>-6.4581749999999993E-2</v>
      </c>
      <c r="U3780">
        <v>-8.1802369999999999E-2</v>
      </c>
      <c r="V3780">
        <v>-7.5310959999999996E-2</v>
      </c>
      <c r="W3780">
        <v>2.3000859999999998E-3</v>
      </c>
      <c r="X3780">
        <v>0.99715750000000003</v>
      </c>
      <c r="Y3780">
        <v>-7.5319399999999995E-2</v>
      </c>
      <c r="Z3780">
        <v>-1.719471E-3</v>
      </c>
      <c r="AA3780">
        <v>0.99715799999999999</v>
      </c>
      <c r="AB3780">
        <v>36</v>
      </c>
      <c r="AC3780">
        <v>-50.981299999999898</v>
      </c>
      <c r="AD3780">
        <v>-1.1059925868879901</v>
      </c>
      <c r="AE3780">
        <v>-1.4201999999999899</v>
      </c>
      <c r="AF3780">
        <v>-3.8703125853129898</v>
      </c>
      <c r="AG3780">
        <v>-1.1059925868879901</v>
      </c>
      <c r="AH3780">
        <v>50.829970329130802</v>
      </c>
      <c r="AI3780">
        <v>91.242886739248107</v>
      </c>
      <c r="AJ3780">
        <v>94.354232579443703</v>
      </c>
      <c r="AK3780">
        <v>50.989101019439502</v>
      </c>
      <c r="AL3780">
        <v>89.868214670790593</v>
      </c>
      <c r="AM3780">
        <v>94.319100738575301</v>
      </c>
      <c r="AN3780">
        <v>1.0000000554489801</v>
      </c>
    </row>
    <row r="3781" spans="1:40" x14ac:dyDescent="0.25">
      <c r="A3781" t="str">
        <f>"20190305135905496"</f>
        <v>20190305135905496</v>
      </c>
      <c r="B3781" t="str">
        <f>"1551765545492652"</f>
        <v>1551765545492652</v>
      </c>
      <c r="C3781" t="s">
        <v>40</v>
      </c>
      <c r="D3781">
        <v>4.078309</v>
      </c>
      <c r="E3781">
        <v>0.50106629999999996</v>
      </c>
      <c r="F3781" t="s">
        <v>42</v>
      </c>
      <c r="G3781">
        <v>-268.65339999999998</v>
      </c>
      <c r="H3781" s="1">
        <v>-7.3868459999999995E-7</v>
      </c>
      <c r="I3781">
        <v>138.6088</v>
      </c>
      <c r="J3781">
        <v>-221.52160000000001</v>
      </c>
      <c r="K3781">
        <v>1.1060190000000001</v>
      </c>
      <c r="L3781">
        <v>139.77860000000001</v>
      </c>
      <c r="M3781">
        <v>-0.99862329999999999</v>
      </c>
      <c r="N3781">
        <v>-1.2004280000000001E-2</v>
      </c>
      <c r="O3781">
        <v>5.1064749999999999E-2</v>
      </c>
      <c r="P3781">
        <v>-0.99960179999999998</v>
      </c>
      <c r="Q3781">
        <v>-1.264117E-2</v>
      </c>
      <c r="R3781">
        <v>-2.523301E-2</v>
      </c>
      <c r="S3781">
        <v>-2.9985810000000002</v>
      </c>
      <c r="T3781">
        <v>-6.9806809999999997E-2</v>
      </c>
      <c r="U3781">
        <v>-7.2509770000000001E-2</v>
      </c>
      <c r="V3781">
        <v>-7.6251159999999998E-2</v>
      </c>
      <c r="W3781">
        <v>-1.178497E-4</v>
      </c>
      <c r="X3781">
        <v>0.99708859999999999</v>
      </c>
      <c r="Y3781">
        <v>-7.5162160000000006E-2</v>
      </c>
      <c r="Z3781">
        <v>-1.9012E-3</v>
      </c>
      <c r="AA3781">
        <v>0.99716950000000004</v>
      </c>
      <c r="AB3781">
        <v>36</v>
      </c>
      <c r="AC3781">
        <v>-47.131799999999899</v>
      </c>
      <c r="AD3781">
        <v>-1.1060197386846</v>
      </c>
      <c r="AE3781">
        <v>-1.1698</v>
      </c>
      <c r="AF3781">
        <v>-3.5732538588285099</v>
      </c>
      <c r="AG3781">
        <v>-1.1060197386846</v>
      </c>
      <c r="AH3781">
        <v>46.984703031838002</v>
      </c>
      <c r="AI3781">
        <v>91.344611938865796</v>
      </c>
      <c r="AJ3781">
        <v>94.349054148855004</v>
      </c>
      <c r="AK3781">
        <v>47.133361240123698</v>
      </c>
      <c r="AL3781">
        <v>90.006752290680396</v>
      </c>
      <c r="AM3781">
        <v>94.373114560114701</v>
      </c>
      <c r="AN3781">
        <v>0.99999996476992803</v>
      </c>
    </row>
    <row r="3782" spans="1:40" x14ac:dyDescent="0.25">
      <c r="A3782" t="str">
        <f>"20190305135905518"</f>
        <v>20190305135905518</v>
      </c>
      <c r="B3782" t="str">
        <f>"1551765545513147"</f>
        <v>1551765545513147</v>
      </c>
      <c r="C3782" t="s">
        <v>40</v>
      </c>
      <c r="D3782">
        <v>4.0753320000000004</v>
      </c>
      <c r="E3782">
        <v>0.50113079999999999</v>
      </c>
      <c r="F3782" t="s">
        <v>42</v>
      </c>
      <c r="G3782">
        <v>-265.30470000000003</v>
      </c>
      <c r="H3782" s="1">
        <v>-2.1364739999999999E-6</v>
      </c>
      <c r="I3782">
        <v>138.82759999999999</v>
      </c>
      <c r="J3782">
        <v>-221.87010000000001</v>
      </c>
      <c r="K3782">
        <v>1.106052</v>
      </c>
      <c r="L3782">
        <v>139.7989</v>
      </c>
      <c r="M3782">
        <v>-0.99848199999999998</v>
      </c>
      <c r="N3782">
        <v>-1.184085E-2</v>
      </c>
      <c r="O3782">
        <v>5.3793000000000001E-2</v>
      </c>
      <c r="P3782">
        <v>-0.99960130000000003</v>
      </c>
      <c r="Q3782">
        <v>-1.422226E-2</v>
      </c>
      <c r="R3782">
        <v>-2.439668E-2</v>
      </c>
      <c r="S3782">
        <v>-2.998596</v>
      </c>
      <c r="T3782">
        <v>-7.5748800000000005E-2</v>
      </c>
      <c r="U3782">
        <v>-6.5124509999999997E-2</v>
      </c>
      <c r="V3782">
        <v>-7.8152219999999994E-2</v>
      </c>
      <c r="W3782">
        <v>-1.8567869999999999E-3</v>
      </c>
      <c r="X3782">
        <v>0.99693969999999998</v>
      </c>
      <c r="Y3782">
        <v>-7.5425710000000007E-2</v>
      </c>
      <c r="Z3782">
        <v>-2.1203720000000001E-3</v>
      </c>
      <c r="AA3782">
        <v>0.99714919999999996</v>
      </c>
      <c r="AB3782">
        <v>36</v>
      </c>
      <c r="AC3782">
        <v>-43.434600000000003</v>
      </c>
      <c r="AD3782">
        <v>-1.106054136474</v>
      </c>
      <c r="AE3782">
        <v>-0.97130000000001304</v>
      </c>
      <c r="AF3782">
        <v>-3.3043927992016702</v>
      </c>
      <c r="AG3782">
        <v>-1.106054136474</v>
      </c>
      <c r="AH3782">
        <v>43.291391225160801</v>
      </c>
      <c r="AI3782">
        <v>91.4592916411342</v>
      </c>
      <c r="AJ3782">
        <v>94.364871469676203</v>
      </c>
      <c r="AK3782">
        <v>43.431404786561501</v>
      </c>
      <c r="AL3782">
        <v>90.106386120611603</v>
      </c>
      <c r="AM3782">
        <v>94.482370941927201</v>
      </c>
      <c r="AN3782">
        <v>0.99999999129248995</v>
      </c>
    </row>
    <row r="3783" spans="1:40" x14ac:dyDescent="0.25">
      <c r="A3783" t="str">
        <f>"20190305135905539"</f>
        <v>20190305135905539</v>
      </c>
      <c r="B3783" t="str">
        <f>"1551765545532668"</f>
        <v>1551765545532668</v>
      </c>
      <c r="C3783" t="s">
        <v>40</v>
      </c>
      <c r="D3783">
        <v>4.0571539999999997</v>
      </c>
      <c r="E3783">
        <v>0.50125929999999996</v>
      </c>
      <c r="F3783" t="s">
        <v>42</v>
      </c>
      <c r="G3783">
        <v>-263.4742</v>
      </c>
      <c r="H3783" s="1">
        <v>-2.9020100000000002E-6</v>
      </c>
      <c r="I3783">
        <v>138.93889999999999</v>
      </c>
      <c r="J3783">
        <v>-222.22280000000001</v>
      </c>
      <c r="K3783">
        <v>1.106082</v>
      </c>
      <c r="L3783">
        <v>139.82040000000001</v>
      </c>
      <c r="M3783">
        <v>-0.99833070000000002</v>
      </c>
      <c r="N3783">
        <v>-1.169501E-2</v>
      </c>
      <c r="O3783">
        <v>5.6559930000000001E-2</v>
      </c>
      <c r="P3783">
        <v>-0.99964169999999997</v>
      </c>
      <c r="Q3783">
        <v>-1.424418E-2</v>
      </c>
      <c r="R3783">
        <v>-2.2668649999999999E-2</v>
      </c>
      <c r="S3783">
        <v>-2.9985659999999998</v>
      </c>
      <c r="T3783">
        <v>-7.9717640000000006E-2</v>
      </c>
      <c r="U3783">
        <v>-6.19812E-2</v>
      </c>
      <c r="V3783">
        <v>-7.919226E-2</v>
      </c>
      <c r="W3783">
        <v>-2.023155E-3</v>
      </c>
      <c r="X3783">
        <v>0.99685729999999995</v>
      </c>
      <c r="Y3783">
        <v>-7.7139009999999994E-2</v>
      </c>
      <c r="Z3783">
        <v>-2.3176669999999998E-3</v>
      </c>
      <c r="AA3783">
        <v>0.99701770000000001</v>
      </c>
      <c r="AB3783">
        <v>36</v>
      </c>
      <c r="AC3783">
        <v>-41.251399999999897</v>
      </c>
      <c r="AD3783">
        <v>-1.1060849020100001</v>
      </c>
      <c r="AE3783">
        <v>-0.88150000000001605</v>
      </c>
      <c r="AF3783">
        <v>-3.21111701113175</v>
      </c>
      <c r="AG3783">
        <v>-1.1060849020100001</v>
      </c>
      <c r="AH3783">
        <v>41.1059552759382</v>
      </c>
      <c r="AI3783">
        <v>91.536671738113895</v>
      </c>
      <c r="AJ3783">
        <v>94.4667631902945</v>
      </c>
      <c r="AK3783">
        <v>41.246021085882496</v>
      </c>
      <c r="AL3783">
        <v>90.115918322820505</v>
      </c>
      <c r="AM3783">
        <v>94.542147688796902</v>
      </c>
      <c r="AN3783">
        <v>0.99999999188167499</v>
      </c>
    </row>
    <row r="3784" spans="1:40" x14ac:dyDescent="0.25">
      <c r="A3784" t="str">
        <f>"20190305135905562"</f>
        <v>20190305135905562</v>
      </c>
      <c r="B3784" t="str">
        <f>"1551765545553164"</f>
        <v>1551765545553164</v>
      </c>
      <c r="C3784" t="s">
        <v>40</v>
      </c>
      <c r="D3784">
        <v>4.063199</v>
      </c>
      <c r="E3784">
        <v>0.50130429999999904</v>
      </c>
      <c r="F3784" t="s">
        <v>42</v>
      </c>
      <c r="G3784">
        <v>-264.47190000000001</v>
      </c>
      <c r="H3784" s="1">
        <v>-2.4571050000000001E-6</v>
      </c>
      <c r="I3784">
        <v>139.0342</v>
      </c>
      <c r="J3784">
        <v>-222.6053</v>
      </c>
      <c r="K3784">
        <v>1.106104</v>
      </c>
      <c r="L3784">
        <v>139.8449</v>
      </c>
      <c r="M3784">
        <v>-0.99815759999999998</v>
      </c>
      <c r="N3784">
        <v>-1.155728E-2</v>
      </c>
      <c r="O3784">
        <v>5.9563499999999998E-2</v>
      </c>
      <c r="P3784">
        <v>-0.99968699999999999</v>
      </c>
      <c r="Q3784">
        <v>-1.3551479999999999E-2</v>
      </c>
      <c r="R3784">
        <v>-2.1028660000000001E-2</v>
      </c>
      <c r="S3784">
        <v>-2.9987029999999999</v>
      </c>
      <c r="T3784">
        <v>-7.8506350000000003E-2</v>
      </c>
      <c r="U3784">
        <v>-5.5801389999999999E-2</v>
      </c>
      <c r="V3784">
        <v>-8.0552689999999996E-2</v>
      </c>
      <c r="W3784">
        <v>-1.4637879999999999E-3</v>
      </c>
      <c r="X3784">
        <v>0.99674929999999995</v>
      </c>
      <c r="Y3784">
        <v>-7.8084520000000004E-2</v>
      </c>
      <c r="Z3784">
        <v>-2.3432549999999998E-3</v>
      </c>
      <c r="AA3784">
        <v>0.99694400000000005</v>
      </c>
      <c r="AB3784">
        <v>37</v>
      </c>
      <c r="AC3784">
        <v>-41.866599999999998</v>
      </c>
      <c r="AD3784">
        <v>-1.1061064571050001</v>
      </c>
      <c r="AE3784">
        <v>-0.81069999999999698</v>
      </c>
      <c r="AF3784">
        <v>-3.30084510242764</v>
      </c>
      <c r="AG3784">
        <v>-1.1061064571050001</v>
      </c>
      <c r="AH3784">
        <v>41.714859070808203</v>
      </c>
      <c r="AI3784">
        <v>91.514161718162995</v>
      </c>
      <c r="AJ3784">
        <v>94.524316949639299</v>
      </c>
      <c r="AK3784">
        <v>41.859867620216598</v>
      </c>
      <c r="AL3784">
        <v>90.083868902540601</v>
      </c>
      <c r="AM3784">
        <v>94.620339926611095</v>
      </c>
      <c r="AN3784">
        <v>1.00000002279601</v>
      </c>
    </row>
    <row r="3785" spans="1:40" x14ac:dyDescent="0.25">
      <c r="A3785" t="str">
        <f>"20190305135905585"</f>
        <v>20190305135905585</v>
      </c>
      <c r="B3785" t="str">
        <f>"1551765545572688"</f>
        <v>1551765545572688</v>
      </c>
      <c r="C3785" t="s">
        <v>40</v>
      </c>
      <c r="D3785">
        <v>4.0787120000000003</v>
      </c>
      <c r="E3785">
        <v>0.5013531</v>
      </c>
      <c r="F3785" t="s">
        <v>42</v>
      </c>
      <c r="G3785">
        <v>-266.78500000000003</v>
      </c>
      <c r="H3785" s="1">
        <v>-1.45291E-6</v>
      </c>
      <c r="I3785">
        <v>139.101</v>
      </c>
      <c r="J3785">
        <v>-222.97210000000001</v>
      </c>
      <c r="K3785">
        <v>1.106131</v>
      </c>
      <c r="L3785">
        <v>139.86949999999999</v>
      </c>
      <c r="M3785">
        <v>-0.99798310000000001</v>
      </c>
      <c r="N3785">
        <v>-1.144186E-2</v>
      </c>
      <c r="O3785">
        <v>6.2442610000000003E-2</v>
      </c>
      <c r="P3785">
        <v>-0.999726</v>
      </c>
      <c r="Q3785">
        <v>-1.229823E-2</v>
      </c>
      <c r="R3785">
        <v>-1.9916650000000001E-2</v>
      </c>
      <c r="S3785">
        <v>-2.99884</v>
      </c>
      <c r="T3785">
        <v>-7.5080510000000003E-2</v>
      </c>
      <c r="U3785">
        <v>-5.0491330000000001E-2</v>
      </c>
      <c r="V3785">
        <v>-8.2312159999999995E-2</v>
      </c>
      <c r="W3785">
        <v>-3.1776889999999999E-4</v>
      </c>
      <c r="X3785">
        <v>0.99660649999999995</v>
      </c>
      <c r="Y3785">
        <v>-7.9197649999999994E-2</v>
      </c>
      <c r="Z3785">
        <v>-2.2922300000000001E-3</v>
      </c>
      <c r="AA3785">
        <v>0.99685630000000003</v>
      </c>
      <c r="AB3785">
        <v>37</v>
      </c>
      <c r="AC3785">
        <v>-43.812899999999999</v>
      </c>
      <c r="AD3785">
        <v>-1.1061324529100001</v>
      </c>
      <c r="AE3785">
        <v>-0.76849999999998797</v>
      </c>
      <c r="AF3785">
        <v>-3.50074000738854</v>
      </c>
      <c r="AG3785">
        <v>-1.1061324529100001</v>
      </c>
      <c r="AH3785">
        <v>43.651585274434801</v>
      </c>
      <c r="AI3785">
        <v>91.446922518670803</v>
      </c>
      <c r="AJ3785">
        <v>94.585154601449801</v>
      </c>
      <c r="AK3785">
        <v>43.805702900124402</v>
      </c>
      <c r="AL3785">
        <v>90.018206817969798</v>
      </c>
      <c r="AM3785">
        <v>94.721481665375194</v>
      </c>
      <c r="AN3785">
        <v>0.99999995425159305</v>
      </c>
    </row>
    <row r="3786" spans="1:40" x14ac:dyDescent="0.25">
      <c r="A3786" t="str">
        <f>"20190305135905606"</f>
        <v>20190305135905606</v>
      </c>
      <c r="B3786" t="str">
        <f>"1551765545602940"</f>
        <v>1551765545602940</v>
      </c>
      <c r="C3786" t="s">
        <v>40</v>
      </c>
      <c r="D3786">
        <v>4.1898080000000002</v>
      </c>
      <c r="E3786">
        <v>0.50151380000000001</v>
      </c>
      <c r="F3786" t="s">
        <v>42</v>
      </c>
      <c r="G3786">
        <v>-270.26659999999998</v>
      </c>
      <c r="H3786" s="1">
        <v>-4.2439890000000003E-6</v>
      </c>
      <c r="I3786">
        <v>139.1309</v>
      </c>
      <c r="J3786">
        <v>-223.3177</v>
      </c>
      <c r="K3786">
        <v>1.106149</v>
      </c>
      <c r="L3786">
        <v>139.89349999999999</v>
      </c>
      <c r="M3786">
        <v>-0.9978108</v>
      </c>
      <c r="N3786">
        <v>-1.134656E-2</v>
      </c>
      <c r="O3786">
        <v>6.5153429999999998E-2</v>
      </c>
      <c r="P3786">
        <v>-0.99975939999999996</v>
      </c>
      <c r="Q3786">
        <v>-1.0631440000000001E-2</v>
      </c>
      <c r="R3786">
        <v>-1.9197079999999998E-2</v>
      </c>
      <c r="S3786">
        <v>-2.9990389999999998</v>
      </c>
      <c r="T3786">
        <v>-7.0142270000000007E-2</v>
      </c>
      <c r="U3786">
        <v>-4.6829219999999998E-2</v>
      </c>
      <c r="V3786">
        <v>-8.4291229999999995E-2</v>
      </c>
      <c r="W3786">
        <v>1.264397E-3</v>
      </c>
      <c r="X3786">
        <v>0.9964404</v>
      </c>
      <c r="Y3786">
        <v>-8.0691879999999994E-2</v>
      </c>
      <c r="Z3786">
        <v>-2.1847709999999998E-3</v>
      </c>
      <c r="AA3786">
        <v>0.99673670000000003</v>
      </c>
      <c r="AB3786">
        <v>37</v>
      </c>
      <c r="AC3786">
        <v>-46.948899999999902</v>
      </c>
      <c r="AD3786">
        <v>-1.1061532439890001</v>
      </c>
      <c r="AE3786">
        <v>-0.76259999999999195</v>
      </c>
      <c r="AF3786">
        <v>-3.81793927529462</v>
      </c>
      <c r="AG3786">
        <v>-1.1061532439890001</v>
      </c>
      <c r="AH3786">
        <v>46.773486028704497</v>
      </c>
      <c r="AI3786">
        <v>91.350254911043095</v>
      </c>
      <c r="AJ3786">
        <v>94.666487860981107</v>
      </c>
      <c r="AK3786">
        <v>46.942083790416099</v>
      </c>
      <c r="AL3786">
        <v>89.927555371898706</v>
      </c>
      <c r="AM3786">
        <v>94.835272749628601</v>
      </c>
      <c r="AN3786">
        <v>1.0000000404534199</v>
      </c>
    </row>
    <row r="3787" spans="1:40" x14ac:dyDescent="0.25">
      <c r="A3787" t="str">
        <f>"20190305135905629"</f>
        <v>20190305135905629</v>
      </c>
      <c r="B3787" t="str">
        <f>"1551765545622460"</f>
        <v>1551765545622460</v>
      </c>
      <c r="C3787" t="s">
        <v>40</v>
      </c>
      <c r="D3787">
        <v>4.1938000000000004</v>
      </c>
      <c r="E3787">
        <v>0.50181980000000004</v>
      </c>
      <c r="F3787" t="s">
        <v>42</v>
      </c>
      <c r="G3787">
        <v>-272.85140000000001</v>
      </c>
      <c r="H3787" s="1">
        <v>-3.1262479999999999E-6</v>
      </c>
      <c r="I3787">
        <v>139.1808</v>
      </c>
      <c r="J3787">
        <v>-223.69749999999999</v>
      </c>
      <c r="K3787">
        <v>1.10616</v>
      </c>
      <c r="L3787">
        <v>139.9211</v>
      </c>
      <c r="M3787">
        <v>-0.99761330000000004</v>
      </c>
      <c r="N3787">
        <v>-1.1255390000000001E-2</v>
      </c>
      <c r="O3787">
        <v>6.8126999999999993E-2</v>
      </c>
      <c r="P3787">
        <v>-0.99979850000000003</v>
      </c>
      <c r="Q3787">
        <v>-9.4765649999999993E-3</v>
      </c>
      <c r="R3787">
        <v>-1.771004E-2</v>
      </c>
      <c r="S3787">
        <v>-2.9991759999999998</v>
      </c>
      <c r="T3787">
        <v>-6.6975469999999995E-2</v>
      </c>
      <c r="U3787">
        <v>-4.315186E-2</v>
      </c>
      <c r="V3787">
        <v>-8.5771979999999998E-2</v>
      </c>
      <c r="W3787">
        <v>2.3363250000000002E-3</v>
      </c>
      <c r="X3787">
        <v>0.99631210000000003</v>
      </c>
      <c r="Y3787">
        <v>-8.2442180000000004E-2</v>
      </c>
      <c r="Z3787">
        <v>-2.1377549999999999E-3</v>
      </c>
      <c r="AA3787">
        <v>0.99659350000000002</v>
      </c>
      <c r="AB3787">
        <v>37</v>
      </c>
      <c r="AC3787">
        <v>-49.1539</v>
      </c>
      <c r="AD3787">
        <v>-1.1061631262480001</v>
      </c>
      <c r="AE3787">
        <v>-0.74029999999998997</v>
      </c>
      <c r="AF3787">
        <v>-4.0854307115505097</v>
      </c>
      <c r="AG3787">
        <v>-1.1061631262480001</v>
      </c>
      <c r="AH3787">
        <v>48.9644549526802</v>
      </c>
      <c r="AI3787">
        <v>91.289677308761995</v>
      </c>
      <c r="AJ3787">
        <v>94.769521146402994</v>
      </c>
      <c r="AK3787">
        <v>49.147046602759303</v>
      </c>
      <c r="AL3787">
        <v>89.866138322279198</v>
      </c>
      <c r="AM3787">
        <v>94.920431429513798</v>
      </c>
      <c r="AN3787">
        <v>1.00000004578701</v>
      </c>
    </row>
    <row r="3788" spans="1:40" x14ac:dyDescent="0.25">
      <c r="A3788" t="str">
        <f>"20190305135905651"</f>
        <v>20190305135905651</v>
      </c>
      <c r="B3788" t="str">
        <f>"1551765545642956"</f>
        <v>1551765545642956</v>
      </c>
      <c r="C3788" t="s">
        <v>40</v>
      </c>
      <c r="D3788">
        <v>4.1976719999999998</v>
      </c>
      <c r="E3788">
        <v>0.50208569999999997</v>
      </c>
      <c r="F3788" t="s">
        <v>42</v>
      </c>
      <c r="G3788">
        <v>-274.34370000000001</v>
      </c>
      <c r="H3788" s="1">
        <v>-2.4632629999999998E-6</v>
      </c>
      <c r="I3788">
        <v>139.30940000000001</v>
      </c>
      <c r="J3788">
        <v>-224.05500000000001</v>
      </c>
      <c r="K3788">
        <v>1.1061620000000001</v>
      </c>
      <c r="L3788">
        <v>139.94799999999901</v>
      </c>
      <c r="M3788">
        <v>-0.99742030000000004</v>
      </c>
      <c r="N3788">
        <v>-1.118075E-2</v>
      </c>
      <c r="O3788">
        <v>7.0907390000000001E-2</v>
      </c>
      <c r="P3788">
        <v>-0.99983719999999998</v>
      </c>
      <c r="Q3788">
        <v>-9.4730409999999998E-3</v>
      </c>
      <c r="R3788">
        <v>-1.5369580000000001E-2</v>
      </c>
      <c r="S3788">
        <v>-2.9993590000000001</v>
      </c>
      <c r="T3788">
        <v>-6.5508960000000005E-2</v>
      </c>
      <c r="U3788">
        <v>-3.6224369999999999E-2</v>
      </c>
      <c r="V3788">
        <v>-8.6217600000000005E-2</v>
      </c>
      <c r="W3788">
        <v>2.2657530000000001E-3</v>
      </c>
      <c r="X3788">
        <v>0.99627379999999999</v>
      </c>
      <c r="Y3788">
        <v>-8.2918850000000002E-2</v>
      </c>
      <c r="Z3788">
        <v>-2.1235099999999999E-3</v>
      </c>
      <c r="AA3788">
        <v>0.99655400000000005</v>
      </c>
      <c r="AB3788">
        <v>37</v>
      </c>
      <c r="AC3788">
        <v>-50.288699999999999</v>
      </c>
      <c r="AD3788">
        <v>-1.1061644632629899</v>
      </c>
      <c r="AE3788">
        <v>-0.63859999999996797</v>
      </c>
      <c r="AF3788">
        <v>-4.2010232486946499</v>
      </c>
      <c r="AG3788">
        <v>-1.1061644632629899</v>
      </c>
      <c r="AH3788">
        <v>50.092585642087599</v>
      </c>
      <c r="AI3788">
        <v>91.260598745607098</v>
      </c>
      <c r="AJ3788">
        <v>94.793902243968503</v>
      </c>
      <c r="AK3788">
        <v>50.280605927790297</v>
      </c>
      <c r="AL3788">
        <v>89.870181810627997</v>
      </c>
      <c r="AM3788">
        <v>94.946057769457298</v>
      </c>
      <c r="AN3788">
        <v>1.00000004637642</v>
      </c>
    </row>
    <row r="3789" spans="1:40" x14ac:dyDescent="0.25">
      <c r="A3789" t="str">
        <f>"20190305135905675"</f>
        <v>20190305135905675</v>
      </c>
      <c r="B3789" t="str">
        <f>"1551765545662476"</f>
        <v>1551765545662476</v>
      </c>
      <c r="C3789" t="s">
        <v>40</v>
      </c>
      <c r="D3789">
        <v>4.2588280000000003</v>
      </c>
      <c r="E3789">
        <v>0.50244630000000001</v>
      </c>
      <c r="F3789" t="s">
        <v>42</v>
      </c>
      <c r="G3789">
        <v>-273.30799999999999</v>
      </c>
      <c r="H3789" s="1">
        <v>-2.8730369999999998E-6</v>
      </c>
      <c r="I3789">
        <v>139.50389999999999</v>
      </c>
      <c r="J3789">
        <v>-224.44399999999999</v>
      </c>
      <c r="K3789">
        <v>1.1061730000000001</v>
      </c>
      <c r="L3789">
        <v>139.97839999999999</v>
      </c>
      <c r="M3789">
        <v>-0.99720500000000001</v>
      </c>
      <c r="N3789">
        <v>-1.1109829999999999E-2</v>
      </c>
      <c r="O3789">
        <v>7.3884899999999906E-2</v>
      </c>
      <c r="P3789">
        <v>-0.99985489999999999</v>
      </c>
      <c r="Q3789">
        <v>-1.0568259999999999E-2</v>
      </c>
      <c r="R3789">
        <v>-1.3364869999999999E-2</v>
      </c>
      <c r="S3789">
        <v>-2.9994510000000001</v>
      </c>
      <c r="T3789">
        <v>-6.7364099999999996E-2</v>
      </c>
      <c r="U3789">
        <v>-2.7038570000000001E-2</v>
      </c>
      <c r="V3789">
        <v>-8.7201570000000006E-2</v>
      </c>
      <c r="W3789">
        <v>1.099888E-3</v>
      </c>
      <c r="X3789">
        <v>0.99619009999999997</v>
      </c>
      <c r="Y3789">
        <v>-8.2840010000000006E-2</v>
      </c>
      <c r="Z3789">
        <v>-2.2272160000000002E-3</v>
      </c>
      <c r="AA3789">
        <v>0.99656040000000001</v>
      </c>
      <c r="AB3789">
        <v>37</v>
      </c>
      <c r="AC3789">
        <v>-48.863999999999898</v>
      </c>
      <c r="AD3789">
        <v>-1.1061758730369999</v>
      </c>
      <c r="AE3789">
        <v>-0.47450000000000597</v>
      </c>
      <c r="AF3789">
        <v>-4.0816455787391899</v>
      </c>
      <c r="AG3789">
        <v>-1.1061758730369999</v>
      </c>
      <c r="AH3789">
        <v>48.670426803709098</v>
      </c>
      <c r="AI3789">
        <v>91.297434879210002</v>
      </c>
      <c r="AJ3789">
        <v>94.793775903213202</v>
      </c>
      <c r="AK3789">
        <v>48.853801294758398</v>
      </c>
      <c r="AL3789">
        <v>89.936981048182403</v>
      </c>
      <c r="AM3789">
        <v>95.002638679368701</v>
      </c>
      <c r="AN3789">
        <v>1.0000000194510399</v>
      </c>
    </row>
    <row r="3790" spans="1:40" x14ac:dyDescent="0.25">
      <c r="A3790" t="str">
        <f>"20190305135905709"</f>
        <v>20190305135905709</v>
      </c>
      <c r="B3790" t="str">
        <f>"1551765545702493"</f>
        <v>1551765545702493</v>
      </c>
      <c r="C3790" t="s">
        <v>40</v>
      </c>
      <c r="D3790">
        <v>4.1910449999999999</v>
      </c>
      <c r="E3790">
        <v>0.50284910000000005</v>
      </c>
      <c r="F3790" t="s">
        <v>42</v>
      </c>
      <c r="G3790">
        <v>-270.35899999999998</v>
      </c>
      <c r="H3790" s="1">
        <v>-4.1408999999999996E-6</v>
      </c>
      <c r="I3790">
        <v>139.7013</v>
      </c>
      <c r="J3790">
        <v>-224.99510000000001</v>
      </c>
      <c r="K3790">
        <v>1.106258</v>
      </c>
      <c r="L3790">
        <v>140.02330000000001</v>
      </c>
      <c r="M3790">
        <v>-0.9968998</v>
      </c>
      <c r="N3790">
        <v>-1.102507E-2</v>
      </c>
      <c r="O3790">
        <v>7.7905199999999994E-2</v>
      </c>
      <c r="P3790">
        <v>-0.99987230000000005</v>
      </c>
      <c r="Q3790">
        <v>-1.1919300000000001E-2</v>
      </c>
      <c r="R3790">
        <v>-1.065696E-2</v>
      </c>
      <c r="S3790">
        <v>-2.9994350000000001</v>
      </c>
      <c r="T3790">
        <v>-7.2261930000000002E-2</v>
      </c>
      <c r="U3790">
        <v>-1.8096919999999999E-2</v>
      </c>
      <c r="V3790">
        <v>-8.8528759999999998E-2</v>
      </c>
      <c r="W3790">
        <v>-3.4924849999999998E-4</v>
      </c>
      <c r="X3790">
        <v>0.99607349999999995</v>
      </c>
      <c r="Y3790">
        <v>-8.3881430000000007E-2</v>
      </c>
      <c r="Z3790">
        <v>-2.4885969999999999E-3</v>
      </c>
      <c r="AA3790">
        <v>0.99647269999999999</v>
      </c>
      <c r="AB3790">
        <v>37</v>
      </c>
      <c r="AC3790">
        <v>-45.363900000000001</v>
      </c>
      <c r="AD3790">
        <v>-1.1062621409</v>
      </c>
      <c r="AE3790">
        <v>-0.32200000000000201</v>
      </c>
      <c r="AF3790">
        <v>-3.85302852100302</v>
      </c>
      <c r="AG3790">
        <v>-1.1062621409</v>
      </c>
      <c r="AH3790">
        <v>45.174061452725503</v>
      </c>
      <c r="AI3790">
        <v>91.397756028957502</v>
      </c>
      <c r="AJ3790">
        <v>94.875126346128098</v>
      </c>
      <c r="AK3790">
        <v>45.3515762994261</v>
      </c>
      <c r="AL3790">
        <v>90.020010466651399</v>
      </c>
      <c r="AM3790">
        <v>95.078973994048098</v>
      </c>
      <c r="AN3790">
        <v>0.99999994036194895</v>
      </c>
    </row>
    <row r="3791" spans="1:40" x14ac:dyDescent="0.25">
      <c r="A3791" t="str">
        <f>"20190305135905729"</f>
        <v>20190305135905729</v>
      </c>
      <c r="B3791" t="str">
        <f>"1551765545722988"</f>
        <v>1551765545722988</v>
      </c>
      <c r="C3791" t="s">
        <v>40</v>
      </c>
      <c r="D3791">
        <v>4.2066780000000001</v>
      </c>
      <c r="E3791">
        <v>0.50300049999999996</v>
      </c>
      <c r="F3791" t="s">
        <v>42</v>
      </c>
      <c r="G3791">
        <v>-266.63580000000002</v>
      </c>
      <c r="H3791" s="1">
        <v>-1.5095149999999999E-6</v>
      </c>
      <c r="I3791">
        <v>139.93180000000001</v>
      </c>
      <c r="J3791">
        <v>-225.34020000000001</v>
      </c>
      <c r="K3791">
        <v>1.1063459999999901</v>
      </c>
      <c r="L3791">
        <v>140.05250000000001</v>
      </c>
      <c r="M3791">
        <v>-0.99671330000000002</v>
      </c>
      <c r="N3791">
        <v>-1.0979310000000001E-2</v>
      </c>
      <c r="O3791">
        <v>8.026316E-2</v>
      </c>
      <c r="P3791">
        <v>-0.99991169999999996</v>
      </c>
      <c r="Q3791">
        <v>-1.024744E-2</v>
      </c>
      <c r="R3791">
        <v>-8.4693279999999999E-3</v>
      </c>
      <c r="S3791">
        <v>-2.9993439999999998</v>
      </c>
      <c r="T3791">
        <v>-7.9682950000000002E-2</v>
      </c>
      <c r="U3791">
        <v>-6.5917969999999999E-3</v>
      </c>
      <c r="V3791">
        <v>-8.8696369999999997E-2</v>
      </c>
      <c r="W3791">
        <v>1.25629E-3</v>
      </c>
      <c r="X3791">
        <v>0.99605790000000005</v>
      </c>
      <c r="Y3791">
        <v>-8.2407670000000002E-2</v>
      </c>
      <c r="Z3791">
        <v>-2.795395E-3</v>
      </c>
      <c r="AA3791">
        <v>0.9965948</v>
      </c>
      <c r="AB3791">
        <v>37</v>
      </c>
      <c r="AC3791">
        <v>-41.2956</v>
      </c>
      <c r="AD3791">
        <v>-1.1063475095149999</v>
      </c>
      <c r="AE3791">
        <v>-0.120699999999999</v>
      </c>
      <c r="AF3791">
        <v>-3.4325617656757101</v>
      </c>
      <c r="AG3791">
        <v>-1.1063475095149999</v>
      </c>
      <c r="AH3791">
        <v>41.1231478733256</v>
      </c>
      <c r="AI3791">
        <v>91.535734497459401</v>
      </c>
      <c r="AJ3791">
        <v>94.771435474340606</v>
      </c>
      <c r="AK3791">
        <v>41.280985648339197</v>
      </c>
      <c r="AL3791">
        <v>89.928019864942698</v>
      </c>
      <c r="AM3791">
        <v>95.088618769366406</v>
      </c>
      <c r="AN3791">
        <v>0.99999998223407505</v>
      </c>
    </row>
    <row r="3792" spans="1:40" x14ac:dyDescent="0.25">
      <c r="A3792" t="str">
        <f>"20190305135905752"</f>
        <v>20190305135905752</v>
      </c>
      <c r="B3792" t="str">
        <f>"1551765545742508"</f>
        <v>1551765545742508</v>
      </c>
      <c r="C3792" t="s">
        <v>40</v>
      </c>
      <c r="D3792">
        <v>4.2155019999999999</v>
      </c>
      <c r="E3792">
        <v>0.50312029999999996</v>
      </c>
      <c r="F3792" t="s">
        <v>42</v>
      </c>
      <c r="G3792">
        <v>-268.78410000000002</v>
      </c>
      <c r="H3792" s="1">
        <v>-6.2428010000000002E-7</v>
      </c>
      <c r="I3792">
        <v>140.0685</v>
      </c>
      <c r="J3792">
        <v>-225.71360000000001</v>
      </c>
      <c r="K3792">
        <v>1.1064780000000001</v>
      </c>
      <c r="L3792">
        <v>140.0847</v>
      </c>
      <c r="M3792">
        <v>-0.99652099999999999</v>
      </c>
      <c r="N3792">
        <v>-1.09356E-2</v>
      </c>
      <c r="O3792">
        <v>8.2621819999999999E-2</v>
      </c>
      <c r="P3792">
        <v>-0.99995049999999996</v>
      </c>
      <c r="Q3792">
        <v>-8.4617010000000003E-3</v>
      </c>
      <c r="R3792">
        <v>-5.2449239999999998E-3</v>
      </c>
      <c r="S3792">
        <v>-2.9994809999999998</v>
      </c>
      <c r="T3792">
        <v>-7.6385019999999998E-2</v>
      </c>
      <c r="U3792">
        <v>1.113892E-3</v>
      </c>
      <c r="V3792">
        <v>-8.783349E-2</v>
      </c>
      <c r="W3792">
        <v>2.962887E-3</v>
      </c>
      <c r="X3792">
        <v>0.99613079999999998</v>
      </c>
      <c r="Y3792">
        <v>-8.2209909999999997E-2</v>
      </c>
      <c r="Z3792">
        <v>-2.6939009999999998E-3</v>
      </c>
      <c r="AA3792">
        <v>0.99661140000000004</v>
      </c>
      <c r="AB3792">
        <v>37</v>
      </c>
      <c r="AC3792">
        <v>-43.070500000000003</v>
      </c>
      <c r="AD3792">
        <v>-1.1064786242800999</v>
      </c>
      <c r="AE3792">
        <v>-1.6199999999997699E-2</v>
      </c>
      <c r="AF3792">
        <v>-3.5725626076886901</v>
      </c>
      <c r="AG3792">
        <v>-1.1064786242800999</v>
      </c>
      <c r="AH3792">
        <v>42.8935759885523</v>
      </c>
      <c r="AI3792">
        <v>91.472572225914703</v>
      </c>
      <c r="AJ3792">
        <v>94.761118499169299</v>
      </c>
      <c r="AK3792">
        <v>43.0563161408121</v>
      </c>
      <c r="AL3792">
        <v>89.830238837403002</v>
      </c>
      <c r="AM3792">
        <v>95.039003547359002</v>
      </c>
      <c r="AN3792">
        <v>1.00000003568679</v>
      </c>
    </row>
    <row r="3793" spans="1:40" x14ac:dyDescent="0.25">
      <c r="A3793" t="str">
        <f>"20190305135905776"</f>
        <v>20190305135905776</v>
      </c>
      <c r="B3793" t="str">
        <f>"1551765545772764"</f>
        <v>1551765545772764</v>
      </c>
      <c r="C3793" t="s">
        <v>40</v>
      </c>
      <c r="D3793">
        <v>4.2082870000000003</v>
      </c>
      <c r="E3793">
        <v>0.5032257</v>
      </c>
      <c r="F3793" t="s">
        <v>42</v>
      </c>
      <c r="G3793">
        <v>-271.4556</v>
      </c>
      <c r="H3793" s="1">
        <v>-3.820142E-6</v>
      </c>
      <c r="I3793">
        <v>140.2638</v>
      </c>
      <c r="J3793">
        <v>-226.10329999999999</v>
      </c>
      <c r="K3793">
        <v>1.106665</v>
      </c>
      <c r="L3793">
        <v>140.119</v>
      </c>
      <c r="M3793">
        <v>-0.99634100000000003</v>
      </c>
      <c r="N3793">
        <v>-1.089529E-2</v>
      </c>
      <c r="O3793">
        <v>8.4771570000000004E-2</v>
      </c>
      <c r="P3793">
        <v>-0.99994300000000003</v>
      </c>
      <c r="Q3793">
        <v>-1.021358E-2</v>
      </c>
      <c r="R3793">
        <v>-3.1857259999999998E-3</v>
      </c>
      <c r="S3793">
        <v>-2.999619</v>
      </c>
      <c r="T3793">
        <v>-7.2559600000000002E-2</v>
      </c>
      <c r="U3793">
        <v>1.1749269999999999E-2</v>
      </c>
      <c r="V3793">
        <v>-8.7941160000000004E-2</v>
      </c>
      <c r="W3793">
        <v>1.1256370000000001E-3</v>
      </c>
      <c r="X3793">
        <v>0.99612500000000004</v>
      </c>
      <c r="Y3793">
        <v>-8.0831449999999999E-2</v>
      </c>
      <c r="Z3793">
        <v>-2.5418609999999999E-3</v>
      </c>
      <c r="AA3793">
        <v>0.99672450000000001</v>
      </c>
      <c r="AB3793">
        <v>37</v>
      </c>
      <c r="AC3793">
        <v>-45.3523</v>
      </c>
      <c r="AD3793">
        <v>-1.1066688201420001</v>
      </c>
      <c r="AE3793">
        <v>0.14480000000000301</v>
      </c>
      <c r="AF3793">
        <v>-3.6983324557396</v>
      </c>
      <c r="AG3793">
        <v>-1.1066688201420001</v>
      </c>
      <c r="AH3793">
        <v>45.174408392274302</v>
      </c>
      <c r="AI3793">
        <v>91.398656326330894</v>
      </c>
      <c r="AJ3793">
        <v>94.680245665713898</v>
      </c>
      <c r="AK3793">
        <v>45.339051075454101</v>
      </c>
      <c r="AL3793">
        <v>89.935505734769094</v>
      </c>
      <c r="AM3793">
        <v>95.045177934154793</v>
      </c>
      <c r="AN3793">
        <v>0.99999996515290002</v>
      </c>
    </row>
    <row r="3794" spans="1:40" x14ac:dyDescent="0.25">
      <c r="A3794" t="str">
        <f>"20190305135905795"</f>
        <v>20190305135905795</v>
      </c>
      <c r="B3794" t="str">
        <f>"1551765545792791"</f>
        <v>1551765545792791</v>
      </c>
      <c r="C3794" t="s">
        <v>40</v>
      </c>
      <c r="D3794">
        <v>4.1865269999999999</v>
      </c>
      <c r="E3794">
        <v>0.50327999999999995</v>
      </c>
      <c r="F3794" t="s">
        <v>42</v>
      </c>
      <c r="G3794">
        <v>-267.5822</v>
      </c>
      <c r="H3794" s="1">
        <v>-1.2230519999999999E-6</v>
      </c>
      <c r="I3794">
        <v>140.3811</v>
      </c>
      <c r="J3794">
        <v>-226.43270000000001</v>
      </c>
      <c r="K3794">
        <v>1.1068720000000001</v>
      </c>
      <c r="L3794">
        <v>140.14850000000001</v>
      </c>
      <c r="M3794">
        <v>-0.99621389999999999</v>
      </c>
      <c r="N3794">
        <v>-1.0865140000000001E-2</v>
      </c>
      <c r="O3794">
        <v>8.6255520000000002E-2</v>
      </c>
      <c r="P3794">
        <v>-0.99990250000000003</v>
      </c>
      <c r="Q3794">
        <v>-1.3819339999999999E-2</v>
      </c>
      <c r="R3794">
        <v>-2.0289290000000001E-3</v>
      </c>
      <c r="S3794">
        <v>-2.9994350000000001</v>
      </c>
      <c r="T3794">
        <v>-8.0025550000000001E-2</v>
      </c>
      <c r="U3794">
        <v>1.895142E-2</v>
      </c>
      <c r="V3794">
        <v>-8.8287180000000007E-2</v>
      </c>
      <c r="W3794">
        <v>-2.5601629999999998E-3</v>
      </c>
      <c r="X3794">
        <v>0.99609179999999997</v>
      </c>
      <c r="Y3794">
        <v>-7.9913520000000002E-2</v>
      </c>
      <c r="Z3794">
        <v>-2.860656E-3</v>
      </c>
      <c r="AA3794">
        <v>0.99679770000000001</v>
      </c>
      <c r="AB3794">
        <v>37</v>
      </c>
      <c r="AC3794">
        <v>-41.149499999999897</v>
      </c>
      <c r="AD3794">
        <v>-1.10687322305199</v>
      </c>
      <c r="AE3794">
        <v>0.23259999999999001</v>
      </c>
      <c r="AF3794">
        <v>-3.3154488723886701</v>
      </c>
      <c r="AG3794">
        <v>-1.10687322305199</v>
      </c>
      <c r="AH3794">
        <v>40.986529151327403</v>
      </c>
      <c r="AI3794">
        <v>91.541907292254393</v>
      </c>
      <c r="AJ3794">
        <v>94.624654023659104</v>
      </c>
      <c r="AK3794">
        <v>41.135300429557297</v>
      </c>
      <c r="AL3794">
        <v>90.146686691001605</v>
      </c>
      <c r="AM3794">
        <v>95.065093957885793</v>
      </c>
      <c r="AN3794">
        <v>1.0000000273070799</v>
      </c>
    </row>
    <row r="3795" spans="1:40" x14ac:dyDescent="0.25">
      <c r="A3795" t="str">
        <f>"20190305135905820"</f>
        <v>20190305135905820</v>
      </c>
      <c r="B3795" t="str">
        <f>"1551765545812311"</f>
        <v>1551765545812311</v>
      </c>
      <c r="C3795" t="s">
        <v>40</v>
      </c>
      <c r="D3795">
        <v>4.2419739999999999</v>
      </c>
      <c r="E3795">
        <v>0.50335029999999903</v>
      </c>
      <c r="F3795" t="s">
        <v>42</v>
      </c>
      <c r="G3795">
        <v>-262.50130000000001</v>
      </c>
      <c r="H3795" s="1">
        <v>-3.4140970000000002E-6</v>
      </c>
      <c r="I3795">
        <v>140.4237</v>
      </c>
      <c r="J3795">
        <v>-226.82650000000001</v>
      </c>
      <c r="K3795">
        <v>1.1072</v>
      </c>
      <c r="L3795">
        <v>140.18389999999999</v>
      </c>
      <c r="M3795">
        <v>-0.99609700000000001</v>
      </c>
      <c r="N3795">
        <v>-1.0834150000000001E-2</v>
      </c>
      <c r="O3795">
        <v>8.759873E-2</v>
      </c>
      <c r="P3795">
        <v>-0.99985849999999998</v>
      </c>
      <c r="Q3795">
        <v>-1.6779189999999999E-2</v>
      </c>
      <c r="R3795">
        <v>-1.3129089999999999E-3</v>
      </c>
      <c r="S3795">
        <v>-2.999069</v>
      </c>
      <c r="T3795">
        <v>-9.2035889999999995E-2</v>
      </c>
      <c r="U3795">
        <v>2.2888180000000001E-2</v>
      </c>
      <c r="V3795">
        <v>-8.8923470000000004E-2</v>
      </c>
      <c r="W3795">
        <v>-5.6231659999999998E-3</v>
      </c>
      <c r="X3795">
        <v>0.99602259999999998</v>
      </c>
      <c r="Y3795">
        <v>-7.9931070000000007E-2</v>
      </c>
      <c r="Z3795">
        <v>-3.394149E-3</v>
      </c>
      <c r="AA3795">
        <v>0.99679459999999998</v>
      </c>
      <c r="AB3795">
        <v>37</v>
      </c>
      <c r="AC3795">
        <v>-35.674799999999998</v>
      </c>
      <c r="AD3795">
        <v>-1.107203414097</v>
      </c>
      <c r="AE3795">
        <v>0.23980000000000201</v>
      </c>
      <c r="AF3795">
        <v>-2.8835948500763902</v>
      </c>
      <c r="AG3795">
        <v>-1.107203414097</v>
      </c>
      <c r="AH3795">
        <v>35.5244349539838</v>
      </c>
      <c r="AI3795">
        <v>91.779332662417005</v>
      </c>
      <c r="AJ3795">
        <v>94.640647314541496</v>
      </c>
      <c r="AK3795">
        <v>35.658470206381601</v>
      </c>
      <c r="AL3795">
        <v>90.322185373492204</v>
      </c>
      <c r="AM3795">
        <v>95.101758957154601</v>
      </c>
      <c r="AN3795">
        <v>1.00000001161173</v>
      </c>
    </row>
    <row r="3796" spans="1:40" x14ac:dyDescent="0.25">
      <c r="A3796" t="str">
        <f>"20190305135905842"</f>
        <v>20190305135905842</v>
      </c>
      <c r="B3796" t="str">
        <f>"1551765545832807"</f>
        <v>1551765545832807</v>
      </c>
      <c r="C3796" t="s">
        <v>40</v>
      </c>
      <c r="D3796">
        <v>4.3766410000000002</v>
      </c>
      <c r="E3796">
        <v>0.50341670000000005</v>
      </c>
      <c r="F3796" t="s">
        <v>42</v>
      </c>
      <c r="G3796">
        <v>-259.35980000000001</v>
      </c>
      <c r="H3796" s="1">
        <v>-4.8193989999999999E-7</v>
      </c>
      <c r="I3796">
        <v>140.46170000000001</v>
      </c>
      <c r="J3796">
        <v>-227.20169999999999</v>
      </c>
      <c r="K3796">
        <v>1.10754</v>
      </c>
      <c r="L3796">
        <v>140.21770000000001</v>
      </c>
      <c r="M3796">
        <v>-0.99602360000000001</v>
      </c>
      <c r="N3796">
        <v>-1.08103E-2</v>
      </c>
      <c r="O3796">
        <v>8.8430739999999994E-2</v>
      </c>
      <c r="P3796">
        <v>-0.99984030000000002</v>
      </c>
      <c r="Q3796">
        <v>-1.782063E-2</v>
      </c>
      <c r="R3796">
        <v>-1.367977E-3</v>
      </c>
      <c r="S3796">
        <v>-2.9987490000000001</v>
      </c>
      <c r="T3796">
        <v>-0.10205599999999999</v>
      </c>
      <c r="U3796">
        <v>2.5619510000000002E-2</v>
      </c>
      <c r="V3796">
        <v>-8.9807150000000002E-2</v>
      </c>
      <c r="W3796">
        <v>-6.7614950000000002E-3</v>
      </c>
      <c r="X3796">
        <v>0.99593620000000005</v>
      </c>
      <c r="Y3796">
        <v>-7.9838480000000003E-2</v>
      </c>
      <c r="Z3796">
        <v>-3.8384479999999999E-3</v>
      </c>
      <c r="AA3796">
        <v>0.99680040000000003</v>
      </c>
      <c r="AB3796">
        <v>37</v>
      </c>
      <c r="AC3796">
        <v>-32.158099999999997</v>
      </c>
      <c r="AD3796">
        <v>-1.1075404819399</v>
      </c>
      <c r="AE3796">
        <v>0.243999999999999</v>
      </c>
      <c r="AF3796">
        <v>-2.5978057664236398</v>
      </c>
      <c r="AG3796">
        <v>-1.1075404819399</v>
      </c>
      <c r="AH3796">
        <v>32.0157055642172</v>
      </c>
      <c r="AI3796">
        <v>91.974795550676205</v>
      </c>
      <c r="AJ3796">
        <v>94.638908582955693</v>
      </c>
      <c r="AK3796">
        <v>32.140016233565397</v>
      </c>
      <c r="AL3796">
        <v>90.387408087076295</v>
      </c>
      <c r="AM3796">
        <v>95.152630888459399</v>
      </c>
      <c r="AN3796">
        <v>0.99999997823809805</v>
      </c>
    </row>
    <row r="3797" spans="1:40" x14ac:dyDescent="0.25">
      <c r="A3797" t="str">
        <f>"20190305135905863"</f>
        <v>20190305135905863</v>
      </c>
      <c r="B3797" t="str">
        <f>"1551765545852327"</f>
        <v>1551765545852327</v>
      </c>
      <c r="C3797" t="s">
        <v>40</v>
      </c>
      <c r="D3797">
        <v>4.3793749999999996</v>
      </c>
      <c r="E3797">
        <v>0.5241304</v>
      </c>
      <c r="F3797" t="s">
        <v>42</v>
      </c>
      <c r="G3797">
        <v>-258.5772</v>
      </c>
      <c r="H3797" s="1">
        <v>-8.250485E-7</v>
      </c>
      <c r="I3797">
        <v>140.48949999999999</v>
      </c>
      <c r="J3797">
        <v>-227.54859999999999</v>
      </c>
      <c r="K3797">
        <v>1.1078490000000001</v>
      </c>
      <c r="L3797">
        <v>140.249</v>
      </c>
      <c r="M3797">
        <v>-0.99598220000000004</v>
      </c>
      <c r="N3797">
        <v>-1.079156E-2</v>
      </c>
      <c r="O3797">
        <v>8.8900409999999999E-2</v>
      </c>
      <c r="P3797">
        <v>-0.99985760000000001</v>
      </c>
      <c r="Q3797">
        <v>-1.6795830000000001E-2</v>
      </c>
      <c r="R3797">
        <v>-1.699332E-3</v>
      </c>
      <c r="S3797">
        <v>-2.9986109999999999</v>
      </c>
      <c r="T3797">
        <v>-0.1058495</v>
      </c>
      <c r="U3797">
        <v>2.598572E-2</v>
      </c>
      <c r="V3797">
        <v>-9.0600739999999999E-2</v>
      </c>
      <c r="W3797">
        <v>-5.8180089999999999E-3</v>
      </c>
      <c r="X3797">
        <v>0.99587029999999999</v>
      </c>
      <c r="Y3797">
        <v>-8.0179219999999995E-2</v>
      </c>
      <c r="Z3797">
        <v>-4.0209729999999997E-3</v>
      </c>
      <c r="AA3797">
        <v>0.99677229999999994</v>
      </c>
      <c r="AB3797">
        <v>37</v>
      </c>
      <c r="AC3797">
        <v>-31.028600000000001</v>
      </c>
      <c r="AD3797">
        <v>-1.1078498250485</v>
      </c>
      <c r="AE3797">
        <v>0.24049999999999699</v>
      </c>
      <c r="AF3797">
        <v>-2.51586087986054</v>
      </c>
      <c r="AG3797">
        <v>-1.1078498250485</v>
      </c>
      <c r="AH3797">
        <v>30.887737458134399</v>
      </c>
      <c r="AI3797">
        <v>92.047371461586195</v>
      </c>
      <c r="AJ3797">
        <v>94.656562977184194</v>
      </c>
      <c r="AK3797">
        <v>31.009824451039901</v>
      </c>
      <c r="AL3797">
        <v>90.333349241866401</v>
      </c>
      <c r="AM3797">
        <v>95.198256381864198</v>
      </c>
      <c r="AN3797">
        <v>0.99999999886968005</v>
      </c>
    </row>
    <row r="3798" spans="1:40" x14ac:dyDescent="0.25">
      <c r="A3798" t="str">
        <f>"20190305135905884"</f>
        <v>20190305135905884</v>
      </c>
      <c r="B3798" t="str">
        <f>"1551765545872827"</f>
        <v>1551765545872827</v>
      </c>
      <c r="C3798" t="s">
        <v>40</v>
      </c>
      <c r="D3798">
        <v>4.2924699999999998</v>
      </c>
      <c r="E3798">
        <v>0.53864400000000001</v>
      </c>
      <c r="F3798" t="s">
        <v>42</v>
      </c>
      <c r="G3798">
        <v>-246.11699999999999</v>
      </c>
      <c r="H3798" s="1">
        <v>-2.1380830000000001E-6</v>
      </c>
      <c r="I3798">
        <v>141.45779999999999</v>
      </c>
      <c r="J3798">
        <v>-227.8997</v>
      </c>
      <c r="K3798">
        <v>1.1081369999999999</v>
      </c>
      <c r="L3798">
        <v>140.28049999999999</v>
      </c>
      <c r="M3798">
        <v>-0.99596580000000001</v>
      </c>
      <c r="N3798">
        <v>-1.0774779999999999E-2</v>
      </c>
      <c r="O3798">
        <v>8.9085300000000006E-2</v>
      </c>
      <c r="P3798">
        <v>-0.99988809999999995</v>
      </c>
      <c r="Q3798">
        <v>-1.490992E-2</v>
      </c>
      <c r="R3798">
        <v>-1.389869E-3</v>
      </c>
      <c r="S3798">
        <v>-2.997757</v>
      </c>
      <c r="T3798">
        <v>-0.17885580000000001</v>
      </c>
      <c r="U3798">
        <v>0.1951599</v>
      </c>
      <c r="V3798">
        <v>-9.0472360000000002E-2</v>
      </c>
      <c r="W3798">
        <v>-4.007437E-3</v>
      </c>
      <c r="X3798">
        <v>0.99589090000000002</v>
      </c>
      <c r="Y3798">
        <v>-2.4040519999999999E-2</v>
      </c>
      <c r="Z3798">
        <v>-5.1813939999999998E-3</v>
      </c>
      <c r="AA3798">
        <v>0.99969759999999996</v>
      </c>
      <c r="AB3798">
        <v>37</v>
      </c>
      <c r="AC3798">
        <v>-18.217300000000002</v>
      </c>
      <c r="AD3798">
        <v>-1.1081391380829999</v>
      </c>
      <c r="AE3798">
        <v>1.1773</v>
      </c>
      <c r="AF3798">
        <v>-0.44871579170696402</v>
      </c>
      <c r="AG3798">
        <v>-1.1081391380829999</v>
      </c>
      <c r="AH3798">
        <v>18.1827465479194</v>
      </c>
      <c r="AI3798">
        <v>93.486492502468707</v>
      </c>
      <c r="AJ3798">
        <v>91.413664530491602</v>
      </c>
      <c r="AK3798">
        <v>18.2220084029438</v>
      </c>
      <c r="AL3798">
        <v>90.229609842237195</v>
      </c>
      <c r="AM3798">
        <v>95.190824005291006</v>
      </c>
      <c r="AN3798">
        <v>0.999999996089044</v>
      </c>
    </row>
    <row r="3799" spans="1:40" x14ac:dyDescent="0.25">
      <c r="A3799" t="str">
        <f>"20190305135905908"</f>
        <v>20190305135905908</v>
      </c>
      <c r="B3799" t="str">
        <f>"1551765545903079"</f>
        <v>1551765545903079</v>
      </c>
      <c r="C3799" t="s">
        <v>40</v>
      </c>
      <c r="D3799">
        <v>4.2521500000000003</v>
      </c>
      <c r="E3799">
        <v>0.54740979999999995</v>
      </c>
      <c r="F3799" t="s">
        <v>42</v>
      </c>
      <c r="G3799">
        <v>-245.7474</v>
      </c>
      <c r="H3799" s="1">
        <v>-2.478804E-6</v>
      </c>
      <c r="I3799">
        <v>142.14240000000001</v>
      </c>
      <c r="J3799">
        <v>-228.2988</v>
      </c>
      <c r="K3799">
        <v>1.108422</v>
      </c>
      <c r="L3799">
        <v>140.31630000000001</v>
      </c>
      <c r="M3799">
        <v>-0.99597610000000003</v>
      </c>
      <c r="N3799">
        <v>-1.0758169999999999E-2</v>
      </c>
      <c r="O3799">
        <v>8.897207E-2</v>
      </c>
      <c r="P3799">
        <v>-0.99990849999999998</v>
      </c>
      <c r="Q3799">
        <v>-1.351482E-2</v>
      </c>
      <c r="R3799">
        <v>-9.5009119999999998E-4</v>
      </c>
      <c r="S3799">
        <v>-2.9980159999999998</v>
      </c>
      <c r="T3799">
        <v>-0.1861428</v>
      </c>
      <c r="U3799">
        <v>0.31275940000000002</v>
      </c>
      <c r="V3799">
        <v>-8.9918570000000003E-2</v>
      </c>
      <c r="W3799">
        <v>-2.689346E-3</v>
      </c>
      <c r="X3799">
        <v>0.99594550000000004</v>
      </c>
      <c r="Y3799">
        <v>1.49322999999999E-2</v>
      </c>
      <c r="Z3799">
        <v>-3.9937080000000003E-3</v>
      </c>
      <c r="AA3799">
        <v>0.99988060000000001</v>
      </c>
      <c r="AB3799">
        <v>37</v>
      </c>
      <c r="AC3799">
        <v>-17.448599999999999</v>
      </c>
      <c r="AD3799">
        <v>-1.1084244788040001</v>
      </c>
      <c r="AE3799">
        <v>1.8260999999999901</v>
      </c>
      <c r="AF3799">
        <v>0.265270401764724</v>
      </c>
      <c r="AG3799">
        <v>-1.1084244788040001</v>
      </c>
      <c r="AH3799">
        <v>17.472130378358202</v>
      </c>
      <c r="AI3799">
        <v>93.629538106358495</v>
      </c>
      <c r="AJ3799">
        <v>89.130174371247804</v>
      </c>
      <c r="AK3799">
        <v>17.5092636387031</v>
      </c>
      <c r="AL3799">
        <v>90.154088359592294</v>
      </c>
      <c r="AM3799">
        <v>95.158941154681202</v>
      </c>
      <c r="AN3799">
        <v>1.0000000103915001</v>
      </c>
    </row>
    <row r="3800" spans="1:40" x14ac:dyDescent="0.25">
      <c r="A3800" t="str">
        <f>"20190305135905931"</f>
        <v>20190305135905931</v>
      </c>
      <c r="B3800" t="str">
        <f>"1551765545922599"</f>
        <v>1551765545922599</v>
      </c>
      <c r="C3800" t="s">
        <v>40</v>
      </c>
      <c r="D3800">
        <v>4.2616110000000003</v>
      </c>
      <c r="E3800">
        <v>0.54905000000000004</v>
      </c>
      <c r="F3800" t="s">
        <v>42</v>
      </c>
      <c r="G3800">
        <v>-245.8348</v>
      </c>
      <c r="H3800" s="1">
        <v>-2.5539069999999998E-6</v>
      </c>
      <c r="I3800">
        <v>142.56549999999999</v>
      </c>
      <c r="J3800">
        <v>-228.6703</v>
      </c>
      <c r="K3800">
        <v>1.108663</v>
      </c>
      <c r="L3800">
        <v>140.3494</v>
      </c>
      <c r="M3800">
        <v>-0.99600710000000003</v>
      </c>
      <c r="N3800">
        <v>-1.074491E-2</v>
      </c>
      <c r="O3800">
        <v>8.8624649999999999E-2</v>
      </c>
      <c r="P3800">
        <v>-0.99991830000000004</v>
      </c>
      <c r="Q3800">
        <v>-1.269791E-2</v>
      </c>
      <c r="R3800">
        <v>-1.5389430000000001E-3</v>
      </c>
      <c r="S3800">
        <v>-2.9980929999999999</v>
      </c>
      <c r="T3800">
        <v>-0.18950520000000001</v>
      </c>
      <c r="U3800">
        <v>0.384552</v>
      </c>
      <c r="V3800">
        <v>-9.0156169999999994E-2</v>
      </c>
      <c r="W3800">
        <v>-1.9369070000000001E-3</v>
      </c>
      <c r="X3800">
        <v>0.99592579999999997</v>
      </c>
      <c r="Y3800">
        <v>3.8842910000000001E-2</v>
      </c>
      <c r="Z3800">
        <v>-3.1790439999999998E-3</v>
      </c>
      <c r="AA3800">
        <v>0.99924029999999997</v>
      </c>
      <c r="AB3800">
        <v>37</v>
      </c>
      <c r="AC3800">
        <v>-17.1645</v>
      </c>
      <c r="AD3800">
        <v>-1.1086655539070001</v>
      </c>
      <c r="AE3800">
        <v>2.21609999999998</v>
      </c>
      <c r="AF3800">
        <v>0.68328925450853295</v>
      </c>
      <c r="AG3800">
        <v>-1.1086655539070001</v>
      </c>
      <c r="AH3800">
        <v>17.2226898522878</v>
      </c>
      <c r="AI3800">
        <v>93.680296593013296</v>
      </c>
      <c r="AJ3800">
        <v>87.728051217351194</v>
      </c>
      <c r="AK3800">
        <v>17.271857724745299</v>
      </c>
      <c r="AL3800">
        <v>90.110976661044006</v>
      </c>
      <c r="AM3800">
        <v>95.172601003978301</v>
      </c>
      <c r="AN3800">
        <v>1.00000004285171</v>
      </c>
    </row>
    <row r="3801" spans="1:40" x14ac:dyDescent="0.25">
      <c r="A3801" t="str">
        <f>"20190305135905952"</f>
        <v>20190305135905952</v>
      </c>
      <c r="B3801" t="str">
        <f>"1551765545943095"</f>
        <v>1551765545943095</v>
      </c>
      <c r="C3801" t="s">
        <v>40</v>
      </c>
      <c r="D3801">
        <v>4.2289810000000001</v>
      </c>
      <c r="E3801">
        <v>0.55022119999999997</v>
      </c>
      <c r="F3801" t="s">
        <v>42</v>
      </c>
      <c r="G3801">
        <v>-245.8826</v>
      </c>
      <c r="H3801" s="1">
        <v>-2.549014E-6</v>
      </c>
      <c r="I3801">
        <v>142.62430000000001</v>
      </c>
      <c r="J3801">
        <v>-229.02940000000001</v>
      </c>
      <c r="K3801">
        <v>1.108876</v>
      </c>
      <c r="L3801">
        <v>140.3811</v>
      </c>
      <c r="M3801">
        <v>-0.99605109999999997</v>
      </c>
      <c r="N3801">
        <v>-1.073378E-2</v>
      </c>
      <c r="O3801">
        <v>8.8130410000000006E-2</v>
      </c>
      <c r="P3801">
        <v>-0.99992219999999998</v>
      </c>
      <c r="Q3801">
        <v>-1.2205300000000001E-2</v>
      </c>
      <c r="R3801">
        <v>-2.6617609999999999E-3</v>
      </c>
      <c r="S3801">
        <v>-2.9984130000000002</v>
      </c>
      <c r="T3801">
        <v>-0.193131</v>
      </c>
      <c r="U3801">
        <v>0.39630130000000002</v>
      </c>
      <c r="V3801">
        <v>-9.0780239999999998E-2</v>
      </c>
      <c r="W3801">
        <v>-1.500815E-3</v>
      </c>
      <c r="X3801">
        <v>0.99586980000000003</v>
      </c>
      <c r="Y3801">
        <v>4.316656E-2</v>
      </c>
      <c r="Z3801">
        <v>-3.0734339999999999E-3</v>
      </c>
      <c r="AA3801">
        <v>0.99906309999999998</v>
      </c>
      <c r="AB3801">
        <v>37</v>
      </c>
      <c r="AC3801">
        <v>-16.853199999999902</v>
      </c>
      <c r="AD3801">
        <v>-1.1088785490140001</v>
      </c>
      <c r="AE3801">
        <v>2.2431999999999999</v>
      </c>
      <c r="AF3801">
        <v>0.74593252156497902</v>
      </c>
      <c r="AG3801">
        <v>-1.1088785490140001</v>
      </c>
      <c r="AH3801">
        <v>16.913375207185499</v>
      </c>
      <c r="AI3801">
        <v>93.747438146278</v>
      </c>
      <c r="AJ3801">
        <v>87.474714131710698</v>
      </c>
      <c r="AK3801">
        <v>16.9660922979403</v>
      </c>
      <c r="AL3801">
        <v>90.085990399203396</v>
      </c>
      <c r="AM3801">
        <v>95.208501282711595</v>
      </c>
      <c r="AN3801">
        <v>0.99999998148608005</v>
      </c>
    </row>
    <row r="3802" spans="1:40" x14ac:dyDescent="0.25">
      <c r="A3802" t="str">
        <f>"20190305135905976"</f>
        <v>20190305135905976</v>
      </c>
      <c r="B3802" t="str">
        <f>"1551765545972375"</f>
        <v>1551765545972375</v>
      </c>
      <c r="C3802" t="s">
        <v>40</v>
      </c>
      <c r="D3802">
        <v>4.1693610000000003</v>
      </c>
      <c r="E3802">
        <v>0.55144349999999998</v>
      </c>
      <c r="F3802" t="s">
        <v>42</v>
      </c>
      <c r="G3802">
        <v>-246.54570000000001</v>
      </c>
      <c r="H3802" s="1">
        <v>-2.2928689999999999E-6</v>
      </c>
      <c r="I3802">
        <v>142.73070000000001</v>
      </c>
      <c r="J3802">
        <v>-229.3999</v>
      </c>
      <c r="K3802">
        <v>1.109057</v>
      </c>
      <c r="L3802">
        <v>140.4135</v>
      </c>
      <c r="M3802">
        <v>-0.99610509999999997</v>
      </c>
      <c r="N3802">
        <v>-1.072378E-2</v>
      </c>
      <c r="O3802">
        <v>8.751958E-2</v>
      </c>
      <c r="P3802">
        <v>-0.99991490000000005</v>
      </c>
      <c r="Q3802">
        <v>-1.2434600000000001E-2</v>
      </c>
      <c r="R3802">
        <v>-3.9470340000000003E-3</v>
      </c>
      <c r="S3802">
        <v>-2.998993</v>
      </c>
      <c r="T3802">
        <v>-0.18985250000000001</v>
      </c>
      <c r="U3802">
        <v>0.40229799999999999</v>
      </c>
      <c r="V3802">
        <v>-9.1448310000000005E-2</v>
      </c>
      <c r="W3802">
        <v>-1.781606E-3</v>
      </c>
      <c r="X3802">
        <v>0.99580820000000003</v>
      </c>
      <c r="Y3802">
        <v>4.5708499999999999E-2</v>
      </c>
      <c r="Z3802">
        <v>-2.8757090000000002E-3</v>
      </c>
      <c r="AA3802">
        <v>0.99895069999999997</v>
      </c>
      <c r="AB3802">
        <v>37</v>
      </c>
      <c r="AC3802">
        <v>-17.145800000000001</v>
      </c>
      <c r="AD3802">
        <v>-1.109059292869</v>
      </c>
      <c r="AE3802">
        <v>2.3172000000000099</v>
      </c>
      <c r="AF3802">
        <v>0.80432300186936001</v>
      </c>
      <c r="AG3802">
        <v>-1.109059292869</v>
      </c>
      <c r="AH3802">
        <v>17.212088559541002</v>
      </c>
      <c r="AI3802">
        <v>93.682743722860906</v>
      </c>
      <c r="AJ3802">
        <v>87.324507583273203</v>
      </c>
      <c r="AK3802">
        <v>17.266526593033099</v>
      </c>
      <c r="AL3802">
        <v>90.102078561685005</v>
      </c>
      <c r="AM3802">
        <v>95.246941290691197</v>
      </c>
      <c r="AN3802">
        <v>0.99999996935451696</v>
      </c>
    </row>
    <row r="3803" spans="1:40" x14ac:dyDescent="0.25">
      <c r="A3803" t="str">
        <f>"20190305135905996"</f>
        <v>20190305135905996</v>
      </c>
      <c r="B3803" t="str">
        <f>"1551765545992871"</f>
        <v>1551765545992871</v>
      </c>
      <c r="C3803" t="s">
        <v>40</v>
      </c>
      <c r="D3803">
        <v>4.1847539999999999</v>
      </c>
      <c r="E3803">
        <v>0.55195050000000001</v>
      </c>
      <c r="F3803" t="s">
        <v>42</v>
      </c>
      <c r="G3803">
        <v>-247.43549999999999</v>
      </c>
      <c r="H3803" s="1">
        <v>-1.9466309999999999E-6</v>
      </c>
      <c r="I3803">
        <v>142.86410000000001</v>
      </c>
      <c r="J3803">
        <v>-229.74809999999999</v>
      </c>
      <c r="K3803">
        <v>1.1091949999999999</v>
      </c>
      <c r="L3803">
        <v>140.44370000000001</v>
      </c>
      <c r="M3803">
        <v>-0.99616059999999995</v>
      </c>
      <c r="N3803">
        <v>-1.071571E-2</v>
      </c>
      <c r="O3803">
        <v>8.688688E-2</v>
      </c>
      <c r="P3803">
        <v>-0.99990369999999995</v>
      </c>
      <c r="Q3803">
        <v>-1.288254E-2</v>
      </c>
      <c r="R3803">
        <v>-5.1572950000000001E-3</v>
      </c>
      <c r="S3803">
        <v>-2.9995880000000001</v>
      </c>
      <c r="T3803">
        <v>-0.1844527</v>
      </c>
      <c r="U3803">
        <v>0.40757749999999998</v>
      </c>
      <c r="V3803">
        <v>-9.2019920000000005E-2</v>
      </c>
      <c r="W3803">
        <v>-2.2701430000000001E-3</v>
      </c>
      <c r="X3803">
        <v>0.99575460000000005</v>
      </c>
      <c r="Y3803">
        <v>4.8035210000000002E-2</v>
      </c>
      <c r="Z3803">
        <v>-2.6447240000000002E-3</v>
      </c>
      <c r="AA3803">
        <v>0.99884209999999995</v>
      </c>
      <c r="AB3803">
        <v>37</v>
      </c>
      <c r="AC3803">
        <v>-17.687399999999901</v>
      </c>
      <c r="AD3803">
        <v>-1.1091969466310001</v>
      </c>
      <c r="AE3803">
        <v>2.4203999999999999</v>
      </c>
      <c r="AF3803">
        <v>0.87099189915533204</v>
      </c>
      <c r="AG3803">
        <v>-1.1091969466310001</v>
      </c>
      <c r="AH3803">
        <v>17.762245574691399</v>
      </c>
      <c r="AI3803">
        <v>93.5690258126413</v>
      </c>
      <c r="AJ3803">
        <v>87.192684994904496</v>
      </c>
      <c r="AK3803">
        <v>17.818145599653501</v>
      </c>
      <c r="AL3803">
        <v>90.130069721737797</v>
      </c>
      <c r="AM3803">
        <v>95.279835828004707</v>
      </c>
      <c r="AN3803">
        <v>1.0000000213236</v>
      </c>
    </row>
    <row r="3804" spans="1:40" x14ac:dyDescent="0.25">
      <c r="A3804" t="str">
        <f>"20190305135906020"</f>
        <v>20190305135906020</v>
      </c>
      <c r="B3804" t="str">
        <f>"1551765546012392"</f>
        <v>1551765546012392</v>
      </c>
      <c r="C3804" t="s">
        <v>40</v>
      </c>
      <c r="D3804">
        <v>4.1571569999999998</v>
      </c>
      <c r="E3804">
        <v>0.55228109999999997</v>
      </c>
      <c r="F3804" t="s">
        <v>42</v>
      </c>
      <c r="G3804">
        <v>-247.83250000000001</v>
      </c>
      <c r="H3804" s="1">
        <v>-1.7861900000000001E-6</v>
      </c>
      <c r="I3804">
        <v>142.90110000000001</v>
      </c>
      <c r="J3804">
        <v>-230.13239999999999</v>
      </c>
      <c r="K3804">
        <v>1.1092979999999999</v>
      </c>
      <c r="L3804">
        <v>140.47669999999999</v>
      </c>
      <c r="M3804">
        <v>-0.99622509999999997</v>
      </c>
      <c r="N3804">
        <v>-1.0707650000000001E-2</v>
      </c>
      <c r="O3804">
        <v>8.6145029999999997E-2</v>
      </c>
      <c r="P3804">
        <v>-0.99988929999999998</v>
      </c>
      <c r="Q3804">
        <v>-1.363516E-2</v>
      </c>
      <c r="R3804">
        <v>-5.9637569999999897E-3</v>
      </c>
      <c r="S3804">
        <v>-3.0000309999999999</v>
      </c>
      <c r="T3804">
        <v>-0.18400549999999999</v>
      </c>
      <c r="U3804">
        <v>0.40766910000000001</v>
      </c>
      <c r="V3804">
        <v>-9.2079540000000001E-2</v>
      </c>
      <c r="W3804">
        <v>-3.0582740000000001E-3</v>
      </c>
      <c r="X3804">
        <v>0.99574700000000005</v>
      </c>
      <c r="Y3804">
        <v>4.8786620000000003E-2</v>
      </c>
      <c r="Z3804">
        <v>-2.571771E-3</v>
      </c>
      <c r="AA3804">
        <v>0.99880590000000002</v>
      </c>
      <c r="AB3804">
        <v>37</v>
      </c>
      <c r="AC3804">
        <v>-17.700099999999999</v>
      </c>
      <c r="AD3804">
        <v>-1.10929978618999</v>
      </c>
      <c r="AE3804">
        <v>2.4244000000000199</v>
      </c>
      <c r="AF3804">
        <v>0.88710333348075399</v>
      </c>
      <c r="AG3804">
        <v>-1.10929978618999</v>
      </c>
      <c r="AH3804">
        <v>17.7746271717157</v>
      </c>
      <c r="AI3804">
        <v>93.566722763719895</v>
      </c>
      <c r="AJ3804">
        <v>87.142829582780706</v>
      </c>
      <c r="AK3804">
        <v>17.831289056975301</v>
      </c>
      <c r="AL3804">
        <v>90.1752264586965</v>
      </c>
      <c r="AM3804">
        <v>95.283277394833902</v>
      </c>
      <c r="AN3804">
        <v>1.0000000413677299</v>
      </c>
    </row>
    <row r="3805" spans="1:40" x14ac:dyDescent="0.25">
      <c r="A3805" t="str">
        <f>"20190305135906043"</f>
        <v>20190305135906043</v>
      </c>
      <c r="B3805" t="str">
        <f>"1551765546032887"</f>
        <v>1551765546032887</v>
      </c>
      <c r="C3805" t="s">
        <v>40</v>
      </c>
      <c r="D3805">
        <v>4.1640509999999997</v>
      </c>
      <c r="E3805">
        <v>0.55262670000000003</v>
      </c>
      <c r="F3805" t="s">
        <v>41</v>
      </c>
      <c r="G3805">
        <v>-231.15729999999999</v>
      </c>
      <c r="H3805">
        <v>1.0460480000000001</v>
      </c>
      <c r="I3805">
        <v>140.61590000000001</v>
      </c>
      <c r="J3805">
        <v>-230.52</v>
      </c>
      <c r="K3805">
        <v>1.1093839999999999</v>
      </c>
      <c r="L3805">
        <v>140.50960000000001</v>
      </c>
      <c r="M3805">
        <v>-0.99629259999999997</v>
      </c>
      <c r="N3805">
        <v>-1.069519E-2</v>
      </c>
      <c r="O3805">
        <v>8.5362209999999994E-2</v>
      </c>
      <c r="P3805">
        <v>-0.99988069999999896</v>
      </c>
      <c r="Q3805">
        <v>-1.3574030000000001E-2</v>
      </c>
      <c r="R3805">
        <v>-7.3647499999999998E-3</v>
      </c>
      <c r="S3805">
        <v>-3.0002439999999999</v>
      </c>
      <c r="T3805">
        <v>-0.18515860000000001</v>
      </c>
      <c r="U3805">
        <v>0.40754699999999999</v>
      </c>
      <c r="V3805">
        <v>-9.2691579999999996E-2</v>
      </c>
      <c r="W3805">
        <v>-3.031784E-3</v>
      </c>
      <c r="X3805">
        <v>0.99569019999999997</v>
      </c>
      <c r="Y3805">
        <v>4.9519939999999998E-2</v>
      </c>
      <c r="Z3805">
        <v>-2.5305359999999999E-3</v>
      </c>
      <c r="AA3805">
        <v>0.99876989999999999</v>
      </c>
      <c r="AB3805">
        <v>37</v>
      </c>
      <c r="AC3805">
        <v>-0.63729999999998199</v>
      </c>
      <c r="AD3805">
        <v>-6.3336000000000003E-2</v>
      </c>
      <c r="AE3805">
        <v>0.106300000000004</v>
      </c>
      <c r="AF3805">
        <v>5.10172671583096E-2</v>
      </c>
      <c r="AG3805">
        <v>-6.3336000000000003E-2</v>
      </c>
      <c r="AH3805">
        <v>0.63791809764228002</v>
      </c>
      <c r="AI3805">
        <v>95.652127108644294</v>
      </c>
      <c r="AJ3805">
        <v>85.427522795991607</v>
      </c>
      <c r="AK3805">
        <v>0.64308141766330695</v>
      </c>
      <c r="AL3805">
        <v>90.173708702821003</v>
      </c>
      <c r="AM3805">
        <v>95.318495555306896</v>
      </c>
      <c r="AN3805">
        <v>0.99999994754657795</v>
      </c>
    </row>
    <row r="3806" spans="1:40" x14ac:dyDescent="0.25">
      <c r="A3806" t="str">
        <f>"20190305135906066"</f>
        <v>20190305135906066</v>
      </c>
      <c r="B3806" t="str">
        <f>"1551765546063144"</f>
        <v>1551765546063144</v>
      </c>
      <c r="C3806" t="s">
        <v>40</v>
      </c>
      <c r="D3806">
        <v>4.1506420000000004</v>
      </c>
      <c r="E3806">
        <v>0.55306699999999998</v>
      </c>
      <c r="F3806" t="s">
        <v>41</v>
      </c>
      <c r="G3806">
        <v>-231.4924</v>
      </c>
      <c r="H3806">
        <v>1.0497559999999999</v>
      </c>
      <c r="I3806">
        <v>140.6413</v>
      </c>
      <c r="J3806">
        <v>-230.88300000000001</v>
      </c>
      <c r="K3806">
        <v>1.109445</v>
      </c>
      <c r="L3806">
        <v>140.5401</v>
      </c>
      <c r="M3806">
        <v>-0.9963573</v>
      </c>
      <c r="N3806">
        <v>-1.068261E-2</v>
      </c>
      <c r="O3806">
        <v>8.4605250000000007E-2</v>
      </c>
      <c r="P3806">
        <v>-0.99987669999999995</v>
      </c>
      <c r="Q3806">
        <v>-1.347316E-2</v>
      </c>
      <c r="R3806">
        <v>-8.0675230000000001E-3</v>
      </c>
      <c r="S3806">
        <v>-3.0008539999999999</v>
      </c>
      <c r="T3806">
        <v>-0.1841235</v>
      </c>
      <c r="U3806">
        <v>0.40580749999999999</v>
      </c>
      <c r="V3806">
        <v>-9.2634140000000004E-2</v>
      </c>
      <c r="W3806">
        <v>-2.9595400000000001E-3</v>
      </c>
      <c r="X3806">
        <v>0.99569580000000002</v>
      </c>
      <c r="Y3806">
        <v>4.9681580000000003E-2</v>
      </c>
      <c r="Z3806">
        <v>-2.4669980000000002E-3</v>
      </c>
      <c r="AA3806">
        <v>0.99876209999999999</v>
      </c>
      <c r="AB3806">
        <v>37</v>
      </c>
      <c r="AC3806">
        <v>-0.60940000000002204</v>
      </c>
      <c r="AD3806">
        <v>-5.9689000000000103E-2</v>
      </c>
      <c r="AE3806">
        <v>0.10120000000000499</v>
      </c>
      <c r="AF3806">
        <v>4.8819938638273198E-2</v>
      </c>
      <c r="AG3806">
        <v>-5.9689000000000103E-2</v>
      </c>
      <c r="AH3806">
        <v>0.61008148672409201</v>
      </c>
      <c r="AI3806">
        <v>95.570212367783697</v>
      </c>
      <c r="AJ3806">
        <v>85.424826446337903</v>
      </c>
      <c r="AK3806">
        <v>0.61493543040966703</v>
      </c>
      <c r="AL3806">
        <v>90.169569401476394</v>
      </c>
      <c r="AM3806">
        <v>95.315188898995004</v>
      </c>
      <c r="AN3806">
        <v>0.99999998445409499</v>
      </c>
    </row>
    <row r="3807" spans="1:40" x14ac:dyDescent="0.25">
      <c r="A3807" t="str">
        <f>"20190305135906086"</f>
        <v>20190305135906086</v>
      </c>
      <c r="B3807" t="str">
        <f>"1551765546082664"</f>
        <v>1551765546082664</v>
      </c>
      <c r="C3807" t="s">
        <v>40</v>
      </c>
      <c r="D3807">
        <v>4.1438379999999997</v>
      </c>
      <c r="E3807">
        <v>0.55326809999999904</v>
      </c>
      <c r="F3807" t="s">
        <v>41</v>
      </c>
      <c r="G3807">
        <v>-231.82589999999999</v>
      </c>
      <c r="H3807">
        <v>1.0516859999999999</v>
      </c>
      <c r="I3807">
        <v>140.6678</v>
      </c>
      <c r="J3807">
        <v>-231.23099999999999</v>
      </c>
      <c r="K3807">
        <v>1.109513</v>
      </c>
      <c r="L3807">
        <v>140.56899999999999</v>
      </c>
      <c r="M3807">
        <v>-0.99642269999999999</v>
      </c>
      <c r="N3807">
        <v>-1.0671979999999999E-2</v>
      </c>
      <c r="O3807">
        <v>8.3834270000000002E-2</v>
      </c>
      <c r="P3807">
        <v>-0.99986249999999999</v>
      </c>
      <c r="Q3807">
        <v>-1.400643E-2</v>
      </c>
      <c r="R3807">
        <v>-8.8958809999999996E-3</v>
      </c>
      <c r="S3807">
        <v>-3.0011899999999998</v>
      </c>
      <c r="T3807">
        <v>-0.18378079999999999</v>
      </c>
      <c r="U3807">
        <v>0.40690609999999999</v>
      </c>
      <c r="V3807">
        <v>-9.2687149999999996E-2</v>
      </c>
      <c r="W3807">
        <v>-3.5197840000000002E-3</v>
      </c>
      <c r="X3807">
        <v>0.99568900000000005</v>
      </c>
      <c r="Y3807">
        <v>5.0795170000000001E-2</v>
      </c>
      <c r="Z3807">
        <v>-2.382557E-3</v>
      </c>
      <c r="AA3807">
        <v>0.99870619999999999</v>
      </c>
      <c r="AB3807">
        <v>37</v>
      </c>
      <c r="AC3807">
        <v>-0.59489999999999499</v>
      </c>
      <c r="AD3807">
        <v>-5.7826999999999802E-2</v>
      </c>
      <c r="AE3807">
        <v>9.8800000000011295E-2</v>
      </c>
      <c r="AF3807">
        <v>4.8133720372824797E-2</v>
      </c>
      <c r="AG3807">
        <v>-5.7826999999999802E-2</v>
      </c>
      <c r="AH3807">
        <v>0.59561211985588203</v>
      </c>
      <c r="AI3807">
        <v>95.5274645476903</v>
      </c>
      <c r="AJ3807">
        <v>85.379746979070504</v>
      </c>
      <c r="AK3807">
        <v>0.60034541247947104</v>
      </c>
      <c r="AL3807">
        <v>90.201669196369807</v>
      </c>
      <c r="AM3807">
        <v>95.318249199236206</v>
      </c>
      <c r="AN3807">
        <v>0.99999994068776199</v>
      </c>
    </row>
    <row r="3808" spans="1:40" x14ac:dyDescent="0.25">
      <c r="A3808" t="str">
        <f>"20190305135906109"</f>
        <v>20190305135906109</v>
      </c>
      <c r="B3808" t="str">
        <f>"1551765546103159"</f>
        <v>1551765546103159</v>
      </c>
      <c r="C3808" t="s">
        <v>40</v>
      </c>
      <c r="D3808">
        <v>4.1446829999999997</v>
      </c>
      <c r="E3808">
        <v>0.55339629999999995</v>
      </c>
      <c r="F3808" t="s">
        <v>41</v>
      </c>
      <c r="G3808">
        <v>-232.15860000000001</v>
      </c>
      <c r="H3808">
        <v>1.052489</v>
      </c>
      <c r="I3808">
        <v>140.69470000000001</v>
      </c>
      <c r="J3808">
        <v>-231.62049999999999</v>
      </c>
      <c r="K3808">
        <v>1.1096090000000001</v>
      </c>
      <c r="L3808">
        <v>140.601</v>
      </c>
      <c r="M3808">
        <v>-0.99650349999999999</v>
      </c>
      <c r="N3808">
        <v>-1.066199E-2</v>
      </c>
      <c r="O3808">
        <v>8.2869239999999997E-2</v>
      </c>
      <c r="P3808">
        <v>-0.99985049999999998</v>
      </c>
      <c r="Q3808">
        <v>-1.457659E-2</v>
      </c>
      <c r="R3808">
        <v>-9.3181110000000004E-3</v>
      </c>
      <c r="S3808">
        <v>-3.0014340000000002</v>
      </c>
      <c r="T3808">
        <v>-0.1846341</v>
      </c>
      <c r="U3808">
        <v>0.40589900000000001</v>
      </c>
      <c r="V3808">
        <v>-9.2140440000000004E-2</v>
      </c>
      <c r="W3808">
        <v>-4.1222089999999999E-3</v>
      </c>
      <c r="X3808">
        <v>0.99573750000000005</v>
      </c>
      <c r="Y3808">
        <v>5.1420199999999999E-2</v>
      </c>
      <c r="Z3808">
        <v>-2.32899E-3</v>
      </c>
      <c r="AA3808">
        <v>0.99867439999999996</v>
      </c>
      <c r="AB3808">
        <v>37</v>
      </c>
      <c r="AC3808">
        <v>-0.53810000000001401</v>
      </c>
      <c r="AD3808">
        <v>-5.7119999999999997E-2</v>
      </c>
      <c r="AE3808">
        <v>9.3700000000012496E-2</v>
      </c>
      <c r="AF3808">
        <v>4.8255462623737803E-2</v>
      </c>
      <c r="AG3808">
        <v>-5.7119999999999997E-2</v>
      </c>
      <c r="AH3808">
        <v>0.53812900759029703</v>
      </c>
      <c r="AI3808">
        <v>96.034968898712194</v>
      </c>
      <c r="AJ3808">
        <v>84.875840162787199</v>
      </c>
      <c r="AK3808">
        <v>0.54329928481744605</v>
      </c>
      <c r="AL3808">
        <v>90.236185844255004</v>
      </c>
      <c r="AM3808">
        <v>95.286802033810602</v>
      </c>
      <c r="AN3808">
        <v>1.00000001109834</v>
      </c>
    </row>
    <row r="3809" spans="1:40" x14ac:dyDescent="0.25">
      <c r="A3809" t="str">
        <f>"20190305135906132"</f>
        <v>20190305135906132</v>
      </c>
      <c r="B3809" t="str">
        <f>"1551765546123655"</f>
        <v>1551765546123655</v>
      </c>
      <c r="C3809" t="s">
        <v>40</v>
      </c>
      <c r="D3809">
        <v>4.1342460000000001</v>
      </c>
      <c r="E3809">
        <v>0.55352309999999905</v>
      </c>
      <c r="F3809" t="s">
        <v>41</v>
      </c>
      <c r="G3809">
        <v>-232.50229999999999</v>
      </c>
      <c r="H3809">
        <v>1.0548420000000001</v>
      </c>
      <c r="I3809">
        <v>140.72030000000001</v>
      </c>
      <c r="J3809">
        <v>-231.99680000000001</v>
      </c>
      <c r="K3809">
        <v>1.1097440000000001</v>
      </c>
      <c r="L3809">
        <v>140.63140000000001</v>
      </c>
      <c r="M3809">
        <v>-0.99659350000000002</v>
      </c>
      <c r="N3809">
        <v>-1.065436E-2</v>
      </c>
      <c r="O3809">
        <v>8.1779169999999998E-2</v>
      </c>
      <c r="P3809">
        <v>-0.99984249999999997</v>
      </c>
      <c r="Q3809">
        <v>-1.5061720000000001E-2</v>
      </c>
      <c r="R3809">
        <v>-9.3910339999999995E-3</v>
      </c>
      <c r="S3809">
        <v>-3.0015260000000001</v>
      </c>
      <c r="T3809">
        <v>-0.18655859999999999</v>
      </c>
      <c r="U3809">
        <v>0.40550229999999998</v>
      </c>
      <c r="V3809">
        <v>-9.1120789999999993E-2</v>
      </c>
      <c r="W3809">
        <v>-4.6434650000000003E-3</v>
      </c>
      <c r="X3809">
        <v>0.99582899999999996</v>
      </c>
      <c r="Y3809">
        <v>5.2375930000000001E-2</v>
      </c>
      <c r="Z3809">
        <v>-2.2759500000000001E-3</v>
      </c>
      <c r="AA3809">
        <v>0.99862490000000004</v>
      </c>
      <c r="AB3809">
        <v>37</v>
      </c>
      <c r="AC3809">
        <v>-0.50549999999998296</v>
      </c>
      <c r="AD3809">
        <v>-5.4901999999999999E-2</v>
      </c>
      <c r="AE3809">
        <v>8.8899999999995302E-2</v>
      </c>
      <c r="AF3809">
        <v>4.6725834072157101E-2</v>
      </c>
      <c r="AG3809">
        <v>-5.4901999999999999E-2</v>
      </c>
      <c r="AH3809">
        <v>0.50529556524040997</v>
      </c>
      <c r="AI3809">
        <v>96.174906015945993</v>
      </c>
      <c r="AJ3809">
        <v>84.716753554941505</v>
      </c>
      <c r="AK3809">
        <v>0.51041271675514199</v>
      </c>
      <c r="AL3809">
        <v>90.266051908583904</v>
      </c>
      <c r="AM3809">
        <v>95.228145220756304</v>
      </c>
      <c r="AN3809">
        <v>0.99999997868921398</v>
      </c>
    </row>
    <row r="3810" spans="1:40" x14ac:dyDescent="0.25">
      <c r="A3810" t="str">
        <f>"20190305135906153"</f>
        <v>20190305135906153</v>
      </c>
      <c r="B3810" t="str">
        <f>"1551765546143175"</f>
        <v>1551765546143175</v>
      </c>
      <c r="C3810" t="s">
        <v>40</v>
      </c>
      <c r="D3810">
        <v>4.1059749999999999</v>
      </c>
      <c r="E3810">
        <v>0.55362769999999994</v>
      </c>
      <c r="F3810" t="s">
        <v>42</v>
      </c>
      <c r="G3810">
        <v>-249.7791</v>
      </c>
      <c r="H3810" s="1">
        <v>-9.876124999999999E-7</v>
      </c>
      <c r="I3810">
        <v>143.03829999999999</v>
      </c>
      <c r="J3810">
        <v>-232.35380000000001</v>
      </c>
      <c r="K3810">
        <v>1.1099159999999999</v>
      </c>
      <c r="L3810">
        <v>140.65969999999999</v>
      </c>
      <c r="M3810">
        <v>-0.99669529999999995</v>
      </c>
      <c r="N3810">
        <v>-1.0649580000000001E-2</v>
      </c>
      <c r="O3810">
        <v>8.0530870000000004E-2</v>
      </c>
      <c r="P3810">
        <v>-0.99983940000000004</v>
      </c>
      <c r="Q3810">
        <v>-1.5031839999999999E-2</v>
      </c>
      <c r="R3810">
        <v>-9.7774880000000008E-3</v>
      </c>
      <c r="S3810">
        <v>-3.001465</v>
      </c>
      <c r="T3810">
        <v>-0.18731320000000001</v>
      </c>
      <c r="U3810">
        <v>0.4062653</v>
      </c>
      <c r="V3810">
        <v>-9.0257000000000004E-2</v>
      </c>
      <c r="W3810">
        <v>-4.6555040000000004E-3</v>
      </c>
      <c r="X3810">
        <v>0.9959076</v>
      </c>
      <c r="Y3810">
        <v>5.3873850000000001E-2</v>
      </c>
      <c r="Z3810">
        <v>-2.172017E-3</v>
      </c>
      <c r="AA3810">
        <v>0.99854540000000003</v>
      </c>
      <c r="AB3810">
        <v>37</v>
      </c>
      <c r="AC3810">
        <v>-17.425299999999901</v>
      </c>
      <c r="AD3810">
        <v>-1.1099169876124999</v>
      </c>
      <c r="AE3810">
        <v>2.3786</v>
      </c>
      <c r="AF3810">
        <v>0.96368138669977998</v>
      </c>
      <c r="AG3810">
        <v>-1.1099169876124999</v>
      </c>
      <c r="AH3810">
        <v>17.490595956590301</v>
      </c>
      <c r="AI3810">
        <v>93.625518687268098</v>
      </c>
      <c r="AJ3810">
        <v>86.846356399346504</v>
      </c>
      <c r="AK3810">
        <v>17.552251834199399</v>
      </c>
      <c r="AL3810">
        <v>90.266741701260997</v>
      </c>
      <c r="AM3810">
        <v>95.178448687820705</v>
      </c>
      <c r="AN3810">
        <v>0.99999997375212601</v>
      </c>
    </row>
    <row r="3811" spans="1:40" x14ac:dyDescent="0.25">
      <c r="A3811" t="str">
        <f>"20190305135906175"</f>
        <v>20190305135906175</v>
      </c>
      <c r="B3811" t="str">
        <f>"1551765546172455"</f>
        <v>1551765546172455</v>
      </c>
      <c r="C3811" t="s">
        <v>40</v>
      </c>
      <c r="D3811">
        <v>4.1176729999999999</v>
      </c>
      <c r="E3811">
        <v>0.5537919</v>
      </c>
      <c r="F3811" t="s">
        <v>42</v>
      </c>
      <c r="G3811">
        <v>-250.24449999999999</v>
      </c>
      <c r="H3811" s="1">
        <v>-4.807227E-6</v>
      </c>
      <c r="I3811">
        <v>143.07990000000001</v>
      </c>
      <c r="J3811">
        <v>-232.708</v>
      </c>
      <c r="K3811">
        <v>1.1101399999999999</v>
      </c>
      <c r="L3811">
        <v>140.68700000000001</v>
      </c>
      <c r="M3811">
        <v>-0.99681609999999998</v>
      </c>
      <c r="N3811">
        <v>-1.064792E-2</v>
      </c>
      <c r="O3811">
        <v>7.9021800000000003E-2</v>
      </c>
      <c r="P3811">
        <v>-0.99984859999999998</v>
      </c>
      <c r="Q3811">
        <v>-1.4483009999999999E-2</v>
      </c>
      <c r="R3811">
        <v>-9.6790699999999997E-3</v>
      </c>
      <c r="S3811">
        <v>-3.0016479999999999</v>
      </c>
      <c r="T3811">
        <v>-0.18621979999999999</v>
      </c>
      <c r="U3811">
        <v>0.40606690000000001</v>
      </c>
      <c r="V3811">
        <v>-8.8650060000000003E-2</v>
      </c>
      <c r="W3811">
        <v>-4.1520740000000004E-3</v>
      </c>
      <c r="X3811">
        <v>0.9960542</v>
      </c>
      <c r="Y3811">
        <v>5.5307410000000001E-2</v>
      </c>
      <c r="Z3811">
        <v>-2.0242200000000002E-3</v>
      </c>
      <c r="AA3811">
        <v>0.99846729999999995</v>
      </c>
      <c r="AB3811">
        <v>37</v>
      </c>
      <c r="AC3811">
        <v>-17.536499999999901</v>
      </c>
      <c r="AD3811">
        <v>-1.1101448072269999</v>
      </c>
      <c r="AE3811">
        <v>2.3928999999999898</v>
      </c>
      <c r="AF3811">
        <v>0.995654884946506</v>
      </c>
      <c r="AG3811">
        <v>-1.1101448072269999</v>
      </c>
      <c r="AH3811">
        <v>17.601508487707999</v>
      </c>
      <c r="AI3811">
        <v>93.603177173545902</v>
      </c>
      <c r="AJ3811">
        <v>86.762431248424406</v>
      </c>
      <c r="AK3811">
        <v>17.664564845639099</v>
      </c>
      <c r="AL3811">
        <v>90.2378969949566</v>
      </c>
      <c r="AM3811">
        <v>95.085994640107003</v>
      </c>
      <c r="AN3811">
        <v>1.0000000210970701</v>
      </c>
    </row>
    <row r="3812" spans="1:40" x14ac:dyDescent="0.25">
      <c r="A3812" t="str">
        <f>"20190305135906197"</f>
        <v>20190305135906197</v>
      </c>
      <c r="B3812" t="str">
        <f>"1551765546192952"</f>
        <v>1551765546192952</v>
      </c>
      <c r="C3812" t="s">
        <v>40</v>
      </c>
      <c r="D3812">
        <v>4.113823</v>
      </c>
      <c r="E3812">
        <v>0.55389860000000002</v>
      </c>
      <c r="F3812" t="s">
        <v>42</v>
      </c>
      <c r="G3812">
        <v>-250.89009999999999</v>
      </c>
      <c r="H3812" s="1">
        <v>-4.60098E-6</v>
      </c>
      <c r="I3812">
        <v>143.1557</v>
      </c>
      <c r="J3812">
        <v>-233.0848</v>
      </c>
      <c r="K3812">
        <v>1.1104270000000001</v>
      </c>
      <c r="L3812">
        <v>140.71520000000001</v>
      </c>
      <c r="M3812">
        <v>-0.99696830000000003</v>
      </c>
      <c r="N3812">
        <v>-1.0649799999999999E-2</v>
      </c>
      <c r="O3812">
        <v>7.7075469999999993E-2</v>
      </c>
      <c r="P3812">
        <v>-0.99983789999999995</v>
      </c>
      <c r="Q3812">
        <v>-1.442979E-2</v>
      </c>
      <c r="R3812">
        <v>-1.0777490000000001E-2</v>
      </c>
      <c r="S3812">
        <v>-3.0017550000000002</v>
      </c>
      <c r="T3812">
        <v>-0.18327869999999999</v>
      </c>
      <c r="U3812">
        <v>0.40757749999999998</v>
      </c>
      <c r="V3812">
        <v>-8.7797479999999997E-2</v>
      </c>
      <c r="W3812">
        <v>-4.1553340000000001E-3</v>
      </c>
      <c r="X3812">
        <v>0.99612970000000001</v>
      </c>
      <c r="Y3812">
        <v>5.773739E-2</v>
      </c>
      <c r="Z3812">
        <v>-1.79030799999999E-3</v>
      </c>
      <c r="AA3812">
        <v>0.99833019999999995</v>
      </c>
      <c r="AB3812">
        <v>37</v>
      </c>
      <c r="AC3812">
        <v>-17.8052999999999</v>
      </c>
      <c r="AD3812">
        <v>-1.1104316009799999</v>
      </c>
      <c r="AE3812">
        <v>2.4404999999999801</v>
      </c>
      <c r="AF3812">
        <v>1.05677506719449</v>
      </c>
      <c r="AG3812">
        <v>-1.1104316009799999</v>
      </c>
      <c r="AH3812">
        <v>17.872210520970398</v>
      </c>
      <c r="AI3812">
        <v>93.549133338241404</v>
      </c>
      <c r="AJ3812">
        <v>86.616068654625593</v>
      </c>
      <c r="AK3812">
        <v>17.937829879586399</v>
      </c>
      <c r="AL3812">
        <v>90.238083780647699</v>
      </c>
      <c r="AM3812">
        <v>95.036953818514803</v>
      </c>
      <c r="AN3812">
        <v>1.0000000217585401</v>
      </c>
    </row>
    <row r="3813" spans="1:40" x14ac:dyDescent="0.25">
      <c r="A3813" t="str">
        <f>"20190305135906220"</f>
        <v>20190305135906220</v>
      </c>
      <c r="B3813" t="str">
        <f>"1551765546212472"</f>
        <v>1551765546212472</v>
      </c>
      <c r="C3813" t="s">
        <v>40</v>
      </c>
      <c r="D3813">
        <v>4.1141969999999999</v>
      </c>
      <c r="E3813">
        <v>0.5540313</v>
      </c>
      <c r="F3813" t="s">
        <v>42</v>
      </c>
      <c r="G3813">
        <v>-251.3124</v>
      </c>
      <c r="H3813" s="1">
        <v>-4.4605290000000001E-6</v>
      </c>
      <c r="I3813">
        <v>143.17410000000001</v>
      </c>
      <c r="J3813">
        <v>-233.46180000000001</v>
      </c>
      <c r="K3813">
        <v>1.1107340000000001</v>
      </c>
      <c r="L3813">
        <v>140.7423</v>
      </c>
      <c r="M3813">
        <v>-0.99714780000000003</v>
      </c>
      <c r="N3813">
        <v>-1.065524E-2</v>
      </c>
      <c r="O3813">
        <v>7.4718439999999997E-2</v>
      </c>
      <c r="P3813">
        <v>-0.99981399999999998</v>
      </c>
      <c r="Q3813">
        <v>-1.504635E-2</v>
      </c>
      <c r="R3813">
        <v>-1.207715E-2</v>
      </c>
      <c r="S3813">
        <v>-3.0021969999999998</v>
      </c>
      <c r="T3813">
        <v>-0.18289530000000001</v>
      </c>
      <c r="U3813">
        <v>0.40501399999999999</v>
      </c>
      <c r="V3813">
        <v>-8.673082E-2</v>
      </c>
      <c r="W3813">
        <v>-4.8284010000000004E-3</v>
      </c>
      <c r="X3813">
        <v>0.99622010000000005</v>
      </c>
      <c r="Y3813">
        <v>5.9234519999999999E-2</v>
      </c>
      <c r="Z3813">
        <v>-1.6129810000000001E-3</v>
      </c>
      <c r="AA3813">
        <v>0.99824279999999999</v>
      </c>
      <c r="AB3813">
        <v>37</v>
      </c>
      <c r="AC3813">
        <v>-17.850599999999901</v>
      </c>
      <c r="AD3813">
        <v>-1.110738460529</v>
      </c>
      <c r="AE3813">
        <v>2.4318</v>
      </c>
      <c r="AF3813">
        <v>1.0870248112257499</v>
      </c>
      <c r="AG3813">
        <v>-1.110738460529</v>
      </c>
      <c r="AH3813">
        <v>17.914309009006502</v>
      </c>
      <c r="AI3813">
        <v>93.541463376442906</v>
      </c>
      <c r="AJ3813">
        <v>86.527599111456993</v>
      </c>
      <c r="AK3813">
        <v>17.981596985198198</v>
      </c>
      <c r="AL3813">
        <v>90.276648069028298</v>
      </c>
      <c r="AM3813">
        <v>94.975619231993207</v>
      </c>
      <c r="AN3813">
        <v>1.00000001811904</v>
      </c>
    </row>
    <row r="3814" spans="1:40" x14ac:dyDescent="0.25">
      <c r="A3814" t="str">
        <f>"20190305135906243"</f>
        <v>20190305135906243</v>
      </c>
      <c r="B3814" t="str">
        <f>"1551765546232973"</f>
        <v>1551765546232973</v>
      </c>
      <c r="C3814" t="s">
        <v>40</v>
      </c>
      <c r="D3814">
        <v>4.1402429999999999</v>
      </c>
      <c r="E3814">
        <v>0.55398939999999997</v>
      </c>
      <c r="F3814" t="s">
        <v>41</v>
      </c>
      <c r="G3814">
        <v>-234.48240000000001</v>
      </c>
      <c r="H3814">
        <v>1.048087</v>
      </c>
      <c r="I3814">
        <v>140.87899999999999</v>
      </c>
      <c r="J3814">
        <v>-233.85220000000001</v>
      </c>
      <c r="K3814">
        <v>1.111056</v>
      </c>
      <c r="L3814">
        <v>140.7689</v>
      </c>
      <c r="M3814">
        <v>-0.99735640000000003</v>
      </c>
      <c r="N3814">
        <v>-1.066277E-2</v>
      </c>
      <c r="O3814">
        <v>7.1880979999999997E-2</v>
      </c>
      <c r="P3814">
        <v>-0.99976480000000001</v>
      </c>
      <c r="Q3814">
        <v>-1.608445E-2</v>
      </c>
      <c r="R3814">
        <v>-1.454973E-2</v>
      </c>
      <c r="S3814">
        <v>-3.0026250000000001</v>
      </c>
      <c r="T3814">
        <v>-0.1843872</v>
      </c>
      <c r="U3814">
        <v>0.4022675</v>
      </c>
      <c r="V3814">
        <v>-8.6349789999999996E-2</v>
      </c>
      <c r="W3814">
        <v>-5.9256439999999999E-3</v>
      </c>
      <c r="X3814">
        <v>0.9962472</v>
      </c>
      <c r="Y3814">
        <v>6.11511E-2</v>
      </c>
      <c r="Z3814">
        <v>-1.423066E-3</v>
      </c>
      <c r="AA3814">
        <v>0.99812749999999995</v>
      </c>
      <c r="AB3814">
        <v>37</v>
      </c>
      <c r="AC3814">
        <v>-0.63020000000000198</v>
      </c>
      <c r="AD3814">
        <v>-6.2968999999999997E-2</v>
      </c>
      <c r="AE3814">
        <v>0.110099999999988</v>
      </c>
      <c r="AF3814">
        <v>6.3894187607142994E-2</v>
      </c>
      <c r="AG3814">
        <v>-6.2968999999999997E-2</v>
      </c>
      <c r="AH3814">
        <v>0.63037700224024895</v>
      </c>
      <c r="AI3814">
        <v>95.675522460493198</v>
      </c>
      <c r="AJ3814">
        <v>84.2123407970697</v>
      </c>
      <c r="AK3814">
        <v>0.63672814224312402</v>
      </c>
      <c r="AL3814">
        <v>90.339516398900003</v>
      </c>
      <c r="AM3814">
        <v>94.953735032648794</v>
      </c>
      <c r="AN3814">
        <v>0.99999994149884697</v>
      </c>
    </row>
    <row r="3815" spans="1:40" x14ac:dyDescent="0.25">
      <c r="A3815" t="str">
        <f>"20190305135906265"</f>
        <v>20190305135906265</v>
      </c>
      <c r="B3815" t="str">
        <f>"1551765546252487"</f>
        <v>1551765546252487</v>
      </c>
      <c r="C3815" t="s">
        <v>40</v>
      </c>
      <c r="D3815">
        <v>4.1485399999999997</v>
      </c>
      <c r="E3815">
        <v>0.55399409999999905</v>
      </c>
      <c r="F3815" t="s">
        <v>41</v>
      </c>
      <c r="G3815">
        <v>-234.8186</v>
      </c>
      <c r="H3815">
        <v>1.050659</v>
      </c>
      <c r="I3815">
        <v>140.89609999999999</v>
      </c>
      <c r="J3815">
        <v>-234.1996</v>
      </c>
      <c r="K3815">
        <v>1.1113139999999999</v>
      </c>
      <c r="L3815">
        <v>140.79150000000001</v>
      </c>
      <c r="M3815">
        <v>-0.99755380000000005</v>
      </c>
      <c r="N3815">
        <v>-1.0669100000000001E-2</v>
      </c>
      <c r="O3815">
        <v>6.9083749999999999E-2</v>
      </c>
      <c r="P3815">
        <v>-0.99970329999999996</v>
      </c>
      <c r="Q3815">
        <v>-1.687632E-2</v>
      </c>
      <c r="R3815">
        <v>-1.756222E-2</v>
      </c>
      <c r="S3815">
        <v>-3.0034179999999999</v>
      </c>
      <c r="T3815">
        <v>-0.18788479999999999</v>
      </c>
      <c r="U3815">
        <v>0.39471440000000002</v>
      </c>
      <c r="V3815">
        <v>-8.6548369999999999E-2</v>
      </c>
      <c r="W3815">
        <v>-6.7680580000000004E-3</v>
      </c>
      <c r="X3815">
        <v>0.99622460000000002</v>
      </c>
      <c r="Y3815">
        <v>6.1443909999999997E-2</v>
      </c>
      <c r="Z3815">
        <v>-1.315631E-3</v>
      </c>
      <c r="AA3815">
        <v>0.99810969999999999</v>
      </c>
      <c r="AB3815">
        <v>37</v>
      </c>
      <c r="AC3815">
        <v>-0.618999999999999</v>
      </c>
      <c r="AD3815">
        <v>-6.0654999999999903E-2</v>
      </c>
      <c r="AE3815">
        <v>0.104599999999976</v>
      </c>
      <c r="AF3815">
        <v>6.1015201966982402E-2</v>
      </c>
      <c r="AG3815">
        <v>-6.0654999999999903E-2</v>
      </c>
      <c r="AH3815">
        <v>0.618969315089135</v>
      </c>
      <c r="AI3815">
        <v>95.569922328717198</v>
      </c>
      <c r="AJ3815">
        <v>84.370228659110794</v>
      </c>
      <c r="AK3815">
        <v>0.62491991240316902</v>
      </c>
      <c r="AL3815">
        <v>90.387784142601006</v>
      </c>
      <c r="AM3815">
        <v>94.965182407556199</v>
      </c>
      <c r="AN3815">
        <v>0.99999994030195205</v>
      </c>
    </row>
    <row r="3816" spans="1:40" x14ac:dyDescent="0.25">
      <c r="A3816" t="str">
        <f>"20190305135906287"</f>
        <v>20190305135906287</v>
      </c>
      <c r="B3816" t="str">
        <f>"1551765546282427"</f>
        <v>1551765546282427</v>
      </c>
      <c r="C3816" t="s">
        <v>40</v>
      </c>
      <c r="D3816">
        <v>4.1474080000000004</v>
      </c>
      <c r="E3816">
        <v>0.55412740000000005</v>
      </c>
      <c r="F3816" t="s">
        <v>41</v>
      </c>
      <c r="G3816">
        <v>-235.15299999999999</v>
      </c>
      <c r="H3816">
        <v>1.051075</v>
      </c>
      <c r="I3816">
        <v>140.91409999999999</v>
      </c>
      <c r="J3816">
        <v>-234.5762</v>
      </c>
      <c r="K3816">
        <v>1.111572</v>
      </c>
      <c r="L3816">
        <v>140.81469999999999</v>
      </c>
      <c r="M3816">
        <v>-0.99777629999999995</v>
      </c>
      <c r="N3816">
        <v>-1.0674700000000001E-2</v>
      </c>
      <c r="O3816">
        <v>6.5793130000000005E-2</v>
      </c>
      <c r="P3816">
        <v>-0.99963840000000004</v>
      </c>
      <c r="Q3816">
        <v>-1.6395130000000001E-2</v>
      </c>
      <c r="R3816">
        <v>-2.1316310000000002E-2</v>
      </c>
      <c r="S3816">
        <v>-3.004486</v>
      </c>
      <c r="T3816">
        <v>-0.1899565</v>
      </c>
      <c r="U3816">
        <v>0.38604739999999999</v>
      </c>
      <c r="V3816">
        <v>-8.7003220000000006E-2</v>
      </c>
      <c r="W3816">
        <v>-6.3374829999999997E-3</v>
      </c>
      <c r="X3816">
        <v>0.99618790000000002</v>
      </c>
      <c r="Y3816">
        <v>6.1852909999999997E-2</v>
      </c>
      <c r="Z3816">
        <v>-1.154757E-3</v>
      </c>
      <c r="AA3816">
        <v>0.99808459999999999</v>
      </c>
      <c r="AB3816">
        <v>38</v>
      </c>
      <c r="AC3816">
        <v>-0.57679999999999099</v>
      </c>
      <c r="AD3816">
        <v>-6.0497000000000002E-2</v>
      </c>
      <c r="AE3816">
        <v>9.9400000000002806E-2</v>
      </c>
      <c r="AF3816">
        <v>6.0585710282911598E-2</v>
      </c>
      <c r="AG3816">
        <v>-6.0497000000000002E-2</v>
      </c>
      <c r="AH3816">
        <v>0.57593736500734904</v>
      </c>
      <c r="AI3816">
        <v>95.963745383421497</v>
      </c>
      <c r="AJ3816">
        <v>83.994858482793603</v>
      </c>
      <c r="AK3816">
        <v>0.58226657444086005</v>
      </c>
      <c r="AL3816">
        <v>90.3631134491431</v>
      </c>
      <c r="AM3816">
        <v>94.991328117863304</v>
      </c>
      <c r="AN3816">
        <v>1.00000002804377</v>
      </c>
    </row>
    <row r="3817" spans="1:40" x14ac:dyDescent="0.25">
      <c r="A3817" t="str">
        <f>"20190305135906311"</f>
        <v>20190305135906311</v>
      </c>
      <c r="B3817" t="str">
        <f>"1551765546302923"</f>
        <v>1551765546302923</v>
      </c>
      <c r="C3817" t="s">
        <v>40</v>
      </c>
      <c r="D3817">
        <v>4.223725</v>
      </c>
      <c r="E3817">
        <v>0.5542241</v>
      </c>
      <c r="F3817" t="s">
        <v>41</v>
      </c>
      <c r="G3817">
        <v>-235.49029999999999</v>
      </c>
      <c r="H3817">
        <v>1.0543370000000001</v>
      </c>
      <c r="I3817">
        <v>140.92920000000001</v>
      </c>
      <c r="J3817">
        <v>-234.9829</v>
      </c>
      <c r="K3817">
        <v>1.1118159999999999</v>
      </c>
      <c r="L3817">
        <v>140.8382</v>
      </c>
      <c r="M3817">
        <v>-0.99801899999999999</v>
      </c>
      <c r="N3817">
        <v>-1.06797E-2</v>
      </c>
      <c r="O3817">
        <v>6.2001779999999999E-2</v>
      </c>
      <c r="P3817">
        <v>-0.99955329999999998</v>
      </c>
      <c r="Q3817">
        <v>-1.490348E-2</v>
      </c>
      <c r="R3817">
        <v>-2.5907309999999999E-2</v>
      </c>
      <c r="S3817">
        <v>-3.006027</v>
      </c>
      <c r="T3817">
        <v>-0.18838260000000001</v>
      </c>
      <c r="U3817">
        <v>0.37602229999999998</v>
      </c>
      <c r="V3817">
        <v>-8.7802430000000001E-2</v>
      </c>
      <c r="W3817">
        <v>-4.89646E-3</v>
      </c>
      <c r="X3817">
        <v>0.99612590000000001</v>
      </c>
      <c r="Y3817">
        <v>6.2298689999999997E-2</v>
      </c>
      <c r="Z3817">
        <v>-9.2412940000000002E-4</v>
      </c>
      <c r="AA3817">
        <v>0.99805710000000003</v>
      </c>
      <c r="AB3817">
        <v>38</v>
      </c>
      <c r="AC3817">
        <v>-0.50739999999998897</v>
      </c>
      <c r="AD3817">
        <v>-5.7478999999999801E-2</v>
      </c>
      <c r="AE3817">
        <v>9.1000000000008199E-2</v>
      </c>
      <c r="AF3817">
        <v>5.8634416269544298E-2</v>
      </c>
      <c r="AG3817">
        <v>-5.7478999999999801E-2</v>
      </c>
      <c r="AH3817">
        <v>0.50577792606886995</v>
      </c>
      <c r="AI3817">
        <v>96.440777296711403</v>
      </c>
      <c r="AJ3817">
        <v>83.387266389193201</v>
      </c>
      <c r="AK3817">
        <v>0.51239939569714299</v>
      </c>
      <c r="AL3817">
        <v>90.280547606488796</v>
      </c>
      <c r="AM3817">
        <v>95.037255456772797</v>
      </c>
      <c r="AN3817">
        <v>1.00000002534262</v>
      </c>
    </row>
    <row r="3818" spans="1:40" x14ac:dyDescent="0.25">
      <c r="A3818" t="str">
        <f>"20190305135906333"</f>
        <v>20190305135906333</v>
      </c>
      <c r="B3818" t="str">
        <f>"1551765546322443"</f>
        <v>1551765546322443</v>
      </c>
      <c r="C3818" t="s">
        <v>40</v>
      </c>
      <c r="D3818">
        <v>4.212097</v>
      </c>
      <c r="E3818">
        <v>0.55429450000000002</v>
      </c>
      <c r="F3818" t="s">
        <v>42</v>
      </c>
      <c r="G3818">
        <v>-253.16560000000001</v>
      </c>
      <c r="H3818" s="1">
        <v>-3.8047440000000001E-6</v>
      </c>
      <c r="I3818">
        <v>143.0325</v>
      </c>
      <c r="J3818">
        <v>-235.3424</v>
      </c>
      <c r="K3818">
        <v>1.111998</v>
      </c>
      <c r="L3818">
        <v>140.85749999999999</v>
      </c>
      <c r="M3818">
        <v>-0.99822999999999995</v>
      </c>
      <c r="N3818">
        <v>-1.068359E-2</v>
      </c>
      <c r="O3818">
        <v>5.8504460000000001E-2</v>
      </c>
      <c r="P3818">
        <v>-0.99945300000000004</v>
      </c>
      <c r="Q3818">
        <v>-1.308026E-2</v>
      </c>
      <c r="R3818">
        <v>-3.0379670000000001E-2</v>
      </c>
      <c r="S3818">
        <v>-3.0079959999999999</v>
      </c>
      <c r="T3818">
        <v>-0.18393109999999999</v>
      </c>
      <c r="U3818">
        <v>0.36302190000000001</v>
      </c>
      <c r="V3818">
        <v>-8.8781979999999996E-2</v>
      </c>
      <c r="W3818">
        <v>-3.1146469999999999E-3</v>
      </c>
      <c r="X3818">
        <v>0.99604619999999999</v>
      </c>
      <c r="Y3818">
        <v>6.1464779999999997E-2</v>
      </c>
      <c r="Z3818">
        <v>-7.3281270000000003E-4</v>
      </c>
      <c r="AA3818">
        <v>0.99810900000000002</v>
      </c>
      <c r="AB3818">
        <v>38</v>
      </c>
      <c r="AC3818">
        <v>-17.8232</v>
      </c>
      <c r="AD3818">
        <v>-1.1120018047439999</v>
      </c>
      <c r="AE3818">
        <v>2.17500000000001</v>
      </c>
      <c r="AF3818">
        <v>1.1241662187422501</v>
      </c>
      <c r="AG3818">
        <v>-1.1120018047439999</v>
      </c>
      <c r="AH3818">
        <v>17.851453536898699</v>
      </c>
      <c r="AI3818">
        <v>93.557431442219197</v>
      </c>
      <c r="AJ3818">
        <v>86.396649757192506</v>
      </c>
      <c r="AK3818">
        <v>17.921347356746601</v>
      </c>
      <c r="AL3818">
        <v>90.178456418670507</v>
      </c>
      <c r="AM3818">
        <v>95.093564011291093</v>
      </c>
      <c r="AN3818">
        <v>0.999999986766547</v>
      </c>
    </row>
    <row r="3819" spans="1:40" x14ac:dyDescent="0.25">
      <c r="A3819" t="str">
        <f>"20190305135906354"</f>
        <v>20190305135906354</v>
      </c>
      <c r="B3819" t="str">
        <f>"1551765546342954"</f>
        <v>1551765546342954</v>
      </c>
      <c r="C3819" t="s">
        <v>40</v>
      </c>
      <c r="D3819">
        <v>4.193187</v>
      </c>
      <c r="E3819">
        <v>0.55448219999999904</v>
      </c>
      <c r="F3819" t="s">
        <v>42</v>
      </c>
      <c r="G3819">
        <v>-253.99350000000001</v>
      </c>
      <c r="H3819" s="1">
        <v>-3.4664610000000002E-6</v>
      </c>
      <c r="I3819">
        <v>143.0265</v>
      </c>
      <c r="J3819">
        <v>-235.69669999999999</v>
      </c>
      <c r="K3819">
        <v>1.112134</v>
      </c>
      <c r="L3819">
        <v>140.87540000000001</v>
      </c>
      <c r="M3819">
        <v>-0.9984307</v>
      </c>
      <c r="N3819">
        <v>-1.0686879999999999E-2</v>
      </c>
      <c r="O3819">
        <v>5.4971649999999997E-2</v>
      </c>
      <c r="P3819">
        <v>-0.99935090000000004</v>
      </c>
      <c r="Q3819">
        <v>-1.165736E-2</v>
      </c>
      <c r="R3819">
        <v>-3.4085450000000003E-2</v>
      </c>
      <c r="S3819">
        <v>-3.0099330000000002</v>
      </c>
      <c r="T3819">
        <v>-0.17945620000000001</v>
      </c>
      <c r="U3819">
        <v>0.35003659999999998</v>
      </c>
      <c r="V3819">
        <v>-8.8962269999999996E-2</v>
      </c>
      <c r="W3819">
        <v>-1.7210019999999999E-3</v>
      </c>
      <c r="X3819">
        <v>0.99603350000000002</v>
      </c>
      <c r="Y3819">
        <v>6.0673089999999999E-2</v>
      </c>
      <c r="Z3819">
        <v>-5.4730570000000001E-4</v>
      </c>
      <c r="AA3819">
        <v>0.99815759999999998</v>
      </c>
      <c r="AB3819">
        <v>38</v>
      </c>
      <c r="AC3819">
        <v>-18.296800000000001</v>
      </c>
      <c r="AD3819">
        <v>-1.112137466461</v>
      </c>
      <c r="AE3819">
        <v>2.15109999999998</v>
      </c>
      <c r="AF3819">
        <v>1.13783769924842</v>
      </c>
      <c r="AG3819">
        <v>-1.112137466461</v>
      </c>
      <c r="AH3819">
        <v>18.320622369213599</v>
      </c>
      <c r="AI3819">
        <v>93.467163585166205</v>
      </c>
      <c r="AJ3819">
        <v>86.446099518772598</v>
      </c>
      <c r="AK3819">
        <v>18.3895820607611</v>
      </c>
      <c r="AL3819">
        <v>90.098606200773403</v>
      </c>
      <c r="AM3819">
        <v>95.103917693818701</v>
      </c>
      <c r="AN3819">
        <v>0.99999999022684305</v>
      </c>
    </row>
    <row r="3820" spans="1:40" x14ac:dyDescent="0.25">
      <c r="A3820" t="str">
        <f>"20190305135906377"</f>
        <v>20190305135906377</v>
      </c>
      <c r="B3820" t="str">
        <f>"1551765546373196"</f>
        <v>1551765546373196</v>
      </c>
      <c r="C3820" t="s">
        <v>40</v>
      </c>
      <c r="D3820">
        <v>4.2848329999999999</v>
      </c>
      <c r="E3820">
        <v>0.55477650000000001</v>
      </c>
      <c r="F3820" t="s">
        <v>42</v>
      </c>
      <c r="G3820">
        <v>-254.67619999999999</v>
      </c>
      <c r="H3820" s="1">
        <v>-3.1711450000000002E-6</v>
      </c>
      <c r="I3820">
        <v>143.01730000000001</v>
      </c>
      <c r="J3820">
        <v>-236.071</v>
      </c>
      <c r="K3820">
        <v>1.112244</v>
      </c>
      <c r="L3820">
        <v>140.89279999999999</v>
      </c>
      <c r="M3820">
        <v>-0.99863199999999996</v>
      </c>
      <c r="N3820">
        <v>-1.0689769999999999E-2</v>
      </c>
      <c r="O3820">
        <v>5.1187820000000002E-2</v>
      </c>
      <c r="P3820">
        <v>-0.99921769999999999</v>
      </c>
      <c r="Q3820">
        <v>-1.22407E-2</v>
      </c>
      <c r="R3820">
        <v>-3.7607450000000001E-2</v>
      </c>
      <c r="S3820">
        <v>-3.0115050000000001</v>
      </c>
      <c r="T3820">
        <v>-0.17646519999999999</v>
      </c>
      <c r="U3820">
        <v>0.33987430000000002</v>
      </c>
      <c r="V3820">
        <v>-8.8692380000000001E-2</v>
      </c>
      <c r="W3820">
        <v>-2.326332E-3</v>
      </c>
      <c r="X3820">
        <v>0.99605639999999995</v>
      </c>
      <c r="Y3820">
        <v>6.1067219999999998E-2</v>
      </c>
      <c r="Z3820">
        <v>-3.2886180000000001E-4</v>
      </c>
      <c r="AA3820">
        <v>0.99813359999999995</v>
      </c>
      <c r="AB3820">
        <v>38</v>
      </c>
      <c r="AC3820">
        <v>-18.6052</v>
      </c>
      <c r="AD3820">
        <v>-1.1122471711449999</v>
      </c>
      <c r="AE3820">
        <v>2.12450000000001</v>
      </c>
      <c r="AF3820">
        <v>1.16519007617701</v>
      </c>
      <c r="AG3820">
        <v>-1.1122471711449999</v>
      </c>
      <c r="AH3820">
        <v>18.623859516622002</v>
      </c>
      <c r="AI3820">
        <v>93.411083961454693</v>
      </c>
      <c r="AJ3820">
        <v>86.419991742961898</v>
      </c>
      <c r="AK3820">
        <v>18.693392013709399</v>
      </c>
      <c r="AL3820">
        <v>90.133289118766598</v>
      </c>
      <c r="AM3820">
        <v>95.088398682539804</v>
      </c>
      <c r="AN3820">
        <v>1.00000005103579</v>
      </c>
    </row>
    <row r="3821" spans="1:40" x14ac:dyDescent="0.25">
      <c r="A3821" t="str">
        <f>"20190305135906400"</f>
        <v>20190305135906400</v>
      </c>
      <c r="B3821" t="str">
        <f>"1551765546393223"</f>
        <v>1551765546393223</v>
      </c>
      <c r="C3821" t="s">
        <v>40</v>
      </c>
      <c r="D3821">
        <v>4.2115790000000004</v>
      </c>
      <c r="E3821">
        <v>0.55504519999999902</v>
      </c>
      <c r="F3821" t="s">
        <v>42</v>
      </c>
      <c r="G3821">
        <v>-254.726</v>
      </c>
      <c r="H3821" s="1">
        <v>-3.1304620000000001E-6</v>
      </c>
      <c r="I3821">
        <v>142.94460000000001</v>
      </c>
      <c r="J3821">
        <v>-236.4452</v>
      </c>
      <c r="K3821">
        <v>1.1123270000000001</v>
      </c>
      <c r="L3821">
        <v>140.90880000000001</v>
      </c>
      <c r="M3821">
        <v>-0.99881989999999998</v>
      </c>
      <c r="N3821">
        <v>-1.069234E-2</v>
      </c>
      <c r="O3821">
        <v>4.7375149999999998E-2</v>
      </c>
      <c r="P3821">
        <v>-0.99901779999999996</v>
      </c>
      <c r="Q3821">
        <v>-1.490519E-2</v>
      </c>
      <c r="R3821">
        <v>-4.1734540000000001E-2</v>
      </c>
      <c r="S3821">
        <v>-3.0126189999999999</v>
      </c>
      <c r="T3821">
        <v>-0.17961869999999999</v>
      </c>
      <c r="U3821">
        <v>0.33135989999999999</v>
      </c>
      <c r="V3821">
        <v>-8.8979320000000001E-2</v>
      </c>
      <c r="W3821">
        <v>-5.0135240000000001E-3</v>
      </c>
      <c r="X3821">
        <v>0.99602089999999999</v>
      </c>
      <c r="Y3821">
        <v>6.2042029999999998E-2</v>
      </c>
      <c r="Z3821">
        <v>-1.304799E-4</v>
      </c>
      <c r="AA3821">
        <v>0.99807349999999995</v>
      </c>
      <c r="AB3821">
        <v>38</v>
      </c>
      <c r="AC3821">
        <v>-18.280799999999999</v>
      </c>
      <c r="AD3821">
        <v>-1.1123301304619999</v>
      </c>
      <c r="AE3821">
        <v>2.0357999999999898</v>
      </c>
      <c r="AF3821">
        <v>1.1631550393258101</v>
      </c>
      <c r="AG3821">
        <v>-1.1123301304619999</v>
      </c>
      <c r="AH3821">
        <v>18.289837404017799</v>
      </c>
      <c r="AI3821">
        <v>93.473262388592801</v>
      </c>
      <c r="AJ3821">
        <v>86.361135122523507</v>
      </c>
      <c r="AK3821">
        <v>18.360510892403099</v>
      </c>
      <c r="AL3821">
        <v>90.287254956429095</v>
      </c>
      <c r="AM3821">
        <v>95.1049549507986</v>
      </c>
      <c r="AN3821">
        <v>1.00000004402368</v>
      </c>
    </row>
    <row r="3822" spans="1:40" x14ac:dyDescent="0.25">
      <c r="A3822" t="str">
        <f>"20190305135906422"</f>
        <v>20190305135906422</v>
      </c>
      <c r="B3822" t="str">
        <f>"1551765546412746"</f>
        <v>1551765546412746</v>
      </c>
      <c r="C3822" t="s">
        <v>40</v>
      </c>
      <c r="D3822">
        <v>4.3382800000000001</v>
      </c>
      <c r="E3822">
        <v>0.55525269999999904</v>
      </c>
      <c r="F3822" t="s">
        <v>41</v>
      </c>
      <c r="G3822">
        <v>-237.49520000000001</v>
      </c>
      <c r="H3822">
        <v>1.048295</v>
      </c>
      <c r="I3822">
        <v>141.02080000000001</v>
      </c>
      <c r="J3822">
        <v>-236.83920000000001</v>
      </c>
      <c r="K3822">
        <v>1.1123989999999999</v>
      </c>
      <c r="L3822">
        <v>140.92400000000001</v>
      </c>
      <c r="M3822">
        <v>-0.99900290000000003</v>
      </c>
      <c r="N3822">
        <v>-1.069517E-2</v>
      </c>
      <c r="O3822">
        <v>4.3346429999999998E-2</v>
      </c>
      <c r="P3822">
        <v>-0.99876169999999997</v>
      </c>
      <c r="Q3822">
        <v>-1.7456380000000001E-2</v>
      </c>
      <c r="R3822">
        <v>-4.6592969999999997E-2</v>
      </c>
      <c r="S3822">
        <v>-3.013611</v>
      </c>
      <c r="T3822">
        <v>-0.18402740000000001</v>
      </c>
      <c r="U3822">
        <v>0.32083129999999999</v>
      </c>
      <c r="V3822">
        <v>-8.9781429999999995E-2</v>
      </c>
      <c r="W3822">
        <v>-7.5889859999999998E-3</v>
      </c>
      <c r="X3822">
        <v>0.99593259999999995</v>
      </c>
      <c r="Y3822">
        <v>6.2576350000000003E-2</v>
      </c>
      <c r="Z3822" s="1">
        <v>6.682018E-5</v>
      </c>
      <c r="AA3822">
        <v>0.99804020000000004</v>
      </c>
      <c r="AB3822">
        <v>38</v>
      </c>
      <c r="AC3822">
        <v>-0.65600000000000502</v>
      </c>
      <c r="AD3822">
        <v>-6.4103999999999897E-2</v>
      </c>
      <c r="AE3822">
        <v>9.6800000000001704E-2</v>
      </c>
      <c r="AF3822">
        <v>6.7639987348841593E-2</v>
      </c>
      <c r="AG3822">
        <v>-6.4103999999999897E-2</v>
      </c>
      <c r="AH3822">
        <v>0.653472432321208</v>
      </c>
      <c r="AI3822">
        <v>95.573059481699204</v>
      </c>
      <c r="AJ3822">
        <v>84.0904417233874</v>
      </c>
      <c r="AK3822">
        <v>0.66008386626878501</v>
      </c>
      <c r="AL3822">
        <v>90.434821033355803</v>
      </c>
      <c r="AM3822">
        <v>95.151181678812307</v>
      </c>
      <c r="AN3822">
        <v>1.0000000208120501</v>
      </c>
    </row>
    <row r="3823" spans="1:40" x14ac:dyDescent="0.25">
      <c r="A3823" t="str">
        <f>"20190305135906443"</f>
        <v>20190305135906443</v>
      </c>
      <c r="B3823" t="str">
        <f>"1551765546433241"</f>
        <v>1551765546433241</v>
      </c>
      <c r="C3823" t="s">
        <v>40</v>
      </c>
      <c r="D3823">
        <v>4.3321809999999896</v>
      </c>
      <c r="E3823">
        <v>0.55560180000000003</v>
      </c>
      <c r="F3823" t="s">
        <v>41</v>
      </c>
      <c r="G3823">
        <v>-237.83199999999999</v>
      </c>
      <c r="H3823">
        <v>1.049086</v>
      </c>
      <c r="I3823">
        <v>141.0256</v>
      </c>
      <c r="J3823">
        <v>-237.2037</v>
      </c>
      <c r="K3823">
        <v>1.112455</v>
      </c>
      <c r="L3823">
        <v>140.9366</v>
      </c>
      <c r="M3823">
        <v>-0.99915770000000004</v>
      </c>
      <c r="N3823">
        <v>-1.069789E-2</v>
      </c>
      <c r="O3823">
        <v>3.9618699999999903E-2</v>
      </c>
      <c r="P3823">
        <v>-0.99850609999999995</v>
      </c>
      <c r="Q3823">
        <v>-2.0172849999999999E-2</v>
      </c>
      <c r="R3823">
        <v>-5.0781529999999998E-2</v>
      </c>
      <c r="S3823">
        <v>-3.0147400000000002</v>
      </c>
      <c r="T3823">
        <v>-0.19239709999999999</v>
      </c>
      <c r="U3823">
        <v>0.30810549999999998</v>
      </c>
      <c r="V3823">
        <v>-9.0215180000000006E-2</v>
      </c>
      <c r="W3823">
        <v>-1.0322049999999999E-2</v>
      </c>
      <c r="X3823">
        <v>0.9958688</v>
      </c>
      <c r="Y3823">
        <v>6.2083729999999997E-2</v>
      </c>
      <c r="Z3823">
        <v>2.1240939999999999E-4</v>
      </c>
      <c r="AA3823">
        <v>0.99807089999999998</v>
      </c>
      <c r="AB3823">
        <v>38</v>
      </c>
      <c r="AC3823">
        <v>-0.62829999999999497</v>
      </c>
      <c r="AD3823">
        <v>-6.3368999999999995E-2</v>
      </c>
      <c r="AE3823">
        <v>8.8999999999998594E-2</v>
      </c>
      <c r="AF3823">
        <v>6.3403986092470305E-2</v>
      </c>
      <c r="AG3823">
        <v>-6.3368999999999995E-2</v>
      </c>
      <c r="AH3823">
        <v>0.62509928870401998</v>
      </c>
      <c r="AI3823">
        <v>95.759194581694601</v>
      </c>
      <c r="AJ3823">
        <v>84.208281662002406</v>
      </c>
      <c r="AK3823">
        <v>0.63149411426527602</v>
      </c>
      <c r="AL3823">
        <v>90.591420406248403</v>
      </c>
      <c r="AM3823">
        <v>95.176262892152494</v>
      </c>
      <c r="AN3823">
        <v>0.99999999511603699</v>
      </c>
    </row>
    <row r="3824" spans="1:40" x14ac:dyDescent="0.25">
      <c r="A3824" t="str">
        <f>"20190305135906465"</f>
        <v>20190305135906465</v>
      </c>
      <c r="B3824" t="str">
        <f>"1551765546452759"</f>
        <v>1551765546452759</v>
      </c>
      <c r="C3824" t="s">
        <v>40</v>
      </c>
      <c r="D3824">
        <v>4.3614680000000003</v>
      </c>
      <c r="E3824">
        <v>0.55580090000000004</v>
      </c>
      <c r="F3824" t="s">
        <v>41</v>
      </c>
      <c r="G3824">
        <v>-238.1688</v>
      </c>
      <c r="H3824">
        <v>1.0493189999999999</v>
      </c>
      <c r="I3824">
        <v>141.03229999999999</v>
      </c>
      <c r="J3824">
        <v>-237.55109999999999</v>
      </c>
      <c r="K3824">
        <v>1.112506</v>
      </c>
      <c r="L3824">
        <v>140.94739999999999</v>
      </c>
      <c r="M3824">
        <v>-0.99929179999999995</v>
      </c>
      <c r="N3824">
        <v>-1.070057E-2</v>
      </c>
      <c r="O3824">
        <v>3.6074700000000001E-2</v>
      </c>
      <c r="P3824">
        <v>-0.99826060000000005</v>
      </c>
      <c r="Q3824">
        <v>-2.2170860000000001E-2</v>
      </c>
      <c r="R3824">
        <v>-5.4632790000000001E-2</v>
      </c>
      <c r="S3824">
        <v>-3.0156710000000002</v>
      </c>
      <c r="T3824">
        <v>-0.197495</v>
      </c>
      <c r="U3824">
        <v>0.29841610000000002</v>
      </c>
      <c r="V3824">
        <v>-9.0503739999999999E-2</v>
      </c>
      <c r="W3824">
        <v>-1.233161E-2</v>
      </c>
      <c r="X3824">
        <v>0.99581969999999997</v>
      </c>
      <c r="Y3824">
        <v>6.2408020000000002E-2</v>
      </c>
      <c r="Z3824">
        <v>4.0368499999999998E-4</v>
      </c>
      <c r="AA3824">
        <v>0.99805060000000001</v>
      </c>
      <c r="AB3824">
        <v>38</v>
      </c>
      <c r="AC3824">
        <v>-0.61770000000001302</v>
      </c>
      <c r="AD3824">
        <v>-6.3186999999999799E-2</v>
      </c>
      <c r="AE3824">
        <v>8.4900000000004597E-2</v>
      </c>
      <c r="AF3824">
        <v>6.1924149799608898E-2</v>
      </c>
      <c r="AG3824">
        <v>-6.3186999999999799E-2</v>
      </c>
      <c r="AH3824">
        <v>0.61405443986345298</v>
      </c>
      <c r="AI3824">
        <v>95.845689524037397</v>
      </c>
      <c r="AJ3824">
        <v>84.241491025848504</v>
      </c>
      <c r="AK3824">
        <v>0.62039507768310298</v>
      </c>
      <c r="AL3824">
        <v>90.706567161916297</v>
      </c>
      <c r="AM3824">
        <v>95.192983818975605</v>
      </c>
      <c r="AN3824">
        <v>0.99999993523363195</v>
      </c>
    </row>
    <row r="3825" spans="1:40" x14ac:dyDescent="0.25">
      <c r="A3825" t="str">
        <f>"20190305135906487"</f>
        <v>20190305135906487</v>
      </c>
      <c r="B3825" t="str">
        <f>"1551765546483015"</f>
        <v>1551765546483015</v>
      </c>
      <c r="C3825" t="s">
        <v>40</v>
      </c>
      <c r="D3825">
        <v>4.2047869999999996</v>
      </c>
      <c r="E3825">
        <v>0.5566451</v>
      </c>
      <c r="F3825" t="s">
        <v>41</v>
      </c>
      <c r="G3825">
        <v>-238.50479999999999</v>
      </c>
      <c r="H3825">
        <v>1.0481780000000001</v>
      </c>
      <c r="I3825">
        <v>141.03870000000001</v>
      </c>
      <c r="J3825">
        <v>-237.93190000000001</v>
      </c>
      <c r="K3825">
        <v>1.1125389999999999</v>
      </c>
      <c r="L3825">
        <v>140.95779999999999</v>
      </c>
      <c r="M3825">
        <v>-0.99942370000000003</v>
      </c>
      <c r="N3825">
        <v>-1.070335E-2</v>
      </c>
      <c r="O3825">
        <v>3.2213779999999997E-2</v>
      </c>
      <c r="P3825">
        <v>-0.99795</v>
      </c>
      <c r="Q3825">
        <v>-2.3615690000000002E-2</v>
      </c>
      <c r="R3825">
        <v>-5.9481319999999997E-2</v>
      </c>
      <c r="S3825">
        <v>-3.0164789999999999</v>
      </c>
      <c r="T3825">
        <v>-0.20349</v>
      </c>
      <c r="U3825">
        <v>0.28869630000000002</v>
      </c>
      <c r="V3825">
        <v>-9.1478699999999996E-2</v>
      </c>
      <c r="W3825">
        <v>-1.379184E-2</v>
      </c>
      <c r="X3825">
        <v>0.99571149999999997</v>
      </c>
      <c r="Y3825">
        <v>6.3039170000000005E-2</v>
      </c>
      <c r="Z3825">
        <v>6.3689689999999995E-4</v>
      </c>
      <c r="AA3825">
        <v>0.99801090000000003</v>
      </c>
      <c r="AB3825">
        <v>38</v>
      </c>
      <c r="AC3825">
        <v>-0.57289999999997498</v>
      </c>
      <c r="AD3825">
        <v>-6.4360999999999793E-2</v>
      </c>
      <c r="AE3825">
        <v>8.0900000000013905E-2</v>
      </c>
      <c r="AF3825">
        <v>6.1638951134632101E-2</v>
      </c>
      <c r="AG3825">
        <v>-6.4360999999999793E-2</v>
      </c>
      <c r="AH3825">
        <v>0.56817819174669304</v>
      </c>
      <c r="AI3825">
        <v>96.425312193363993</v>
      </c>
      <c r="AJ3825">
        <v>83.808466961994299</v>
      </c>
      <c r="AK3825">
        <v>0.57512447017538604</v>
      </c>
      <c r="AL3825">
        <v>90.790239293955594</v>
      </c>
      <c r="AM3825">
        <v>95.249182096922198</v>
      </c>
      <c r="AN3825">
        <v>0.99999997931826201</v>
      </c>
    </row>
    <row r="3826" spans="1:40" x14ac:dyDescent="0.25">
      <c r="A3826" t="str">
        <f>"20190305135906512"</f>
        <v>20190305135906512</v>
      </c>
      <c r="B3826" t="str">
        <f>"1551765546502535"</f>
        <v>1551765546502535</v>
      </c>
      <c r="C3826" t="s">
        <v>40</v>
      </c>
      <c r="D3826">
        <v>4.0997940000000002</v>
      </c>
      <c r="E3826">
        <v>0.5566451</v>
      </c>
      <c r="F3826" t="s">
        <v>41</v>
      </c>
      <c r="G3826">
        <v>-238.845</v>
      </c>
      <c r="H3826">
        <v>1.0517350000000001</v>
      </c>
      <c r="I3826">
        <v>141.0428</v>
      </c>
      <c r="J3826">
        <v>-238.33940000000001</v>
      </c>
      <c r="K3826">
        <v>1.1125640000000001</v>
      </c>
      <c r="L3826">
        <v>140.9674</v>
      </c>
      <c r="M3826">
        <v>-0.99954730000000003</v>
      </c>
      <c r="N3826">
        <v>-1.0706E-2</v>
      </c>
      <c r="O3826">
        <v>2.8115649999999999E-2</v>
      </c>
      <c r="P3826">
        <v>-0.99760669999999996</v>
      </c>
      <c r="Q3826">
        <v>-2.2699259999999999E-2</v>
      </c>
      <c r="R3826">
        <v>-6.5313109999999994E-2</v>
      </c>
      <c r="S3826">
        <v>-3.0181269999999998</v>
      </c>
      <c r="T3826">
        <v>-0.20114209999999999</v>
      </c>
      <c r="U3826">
        <v>0.28054810000000002</v>
      </c>
      <c r="V3826">
        <v>-9.3223559999999997E-2</v>
      </c>
      <c r="W3826">
        <v>-1.289481E-2</v>
      </c>
      <c r="X3826">
        <v>0.99556169999999999</v>
      </c>
      <c r="Y3826">
        <v>6.4401189999999997E-2</v>
      </c>
      <c r="Z3826">
        <v>9.1829629999999997E-4</v>
      </c>
      <c r="AA3826">
        <v>0.99792369999999997</v>
      </c>
      <c r="AB3826">
        <v>38</v>
      </c>
      <c r="AC3826">
        <v>-0.50559999999998695</v>
      </c>
      <c r="AD3826">
        <v>-6.08289999999998E-2</v>
      </c>
      <c r="AE3826">
        <v>7.5400000000001896E-2</v>
      </c>
      <c r="AF3826">
        <v>6.0300266687028502E-2</v>
      </c>
      <c r="AG3826">
        <v>-6.08289999999998E-2</v>
      </c>
      <c r="AH3826">
        <v>0.50043413895925004</v>
      </c>
      <c r="AI3826">
        <v>96.8811516529979</v>
      </c>
      <c r="AJ3826">
        <v>83.129218061429697</v>
      </c>
      <c r="AK3826">
        <v>0.50771115492907304</v>
      </c>
      <c r="AL3826">
        <v>90.738838664291407</v>
      </c>
      <c r="AM3826">
        <v>95.349529568828203</v>
      </c>
      <c r="AN3826">
        <v>1.0000000033854399</v>
      </c>
    </row>
    <row r="3827" spans="1:40" x14ac:dyDescent="0.25">
      <c r="A3827" t="str">
        <f>"20190305135906600"</f>
        <v>20190305135906600</v>
      </c>
      <c r="B3827" t="str">
        <f>"1551765546592833"</f>
        <v>1551765546592833</v>
      </c>
      <c r="C3827" t="s">
        <v>40</v>
      </c>
      <c r="D3827">
        <v>4.2595650000000003</v>
      </c>
      <c r="E3827">
        <v>0.51250949999999995</v>
      </c>
      <c r="F3827" t="s">
        <v>42</v>
      </c>
      <c r="G3827">
        <v>-259.19819999999999</v>
      </c>
      <c r="H3827" s="1">
        <v>-5.5568240000000003E-7</v>
      </c>
      <c r="I3827">
        <v>140.47839999999999</v>
      </c>
      <c r="J3827">
        <v>-239.8329</v>
      </c>
      <c r="K3827">
        <v>1.1126130000000001</v>
      </c>
      <c r="L3827">
        <v>140.98840000000001</v>
      </c>
      <c r="M3827">
        <v>-0.99985400000000002</v>
      </c>
      <c r="N3827">
        <v>-1.071749E-2</v>
      </c>
      <c r="O3827">
        <v>1.331336E-2</v>
      </c>
      <c r="P3827">
        <v>-0.99610480000000001</v>
      </c>
      <c r="Q3827">
        <v>-1.647974E-2</v>
      </c>
      <c r="R3827">
        <v>-8.6626449999999994E-2</v>
      </c>
      <c r="S3827">
        <v>-3.0015869999999998</v>
      </c>
      <c r="T3827">
        <v>-0.16895789999999999</v>
      </c>
      <c r="U3827">
        <v>-7.6904299999999995E-2</v>
      </c>
      <c r="V3827">
        <v>-9.9823300000000004E-2</v>
      </c>
      <c r="W3827">
        <v>-6.7346330000000003E-3</v>
      </c>
      <c r="X3827">
        <v>0.99498240000000004</v>
      </c>
      <c r="Y3827">
        <v>-3.8833329999999999E-2</v>
      </c>
      <c r="Z3827">
        <v>-1.9063769999999999E-3</v>
      </c>
      <c r="AA3827">
        <v>0.99924389999999996</v>
      </c>
      <c r="AB3827">
        <v>38</v>
      </c>
      <c r="AC3827">
        <v>-19.365299999999898</v>
      </c>
      <c r="AD3827">
        <v>-1.1126135556823999</v>
      </c>
      <c r="AE3827">
        <v>-0.51000000000001899</v>
      </c>
      <c r="AF3827">
        <v>-0.76526244720839198</v>
      </c>
      <c r="AG3827">
        <v>-1.1126135556823999</v>
      </c>
      <c r="AH3827">
        <v>19.293151539754898</v>
      </c>
      <c r="AI3827">
        <v>93.297937607877699</v>
      </c>
      <c r="AJ3827">
        <v>92.271445150732603</v>
      </c>
      <c r="AK3827">
        <v>19.340352423711</v>
      </c>
      <c r="AL3827">
        <v>90.385868959971205</v>
      </c>
      <c r="AM3827">
        <v>95.729125693800398</v>
      </c>
      <c r="AN3827">
        <v>1.0000000114071399</v>
      </c>
    </row>
    <row r="3828" spans="1:40" x14ac:dyDescent="0.25">
      <c r="A3828" t="str">
        <f>"20190305135906623"</f>
        <v>20190305135906623</v>
      </c>
      <c r="B3828" t="str">
        <f>"1551765546612353"</f>
        <v>1551765546612353</v>
      </c>
      <c r="C3828" t="s">
        <v>40</v>
      </c>
      <c r="D3828">
        <v>4.2932059999999996</v>
      </c>
      <c r="E3828">
        <v>0.51107239999999998</v>
      </c>
      <c r="F3828" t="s">
        <v>42</v>
      </c>
      <c r="G3828">
        <v>-275.1053</v>
      </c>
      <c r="H3828" s="1">
        <v>-2.1675559999999999E-6</v>
      </c>
      <c r="I3828">
        <v>139.1345</v>
      </c>
      <c r="J3828">
        <v>-240.22399999999999</v>
      </c>
      <c r="K3828">
        <v>1.112614</v>
      </c>
      <c r="L3828">
        <v>140.99019999999999</v>
      </c>
      <c r="M3828">
        <v>-0.9998977</v>
      </c>
      <c r="N3828">
        <v>-1.072117E-2</v>
      </c>
      <c r="O3828">
        <v>9.4723020000000002E-3</v>
      </c>
      <c r="P3828">
        <v>-0.9957355</v>
      </c>
      <c r="Q3828">
        <v>-1.695793E-2</v>
      </c>
      <c r="R3828">
        <v>-9.0681700000000004E-2</v>
      </c>
      <c r="S3828">
        <v>-2.9964599999999999</v>
      </c>
      <c r="T3828">
        <v>-9.4518900000000003E-2</v>
      </c>
      <c r="U3828">
        <v>-0.15748599999999999</v>
      </c>
      <c r="V3828">
        <v>-0.10004830000000001</v>
      </c>
      <c r="W3828">
        <v>-7.2128089999999997E-3</v>
      </c>
      <c r="X3828">
        <v>0.99495639999999996</v>
      </c>
      <c r="Y3828">
        <v>-6.1899129999999997E-2</v>
      </c>
      <c r="Z3828">
        <v>-1.5045670000000001E-3</v>
      </c>
      <c r="AA3828">
        <v>0.99808129999999995</v>
      </c>
      <c r="AB3828">
        <v>38</v>
      </c>
      <c r="AC3828">
        <v>-34.881299999999896</v>
      </c>
      <c r="AD3828">
        <v>-1.112616167556</v>
      </c>
      <c r="AE3828">
        <v>-1.8556999999999799</v>
      </c>
      <c r="AF3828">
        <v>-2.1838262991438202</v>
      </c>
      <c r="AG3828">
        <v>-1.112616167556</v>
      </c>
      <c r="AH3828">
        <v>34.826822251397402</v>
      </c>
      <c r="AI3828">
        <v>91.826227610445699</v>
      </c>
      <c r="AJ3828">
        <v>93.588051216308202</v>
      </c>
      <c r="AK3828">
        <v>34.9129569095997</v>
      </c>
      <c r="AL3828">
        <v>90.413267113059604</v>
      </c>
      <c r="AM3828">
        <v>95.742101897607299</v>
      </c>
      <c r="AN3828">
        <v>0.99999996242375899</v>
      </c>
    </row>
    <row r="3829" spans="1:40" x14ac:dyDescent="0.25">
      <c r="A3829" t="str">
        <f>"20190305135906643"</f>
        <v>20190305135906643</v>
      </c>
      <c r="B3829" t="str">
        <f>"1551765546632849"</f>
        <v>1551765546632849</v>
      </c>
      <c r="C3829" t="s">
        <v>40</v>
      </c>
      <c r="D3829">
        <v>4.2676610000000004</v>
      </c>
      <c r="E3829">
        <v>0.50880779999999903</v>
      </c>
      <c r="F3829" t="s">
        <v>79</v>
      </c>
      <c r="G3829">
        <v>-291.19260000000003</v>
      </c>
      <c r="H3829" s="1">
        <v>-8.2115249999999993E-6</v>
      </c>
      <c r="I3829">
        <v>137.87530000000001</v>
      </c>
      <c r="J3829">
        <v>-240.57980000000001</v>
      </c>
      <c r="K3829">
        <v>1.112619</v>
      </c>
      <c r="L3829">
        <v>140.9906</v>
      </c>
      <c r="M3829">
        <v>-0.9999247</v>
      </c>
      <c r="N3829">
        <v>-1.072447E-2</v>
      </c>
      <c r="O3829">
        <v>5.9819799999999996E-3</v>
      </c>
      <c r="P3829">
        <v>-0.99547980000000003</v>
      </c>
      <c r="Q3829">
        <v>-1.550928E-2</v>
      </c>
      <c r="R3829">
        <v>-9.3698840000000005E-2</v>
      </c>
      <c r="S3829">
        <v>-2.9950869999999998</v>
      </c>
      <c r="T3829">
        <v>-6.5381529999999993E-2</v>
      </c>
      <c r="U3829">
        <v>-0.1830444</v>
      </c>
      <c r="V3829">
        <v>-9.9604230000000002E-2</v>
      </c>
      <c r="W3829">
        <v>-5.7571150000000001E-3</v>
      </c>
      <c r="X3829">
        <v>0.99501050000000002</v>
      </c>
      <c r="Y3829">
        <v>-6.6947099999999996E-2</v>
      </c>
      <c r="Z3829">
        <v>-1.155704E-3</v>
      </c>
      <c r="AA3829">
        <v>0.99775590000000003</v>
      </c>
      <c r="AB3829">
        <v>38</v>
      </c>
      <c r="AC3829">
        <v>-50.6128</v>
      </c>
      <c r="AD3829">
        <v>-1.112627211525</v>
      </c>
      <c r="AE3829">
        <v>-3.1152999999999902</v>
      </c>
      <c r="AF3829">
        <v>-3.41638163231808</v>
      </c>
      <c r="AG3829">
        <v>-1.112627211525</v>
      </c>
      <c r="AH3829">
        <v>50.568912017743699</v>
      </c>
      <c r="AI3829">
        <v>91.257564016286693</v>
      </c>
      <c r="AJ3829">
        <v>93.864968573424605</v>
      </c>
      <c r="AK3829">
        <v>50.696394994395497</v>
      </c>
      <c r="AL3829">
        <v>90.329860206910396</v>
      </c>
      <c r="AM3829">
        <v>95.716475674371196</v>
      </c>
      <c r="AN3829">
        <v>1.00000002105863</v>
      </c>
    </row>
    <row r="3830" spans="1:40" x14ac:dyDescent="0.25">
      <c r="A3830" t="str">
        <f>"20190305135906666"</f>
        <v>20190305135906666</v>
      </c>
      <c r="B3830" t="str">
        <f>"1551765546663106"</f>
        <v>1551765546663106</v>
      </c>
      <c r="C3830" t="s">
        <v>40</v>
      </c>
      <c r="D3830">
        <v>4.2908429999999997</v>
      </c>
      <c r="E3830">
        <v>0.5069574</v>
      </c>
      <c r="F3830" t="s">
        <v>79</v>
      </c>
      <c r="G3830">
        <v>-306.80500000000001</v>
      </c>
      <c r="H3830" s="1">
        <v>-7.983097E-6</v>
      </c>
      <c r="I3830">
        <v>136.32660000000001</v>
      </c>
      <c r="J3830">
        <v>-240.94450000000001</v>
      </c>
      <c r="K3830">
        <v>1.1126259999999999</v>
      </c>
      <c r="L3830">
        <v>140.9897</v>
      </c>
      <c r="M3830">
        <v>-0.99993960000000004</v>
      </c>
      <c r="N3830">
        <v>-1.0727769999999999E-2</v>
      </c>
      <c r="O3830">
        <v>2.4066180000000001E-3</v>
      </c>
      <c r="P3830">
        <v>-0.99535119999999999</v>
      </c>
      <c r="Q3830">
        <v>-1.3428000000000001E-2</v>
      </c>
      <c r="R3830">
        <v>-9.5373830000000007E-2</v>
      </c>
      <c r="S3830">
        <v>-2.9930110000000001</v>
      </c>
      <c r="T3830">
        <v>-5.0284620000000002E-2</v>
      </c>
      <c r="U3830">
        <v>-0.2107849</v>
      </c>
      <c r="V3830">
        <v>-9.7739439999999997E-2</v>
      </c>
      <c r="W3830">
        <v>-3.6539329999999998E-3</v>
      </c>
      <c r="X3830">
        <v>0.99520529999999996</v>
      </c>
      <c r="Y3830">
        <v>-7.2635539999999998E-2</v>
      </c>
      <c r="Z3830">
        <v>-1.0141079999999999E-3</v>
      </c>
      <c r="AA3830">
        <v>0.99735799999999997</v>
      </c>
      <c r="AB3830">
        <v>38</v>
      </c>
      <c r="AC3830">
        <v>-65.860500000000002</v>
      </c>
      <c r="AD3830">
        <v>-1.112633983097</v>
      </c>
      <c r="AE3830">
        <v>-4.6630999999999796</v>
      </c>
      <c r="AF3830">
        <v>-4.8202278412592596</v>
      </c>
      <c r="AG3830">
        <v>-1.112633983097</v>
      </c>
      <c r="AH3830">
        <v>65.830392000272596</v>
      </c>
      <c r="AI3830">
        <v>90.965708978741802</v>
      </c>
      <c r="AJ3830">
        <v>94.187833493750304</v>
      </c>
      <c r="AK3830">
        <v>66.016006102547195</v>
      </c>
      <c r="AL3830">
        <v>90.209355411820894</v>
      </c>
      <c r="AM3830">
        <v>95.609049912901</v>
      </c>
      <c r="AN3830">
        <v>0.99999996925298495</v>
      </c>
    </row>
    <row r="3831" spans="1:40" x14ac:dyDescent="0.25">
      <c r="A3831" t="str">
        <f>"20190305135906680"</f>
        <v>20190305135906680</v>
      </c>
      <c r="B3831" t="str">
        <f>"1551765546672866"</f>
        <v>1551765546672866</v>
      </c>
      <c r="C3831" t="s">
        <v>40</v>
      </c>
      <c r="D3831">
        <v>4.2741439999999997</v>
      </c>
      <c r="E3831">
        <v>0.50658349999999996</v>
      </c>
      <c r="F3831" t="s">
        <v>42</v>
      </c>
      <c r="G3831">
        <v>-326.24630000000002</v>
      </c>
      <c r="H3831" s="1">
        <v>-2.649975E-6</v>
      </c>
      <c r="I3831">
        <v>134.40539999999999</v>
      </c>
      <c r="J3831">
        <v>-241.2011</v>
      </c>
      <c r="K3831">
        <v>1.1126240000000001</v>
      </c>
      <c r="L3831">
        <v>140.98840000000001</v>
      </c>
      <c r="M3831">
        <v>-0.99994240000000001</v>
      </c>
      <c r="N3831">
        <v>-1.073004E-2</v>
      </c>
      <c r="O3831">
        <v>-1.0953E-4</v>
      </c>
      <c r="P3831">
        <v>-0.99522849999999996</v>
      </c>
      <c r="Q3831">
        <v>-1.2703259999999999E-2</v>
      </c>
      <c r="R3831">
        <v>-9.674133E-2</v>
      </c>
      <c r="S3831">
        <v>-2.9913639999999999</v>
      </c>
      <c r="T3831">
        <v>-3.9017679999999999E-2</v>
      </c>
      <c r="U3831">
        <v>-0.23089599999999999</v>
      </c>
      <c r="V3831">
        <v>-9.6609249999999994E-2</v>
      </c>
      <c r="W3831">
        <v>-2.9157570000000002E-3</v>
      </c>
      <c r="X3831">
        <v>0.99531809999999998</v>
      </c>
      <c r="Y3831">
        <v>-7.6837559999999999E-2</v>
      </c>
      <c r="Z3831">
        <v>-9.129858E-4</v>
      </c>
      <c r="AA3831">
        <v>0.99704320000000002</v>
      </c>
      <c r="AB3831">
        <v>38</v>
      </c>
      <c r="AC3831">
        <v>-85.045199999999994</v>
      </c>
      <c r="AD3831">
        <v>-1.1126266499749999</v>
      </c>
      <c r="AE3831">
        <v>-6.5830000000000197</v>
      </c>
      <c r="AF3831">
        <v>-6.5725661707172396</v>
      </c>
      <c r="AG3831">
        <v>-1.1126266499749999</v>
      </c>
      <c r="AH3831">
        <v>85.031453366209703</v>
      </c>
      <c r="AI3831">
        <v>90.747436562163799</v>
      </c>
      <c r="AJ3831">
        <v>94.419929200902004</v>
      </c>
      <c r="AK3831">
        <v>85.292347990312706</v>
      </c>
      <c r="AL3831">
        <v>90.167060809489797</v>
      </c>
      <c r="AM3831">
        <v>95.5439728626761</v>
      </c>
      <c r="AN3831">
        <v>0.99999998450602701</v>
      </c>
    </row>
    <row r="3832" spans="1:40" x14ac:dyDescent="0.25">
      <c r="A3832" t="str">
        <f>"20190305135906700"</f>
        <v>20190305135906700</v>
      </c>
      <c r="B3832" t="str">
        <f>"1551765546692891"</f>
        <v>1551765546692891</v>
      </c>
      <c r="C3832" t="s">
        <v>40</v>
      </c>
      <c r="D3832">
        <v>4.2472909999999997</v>
      </c>
      <c r="E3832">
        <v>0.50632149999999998</v>
      </c>
      <c r="F3832" t="s">
        <v>42</v>
      </c>
      <c r="G3832">
        <v>-333.23610000000002</v>
      </c>
      <c r="H3832" s="1">
        <v>-4.2340469999999999E-6</v>
      </c>
      <c r="I3832">
        <v>133.6619</v>
      </c>
      <c r="J3832">
        <v>-241.54060000000001</v>
      </c>
      <c r="K3832">
        <v>1.112617</v>
      </c>
      <c r="L3832">
        <v>140.9855</v>
      </c>
      <c r="M3832">
        <v>-0.99993650000000001</v>
      </c>
      <c r="N3832">
        <v>-1.073286E-2</v>
      </c>
      <c r="O3832">
        <v>-3.438151E-3</v>
      </c>
      <c r="P3832">
        <v>-0.99515339999999997</v>
      </c>
      <c r="Q3832">
        <v>-1.331039E-2</v>
      </c>
      <c r="R3832">
        <v>-9.7429890000000005E-2</v>
      </c>
      <c r="S3832">
        <v>-2.9907840000000001</v>
      </c>
      <c r="T3832">
        <v>-3.6156180000000003E-2</v>
      </c>
      <c r="U3832">
        <v>-0.23808289999999999</v>
      </c>
      <c r="V3832">
        <v>-9.3979419999999994E-2</v>
      </c>
      <c r="W3832">
        <v>-3.4936860000000002E-3</v>
      </c>
      <c r="X3832">
        <v>0.99556800000000001</v>
      </c>
      <c r="Y3832">
        <v>-7.5916070000000002E-2</v>
      </c>
      <c r="Z3832">
        <v>-8.6157159999999998E-4</v>
      </c>
      <c r="AA3832">
        <v>0.99711380000000005</v>
      </c>
      <c r="AB3832">
        <v>38</v>
      </c>
      <c r="AC3832">
        <v>-91.695499999999996</v>
      </c>
      <c r="AD3832">
        <v>-1.1126212340470001</v>
      </c>
      <c r="AE3832">
        <v>-7.3235999999999901</v>
      </c>
      <c r="AF3832">
        <v>-7.0072504337536703</v>
      </c>
      <c r="AG3832">
        <v>-1.1126212340470001</v>
      </c>
      <c r="AH3832">
        <v>91.706722598501102</v>
      </c>
      <c r="AI3832">
        <v>90.693080239356703</v>
      </c>
      <c r="AJ3832">
        <v>94.369442575178795</v>
      </c>
      <c r="AK3832">
        <v>91.980772199466898</v>
      </c>
      <c r="AL3832">
        <v>90.200173871977199</v>
      </c>
      <c r="AM3832">
        <v>95.392615143844907</v>
      </c>
      <c r="AN3832">
        <v>0.99999998992470096</v>
      </c>
    </row>
    <row r="3833" spans="1:40" x14ac:dyDescent="0.25">
      <c r="A3833" t="str">
        <f>"20190305135906725"</f>
        <v>20190305135906725</v>
      </c>
      <c r="B3833" t="str">
        <f>"1551765546712411"</f>
        <v>1551765546712411</v>
      </c>
      <c r="C3833" t="s">
        <v>40</v>
      </c>
      <c r="D3833">
        <v>4.2521240000000002</v>
      </c>
      <c r="E3833">
        <v>0.50611390000000001</v>
      </c>
      <c r="F3833" t="s">
        <v>42</v>
      </c>
      <c r="G3833">
        <v>-332.38279999999997</v>
      </c>
      <c r="H3833" s="1">
        <v>-4.64371E-6</v>
      </c>
      <c r="I3833">
        <v>133.62610000000001</v>
      </c>
      <c r="J3833">
        <v>-241.9504</v>
      </c>
      <c r="K3833">
        <v>1.112582</v>
      </c>
      <c r="L3833">
        <v>140.98050000000001</v>
      </c>
      <c r="M3833">
        <v>-0.99991470000000005</v>
      </c>
      <c r="N3833">
        <v>-1.0736010000000001E-2</v>
      </c>
      <c r="O3833">
        <v>-7.4476119999999897E-3</v>
      </c>
      <c r="P3833">
        <v>-0.99503540000000001</v>
      </c>
      <c r="Q3833">
        <v>-1.676472E-2</v>
      </c>
      <c r="R3833">
        <v>-9.8100359999999998E-2</v>
      </c>
      <c r="S3833">
        <v>-2.9904329999999999</v>
      </c>
      <c r="T3833">
        <v>-3.662634E-2</v>
      </c>
      <c r="U3833">
        <v>-0.2422638</v>
      </c>
      <c r="V3833">
        <v>-9.0626219999999993E-2</v>
      </c>
      <c r="W3833">
        <v>-6.910884E-3</v>
      </c>
      <c r="X3833">
        <v>0.995861</v>
      </c>
      <c r="Y3833">
        <v>-7.3312180000000005E-2</v>
      </c>
      <c r="Z3833">
        <v>-8.3120809999999998E-4</v>
      </c>
      <c r="AA3833">
        <v>0.99730870000000005</v>
      </c>
      <c r="AB3833">
        <v>38</v>
      </c>
      <c r="AC3833">
        <v>-90.432399999999902</v>
      </c>
      <c r="AD3833">
        <v>-1.11258664371</v>
      </c>
      <c r="AE3833">
        <v>-7.3543999999999903</v>
      </c>
      <c r="AF3833">
        <v>-6.6796474027877597</v>
      </c>
      <c r="AG3833">
        <v>-1.11258664371</v>
      </c>
      <c r="AH3833">
        <v>90.471063550194202</v>
      </c>
      <c r="AI3833">
        <v>90.702658847636698</v>
      </c>
      <c r="AJ3833">
        <v>94.222592758505897</v>
      </c>
      <c r="AK3833">
        <v>90.724136140106694</v>
      </c>
      <c r="AL3833">
        <v>90.395967637199305</v>
      </c>
      <c r="AM3833">
        <v>95.199758587360506</v>
      </c>
      <c r="AN3833">
        <v>1.0000000016950701</v>
      </c>
    </row>
    <row r="3834" spans="1:40" x14ac:dyDescent="0.25">
      <c r="A3834" t="str">
        <f>"20190305135906745"</f>
        <v>20190305135906745</v>
      </c>
      <c r="B3834" t="str">
        <f>"1551765546742668"</f>
        <v>1551765546742668</v>
      </c>
      <c r="C3834" t="s">
        <v>40</v>
      </c>
      <c r="D3834">
        <v>4.2410319999999997</v>
      </c>
      <c r="E3834">
        <v>0.50585049999999998</v>
      </c>
      <c r="F3834" t="s">
        <v>79</v>
      </c>
      <c r="G3834">
        <v>-314.05430000000001</v>
      </c>
      <c r="H3834" s="1">
        <v>-6.5058939999999899E-6</v>
      </c>
      <c r="I3834">
        <v>135.04839999999999</v>
      </c>
      <c r="J3834">
        <v>-242.3015</v>
      </c>
      <c r="K3834">
        <v>1.1125430000000001</v>
      </c>
      <c r="L3834">
        <v>140.97499999999999</v>
      </c>
      <c r="M3834">
        <v>-0.99988350000000004</v>
      </c>
      <c r="N3834">
        <v>-1.0738259999999999E-2</v>
      </c>
      <c r="O3834">
        <v>-1.085672E-2</v>
      </c>
      <c r="P3834">
        <v>-0.99485570000000001</v>
      </c>
      <c r="Q3834">
        <v>-2.29217E-2</v>
      </c>
      <c r="R3834">
        <v>-9.8675929999999995E-2</v>
      </c>
      <c r="S3834">
        <v>-2.9899290000000001</v>
      </c>
      <c r="T3834">
        <v>-4.6135660000000002E-2</v>
      </c>
      <c r="U3834">
        <v>-0.24598690000000001</v>
      </c>
      <c r="V3834">
        <v>-8.7752319999999995E-2</v>
      </c>
      <c r="W3834">
        <v>-1.303519E-2</v>
      </c>
      <c r="X3834">
        <v>0.99605699999999997</v>
      </c>
      <c r="Y3834">
        <v>-7.1154990000000001E-2</v>
      </c>
      <c r="Z3834">
        <v>-8.7994129999999996E-4</v>
      </c>
      <c r="AA3834">
        <v>0.99746489999999999</v>
      </c>
      <c r="AB3834">
        <v>38</v>
      </c>
      <c r="AC3834">
        <v>-71.752799999999993</v>
      </c>
      <c r="AD3834">
        <v>-1.112549505894</v>
      </c>
      <c r="AE3834">
        <v>-5.9265999999999996</v>
      </c>
      <c r="AF3834">
        <v>-5.1459769837585601</v>
      </c>
      <c r="AG3834">
        <v>-1.112549505894</v>
      </c>
      <c r="AH3834">
        <v>71.795774039121994</v>
      </c>
      <c r="AI3834">
        <v>90.885514776036999</v>
      </c>
      <c r="AJ3834">
        <v>94.099675992843501</v>
      </c>
      <c r="AK3834">
        <v>71.988554752801505</v>
      </c>
      <c r="AL3834">
        <v>90.746882549394201</v>
      </c>
      <c r="AM3834">
        <v>95.034741860273996</v>
      </c>
      <c r="AN3834">
        <v>0.99999996654635803</v>
      </c>
    </row>
    <row r="3835" spans="1:40" x14ac:dyDescent="0.25">
      <c r="A3835" t="str">
        <f>"20190305135906767"</f>
        <v>20190305135906767</v>
      </c>
      <c r="B3835" t="str">
        <f>"1551765546763164"</f>
        <v>1551765546763164</v>
      </c>
      <c r="C3835" t="s">
        <v>40</v>
      </c>
      <c r="D3835">
        <v>4.2727899999999996</v>
      </c>
      <c r="E3835">
        <v>0.50554869999999996</v>
      </c>
      <c r="F3835" t="s">
        <v>79</v>
      </c>
      <c r="G3835">
        <v>-295.21030000000002</v>
      </c>
      <c r="H3835" s="1">
        <v>-7.3954859999999998E-6</v>
      </c>
      <c r="I3835">
        <v>136.55090000000001</v>
      </c>
      <c r="J3835">
        <v>-242.65459999999999</v>
      </c>
      <c r="K3835">
        <v>1.112492</v>
      </c>
      <c r="L3835">
        <v>140.9683</v>
      </c>
      <c r="M3835">
        <v>-0.99984130000000004</v>
      </c>
      <c r="N3835">
        <v>-1.073936E-2</v>
      </c>
      <c r="O3835">
        <v>-1.421729E-2</v>
      </c>
      <c r="P3835">
        <v>-0.99466500000000002</v>
      </c>
      <c r="Q3835">
        <v>-2.7422479999999999E-2</v>
      </c>
      <c r="R3835">
        <v>-9.9446610000000005E-2</v>
      </c>
      <c r="S3835">
        <v>-2.9892729999999998</v>
      </c>
      <c r="T3835">
        <v>-6.2857510000000005E-2</v>
      </c>
      <c r="U3835">
        <v>-0.24995419999999999</v>
      </c>
      <c r="V3835">
        <v>-8.5138690000000003E-2</v>
      </c>
      <c r="W3835">
        <v>-1.7502070000000002E-2</v>
      </c>
      <c r="X3835">
        <v>0.99621539999999997</v>
      </c>
      <c r="Y3835">
        <v>-6.9126980000000005E-2</v>
      </c>
      <c r="Z3835">
        <v>-9.5144369999999997E-4</v>
      </c>
      <c r="AA3835">
        <v>0.99760740000000003</v>
      </c>
      <c r="AB3835">
        <v>38</v>
      </c>
      <c r="AC3835">
        <v>-52.555700000000002</v>
      </c>
      <c r="AD3835">
        <v>-1.1124993954860001</v>
      </c>
      <c r="AE3835">
        <v>-4.4173999999999802</v>
      </c>
      <c r="AF3835">
        <v>-3.6680787127285202</v>
      </c>
      <c r="AG3835">
        <v>-1.1124993954860001</v>
      </c>
      <c r="AH3835">
        <v>52.589795256004301</v>
      </c>
      <c r="AI3835">
        <v>91.208934134264197</v>
      </c>
      <c r="AJ3835">
        <v>93.989854075564907</v>
      </c>
      <c r="AK3835">
        <v>52.729299458803503</v>
      </c>
      <c r="AL3835">
        <v>91.002845926070094</v>
      </c>
      <c r="AM3835">
        <v>94.8847500572911</v>
      </c>
      <c r="AN3835">
        <v>1.0000000210931801</v>
      </c>
    </row>
    <row r="3836" spans="1:40" x14ac:dyDescent="0.25">
      <c r="A3836" t="str">
        <f>"20190305135906789"</f>
        <v>20190305135906789</v>
      </c>
      <c r="B3836" t="str">
        <f>"1551765546783191"</f>
        <v>1551765546783191</v>
      </c>
      <c r="C3836" t="s">
        <v>40</v>
      </c>
      <c r="D3836">
        <v>4.258032</v>
      </c>
      <c r="E3836">
        <v>0.47158739999999999</v>
      </c>
      <c r="F3836" t="s">
        <v>79</v>
      </c>
      <c r="G3836">
        <v>-286.87889999999999</v>
      </c>
      <c r="H3836" s="1">
        <v>-6.1671209999999997E-6</v>
      </c>
      <c r="I3836">
        <v>137.19990000000001</v>
      </c>
      <c r="J3836">
        <v>-243.04589999999999</v>
      </c>
      <c r="K3836">
        <v>1.112406</v>
      </c>
      <c r="L3836">
        <v>140.95959999999999</v>
      </c>
      <c r="M3836">
        <v>-0.99978409999999995</v>
      </c>
      <c r="N3836">
        <v>-1.073815E-2</v>
      </c>
      <c r="O3836">
        <v>-1.7785579999999999E-2</v>
      </c>
      <c r="P3836">
        <v>-0.99440430000000002</v>
      </c>
      <c r="Q3836">
        <v>-2.901482E-2</v>
      </c>
      <c r="R3836">
        <v>-0.10157869999999999</v>
      </c>
      <c r="S3836">
        <v>-2.988556</v>
      </c>
      <c r="T3836">
        <v>-7.5179579999999996E-2</v>
      </c>
      <c r="U3836">
        <v>-0.25465389999999999</v>
      </c>
      <c r="V3836">
        <v>-8.3709210000000006E-2</v>
      </c>
      <c r="W3836">
        <v>-1.9063070000000001E-2</v>
      </c>
      <c r="X3836">
        <v>0.99630779999999997</v>
      </c>
      <c r="Y3836">
        <v>-6.7137899999999903E-2</v>
      </c>
      <c r="Z3836">
        <v>-9.4824779999999999E-4</v>
      </c>
      <c r="AA3836">
        <v>0.99774320000000005</v>
      </c>
      <c r="AB3836">
        <v>38</v>
      </c>
      <c r="AC3836">
        <v>-43.832999999999998</v>
      </c>
      <c r="AD3836">
        <v>-1.1124121671209899</v>
      </c>
      <c r="AE3836">
        <v>-3.7596999999999801</v>
      </c>
      <c r="AF3836">
        <v>-2.97756117795916</v>
      </c>
      <c r="AG3836">
        <v>-1.1124121671209899</v>
      </c>
      <c r="AH3836">
        <v>43.864892709209101</v>
      </c>
      <c r="AI3836">
        <v>91.449373723483603</v>
      </c>
      <c r="AJ3836">
        <v>93.883296442441704</v>
      </c>
      <c r="AK3836">
        <v>43.979906136649198</v>
      </c>
      <c r="AL3836">
        <v>91.092299693277397</v>
      </c>
      <c r="AM3836">
        <v>94.802678607359198</v>
      </c>
      <c r="AN3836">
        <v>0.99999993240874196</v>
      </c>
    </row>
    <row r="3837" spans="1:40" x14ac:dyDescent="0.25">
      <c r="A3837" t="str">
        <f>"20190305135906812"</f>
        <v>20190305135906812</v>
      </c>
      <c r="B3837" t="str">
        <f>"1551765546802714"</f>
        <v>1551765546802714</v>
      </c>
      <c r="C3837" t="s">
        <v>40</v>
      </c>
      <c r="D3837">
        <v>4.2950030000000003</v>
      </c>
      <c r="E3837">
        <v>0.45749630000000002</v>
      </c>
      <c r="F3837" t="s">
        <v>42</v>
      </c>
      <c r="G3837">
        <v>-263.4015</v>
      </c>
      <c r="H3837" s="1">
        <v>-3.2165320000000001E-6</v>
      </c>
      <c r="I3837">
        <v>137.34139999999999</v>
      </c>
      <c r="J3837">
        <v>-243.4366</v>
      </c>
      <c r="K3837">
        <v>1.1122620000000001</v>
      </c>
      <c r="L3837">
        <v>140.94970000000001</v>
      </c>
      <c r="M3837">
        <v>-0.99971960000000004</v>
      </c>
      <c r="N3837">
        <v>-1.0734230000000001E-2</v>
      </c>
      <c r="O3837">
        <v>-2.1106079999999999E-2</v>
      </c>
      <c r="P3837">
        <v>-0.99406340000000004</v>
      </c>
      <c r="Q3837">
        <v>-2.8402259999999999E-2</v>
      </c>
      <c r="R3837">
        <v>-0.10503029999999999</v>
      </c>
      <c r="S3837">
        <v>-2.958466</v>
      </c>
      <c r="T3837">
        <v>-0.1616764</v>
      </c>
      <c r="U3837">
        <v>-0.52584839999999999</v>
      </c>
      <c r="V3837">
        <v>-8.3871280000000006E-2</v>
      </c>
      <c r="W3837">
        <v>-1.842303E-2</v>
      </c>
      <c r="X3837">
        <v>0.99630629999999998</v>
      </c>
      <c r="Y3837">
        <v>-0.1539325</v>
      </c>
      <c r="Z3837">
        <v>-4.0854699999999999E-3</v>
      </c>
      <c r="AA3837">
        <v>0.98807290000000003</v>
      </c>
      <c r="AB3837">
        <v>38</v>
      </c>
      <c r="AC3837">
        <v>-19.9649</v>
      </c>
      <c r="AD3837">
        <v>-1.1122652165319999</v>
      </c>
      <c r="AE3837">
        <v>-3.6083000000000101</v>
      </c>
      <c r="AF3837">
        <v>-3.1765438196570299</v>
      </c>
      <c r="AG3837">
        <v>-1.1122652165319999</v>
      </c>
      <c r="AH3837">
        <v>19.976573096791</v>
      </c>
      <c r="AI3837">
        <v>93.147389522629496</v>
      </c>
      <c r="AJ3837">
        <v>99.035154261513199</v>
      </c>
      <c r="AK3837">
        <v>20.258110406490101</v>
      </c>
      <c r="AL3837">
        <v>91.055621562262601</v>
      </c>
      <c r="AM3837">
        <v>94.811940698328499</v>
      </c>
      <c r="AN3837">
        <v>1.00000002153145</v>
      </c>
    </row>
    <row r="3838" spans="1:40" x14ac:dyDescent="0.25">
      <c r="A3838" t="str">
        <f>"20190305135906833"</f>
        <v>20190305135906833</v>
      </c>
      <c r="B3838" t="str">
        <f>"1551765546823206"</f>
        <v>1551765546823206</v>
      </c>
      <c r="C3838" t="s">
        <v>40</v>
      </c>
      <c r="D3838">
        <v>4.202477</v>
      </c>
      <c r="E3838">
        <v>0.45364539999999998</v>
      </c>
      <c r="F3838" t="s">
        <v>42</v>
      </c>
      <c r="G3838">
        <v>-265.5641</v>
      </c>
      <c r="H3838" s="1">
        <v>-2.5133850000000002E-6</v>
      </c>
      <c r="I3838">
        <v>136.0753</v>
      </c>
      <c r="J3838">
        <v>-243.80629999999999</v>
      </c>
      <c r="K3838">
        <v>1.1120559999999999</v>
      </c>
      <c r="L3838">
        <v>140.93940000000001</v>
      </c>
      <c r="M3838">
        <v>-0.99965590000000004</v>
      </c>
      <c r="N3838">
        <v>-1.0728690000000001E-2</v>
      </c>
      <c r="O3838">
        <v>-2.3936300000000001E-2</v>
      </c>
      <c r="P3838">
        <v>-0.99376149999999996</v>
      </c>
      <c r="Q3838">
        <v>-2.6777019999999999E-2</v>
      </c>
      <c r="R3838">
        <v>-0.1082645</v>
      </c>
      <c r="S3838">
        <v>-2.9451290000000001</v>
      </c>
      <c r="T3838">
        <v>-0.14804110000000001</v>
      </c>
      <c r="U3838">
        <v>-0.6487579</v>
      </c>
      <c r="V3838">
        <v>-8.4314589999999995E-2</v>
      </c>
      <c r="W3838">
        <v>-1.6761120000000001E-2</v>
      </c>
      <c r="X3838">
        <v>0.99629820000000002</v>
      </c>
      <c r="Y3838">
        <v>-0.1914217</v>
      </c>
      <c r="Z3838">
        <v>-4.8574400000000002E-3</v>
      </c>
      <c r="AA3838">
        <v>0.98149589999999998</v>
      </c>
      <c r="AB3838">
        <v>38</v>
      </c>
      <c r="AC3838">
        <v>-21.7578</v>
      </c>
      <c r="AD3838">
        <v>-1.1120585133849901</v>
      </c>
      <c r="AE3838">
        <v>-4.8640999999999996</v>
      </c>
      <c r="AF3838">
        <v>-4.3310993441811201</v>
      </c>
      <c r="AG3838">
        <v>-1.1120585133849901</v>
      </c>
      <c r="AH3838">
        <v>21.8137286989007</v>
      </c>
      <c r="AI3838">
        <v>92.862614584545199</v>
      </c>
      <c r="AJ3838">
        <v>101.229985038405</v>
      </c>
      <c r="AK3838">
        <v>22.267327082871901</v>
      </c>
      <c r="AL3838">
        <v>90.960386412704594</v>
      </c>
      <c r="AM3838">
        <v>94.837293459585993</v>
      </c>
      <c r="AN3838">
        <v>0.99999999427688102</v>
      </c>
    </row>
    <row r="3839" spans="1:40" x14ac:dyDescent="0.25">
      <c r="A3839" t="str">
        <f>"20190305135906856"</f>
        <v>20190305135906856</v>
      </c>
      <c r="B3839" t="str">
        <f>"1551765546852487"</f>
        <v>1551765546852487</v>
      </c>
      <c r="C3839" t="s">
        <v>40</v>
      </c>
      <c r="D3839">
        <v>4.2165540000000004</v>
      </c>
      <c r="E3839">
        <v>0.45215889999999997</v>
      </c>
      <c r="F3839" t="s">
        <v>42</v>
      </c>
      <c r="G3839">
        <v>-268.13080000000002</v>
      </c>
      <c r="H3839" s="1">
        <v>-1.7878479999999999E-6</v>
      </c>
      <c r="I3839">
        <v>135.23500000000001</v>
      </c>
      <c r="J3839">
        <v>-244.1884</v>
      </c>
      <c r="K3839">
        <v>1.111774</v>
      </c>
      <c r="L3839">
        <v>140.9281</v>
      </c>
      <c r="M3839">
        <v>-0.99959209999999998</v>
      </c>
      <c r="N3839">
        <v>-1.072243E-2</v>
      </c>
      <c r="O3839">
        <v>-2.6470750000000001E-2</v>
      </c>
      <c r="P3839">
        <v>-0.99341239999999997</v>
      </c>
      <c r="Q3839">
        <v>-2.314397E-2</v>
      </c>
      <c r="R3839">
        <v>-0.11223470000000001</v>
      </c>
      <c r="S3839">
        <v>-2.9401090000000001</v>
      </c>
      <c r="T3839">
        <v>-0.13441500000000001</v>
      </c>
      <c r="U3839">
        <v>-0.68948359999999997</v>
      </c>
      <c r="V3839">
        <v>-8.5804770000000002E-2</v>
      </c>
      <c r="W3839">
        <v>-1.3083930000000001E-2</v>
      </c>
      <c r="X3839">
        <v>0.9962261</v>
      </c>
      <c r="Y3839">
        <v>-0.20222870000000001</v>
      </c>
      <c r="Z3839">
        <v>-4.7457740000000003E-3</v>
      </c>
      <c r="AA3839">
        <v>0.97932680000000005</v>
      </c>
      <c r="AB3839">
        <v>38</v>
      </c>
      <c r="AC3839">
        <v>-23.942399999999999</v>
      </c>
      <c r="AD3839">
        <v>-1.1117757878479999</v>
      </c>
      <c r="AE3839">
        <v>-5.6930999999999798</v>
      </c>
      <c r="AF3839">
        <v>-5.0469949335904696</v>
      </c>
      <c r="AG3839">
        <v>-1.1117757878479999</v>
      </c>
      <c r="AH3839">
        <v>24.0356652486245</v>
      </c>
      <c r="AI3839">
        <v>92.591898909441696</v>
      </c>
      <c r="AJ3839">
        <v>101.858649511449</v>
      </c>
      <c r="AK3839">
        <v>24.5849833680251</v>
      </c>
      <c r="AL3839">
        <v>90.749675325097797</v>
      </c>
      <c r="AM3839">
        <v>94.922726068063199</v>
      </c>
      <c r="AN3839">
        <v>1.0000000450501001</v>
      </c>
    </row>
    <row r="3840" spans="1:40" x14ac:dyDescent="0.25">
      <c r="A3840" t="str">
        <f>"20190305135906879"</f>
        <v>20190305135906879</v>
      </c>
      <c r="B3840" t="str">
        <f>"1551765546872983"</f>
        <v>1551765546872983</v>
      </c>
      <c r="C3840" t="s">
        <v>40</v>
      </c>
      <c r="D3840">
        <v>4.2318920000000002</v>
      </c>
      <c r="E3840">
        <v>0.4520016</v>
      </c>
      <c r="F3840" t="s">
        <v>42</v>
      </c>
      <c r="G3840">
        <v>-272.2627</v>
      </c>
      <c r="H3840" s="1">
        <v>-4.2789309999999996E-6</v>
      </c>
      <c r="I3840">
        <v>134.1062</v>
      </c>
      <c r="J3840">
        <v>-244.56950000000001</v>
      </c>
      <c r="K3840">
        <v>1.1114219999999999</v>
      </c>
      <c r="L3840">
        <v>140.9162</v>
      </c>
      <c r="M3840">
        <v>-0.99953550000000002</v>
      </c>
      <c r="N3840">
        <v>-1.0716720000000001E-2</v>
      </c>
      <c r="O3840">
        <v>-2.8534230000000001E-2</v>
      </c>
      <c r="P3840">
        <v>-0.99296229999999996</v>
      </c>
      <c r="Q3840">
        <v>-2.388699E-2</v>
      </c>
      <c r="R3840">
        <v>-0.11599859999999999</v>
      </c>
      <c r="S3840">
        <v>-2.9365389999999998</v>
      </c>
      <c r="T3840">
        <v>-0.1162907</v>
      </c>
      <c r="U3840">
        <v>-0.71354680000000004</v>
      </c>
      <c r="V3840">
        <v>-8.75306E-2</v>
      </c>
      <c r="W3840">
        <v>-1.377071E-2</v>
      </c>
      <c r="X3840">
        <v>0.99606660000000002</v>
      </c>
      <c r="Y3840">
        <v>-0.20810690000000001</v>
      </c>
      <c r="Z3840">
        <v>-4.3810250000000002E-3</v>
      </c>
      <c r="AA3840">
        <v>0.97809619999999997</v>
      </c>
      <c r="AB3840">
        <v>38</v>
      </c>
      <c r="AC3840">
        <v>-27.693199999999901</v>
      </c>
      <c r="AD3840">
        <v>-1.1114262789310001</v>
      </c>
      <c r="AE3840">
        <v>-6.81</v>
      </c>
      <c r="AF3840">
        <v>-6.0078522911671799</v>
      </c>
      <c r="AG3840">
        <v>-1.1114262789310001</v>
      </c>
      <c r="AH3840">
        <v>27.833975956419799</v>
      </c>
      <c r="AI3840">
        <v>92.2352158101464</v>
      </c>
      <c r="AJ3840">
        <v>102.180202541304</v>
      </c>
      <c r="AK3840">
        <v>28.496662525084201</v>
      </c>
      <c r="AL3840">
        <v>90.789028538305402</v>
      </c>
      <c r="AM3840">
        <v>95.022037778205302</v>
      </c>
      <c r="AN3840">
        <v>0.99999995501291095</v>
      </c>
    </row>
    <row r="3841" spans="1:40" x14ac:dyDescent="0.25">
      <c r="A3841" t="str">
        <f>"20190305135906902"</f>
        <v>20190305135906902</v>
      </c>
      <c r="B3841" t="str">
        <f>"1551765546893012"</f>
        <v>1551765546893012</v>
      </c>
      <c r="C3841" t="s">
        <v>40</v>
      </c>
      <c r="D3841">
        <v>4.2434469999999997</v>
      </c>
      <c r="E3841">
        <v>0.45195999999999997</v>
      </c>
      <c r="F3841" t="s">
        <v>42</v>
      </c>
      <c r="G3841">
        <v>-272.26769999999999</v>
      </c>
      <c r="H3841" s="1">
        <v>-4.28463E-6</v>
      </c>
      <c r="I3841">
        <v>134.06209999999999</v>
      </c>
      <c r="J3841">
        <v>-244.983</v>
      </c>
      <c r="K3841">
        <v>1.111</v>
      </c>
      <c r="L3841">
        <v>140.90289999999999</v>
      </c>
      <c r="M3841">
        <v>-0.99948729999999997</v>
      </c>
      <c r="N3841">
        <v>-1.071212E-2</v>
      </c>
      <c r="O3841">
        <v>-3.017187E-2</v>
      </c>
      <c r="P3841">
        <v>-0.99249830000000006</v>
      </c>
      <c r="Q3841">
        <v>-2.5711580000000001E-2</v>
      </c>
      <c r="R3841">
        <v>-0.1195232</v>
      </c>
      <c r="S3841">
        <v>-2.933624</v>
      </c>
      <c r="T3841">
        <v>-0.1177155</v>
      </c>
      <c r="U3841">
        <v>-0.7259369</v>
      </c>
      <c r="V3841">
        <v>-8.9440320000000004E-2</v>
      </c>
      <c r="W3841">
        <v>-1.552126E-2</v>
      </c>
      <c r="X3841">
        <v>0.99587119999999996</v>
      </c>
      <c r="Y3841">
        <v>-0.21061730000000001</v>
      </c>
      <c r="Z3841">
        <v>-4.4343380000000003E-3</v>
      </c>
      <c r="AA3841">
        <v>0.97755860000000006</v>
      </c>
      <c r="AB3841">
        <v>38</v>
      </c>
      <c r="AC3841">
        <v>-27.284699999999901</v>
      </c>
      <c r="AD3841">
        <v>-1.1110042846299999</v>
      </c>
      <c r="AE3841">
        <v>-6.8407999999999998</v>
      </c>
      <c r="AF3841">
        <v>-6.0050398257834097</v>
      </c>
      <c r="AG3841">
        <v>-1.1110042846299999</v>
      </c>
      <c r="AH3841">
        <v>27.435888885793801</v>
      </c>
      <c r="AI3841">
        <v>92.265331164310496</v>
      </c>
      <c r="AJ3841">
        <v>102.345941234327</v>
      </c>
      <c r="AK3841">
        <v>28.107344819163099</v>
      </c>
      <c r="AL3841">
        <v>90.889338433820399</v>
      </c>
      <c r="AM3841">
        <v>95.132029997805503</v>
      </c>
      <c r="AN3841">
        <v>0.99999996367156396</v>
      </c>
    </row>
    <row r="3842" spans="1:40" x14ac:dyDescent="0.25">
      <c r="A3842" t="str">
        <f>"20190305135906925"</f>
        <v>20190305135906925</v>
      </c>
      <c r="B3842" t="str">
        <f>"1551765546912529"</f>
        <v>1551765546912529</v>
      </c>
      <c r="C3842" t="s">
        <v>40</v>
      </c>
      <c r="D3842">
        <v>4.218305</v>
      </c>
      <c r="E3842">
        <v>0.45209539999999998</v>
      </c>
      <c r="F3842" t="s">
        <v>42</v>
      </c>
      <c r="G3842">
        <v>-270.7901</v>
      </c>
      <c r="H3842" s="1">
        <v>-4.8554500000000002E-6</v>
      </c>
      <c r="I3842">
        <v>134.4177</v>
      </c>
      <c r="J3842">
        <v>-245.35749999999999</v>
      </c>
      <c r="K3842">
        <v>1.110622</v>
      </c>
      <c r="L3842">
        <v>140.89060000000001</v>
      </c>
      <c r="M3842">
        <v>-0.99945459999999997</v>
      </c>
      <c r="N3842">
        <v>-1.070929E-2</v>
      </c>
      <c r="O3842">
        <v>-3.123954E-2</v>
      </c>
      <c r="P3842">
        <v>-0.99217460000000002</v>
      </c>
      <c r="Q3842">
        <v>-2.7278360000000001E-2</v>
      </c>
      <c r="R3842">
        <v>-0.1218441</v>
      </c>
      <c r="S3842">
        <v>-2.9307099999999999</v>
      </c>
      <c r="T3842">
        <v>-0.12616830000000001</v>
      </c>
      <c r="U3842">
        <v>-0.7364655</v>
      </c>
      <c r="V3842">
        <v>-9.0713070000000007E-2</v>
      </c>
      <c r="W3842">
        <v>-1.7017620000000001E-2</v>
      </c>
      <c r="X3842">
        <v>0.9957317</v>
      </c>
      <c r="Y3842">
        <v>-0.2130785</v>
      </c>
      <c r="Z3842">
        <v>-4.680877E-3</v>
      </c>
      <c r="AA3842">
        <v>0.97702389999999995</v>
      </c>
      <c r="AB3842">
        <v>38</v>
      </c>
      <c r="AC3842">
        <v>-25.432600000000001</v>
      </c>
      <c r="AD3842">
        <v>-1.1106268554500001</v>
      </c>
      <c r="AE3842">
        <v>-6.4729000000000099</v>
      </c>
      <c r="AF3842">
        <v>-5.6650460179571702</v>
      </c>
      <c r="AG3842">
        <v>-1.1106268554500001</v>
      </c>
      <c r="AH3842">
        <v>25.576599823561001</v>
      </c>
      <c r="AI3842">
        <v>92.427660633796904</v>
      </c>
      <c r="AJ3842">
        <v>102.489003887858</v>
      </c>
      <c r="AK3842">
        <v>26.220005662321999</v>
      </c>
      <c r="AL3842">
        <v>90.975084832773504</v>
      </c>
      <c r="AM3842">
        <v>95.205386468942706</v>
      </c>
      <c r="AN3842">
        <v>1.00000003942208</v>
      </c>
    </row>
    <row r="3843" spans="1:40" x14ac:dyDescent="0.25">
      <c r="A3843" t="str">
        <f>"20190305135906946"</f>
        <v>20190305135906946</v>
      </c>
      <c r="B3843" t="str">
        <f>"1551765546942785"</f>
        <v>1551765546942785</v>
      </c>
      <c r="C3843" t="s">
        <v>40</v>
      </c>
      <c r="D3843">
        <v>4.2117610000000001</v>
      </c>
      <c r="E3843">
        <v>0.45272560000000001</v>
      </c>
      <c r="F3843" t="s">
        <v>42</v>
      </c>
      <c r="G3843">
        <v>-269.762</v>
      </c>
      <c r="H3843" s="1">
        <v>-1.372975E-6</v>
      </c>
      <c r="I3843">
        <v>134.708</v>
      </c>
      <c r="J3843">
        <v>-245.7328</v>
      </c>
      <c r="K3843">
        <v>1.1102700000000001</v>
      </c>
      <c r="L3843">
        <v>140.8783</v>
      </c>
      <c r="M3843">
        <v>-0.99943329999999997</v>
      </c>
      <c r="N3843">
        <v>-1.0706749999999999E-2</v>
      </c>
      <c r="O3843">
        <v>-3.1914369999999997E-2</v>
      </c>
      <c r="P3843">
        <v>-0.99200140000000003</v>
      </c>
      <c r="Q3843">
        <v>-2.8930359999999999E-2</v>
      </c>
      <c r="R3843">
        <v>-0.1228675</v>
      </c>
      <c r="S3843">
        <v>-2.9288789999999998</v>
      </c>
      <c r="T3843">
        <v>-0.133290299999999</v>
      </c>
      <c r="U3843">
        <v>-0.74198909999999996</v>
      </c>
      <c r="V3843">
        <v>-9.1078000000000006E-2</v>
      </c>
      <c r="W3843">
        <v>-1.859715E-2</v>
      </c>
      <c r="X3843">
        <v>0.9956701</v>
      </c>
      <c r="Y3843">
        <v>-0.2142722</v>
      </c>
      <c r="Z3843">
        <v>-4.872276E-3</v>
      </c>
      <c r="AA3843">
        <v>0.97676180000000001</v>
      </c>
      <c r="AB3843">
        <v>38</v>
      </c>
      <c r="AC3843">
        <v>-24.029199999999999</v>
      </c>
      <c r="AD3843">
        <v>-1.110271372975</v>
      </c>
      <c r="AE3843">
        <v>-6.1702999999999903</v>
      </c>
      <c r="AF3843">
        <v>-5.3894415954298198</v>
      </c>
      <c r="AG3843">
        <v>-1.110271372975</v>
      </c>
      <c r="AH3843">
        <v>24.165491014889099</v>
      </c>
      <c r="AI3843">
        <v>92.567583944622001</v>
      </c>
      <c r="AJ3843">
        <v>102.57248010734401</v>
      </c>
      <c r="AK3843">
        <v>24.784062201803899</v>
      </c>
      <c r="AL3843">
        <v>91.0655996334511</v>
      </c>
      <c r="AM3843">
        <v>95.226533055065403</v>
      </c>
      <c r="AN3843">
        <v>1.0000000020530599</v>
      </c>
    </row>
    <row r="3844" spans="1:40" x14ac:dyDescent="0.25">
      <c r="A3844" t="str">
        <f>"20190305135906968"</f>
        <v>20190305135906968</v>
      </c>
      <c r="B3844" t="str">
        <f>"1551765546963282"</f>
        <v>1551765546963282</v>
      </c>
      <c r="C3844" t="s">
        <v>40</v>
      </c>
      <c r="D3844">
        <v>4.2185699999999997</v>
      </c>
      <c r="E3844">
        <v>0.45313209999999998</v>
      </c>
      <c r="F3844" t="s">
        <v>42</v>
      </c>
      <c r="G3844">
        <v>-269.21589999999998</v>
      </c>
      <c r="H3844" s="1">
        <v>-1.496056E-6</v>
      </c>
      <c r="I3844">
        <v>134.94390000000001</v>
      </c>
      <c r="J3844">
        <v>-246.09870000000001</v>
      </c>
      <c r="K3844">
        <v>1.109942</v>
      </c>
      <c r="L3844">
        <v>140.86619999999999</v>
      </c>
      <c r="M3844">
        <v>-0.99942390000000003</v>
      </c>
      <c r="N3844">
        <v>-1.0704399999999999E-2</v>
      </c>
      <c r="O3844">
        <v>-3.2209929999999998E-2</v>
      </c>
      <c r="P3844">
        <v>-0.99203070000000004</v>
      </c>
      <c r="Q3844">
        <v>-2.8795189999999998E-2</v>
      </c>
      <c r="R3844">
        <v>-0.1226627</v>
      </c>
      <c r="S3844">
        <v>-2.9284970000000001</v>
      </c>
      <c r="T3844">
        <v>-0.13845839999999901</v>
      </c>
      <c r="U3844">
        <v>-0.74005129999999997</v>
      </c>
      <c r="V3844">
        <v>-9.0593129999999994E-2</v>
      </c>
      <c r="W3844">
        <v>-1.8390210000000001E-2</v>
      </c>
      <c r="X3844">
        <v>0.9957182</v>
      </c>
      <c r="Y3844">
        <v>-0.21339079999999999</v>
      </c>
      <c r="Z3844">
        <v>-4.967277E-3</v>
      </c>
      <c r="AA3844">
        <v>0.97695430000000005</v>
      </c>
      <c r="AB3844">
        <v>38</v>
      </c>
      <c r="AC3844">
        <v>-23.117199999999901</v>
      </c>
      <c r="AD3844">
        <v>-1.109943496056</v>
      </c>
      <c r="AE3844">
        <v>-5.9222999999999697</v>
      </c>
      <c r="AF3844">
        <v>-5.1634105323967097</v>
      </c>
      <c r="AG3844">
        <v>-1.109943496056</v>
      </c>
      <c r="AH3844">
        <v>23.245683216593999</v>
      </c>
      <c r="AI3844">
        <v>92.668757322274203</v>
      </c>
      <c r="AJ3844">
        <v>102.523412752567</v>
      </c>
      <c r="AK3844">
        <v>23.838090760309299</v>
      </c>
      <c r="AL3844">
        <v>91.053740793143902</v>
      </c>
      <c r="AM3844">
        <v>95.198611784914505</v>
      </c>
      <c r="AN3844">
        <v>1.00000002441914</v>
      </c>
    </row>
    <row r="3845" spans="1:40" x14ac:dyDescent="0.25">
      <c r="A3845" t="str">
        <f>"20190305135906990"</f>
        <v>20190305135906990</v>
      </c>
      <c r="B3845" t="str">
        <f>"1551765546982801"</f>
        <v>1551765546982801</v>
      </c>
      <c r="C3845" t="s">
        <v>40</v>
      </c>
      <c r="D3845">
        <v>4.18818</v>
      </c>
      <c r="E3845">
        <v>0.45350960000000001</v>
      </c>
      <c r="F3845" t="s">
        <v>42</v>
      </c>
      <c r="G3845">
        <v>-269.44159999999999</v>
      </c>
      <c r="H3845" s="1">
        <v>-1.4044339999999999E-6</v>
      </c>
      <c r="I3845">
        <v>134.99959999999999</v>
      </c>
      <c r="J3845">
        <v>-246.4907</v>
      </c>
      <c r="K3845">
        <v>1.1096060000000001</v>
      </c>
      <c r="L3845">
        <v>140.8535</v>
      </c>
      <c r="M3845">
        <v>-0.99942520000000001</v>
      </c>
      <c r="N3845">
        <v>-1.070229E-2</v>
      </c>
      <c r="O3845">
        <v>-3.2168460000000003E-2</v>
      </c>
      <c r="P3845">
        <v>-0.99207939999999994</v>
      </c>
      <c r="Q3845">
        <v>-2.950067E-2</v>
      </c>
      <c r="R3845">
        <v>-0.1221006</v>
      </c>
      <c r="S3845">
        <v>-2.9290470000000002</v>
      </c>
      <c r="T3845">
        <v>-0.13927519999999999</v>
      </c>
      <c r="U3845">
        <v>-0.73612979999999995</v>
      </c>
      <c r="V3845">
        <v>-9.008497E-2</v>
      </c>
      <c r="W3845">
        <v>-1.9021260000000002E-2</v>
      </c>
      <c r="X3845">
        <v>0.99575250000000004</v>
      </c>
      <c r="Y3845">
        <v>-0.2121567</v>
      </c>
      <c r="Z3845">
        <v>-4.9531169999999999E-3</v>
      </c>
      <c r="AA3845">
        <v>0.97722310000000001</v>
      </c>
      <c r="AB3845">
        <v>38</v>
      </c>
      <c r="AC3845">
        <v>-22.950899999999901</v>
      </c>
      <c r="AD3845">
        <v>-1.1096074044340001</v>
      </c>
      <c r="AE3845">
        <v>-5.8539000000000003</v>
      </c>
      <c r="AF3845">
        <v>-5.1013369848541501</v>
      </c>
      <c r="AG3845">
        <v>-1.1096074044340001</v>
      </c>
      <c r="AH3845">
        <v>23.076696958595299</v>
      </c>
      <c r="AI3845">
        <v>92.6880615097473</v>
      </c>
      <c r="AJ3845">
        <v>102.46534092757599</v>
      </c>
      <c r="AK3845">
        <v>23.659856511480701</v>
      </c>
      <c r="AL3845">
        <v>91.089903565943004</v>
      </c>
      <c r="AM3845">
        <v>95.169432779187105</v>
      </c>
      <c r="AN3845">
        <v>1.0000000757040599</v>
      </c>
    </row>
    <row r="3846" spans="1:40" x14ac:dyDescent="0.25">
      <c r="A3846" t="str">
        <f>"20190305135907014"</f>
        <v>20190305135907014</v>
      </c>
      <c r="B3846" t="str">
        <f>"1551765547003298"</f>
        <v>1551765547003298</v>
      </c>
      <c r="C3846" t="s">
        <v>40</v>
      </c>
      <c r="D3846">
        <v>4.4254689999999997</v>
      </c>
      <c r="E3846">
        <v>0.4537255</v>
      </c>
      <c r="F3846" t="s">
        <v>42</v>
      </c>
      <c r="G3846">
        <v>-269.27170000000001</v>
      </c>
      <c r="H3846" s="1">
        <v>-1.4177950000000001E-6</v>
      </c>
      <c r="I3846">
        <v>135.16669999999999</v>
      </c>
      <c r="J3846">
        <v>-246.8948</v>
      </c>
      <c r="K3846">
        <v>1.109264</v>
      </c>
      <c r="L3846">
        <v>140.84059999999999</v>
      </c>
      <c r="M3846">
        <v>-0.99943720000000003</v>
      </c>
      <c r="N3846">
        <v>-1.070075E-2</v>
      </c>
      <c r="O3846">
        <v>-3.1799389999999997E-2</v>
      </c>
      <c r="P3846">
        <v>-0.99222849999999996</v>
      </c>
      <c r="Q3846">
        <v>-3.0665189999999998E-2</v>
      </c>
      <c r="R3846">
        <v>-0.1205936</v>
      </c>
      <c r="S3846">
        <v>-2.9296720000000001</v>
      </c>
      <c r="T3846">
        <v>-0.14269770000000001</v>
      </c>
      <c r="U3846">
        <v>-0.73132319999999995</v>
      </c>
      <c r="V3846">
        <v>-8.8955800000000002E-2</v>
      </c>
      <c r="W3846">
        <v>-2.0110019999999999E-2</v>
      </c>
      <c r="X3846">
        <v>0.99583259999999996</v>
      </c>
      <c r="Y3846">
        <v>-0.21094969999999999</v>
      </c>
      <c r="Z3846">
        <v>-5.0159189999999998E-3</v>
      </c>
      <c r="AA3846">
        <v>0.97748400000000002</v>
      </c>
      <c r="AB3846">
        <v>38</v>
      </c>
      <c r="AC3846">
        <v>-22.376899999999999</v>
      </c>
      <c r="AD3846">
        <v>-1.1092654177949901</v>
      </c>
      <c r="AE3846">
        <v>-5.6738999999999997</v>
      </c>
      <c r="AF3846">
        <v>-4.9479933096704602</v>
      </c>
      <c r="AG3846">
        <v>-1.1092654177949901</v>
      </c>
      <c r="AH3846">
        <v>22.4940817665094</v>
      </c>
      <c r="AI3846">
        <v>92.757361617265602</v>
      </c>
      <c r="AJ3846">
        <v>102.405706457424</v>
      </c>
      <c r="AK3846">
        <v>23.0585520377596</v>
      </c>
      <c r="AL3846">
        <v>91.152296882150694</v>
      </c>
      <c r="AM3846">
        <v>95.104572613870204</v>
      </c>
      <c r="AN3846">
        <v>1.00000005724039</v>
      </c>
    </row>
    <row r="3847" spans="1:40" x14ac:dyDescent="0.25">
      <c r="A3847" t="str">
        <f>"20190305135907036"</f>
        <v>20190305135907036</v>
      </c>
      <c r="B3847" t="str">
        <f>"1551765547032578"</f>
        <v>1551765547032578</v>
      </c>
      <c r="C3847" t="s">
        <v>40</v>
      </c>
      <c r="D3847">
        <v>4.1736300000000002</v>
      </c>
      <c r="E3847">
        <v>0.4544531</v>
      </c>
      <c r="F3847" t="s">
        <v>42</v>
      </c>
      <c r="G3847">
        <v>-269.08150000000001</v>
      </c>
      <c r="H3847" s="1">
        <v>-1.43353999999999E-6</v>
      </c>
      <c r="I3847">
        <v>135.35069999999999</v>
      </c>
      <c r="J3847">
        <v>-247.2766</v>
      </c>
      <c r="K3847">
        <v>1.108948</v>
      </c>
      <c r="L3847">
        <v>140.8287</v>
      </c>
      <c r="M3847">
        <v>-0.99945600000000001</v>
      </c>
      <c r="N3847">
        <v>-1.0699719999999999E-2</v>
      </c>
      <c r="O3847">
        <v>-3.1199439999999998E-2</v>
      </c>
      <c r="P3847">
        <v>-0.99249699999999996</v>
      </c>
      <c r="Q3847">
        <v>-3.0938159999999999E-2</v>
      </c>
      <c r="R3847">
        <v>-0.1182903</v>
      </c>
      <c r="S3847">
        <v>-2.9308320000000001</v>
      </c>
      <c r="T3847">
        <v>-0.14653239999999901</v>
      </c>
      <c r="U3847">
        <v>-0.72518919999999998</v>
      </c>
      <c r="V3847">
        <v>-8.7257710000000002E-2</v>
      </c>
      <c r="W3847">
        <v>-2.0315570000000002E-2</v>
      </c>
      <c r="X3847">
        <v>0.99597860000000005</v>
      </c>
      <c r="Y3847">
        <v>-0.20950740000000001</v>
      </c>
      <c r="Z3847">
        <v>-5.0897490000000002E-3</v>
      </c>
      <c r="AA3847">
        <v>0.97779380000000005</v>
      </c>
      <c r="AB3847">
        <v>39</v>
      </c>
      <c r="AC3847">
        <v>-21.8049</v>
      </c>
      <c r="AD3847">
        <v>-1.1089494335400001</v>
      </c>
      <c r="AE3847">
        <v>-5.4779999999999998</v>
      </c>
      <c r="AF3847">
        <v>-4.7833556283868699</v>
      </c>
      <c r="AG3847">
        <v>-1.1089494335400001</v>
      </c>
      <c r="AH3847">
        <v>21.911893258084302</v>
      </c>
      <c r="AI3847">
        <v>92.830686968768504</v>
      </c>
      <c r="AJ3847">
        <v>102.314452656865</v>
      </c>
      <c r="AK3847">
        <v>22.4553184361177</v>
      </c>
      <c r="AL3847">
        <v>91.164076501010697</v>
      </c>
      <c r="AM3847">
        <v>95.006900605271994</v>
      </c>
      <c r="AN3847">
        <v>1.00000000099841</v>
      </c>
    </row>
    <row r="3848" spans="1:40" x14ac:dyDescent="0.25">
      <c r="A3848" t="str">
        <f>"20190305135907058"</f>
        <v>20190305135907058</v>
      </c>
      <c r="B3848" t="str">
        <f>"1551765547053074"</f>
        <v>1551765547053074</v>
      </c>
      <c r="C3848" t="s">
        <v>40</v>
      </c>
      <c r="D3848">
        <v>4.144215</v>
      </c>
      <c r="E3848">
        <v>0.45460610000000001</v>
      </c>
      <c r="F3848" t="s">
        <v>42</v>
      </c>
      <c r="G3848">
        <v>-269.22109999999998</v>
      </c>
      <c r="H3848" s="1">
        <v>-1.347002E-6</v>
      </c>
      <c r="I3848">
        <v>135.4975</v>
      </c>
      <c r="J3848">
        <v>-247.6541</v>
      </c>
      <c r="K3848">
        <v>1.1086670000000001</v>
      </c>
      <c r="L3848">
        <v>140.81739999999999</v>
      </c>
      <c r="M3848">
        <v>-0.99947980000000003</v>
      </c>
      <c r="N3848">
        <v>-1.069872E-2</v>
      </c>
      <c r="O3848">
        <v>-3.0425710000000002E-2</v>
      </c>
      <c r="P3848">
        <v>-0.99288209999999999</v>
      </c>
      <c r="Q3848">
        <v>-3.106037E-2</v>
      </c>
      <c r="R3848">
        <v>-0.114981</v>
      </c>
      <c r="S3848">
        <v>-2.9331209999999999</v>
      </c>
      <c r="T3848">
        <v>-0.14822349999999901</v>
      </c>
      <c r="U3848">
        <v>-0.71257019999999904</v>
      </c>
      <c r="V3848">
        <v>-8.4722679999999995E-2</v>
      </c>
      <c r="W3848">
        <v>-2.037972E-2</v>
      </c>
      <c r="X3848">
        <v>0.99619619999999998</v>
      </c>
      <c r="Y3848">
        <v>-0.20611560000000001</v>
      </c>
      <c r="Z3848">
        <v>-5.0574299999999999E-3</v>
      </c>
      <c r="AA3848">
        <v>0.97851460000000001</v>
      </c>
      <c r="AB3848">
        <v>39</v>
      </c>
      <c r="AC3848">
        <v>-21.566999999999901</v>
      </c>
      <c r="AD3848">
        <v>-1.108668347002</v>
      </c>
      <c r="AE3848">
        <v>-5.3198999999999899</v>
      </c>
      <c r="AF3848">
        <v>-4.6496257773516598</v>
      </c>
      <c r="AG3848">
        <v>-1.108668347002</v>
      </c>
      <c r="AH3848">
        <v>21.664917933903901</v>
      </c>
      <c r="AI3848">
        <v>92.864355814358703</v>
      </c>
      <c r="AJ3848">
        <v>102.1128180507</v>
      </c>
      <c r="AK3848">
        <v>22.185960300510899</v>
      </c>
      <c r="AL3848">
        <v>91.167752709071493</v>
      </c>
      <c r="AM3848">
        <v>94.8610897717097</v>
      </c>
      <c r="AN3848">
        <v>1.0000000671940401</v>
      </c>
    </row>
    <row r="3849" spans="1:40" x14ac:dyDescent="0.25">
      <c r="A3849" t="str">
        <f>"20190305135907080"</f>
        <v>20190305135907080</v>
      </c>
      <c r="B3849" t="str">
        <f>"1551765547072593"</f>
        <v>1551765547072593</v>
      </c>
      <c r="C3849" t="s">
        <v>40</v>
      </c>
      <c r="D3849">
        <v>4.1510740000000004</v>
      </c>
      <c r="E3849">
        <v>0.45475130000000002</v>
      </c>
      <c r="F3849" t="s">
        <v>42</v>
      </c>
      <c r="G3849">
        <v>-269.51949999999999</v>
      </c>
      <c r="H3849" s="1">
        <v>-1.22033E-6</v>
      </c>
      <c r="I3849">
        <v>135.59190000000001</v>
      </c>
      <c r="J3849">
        <v>-248.0264</v>
      </c>
      <c r="K3849">
        <v>1.1084369999999999</v>
      </c>
      <c r="L3849">
        <v>140.8066</v>
      </c>
      <c r="M3849">
        <v>-0.99950629999999996</v>
      </c>
      <c r="N3849">
        <v>-1.0697470000000001E-2</v>
      </c>
      <c r="O3849">
        <v>-2.9541020000000001E-2</v>
      </c>
      <c r="P3849">
        <v>-0.99337750000000002</v>
      </c>
      <c r="Q3849">
        <v>-3.1931290000000001E-2</v>
      </c>
      <c r="R3849">
        <v>-0.1103702</v>
      </c>
      <c r="S3849">
        <v>-2.9356080000000002</v>
      </c>
      <c r="T3849">
        <v>-0.1488477</v>
      </c>
      <c r="U3849">
        <v>-0.70155330000000005</v>
      </c>
      <c r="V3849">
        <v>-8.0992709999999996E-2</v>
      </c>
      <c r="W3849">
        <v>-2.12052E-2</v>
      </c>
      <c r="X3849">
        <v>0.99648910000000002</v>
      </c>
      <c r="Y3849">
        <v>-0.20332140000000001</v>
      </c>
      <c r="Z3849">
        <v>-5.0204710000000003E-3</v>
      </c>
      <c r="AA3849">
        <v>0.97909919999999995</v>
      </c>
      <c r="AB3849">
        <v>39</v>
      </c>
      <c r="AC3849">
        <v>-21.493099999999998</v>
      </c>
      <c r="AD3849">
        <v>-1.1084382203299901</v>
      </c>
      <c r="AE3849">
        <v>-5.2146999999999899</v>
      </c>
      <c r="AF3849">
        <v>-4.5659906074441201</v>
      </c>
      <c r="AG3849">
        <v>-1.1084382203299901</v>
      </c>
      <c r="AH3849">
        <v>21.583561574134698</v>
      </c>
      <c r="AI3849">
        <v>92.876332682724694</v>
      </c>
      <c r="AJ3849">
        <v>101.944779882566</v>
      </c>
      <c r="AK3849">
        <v>22.0890705042113</v>
      </c>
      <c r="AL3849">
        <v>91.215059532404297</v>
      </c>
      <c r="AM3849">
        <v>94.646676120119807</v>
      </c>
      <c r="AN3849">
        <v>1.00000000299949</v>
      </c>
    </row>
    <row r="3850" spans="1:40" x14ac:dyDescent="0.25">
      <c r="A3850" t="str">
        <f>"20190305135907102"</f>
        <v>20190305135907102</v>
      </c>
      <c r="B3850" t="str">
        <f>"1551765547093096"</f>
        <v>1551765547093096</v>
      </c>
      <c r="C3850" t="s">
        <v>40</v>
      </c>
      <c r="D3850">
        <v>4.7563139999999997</v>
      </c>
      <c r="E3850">
        <v>0.47399429999999998</v>
      </c>
      <c r="F3850" t="s">
        <v>42</v>
      </c>
      <c r="G3850">
        <v>-269.60289999999998</v>
      </c>
      <c r="H3850" s="1">
        <v>-1.1460079999999999E-6</v>
      </c>
      <c r="I3850">
        <v>135.7646</v>
      </c>
      <c r="J3850">
        <v>-248.434</v>
      </c>
      <c r="K3850">
        <v>1.1082259999999999</v>
      </c>
      <c r="L3850">
        <v>140.7954</v>
      </c>
      <c r="M3850">
        <v>-0.99953709999999996</v>
      </c>
      <c r="N3850">
        <v>-1.0695909999999999E-2</v>
      </c>
      <c r="O3850">
        <v>-2.8483399999999999E-2</v>
      </c>
      <c r="P3850">
        <v>-0.99384399999999995</v>
      </c>
      <c r="Q3850">
        <v>-3.309235E-2</v>
      </c>
      <c r="R3850">
        <v>-0.1057319</v>
      </c>
      <c r="S3850">
        <v>-2.9388580000000002</v>
      </c>
      <c r="T3850">
        <v>-0.15097650000000001</v>
      </c>
      <c r="U3850">
        <v>-0.68675229999999998</v>
      </c>
      <c r="V3850">
        <v>-7.7408539999999998E-2</v>
      </c>
      <c r="W3850">
        <v>-2.2331119999999999E-2</v>
      </c>
      <c r="X3850">
        <v>0.99674929999999995</v>
      </c>
      <c r="Y3850">
        <v>-0.1994387</v>
      </c>
      <c r="Z3850">
        <v>-4.9923320000000004E-3</v>
      </c>
      <c r="AA3850">
        <v>0.97989760000000004</v>
      </c>
      <c r="AB3850">
        <v>39</v>
      </c>
      <c r="AC3850">
        <v>-21.168899999999901</v>
      </c>
      <c r="AD3850">
        <v>-1.108227146008</v>
      </c>
      <c r="AE3850">
        <v>-5.0307999999999904</v>
      </c>
      <c r="AF3850">
        <v>-4.4143103660490004</v>
      </c>
      <c r="AG3850">
        <v>-1.108227146008</v>
      </c>
      <c r="AH3850">
        <v>21.248490072164799</v>
      </c>
      <c r="AI3850">
        <v>92.923284291893395</v>
      </c>
      <c r="AJ3850">
        <v>101.736088951846</v>
      </c>
      <c r="AK3850">
        <v>21.7304540624867</v>
      </c>
      <c r="AL3850">
        <v>91.279585339248996</v>
      </c>
      <c r="AM3850">
        <v>94.440733726449693</v>
      </c>
      <c r="AN3850">
        <v>0.999999964017937</v>
      </c>
    </row>
    <row r="3851" spans="1:40" x14ac:dyDescent="0.25">
      <c r="A3851" t="str">
        <f>"20190305135907125"</f>
        <v>20190305135907125</v>
      </c>
      <c r="B3851" t="str">
        <f>"1551765547123345"</f>
        <v>1551765547123345</v>
      </c>
      <c r="C3851" t="s">
        <v>40</v>
      </c>
      <c r="D3851">
        <v>4.2928989999999896</v>
      </c>
      <c r="E3851">
        <v>0.53228719999999996</v>
      </c>
      <c r="F3851" t="s">
        <v>42</v>
      </c>
      <c r="G3851">
        <v>-275.0643</v>
      </c>
      <c r="H3851" s="1">
        <v>-2.7242390000000001E-6</v>
      </c>
      <c r="I3851">
        <v>136.09530000000001</v>
      </c>
      <c r="J3851">
        <v>-248.81290000000001</v>
      </c>
      <c r="K3851">
        <v>1.1080730000000001</v>
      </c>
      <c r="L3851">
        <v>140.78540000000001</v>
      </c>
      <c r="M3851">
        <v>-0.99956610000000001</v>
      </c>
      <c r="N3851">
        <v>-1.0694499999999999E-2</v>
      </c>
      <c r="O3851">
        <v>-2.7448429999999999E-2</v>
      </c>
      <c r="P3851">
        <v>-0.99430890000000005</v>
      </c>
      <c r="Q3851">
        <v>-3.5015049999999999E-2</v>
      </c>
      <c r="R3851">
        <v>-0.10061929999999999</v>
      </c>
      <c r="S3851">
        <v>-2.9588930000000002</v>
      </c>
      <c r="T3851">
        <v>-0.1231353</v>
      </c>
      <c r="U3851">
        <v>-0.52221679999999904</v>
      </c>
      <c r="V3851">
        <v>-7.3327649999999994E-2</v>
      </c>
      <c r="W3851">
        <v>-2.4232790000000001E-2</v>
      </c>
      <c r="X3851">
        <v>0.99701340000000005</v>
      </c>
      <c r="Y3851">
        <v>-0.1465641</v>
      </c>
      <c r="Z3851">
        <v>-2.974324E-3</v>
      </c>
      <c r="AA3851">
        <v>0.98919670000000004</v>
      </c>
      <c r="AB3851">
        <v>39</v>
      </c>
      <c r="AC3851">
        <v>-26.251399999999901</v>
      </c>
      <c r="AD3851">
        <v>-1.10807572423899</v>
      </c>
      <c r="AE3851">
        <v>-4.6901000000000002</v>
      </c>
      <c r="AF3851">
        <v>-3.9608929858112498</v>
      </c>
      <c r="AG3851">
        <v>-1.10807572423899</v>
      </c>
      <c r="AH3851">
        <v>26.324799113438502</v>
      </c>
      <c r="AI3851">
        <v>92.383500348110303</v>
      </c>
      <c r="AJ3851">
        <v>98.556675562670193</v>
      </c>
      <c r="AK3851">
        <v>26.644165466731899</v>
      </c>
      <c r="AL3851">
        <v>91.388572591811197</v>
      </c>
      <c r="AM3851">
        <v>94.206376773129804</v>
      </c>
      <c r="AN3851">
        <v>0.99999994607263099</v>
      </c>
    </row>
    <row r="3852" spans="1:40" x14ac:dyDescent="0.25">
      <c r="A3852" t="str">
        <f>"20190305135907147"</f>
        <v>20190305135907147</v>
      </c>
      <c r="B3852" t="str">
        <f>"1551765547142866"</f>
        <v>1551765547142866</v>
      </c>
      <c r="C3852" t="s">
        <v>40</v>
      </c>
      <c r="D3852">
        <v>4.1410410000000004</v>
      </c>
      <c r="E3852">
        <v>0.53550089999999995</v>
      </c>
      <c r="F3852" t="s">
        <v>41</v>
      </c>
      <c r="G3852">
        <v>-249.7663</v>
      </c>
      <c r="H3852">
        <v>1.0363770000000001</v>
      </c>
      <c r="I3852">
        <v>140.7741</v>
      </c>
      <c r="J3852">
        <v>-249.19460000000001</v>
      </c>
      <c r="K3852">
        <v>1.1079559999999999</v>
      </c>
      <c r="L3852">
        <v>140.7757</v>
      </c>
      <c r="M3852">
        <v>-0.99959500000000001</v>
      </c>
      <c r="N3852">
        <v>-1.069325E-2</v>
      </c>
      <c r="O3852">
        <v>-2.6375470000000002E-2</v>
      </c>
      <c r="P3852">
        <v>-0.99465610000000004</v>
      </c>
      <c r="Q3852">
        <v>-3.7280109999999998E-2</v>
      </c>
      <c r="R3852">
        <v>-9.6279970000000006E-2</v>
      </c>
      <c r="S3852">
        <v>-3.0055390000000002</v>
      </c>
      <c r="T3852">
        <v>-0.22609670000000001</v>
      </c>
      <c r="U3852">
        <v>-3.645325E-2</v>
      </c>
      <c r="V3852">
        <v>-7.0061449999999997E-2</v>
      </c>
      <c r="W3852">
        <v>-2.6484290000000001E-2</v>
      </c>
      <c r="X3852">
        <v>0.9971911</v>
      </c>
      <c r="Y3852">
        <v>1.4150970000000001E-2</v>
      </c>
      <c r="Z3852">
        <v>2.3065669999999998E-3</v>
      </c>
      <c r="AA3852">
        <v>0.99989720000000004</v>
      </c>
      <c r="AB3852">
        <v>39</v>
      </c>
      <c r="AC3852">
        <v>-0.57169999999999199</v>
      </c>
      <c r="AD3852">
        <v>-7.1578999999999796E-2</v>
      </c>
      <c r="AE3852">
        <v>-1.59999999999627E-3</v>
      </c>
      <c r="AF3852">
        <v>1.32722202361122E-2</v>
      </c>
      <c r="AG3852">
        <v>-7.1578999999999796E-2</v>
      </c>
      <c r="AH3852">
        <v>0.56272213463574905</v>
      </c>
      <c r="AI3852">
        <v>97.247174588043194</v>
      </c>
      <c r="AJ3852">
        <v>88.648886908071802</v>
      </c>
      <c r="AK3852">
        <v>0.56741158419617199</v>
      </c>
      <c r="AL3852">
        <v>91.517615402616897</v>
      </c>
      <c r="AM3852">
        <v>94.0189285152357</v>
      </c>
      <c r="AN3852">
        <v>1.0000000571560499</v>
      </c>
    </row>
    <row r="3853" spans="1:40" x14ac:dyDescent="0.25">
      <c r="A3853" t="str">
        <f>"20190305135907169"</f>
        <v>20190305135907169</v>
      </c>
      <c r="B3853" t="str">
        <f>"1551765547163361"</f>
        <v>1551765547163361</v>
      </c>
      <c r="C3853" t="s">
        <v>40</v>
      </c>
      <c r="D3853">
        <v>4.1588089999999998</v>
      </c>
      <c r="E3853">
        <v>0.53547579999999995</v>
      </c>
      <c r="F3853" t="s">
        <v>41</v>
      </c>
      <c r="G3853">
        <v>-250.11160000000001</v>
      </c>
      <c r="H3853">
        <v>1.0335160000000001</v>
      </c>
      <c r="I3853">
        <v>140.77690000000001</v>
      </c>
      <c r="J3853">
        <v>-249.56790000000001</v>
      </c>
      <c r="K3853">
        <v>1.1078779999999999</v>
      </c>
      <c r="L3853">
        <v>140.76660000000001</v>
      </c>
      <c r="M3853">
        <v>-0.99962240000000002</v>
      </c>
      <c r="N3853">
        <v>-1.0692689999999999E-2</v>
      </c>
      <c r="O3853">
        <v>-2.5313200000000001E-2</v>
      </c>
      <c r="P3853">
        <v>-0.99495730000000004</v>
      </c>
      <c r="Q3853">
        <v>-3.9285059999999997E-2</v>
      </c>
      <c r="R3853">
        <v>-9.2287350000000004E-2</v>
      </c>
      <c r="S3853">
        <v>-3.0072779999999999</v>
      </c>
      <c r="T3853">
        <v>-0.24415919999999999</v>
      </c>
      <c r="U3853">
        <v>3.3569339999999998E-3</v>
      </c>
      <c r="V3853">
        <v>-6.7130759999999998E-2</v>
      </c>
      <c r="W3853">
        <v>-2.8480539999999999E-2</v>
      </c>
      <c r="X3853">
        <v>0.99733760000000005</v>
      </c>
      <c r="Y3853">
        <v>2.6269899999999999E-2</v>
      </c>
      <c r="Z3853">
        <v>2.9867019999999999E-3</v>
      </c>
      <c r="AA3853">
        <v>0.99965040000000005</v>
      </c>
      <c r="AB3853">
        <v>39</v>
      </c>
      <c r="AC3853">
        <v>-0.54370000000000096</v>
      </c>
      <c r="AD3853">
        <v>-7.4362000000000206E-2</v>
      </c>
      <c r="AE3853">
        <v>1.03000000000008E-2</v>
      </c>
      <c r="AF3853">
        <v>2.3618618686401301E-2</v>
      </c>
      <c r="AG3853">
        <v>-7.4362000000000206E-2</v>
      </c>
      <c r="AH3853">
        <v>0.53329276754674004</v>
      </c>
      <c r="AI3853">
        <v>97.930428212751593</v>
      </c>
      <c r="AJ3853">
        <v>87.464125683898402</v>
      </c>
      <c r="AK3853">
        <v>0.53897005678452503</v>
      </c>
      <c r="AL3853">
        <v>91.6320354519017</v>
      </c>
      <c r="AM3853">
        <v>93.850768512405196</v>
      </c>
      <c r="AN3853">
        <v>0.999999984235314</v>
      </c>
    </row>
    <row r="3854" spans="1:40" x14ac:dyDescent="0.25">
      <c r="A3854" t="str">
        <f>"20190305135907191"</f>
        <v>20190305135907191</v>
      </c>
      <c r="B3854" t="str">
        <f>"1551765547182885"</f>
        <v>1551765547182885</v>
      </c>
      <c r="C3854" t="s">
        <v>40</v>
      </c>
      <c r="D3854">
        <v>4.1918499999999996</v>
      </c>
      <c r="E3854">
        <v>0.53482010000000002</v>
      </c>
      <c r="F3854" t="s">
        <v>41</v>
      </c>
      <c r="G3854">
        <v>-250.45840000000001</v>
      </c>
      <c r="H3854">
        <v>1.033415</v>
      </c>
      <c r="I3854">
        <v>140.7715</v>
      </c>
      <c r="J3854">
        <v>-249.97810000000001</v>
      </c>
      <c r="K3854">
        <v>1.1078129999999999</v>
      </c>
      <c r="L3854">
        <v>140.75720000000001</v>
      </c>
      <c r="M3854">
        <v>-0.99965139999999997</v>
      </c>
      <c r="N3854">
        <v>-1.069268E-2</v>
      </c>
      <c r="O3854">
        <v>-2.4145679999999999E-2</v>
      </c>
      <c r="P3854">
        <v>-0.99526709999999996</v>
      </c>
      <c r="Q3854">
        <v>-4.0209189999999999E-2</v>
      </c>
      <c r="R3854">
        <v>-8.8468690000000003E-2</v>
      </c>
      <c r="S3854">
        <v>-3.006729</v>
      </c>
      <c r="T3854">
        <v>-0.25145020000000001</v>
      </c>
      <c r="U3854">
        <v>1.5747069999999998E-2</v>
      </c>
      <c r="V3854">
        <v>-6.4477530000000005E-2</v>
      </c>
      <c r="W3854">
        <v>-2.939756E-2</v>
      </c>
      <c r="X3854">
        <v>0.99748610000000004</v>
      </c>
      <c r="Y3854">
        <v>2.9203280000000002E-2</v>
      </c>
      <c r="Z3854">
        <v>3.1332539999999998E-3</v>
      </c>
      <c r="AA3854">
        <v>0.99956860000000003</v>
      </c>
      <c r="AB3854">
        <v>39</v>
      </c>
      <c r="AC3854">
        <v>-0.48029999999999901</v>
      </c>
      <c r="AD3854">
        <v>-7.4397999999999895E-2</v>
      </c>
      <c r="AE3854">
        <v>1.42999999999915E-2</v>
      </c>
      <c r="AF3854">
        <v>2.5287459412557702E-2</v>
      </c>
      <c r="AG3854">
        <v>-7.4397999999999895E-2</v>
      </c>
      <c r="AH3854">
        <v>0.46858159779360098</v>
      </c>
      <c r="AI3854">
        <v>99.008810758006604</v>
      </c>
      <c r="AJ3854">
        <v>86.910974232756402</v>
      </c>
      <c r="AK3854">
        <v>0.47512443822470901</v>
      </c>
      <c r="AL3854">
        <v>91.684598744218505</v>
      </c>
      <c r="AM3854">
        <v>93.698455425033998</v>
      </c>
      <c r="AN3854">
        <v>1.0000000440510299</v>
      </c>
    </row>
    <row r="3855" spans="1:40" x14ac:dyDescent="0.25">
      <c r="A3855" t="str">
        <f>"20190305135907214"</f>
        <v>20190305135907214</v>
      </c>
      <c r="B3855" t="str">
        <f>"1551765547203378"</f>
        <v>1551765547203378</v>
      </c>
      <c r="C3855" t="s">
        <v>40</v>
      </c>
      <c r="D3855">
        <v>4.2103760000000001</v>
      </c>
      <c r="E3855">
        <v>0.53401699999999996</v>
      </c>
      <c r="F3855" t="s">
        <v>41</v>
      </c>
      <c r="G3855">
        <v>-250.8075</v>
      </c>
      <c r="H3855">
        <v>1.0375179999999999</v>
      </c>
      <c r="I3855">
        <v>140.76339999999999</v>
      </c>
      <c r="J3855">
        <v>-250.35169999999999</v>
      </c>
      <c r="K3855">
        <v>1.107766</v>
      </c>
      <c r="L3855">
        <v>140.749</v>
      </c>
      <c r="M3855">
        <v>-0.99967629999999996</v>
      </c>
      <c r="N3855">
        <v>-1.069314E-2</v>
      </c>
      <c r="O3855">
        <v>-2.3086720000000002E-2</v>
      </c>
      <c r="P3855">
        <v>-0.99547200000000002</v>
      </c>
      <c r="Q3855">
        <v>-4.0366659999999999E-2</v>
      </c>
      <c r="R3855">
        <v>-8.6059289999999997E-2</v>
      </c>
      <c r="S3855">
        <v>-3.005951</v>
      </c>
      <c r="T3855">
        <v>-0.25475619999999999</v>
      </c>
      <c r="U3855">
        <v>2.217102E-2</v>
      </c>
      <c r="V3855">
        <v>-6.3124470000000002E-2</v>
      </c>
      <c r="W3855">
        <v>-2.9548809999999998E-2</v>
      </c>
      <c r="X3855">
        <v>0.99756809999999996</v>
      </c>
      <c r="Y3855">
        <v>3.02755E-2</v>
      </c>
      <c r="Z3855">
        <v>3.1493239999999998E-3</v>
      </c>
      <c r="AA3855">
        <v>0.9995366</v>
      </c>
      <c r="AB3855">
        <v>39</v>
      </c>
      <c r="AC3855">
        <v>-0.45580000000000997</v>
      </c>
      <c r="AD3855">
        <v>-7.0248000000000005E-2</v>
      </c>
      <c r="AE3855">
        <v>1.4399999999994801E-2</v>
      </c>
      <c r="AF3855">
        <v>2.4342068172362102E-2</v>
      </c>
      <c r="AG3855">
        <v>-7.0248000000000005E-2</v>
      </c>
      <c r="AH3855">
        <v>0.44479141642470599</v>
      </c>
      <c r="AI3855">
        <v>98.961668657964694</v>
      </c>
      <c r="AJ3855">
        <v>86.867502775662999</v>
      </c>
      <c r="AK3855">
        <v>0.450961996083932</v>
      </c>
      <c r="AL3855">
        <v>91.693268618056393</v>
      </c>
      <c r="AM3855">
        <v>93.620755236288304</v>
      </c>
      <c r="AN3855">
        <v>0.99999997251140305</v>
      </c>
    </row>
    <row r="3856" spans="1:40" x14ac:dyDescent="0.25">
      <c r="A3856" t="str">
        <f>"20190305135907235"</f>
        <v>20190305135907235</v>
      </c>
      <c r="B3856" t="str">
        <f>"1551765547232658"</f>
        <v>1551765547232658</v>
      </c>
      <c r="C3856" t="s">
        <v>40</v>
      </c>
      <c r="D3856">
        <v>4.2347519999999896</v>
      </c>
      <c r="E3856">
        <v>0.53305329999999995</v>
      </c>
      <c r="F3856" t="s">
        <v>41</v>
      </c>
      <c r="G3856">
        <v>-251.15539999999999</v>
      </c>
      <c r="H3856">
        <v>1.0386150000000001</v>
      </c>
      <c r="I3856">
        <v>140.7552</v>
      </c>
      <c r="J3856">
        <v>-250.72890000000001</v>
      </c>
      <c r="K3856">
        <v>1.1077319999999999</v>
      </c>
      <c r="L3856">
        <v>140.74109999999999</v>
      </c>
      <c r="M3856">
        <v>-0.99970029999999999</v>
      </c>
      <c r="N3856">
        <v>-1.0693869999999999E-2</v>
      </c>
      <c r="O3856">
        <v>-2.202167E-2</v>
      </c>
      <c r="P3856">
        <v>-0.99562329999999999</v>
      </c>
      <c r="Q3856">
        <v>-3.9056889999999997E-2</v>
      </c>
      <c r="R3856">
        <v>-8.490404E-2</v>
      </c>
      <c r="S3856">
        <v>-3.0051730000000001</v>
      </c>
      <c r="T3856">
        <v>-0.25856200000000001</v>
      </c>
      <c r="U3856">
        <v>2.3376460000000002E-2</v>
      </c>
      <c r="V3856">
        <v>-6.3027940000000005E-2</v>
      </c>
      <c r="W3856">
        <v>-2.82314E-2</v>
      </c>
      <c r="X3856">
        <v>0.99761239999999995</v>
      </c>
      <c r="Y3856">
        <v>2.9613449999999999E-2</v>
      </c>
      <c r="Z3856">
        <v>3.08626E-3</v>
      </c>
      <c r="AA3856">
        <v>0.99955669999999996</v>
      </c>
      <c r="AB3856">
        <v>39</v>
      </c>
      <c r="AC3856">
        <v>-0.42649999999997501</v>
      </c>
      <c r="AD3856">
        <v>-6.9116999999999804E-2</v>
      </c>
      <c r="AE3856">
        <v>1.41000000000133E-2</v>
      </c>
      <c r="AF3856">
        <v>2.2888902137075302E-2</v>
      </c>
      <c r="AG3856">
        <v>-6.9116999999999804E-2</v>
      </c>
      <c r="AH3856">
        <v>0.41519401734978101</v>
      </c>
      <c r="AI3856">
        <v>99.437240268996803</v>
      </c>
      <c r="AJ3856">
        <v>86.844580330238898</v>
      </c>
      <c r="AK3856">
        <v>0.42152951684679302</v>
      </c>
      <c r="AL3856">
        <v>91.617754985957305</v>
      </c>
      <c r="AM3856">
        <v>93.615072957043694</v>
      </c>
      <c r="AN3856">
        <v>1.0000000169001799</v>
      </c>
    </row>
    <row r="3857" spans="1:40" x14ac:dyDescent="0.25">
      <c r="A3857" t="str">
        <f>"20190305135907259"</f>
        <v>20190305135907259</v>
      </c>
      <c r="B3857" t="str">
        <f>"1551765547253154"</f>
        <v>1551765547253154</v>
      </c>
      <c r="C3857" t="s">
        <v>40</v>
      </c>
      <c r="D3857">
        <v>4.2052040000000002</v>
      </c>
      <c r="E3857">
        <v>0.53247630000000001</v>
      </c>
      <c r="F3857" t="s">
        <v>41</v>
      </c>
      <c r="G3857">
        <v>-251.50559999999999</v>
      </c>
      <c r="H3857">
        <v>1.0416160000000001</v>
      </c>
      <c r="I3857">
        <v>140.74600000000001</v>
      </c>
      <c r="J3857">
        <v>-251.12039999999999</v>
      </c>
      <c r="K3857">
        <v>1.1077049999999999</v>
      </c>
      <c r="L3857">
        <v>140.73339999999999</v>
      </c>
      <c r="M3857">
        <v>-0.9997241</v>
      </c>
      <c r="N3857">
        <v>-1.069501E-2</v>
      </c>
      <c r="O3857">
        <v>-2.091759E-2</v>
      </c>
      <c r="P3857">
        <v>-0.9958572</v>
      </c>
      <c r="Q3857">
        <v>-3.7441290000000002E-2</v>
      </c>
      <c r="R3857">
        <v>-8.2866889999999999E-2</v>
      </c>
      <c r="S3857">
        <v>-3.0047609999999998</v>
      </c>
      <c r="T3857">
        <v>-0.25583679999999998</v>
      </c>
      <c r="U3857">
        <v>1.9119259999999999E-2</v>
      </c>
      <c r="V3857">
        <v>-6.2085929999999998E-2</v>
      </c>
      <c r="W3857">
        <v>-2.661032E-2</v>
      </c>
      <c r="X3857">
        <v>0.99771600000000005</v>
      </c>
      <c r="Y3857">
        <v>2.7111509999999998E-2</v>
      </c>
      <c r="Z3857">
        <v>2.8517009999999999E-3</v>
      </c>
      <c r="AA3857">
        <v>0.99962839999999997</v>
      </c>
      <c r="AB3857">
        <v>39</v>
      </c>
      <c r="AC3857">
        <v>-0.38519999999999699</v>
      </c>
      <c r="AD3857">
        <v>-6.6088999999999995E-2</v>
      </c>
      <c r="AE3857">
        <v>1.26000000000203E-2</v>
      </c>
      <c r="AF3857">
        <v>2.0065142765893901E-2</v>
      </c>
      <c r="AG3857">
        <v>-6.6088999999999995E-2</v>
      </c>
      <c r="AH3857">
        <v>0.37385881007326999</v>
      </c>
      <c r="AI3857">
        <v>100.01079417453199</v>
      </c>
      <c r="AJ3857">
        <v>86.9278615040338</v>
      </c>
      <c r="AK3857">
        <v>0.38018518611936603</v>
      </c>
      <c r="AL3857">
        <v>91.5248390311272</v>
      </c>
      <c r="AM3857">
        <v>93.560813661291505</v>
      </c>
      <c r="AN3857">
        <v>0.999999994245233</v>
      </c>
    </row>
    <row r="3858" spans="1:40" x14ac:dyDescent="0.25">
      <c r="A3858" t="str">
        <f>"20190305135907272"</f>
        <v>20190305135907272</v>
      </c>
      <c r="B3858" t="str">
        <f>"1551765547262914"</f>
        <v>1551765547262914</v>
      </c>
      <c r="C3858" t="s">
        <v>40</v>
      </c>
      <c r="D3858">
        <v>4.1697920000000002</v>
      </c>
      <c r="E3858">
        <v>0.53228330000000001</v>
      </c>
      <c r="F3858" t="s">
        <v>41</v>
      </c>
      <c r="G3858">
        <v>-251.8578</v>
      </c>
      <c r="H3858">
        <v>1.0464880000000001</v>
      </c>
      <c r="I3858">
        <v>140.73849999999999</v>
      </c>
      <c r="J3858">
        <v>-251.37819999999999</v>
      </c>
      <c r="K3858">
        <v>1.107693</v>
      </c>
      <c r="L3858">
        <v>140.7286</v>
      </c>
      <c r="M3858">
        <v>-0.99973909999999999</v>
      </c>
      <c r="N3858">
        <v>-1.069585E-2</v>
      </c>
      <c r="O3858">
        <v>-2.019025E-2</v>
      </c>
      <c r="P3858">
        <v>-0.99595370000000005</v>
      </c>
      <c r="Q3858">
        <v>-3.6801680000000003E-2</v>
      </c>
      <c r="R3858">
        <v>-8.1987180000000007E-2</v>
      </c>
      <c r="S3858">
        <v>-3.0047760000000001</v>
      </c>
      <c r="T3858">
        <v>-0.24945030000000001</v>
      </c>
      <c r="U3858">
        <v>2.0172120000000002E-2</v>
      </c>
      <c r="V3858">
        <v>-6.1929980000000003E-2</v>
      </c>
      <c r="W3858">
        <v>-2.596716E-2</v>
      </c>
      <c r="X3858">
        <v>0.99774269999999998</v>
      </c>
      <c r="Y3858">
        <v>2.6746180000000001E-2</v>
      </c>
      <c r="Z3858">
        <v>2.7091659999999998E-3</v>
      </c>
      <c r="AA3858">
        <v>0.99963860000000004</v>
      </c>
      <c r="AB3858">
        <v>39</v>
      </c>
      <c r="AC3858">
        <v>-0.47960000000000402</v>
      </c>
      <c r="AD3858">
        <v>-6.12050000000001E-2</v>
      </c>
      <c r="AE3858">
        <v>9.8999999999875802E-3</v>
      </c>
      <c r="AF3858">
        <v>1.9268110488322401E-2</v>
      </c>
      <c r="AG3858">
        <v>-6.12050000000001E-2</v>
      </c>
      <c r="AH3858">
        <v>0.47162470382628302</v>
      </c>
      <c r="AI3858">
        <v>97.388127942698006</v>
      </c>
      <c r="AJ3858">
        <v>87.660496167432797</v>
      </c>
      <c r="AK3858">
        <v>0.475969718959115</v>
      </c>
      <c r="AL3858">
        <v>91.487975845188899</v>
      </c>
      <c r="AM3858">
        <v>93.551797582245598</v>
      </c>
      <c r="AN3858">
        <v>1.0000000556122699</v>
      </c>
    </row>
    <row r="3859" spans="1:40" x14ac:dyDescent="0.25">
      <c r="A3859" t="str">
        <f>"20190305135907292"</f>
        <v>20190305135907292</v>
      </c>
      <c r="B3859" t="str">
        <f>"1551765547282433"</f>
        <v>1551765547282433</v>
      </c>
      <c r="C3859" t="s">
        <v>40</v>
      </c>
      <c r="D3859">
        <v>4.1544629999999998</v>
      </c>
      <c r="E3859">
        <v>0.53194759999999996</v>
      </c>
      <c r="F3859" t="s">
        <v>41</v>
      </c>
      <c r="G3859">
        <v>-252.2</v>
      </c>
      <c r="H3859">
        <v>1.039976</v>
      </c>
      <c r="I3859">
        <v>140.73429999999999</v>
      </c>
      <c r="J3859">
        <v>-251.72659999999999</v>
      </c>
      <c r="K3859">
        <v>1.107675</v>
      </c>
      <c r="L3859">
        <v>140.72239999999999</v>
      </c>
      <c r="M3859">
        <v>-0.99975840000000005</v>
      </c>
      <c r="N3859">
        <v>-1.0697170000000001E-2</v>
      </c>
      <c r="O3859">
        <v>-1.9205880000000002E-2</v>
      </c>
      <c r="P3859">
        <v>-0.99606249999999996</v>
      </c>
      <c r="Q3859">
        <v>-3.579951E-2</v>
      </c>
      <c r="R3859">
        <v>-8.1105209999999997E-2</v>
      </c>
      <c r="S3859">
        <v>-3.0047760000000001</v>
      </c>
      <c r="T3859">
        <v>-0.24760190000000001</v>
      </c>
      <c r="U3859">
        <v>2.1163939999999999E-2</v>
      </c>
      <c r="V3859">
        <v>-6.202672E-2</v>
      </c>
      <c r="W3859">
        <v>-2.495994E-2</v>
      </c>
      <c r="X3859">
        <v>0.99776229999999999</v>
      </c>
      <c r="Y3859">
        <v>2.6099199999999999E-2</v>
      </c>
      <c r="Z3859">
        <v>2.5880759999999999E-3</v>
      </c>
      <c r="AA3859">
        <v>0.99965599999999999</v>
      </c>
      <c r="AB3859">
        <v>39</v>
      </c>
      <c r="AC3859">
        <v>-0.47339999999999799</v>
      </c>
      <c r="AD3859">
        <v>-6.7698999999999898E-2</v>
      </c>
      <c r="AE3859">
        <v>1.18999999999971E-2</v>
      </c>
      <c r="AF3859">
        <v>2.0569983196893901E-2</v>
      </c>
      <c r="AG3859">
        <v>-6.7698999999999898E-2</v>
      </c>
      <c r="AH3859">
        <v>0.46360897147026803</v>
      </c>
      <c r="AI3859">
        <v>98.299906389646395</v>
      </c>
      <c r="AJ3859">
        <v>87.459495361791596</v>
      </c>
      <c r="AK3859">
        <v>0.46897713935482999</v>
      </c>
      <c r="AL3859">
        <v>91.430247809474395</v>
      </c>
      <c r="AM3859">
        <v>93.557261861316206</v>
      </c>
      <c r="AN3859">
        <v>0.999999959950025</v>
      </c>
    </row>
    <row r="3860" spans="1:40" x14ac:dyDescent="0.25">
      <c r="A3860" t="str">
        <f>"20190305135907313"</f>
        <v>20190305135907313</v>
      </c>
      <c r="B3860" t="str">
        <f>"1551765547302933"</f>
        <v>1551765547302933</v>
      </c>
      <c r="C3860" t="s">
        <v>40</v>
      </c>
      <c r="D3860">
        <v>4.1824779999999997</v>
      </c>
      <c r="E3860">
        <v>0.53161409999999998</v>
      </c>
      <c r="F3860" t="s">
        <v>41</v>
      </c>
      <c r="G3860">
        <v>-252.54910000000001</v>
      </c>
      <c r="H3860">
        <v>1.040813</v>
      </c>
      <c r="I3860">
        <v>140.72829999999999</v>
      </c>
      <c r="J3860">
        <v>-252.09180000000001</v>
      </c>
      <c r="K3860">
        <v>1.107653</v>
      </c>
      <c r="L3860">
        <v>140.71629999999999</v>
      </c>
      <c r="M3860">
        <v>-0.99977769999999999</v>
      </c>
      <c r="N3860">
        <v>-1.069866E-2</v>
      </c>
      <c r="O3860">
        <v>-1.817185E-2</v>
      </c>
      <c r="P3860">
        <v>-0.99606479999999997</v>
      </c>
      <c r="Q3860">
        <v>-3.5443179999999998E-2</v>
      </c>
      <c r="R3860">
        <v>-8.1232090000000007E-2</v>
      </c>
      <c r="S3860">
        <v>-3.004791</v>
      </c>
      <c r="T3860">
        <v>-0.24427009999999999</v>
      </c>
      <c r="U3860">
        <v>2.082825E-2</v>
      </c>
      <c r="V3860">
        <v>-6.3185270000000002E-2</v>
      </c>
      <c r="W3860">
        <v>-2.4597049999999999E-2</v>
      </c>
      <c r="X3860">
        <v>0.99769870000000005</v>
      </c>
      <c r="Y3860">
        <v>2.4964400000000001E-2</v>
      </c>
      <c r="Z3860">
        <v>2.4274570000000001E-3</v>
      </c>
      <c r="AA3860">
        <v>0.99968539999999995</v>
      </c>
      <c r="AB3860">
        <v>39</v>
      </c>
      <c r="AC3860">
        <v>-0.45730000000000298</v>
      </c>
      <c r="AD3860">
        <v>-6.6839999999999997E-2</v>
      </c>
      <c r="AE3860">
        <v>1.2000000000000399E-2</v>
      </c>
      <c r="AF3860">
        <v>1.9883983131397401E-2</v>
      </c>
      <c r="AG3860">
        <v>-6.6839999999999997E-2</v>
      </c>
      <c r="AH3860">
        <v>0.44745384646201403</v>
      </c>
      <c r="AI3860">
        <v>98.487684472177605</v>
      </c>
      <c r="AJ3860">
        <v>87.455560412673194</v>
      </c>
      <c r="AK3860">
        <v>0.452855278316176</v>
      </c>
      <c r="AL3860">
        <v>91.409449237935704</v>
      </c>
      <c r="AM3860">
        <v>93.623760219234299</v>
      </c>
      <c r="AN3860">
        <v>1.00000004459768</v>
      </c>
    </row>
    <row r="3861" spans="1:40" x14ac:dyDescent="0.25">
      <c r="A3861" t="str">
        <f>"20190305135907329"</f>
        <v>20190305135907329</v>
      </c>
      <c r="B3861" t="str">
        <f>"1551765547322450"</f>
        <v>1551765547322450</v>
      </c>
      <c r="C3861" t="s">
        <v>40</v>
      </c>
      <c r="D3861">
        <v>4.1792980000000002</v>
      </c>
      <c r="E3861">
        <v>0.53127429999999998</v>
      </c>
      <c r="F3861" t="s">
        <v>41</v>
      </c>
      <c r="G3861">
        <v>-252.89949999999999</v>
      </c>
      <c r="H3861">
        <v>1.0426219999999999</v>
      </c>
      <c r="I3861">
        <v>140.72110000000001</v>
      </c>
      <c r="J3861">
        <v>-252.3466</v>
      </c>
      <c r="K3861">
        <v>1.107645</v>
      </c>
      <c r="L3861">
        <v>140.7122</v>
      </c>
      <c r="M3861">
        <v>-0.99979050000000003</v>
      </c>
      <c r="N3861">
        <v>-1.0699790000000001E-2</v>
      </c>
      <c r="O3861">
        <v>-1.7449019999999999E-2</v>
      </c>
      <c r="P3861">
        <v>-0.99605809999999995</v>
      </c>
      <c r="Q3861">
        <v>-3.5754349999999997E-2</v>
      </c>
      <c r="R3861">
        <v>-8.117779E-2</v>
      </c>
      <c r="S3861">
        <v>-3.0046689999999998</v>
      </c>
      <c r="T3861">
        <v>-0.24194309999999999</v>
      </c>
      <c r="U3861">
        <v>1.7593379999999999E-2</v>
      </c>
      <c r="V3861">
        <v>-6.3853660000000007E-2</v>
      </c>
      <c r="W3861">
        <v>-2.49044E-2</v>
      </c>
      <c r="X3861">
        <v>0.99764850000000005</v>
      </c>
      <c r="Y3861">
        <v>2.3176599999999999E-2</v>
      </c>
      <c r="Z3861">
        <v>2.2720969999999998E-3</v>
      </c>
      <c r="AA3861">
        <v>0.99972879999999997</v>
      </c>
      <c r="AB3861">
        <v>39</v>
      </c>
      <c r="AC3861">
        <v>-0.55289999999999395</v>
      </c>
      <c r="AD3861">
        <v>-6.5022999999999997E-2</v>
      </c>
      <c r="AE3861">
        <v>8.9000000000112305E-3</v>
      </c>
      <c r="AF3861">
        <v>1.8293811592453201E-2</v>
      </c>
      <c r="AG3861">
        <v>-6.5022999999999997E-2</v>
      </c>
      <c r="AH3861">
        <v>0.545123085598054</v>
      </c>
      <c r="AI3861">
        <v>96.798385770968295</v>
      </c>
      <c r="AJ3861">
        <v>88.077929541343906</v>
      </c>
      <c r="AK3861">
        <v>0.54929211948063095</v>
      </c>
      <c r="AL3861">
        <v>91.427064520398602</v>
      </c>
      <c r="AM3861">
        <v>93.662173284322705</v>
      </c>
      <c r="AN3861">
        <v>1.0000000242935001</v>
      </c>
    </row>
    <row r="3862" spans="1:40" x14ac:dyDescent="0.25">
      <c r="A3862" t="str">
        <f>"20190305135907349"</f>
        <v>20190305135907349</v>
      </c>
      <c r="B3862" t="str">
        <f>"1551765547342946"</f>
        <v>1551765547342946</v>
      </c>
      <c r="C3862" t="s">
        <v>40</v>
      </c>
      <c r="D3862">
        <v>4.1682759999999996</v>
      </c>
      <c r="E3862">
        <v>0.53083979999999997</v>
      </c>
      <c r="F3862" t="s">
        <v>41</v>
      </c>
      <c r="G3862">
        <v>-253.24299999999999</v>
      </c>
      <c r="H3862">
        <v>1.03539</v>
      </c>
      <c r="I3862">
        <v>140.71690000000001</v>
      </c>
      <c r="J3862">
        <v>-252.7038</v>
      </c>
      <c r="K3862">
        <v>1.107629</v>
      </c>
      <c r="L3862">
        <v>140.70689999999999</v>
      </c>
      <c r="M3862">
        <v>-0.99980769999999997</v>
      </c>
      <c r="N3862">
        <v>-1.0701550000000001E-2</v>
      </c>
      <c r="O3862">
        <v>-1.6434009999999999E-2</v>
      </c>
      <c r="P3862">
        <v>-0.99603439999999999</v>
      </c>
      <c r="Q3862">
        <v>-3.6097890000000001E-2</v>
      </c>
      <c r="R3862">
        <v>-8.1317329999999993E-2</v>
      </c>
      <c r="S3862">
        <v>-3.0043950000000001</v>
      </c>
      <c r="T3862">
        <v>-0.24221799999999999</v>
      </c>
      <c r="U3862">
        <v>1.499939E-2</v>
      </c>
      <c r="V3862">
        <v>-6.5007170000000003E-2</v>
      </c>
      <c r="W3862">
        <v>-2.5242299999999999E-2</v>
      </c>
      <c r="X3862">
        <v>0.99756549999999999</v>
      </c>
      <c r="Y3862">
        <v>2.1308049999999999E-2</v>
      </c>
      <c r="Z3862">
        <v>2.1188869999999999E-3</v>
      </c>
      <c r="AA3862">
        <v>0.99977070000000001</v>
      </c>
      <c r="AB3862">
        <v>39</v>
      </c>
      <c r="AC3862">
        <v>-0.53919999999999302</v>
      </c>
      <c r="AD3862">
        <v>-7.2239000000000095E-2</v>
      </c>
      <c r="AE3862">
        <v>1.0000000000019301E-2</v>
      </c>
      <c r="AF3862">
        <v>1.8527928779349199E-2</v>
      </c>
      <c r="AG3862">
        <v>-7.2239000000000095E-2</v>
      </c>
      <c r="AH3862">
        <v>0.52946269134905799</v>
      </c>
      <c r="AI3862">
        <v>97.7646722036841</v>
      </c>
      <c r="AJ3862">
        <v>87.995818902661597</v>
      </c>
      <c r="AK3862">
        <v>0.53468916091168395</v>
      </c>
      <c r="AL3862">
        <v>91.446430863946404</v>
      </c>
      <c r="AM3862">
        <v>93.728454467775904</v>
      </c>
      <c r="AN3862">
        <v>1.0000000163254701</v>
      </c>
    </row>
    <row r="3863" spans="1:40" x14ac:dyDescent="0.25">
      <c r="A3863" t="str">
        <f>"20190305135907371"</f>
        <v>20190305135907371</v>
      </c>
      <c r="B3863" t="str">
        <f>"1551765547362465"</f>
        <v>1551765547362465</v>
      </c>
      <c r="C3863" t="s">
        <v>40</v>
      </c>
      <c r="D3863">
        <v>4.2686019999999996</v>
      </c>
      <c r="E3863">
        <v>0.53070419999999996</v>
      </c>
      <c r="F3863" t="s">
        <v>41</v>
      </c>
      <c r="G3863">
        <v>-253.59219999999999</v>
      </c>
      <c r="H3863">
        <v>1.0358080000000001</v>
      </c>
      <c r="I3863">
        <v>140.71019999999999</v>
      </c>
      <c r="J3863">
        <v>-253.0933</v>
      </c>
      <c r="K3863">
        <v>1.1076189999999999</v>
      </c>
      <c r="L3863">
        <v>140.70140000000001</v>
      </c>
      <c r="M3863">
        <v>-0.99982539999999998</v>
      </c>
      <c r="N3863">
        <v>-1.070362E-2</v>
      </c>
      <c r="O3863">
        <v>-1.532591E-2</v>
      </c>
      <c r="P3863">
        <v>-0.99598109999999995</v>
      </c>
      <c r="Q3863">
        <v>-3.706748E-2</v>
      </c>
      <c r="R3863">
        <v>-8.1535880000000005E-2</v>
      </c>
      <c r="S3863">
        <v>-3.0040439999999999</v>
      </c>
      <c r="T3863">
        <v>-0.2428372</v>
      </c>
      <c r="U3863">
        <v>1.1108399999999999E-2</v>
      </c>
      <c r="V3863">
        <v>-6.6334959999999998E-2</v>
      </c>
      <c r="W3863">
        <v>-2.620598E-2</v>
      </c>
      <c r="X3863">
        <v>0.99745320000000004</v>
      </c>
      <c r="Y3863">
        <v>1.8916519999999999E-2</v>
      </c>
      <c r="Z3863">
        <v>1.937785E-3</v>
      </c>
      <c r="AA3863">
        <v>0.99981920000000002</v>
      </c>
      <c r="AB3863">
        <v>39</v>
      </c>
      <c r="AC3863">
        <v>-0.49889999999999102</v>
      </c>
      <c r="AD3863">
        <v>-7.1811E-2</v>
      </c>
      <c r="AE3863">
        <v>8.7999999999794892E-3</v>
      </c>
      <c r="AF3863">
        <v>1.6111794001187101E-2</v>
      </c>
      <c r="AG3863">
        <v>-7.1811E-2</v>
      </c>
      <c r="AH3863">
        <v>0.48858696050071698</v>
      </c>
      <c r="AI3863">
        <v>98.356813604892807</v>
      </c>
      <c r="AJ3863">
        <v>88.111281161013395</v>
      </c>
      <c r="AK3863">
        <v>0.49409880347787299</v>
      </c>
      <c r="AL3863">
        <v>91.501663989424102</v>
      </c>
      <c r="AM3863">
        <v>93.804814869100994</v>
      </c>
      <c r="AN3863">
        <v>0.99999998324810002</v>
      </c>
    </row>
    <row r="3864" spans="1:40" x14ac:dyDescent="0.25">
      <c r="A3864" t="str">
        <f>"20190305135907392"</f>
        <v>20190305135907392</v>
      </c>
      <c r="B3864" t="str">
        <f>"1551765547382965"</f>
        <v>1551765547382965</v>
      </c>
      <c r="C3864" t="s">
        <v>40</v>
      </c>
      <c r="D3864">
        <v>4.1700839999999904</v>
      </c>
      <c r="E3864">
        <v>0.53060269999999898</v>
      </c>
      <c r="F3864" t="s">
        <v>41</v>
      </c>
      <c r="G3864">
        <v>-253.9434</v>
      </c>
      <c r="H3864">
        <v>1.038454</v>
      </c>
      <c r="I3864">
        <v>140.70410000000001</v>
      </c>
      <c r="J3864">
        <v>-253.47460000000001</v>
      </c>
      <c r="K3864">
        <v>1.107612</v>
      </c>
      <c r="L3864">
        <v>140.69649999999999</v>
      </c>
      <c r="M3864">
        <v>-0.99984139999999999</v>
      </c>
      <c r="N3864">
        <v>-1.070573E-2</v>
      </c>
      <c r="O3864">
        <v>-1.424049E-2</v>
      </c>
      <c r="P3864">
        <v>-0.99596070000000003</v>
      </c>
      <c r="Q3864">
        <v>-3.7564710000000001E-2</v>
      </c>
      <c r="R3864">
        <v>-8.1556770000000001E-2</v>
      </c>
      <c r="S3864">
        <v>-3.0037539999999998</v>
      </c>
      <c r="T3864">
        <v>-0.2443939</v>
      </c>
      <c r="U3864">
        <v>9.2163090000000007E-3</v>
      </c>
      <c r="V3864">
        <v>-6.7440819999999999E-2</v>
      </c>
      <c r="W3864">
        <v>-2.669788E-2</v>
      </c>
      <c r="X3864">
        <v>0.99736599999999997</v>
      </c>
      <c r="Y3864">
        <v>1.7209309999999998E-2</v>
      </c>
      <c r="Z3864">
        <v>1.7957029999999901E-3</v>
      </c>
      <c r="AA3864">
        <v>0.99985029999999997</v>
      </c>
      <c r="AB3864">
        <v>39</v>
      </c>
      <c r="AC3864">
        <v>-0.468799999999987</v>
      </c>
      <c r="AD3864">
        <v>-6.9157999999999997E-2</v>
      </c>
      <c r="AE3864">
        <v>7.6000000000249202E-3</v>
      </c>
      <c r="AF3864">
        <v>1.39715756894556E-2</v>
      </c>
      <c r="AG3864">
        <v>-6.9157999999999997E-2</v>
      </c>
      <c r="AH3864">
        <v>0.45866512696226602</v>
      </c>
      <c r="AI3864">
        <v>98.570609246644494</v>
      </c>
      <c r="AJ3864">
        <v>88.255230638966694</v>
      </c>
      <c r="AK3864">
        <v>0.46406005277610102</v>
      </c>
      <c r="AL3864">
        <v>91.529857639934704</v>
      </c>
      <c r="AM3864">
        <v>93.868390536760401</v>
      </c>
      <c r="AN3864">
        <v>0.999999989477383</v>
      </c>
    </row>
    <row r="3865" spans="1:40" x14ac:dyDescent="0.25">
      <c r="A3865" t="str">
        <f>"20190305135907407"</f>
        <v>20190305135907407</v>
      </c>
      <c r="B3865" t="str">
        <f>"1551765547402481"</f>
        <v>1551765547402481</v>
      </c>
      <c r="C3865" t="s">
        <v>40</v>
      </c>
      <c r="D3865">
        <v>4.1824130000000004</v>
      </c>
      <c r="E3865">
        <v>0.53055359999999996</v>
      </c>
      <c r="F3865" t="s">
        <v>41</v>
      </c>
      <c r="G3865">
        <v>-254.2953</v>
      </c>
      <c r="H3865">
        <v>1.0409759999999999</v>
      </c>
      <c r="I3865">
        <v>140.69880000000001</v>
      </c>
      <c r="J3865">
        <v>-253.71430000000001</v>
      </c>
      <c r="K3865">
        <v>1.10761</v>
      </c>
      <c r="L3865">
        <v>140.6936</v>
      </c>
      <c r="M3865">
        <v>-0.99985069999999998</v>
      </c>
      <c r="N3865">
        <v>-1.0707049999999999E-2</v>
      </c>
      <c r="O3865">
        <v>-1.355836E-2</v>
      </c>
      <c r="P3865">
        <v>-0.99596689999999999</v>
      </c>
      <c r="Q3865">
        <v>-3.7435980000000001E-2</v>
      </c>
      <c r="R3865">
        <v>-8.1538699999999895E-2</v>
      </c>
      <c r="S3865">
        <v>-3.003647</v>
      </c>
      <c r="T3865">
        <v>-0.24389079999999999</v>
      </c>
      <c r="U3865">
        <v>8.0871580000000005E-3</v>
      </c>
      <c r="V3865">
        <v>-6.8102109999999993E-2</v>
      </c>
      <c r="W3865">
        <v>-2.656582E-2</v>
      </c>
      <c r="X3865">
        <v>0.99732460000000001</v>
      </c>
      <c r="Y3865">
        <v>1.6157439999999999E-2</v>
      </c>
      <c r="Z3865">
        <v>1.6956759999999999E-3</v>
      </c>
      <c r="AA3865">
        <v>0.99986799999999998</v>
      </c>
      <c r="AB3865">
        <v>39</v>
      </c>
      <c r="AC3865">
        <v>-0.58099999999998797</v>
      </c>
      <c r="AD3865">
        <v>-6.6633999999999804E-2</v>
      </c>
      <c r="AE3865">
        <v>5.2000000000020901E-3</v>
      </c>
      <c r="AF3865">
        <v>1.29076151238426E-2</v>
      </c>
      <c r="AG3865">
        <v>-6.6633999999999804E-2</v>
      </c>
      <c r="AH3865">
        <v>0.57333535073414099</v>
      </c>
      <c r="AI3865">
        <v>96.627606074962799</v>
      </c>
      <c r="AJ3865">
        <v>88.710306348062403</v>
      </c>
      <c r="AK3865">
        <v>0.577338826760877</v>
      </c>
      <c r="AL3865">
        <v>91.522288460038197</v>
      </c>
      <c r="AM3865">
        <v>93.906366773750406</v>
      </c>
      <c r="AN3865">
        <v>0.99999999897194203</v>
      </c>
    </row>
    <row r="3866" spans="1:40" x14ac:dyDescent="0.25">
      <c r="A3866" t="str">
        <f>"20190305135907425"</f>
        <v>20190305135907425</v>
      </c>
      <c r="B3866" t="str">
        <f>"1551765547422978"</f>
        <v>1551765547422978</v>
      </c>
      <c r="C3866" t="s">
        <v>40</v>
      </c>
      <c r="D3866">
        <v>4.1689980000000002</v>
      </c>
      <c r="E3866">
        <v>0.53048419999999996</v>
      </c>
      <c r="F3866" t="s">
        <v>41</v>
      </c>
      <c r="G3866">
        <v>-254.6397</v>
      </c>
      <c r="H3866">
        <v>1.0333209999999999</v>
      </c>
      <c r="I3866">
        <v>140.6962</v>
      </c>
      <c r="J3866">
        <v>-254.03919999999999</v>
      </c>
      <c r="K3866">
        <v>1.1076060000000001</v>
      </c>
      <c r="L3866">
        <v>140.69</v>
      </c>
      <c r="M3866">
        <v>-0.99986299999999995</v>
      </c>
      <c r="N3866">
        <v>-1.0708860000000001E-2</v>
      </c>
      <c r="O3866">
        <v>-1.2633770000000001E-2</v>
      </c>
      <c r="P3866">
        <v>-0.9959673</v>
      </c>
      <c r="Q3866">
        <v>-3.7250310000000002E-2</v>
      </c>
      <c r="R3866">
        <v>-8.162092E-2</v>
      </c>
      <c r="S3866">
        <v>-3.0036930000000002</v>
      </c>
      <c r="T3866">
        <v>-0.24119950000000001</v>
      </c>
      <c r="U3866">
        <v>7.6141359999999996E-3</v>
      </c>
      <c r="V3866">
        <v>-6.9105860000000005E-2</v>
      </c>
      <c r="W3866">
        <v>-2.6375450000000002E-2</v>
      </c>
      <c r="X3866">
        <v>0.99726060000000005</v>
      </c>
      <c r="Y3866">
        <v>1.5083569999999999E-2</v>
      </c>
      <c r="Z3866">
        <v>1.563297E-3</v>
      </c>
      <c r="AA3866">
        <v>0.99988500000000002</v>
      </c>
      <c r="AB3866">
        <v>39</v>
      </c>
      <c r="AC3866">
        <v>-0.60050000000001003</v>
      </c>
      <c r="AD3866">
        <v>-7.4284999999999907E-2</v>
      </c>
      <c r="AE3866">
        <v>6.2000000000068597E-3</v>
      </c>
      <c r="AF3866">
        <v>1.3578744667971401E-2</v>
      </c>
      <c r="AG3866">
        <v>-7.4284999999999907E-2</v>
      </c>
      <c r="AH3866">
        <v>0.59132565051834596</v>
      </c>
      <c r="AI3866">
        <v>97.158377894033606</v>
      </c>
      <c r="AJ3866">
        <v>88.684535241631593</v>
      </c>
      <c r="AK3866">
        <v>0.59612806383587003</v>
      </c>
      <c r="AL3866">
        <v>91.511377246170198</v>
      </c>
      <c r="AM3866">
        <v>93.964013677637197</v>
      </c>
      <c r="AN3866">
        <v>0.99999999428070097</v>
      </c>
    </row>
    <row r="3867" spans="1:40" x14ac:dyDescent="0.25">
      <c r="A3867" t="str">
        <f>"20190305135907439"</f>
        <v>20190305135907439</v>
      </c>
      <c r="B3867" t="str">
        <f>"1551765547432738"</f>
        <v>1551765547432738</v>
      </c>
      <c r="C3867" t="s">
        <v>40</v>
      </c>
      <c r="D3867">
        <v>4.1631819999999999</v>
      </c>
      <c r="E3867">
        <v>0.53045390000000003</v>
      </c>
      <c r="F3867" t="s">
        <v>41</v>
      </c>
      <c r="G3867">
        <v>-254.98920000000001</v>
      </c>
      <c r="H3867">
        <v>1.0322180000000001</v>
      </c>
      <c r="I3867">
        <v>140.69200000000001</v>
      </c>
      <c r="J3867">
        <v>-254.2878</v>
      </c>
      <c r="K3867">
        <v>1.107604</v>
      </c>
      <c r="L3867">
        <v>140.6874</v>
      </c>
      <c r="M3867">
        <v>-0.99987159999999997</v>
      </c>
      <c r="N3867">
        <v>-1.0710300000000001E-2</v>
      </c>
      <c r="O3867">
        <v>-1.192578E-2</v>
      </c>
      <c r="P3867">
        <v>-0.99600480000000002</v>
      </c>
      <c r="Q3867">
        <v>-3.7175189999999997E-2</v>
      </c>
      <c r="R3867">
        <v>-8.1195139999999999E-2</v>
      </c>
      <c r="S3867">
        <v>-3.0037539999999998</v>
      </c>
      <c r="T3867">
        <v>-0.2383883</v>
      </c>
      <c r="U3867">
        <v>6.698608E-3</v>
      </c>
      <c r="V3867">
        <v>-6.9386080000000003E-2</v>
      </c>
      <c r="W3867">
        <v>-2.6297810000000001E-2</v>
      </c>
      <c r="X3867">
        <v>0.9972432</v>
      </c>
      <c r="Y3867">
        <v>1.407803E-2</v>
      </c>
      <c r="Z3867">
        <v>1.4507000000000001E-3</v>
      </c>
      <c r="AA3867">
        <v>0.99989989999999995</v>
      </c>
      <c r="AB3867">
        <v>39</v>
      </c>
      <c r="AC3867">
        <v>-0.70140000000000602</v>
      </c>
      <c r="AD3867">
        <v>-7.5385999999999898E-2</v>
      </c>
      <c r="AE3867">
        <v>4.6000000000105904E-3</v>
      </c>
      <c r="AF3867">
        <v>1.2816842787531001E-2</v>
      </c>
      <c r="AG3867">
        <v>-7.5385999999999898E-2</v>
      </c>
      <c r="AH3867">
        <v>0.693286881811077</v>
      </c>
      <c r="AI3867">
        <v>96.2047425982595</v>
      </c>
      <c r="AJ3867">
        <v>88.940889587435905</v>
      </c>
      <c r="AK3867">
        <v>0.69749123359821996</v>
      </c>
      <c r="AL3867">
        <v>91.506927247486402</v>
      </c>
      <c r="AM3867">
        <v>93.980105175253698</v>
      </c>
      <c r="AN3867">
        <v>1.0000000014274</v>
      </c>
    </row>
    <row r="3868" spans="1:40" x14ac:dyDescent="0.25">
      <c r="A3868" t="str">
        <f>"20190305135907460"</f>
        <v>20190305135907460</v>
      </c>
      <c r="B3868" t="str">
        <f>"1551765547453234"</f>
        <v>1551765547453234</v>
      </c>
      <c r="C3868" t="s">
        <v>40</v>
      </c>
      <c r="D3868">
        <v>4.1457930000000003</v>
      </c>
      <c r="E3868">
        <v>0.53030409999999994</v>
      </c>
      <c r="F3868" t="s">
        <v>41</v>
      </c>
      <c r="G3868">
        <v>-255.33590000000001</v>
      </c>
      <c r="H3868">
        <v>1.0249280000000001</v>
      </c>
      <c r="I3868">
        <v>140.69030000000001</v>
      </c>
      <c r="J3868">
        <v>-254.64840000000001</v>
      </c>
      <c r="K3868">
        <v>1.1076079999999999</v>
      </c>
      <c r="L3868">
        <v>140.684</v>
      </c>
      <c r="M3868">
        <v>-0.99988330000000003</v>
      </c>
      <c r="N3868">
        <v>-1.071187E-2</v>
      </c>
      <c r="O3868">
        <v>-1.0899509999999999E-2</v>
      </c>
      <c r="P3868">
        <v>-0.99604269999999995</v>
      </c>
      <c r="Q3868">
        <v>-3.7364460000000002E-2</v>
      </c>
      <c r="R3868">
        <v>-8.0642510000000001E-2</v>
      </c>
      <c r="S3868">
        <v>-3.003784</v>
      </c>
      <c r="T3868">
        <v>-0.23696200000000001</v>
      </c>
      <c r="U3868">
        <v>7.7819819999999998E-3</v>
      </c>
      <c r="V3868">
        <v>-6.9856970000000004E-2</v>
      </c>
      <c r="W3868">
        <v>-2.6483989999999999E-2</v>
      </c>
      <c r="X3868">
        <v>0.99720540000000002</v>
      </c>
      <c r="Y3868">
        <v>1.3417999999999999E-2</v>
      </c>
      <c r="Z3868">
        <v>1.3423230000000001E-3</v>
      </c>
      <c r="AA3868">
        <v>0.9999091</v>
      </c>
      <c r="AB3868">
        <v>39</v>
      </c>
      <c r="AC3868">
        <v>-0.6875</v>
      </c>
      <c r="AD3868">
        <v>-8.2679999999999795E-2</v>
      </c>
      <c r="AE3868">
        <v>6.3000000000101803E-3</v>
      </c>
      <c r="AF3868">
        <v>1.3596834994253799E-2</v>
      </c>
      <c r="AG3868">
        <v>-8.2679999999999795E-2</v>
      </c>
      <c r="AH3868">
        <v>0.67759136930367203</v>
      </c>
      <c r="AI3868">
        <v>96.955479116418104</v>
      </c>
      <c r="AJ3868">
        <v>88.850432934677499</v>
      </c>
      <c r="AK3868">
        <v>0.68275245885803004</v>
      </c>
      <c r="AL3868">
        <v>91.517598288713401</v>
      </c>
      <c r="AM3868">
        <v>94.007179939513804</v>
      </c>
      <c r="AN3868">
        <v>1.00000000388653</v>
      </c>
    </row>
    <row r="3869" spans="1:40" x14ac:dyDescent="0.25">
      <c r="A3869" t="str">
        <f>"20190305135907482"</f>
        <v>20190305135907482</v>
      </c>
      <c r="B3869" t="str">
        <f>"1551765547472757"</f>
        <v>1551765547472757</v>
      </c>
      <c r="C3869" t="s">
        <v>40</v>
      </c>
      <c r="D3869">
        <v>4.1498619999999997</v>
      </c>
      <c r="E3869">
        <v>0.53021759999999996</v>
      </c>
      <c r="F3869" t="s">
        <v>41</v>
      </c>
      <c r="G3869">
        <v>-255.68700000000001</v>
      </c>
      <c r="H3869">
        <v>1.0259579999999999</v>
      </c>
      <c r="I3869">
        <v>140.68690000000001</v>
      </c>
      <c r="J3869">
        <v>-255.04830000000001</v>
      </c>
      <c r="K3869">
        <v>1.107599</v>
      </c>
      <c r="L3869">
        <v>140.6806</v>
      </c>
      <c r="M3869">
        <v>-0.99989519999999998</v>
      </c>
      <c r="N3869">
        <v>-1.070843E-2</v>
      </c>
      <c r="O3869">
        <v>-9.7617569999999994E-3</v>
      </c>
      <c r="P3869">
        <v>-0.99603620000000004</v>
      </c>
      <c r="Q3869">
        <v>-3.9026810000000002E-2</v>
      </c>
      <c r="R3869">
        <v>-7.9932260000000005E-2</v>
      </c>
      <c r="S3869">
        <v>-3.0037229999999999</v>
      </c>
      <c r="T3869">
        <v>-0.2361808</v>
      </c>
      <c r="U3869">
        <v>8.1176759999999903E-3</v>
      </c>
      <c r="V3869">
        <v>-7.0286009999999996E-2</v>
      </c>
      <c r="W3869">
        <v>-2.814885E-2</v>
      </c>
      <c r="X3869">
        <v>0.99712959999999995</v>
      </c>
      <c r="Y3869">
        <v>1.23987E-2</v>
      </c>
      <c r="Z3869">
        <v>1.215175E-3</v>
      </c>
      <c r="AA3869">
        <v>0.99992239999999999</v>
      </c>
      <c r="AB3869">
        <v>39</v>
      </c>
      <c r="AC3869">
        <v>-0.63870000000000005</v>
      </c>
      <c r="AD3869">
        <v>-8.1641000000000005E-2</v>
      </c>
      <c r="AE3869">
        <v>6.3000000000101803E-3</v>
      </c>
      <c r="AF3869">
        <v>1.23333958179474E-2</v>
      </c>
      <c r="AG3869">
        <v>-8.1641000000000005E-2</v>
      </c>
      <c r="AH3869">
        <v>0.62834263343100405</v>
      </c>
      <c r="AI3869">
        <v>97.401597765817002</v>
      </c>
      <c r="AJ3869">
        <v>88.875516702533403</v>
      </c>
      <c r="AK3869">
        <v>0.63374429427049705</v>
      </c>
      <c r="AL3869">
        <v>91.613023430664597</v>
      </c>
      <c r="AM3869">
        <v>94.032015364389906</v>
      </c>
      <c r="AN3869">
        <v>0.99999996007710001</v>
      </c>
    </row>
    <row r="3870" spans="1:40" x14ac:dyDescent="0.25">
      <c r="A3870" t="str">
        <f>"20190305135907503"</f>
        <v>20190305135907503</v>
      </c>
      <c r="B3870" t="str">
        <f>"1551765547493249"</f>
        <v>1551765547493249</v>
      </c>
      <c r="C3870" t="s">
        <v>40</v>
      </c>
      <c r="D3870">
        <v>4.1473709999999997</v>
      </c>
      <c r="E3870">
        <v>0.5302135</v>
      </c>
      <c r="F3870" t="s">
        <v>41</v>
      </c>
      <c r="G3870">
        <v>-256.03899999999999</v>
      </c>
      <c r="H3870">
        <v>1.0284869999999999</v>
      </c>
      <c r="I3870">
        <v>140.684</v>
      </c>
      <c r="J3870">
        <v>-255.42519999999999</v>
      </c>
      <c r="K3870">
        <v>1.107585</v>
      </c>
      <c r="L3870">
        <v>140.67789999999999</v>
      </c>
      <c r="M3870">
        <v>-0.99990500000000004</v>
      </c>
      <c r="N3870">
        <v>-1.0703030000000001E-2</v>
      </c>
      <c r="O3870">
        <v>-8.6893360000000006E-3</v>
      </c>
      <c r="P3870">
        <v>-0.99600489999999997</v>
      </c>
      <c r="Q3870">
        <v>-4.0125580000000001E-2</v>
      </c>
      <c r="R3870">
        <v>-7.9775059999999995E-2</v>
      </c>
      <c r="S3870">
        <v>-3.0032960000000002</v>
      </c>
      <c r="T3870">
        <v>-0.23988090000000001</v>
      </c>
      <c r="U3870">
        <v>9.5672610000000005E-3</v>
      </c>
      <c r="V3870">
        <v>-7.1201360000000005E-2</v>
      </c>
      <c r="W3870">
        <v>-2.925109E-2</v>
      </c>
      <c r="X3870">
        <v>0.9970329</v>
      </c>
      <c r="Y3870">
        <v>1.1811810000000001E-2</v>
      </c>
      <c r="Z3870">
        <v>1.134349E-3</v>
      </c>
      <c r="AA3870">
        <v>0.99992959999999997</v>
      </c>
      <c r="AB3870">
        <v>39</v>
      </c>
      <c r="AC3870">
        <v>-0.61379999999999701</v>
      </c>
      <c r="AD3870">
        <v>-7.9097999999999793E-2</v>
      </c>
      <c r="AE3870">
        <v>6.1000000000035401E-3</v>
      </c>
      <c r="AF3870">
        <v>1.1246837661384099E-2</v>
      </c>
      <c r="AG3870">
        <v>-7.9097999999999793E-2</v>
      </c>
      <c r="AH3870">
        <v>0.60369949118883004</v>
      </c>
      <c r="AI3870">
        <v>97.463215253740898</v>
      </c>
      <c r="AJ3870">
        <v>88.932711050433099</v>
      </c>
      <c r="AK3870">
        <v>0.60896310284206301</v>
      </c>
      <c r="AL3870">
        <v>91.676203209367998</v>
      </c>
      <c r="AM3870">
        <v>94.084743396464901</v>
      </c>
      <c r="AN3870">
        <v>0.99999993180722102</v>
      </c>
    </row>
    <row r="3871" spans="1:40" x14ac:dyDescent="0.25">
      <c r="A3871" t="str">
        <f>"20190305135907527"</f>
        <v>20190305135907527</v>
      </c>
      <c r="B3871" t="str">
        <f>"1551765547522530"</f>
        <v>1551765547522530</v>
      </c>
      <c r="C3871" t="s">
        <v>40</v>
      </c>
      <c r="D3871">
        <v>4.1499410000000001</v>
      </c>
      <c r="E3871">
        <v>0.53027919999999995</v>
      </c>
      <c r="F3871" t="s">
        <v>41</v>
      </c>
      <c r="G3871">
        <v>-256.39109999999999</v>
      </c>
      <c r="H3871">
        <v>1.030521</v>
      </c>
      <c r="I3871">
        <v>140.68119999999999</v>
      </c>
      <c r="J3871">
        <v>-255.8176</v>
      </c>
      <c r="K3871">
        <v>1.1075820000000001</v>
      </c>
      <c r="L3871">
        <v>140.6755</v>
      </c>
      <c r="M3871">
        <v>-0.99991419999999998</v>
      </c>
      <c r="N3871">
        <v>-1.069765E-2</v>
      </c>
      <c r="O3871">
        <v>-7.5778310000000002E-3</v>
      </c>
      <c r="P3871">
        <v>-0.99598960000000003</v>
      </c>
      <c r="Q3871">
        <v>-4.204782E-2</v>
      </c>
      <c r="R3871">
        <v>-7.8976589999999999E-2</v>
      </c>
      <c r="S3871">
        <v>-3.0031430000000001</v>
      </c>
      <c r="T3871">
        <v>-0.23964949999999999</v>
      </c>
      <c r="U3871">
        <v>9.6740720000000006E-3</v>
      </c>
      <c r="V3871">
        <v>-7.1516689999999994E-2</v>
      </c>
      <c r="W3871">
        <v>-3.117866E-2</v>
      </c>
      <c r="X3871">
        <v>0.99695199999999995</v>
      </c>
      <c r="Y3871">
        <v>1.074263E-2</v>
      </c>
      <c r="Z3871">
        <v>1.0083010000000001E-3</v>
      </c>
      <c r="AA3871">
        <v>0.99994179999999999</v>
      </c>
      <c r="AB3871">
        <v>39</v>
      </c>
      <c r="AC3871">
        <v>-0.57349999999999501</v>
      </c>
      <c r="AD3871">
        <v>-7.7061000000000004E-2</v>
      </c>
      <c r="AE3871">
        <v>5.6999999999902597E-3</v>
      </c>
      <c r="AF3871">
        <v>9.8678225386527405E-3</v>
      </c>
      <c r="AG3871">
        <v>-7.7061000000000004E-2</v>
      </c>
      <c r="AH3871">
        <v>0.563271359939716</v>
      </c>
      <c r="AI3871">
        <v>97.789076438443104</v>
      </c>
      <c r="AJ3871">
        <v>88.996350968518101</v>
      </c>
      <c r="AK3871">
        <v>0.56860390129772298</v>
      </c>
      <c r="AL3871">
        <v>91.786695153421505</v>
      </c>
      <c r="AM3871">
        <v>94.103103682504099</v>
      </c>
      <c r="AN3871">
        <v>1.0000000180459701</v>
      </c>
    </row>
    <row r="3872" spans="1:40" x14ac:dyDescent="0.25">
      <c r="A3872" t="str">
        <f>"20190305135907549"</f>
        <v>20190305135907549</v>
      </c>
      <c r="B3872" t="str">
        <f>"1551765547543026"</f>
        <v>1551765547543026</v>
      </c>
      <c r="C3872" t="s">
        <v>40</v>
      </c>
      <c r="D3872">
        <v>4.156269</v>
      </c>
      <c r="E3872">
        <v>0.53068899999999997</v>
      </c>
      <c r="F3872" t="s">
        <v>42</v>
      </c>
      <c r="G3872">
        <v>-278.28500000000003</v>
      </c>
      <c r="H3872" s="1">
        <v>-1.0116490000000001E-6</v>
      </c>
      <c r="I3872">
        <v>140.71969999999999</v>
      </c>
      <c r="J3872">
        <v>-256.21429999999998</v>
      </c>
      <c r="K3872">
        <v>1.1075809999999999</v>
      </c>
      <c r="L3872">
        <v>140.67349999999999</v>
      </c>
      <c r="M3872">
        <v>-0.99992199999999998</v>
      </c>
      <c r="N3872">
        <v>-1.069268E-2</v>
      </c>
      <c r="O3872">
        <v>-6.4648209999999999E-3</v>
      </c>
      <c r="P3872">
        <v>-0.99600440000000001</v>
      </c>
      <c r="Q3872">
        <v>-4.377284E-2</v>
      </c>
      <c r="R3872">
        <v>-7.7839450000000004E-2</v>
      </c>
      <c r="S3872">
        <v>-3.0062709999999999</v>
      </c>
      <c r="T3872">
        <v>-0.1482009</v>
      </c>
      <c r="U3872">
        <v>5.9204100000000001E-3</v>
      </c>
      <c r="V3872">
        <v>-7.1493219999999996E-2</v>
      </c>
      <c r="W3872">
        <v>-3.291007E-2</v>
      </c>
      <c r="X3872">
        <v>0.99689799999999995</v>
      </c>
      <c r="Y3872">
        <v>8.4172299999999995E-3</v>
      </c>
      <c r="Z3872">
        <v>5.017903E-4</v>
      </c>
      <c r="AA3872">
        <v>0.99996450000000003</v>
      </c>
      <c r="AB3872">
        <v>39</v>
      </c>
      <c r="AC3872">
        <v>-22.070699999999999</v>
      </c>
      <c r="AD3872">
        <v>-1.1075820116489901</v>
      </c>
      <c r="AE3872">
        <v>4.6199999999998902E-2</v>
      </c>
      <c r="AF3872">
        <v>0.18841580851084899</v>
      </c>
      <c r="AG3872">
        <v>-1.1075820116489901</v>
      </c>
      <c r="AH3872">
        <v>22.014499623320699</v>
      </c>
      <c r="AI3872">
        <v>92.880101507912698</v>
      </c>
      <c r="AJ3872">
        <v>89.509633776675798</v>
      </c>
      <c r="AK3872">
        <v>22.043149323420401</v>
      </c>
      <c r="AL3872">
        <v>91.885948678594801</v>
      </c>
      <c r="AM3872">
        <v>94.101983168519993</v>
      </c>
      <c r="AN3872">
        <v>0.99999998780868604</v>
      </c>
    </row>
    <row r="3873" spans="1:40" x14ac:dyDescent="0.25">
      <c r="A3873" t="str">
        <f>"20190305135907572"</f>
        <v>20190305135907572</v>
      </c>
      <c r="B3873" t="str">
        <f>"1551765547562546"</f>
        <v>1551765547562546</v>
      </c>
      <c r="C3873" t="s">
        <v>40</v>
      </c>
      <c r="D3873">
        <v>4.1530269999999998</v>
      </c>
      <c r="E3873">
        <v>0.53063559999999999</v>
      </c>
      <c r="F3873" t="s">
        <v>42</v>
      </c>
      <c r="G3873">
        <v>-277.74450000000002</v>
      </c>
      <c r="H3873" s="1">
        <v>-1.2554310000000001E-6</v>
      </c>
      <c r="I3873">
        <v>140.76439999999999</v>
      </c>
      <c r="J3873">
        <v>-256.61669999999998</v>
      </c>
      <c r="K3873">
        <v>1.107591</v>
      </c>
      <c r="L3873">
        <v>140.67179999999999</v>
      </c>
      <c r="M3873">
        <v>-0.99992859999999995</v>
      </c>
      <c r="N3873">
        <v>-1.068796E-2</v>
      </c>
      <c r="O3873">
        <v>-5.357723E-3</v>
      </c>
      <c r="P3873">
        <v>-0.99611309999999997</v>
      </c>
      <c r="Q3873">
        <v>-4.3635090000000001E-2</v>
      </c>
      <c r="R3873">
        <v>-7.6518849999999999E-2</v>
      </c>
      <c r="S3873">
        <v>-3.0062259999999998</v>
      </c>
      <c r="T3873">
        <v>-0.1546497</v>
      </c>
      <c r="U3873">
        <v>1.2710569999999999E-2</v>
      </c>
      <c r="V3873">
        <v>-7.1273920000000004E-2</v>
      </c>
      <c r="W3873">
        <v>-3.2779370000000002E-2</v>
      </c>
      <c r="X3873">
        <v>0.99691799999999997</v>
      </c>
      <c r="Y3873">
        <v>9.5662379999999995E-3</v>
      </c>
      <c r="Z3873">
        <v>5.1525940000000004E-4</v>
      </c>
      <c r="AA3873">
        <v>0.99995409999999996</v>
      </c>
      <c r="AB3873">
        <v>39</v>
      </c>
      <c r="AC3873">
        <v>-21.127800000000001</v>
      </c>
      <c r="AD3873">
        <v>-1.107592255431</v>
      </c>
      <c r="AE3873">
        <v>9.2600000000004401E-2</v>
      </c>
      <c r="AF3873">
        <v>0.205238000595173</v>
      </c>
      <c r="AG3873">
        <v>-1.107592255431</v>
      </c>
      <c r="AH3873">
        <v>21.069099193982101</v>
      </c>
      <c r="AI3873">
        <v>93.009098619965201</v>
      </c>
      <c r="AJ3873">
        <v>89.441888844214105</v>
      </c>
      <c r="AK3873">
        <v>21.099190128700201</v>
      </c>
      <c r="AL3873">
        <v>91.878456094635794</v>
      </c>
      <c r="AM3873">
        <v>94.089361639020495</v>
      </c>
      <c r="AN3873">
        <v>0.99999997874688096</v>
      </c>
    </row>
    <row r="3874" spans="1:40" x14ac:dyDescent="0.25">
      <c r="A3874" t="str">
        <f>"20190305135907593"</f>
        <v>20190305135907593</v>
      </c>
      <c r="B3874" t="str">
        <f>"1551765547583043"</f>
        <v>1551765547583043</v>
      </c>
      <c r="C3874" t="s">
        <v>40</v>
      </c>
      <c r="D3874">
        <v>4.1479369999999998</v>
      </c>
      <c r="E3874">
        <v>0.53035399999999999</v>
      </c>
      <c r="F3874" t="s">
        <v>42</v>
      </c>
      <c r="G3874">
        <v>-278.0326</v>
      </c>
      <c r="H3874" s="1">
        <v>-1.1382730000000001E-6</v>
      </c>
      <c r="I3874">
        <v>140.7885</v>
      </c>
      <c r="J3874">
        <v>-256.9966</v>
      </c>
      <c r="K3874">
        <v>1.107599</v>
      </c>
      <c r="L3874">
        <v>140.67070000000001</v>
      </c>
      <c r="M3874">
        <v>-0.99993350000000003</v>
      </c>
      <c r="N3874">
        <v>-1.068384E-2</v>
      </c>
      <c r="O3874">
        <v>-4.3426089999999999E-3</v>
      </c>
      <c r="P3874">
        <v>-0.99621870000000001</v>
      </c>
      <c r="Q3874">
        <v>-4.2517310000000003E-2</v>
      </c>
      <c r="R3874">
        <v>-7.5767230000000005E-2</v>
      </c>
      <c r="S3874">
        <v>-3.0061650000000002</v>
      </c>
      <c r="T3874">
        <v>-0.1554738</v>
      </c>
      <c r="U3874">
        <v>1.638794E-2</v>
      </c>
      <c r="V3874">
        <v>-7.1529369999999995E-2</v>
      </c>
      <c r="W3874">
        <v>-3.1668000000000002E-2</v>
      </c>
      <c r="X3874">
        <v>0.99693569999999998</v>
      </c>
      <c r="Y3874">
        <v>9.774685E-3</v>
      </c>
      <c r="Z3874">
        <v>4.8292289999999998E-4</v>
      </c>
      <c r="AA3874">
        <v>0.99995210000000001</v>
      </c>
      <c r="AB3874">
        <v>39</v>
      </c>
      <c r="AC3874">
        <v>-21.035999999999898</v>
      </c>
      <c r="AD3874">
        <v>-1.1076001382730001</v>
      </c>
      <c r="AE3874">
        <v>0.117799999999988</v>
      </c>
      <c r="AF3874">
        <v>0.20857700659848999</v>
      </c>
      <c r="AG3874">
        <v>-1.1076001382730001</v>
      </c>
      <c r="AH3874">
        <v>20.977137016661601</v>
      </c>
      <c r="AI3874">
        <v>93.022281353778595</v>
      </c>
      <c r="AJ3874">
        <v>89.430323195870898</v>
      </c>
      <c r="AK3874">
        <v>21.0073929808004</v>
      </c>
      <c r="AL3874">
        <v>91.814746061818397</v>
      </c>
      <c r="AM3874">
        <v>94.103895551441994</v>
      </c>
      <c r="AN3874">
        <v>1.0000000514655401</v>
      </c>
    </row>
    <row r="3875" spans="1:40" x14ac:dyDescent="0.25">
      <c r="A3875" t="str">
        <f>"20190305135907607"</f>
        <v>20190305135907607</v>
      </c>
      <c r="B3875" t="str">
        <f>"1551765547602563"</f>
        <v>1551765547602563</v>
      </c>
      <c r="C3875" t="s">
        <v>40</v>
      </c>
      <c r="D3875">
        <v>4.1787260000000002</v>
      </c>
      <c r="E3875">
        <v>0.53001640000000005</v>
      </c>
      <c r="F3875" t="s">
        <v>42</v>
      </c>
      <c r="G3875">
        <v>-279.10410000000002</v>
      </c>
      <c r="H3875" s="1">
        <v>-6.7922369999999999E-7</v>
      </c>
      <c r="I3875">
        <v>140.79089999999999</v>
      </c>
      <c r="J3875">
        <v>-257.2321</v>
      </c>
      <c r="K3875">
        <v>1.107607</v>
      </c>
      <c r="L3875">
        <v>140.67009999999999</v>
      </c>
      <c r="M3875">
        <v>-0.99993600000000005</v>
      </c>
      <c r="N3875">
        <v>-1.068153E-2</v>
      </c>
      <c r="O3875">
        <v>-3.7309779999999998E-3</v>
      </c>
      <c r="P3875">
        <v>-0.9962685</v>
      </c>
      <c r="Q3875">
        <v>-4.2853479999999999E-2</v>
      </c>
      <c r="R3875">
        <v>-7.4919369999999999E-2</v>
      </c>
      <c r="S3875">
        <v>-3.006195</v>
      </c>
      <c r="T3875">
        <v>-0.15061240000000001</v>
      </c>
      <c r="U3875">
        <v>1.6357420000000001E-2</v>
      </c>
      <c r="V3875">
        <v>-7.1290409999999999E-2</v>
      </c>
      <c r="W3875">
        <v>-3.2009679999999999E-2</v>
      </c>
      <c r="X3875">
        <v>0.99694190000000005</v>
      </c>
      <c r="Y3875">
        <v>9.1554240000000005E-3</v>
      </c>
      <c r="Z3875">
        <v>4.2510920000000003E-4</v>
      </c>
      <c r="AA3875">
        <v>0.99995800000000001</v>
      </c>
      <c r="AB3875">
        <v>39</v>
      </c>
      <c r="AC3875">
        <v>-21.872</v>
      </c>
      <c r="AD3875">
        <v>-1.1076076792237</v>
      </c>
      <c r="AE3875">
        <v>0.120800000000002</v>
      </c>
      <c r="AF3875">
        <v>0.201890042904108</v>
      </c>
      <c r="AG3875">
        <v>-1.1076076792237</v>
      </c>
      <c r="AH3875">
        <v>21.815454000097901</v>
      </c>
      <c r="AI3875">
        <v>92.906384151004303</v>
      </c>
      <c r="AJ3875">
        <v>89.469774171546206</v>
      </c>
      <c r="AK3875">
        <v>21.844486434587701</v>
      </c>
      <c r="AL3875">
        <v>91.834332821085397</v>
      </c>
      <c r="AM3875">
        <v>94.090206821264701</v>
      </c>
      <c r="AN3875">
        <v>1.0000000470736301</v>
      </c>
    </row>
    <row r="3876" spans="1:40" x14ac:dyDescent="0.25">
      <c r="A3876" t="str">
        <f>"20190305135907625"</f>
        <v>20190305135907625</v>
      </c>
      <c r="B3876" t="str">
        <f>"1551765547623058"</f>
        <v>1551765547623058</v>
      </c>
      <c r="C3876" t="s">
        <v>40</v>
      </c>
      <c r="D3876">
        <v>4.1477940000000002</v>
      </c>
      <c r="E3876">
        <v>0.53003959999999894</v>
      </c>
      <c r="F3876" t="s">
        <v>42</v>
      </c>
      <c r="G3876">
        <v>-279.49220000000003</v>
      </c>
      <c r="H3876" s="1">
        <v>-5.1228940000000004E-7</v>
      </c>
      <c r="I3876">
        <v>140.78919999999999</v>
      </c>
      <c r="J3876">
        <v>-257.56560000000002</v>
      </c>
      <c r="K3876">
        <v>1.107615</v>
      </c>
      <c r="L3876">
        <v>140.6696</v>
      </c>
      <c r="M3876">
        <v>-0.99993880000000002</v>
      </c>
      <c r="N3876">
        <v>-1.067857E-2</v>
      </c>
      <c r="O3876">
        <v>-2.882435E-3</v>
      </c>
      <c r="P3876">
        <v>-0.99614499999999995</v>
      </c>
      <c r="Q3876">
        <v>-4.6636860000000002E-2</v>
      </c>
      <c r="R3876">
        <v>-7.4298160000000002E-2</v>
      </c>
      <c r="S3876">
        <v>-3.0059809999999998</v>
      </c>
      <c r="T3876">
        <v>-0.1495706</v>
      </c>
      <c r="U3876">
        <v>1.6082760000000001E-2</v>
      </c>
      <c r="V3876">
        <v>-7.1523660000000003E-2</v>
      </c>
      <c r="W3876">
        <v>-3.5801039999999999E-2</v>
      </c>
      <c r="X3876">
        <v>0.99679620000000002</v>
      </c>
      <c r="Y3876">
        <v>8.2181609999999999E-3</v>
      </c>
      <c r="Z3876">
        <v>3.6081170000000002E-4</v>
      </c>
      <c r="AA3876">
        <v>0.99996609999999997</v>
      </c>
      <c r="AB3876">
        <v>39</v>
      </c>
      <c r="AC3876">
        <v>-21.926600000000001</v>
      </c>
      <c r="AD3876">
        <v>-1.1076155122894</v>
      </c>
      <c r="AE3876">
        <v>0.11959999999999101</v>
      </c>
      <c r="AF3876">
        <v>0.182339838967297</v>
      </c>
      <c r="AG3876">
        <v>-1.1076155122894</v>
      </c>
      <c r="AH3876">
        <v>21.8703584566972</v>
      </c>
      <c r="AI3876">
        <v>92.899144093253</v>
      </c>
      <c r="AJ3876">
        <v>89.522318704815305</v>
      </c>
      <c r="AK3876">
        <v>21.899146991706399</v>
      </c>
      <c r="AL3876">
        <v>92.051686919841998</v>
      </c>
      <c r="AM3876">
        <v>94.104141393040393</v>
      </c>
      <c r="AN3876">
        <v>1.0000000063696499</v>
      </c>
    </row>
    <row r="3877" spans="1:40" x14ac:dyDescent="0.25">
      <c r="A3877" t="str">
        <f>"20190305135907640"</f>
        <v>20190305135907640</v>
      </c>
      <c r="B3877" t="str">
        <f>"1551765547632818"</f>
        <v>1551765547632818</v>
      </c>
      <c r="C3877" t="s">
        <v>40</v>
      </c>
      <c r="D3877">
        <v>4.1253099999999998</v>
      </c>
      <c r="E3877">
        <v>0.53001799999999999</v>
      </c>
      <c r="F3877" t="s">
        <v>42</v>
      </c>
      <c r="G3877">
        <v>-278.37509999999997</v>
      </c>
      <c r="H3877" s="1">
        <v>-9.9308230000000003E-7</v>
      </c>
      <c r="I3877">
        <v>140.79509999999999</v>
      </c>
      <c r="J3877">
        <v>-257.82170000000002</v>
      </c>
      <c r="K3877">
        <v>1.1076269999999999</v>
      </c>
      <c r="L3877">
        <v>140.6694</v>
      </c>
      <c r="M3877">
        <v>-0.99994059999999996</v>
      </c>
      <c r="N3877">
        <v>-1.067657E-2</v>
      </c>
      <c r="O3877">
        <v>-2.2435250000000001E-3</v>
      </c>
      <c r="P3877">
        <v>-0.99611360000000004</v>
      </c>
      <c r="Q3877">
        <v>-4.8408369999999999E-2</v>
      </c>
      <c r="R3877">
        <v>-7.3583319999999994E-2</v>
      </c>
      <c r="S3877">
        <v>-3.0054630000000002</v>
      </c>
      <c r="T3877">
        <v>-0.15997059999999999</v>
      </c>
      <c r="U3877">
        <v>1.8127440000000002E-2</v>
      </c>
      <c r="V3877">
        <v>-7.1448650000000002E-2</v>
      </c>
      <c r="W3877">
        <v>-3.7578420000000001E-2</v>
      </c>
      <c r="X3877">
        <v>0.99673619999999996</v>
      </c>
      <c r="Y3877">
        <v>8.2589159999999998E-3</v>
      </c>
      <c r="Z3877">
        <v>3.5915710000000001E-4</v>
      </c>
      <c r="AA3877">
        <v>0.99996580000000002</v>
      </c>
      <c r="AB3877">
        <v>39</v>
      </c>
      <c r="AC3877">
        <v>-20.5533999999999</v>
      </c>
      <c r="AD3877">
        <v>-1.1076279930823001</v>
      </c>
      <c r="AE3877">
        <v>0.12569999999999401</v>
      </c>
      <c r="AF3877">
        <v>0.17131686058048501</v>
      </c>
      <c r="AG3877">
        <v>-1.1076279930823001</v>
      </c>
      <c r="AH3877">
        <v>20.493551918121899</v>
      </c>
      <c r="AI3877">
        <v>93.093583406313996</v>
      </c>
      <c r="AJ3877">
        <v>89.521044254720195</v>
      </c>
      <c r="AK3877">
        <v>20.524177436831302</v>
      </c>
      <c r="AL3877">
        <v>92.153591823761602</v>
      </c>
      <c r="AM3877">
        <v>94.100097839850406</v>
      </c>
      <c r="AN3877">
        <v>1.00000004981347</v>
      </c>
    </row>
    <row r="3878" spans="1:40" x14ac:dyDescent="0.25">
      <c r="A3878" t="str">
        <f>"20190305135907661"</f>
        <v>20190305135907661</v>
      </c>
      <c r="B3878" t="str">
        <f>"1551765547653314"</f>
        <v>1551765547653314</v>
      </c>
      <c r="C3878" t="s">
        <v>40</v>
      </c>
      <c r="D3878">
        <v>4.1263449999999997</v>
      </c>
      <c r="E3878">
        <v>0.52982589999999996</v>
      </c>
      <c r="F3878" t="s">
        <v>42</v>
      </c>
      <c r="G3878">
        <v>-277.89550000000003</v>
      </c>
      <c r="H3878" s="1">
        <v>-1.2012309999999901E-6</v>
      </c>
      <c r="I3878">
        <v>140.80410000000001</v>
      </c>
      <c r="J3878">
        <v>-258.18619999999999</v>
      </c>
      <c r="K3878">
        <v>1.1076469999999901</v>
      </c>
      <c r="L3878">
        <v>140.66929999999999</v>
      </c>
      <c r="M3878">
        <v>-0.9999422</v>
      </c>
      <c r="N3878">
        <v>-1.067427E-2</v>
      </c>
      <c r="O3878">
        <v>-1.3534790000000001E-3</v>
      </c>
      <c r="P3878">
        <v>-0.99606649999999997</v>
      </c>
      <c r="Q3878">
        <v>-4.9800879999999999E-2</v>
      </c>
      <c r="R3878">
        <v>-7.3291990000000001E-2</v>
      </c>
      <c r="S3878">
        <v>-3.0051570000000001</v>
      </c>
      <c r="T3878">
        <v>-0.16581789999999999</v>
      </c>
      <c r="U3878">
        <v>2.0187380000000001E-2</v>
      </c>
      <c r="V3878">
        <v>-7.2046009999999994E-2</v>
      </c>
      <c r="W3878">
        <v>-3.8976209999999997E-2</v>
      </c>
      <c r="X3878">
        <v>0.99663950000000001</v>
      </c>
      <c r="Y3878">
        <v>8.0549799999999998E-3</v>
      </c>
      <c r="Z3878">
        <v>3.2527329999999999E-4</v>
      </c>
      <c r="AA3878">
        <v>0.99996750000000001</v>
      </c>
      <c r="AB3878">
        <v>39</v>
      </c>
      <c r="AC3878">
        <v>-19.709299999999999</v>
      </c>
      <c r="AD3878">
        <v>-1.1076482012309901</v>
      </c>
      <c r="AE3878">
        <v>0.13480000000001199</v>
      </c>
      <c r="AF3878">
        <v>0.16096914337320301</v>
      </c>
      <c r="AG3878">
        <v>-1.1076482012309901</v>
      </c>
      <c r="AH3878">
        <v>19.647049979810099</v>
      </c>
      <c r="AI3878">
        <v>93.226659185060996</v>
      </c>
      <c r="AJ3878">
        <v>89.530583665201306</v>
      </c>
      <c r="AK3878">
        <v>19.678906689955198</v>
      </c>
      <c r="AL3878">
        <v>92.233738066887696</v>
      </c>
      <c r="AM3878">
        <v>94.134658853925004</v>
      </c>
      <c r="AN3878">
        <v>1.0000000327315599</v>
      </c>
    </row>
    <row r="3879" spans="1:40" x14ac:dyDescent="0.25">
      <c r="A3879" t="str">
        <f>"20190305135907683"</f>
        <v>20190305135907683</v>
      </c>
      <c r="B3879" t="str">
        <f>"1551765547672837"</f>
        <v>1551765547672837</v>
      </c>
      <c r="C3879" t="s">
        <v>40</v>
      </c>
      <c r="D3879">
        <v>4.124549</v>
      </c>
      <c r="E3879">
        <v>0.52972019999999997</v>
      </c>
      <c r="F3879" t="s">
        <v>42</v>
      </c>
      <c r="G3879">
        <v>-278.0403</v>
      </c>
      <c r="H3879" s="1">
        <v>-1.137095E-6</v>
      </c>
      <c r="I3879">
        <v>140.79650000000001</v>
      </c>
      <c r="J3879">
        <v>-258.57380000000001</v>
      </c>
      <c r="K3879">
        <v>1.107672</v>
      </c>
      <c r="L3879">
        <v>140.6696</v>
      </c>
      <c r="M3879">
        <v>-0.99994300000000003</v>
      </c>
      <c r="N3879">
        <v>-1.067238E-2</v>
      </c>
      <c r="O3879">
        <v>-4.250096E-4</v>
      </c>
      <c r="P3879">
        <v>-0.99609749999999997</v>
      </c>
      <c r="Q3879">
        <v>-4.9419530000000003E-2</v>
      </c>
      <c r="R3879">
        <v>-7.3126029999999995E-2</v>
      </c>
      <c r="S3879">
        <v>-3.0049130000000002</v>
      </c>
      <c r="T3879">
        <v>-0.1676433</v>
      </c>
      <c r="U3879">
        <v>1.9256590000000001E-2</v>
      </c>
      <c r="V3879">
        <v>-7.2802679999999995E-2</v>
      </c>
      <c r="W3879">
        <v>-3.8597939999999997E-2</v>
      </c>
      <c r="X3879">
        <v>0.99659920000000002</v>
      </c>
      <c r="Y3879">
        <v>6.8201929999999996E-3</v>
      </c>
      <c r="Z3879">
        <v>2.4568689999999999E-4</v>
      </c>
      <c r="AA3879">
        <v>0.99997670000000005</v>
      </c>
      <c r="AB3879">
        <v>39</v>
      </c>
      <c r="AC3879">
        <v>-19.4665</v>
      </c>
      <c r="AD3879">
        <v>-1.1076731370949999</v>
      </c>
      <c r="AE3879">
        <v>0.12690000000000601</v>
      </c>
      <c r="AF3879">
        <v>0.13473767620350299</v>
      </c>
      <c r="AG3879">
        <v>-1.1076731370949999</v>
      </c>
      <c r="AH3879">
        <v>19.4036222908301</v>
      </c>
      <c r="AI3879">
        <v>93.2671562252184</v>
      </c>
      <c r="AJ3879">
        <v>89.602147681735801</v>
      </c>
      <c r="AK3879">
        <v>19.4356798704144</v>
      </c>
      <c r="AL3879">
        <v>92.212048547664907</v>
      </c>
      <c r="AM3879">
        <v>94.178098873118202</v>
      </c>
      <c r="AN3879">
        <v>0.99999999831403297</v>
      </c>
    </row>
    <row r="3880" spans="1:40" x14ac:dyDescent="0.25">
      <c r="A3880" t="str">
        <f>"20190305135907695"</f>
        <v>20190305135907695</v>
      </c>
      <c r="B3880" t="str">
        <f>"1551765547692354"</f>
        <v>1551765547692354</v>
      </c>
      <c r="C3880" t="s">
        <v>40</v>
      </c>
      <c r="D3880">
        <v>4.16092</v>
      </c>
      <c r="E3880">
        <v>0.52956409999999998</v>
      </c>
      <c r="F3880" t="s">
        <v>42</v>
      </c>
      <c r="G3880">
        <v>-279.03440000000001</v>
      </c>
      <c r="H3880" s="1">
        <v>-7.106835E-7</v>
      </c>
      <c r="I3880">
        <v>140.79669999999999</v>
      </c>
      <c r="J3880">
        <v>-258.79919999999998</v>
      </c>
      <c r="K3880">
        <v>1.1076859999999999</v>
      </c>
      <c r="L3880">
        <v>140.66990000000001</v>
      </c>
      <c r="M3880">
        <v>-0.99994309999999997</v>
      </c>
      <c r="N3880">
        <v>-1.0671419999999999E-2</v>
      </c>
      <c r="O3880">
        <v>1.0902809999999999E-4</v>
      </c>
      <c r="P3880">
        <v>-0.99610330000000002</v>
      </c>
      <c r="Q3880">
        <v>-4.9464370000000001E-2</v>
      </c>
      <c r="R3880">
        <v>-7.3017559999999995E-2</v>
      </c>
      <c r="S3880">
        <v>-3.0050659999999998</v>
      </c>
      <c r="T3880">
        <v>-0.16268529999999901</v>
      </c>
      <c r="U3880">
        <v>1.8676760000000001E-2</v>
      </c>
      <c r="V3880">
        <v>-7.3225479999999996E-2</v>
      </c>
      <c r="W3880">
        <v>-3.8644249999999998E-2</v>
      </c>
      <c r="X3880">
        <v>0.99656639999999996</v>
      </c>
      <c r="Y3880">
        <v>6.0953539999999999E-3</v>
      </c>
      <c r="Z3880">
        <v>1.926873E-4</v>
      </c>
      <c r="AA3880">
        <v>0.99998140000000002</v>
      </c>
      <c r="AB3880">
        <v>39</v>
      </c>
      <c r="AC3880">
        <v>-20.235199999999999</v>
      </c>
      <c r="AD3880">
        <v>-1.1076867106835</v>
      </c>
      <c r="AE3880">
        <v>0.12679999999997399</v>
      </c>
      <c r="AF3880">
        <v>0.124221449404652</v>
      </c>
      <c r="AG3880">
        <v>-1.1076867106835</v>
      </c>
      <c r="AH3880">
        <v>20.174761764191501</v>
      </c>
      <c r="AI3880">
        <v>93.142585632133304</v>
      </c>
      <c r="AJ3880">
        <v>89.6472188907765</v>
      </c>
      <c r="AK3880">
        <v>20.2055292694697</v>
      </c>
      <c r="AL3880">
        <v>92.214703960604893</v>
      </c>
      <c r="AM3880">
        <v>94.202414233731702</v>
      </c>
      <c r="AN3880">
        <v>0.99999996929412505</v>
      </c>
    </row>
    <row r="3881" spans="1:40" x14ac:dyDescent="0.25">
      <c r="A3881" t="str">
        <f>"20190305135907714"</f>
        <v>20190305135907714</v>
      </c>
      <c r="B3881" t="str">
        <f>"1551765547712850"</f>
        <v>1551765547712850</v>
      </c>
      <c r="C3881" t="s">
        <v>40</v>
      </c>
      <c r="D3881">
        <v>4.107145</v>
      </c>
      <c r="E3881">
        <v>0.52945909999999996</v>
      </c>
      <c r="F3881" t="s">
        <v>42</v>
      </c>
      <c r="G3881">
        <v>-279.69299999999998</v>
      </c>
      <c r="H3881" s="1">
        <v>-4.2671079999999998E-7</v>
      </c>
      <c r="I3881">
        <v>140.79130000000001</v>
      </c>
      <c r="J3881">
        <v>-259.13869999999997</v>
      </c>
      <c r="K3881">
        <v>1.1076999999999999</v>
      </c>
      <c r="L3881">
        <v>140.67060000000001</v>
      </c>
      <c r="M3881">
        <v>-0.99994260000000001</v>
      </c>
      <c r="N3881">
        <v>-1.0670239999999999E-2</v>
      </c>
      <c r="O3881">
        <v>9.0679949999999997E-4</v>
      </c>
      <c r="P3881">
        <v>-0.99620540000000002</v>
      </c>
      <c r="Q3881">
        <v>-4.697755E-2</v>
      </c>
      <c r="R3881">
        <v>-7.3266949999999997E-2</v>
      </c>
      <c r="S3881">
        <v>-3.005096</v>
      </c>
      <c r="T3881">
        <v>-0.1593157</v>
      </c>
      <c r="U3881">
        <v>1.747131E-2</v>
      </c>
      <c r="V3881">
        <v>-7.4262129999999996E-2</v>
      </c>
      <c r="W3881">
        <v>-3.6157069999999999E-2</v>
      </c>
      <c r="X3881">
        <v>0.996583</v>
      </c>
      <c r="Y3881">
        <v>4.8995030000000004E-3</v>
      </c>
      <c r="Z3881">
        <v>1.175748E-4</v>
      </c>
      <c r="AA3881">
        <v>0.99998799999999999</v>
      </c>
      <c r="AB3881">
        <v>39</v>
      </c>
      <c r="AC3881">
        <v>-20.554300000000001</v>
      </c>
      <c r="AD3881">
        <v>-1.1077004267107999</v>
      </c>
      <c r="AE3881">
        <v>0.120699999999999</v>
      </c>
      <c r="AF3881">
        <v>0.101764715584669</v>
      </c>
      <c r="AG3881">
        <v>-1.1077004267107999</v>
      </c>
      <c r="AH3881">
        <v>20.494880080486599</v>
      </c>
      <c r="AI3881">
        <v>93.093655035589606</v>
      </c>
      <c r="AJ3881">
        <v>89.715507445480796</v>
      </c>
      <c r="AK3881">
        <v>20.525044842976602</v>
      </c>
      <c r="AL3881">
        <v>92.072099296486201</v>
      </c>
      <c r="AM3881">
        <v>94.261619241529999</v>
      </c>
      <c r="AN3881">
        <v>0.99999993677605803</v>
      </c>
    </row>
    <row r="3882" spans="1:40" x14ac:dyDescent="0.25">
      <c r="A3882" t="str">
        <f>"20190305135907732"</f>
        <v>20190305135907732</v>
      </c>
      <c r="B3882" t="str">
        <f>"1551765547722610"</f>
        <v>1551765547722610</v>
      </c>
      <c r="C3882" t="s">
        <v>40</v>
      </c>
      <c r="D3882">
        <v>4.1215169999999999</v>
      </c>
      <c r="E3882">
        <v>0.52935580000000004</v>
      </c>
      <c r="F3882" t="s">
        <v>79</v>
      </c>
      <c r="G3882">
        <v>-281.48630000000003</v>
      </c>
      <c r="H3882" s="1">
        <v>-4.6557789999999996E-6</v>
      </c>
      <c r="I3882">
        <v>140.78790000000001</v>
      </c>
      <c r="J3882">
        <v>-259.43639999999999</v>
      </c>
      <c r="K3882">
        <v>1.1077129999999999</v>
      </c>
      <c r="L3882">
        <v>140.67150000000001</v>
      </c>
      <c r="M3882">
        <v>-0.99994179999999999</v>
      </c>
      <c r="N3882">
        <v>-1.0669629999999999E-2</v>
      </c>
      <c r="O3882">
        <v>1.6027299999999999E-3</v>
      </c>
      <c r="P3882">
        <v>-0.99625770000000002</v>
      </c>
      <c r="Q3882">
        <v>-4.6333930000000002E-2</v>
      </c>
      <c r="R3882">
        <v>-7.2965790000000003E-2</v>
      </c>
      <c r="S3882">
        <v>-3.0055540000000001</v>
      </c>
      <c r="T3882">
        <v>-0.14897659999999999</v>
      </c>
      <c r="U3882">
        <v>1.5777590000000001E-2</v>
      </c>
      <c r="V3882">
        <v>-7.4652549999999998E-2</v>
      </c>
      <c r="W3882">
        <v>-3.5514120000000003E-2</v>
      </c>
      <c r="X3882">
        <v>0.99657700000000005</v>
      </c>
      <c r="Y3882">
        <v>3.6423750000000002E-3</v>
      </c>
      <c r="Z3882" s="1">
        <v>4.7360949999999999E-5</v>
      </c>
      <c r="AA3882">
        <v>0.99999340000000003</v>
      </c>
      <c r="AB3882">
        <v>39</v>
      </c>
      <c r="AC3882">
        <v>-22.049900000000001</v>
      </c>
      <c r="AD3882">
        <v>-1.1077176557790001</v>
      </c>
      <c r="AE3882">
        <v>0.11639999999999801</v>
      </c>
      <c r="AF3882">
        <v>8.0853754435571495E-2</v>
      </c>
      <c r="AG3882">
        <v>-1.1077176557790001</v>
      </c>
      <c r="AH3882">
        <v>21.994551225119402</v>
      </c>
      <c r="AI3882">
        <v>92.883147682080093</v>
      </c>
      <c r="AJ3882">
        <v>89.789377015601005</v>
      </c>
      <c r="AK3882">
        <v>22.022576128349101</v>
      </c>
      <c r="AL3882">
        <v>92.035237194460507</v>
      </c>
      <c r="AM3882">
        <v>94.283966455568304</v>
      </c>
      <c r="AN3882">
        <v>0.99999998643493804</v>
      </c>
    </row>
    <row r="3883" spans="1:40" x14ac:dyDescent="0.25">
      <c r="A3883" t="str">
        <f>"20190305135907750"</f>
        <v>20190305135907750</v>
      </c>
      <c r="B3883" t="str">
        <f>"1551765547743106"</f>
        <v>1551765547743106</v>
      </c>
      <c r="C3883" t="s">
        <v>40</v>
      </c>
      <c r="D3883">
        <v>4.1081120000000002</v>
      </c>
      <c r="E3883">
        <v>0.52921090000000004</v>
      </c>
      <c r="F3883" t="s">
        <v>79</v>
      </c>
      <c r="G3883">
        <v>-282.35640000000001</v>
      </c>
      <c r="H3883" s="1">
        <v>-5.0426349999999997E-6</v>
      </c>
      <c r="I3883">
        <v>140.791</v>
      </c>
      <c r="J3883">
        <v>-259.76819999999998</v>
      </c>
      <c r="K3883">
        <v>1.107726</v>
      </c>
      <c r="L3883">
        <v>140.67269999999999</v>
      </c>
      <c r="M3883">
        <v>-0.99994039999999995</v>
      </c>
      <c r="N3883">
        <v>-1.0669349999999999E-2</v>
      </c>
      <c r="O3883">
        <v>2.377517E-3</v>
      </c>
      <c r="P3883">
        <v>-0.99636020000000003</v>
      </c>
      <c r="Q3883">
        <v>-4.4663710000000002E-2</v>
      </c>
      <c r="R3883">
        <v>-7.2609190000000004E-2</v>
      </c>
      <c r="S3883">
        <v>-3.0056759999999998</v>
      </c>
      <c r="T3883">
        <v>-0.14526310000000001</v>
      </c>
      <c r="U3883">
        <v>1.5670779999999999E-2</v>
      </c>
      <c r="V3883">
        <v>-7.5063679999999994E-2</v>
      </c>
      <c r="W3883">
        <v>-3.3843739999999997E-2</v>
      </c>
      <c r="X3883">
        <v>0.9966043</v>
      </c>
      <c r="Y3883">
        <v>2.8336680000000001E-3</v>
      </c>
      <c r="Z3883" s="1">
        <v>-5.9181039999999901E-6</v>
      </c>
      <c r="AA3883">
        <v>0.999996</v>
      </c>
      <c r="AB3883">
        <v>39</v>
      </c>
      <c r="AC3883">
        <v>-22.588200000000001</v>
      </c>
      <c r="AD3883">
        <v>-1.107731042635</v>
      </c>
      <c r="AE3883">
        <v>0.118300000000004</v>
      </c>
      <c r="AF3883">
        <v>6.4437821724163805E-2</v>
      </c>
      <c r="AG3883">
        <v>-1.107731042635</v>
      </c>
      <c r="AH3883">
        <v>22.534225310088299</v>
      </c>
      <c r="AI3883">
        <v>92.814252742742497</v>
      </c>
      <c r="AJ3883">
        <v>89.836160102608503</v>
      </c>
      <c r="AK3883">
        <v>22.5615276659518</v>
      </c>
      <c r="AL3883">
        <v>91.939473747297498</v>
      </c>
      <c r="AM3883">
        <v>94.307353209415396</v>
      </c>
      <c r="AN3883">
        <v>1.0000000427853999</v>
      </c>
    </row>
    <row r="3884" spans="1:40" x14ac:dyDescent="0.25">
      <c r="A3884" t="str">
        <f>"20190305135907773"</f>
        <v>20190305135907773</v>
      </c>
      <c r="B3884" t="str">
        <f>"1551765547762626"</f>
        <v>1551765547762626</v>
      </c>
      <c r="C3884" t="s">
        <v>40</v>
      </c>
      <c r="D3884">
        <v>4.0858930000000004</v>
      </c>
      <c r="E3884">
        <v>0.52903849999999997</v>
      </c>
      <c r="F3884" t="s">
        <v>79</v>
      </c>
      <c r="G3884">
        <v>-283.95780000000002</v>
      </c>
      <c r="H3884" s="1">
        <v>-5.7544229999999999E-6</v>
      </c>
      <c r="I3884">
        <v>140.7961</v>
      </c>
      <c r="J3884">
        <v>-260.17149999999998</v>
      </c>
      <c r="K3884">
        <v>1.1077399999999999</v>
      </c>
      <c r="L3884">
        <v>140.67439999999999</v>
      </c>
      <c r="M3884">
        <v>-0.99993770000000004</v>
      </c>
      <c r="N3884">
        <v>-1.066956E-2</v>
      </c>
      <c r="O3884">
        <v>3.3190089999999999E-3</v>
      </c>
      <c r="P3884">
        <v>-0.99643800000000005</v>
      </c>
      <c r="Q3884">
        <v>-4.4033450000000002E-2</v>
      </c>
      <c r="R3884">
        <v>-7.1922559999999996E-2</v>
      </c>
      <c r="S3884">
        <v>-3.005951</v>
      </c>
      <c r="T3884">
        <v>-0.13765379999999899</v>
      </c>
      <c r="U3884">
        <v>1.5335079999999999E-2</v>
      </c>
      <c r="V3884">
        <v>-7.5312859999999995E-2</v>
      </c>
      <c r="W3884">
        <v>-3.3213640000000003E-2</v>
      </c>
      <c r="X3884">
        <v>0.99660660000000001</v>
      </c>
      <c r="Y3884">
        <v>1.78207E-3</v>
      </c>
      <c r="Z3884" s="1">
        <v>-6.6214139999999996E-5</v>
      </c>
      <c r="AA3884">
        <v>0.99999839999999995</v>
      </c>
      <c r="AB3884">
        <v>40</v>
      </c>
      <c r="AC3884">
        <v>-23.786300000000001</v>
      </c>
      <c r="AD3884">
        <v>-1.1077457544230001</v>
      </c>
      <c r="AE3884">
        <v>0.121700000000004</v>
      </c>
      <c r="AF3884">
        <v>4.2655391979751697E-2</v>
      </c>
      <c r="AG3884">
        <v>-1.1077457544230001</v>
      </c>
      <c r="AH3884">
        <v>23.735096770089001</v>
      </c>
      <c r="AI3884">
        <v>92.672120197985905</v>
      </c>
      <c r="AJ3884">
        <v>89.897031331851196</v>
      </c>
      <c r="AK3884">
        <v>23.760970915019399</v>
      </c>
      <c r="AL3884">
        <v>91.903351556122601</v>
      </c>
      <c r="AM3884">
        <v>94.321587803457703</v>
      </c>
      <c r="AN3884">
        <v>0.99999994396349301</v>
      </c>
    </row>
    <row r="3885" spans="1:40" x14ac:dyDescent="0.25">
      <c r="A3885" t="str">
        <f>"20190305135907793"</f>
        <v>20190305135907793</v>
      </c>
      <c r="B3885" t="str">
        <f>"1551765547783138"</f>
        <v>1551765547783138</v>
      </c>
      <c r="C3885" t="s">
        <v>40</v>
      </c>
      <c r="D3885">
        <v>4.0895149999999996</v>
      </c>
      <c r="E3885">
        <v>0.52884730000000002</v>
      </c>
      <c r="F3885" t="s">
        <v>79</v>
      </c>
      <c r="G3885">
        <v>-285.04579999999999</v>
      </c>
      <c r="H3885" s="1">
        <v>-6.2560230000000003E-6</v>
      </c>
      <c r="I3885">
        <v>140.8064</v>
      </c>
      <c r="J3885">
        <v>-260.53660000000002</v>
      </c>
      <c r="K3885">
        <v>1.1077459999999999</v>
      </c>
      <c r="L3885">
        <v>140.6764</v>
      </c>
      <c r="M3885">
        <v>-0.9999344</v>
      </c>
      <c r="N3885">
        <v>-1.0669970000000001E-2</v>
      </c>
      <c r="O3885">
        <v>4.1728920000000001E-3</v>
      </c>
      <c r="P3885">
        <v>-0.99644779999999999</v>
      </c>
      <c r="Q3885">
        <v>-4.4018450000000001E-2</v>
      </c>
      <c r="R3885">
        <v>-7.1792770000000006E-2</v>
      </c>
      <c r="S3885">
        <v>-3.005951</v>
      </c>
      <c r="T3885">
        <v>-0.13386609999999999</v>
      </c>
      <c r="U3885">
        <v>1.594543E-2</v>
      </c>
      <c r="V3885">
        <v>-7.6033310000000007E-2</v>
      </c>
      <c r="W3885">
        <v>-3.3197879999999999E-2</v>
      </c>
      <c r="X3885">
        <v>0.99655249999999995</v>
      </c>
      <c r="Y3885">
        <v>1.13243E-3</v>
      </c>
      <c r="Z3885">
        <v>-1.0998260000000001E-4</v>
      </c>
      <c r="AA3885">
        <v>0.99999930000000004</v>
      </c>
      <c r="AB3885">
        <v>40</v>
      </c>
      <c r="AC3885">
        <v>-24.5091999999999</v>
      </c>
      <c r="AD3885">
        <v>-1.107752256023</v>
      </c>
      <c r="AE3885">
        <v>0.12999999999999501</v>
      </c>
      <c r="AF3885">
        <v>2.76622972954037E-2</v>
      </c>
      <c r="AG3885">
        <v>-1.107752256023</v>
      </c>
      <c r="AH3885">
        <v>24.459564365426999</v>
      </c>
      <c r="AI3885">
        <v>92.593102095736697</v>
      </c>
      <c r="AJ3885">
        <v>89.9352019444311</v>
      </c>
      <c r="AK3885">
        <v>24.484651706934301</v>
      </c>
      <c r="AL3885">
        <v>91.902447923342294</v>
      </c>
      <c r="AM3885">
        <v>94.363005593019096</v>
      </c>
      <c r="AN3885">
        <v>1.00000002436115</v>
      </c>
    </row>
    <row r="3886" spans="1:40" x14ac:dyDescent="0.25">
      <c r="A3886" t="str">
        <f>"20190305135907806"</f>
        <v>20190305135907806</v>
      </c>
      <c r="B3886" t="str">
        <f>"1551765547802643"</f>
        <v>1551765547802643</v>
      </c>
      <c r="C3886" t="s">
        <v>40</v>
      </c>
      <c r="D3886">
        <v>4.0735970000000004</v>
      </c>
      <c r="E3886">
        <v>0.52872439999999998</v>
      </c>
      <c r="F3886" t="s">
        <v>79</v>
      </c>
      <c r="G3886">
        <v>-285.72739999999999</v>
      </c>
      <c r="H3886" s="1">
        <v>-6.678151E-6</v>
      </c>
      <c r="I3886">
        <v>140.7998</v>
      </c>
      <c r="J3886">
        <v>-260.76179999999999</v>
      </c>
      <c r="K3886">
        <v>1.107742</v>
      </c>
      <c r="L3886">
        <v>140.67769999999999</v>
      </c>
      <c r="M3886">
        <v>-0.99993200000000004</v>
      </c>
      <c r="N3886">
        <v>-1.067032E-2</v>
      </c>
      <c r="O3886">
        <v>4.7000540000000004E-3</v>
      </c>
      <c r="P3886">
        <v>-0.99643179999999998</v>
      </c>
      <c r="Q3886">
        <v>-4.4627559999999997E-2</v>
      </c>
      <c r="R3886">
        <v>-7.1638419999999994E-2</v>
      </c>
      <c r="S3886">
        <v>-3.0059200000000001</v>
      </c>
      <c r="T3886">
        <v>-0.13218429999999901</v>
      </c>
      <c r="U3886">
        <v>1.472473E-2</v>
      </c>
      <c r="V3886">
        <v>-7.6405730000000005E-2</v>
      </c>
      <c r="W3886">
        <v>-3.3806759999999998E-2</v>
      </c>
      <c r="X3886">
        <v>0.99650349999999999</v>
      </c>
      <c r="Y3886">
        <v>2.0056220000000001E-4</v>
      </c>
      <c r="Z3886">
        <v>-1.509684E-4</v>
      </c>
      <c r="AA3886">
        <v>0.99999990000000005</v>
      </c>
      <c r="AB3886">
        <v>40</v>
      </c>
      <c r="AC3886">
        <v>-24.965599999999899</v>
      </c>
      <c r="AD3886">
        <v>-1.107748678151</v>
      </c>
      <c r="AE3886">
        <v>0.122100000000017</v>
      </c>
      <c r="AF3886">
        <v>4.7429620674139502E-3</v>
      </c>
      <c r="AG3886">
        <v>-1.107748678151</v>
      </c>
      <c r="AH3886">
        <v>24.9168433712676</v>
      </c>
      <c r="AI3886">
        <v>92.545569507995296</v>
      </c>
      <c r="AJ3886">
        <v>89.989093654379801</v>
      </c>
      <c r="AK3886">
        <v>24.941455715693799</v>
      </c>
      <c r="AL3886">
        <v>91.937353859826601</v>
      </c>
      <c r="AM3886">
        <v>94.384507723682702</v>
      </c>
      <c r="AN3886">
        <v>0.99999997905538995</v>
      </c>
    </row>
    <row r="3887" spans="1:40" x14ac:dyDescent="0.25">
      <c r="A3887" t="str">
        <f>"20190305135907828"</f>
        <v>20190305135907828</v>
      </c>
      <c r="B3887" t="str">
        <f>"1551765547823138"</f>
        <v>1551765547823138</v>
      </c>
      <c r="C3887" t="s">
        <v>40</v>
      </c>
      <c r="D3887">
        <v>4.1166910000000003</v>
      </c>
      <c r="E3887">
        <v>0.52871709999999905</v>
      </c>
      <c r="F3887" t="s">
        <v>79</v>
      </c>
      <c r="G3887">
        <v>-285.92989999999998</v>
      </c>
      <c r="H3887" s="1">
        <v>-6.8028579999999998E-6</v>
      </c>
      <c r="I3887">
        <v>140.7955</v>
      </c>
      <c r="J3887">
        <v>-261.12849999999997</v>
      </c>
      <c r="K3887">
        <v>1.1077330000000001</v>
      </c>
      <c r="L3887">
        <v>140.68020000000001</v>
      </c>
      <c r="M3887">
        <v>-0.99992780000000003</v>
      </c>
      <c r="N3887">
        <v>-1.067105E-2</v>
      </c>
      <c r="O3887">
        <v>5.5588959999999998E-3</v>
      </c>
      <c r="P3887">
        <v>-0.99633090000000002</v>
      </c>
      <c r="Q3887">
        <v>-4.6664169999999998E-2</v>
      </c>
      <c r="R3887">
        <v>-7.1747729999999996E-2</v>
      </c>
      <c r="S3887">
        <v>-3.0058289999999999</v>
      </c>
      <c r="T3887">
        <v>-0.13229869999999999</v>
      </c>
      <c r="U3887">
        <v>1.4068600000000001E-2</v>
      </c>
      <c r="V3887">
        <v>-7.7374289999999998E-2</v>
      </c>
      <c r="W3887">
        <v>-3.5842579999999999E-2</v>
      </c>
      <c r="X3887">
        <v>0.99635759999999995</v>
      </c>
      <c r="Y3887">
        <v>-8.7469350000000002E-4</v>
      </c>
      <c r="Z3887">
        <v>-2.091587E-4</v>
      </c>
      <c r="AA3887">
        <v>0.99999959999999999</v>
      </c>
      <c r="AB3887">
        <v>40</v>
      </c>
      <c r="AC3887">
        <v>-24.801400000000001</v>
      </c>
      <c r="AD3887">
        <v>-1.1077398028580001</v>
      </c>
      <c r="AE3887">
        <v>0.11529999999998999</v>
      </c>
      <c r="AF3887">
        <v>-2.2533058744792601E-2</v>
      </c>
      <c r="AG3887">
        <v>-1.1077398028580001</v>
      </c>
      <c r="AH3887">
        <v>24.752280248714499</v>
      </c>
      <c r="AI3887">
        <v>92.562449477415001</v>
      </c>
      <c r="AJ3887">
        <v>90.052158782786194</v>
      </c>
      <c r="AK3887">
        <v>24.777065458211101</v>
      </c>
      <c r="AL3887">
        <v>92.054068591443098</v>
      </c>
      <c r="AM3887">
        <v>94.440514790898703</v>
      </c>
      <c r="AN3887">
        <v>0.99999996918590905</v>
      </c>
    </row>
    <row r="3888" spans="1:40" x14ac:dyDescent="0.25">
      <c r="A3888" t="str">
        <f>"20190305135907841"</f>
        <v>20190305135907841</v>
      </c>
      <c r="B3888" t="str">
        <f>"1551765547832898"</f>
        <v>1551765547832898</v>
      </c>
      <c r="C3888" t="s">
        <v>40</v>
      </c>
      <c r="D3888">
        <v>4.0994929999999998</v>
      </c>
      <c r="E3888">
        <v>0.52870289999999998</v>
      </c>
      <c r="F3888" t="s">
        <v>79</v>
      </c>
      <c r="G3888">
        <v>-285.35890000000001</v>
      </c>
      <c r="H3888" s="1">
        <v>-6.4455530000000004E-6</v>
      </c>
      <c r="I3888">
        <v>140.78980000000001</v>
      </c>
      <c r="J3888">
        <v>-261.37630000000001</v>
      </c>
      <c r="K3888">
        <v>1.107731</v>
      </c>
      <c r="L3888">
        <v>140.68199999999999</v>
      </c>
      <c r="M3888">
        <v>-0.99992440000000005</v>
      </c>
      <c r="N3888">
        <v>-1.067162E-2</v>
      </c>
      <c r="O3888">
        <v>6.1396469999999998E-3</v>
      </c>
      <c r="P3888">
        <v>-0.99630490000000005</v>
      </c>
      <c r="Q3888">
        <v>-4.7229460000000001E-2</v>
      </c>
      <c r="R3888">
        <v>-7.1738330000000003E-2</v>
      </c>
      <c r="S3888">
        <v>-3.0055540000000001</v>
      </c>
      <c r="T3888">
        <v>-0.13740469999999999</v>
      </c>
      <c r="U3888">
        <v>1.3595579999999999E-2</v>
      </c>
      <c r="V3888">
        <v>-7.7944239999999998E-2</v>
      </c>
      <c r="W3888">
        <v>-3.640695E-2</v>
      </c>
      <c r="X3888">
        <v>0.99629279999999998</v>
      </c>
      <c r="Y3888">
        <v>-1.6107350000000001E-3</v>
      </c>
      <c r="Z3888">
        <v>-2.6043959999999999E-4</v>
      </c>
      <c r="AA3888">
        <v>0.99999870000000002</v>
      </c>
      <c r="AB3888">
        <v>40</v>
      </c>
      <c r="AC3888">
        <v>-23.982599999999898</v>
      </c>
      <c r="AD3888">
        <v>-1.107737445553</v>
      </c>
      <c r="AE3888">
        <v>0.107799999999997</v>
      </c>
      <c r="AF3888">
        <v>-3.9371092638062703E-2</v>
      </c>
      <c r="AG3888">
        <v>-1.107737445553</v>
      </c>
      <c r="AH3888">
        <v>23.931753807722099</v>
      </c>
      <c r="AI3888">
        <v>92.650174567740805</v>
      </c>
      <c r="AJ3888">
        <v>90.094259510857896</v>
      </c>
      <c r="AK3888">
        <v>23.957409556223698</v>
      </c>
      <c r="AL3888">
        <v>92.086425548677795</v>
      </c>
      <c r="AM3888">
        <v>94.473381742768694</v>
      </c>
      <c r="AN3888">
        <v>1.0000000569446501</v>
      </c>
    </row>
    <row r="3889" spans="1:40" x14ac:dyDescent="0.25">
      <c r="A3889" t="str">
        <f>"20190305135907862"</f>
        <v>20190305135907862</v>
      </c>
      <c r="B3889" t="str">
        <f>"1551765547852418"</f>
        <v>1551765547852418</v>
      </c>
      <c r="C3889" t="s">
        <v>40</v>
      </c>
      <c r="D3889">
        <v>4.0732660000000003</v>
      </c>
      <c r="E3889">
        <v>0.52868870000000001</v>
      </c>
      <c r="F3889" t="s">
        <v>79</v>
      </c>
      <c r="G3889">
        <v>-285.36529999999999</v>
      </c>
      <c r="H3889" s="1">
        <v>-6.4492780000000001E-6</v>
      </c>
      <c r="I3889">
        <v>140.78909999999999</v>
      </c>
      <c r="J3889">
        <v>-261.75069999999999</v>
      </c>
      <c r="K3889">
        <v>1.107728</v>
      </c>
      <c r="L3889">
        <v>140.685</v>
      </c>
      <c r="M3889">
        <v>-0.99991850000000004</v>
      </c>
      <c r="N3889">
        <v>-1.0672539999999999E-2</v>
      </c>
      <c r="O3889">
        <v>7.0168599999999998E-3</v>
      </c>
      <c r="P3889">
        <v>-0.99631800000000004</v>
      </c>
      <c r="Q3889">
        <v>-4.6397069999999999E-2</v>
      </c>
      <c r="R3889">
        <v>-7.2094829999999999E-2</v>
      </c>
      <c r="S3889">
        <v>-3.0055239999999999</v>
      </c>
      <c r="T3889">
        <v>-0.1387862</v>
      </c>
      <c r="U3889">
        <v>1.3412479999999999E-2</v>
      </c>
      <c r="V3889">
        <v>-7.9172709999999993E-2</v>
      </c>
      <c r="W3889">
        <v>-3.557167E-2</v>
      </c>
      <c r="X3889">
        <v>0.9962261</v>
      </c>
      <c r="Y3889">
        <v>-2.5469730000000001E-3</v>
      </c>
      <c r="Z3889">
        <v>-3.213558E-4</v>
      </c>
      <c r="AA3889">
        <v>0.99999669999999896</v>
      </c>
      <c r="AB3889">
        <v>40</v>
      </c>
      <c r="AC3889">
        <v>-23.614599999999999</v>
      </c>
      <c r="AD3889">
        <v>-1.1077344492779999</v>
      </c>
      <c r="AE3889">
        <v>0.10409999999998799</v>
      </c>
      <c r="AF3889">
        <v>-6.1477056689157802E-2</v>
      </c>
      <c r="AG3889">
        <v>-1.1077344492779999</v>
      </c>
      <c r="AH3889">
        <v>23.562901260122501</v>
      </c>
      <c r="AI3889">
        <v>92.691586955887203</v>
      </c>
      <c r="AJ3889">
        <v>90.149487868824593</v>
      </c>
      <c r="AK3889">
        <v>23.5890052955375</v>
      </c>
      <c r="AL3889">
        <v>92.038536517622504</v>
      </c>
      <c r="AM3889">
        <v>94.543896182307805</v>
      </c>
      <c r="AN3889">
        <v>1.0000000520182699</v>
      </c>
    </row>
    <row r="3890" spans="1:40" x14ac:dyDescent="0.25">
      <c r="A3890" t="str">
        <f>"20190305135907883"</f>
        <v>20190305135907883</v>
      </c>
      <c r="B3890" t="str">
        <f>"1551765547872917"</f>
        <v>1551765547872917</v>
      </c>
      <c r="C3890" t="s">
        <v>40</v>
      </c>
      <c r="D3890">
        <v>4.0597969999999997</v>
      </c>
      <c r="E3890">
        <v>0.52864809999999995</v>
      </c>
      <c r="F3890" t="s">
        <v>79</v>
      </c>
      <c r="G3890">
        <v>-286.24639999999999</v>
      </c>
      <c r="H3890" s="1">
        <v>-6.9966250000000001E-6</v>
      </c>
      <c r="I3890">
        <v>140.78530000000001</v>
      </c>
      <c r="J3890">
        <v>-262.12490000000003</v>
      </c>
      <c r="K3890">
        <v>1.1077239999999999</v>
      </c>
      <c r="L3890">
        <v>140.6884</v>
      </c>
      <c r="M3890">
        <v>-0.99991200000000002</v>
      </c>
      <c r="N3890">
        <v>-1.067359E-2</v>
      </c>
      <c r="O3890">
        <v>7.8930690000000008E-3</v>
      </c>
      <c r="P3890">
        <v>-0.99626269999999995</v>
      </c>
      <c r="Q3890">
        <v>-4.6954379999999997E-2</v>
      </c>
      <c r="R3890">
        <v>-7.2498809999999997E-2</v>
      </c>
      <c r="S3890">
        <v>-3.0056759999999998</v>
      </c>
      <c r="T3890">
        <v>-0.13592109999999999</v>
      </c>
      <c r="U3890">
        <v>1.229858E-2</v>
      </c>
      <c r="V3890">
        <v>-8.0450320000000006E-2</v>
      </c>
      <c r="W3890">
        <v>-3.6126329999999998E-2</v>
      </c>
      <c r="X3890">
        <v>0.99610370000000004</v>
      </c>
      <c r="Y3890">
        <v>-3.7923280000000002E-3</v>
      </c>
      <c r="Z3890">
        <v>-3.7848619999999999E-4</v>
      </c>
      <c r="AA3890">
        <v>0.99999269999999996</v>
      </c>
      <c r="AB3890">
        <v>40</v>
      </c>
      <c r="AC3890">
        <v>-24.121499999999902</v>
      </c>
      <c r="AD3890">
        <v>-1.107730996625</v>
      </c>
      <c r="AE3890">
        <v>9.6900000000005093E-2</v>
      </c>
      <c r="AF3890">
        <v>-9.3309727168186404E-2</v>
      </c>
      <c r="AG3890">
        <v>-1.107730996625</v>
      </c>
      <c r="AH3890">
        <v>24.070750937572299</v>
      </c>
      <c r="AI3890">
        <v>92.634861174293604</v>
      </c>
      <c r="AJ3890">
        <v>90.222104694150801</v>
      </c>
      <c r="AK3890">
        <v>24.096406897392502</v>
      </c>
      <c r="AL3890">
        <v>92.070336796757303</v>
      </c>
      <c r="AM3890">
        <v>94.617471405161496</v>
      </c>
      <c r="AN3890">
        <v>0.99999997343053004</v>
      </c>
    </row>
    <row r="3891" spans="1:40" x14ac:dyDescent="0.25">
      <c r="A3891" t="str">
        <f>"20190305135907898"</f>
        <v>20190305135907898</v>
      </c>
      <c r="B3891" t="str">
        <f>"1551765547892434"</f>
        <v>1551765547892434</v>
      </c>
      <c r="C3891" t="s">
        <v>40</v>
      </c>
      <c r="D3891">
        <v>4.0664309999999997</v>
      </c>
      <c r="E3891">
        <v>0.5286151</v>
      </c>
      <c r="F3891" t="s">
        <v>79</v>
      </c>
      <c r="G3891">
        <v>-286.50549999999998</v>
      </c>
      <c r="H3891" s="1">
        <v>-7.1546019999999997E-6</v>
      </c>
      <c r="I3891">
        <v>140.77500000000001</v>
      </c>
      <c r="J3891">
        <v>-262.38490000000002</v>
      </c>
      <c r="K3891">
        <v>1.107721</v>
      </c>
      <c r="L3891">
        <v>140.6909</v>
      </c>
      <c r="M3891">
        <v>-0.99990690000000004</v>
      </c>
      <c r="N3891">
        <v>-1.0674339999999999E-2</v>
      </c>
      <c r="O3891">
        <v>8.5019659999999997E-3</v>
      </c>
      <c r="P3891">
        <v>-0.99624809999999997</v>
      </c>
      <c r="Q3891">
        <v>-4.7356370000000002E-2</v>
      </c>
      <c r="R3891">
        <v>-7.2436219999999996E-2</v>
      </c>
      <c r="S3891">
        <v>-3.005585</v>
      </c>
      <c r="T3891">
        <v>-0.13655829999999999</v>
      </c>
      <c r="U3891">
        <v>1.068115E-2</v>
      </c>
      <c r="V3891">
        <v>-8.0994399999999994E-2</v>
      </c>
      <c r="W3891">
        <v>-3.6526959999999997E-2</v>
      </c>
      <c r="X3891">
        <v>0.99604499999999996</v>
      </c>
      <c r="Y3891">
        <v>-4.9373560000000004E-3</v>
      </c>
      <c r="Z3891">
        <v>-4.3383469999999999E-4</v>
      </c>
      <c r="AA3891">
        <v>0.99998770000000003</v>
      </c>
      <c r="AB3891">
        <v>40</v>
      </c>
      <c r="AC3891">
        <v>-24.1205999999999</v>
      </c>
      <c r="AD3891">
        <v>-1.1077281546019999</v>
      </c>
      <c r="AE3891">
        <v>8.4100000000006503E-2</v>
      </c>
      <c r="AF3891">
        <v>-0.120732611753923</v>
      </c>
      <c r="AG3891">
        <v>-1.1077281546019999</v>
      </c>
      <c r="AH3891">
        <v>24.069679255663999</v>
      </c>
      <c r="AI3891">
        <v>92.634958242350393</v>
      </c>
      <c r="AJ3891">
        <v>90.287391078886301</v>
      </c>
      <c r="AK3891">
        <v>24.095458026328998</v>
      </c>
      <c r="AL3891">
        <v>92.093306359159897</v>
      </c>
      <c r="AM3891">
        <v>94.648835400246099</v>
      </c>
      <c r="AN3891">
        <v>0.99999997683160002</v>
      </c>
    </row>
    <row r="3892" spans="1:40" x14ac:dyDescent="0.25">
      <c r="A3892" t="str">
        <f>"20190305135907916"</f>
        <v>20190305135907916</v>
      </c>
      <c r="B3892" t="str">
        <f>"1551765547912931"</f>
        <v>1551765547912931</v>
      </c>
      <c r="C3892" t="s">
        <v>40</v>
      </c>
      <c r="D3892">
        <v>4.0461600000000004</v>
      </c>
      <c r="E3892">
        <v>0.52858760000000005</v>
      </c>
      <c r="F3892" t="s">
        <v>79</v>
      </c>
      <c r="G3892">
        <v>-286.68639999999999</v>
      </c>
      <c r="H3892" s="1">
        <v>-7.267506E-6</v>
      </c>
      <c r="I3892">
        <v>140.77600000000001</v>
      </c>
      <c r="J3892">
        <v>-262.70479999999998</v>
      </c>
      <c r="K3892">
        <v>1.1077129999999999</v>
      </c>
      <c r="L3892">
        <v>140.6943</v>
      </c>
      <c r="M3892">
        <v>-0.99990029999999996</v>
      </c>
      <c r="N3892">
        <v>-1.0675530000000001E-2</v>
      </c>
      <c r="O3892">
        <v>9.2506919999999996E-3</v>
      </c>
      <c r="P3892">
        <v>-0.99614800000000003</v>
      </c>
      <c r="Q3892">
        <v>-4.8786009999999998E-2</v>
      </c>
      <c r="R3892">
        <v>-7.2863559999999994E-2</v>
      </c>
      <c r="S3892">
        <v>-3.0055540000000001</v>
      </c>
      <c r="T3892">
        <v>-0.1370014</v>
      </c>
      <c r="U3892">
        <v>1.0528559999999999E-2</v>
      </c>
      <c r="V3892">
        <v>-8.2169740000000005E-2</v>
      </c>
      <c r="W3892">
        <v>-3.795424E-2</v>
      </c>
      <c r="X3892">
        <v>0.99589539999999999</v>
      </c>
      <c r="Y3892">
        <v>-5.735314E-3</v>
      </c>
      <c r="Z3892">
        <v>-4.8400659999999997E-4</v>
      </c>
      <c r="AA3892">
        <v>0.99998339999999997</v>
      </c>
      <c r="AB3892">
        <v>40</v>
      </c>
      <c r="AC3892">
        <v>-23.9816</v>
      </c>
      <c r="AD3892">
        <v>-1.1077202675060001</v>
      </c>
      <c r="AE3892">
        <v>8.1700000000012096E-2</v>
      </c>
      <c r="AF3892">
        <v>-0.139864112916359</v>
      </c>
      <c r="AG3892">
        <v>-1.1077202675060001</v>
      </c>
      <c r="AH3892">
        <v>23.930273601111502</v>
      </c>
      <c r="AI3892">
        <v>92.650255599450702</v>
      </c>
      <c r="AJ3892">
        <v>90.334870058845198</v>
      </c>
      <c r="AK3892">
        <v>23.956306075544699</v>
      </c>
      <c r="AL3892">
        <v>92.175140162045494</v>
      </c>
      <c r="AM3892">
        <v>94.716699492309999</v>
      </c>
      <c r="AN3892">
        <v>1.0000000191234</v>
      </c>
    </row>
    <row r="3893" spans="1:40" x14ac:dyDescent="0.25">
      <c r="A3893" t="str">
        <f>"20190305135907932"</f>
        <v>20190305135907932</v>
      </c>
      <c r="B3893" t="str">
        <f>"1551765547923666"</f>
        <v>1551765547923666</v>
      </c>
      <c r="C3893" t="s">
        <v>40</v>
      </c>
      <c r="D3893">
        <v>4.0489739999999896</v>
      </c>
      <c r="E3893">
        <v>0.52859060000000002</v>
      </c>
      <c r="F3893" t="s">
        <v>79</v>
      </c>
      <c r="G3893">
        <v>-286.38869999999997</v>
      </c>
      <c r="H3893" s="1">
        <v>-7.0785949999999999E-6</v>
      </c>
      <c r="I3893">
        <v>140.76480000000001</v>
      </c>
      <c r="J3893">
        <v>-262.98079999999999</v>
      </c>
      <c r="K3893">
        <v>1.1077140000000001</v>
      </c>
      <c r="L3893">
        <v>140.69730000000001</v>
      </c>
      <c r="M3893">
        <v>-0.99989410000000001</v>
      </c>
      <c r="N3893">
        <v>-1.067366E-2</v>
      </c>
      <c r="O3893">
        <v>9.8933900000000002E-3</v>
      </c>
      <c r="P3893">
        <v>-0.99612429999999996</v>
      </c>
      <c r="Q3893">
        <v>-4.9233560000000003E-2</v>
      </c>
      <c r="R3893">
        <v>-7.2888140000000004E-2</v>
      </c>
      <c r="S3893">
        <v>-3.005341</v>
      </c>
      <c r="T3893">
        <v>-0.14056270000000001</v>
      </c>
      <c r="U3893">
        <v>8.9569090000000007E-3</v>
      </c>
      <c r="V3893">
        <v>-8.2834569999999996E-2</v>
      </c>
      <c r="W3893">
        <v>-3.8403029999999998E-2</v>
      </c>
      <c r="X3893">
        <v>0.99582309999999996</v>
      </c>
      <c r="Y3893">
        <v>-6.8980339999999999E-3</v>
      </c>
      <c r="Z3893">
        <v>-5.549684E-4</v>
      </c>
      <c r="AA3893">
        <v>0.99997599999999998</v>
      </c>
      <c r="AB3893">
        <v>40</v>
      </c>
      <c r="AC3893">
        <v>-23.407899999999898</v>
      </c>
      <c r="AD3893">
        <v>-1.10772107859499</v>
      </c>
      <c r="AE3893">
        <v>6.7499999999995397E-2</v>
      </c>
      <c r="AF3893">
        <v>-0.163733313650817</v>
      </c>
      <c r="AG3893">
        <v>-1.10772107859499</v>
      </c>
      <c r="AH3893">
        <v>23.3551205754381</v>
      </c>
      <c r="AI3893">
        <v>92.715407060474206</v>
      </c>
      <c r="AJ3893">
        <v>90.401670979225301</v>
      </c>
      <c r="AK3893">
        <v>23.3819484149464</v>
      </c>
      <c r="AL3893">
        <v>92.200872731862802</v>
      </c>
      <c r="AM3893">
        <v>94.755031356874298</v>
      </c>
      <c r="AN3893">
        <v>1.00000000259693</v>
      </c>
    </row>
    <row r="3894" spans="1:40" x14ac:dyDescent="0.25">
      <c r="A3894" t="str">
        <f>"20190305135907951"</f>
        <v>20190305135907951</v>
      </c>
      <c r="B3894" t="str">
        <f>"1551765547943186"</f>
        <v>1551765547943186</v>
      </c>
      <c r="C3894" t="s">
        <v>40</v>
      </c>
      <c r="D3894">
        <v>4.0469179999999998</v>
      </c>
      <c r="E3894">
        <v>0.5344177</v>
      </c>
      <c r="F3894" t="s">
        <v>79</v>
      </c>
      <c r="G3894">
        <v>-286.4178</v>
      </c>
      <c r="H3894" s="1">
        <v>-7.097598E-6</v>
      </c>
      <c r="I3894">
        <v>140.76769999999999</v>
      </c>
      <c r="J3894">
        <v>-263.34739999999999</v>
      </c>
      <c r="K3894">
        <v>1.1077330000000001</v>
      </c>
      <c r="L3894">
        <v>140.70169999999999</v>
      </c>
      <c r="M3894">
        <v>-0.99988549999999998</v>
      </c>
      <c r="N3894">
        <v>-1.0668779999999999E-2</v>
      </c>
      <c r="O3894">
        <v>1.074015E-2</v>
      </c>
      <c r="P3894">
        <v>-0.9961489</v>
      </c>
      <c r="Q3894">
        <v>-4.8887729999999997E-2</v>
      </c>
      <c r="R3894">
        <v>-7.2785359999999993E-2</v>
      </c>
      <c r="S3894">
        <v>-3.0053100000000001</v>
      </c>
      <c r="T3894">
        <v>-0.14204240000000001</v>
      </c>
      <c r="U3894">
        <v>9.017944E-3</v>
      </c>
      <c r="V3894">
        <v>-8.3574029999999994E-2</v>
      </c>
      <c r="W3894">
        <v>-3.806147E-2</v>
      </c>
      <c r="X3894">
        <v>0.99577439999999995</v>
      </c>
      <c r="Y3894">
        <v>-7.7224769999999898E-3</v>
      </c>
      <c r="Z3894">
        <v>-6.1640570000000001E-4</v>
      </c>
      <c r="AA3894">
        <v>0.99997000000000003</v>
      </c>
      <c r="AB3894">
        <v>40</v>
      </c>
      <c r="AC3894">
        <v>-23.070399999999999</v>
      </c>
      <c r="AD3894">
        <v>-1.1077400975980001</v>
      </c>
      <c r="AE3894">
        <v>6.6000000000002501E-2</v>
      </c>
      <c r="AF3894">
        <v>-0.18137927636411899</v>
      </c>
      <c r="AG3894">
        <v>-1.1077400975980001</v>
      </c>
      <c r="AH3894">
        <v>23.016713461074701</v>
      </c>
      <c r="AI3894">
        <v>92.755299134883003</v>
      </c>
      <c r="AJ3894">
        <v>90.451500251497507</v>
      </c>
      <c r="AK3894">
        <v>23.044068328204101</v>
      </c>
      <c r="AL3894">
        <v>92.181288527495298</v>
      </c>
      <c r="AM3894">
        <v>94.797515566494397</v>
      </c>
      <c r="AN3894">
        <v>0.99999997484217995</v>
      </c>
    </row>
    <row r="3895" spans="1:40" x14ac:dyDescent="0.25">
      <c r="A3895" t="str">
        <f>"20190305135907974"</f>
        <v>20190305135907974</v>
      </c>
      <c r="B3895" t="str">
        <f>"1551765547962706"</f>
        <v>1551765547962706</v>
      </c>
      <c r="C3895" t="s">
        <v>40</v>
      </c>
      <c r="D3895">
        <v>4.0416999999999996</v>
      </c>
      <c r="E3895">
        <v>0.53652319999999998</v>
      </c>
      <c r="F3895" t="s">
        <v>79</v>
      </c>
      <c r="G3895">
        <v>-280.94349999999997</v>
      </c>
      <c r="H3895" s="1">
        <v>-4.4998809999999996E-6</v>
      </c>
      <c r="I3895">
        <v>141.05000000000001</v>
      </c>
      <c r="J3895">
        <v>-263.73239999999998</v>
      </c>
      <c r="K3895">
        <v>1.1077539999999999</v>
      </c>
      <c r="L3895">
        <v>140.70660000000001</v>
      </c>
      <c r="M3895">
        <v>-0.99987579999999998</v>
      </c>
      <c r="N3895">
        <v>-1.066275E-2</v>
      </c>
      <c r="O3895">
        <v>1.16162E-2</v>
      </c>
      <c r="P3895">
        <v>-0.99631840000000005</v>
      </c>
      <c r="Q3895">
        <v>-4.6180489999999998E-2</v>
      </c>
      <c r="R3895">
        <v>-7.2232690000000002E-2</v>
      </c>
      <c r="S3895">
        <v>-3.0066220000000001</v>
      </c>
      <c r="T3895">
        <v>-0.18927740000000001</v>
      </c>
      <c r="U3895">
        <v>5.9509279999999998E-2</v>
      </c>
      <c r="V3895">
        <v>-8.388814E-2</v>
      </c>
      <c r="W3895">
        <v>-3.5360219999999998E-2</v>
      </c>
      <c r="X3895">
        <v>0.99584760000000005</v>
      </c>
      <c r="Y3895">
        <v>8.1698869999999903E-3</v>
      </c>
      <c r="Z3895">
        <v>-3.0620209999999997E-4</v>
      </c>
      <c r="AA3895">
        <v>0.99996660000000004</v>
      </c>
      <c r="AB3895">
        <v>40</v>
      </c>
      <c r="AC3895">
        <v>-17.211099999999899</v>
      </c>
      <c r="AD3895">
        <v>-1.1077584998809999</v>
      </c>
      <c r="AE3895">
        <v>0.34340000000000198</v>
      </c>
      <c r="AF3895">
        <v>0.14284638667587299</v>
      </c>
      <c r="AG3895">
        <v>-1.1077584998809999</v>
      </c>
      <c r="AH3895">
        <v>17.142939788663298</v>
      </c>
      <c r="AI3895">
        <v>93.697123846187793</v>
      </c>
      <c r="AJ3895">
        <v>89.522584471598293</v>
      </c>
      <c r="AK3895">
        <v>17.179287487610701</v>
      </c>
      <c r="AL3895">
        <v>92.026413796745402</v>
      </c>
      <c r="AM3895">
        <v>94.815109925683601</v>
      </c>
      <c r="AN3895">
        <v>1.00000000380843</v>
      </c>
    </row>
    <row r="3896" spans="1:40" x14ac:dyDescent="0.25">
      <c r="A3896" t="str">
        <f>"20190305135907994"</f>
        <v>20190305135907994</v>
      </c>
      <c r="B3896" t="str">
        <f>"1551765547983202"</f>
        <v>1551765547983202</v>
      </c>
      <c r="C3896" t="s">
        <v>40</v>
      </c>
      <c r="D3896">
        <v>4.0143000000000004</v>
      </c>
      <c r="E3896">
        <v>0.53777900000000001</v>
      </c>
      <c r="F3896" t="s">
        <v>79</v>
      </c>
      <c r="G3896">
        <v>-281.49619999999999</v>
      </c>
      <c r="H3896" s="1">
        <v>-4.7837620000000001E-6</v>
      </c>
      <c r="I3896">
        <v>141.16990000000001</v>
      </c>
      <c r="J3896">
        <v>-264.10340000000002</v>
      </c>
      <c r="K3896">
        <v>1.1077870000000001</v>
      </c>
      <c r="L3896">
        <v>140.7116</v>
      </c>
      <c r="M3896">
        <v>-0.99986589999999997</v>
      </c>
      <c r="N3896">
        <v>-1.065753E-2</v>
      </c>
      <c r="O3896">
        <v>1.243878E-2</v>
      </c>
      <c r="P3896">
        <v>-0.99651299999999998</v>
      </c>
      <c r="Q3896">
        <v>-4.343284E-2</v>
      </c>
      <c r="R3896">
        <v>-7.1243810000000005E-2</v>
      </c>
      <c r="S3896">
        <v>-3.0080870000000002</v>
      </c>
      <c r="T3896">
        <v>-0.18758569999999999</v>
      </c>
      <c r="U3896">
        <v>7.846069E-2</v>
      </c>
      <c r="V3896">
        <v>-8.371265E-2</v>
      </c>
      <c r="W3896">
        <v>-3.2619849999999999E-2</v>
      </c>
      <c r="X3896">
        <v>0.99595590000000001</v>
      </c>
      <c r="Y3896">
        <v>1.362273E-2</v>
      </c>
      <c r="Z3896">
        <v>-1.45342999999999E-4</v>
      </c>
      <c r="AA3896">
        <v>0.9999072</v>
      </c>
      <c r="AB3896">
        <v>40</v>
      </c>
      <c r="AC3896">
        <v>-17.392799999999902</v>
      </c>
      <c r="AD3896">
        <v>-1.1077917837619999</v>
      </c>
      <c r="AE3896">
        <v>0.45830000000000798</v>
      </c>
      <c r="AF3896">
        <v>0.240930339000449</v>
      </c>
      <c r="AG3896">
        <v>-1.1077917837619999</v>
      </c>
      <c r="AH3896">
        <v>17.326913248759201</v>
      </c>
      <c r="AI3896">
        <v>93.657859344113405</v>
      </c>
      <c r="AJ3896">
        <v>89.203354815299306</v>
      </c>
      <c r="AK3896">
        <v>17.363961897978498</v>
      </c>
      <c r="AL3896">
        <v>91.869311325559394</v>
      </c>
      <c r="AM3896">
        <v>94.804564100377405</v>
      </c>
      <c r="AN3896">
        <v>1.0000000085644201</v>
      </c>
    </row>
    <row r="3897" spans="1:40" x14ac:dyDescent="0.25">
      <c r="A3897" t="str">
        <f>"20190305135908018"</f>
        <v>20190305135908018</v>
      </c>
      <c r="B3897" t="str">
        <f>"1551765548012482"</f>
        <v>1551765548012482</v>
      </c>
      <c r="C3897" t="s">
        <v>40</v>
      </c>
      <c r="D3897">
        <v>4.0394569999999996</v>
      </c>
      <c r="E3897">
        <v>0.53761700000000001</v>
      </c>
      <c r="F3897" t="s">
        <v>79</v>
      </c>
      <c r="G3897">
        <v>-281.82850000000002</v>
      </c>
      <c r="H3897" s="1">
        <v>-4.9583740000000004E-6</v>
      </c>
      <c r="I3897">
        <v>141.25409999999999</v>
      </c>
      <c r="J3897">
        <v>-264.52499999999998</v>
      </c>
      <c r="K3897">
        <v>1.107831</v>
      </c>
      <c r="L3897">
        <v>140.7176</v>
      </c>
      <c r="M3897">
        <v>-0.99985449999999998</v>
      </c>
      <c r="N3897">
        <v>-1.065198E-2</v>
      </c>
      <c r="O3897">
        <v>1.3333640000000001E-2</v>
      </c>
      <c r="P3897">
        <v>-0.99671050000000005</v>
      </c>
      <c r="Q3897">
        <v>-4.0443109999999997E-2</v>
      </c>
      <c r="R3897">
        <v>-7.0235469999999994E-2</v>
      </c>
      <c r="S3897">
        <v>-3.0088810000000001</v>
      </c>
      <c r="T3897">
        <v>-0.18805069999999999</v>
      </c>
      <c r="U3897">
        <v>9.2102050000000005E-2</v>
      </c>
      <c r="V3897">
        <v>-8.3588850000000006E-2</v>
      </c>
      <c r="W3897">
        <v>-2.9640199999999998E-2</v>
      </c>
      <c r="X3897">
        <v>0.99605940000000004</v>
      </c>
      <c r="Y3897">
        <v>1.7243399999999999E-2</v>
      </c>
      <c r="Z3897" s="1">
        <v>-6.0210000000000001E-5</v>
      </c>
      <c r="AA3897">
        <v>0.9998513</v>
      </c>
      <c r="AB3897">
        <v>40</v>
      </c>
      <c r="AC3897">
        <v>-17.3035</v>
      </c>
      <c r="AD3897">
        <v>-1.1078359583740001</v>
      </c>
      <c r="AE3897">
        <v>0.53649999999998899</v>
      </c>
      <c r="AF3897">
        <v>0.30447374883103501</v>
      </c>
      <c r="AG3897">
        <v>-1.1078359583740001</v>
      </c>
      <c r="AH3897">
        <v>17.2385218363866</v>
      </c>
      <c r="AI3897">
        <v>93.676492708396907</v>
      </c>
      <c r="AJ3897">
        <v>88.988123968590898</v>
      </c>
      <c r="AK3897">
        <v>17.2767658975276</v>
      </c>
      <c r="AL3897">
        <v>91.698507156544295</v>
      </c>
      <c r="AM3897">
        <v>94.796995791862599</v>
      </c>
      <c r="AN3897">
        <v>0.99999998281436098</v>
      </c>
    </row>
    <row r="3898" spans="1:40" x14ac:dyDescent="0.25">
      <c r="A3898" t="str">
        <f>"20190305135908042"</f>
        <v>20190305135908042</v>
      </c>
      <c r="B3898" t="str">
        <f>"1551765548032979"</f>
        <v>1551765548032979</v>
      </c>
      <c r="C3898" t="s">
        <v>40</v>
      </c>
      <c r="D3898">
        <v>4.0560289999999997</v>
      </c>
      <c r="E3898">
        <v>0.53762730000000003</v>
      </c>
      <c r="F3898" t="s">
        <v>79</v>
      </c>
      <c r="G3898">
        <v>-282.56700000000001</v>
      </c>
      <c r="H3898" s="1">
        <v>-5.2952149999999898E-6</v>
      </c>
      <c r="I3898">
        <v>141.28290000000001</v>
      </c>
      <c r="J3898">
        <v>-264.9513</v>
      </c>
      <c r="K3898">
        <v>1.1078859999999999</v>
      </c>
      <c r="L3898">
        <v>140.72399999999999</v>
      </c>
      <c r="M3898">
        <v>-0.99984320000000004</v>
      </c>
      <c r="N3898">
        <v>-1.064669E-2</v>
      </c>
      <c r="O3898">
        <v>1.4160890000000001E-2</v>
      </c>
      <c r="P3898">
        <v>-0.9968494</v>
      </c>
      <c r="Q3898">
        <v>-3.8022800000000002E-2</v>
      </c>
      <c r="R3898">
        <v>-6.9612229999999997E-2</v>
      </c>
      <c r="S3898">
        <v>-3.0090940000000002</v>
      </c>
      <c r="T3898">
        <v>-0.18476709999999999</v>
      </c>
      <c r="U3898">
        <v>9.4284060000000003E-2</v>
      </c>
      <c r="V3898">
        <v>-8.3783159999999995E-2</v>
      </c>
      <c r="W3898">
        <v>-2.7233489999999999E-2</v>
      </c>
      <c r="X3898">
        <v>0.99611179999999999</v>
      </c>
      <c r="Y3898">
        <v>1.7140119999999998E-2</v>
      </c>
      <c r="Z3898">
        <v>-1.008192E-4</v>
      </c>
      <c r="AA3898">
        <v>0.99985310000000005</v>
      </c>
      <c r="AB3898">
        <v>40</v>
      </c>
      <c r="AC3898">
        <v>-17.6157</v>
      </c>
      <c r="AD3898">
        <v>-1.107891295215</v>
      </c>
      <c r="AE3898">
        <v>0.55890000000002205</v>
      </c>
      <c r="AF3898">
        <v>0.30815818703769499</v>
      </c>
      <c r="AG3898">
        <v>-1.107891295215</v>
      </c>
      <c r="AH3898">
        <v>17.5524904797815</v>
      </c>
      <c r="AI3898">
        <v>93.611091947285203</v>
      </c>
      <c r="AJ3898">
        <v>88.994196871201794</v>
      </c>
      <c r="AK3898">
        <v>17.590119574155</v>
      </c>
      <c r="AL3898">
        <v>91.5605569809846</v>
      </c>
      <c r="AM3898">
        <v>94.807842892351104</v>
      </c>
      <c r="AN3898">
        <v>0.99999999948820195</v>
      </c>
    </row>
    <row r="3899" spans="1:40" x14ac:dyDescent="0.25">
      <c r="A3899" t="str">
        <f>"20190305135908065"</f>
        <v>20190305135908065</v>
      </c>
      <c r="B3899" t="str">
        <f>"1551765548052499"</f>
        <v>1551765548052499</v>
      </c>
      <c r="C3899" t="s">
        <v>40</v>
      </c>
      <c r="D3899">
        <v>4.057874</v>
      </c>
      <c r="E3899">
        <v>0.53764129999999999</v>
      </c>
      <c r="F3899" t="s">
        <v>41</v>
      </c>
      <c r="G3899">
        <v>-265.97379999999998</v>
      </c>
      <c r="H3899">
        <v>1.0468599999999999</v>
      </c>
      <c r="I3899">
        <v>140.75700000000001</v>
      </c>
      <c r="J3899">
        <v>-265.3535</v>
      </c>
      <c r="K3899">
        <v>1.1079460000000001</v>
      </c>
      <c r="L3899">
        <v>140.7303</v>
      </c>
      <c r="M3899">
        <v>-0.99983299999999997</v>
      </c>
      <c r="N3899">
        <v>-1.064211E-2</v>
      </c>
      <c r="O3899">
        <v>1.48583E-2</v>
      </c>
      <c r="P3899">
        <v>-0.99696019999999996</v>
      </c>
      <c r="Q3899">
        <v>-3.6872799999999997E-2</v>
      </c>
      <c r="R3899">
        <v>-6.8635020000000005E-2</v>
      </c>
      <c r="S3899">
        <v>-3.0093990000000002</v>
      </c>
      <c r="T3899">
        <v>-0.17972969999999999</v>
      </c>
      <c r="U3899">
        <v>9.638977E-2</v>
      </c>
      <c r="V3899">
        <v>-8.3495929999999996E-2</v>
      </c>
      <c r="W3899">
        <v>-2.6100180000000001E-2</v>
      </c>
      <c r="X3899">
        <v>0.9961662</v>
      </c>
      <c r="Y3899">
        <v>1.7139990000000001E-2</v>
      </c>
      <c r="Z3899">
        <v>-1.2573780000000001E-4</v>
      </c>
      <c r="AA3899">
        <v>0.99985310000000005</v>
      </c>
      <c r="AB3899">
        <v>40</v>
      </c>
      <c r="AC3899">
        <v>-0.62029999999998597</v>
      </c>
      <c r="AD3899">
        <v>-6.1085999999999703E-2</v>
      </c>
      <c r="AE3899">
        <v>2.6700000000005199E-2</v>
      </c>
      <c r="AF3899">
        <v>1.7312343329841402E-2</v>
      </c>
      <c r="AG3899">
        <v>-6.1085999999999703E-2</v>
      </c>
      <c r="AH3899">
        <v>0.61467816374208295</v>
      </c>
      <c r="AI3899">
        <v>95.673118234376403</v>
      </c>
      <c r="AJ3899">
        <v>88.386697129344697</v>
      </c>
      <c r="AK3899">
        <v>0.61794859139649205</v>
      </c>
      <c r="AL3899">
        <v>91.495600080568806</v>
      </c>
      <c r="AM3899">
        <v>94.791176812919304</v>
      </c>
      <c r="AN3899">
        <v>0.99999994387251701</v>
      </c>
    </row>
    <row r="3900" spans="1:40" x14ac:dyDescent="0.25">
      <c r="A3900" t="str">
        <f>"20190305135908084"</f>
        <v>20190305135908084</v>
      </c>
      <c r="B3900" t="str">
        <f>"1551765548072998"</f>
        <v>1551765548072998</v>
      </c>
      <c r="C3900" t="s">
        <v>40</v>
      </c>
      <c r="D3900">
        <v>4.0878420000000002</v>
      </c>
      <c r="E3900">
        <v>0.5374198</v>
      </c>
      <c r="F3900" t="s">
        <v>79</v>
      </c>
      <c r="G3900">
        <v>-284.17529999999999</v>
      </c>
      <c r="H3900" s="1">
        <v>-6.0311109999999998E-6</v>
      </c>
      <c r="I3900">
        <v>141.35310000000001</v>
      </c>
      <c r="J3900">
        <v>-265.70940000000002</v>
      </c>
      <c r="K3900">
        <v>1.108006</v>
      </c>
      <c r="L3900">
        <v>140.73609999999999</v>
      </c>
      <c r="M3900">
        <v>-0.99982459999999995</v>
      </c>
      <c r="N3900">
        <v>-1.063862E-2</v>
      </c>
      <c r="O3900">
        <v>1.540914E-2</v>
      </c>
      <c r="P3900">
        <v>-0.99705670000000002</v>
      </c>
      <c r="Q3900">
        <v>-3.6350960000000002E-2</v>
      </c>
      <c r="R3900">
        <v>-6.7503069999999998E-2</v>
      </c>
      <c r="S3900">
        <v>-3.0094599999999998</v>
      </c>
      <c r="T3900">
        <v>-0.1771539</v>
      </c>
      <c r="U3900">
        <v>9.9578860000000005E-2</v>
      </c>
      <c r="V3900">
        <v>-8.290894E-2</v>
      </c>
      <c r="W3900">
        <v>-2.559432E-2</v>
      </c>
      <c r="X3900">
        <v>0.99622840000000001</v>
      </c>
      <c r="Y3900">
        <v>1.7646829999999999E-2</v>
      </c>
      <c r="Z3900">
        <v>-1.2936339999999999E-4</v>
      </c>
      <c r="AA3900">
        <v>0.99984430000000002</v>
      </c>
      <c r="AB3900">
        <v>40</v>
      </c>
      <c r="AC3900">
        <v>-18.465899999999898</v>
      </c>
      <c r="AD3900">
        <v>-1.108012031111</v>
      </c>
      <c r="AE3900">
        <v>0.61700000000001798</v>
      </c>
      <c r="AF3900">
        <v>0.33117594498740099</v>
      </c>
      <c r="AG3900">
        <v>-1.108012031111</v>
      </c>
      <c r="AH3900">
        <v>18.4070170155568</v>
      </c>
      <c r="AI3900">
        <v>93.444211855634293</v>
      </c>
      <c r="AJ3900">
        <v>88.969255210287798</v>
      </c>
      <c r="AK3900">
        <v>18.443308910784499</v>
      </c>
      <c r="AL3900">
        <v>91.466606676607199</v>
      </c>
      <c r="AM3900">
        <v>94.757353536347097</v>
      </c>
      <c r="AN3900">
        <v>0.99999999325737299</v>
      </c>
    </row>
    <row r="3901" spans="1:40" x14ac:dyDescent="0.25">
      <c r="A3901" t="str">
        <f>"20190305135908099"</f>
        <v>20190305135908099</v>
      </c>
      <c r="B3901" t="str">
        <f>"1551765548092515"</f>
        <v>1551765548092515</v>
      </c>
      <c r="C3901" t="s">
        <v>40</v>
      </c>
      <c r="D3901">
        <v>4.0484460000000002</v>
      </c>
      <c r="E3901">
        <v>0.53724839999999996</v>
      </c>
      <c r="F3901" t="s">
        <v>79</v>
      </c>
      <c r="G3901">
        <v>-284.35599999999999</v>
      </c>
      <c r="H3901" s="1">
        <v>-6.1151409999999998E-6</v>
      </c>
      <c r="I3901">
        <v>141.36510000000001</v>
      </c>
      <c r="J3901">
        <v>-265.9794</v>
      </c>
      <c r="K3901">
        <v>1.1080540000000001</v>
      </c>
      <c r="L3901">
        <v>140.7406</v>
      </c>
      <c r="M3901">
        <v>-0.99981889999999995</v>
      </c>
      <c r="N3901">
        <v>-1.063624E-2</v>
      </c>
      <c r="O3901">
        <v>1.5783579999999998E-2</v>
      </c>
      <c r="P3901">
        <v>-0.99712769999999995</v>
      </c>
      <c r="Q3901">
        <v>-3.593354E-2</v>
      </c>
      <c r="R3901">
        <v>-6.667265E-2</v>
      </c>
      <c r="S3901">
        <v>-3.0092469999999998</v>
      </c>
      <c r="T3901">
        <v>-0.1788151</v>
      </c>
      <c r="U3901">
        <v>0.1015167</v>
      </c>
      <c r="V3901">
        <v>-8.2449469999999997E-2</v>
      </c>
      <c r="W3901">
        <v>-2.518952E-2</v>
      </c>
      <c r="X3901">
        <v>0.99627690000000002</v>
      </c>
      <c r="Y3901">
        <v>1.7917550000000001E-2</v>
      </c>
      <c r="Z3901">
        <v>-1.4183279999999999E-4</v>
      </c>
      <c r="AA3901">
        <v>0.99983949999999999</v>
      </c>
      <c r="AB3901">
        <v>40</v>
      </c>
      <c r="AC3901">
        <v>-18.3766</v>
      </c>
      <c r="AD3901">
        <v>-1.1080601151409999</v>
      </c>
      <c r="AE3901">
        <v>0.62450000000001105</v>
      </c>
      <c r="AF3901">
        <v>0.33314741626767203</v>
      </c>
      <c r="AG3901">
        <v>-1.1080601151409999</v>
      </c>
      <c r="AH3901">
        <v>18.317646088076401</v>
      </c>
      <c r="AI3901">
        <v>93.461112882808195</v>
      </c>
      <c r="AJ3901">
        <v>88.958062808683493</v>
      </c>
      <c r="AK3901">
        <v>18.354153280055002</v>
      </c>
      <c r="AL3901">
        <v>91.443405790566999</v>
      </c>
      <c r="AM3901">
        <v>94.730879673347602</v>
      </c>
      <c r="AN3901">
        <v>1.00000004424735</v>
      </c>
    </row>
    <row r="3902" spans="1:40" x14ac:dyDescent="0.25">
      <c r="A3902" t="str">
        <f>"20190305135908118"</f>
        <v>20190305135908118</v>
      </c>
      <c r="B3902" t="str">
        <f>"1551765548113010"</f>
        <v>1551765548113010</v>
      </c>
      <c r="C3902" t="s">
        <v>40</v>
      </c>
      <c r="D3902">
        <v>4.089486</v>
      </c>
      <c r="E3902">
        <v>0.53721669999999999</v>
      </c>
      <c r="F3902" t="s">
        <v>41</v>
      </c>
      <c r="G3902">
        <v>-267.0455</v>
      </c>
      <c r="H3902">
        <v>1.044044</v>
      </c>
      <c r="I3902">
        <v>140.77709999999999</v>
      </c>
      <c r="J3902">
        <v>-266.31880000000001</v>
      </c>
      <c r="K3902">
        <v>1.1081209999999999</v>
      </c>
      <c r="L3902">
        <v>140.74619999999999</v>
      </c>
      <c r="M3902">
        <v>-0.9998127</v>
      </c>
      <c r="N3902">
        <v>-1.063395E-2</v>
      </c>
      <c r="O3902">
        <v>1.6178000000000001E-2</v>
      </c>
      <c r="P3902">
        <v>-0.9972124</v>
      </c>
      <c r="Q3902">
        <v>-3.5826570000000002E-2</v>
      </c>
      <c r="R3902">
        <v>-6.5455239999999998E-2</v>
      </c>
      <c r="S3902">
        <v>-3.0090029999999999</v>
      </c>
      <c r="T3902">
        <v>-0.18071129999999999</v>
      </c>
      <c r="U3902">
        <v>0.102829</v>
      </c>
      <c r="V3902">
        <v>-8.1621589999999994E-2</v>
      </c>
      <c r="W3902">
        <v>-2.5099460000000001E-2</v>
      </c>
      <c r="X3902">
        <v>0.99634730000000005</v>
      </c>
      <c r="Y3902">
        <v>1.7961540000000002E-2</v>
      </c>
      <c r="Z3902">
        <v>-1.641158E-4</v>
      </c>
      <c r="AA3902">
        <v>0.99983869999999997</v>
      </c>
      <c r="AB3902">
        <v>40</v>
      </c>
      <c r="AC3902">
        <v>-0.72669999999999302</v>
      </c>
      <c r="AD3902">
        <v>-6.4076999999999898E-2</v>
      </c>
      <c r="AE3902">
        <v>3.0900000000002498E-2</v>
      </c>
      <c r="AF3902">
        <v>1.8991350543925901E-2</v>
      </c>
      <c r="AG3902">
        <v>-6.4076999999999898E-2</v>
      </c>
      <c r="AH3902">
        <v>0.72150531532357498</v>
      </c>
      <c r="AI3902">
        <v>95.073384120419206</v>
      </c>
      <c r="AJ3902">
        <v>88.492217567560601</v>
      </c>
      <c r="AK3902">
        <v>0.72459399208429398</v>
      </c>
      <c r="AL3902">
        <v>91.438244158038103</v>
      </c>
      <c r="AM3902">
        <v>94.683259564126004</v>
      </c>
      <c r="AN3902">
        <v>1.00000000453185</v>
      </c>
    </row>
    <row r="3903" spans="1:40" x14ac:dyDescent="0.25">
      <c r="A3903" t="str">
        <f>"20190305135908133"</f>
        <v>20190305135908133</v>
      </c>
      <c r="B3903" t="str">
        <f>"1551765548122771"</f>
        <v>1551765548122771</v>
      </c>
      <c r="C3903" t="s">
        <v>40</v>
      </c>
      <c r="D3903">
        <v>4.0930210000000002</v>
      </c>
      <c r="E3903">
        <v>0.5371454</v>
      </c>
      <c r="F3903" t="s">
        <v>41</v>
      </c>
      <c r="G3903">
        <v>-267.40300000000002</v>
      </c>
      <c r="H3903">
        <v>1.043121</v>
      </c>
      <c r="I3903">
        <v>140.78479999999999</v>
      </c>
      <c r="J3903">
        <v>-266.5847</v>
      </c>
      <c r="K3903">
        <v>1.1081780000000001</v>
      </c>
      <c r="L3903">
        <v>140.7508</v>
      </c>
      <c r="M3903">
        <v>-0.99980880000000005</v>
      </c>
      <c r="N3903">
        <v>-1.063242E-2</v>
      </c>
      <c r="O3903">
        <v>1.6419619999999999E-2</v>
      </c>
      <c r="P3903">
        <v>-0.99726519999999996</v>
      </c>
      <c r="Q3903">
        <v>-3.5511180000000003E-2</v>
      </c>
      <c r="R3903">
        <v>-6.4819130000000003E-2</v>
      </c>
      <c r="S3903">
        <v>-3.0088499999999998</v>
      </c>
      <c r="T3903">
        <v>-0.18040909999999999</v>
      </c>
      <c r="U3903">
        <v>0.1064148</v>
      </c>
      <c r="V3903">
        <v>-8.1223119999999996E-2</v>
      </c>
      <c r="W3903">
        <v>-2.479779E-2</v>
      </c>
      <c r="X3903">
        <v>0.99638740000000003</v>
      </c>
      <c r="Y3903">
        <v>1.8910090000000001E-2</v>
      </c>
      <c r="Z3903">
        <v>-1.418922E-4</v>
      </c>
      <c r="AA3903">
        <v>0.99982119999999997</v>
      </c>
      <c r="AB3903">
        <v>40</v>
      </c>
      <c r="AC3903">
        <v>-0.81830000000002101</v>
      </c>
      <c r="AD3903">
        <v>-6.5057000000000101E-2</v>
      </c>
      <c r="AE3903">
        <v>3.3999999999991801E-2</v>
      </c>
      <c r="AF3903">
        <v>2.0429577237691E-2</v>
      </c>
      <c r="AG3903">
        <v>-6.5057000000000101E-2</v>
      </c>
      <c r="AH3903">
        <v>0.813614247571116</v>
      </c>
      <c r="AI3903">
        <v>94.570237895152502</v>
      </c>
      <c r="AJ3903">
        <v>88.561624694596006</v>
      </c>
      <c r="AK3903">
        <v>0.816466732161099</v>
      </c>
      <c r="AL3903">
        <v>91.420954381676395</v>
      </c>
      <c r="AM3903">
        <v>94.660310492231901</v>
      </c>
      <c r="AN3903">
        <v>0.99999998824508896</v>
      </c>
    </row>
    <row r="3904" spans="1:40" x14ac:dyDescent="0.25">
      <c r="A3904" t="str">
        <f>"20190305135908154"</f>
        <v>20190305135908154</v>
      </c>
      <c r="B3904" t="str">
        <f>"1551765548143266"</f>
        <v>1551765548143266</v>
      </c>
      <c r="C3904" t="s">
        <v>40</v>
      </c>
      <c r="D3904">
        <v>4.0901199999999998</v>
      </c>
      <c r="E3904">
        <v>0.5370663</v>
      </c>
      <c r="F3904" t="s">
        <v>79</v>
      </c>
      <c r="G3904">
        <v>-285.16640000000001</v>
      </c>
      <c r="H3904" s="1">
        <v>-6.5284409999999997E-6</v>
      </c>
      <c r="I3904">
        <v>141.41630000000001</v>
      </c>
      <c r="J3904">
        <v>-266.95490000000001</v>
      </c>
      <c r="K3904">
        <v>1.10826</v>
      </c>
      <c r="L3904">
        <v>140.75710000000001</v>
      </c>
      <c r="M3904">
        <v>-0.99980429999999998</v>
      </c>
      <c r="N3904">
        <v>-1.063066E-2</v>
      </c>
      <c r="O3904">
        <v>1.6686969999999999E-2</v>
      </c>
      <c r="P3904">
        <v>-0.99722339999999998</v>
      </c>
      <c r="Q3904">
        <v>-3.582403E-2</v>
      </c>
      <c r="R3904">
        <v>-6.5283030000000006E-2</v>
      </c>
      <c r="S3904">
        <v>-3.0088810000000001</v>
      </c>
      <c r="T3904">
        <v>-0.17944570000000001</v>
      </c>
      <c r="U3904">
        <v>0.1077728</v>
      </c>
      <c r="V3904">
        <v>-8.1947919999999994E-2</v>
      </c>
      <c r="W3904">
        <v>-2.512957E-2</v>
      </c>
      <c r="X3904">
        <v>0.99631979999999998</v>
      </c>
      <c r="Y3904">
        <v>1.9093140000000001E-2</v>
      </c>
      <c r="Z3904">
        <v>-1.4636179999999999E-4</v>
      </c>
      <c r="AA3904">
        <v>0.99981770000000003</v>
      </c>
      <c r="AB3904">
        <v>40</v>
      </c>
      <c r="AC3904">
        <v>-18.211500000000001</v>
      </c>
      <c r="AD3904">
        <v>-1.108266528441</v>
      </c>
      <c r="AE3904">
        <v>0.65919999999999801</v>
      </c>
      <c r="AF3904">
        <v>0.35388743211031498</v>
      </c>
      <c r="AG3904">
        <v>-1.108266528441</v>
      </c>
      <c r="AH3904">
        <v>18.152826018794901</v>
      </c>
      <c r="AI3904">
        <v>93.493024065642899</v>
      </c>
      <c r="AJ3904">
        <v>88.883166280706007</v>
      </c>
      <c r="AK3904">
        <v>18.190068264888499</v>
      </c>
      <c r="AL3904">
        <v>91.439969812248094</v>
      </c>
      <c r="AM3904">
        <v>94.702029043807499</v>
      </c>
      <c r="AN3904">
        <v>1.00000005037637</v>
      </c>
    </row>
    <row r="3905" spans="1:40" x14ac:dyDescent="0.25">
      <c r="A3905" t="str">
        <f>"20190305135908175"</f>
        <v>20190305135908175</v>
      </c>
      <c r="B3905" t="str">
        <f>"1551765548162786"</f>
        <v>1551765548162786</v>
      </c>
      <c r="C3905" t="s">
        <v>40</v>
      </c>
      <c r="D3905">
        <v>4.0882750000000003</v>
      </c>
      <c r="E3905">
        <v>0.53705639999999999</v>
      </c>
      <c r="F3905" t="s">
        <v>79</v>
      </c>
      <c r="G3905">
        <v>-285.46460000000002</v>
      </c>
      <c r="H3905" s="1">
        <v>-6.711436E-6</v>
      </c>
      <c r="I3905">
        <v>141.40809999999999</v>
      </c>
      <c r="J3905">
        <v>-267.33690000000001</v>
      </c>
      <c r="K3905">
        <v>1.1083540000000001</v>
      </c>
      <c r="L3905">
        <v>140.7637</v>
      </c>
      <c r="M3905">
        <v>-0.99980119999999895</v>
      </c>
      <c r="N3905">
        <v>-1.0629359999999999E-2</v>
      </c>
      <c r="O3905">
        <v>1.6876019999999999E-2</v>
      </c>
      <c r="P3905">
        <v>-0.99722929999999999</v>
      </c>
      <c r="Q3905">
        <v>-3.535903E-2</v>
      </c>
      <c r="R3905">
        <v>-6.5450380000000002E-2</v>
      </c>
      <c r="S3905">
        <v>-3.0088200000000001</v>
      </c>
      <c r="T3905">
        <v>-0.1801529</v>
      </c>
      <c r="U3905">
        <v>0.1058197</v>
      </c>
      <c r="V3905">
        <v>-8.2297060000000005E-2</v>
      </c>
      <c r="W3905">
        <v>-2.4683440000000001E-2</v>
      </c>
      <c r="X3905">
        <v>0.99630209999999997</v>
      </c>
      <c r="Y3905">
        <v>1.82585E-2</v>
      </c>
      <c r="Z3905">
        <v>-1.867773E-4</v>
      </c>
      <c r="AA3905">
        <v>0.99983330000000004</v>
      </c>
      <c r="AB3905">
        <v>40</v>
      </c>
      <c r="AC3905">
        <v>-18.127700000000001</v>
      </c>
      <c r="AD3905">
        <v>-1.1083607114359999</v>
      </c>
      <c r="AE3905">
        <v>0.64439999999998998</v>
      </c>
      <c r="AF3905">
        <v>0.33710891173044899</v>
      </c>
      <c r="AG3905">
        <v>-1.1083607114359999</v>
      </c>
      <c r="AH3905">
        <v>18.0685328931533</v>
      </c>
      <c r="AI3905">
        <v>93.509632455997107</v>
      </c>
      <c r="AJ3905">
        <v>88.931143035550093</v>
      </c>
      <c r="AK3905">
        <v>18.1056341174781</v>
      </c>
      <c r="AL3905">
        <v>91.414400619909898</v>
      </c>
      <c r="AM3905">
        <v>94.722055202686207</v>
      </c>
      <c r="AN3905">
        <v>0.999999976379643</v>
      </c>
    </row>
    <row r="3906" spans="1:40" x14ac:dyDescent="0.25">
      <c r="A3906" t="str">
        <f>"20190305135908195"</f>
        <v>20190305135908195</v>
      </c>
      <c r="B3906" t="str">
        <f>"1551765548193043"</f>
        <v>1551765548193043</v>
      </c>
      <c r="C3906" t="s">
        <v>40</v>
      </c>
      <c r="D3906">
        <v>4.0525379999999904</v>
      </c>
      <c r="E3906">
        <v>0.53707759999999904</v>
      </c>
      <c r="F3906" t="s">
        <v>79</v>
      </c>
      <c r="G3906">
        <v>-286.08730000000003</v>
      </c>
      <c r="H3906" s="1">
        <v>-7.1027599999999997E-6</v>
      </c>
      <c r="I3906">
        <v>141.4194</v>
      </c>
      <c r="J3906">
        <v>-267.70209999999997</v>
      </c>
      <c r="K3906">
        <v>1.108436</v>
      </c>
      <c r="L3906">
        <v>140.76990000000001</v>
      </c>
      <c r="M3906">
        <v>-0.9997992</v>
      </c>
      <c r="N3906">
        <v>-1.062477E-2</v>
      </c>
      <c r="O3906">
        <v>1.699113E-2</v>
      </c>
      <c r="P3906">
        <v>-0.99726890000000001</v>
      </c>
      <c r="Q3906">
        <v>-3.3858520000000003E-2</v>
      </c>
      <c r="R3906">
        <v>-6.5638879999999997E-2</v>
      </c>
      <c r="S3906">
        <v>-3.008972</v>
      </c>
      <c r="T3906">
        <v>-0.1778641</v>
      </c>
      <c r="U3906">
        <v>0.1052246</v>
      </c>
      <c r="V3906">
        <v>-8.2595479999999999E-2</v>
      </c>
      <c r="W3906">
        <v>-2.3202449999999999E-2</v>
      </c>
      <c r="X3906">
        <v>0.996313</v>
      </c>
      <c r="Y3906">
        <v>1.794517E-2</v>
      </c>
      <c r="Z3906">
        <v>-1.974884E-4</v>
      </c>
      <c r="AA3906">
        <v>0.99983889999999997</v>
      </c>
      <c r="AB3906">
        <v>40</v>
      </c>
      <c r="AC3906">
        <v>-18.385200000000001</v>
      </c>
      <c r="AD3906">
        <v>-1.1084431027599999</v>
      </c>
      <c r="AE3906">
        <v>0.64949999999998898</v>
      </c>
      <c r="AF3906">
        <v>0.335784260770985</v>
      </c>
      <c r="AG3906">
        <v>-1.1084431027599999</v>
      </c>
      <c r="AH3906">
        <v>18.327048391960599</v>
      </c>
      <c r="AI3906">
        <v>93.460525844046003</v>
      </c>
      <c r="AJ3906">
        <v>88.950356422776593</v>
      </c>
      <c r="AK3906">
        <v>18.363608031732301</v>
      </c>
      <c r="AL3906">
        <v>91.329521795671297</v>
      </c>
      <c r="AM3906">
        <v>94.739048537249801</v>
      </c>
      <c r="AN3906">
        <v>0.99999998048571603</v>
      </c>
    </row>
    <row r="3907" spans="1:40" x14ac:dyDescent="0.25">
      <c r="A3907" t="str">
        <f>"20190305135908218"</f>
        <v>20190305135908218</v>
      </c>
      <c r="B3907" t="str">
        <f>"1551765548212563"</f>
        <v>1551765548212563</v>
      </c>
      <c r="C3907" t="s">
        <v>40</v>
      </c>
      <c r="D3907">
        <v>4.0509909999999998</v>
      </c>
      <c r="E3907">
        <v>0.53711030000000004</v>
      </c>
      <c r="F3907" t="s">
        <v>79</v>
      </c>
      <c r="G3907">
        <v>-287.05329999999998</v>
      </c>
      <c r="H3907" s="1">
        <v>-7.7118619999999992E-6</v>
      </c>
      <c r="I3907">
        <v>141.44329999999999</v>
      </c>
      <c r="J3907">
        <v>-268.10879999999997</v>
      </c>
      <c r="K3907">
        <v>1.1085149999999999</v>
      </c>
      <c r="L3907">
        <v>140.77699999999999</v>
      </c>
      <c r="M3907">
        <v>-0.99979799999999996</v>
      </c>
      <c r="N3907">
        <v>-1.061661E-2</v>
      </c>
      <c r="O3907">
        <v>1.706367E-2</v>
      </c>
      <c r="P3907">
        <v>-0.99734650000000002</v>
      </c>
      <c r="Q3907">
        <v>-3.2167750000000002E-2</v>
      </c>
      <c r="R3907">
        <v>-6.5308870000000005E-2</v>
      </c>
      <c r="S3907">
        <v>-3.0092469999999998</v>
      </c>
      <c r="T3907">
        <v>-0.17237089999999999</v>
      </c>
      <c r="U3907">
        <v>0.1047058</v>
      </c>
      <c r="V3907">
        <v>-8.2333939999999994E-2</v>
      </c>
      <c r="W3907">
        <v>-2.153391E-2</v>
      </c>
      <c r="X3907">
        <v>0.99637209999999998</v>
      </c>
      <c r="Y3907">
        <v>1.7698450000000001E-2</v>
      </c>
      <c r="Z3907">
        <v>-1.9481260000000001E-4</v>
      </c>
      <c r="AA3907">
        <v>0.99984340000000005</v>
      </c>
      <c r="AB3907">
        <v>40</v>
      </c>
      <c r="AC3907">
        <v>-18.944500000000001</v>
      </c>
      <c r="AD3907">
        <v>-1.108522711862</v>
      </c>
      <c r="AE3907">
        <v>0.66629999999997802</v>
      </c>
      <c r="AF3907">
        <v>0.341753362209614</v>
      </c>
      <c r="AG3907">
        <v>-1.108522711862</v>
      </c>
      <c r="AH3907">
        <v>18.888518859185599</v>
      </c>
      <c r="AI3907">
        <v>93.358153548525806</v>
      </c>
      <c r="AJ3907">
        <v>88.963450276193498</v>
      </c>
      <c r="AK3907">
        <v>18.924105333069399</v>
      </c>
      <c r="AL3907">
        <v>91.233897565276607</v>
      </c>
      <c r="AM3907">
        <v>94.723831340899196</v>
      </c>
      <c r="AN3907">
        <v>0.99999997430710996</v>
      </c>
    </row>
    <row r="3908" spans="1:40" x14ac:dyDescent="0.25">
      <c r="A3908" t="str">
        <f>"20190305135908241"</f>
        <v>20190305135908241</v>
      </c>
      <c r="B3908" t="str">
        <f>"1551765548233062"</f>
        <v>1551765548233062</v>
      </c>
      <c r="C3908" t="s">
        <v>40</v>
      </c>
      <c r="D3908">
        <v>3.9748830000000002</v>
      </c>
      <c r="E3908">
        <v>0.53712729999999997</v>
      </c>
      <c r="F3908" t="s">
        <v>79</v>
      </c>
      <c r="G3908">
        <v>-288.06459999999998</v>
      </c>
      <c r="H3908" s="1">
        <v>-8.3531979999999994E-6</v>
      </c>
      <c r="I3908">
        <v>141.47980000000001</v>
      </c>
      <c r="J3908">
        <v>-268.52260000000001</v>
      </c>
      <c r="K3908">
        <v>1.1085860000000001</v>
      </c>
      <c r="L3908">
        <v>140.7841</v>
      </c>
      <c r="M3908">
        <v>-0.99979779999999996</v>
      </c>
      <c r="N3908">
        <v>-1.0608350000000001E-2</v>
      </c>
      <c r="O3908">
        <v>1.708892E-2</v>
      </c>
      <c r="P3908">
        <v>-0.99743179999999998</v>
      </c>
      <c r="Q3908">
        <v>-3.0072990000000001E-2</v>
      </c>
      <c r="R3908">
        <v>-6.5006289999999994E-2</v>
      </c>
      <c r="S3908">
        <v>-3.0095519999999998</v>
      </c>
      <c r="T3908">
        <v>-0.16717760000000001</v>
      </c>
      <c r="U3908">
        <v>0.1059875</v>
      </c>
      <c r="V3908">
        <v>-8.2053319999999999E-2</v>
      </c>
      <c r="W3908">
        <v>-1.9458429999999999E-2</v>
      </c>
      <c r="X3908">
        <v>0.99643800000000005</v>
      </c>
      <c r="Y3908">
        <v>1.8094820000000001E-2</v>
      </c>
      <c r="Z3908">
        <v>-1.6886979999999999E-4</v>
      </c>
      <c r="AA3908">
        <v>0.99983630000000001</v>
      </c>
      <c r="AB3908">
        <v>40</v>
      </c>
      <c r="AC3908">
        <v>-19.541999999999899</v>
      </c>
      <c r="AD3908">
        <v>-1.108594353198</v>
      </c>
      <c r="AE3908">
        <v>0.69570000000001597</v>
      </c>
      <c r="AF3908">
        <v>0.36046938691639602</v>
      </c>
      <c r="AG3908">
        <v>-1.108594353198</v>
      </c>
      <c r="AH3908">
        <v>19.488398112736</v>
      </c>
      <c r="AI3908">
        <v>93.255196770058404</v>
      </c>
      <c r="AJ3908">
        <v>88.940342888400707</v>
      </c>
      <c r="AK3908">
        <v>19.5232318179992</v>
      </c>
      <c r="AL3908">
        <v>91.114956245297506</v>
      </c>
      <c r="AM3908">
        <v>94.707493572951194</v>
      </c>
      <c r="AN3908">
        <v>1.00000003283254</v>
      </c>
    </row>
    <row r="3909" spans="1:40" x14ac:dyDescent="0.25">
      <c r="A3909" t="str">
        <f>"20190305135908263"</f>
        <v>20190305135908263</v>
      </c>
      <c r="B3909" t="str">
        <f>"1551765548252578"</f>
        <v>1551765548252578</v>
      </c>
      <c r="C3909" t="s">
        <v>40</v>
      </c>
      <c r="D3909">
        <v>4.0105139999999997</v>
      </c>
      <c r="E3909">
        <v>0.53713750000000005</v>
      </c>
      <c r="F3909" t="s">
        <v>79</v>
      </c>
      <c r="G3909">
        <v>-289.14389999999997</v>
      </c>
      <c r="H3909" s="1">
        <v>-9.0233829999999992E-6</v>
      </c>
      <c r="I3909">
        <v>141.5163</v>
      </c>
      <c r="J3909">
        <v>-268.91730000000001</v>
      </c>
      <c r="K3909">
        <v>1.1086450000000001</v>
      </c>
      <c r="L3909">
        <v>140.79079999999999</v>
      </c>
      <c r="M3909">
        <v>-0.99979779999999996</v>
      </c>
      <c r="N3909">
        <v>-1.0601360000000001E-2</v>
      </c>
      <c r="O3909">
        <v>1.708805E-2</v>
      </c>
      <c r="P3909">
        <v>-0.99747620000000004</v>
      </c>
      <c r="Q3909">
        <v>-2.799258E-2</v>
      </c>
      <c r="R3909">
        <v>-6.5253699999999998E-2</v>
      </c>
      <c r="S3909">
        <v>-3.009827</v>
      </c>
      <c r="T3909">
        <v>-0.1618078</v>
      </c>
      <c r="U3909">
        <v>0.1068726</v>
      </c>
      <c r="V3909">
        <v>-8.2297809999999999E-2</v>
      </c>
      <c r="W3909">
        <v>-1.7393559999999999E-2</v>
      </c>
      <c r="X3909">
        <v>0.99645600000000001</v>
      </c>
      <c r="Y3909">
        <v>1.838621E-2</v>
      </c>
      <c r="Z3909">
        <v>-1.45291E-4</v>
      </c>
      <c r="AA3909">
        <v>0.99983100000000003</v>
      </c>
      <c r="AB3909">
        <v>40</v>
      </c>
      <c r="AC3909">
        <v>-20.226599999999902</v>
      </c>
      <c r="AD3909">
        <v>-1.108654023383</v>
      </c>
      <c r="AE3909">
        <v>0.72550000000001003</v>
      </c>
      <c r="AF3909">
        <v>0.37860549496003598</v>
      </c>
      <c r="AG3909">
        <v>-1.108654023383</v>
      </c>
      <c r="AH3909">
        <v>20.175508613851399</v>
      </c>
      <c r="AI3909">
        <v>93.1447152186213</v>
      </c>
      <c r="AJ3909">
        <v>88.924936585550697</v>
      </c>
      <c r="AK3909">
        <v>20.209492910312399</v>
      </c>
      <c r="AL3909">
        <v>90.996627822980599</v>
      </c>
      <c r="AM3909">
        <v>94.721372023435507</v>
      </c>
      <c r="AN3909">
        <v>1.0000000126981301</v>
      </c>
    </row>
    <row r="3910" spans="1:40" x14ac:dyDescent="0.25">
      <c r="A3910" t="str">
        <f>"20190305135908284"</f>
        <v>20190305135908284</v>
      </c>
      <c r="B3910" t="str">
        <f>"1551765548273074"</f>
        <v>1551765548273074</v>
      </c>
      <c r="C3910" t="s">
        <v>40</v>
      </c>
      <c r="D3910">
        <v>4.0593120000000003</v>
      </c>
      <c r="E3910">
        <v>0.53723030000000005</v>
      </c>
      <c r="F3910" t="s">
        <v>79</v>
      </c>
      <c r="G3910">
        <v>-290.17619999999999</v>
      </c>
      <c r="H3910" s="1">
        <v>-9.4346590000000008E-6</v>
      </c>
      <c r="I3910">
        <v>141.5421</v>
      </c>
      <c r="J3910">
        <v>-269.30489999999998</v>
      </c>
      <c r="K3910">
        <v>1.108689</v>
      </c>
      <c r="L3910">
        <v>140.79750000000001</v>
      </c>
      <c r="M3910">
        <v>-0.99979810000000002</v>
      </c>
      <c r="N3910">
        <v>-1.059504E-2</v>
      </c>
      <c r="O3910">
        <v>1.7074579999999999E-2</v>
      </c>
      <c r="P3910">
        <v>-0.99746369999999895</v>
      </c>
      <c r="Q3910">
        <v>-2.664178E-2</v>
      </c>
      <c r="R3910">
        <v>-6.6003720000000002E-2</v>
      </c>
      <c r="S3910">
        <v>-3.010132</v>
      </c>
      <c r="T3910">
        <v>-0.1569786</v>
      </c>
      <c r="U3910">
        <v>0.10636900000000001</v>
      </c>
      <c r="V3910">
        <v>-8.3032320000000007E-2</v>
      </c>
      <c r="W3910">
        <v>-1.6056399999999998E-2</v>
      </c>
      <c r="X3910">
        <v>0.99641749999999996</v>
      </c>
      <c r="Y3910">
        <v>1.8229860000000001E-2</v>
      </c>
      <c r="Z3910">
        <v>-1.371244E-4</v>
      </c>
      <c r="AA3910">
        <v>0.99983379999999999</v>
      </c>
      <c r="AB3910">
        <v>40</v>
      </c>
      <c r="AC3910">
        <v>-20.871300000000002</v>
      </c>
      <c r="AD3910">
        <v>-1.1086984346590001</v>
      </c>
      <c r="AE3910">
        <v>0.74459999999999105</v>
      </c>
      <c r="AF3910">
        <v>0.38701207376017399</v>
      </c>
      <c r="AG3910">
        <v>-1.1086984346590001</v>
      </c>
      <c r="AH3910">
        <v>20.822289589221999</v>
      </c>
      <c r="AI3910">
        <v>93.047353268855701</v>
      </c>
      <c r="AJ3910">
        <v>88.935198481105402</v>
      </c>
      <c r="AK3910">
        <v>20.855376628142601</v>
      </c>
      <c r="AL3910">
        <v>90.920003483880507</v>
      </c>
      <c r="AM3910">
        <v>94.763500545639204</v>
      </c>
      <c r="AN3910">
        <v>1.0000000042258901</v>
      </c>
    </row>
    <row r="3911" spans="1:40" x14ac:dyDescent="0.25">
      <c r="A3911" t="str">
        <f>"20190305135908308"</f>
        <v>20190305135908308</v>
      </c>
      <c r="B3911" t="str">
        <f>"1551765548303331"</f>
        <v>1551765548303331</v>
      </c>
      <c r="C3911" t="s">
        <v>40</v>
      </c>
      <c r="D3911">
        <v>4.0428879999999996</v>
      </c>
      <c r="E3911">
        <v>0.53742769999999995</v>
      </c>
      <c r="F3911" t="s">
        <v>79</v>
      </c>
      <c r="G3911">
        <v>-290.99470000000002</v>
      </c>
      <c r="H3911" s="1">
        <v>-9.3576929999999994E-6</v>
      </c>
      <c r="I3911">
        <v>141.55369999999999</v>
      </c>
      <c r="J3911">
        <v>-269.72000000000003</v>
      </c>
      <c r="K3911">
        <v>1.108716</v>
      </c>
      <c r="L3911">
        <v>140.80459999999999</v>
      </c>
      <c r="M3911">
        <v>-0.99979859999999998</v>
      </c>
      <c r="N3911">
        <v>-1.058921E-2</v>
      </c>
      <c r="O3911">
        <v>1.7054840000000002E-2</v>
      </c>
      <c r="P3911">
        <v>-0.9974442</v>
      </c>
      <c r="Q3911">
        <v>-2.6928959999999998E-2</v>
      </c>
      <c r="R3911">
        <v>-6.6185729999999998E-2</v>
      </c>
      <c r="S3911">
        <v>-3.0104679999999999</v>
      </c>
      <c r="T3911">
        <v>-0.15388350000000001</v>
      </c>
      <c r="U3911">
        <v>0.10495</v>
      </c>
      <c r="V3911">
        <v>-8.3192509999999997E-2</v>
      </c>
      <c r="W3911">
        <v>-1.6356030000000001E-2</v>
      </c>
      <c r="X3911">
        <v>0.99639929999999999</v>
      </c>
      <c r="Y3911">
        <v>1.7775989999999998E-2</v>
      </c>
      <c r="Z3911">
        <v>-1.4226580000000001E-4</v>
      </c>
      <c r="AA3911">
        <v>0.99984200000000001</v>
      </c>
      <c r="AB3911">
        <v>40</v>
      </c>
      <c r="AC3911">
        <v>-21.274699999999999</v>
      </c>
      <c r="AD3911">
        <v>-1.1087253576930001</v>
      </c>
      <c r="AE3911">
        <v>0.74909999999999799</v>
      </c>
      <c r="AF3911">
        <v>0.38508954277345803</v>
      </c>
      <c r="AG3911">
        <v>-1.1087253576930001</v>
      </c>
      <c r="AH3911">
        <v>21.226802409995798</v>
      </c>
      <c r="AI3911">
        <v>92.989483947766104</v>
      </c>
      <c r="AJ3911">
        <v>88.9606731612853</v>
      </c>
      <c r="AK3911">
        <v>21.259226383567</v>
      </c>
      <c r="AL3911">
        <v>90.937173240368395</v>
      </c>
      <c r="AM3911">
        <v>94.772734885492</v>
      </c>
      <c r="AN3911">
        <v>1.0000000392389701</v>
      </c>
    </row>
    <row r="3912" spans="1:40" x14ac:dyDescent="0.25">
      <c r="A3912" t="str">
        <f>"20190305135908331"</f>
        <v>20190305135908331</v>
      </c>
      <c r="B3912" t="str">
        <f>"1551765548322854"</f>
        <v>1551765548322854</v>
      </c>
      <c r="C3912" t="s">
        <v>40</v>
      </c>
      <c r="D3912">
        <v>4.011037</v>
      </c>
      <c r="E3912">
        <v>0.537439</v>
      </c>
      <c r="F3912" t="s">
        <v>79</v>
      </c>
      <c r="G3912">
        <v>-291.62180000000001</v>
      </c>
      <c r="H3912" s="1">
        <v>-9.3018380000000002E-6</v>
      </c>
      <c r="I3912">
        <v>141.57390000000001</v>
      </c>
      <c r="J3912">
        <v>-270.14249999999998</v>
      </c>
      <c r="K3912">
        <v>1.108733</v>
      </c>
      <c r="L3912">
        <v>140.81190000000001</v>
      </c>
      <c r="M3912">
        <v>-0.99979899999999999</v>
      </c>
      <c r="N3912">
        <v>-1.058423E-2</v>
      </c>
      <c r="O3912">
        <v>1.7034790000000001E-2</v>
      </c>
      <c r="P3912">
        <v>-0.99741360000000001</v>
      </c>
      <c r="Q3912">
        <v>-2.7679289999999999E-2</v>
      </c>
      <c r="R3912">
        <v>-6.6334370000000004E-2</v>
      </c>
      <c r="S3912">
        <v>-3.0105590000000002</v>
      </c>
      <c r="T3912">
        <v>-0.15240239999999999</v>
      </c>
      <c r="U3912">
        <v>0.1057434</v>
      </c>
      <c r="V3912">
        <v>-8.3319740000000003E-2</v>
      </c>
      <c r="W3912">
        <v>-1.7117110000000001E-2</v>
      </c>
      <c r="X3912">
        <v>0.99637589999999998</v>
      </c>
      <c r="Y3912">
        <v>1.805789E-2</v>
      </c>
      <c r="Z3912">
        <v>-1.2894830000000001E-4</v>
      </c>
      <c r="AA3912">
        <v>0.99983690000000003</v>
      </c>
      <c r="AB3912">
        <v>40</v>
      </c>
      <c r="AC3912">
        <v>-21.479299999999999</v>
      </c>
      <c r="AD3912">
        <v>-1.108742301838</v>
      </c>
      <c r="AE3912">
        <v>0.76200000000000001</v>
      </c>
      <c r="AF3912">
        <v>0.39492264240390701</v>
      </c>
      <c r="AG3912">
        <v>-1.108742301838</v>
      </c>
      <c r="AH3912">
        <v>21.432129365922702</v>
      </c>
      <c r="AI3912">
        <v>92.960924674790405</v>
      </c>
      <c r="AJ3912">
        <v>88.944349401993904</v>
      </c>
      <c r="AK3912">
        <v>21.464422716276701</v>
      </c>
      <c r="AL3912">
        <v>90.980786005471003</v>
      </c>
      <c r="AM3912">
        <v>94.780111984129206</v>
      </c>
      <c r="AN3912">
        <v>1.0000000543146099</v>
      </c>
    </row>
    <row r="3913" spans="1:40" x14ac:dyDescent="0.25">
      <c r="A3913" t="str">
        <f>"20190305135908355"</f>
        <v>20190305135908355</v>
      </c>
      <c r="B3913" t="str">
        <f>"1551765548342370"</f>
        <v>1551765548342370</v>
      </c>
      <c r="C3913" t="s">
        <v>40</v>
      </c>
      <c r="D3913">
        <v>4.0030359999999998</v>
      </c>
      <c r="E3913">
        <v>0.53750030000000004</v>
      </c>
      <c r="F3913" t="s">
        <v>79</v>
      </c>
      <c r="G3913">
        <v>-291.4873</v>
      </c>
      <c r="H3913" s="1">
        <v>-9.3110760000000007E-6</v>
      </c>
      <c r="I3913">
        <v>141.55959999999999</v>
      </c>
      <c r="J3913">
        <v>-270.56040000000002</v>
      </c>
      <c r="K3913">
        <v>1.108749</v>
      </c>
      <c r="L3913">
        <v>140.81899999999999</v>
      </c>
      <c r="M3913">
        <v>-0.99979929999999995</v>
      </c>
      <c r="N3913">
        <v>-1.058013E-2</v>
      </c>
      <c r="O3913">
        <v>1.7016469999999999E-2</v>
      </c>
      <c r="P3913">
        <v>-0.99735949999999995</v>
      </c>
      <c r="Q3913">
        <v>-2.8619039999999998E-2</v>
      </c>
      <c r="R3913">
        <v>-6.6745490000000005E-2</v>
      </c>
      <c r="S3913">
        <v>-3.010437</v>
      </c>
      <c r="T3913">
        <v>-0.15637529999999999</v>
      </c>
      <c r="U3913">
        <v>0.10545350000000001</v>
      </c>
      <c r="V3913">
        <v>-8.3711240000000006E-2</v>
      </c>
      <c r="W3913">
        <v>-1.8065990000000001E-2</v>
      </c>
      <c r="X3913">
        <v>0.9963263</v>
      </c>
      <c r="Y3913">
        <v>1.798114E-2</v>
      </c>
      <c r="Z3913">
        <v>-1.412544E-4</v>
      </c>
      <c r="AA3913">
        <v>0.99983829999999996</v>
      </c>
      <c r="AB3913">
        <v>40</v>
      </c>
      <c r="AC3913">
        <v>-20.9268999999999</v>
      </c>
      <c r="AD3913">
        <v>-1.108758311076</v>
      </c>
      <c r="AE3913">
        <v>0.74060000000000004</v>
      </c>
      <c r="AF3913">
        <v>0.38329626223090202</v>
      </c>
      <c r="AG3913">
        <v>-1.108758311076</v>
      </c>
      <c r="AH3913">
        <v>20.877938770901999</v>
      </c>
      <c r="AI3913">
        <v>93.039422513719003</v>
      </c>
      <c r="AJ3913">
        <v>88.948229922325396</v>
      </c>
      <c r="AK3913">
        <v>20.910872491088298</v>
      </c>
      <c r="AL3913">
        <v>91.035161269529596</v>
      </c>
      <c r="AM3913">
        <v>94.802705768306794</v>
      </c>
      <c r="AN3913">
        <v>1.0000000238843501</v>
      </c>
    </row>
    <row r="3914" spans="1:40" x14ac:dyDescent="0.25">
      <c r="A3914" t="str">
        <f>"20190305135908374"</f>
        <v>20190305135908374</v>
      </c>
      <c r="B3914" t="str">
        <f>"1551765548362867"</f>
        <v>1551765548362867</v>
      </c>
      <c r="C3914" t="s">
        <v>40</v>
      </c>
      <c r="D3914">
        <v>3.9879159999999998</v>
      </c>
      <c r="E3914">
        <v>0.53754069999999898</v>
      </c>
      <c r="F3914" t="s">
        <v>79</v>
      </c>
      <c r="G3914">
        <v>-291.35759999999999</v>
      </c>
      <c r="H3914" s="1">
        <v>-9.3190949999999999E-6</v>
      </c>
      <c r="I3914">
        <v>141.54249999999999</v>
      </c>
      <c r="J3914">
        <v>-270.92559999999997</v>
      </c>
      <c r="K3914">
        <v>1.1087579999999999</v>
      </c>
      <c r="L3914">
        <v>140.8252</v>
      </c>
      <c r="M3914">
        <v>-0.99979949999999995</v>
      </c>
      <c r="N3914">
        <v>-1.057721E-2</v>
      </c>
      <c r="O3914">
        <v>1.7001740000000001E-2</v>
      </c>
      <c r="P3914">
        <v>-0.99728249999999996</v>
      </c>
      <c r="Q3914">
        <v>-2.919091E-2</v>
      </c>
      <c r="R3914">
        <v>-6.7640720000000001E-2</v>
      </c>
      <c r="S3914">
        <v>-3.0103759999999999</v>
      </c>
      <c r="T3914">
        <v>-0.1604921</v>
      </c>
      <c r="U3914">
        <v>0.1047211</v>
      </c>
      <c r="V3914">
        <v>-8.458968E-2</v>
      </c>
      <c r="W3914">
        <v>-1.8644790000000001E-2</v>
      </c>
      <c r="X3914">
        <v>0.99624140000000005</v>
      </c>
      <c r="Y3914">
        <v>1.7753540000000002E-2</v>
      </c>
      <c r="Z3914">
        <v>-1.5892750000000001E-4</v>
      </c>
      <c r="AA3914">
        <v>0.99984240000000002</v>
      </c>
      <c r="AB3914">
        <v>40</v>
      </c>
      <c r="AC3914">
        <v>-20.431999999999999</v>
      </c>
      <c r="AD3914">
        <v>-1.10876731909499</v>
      </c>
      <c r="AE3914">
        <v>0.71729999999999405</v>
      </c>
      <c r="AF3914">
        <v>0.36871286328590902</v>
      </c>
      <c r="AG3914">
        <v>-1.10876731909499</v>
      </c>
      <c r="AH3914">
        <v>20.381297044342499</v>
      </c>
      <c r="AI3914">
        <v>93.113382163860294</v>
      </c>
      <c r="AJ3914">
        <v>88.963589673044794</v>
      </c>
      <c r="AK3914">
        <v>20.414763857394298</v>
      </c>
      <c r="AL3914">
        <v>91.068329696362696</v>
      </c>
      <c r="AM3914">
        <v>94.853276026672702</v>
      </c>
      <c r="AN3914">
        <v>0.99999998461530304</v>
      </c>
    </row>
    <row r="3915" spans="1:40" x14ac:dyDescent="0.25">
      <c r="A3915" t="str">
        <f>"20190305135908397"</f>
        <v>20190305135908397</v>
      </c>
      <c r="B3915" t="str">
        <f>"1551765548393127"</f>
        <v>1551765548393127</v>
      </c>
      <c r="C3915" t="s">
        <v>40</v>
      </c>
      <c r="D3915">
        <v>4.0302220000000002</v>
      </c>
      <c r="E3915">
        <v>0.53744259999999999</v>
      </c>
      <c r="F3915" t="s">
        <v>79</v>
      </c>
      <c r="G3915">
        <v>-291.39949999999999</v>
      </c>
      <c r="H3915" s="1">
        <v>-9.3091310000000002E-6</v>
      </c>
      <c r="I3915">
        <v>141.52109999999999</v>
      </c>
      <c r="J3915">
        <v>-271.32429999999999</v>
      </c>
      <c r="K3915">
        <v>1.10876</v>
      </c>
      <c r="L3915">
        <v>140.83199999999999</v>
      </c>
      <c r="M3915">
        <v>-0.99979980000000002</v>
      </c>
      <c r="N3915">
        <v>-1.057465E-2</v>
      </c>
      <c r="O3915">
        <v>1.6986029999999999E-2</v>
      </c>
      <c r="P3915">
        <v>-0.99722670000000002</v>
      </c>
      <c r="Q3915">
        <v>-3.0167329999999999E-2</v>
      </c>
      <c r="R3915">
        <v>-6.8038109999999999E-2</v>
      </c>
      <c r="S3915">
        <v>-3.0103759999999999</v>
      </c>
      <c r="T3915">
        <v>-0.16302739999999999</v>
      </c>
      <c r="U3915">
        <v>0.1023102</v>
      </c>
      <c r="V3915">
        <v>-8.4969539999999996E-2</v>
      </c>
      <c r="W3915">
        <v>-1.962711E-2</v>
      </c>
      <c r="X3915">
        <v>0.99619020000000003</v>
      </c>
      <c r="Y3915">
        <v>1.6970570000000001E-2</v>
      </c>
      <c r="Z3915">
        <v>-1.904664E-4</v>
      </c>
      <c r="AA3915">
        <v>0.99985599999999997</v>
      </c>
      <c r="AB3915">
        <v>40</v>
      </c>
      <c r="AC3915">
        <v>-20.075199999999899</v>
      </c>
      <c r="AD3915">
        <v>-1.108769309131</v>
      </c>
      <c r="AE3915">
        <v>0.68909999999999605</v>
      </c>
      <c r="AF3915">
        <v>0.346926518178994</v>
      </c>
      <c r="AG3915">
        <v>-1.108769309131</v>
      </c>
      <c r="AH3915">
        <v>20.023001990661101</v>
      </c>
      <c r="AI3915">
        <v>93.1690294775251</v>
      </c>
      <c r="AJ3915">
        <v>89.0073697957246</v>
      </c>
      <c r="AK3915">
        <v>20.056678092543301</v>
      </c>
      <c r="AL3915">
        <v>91.124622802171899</v>
      </c>
      <c r="AM3915">
        <v>94.875214785675695</v>
      </c>
      <c r="AN3915">
        <v>0.99999998037540105</v>
      </c>
    </row>
    <row r="3916" spans="1:40" x14ac:dyDescent="0.25">
      <c r="A3916" t="str">
        <f>"20190305135908420"</f>
        <v>20190305135908420</v>
      </c>
      <c r="B3916" t="str">
        <f>"1551765548412647"</f>
        <v>1551765548412647</v>
      </c>
      <c r="C3916" t="s">
        <v>40</v>
      </c>
      <c r="D3916">
        <v>4.0406089999999999</v>
      </c>
      <c r="E3916">
        <v>0.52186100000000002</v>
      </c>
      <c r="F3916" t="s">
        <v>79</v>
      </c>
      <c r="G3916">
        <v>-291.28680000000003</v>
      </c>
      <c r="H3916" s="1">
        <v>-9.3135130000000004E-6</v>
      </c>
      <c r="I3916">
        <v>141.49680000000001</v>
      </c>
      <c r="J3916">
        <v>-271.74919999999997</v>
      </c>
      <c r="K3916">
        <v>1.10876</v>
      </c>
      <c r="L3916">
        <v>140.83930000000001</v>
      </c>
      <c r="M3916">
        <v>-0.99980009999999997</v>
      </c>
      <c r="N3916">
        <v>-1.057247E-2</v>
      </c>
      <c r="O3916">
        <v>1.6969390000000001E-2</v>
      </c>
      <c r="P3916">
        <v>-0.99719749999999996</v>
      </c>
      <c r="Q3916">
        <v>-3.1133359999999999E-2</v>
      </c>
      <c r="R3916">
        <v>-6.8031359999999999E-2</v>
      </c>
      <c r="S3916">
        <v>-3.010132</v>
      </c>
      <c r="T3916">
        <v>-0.1671907</v>
      </c>
      <c r="U3916">
        <v>0.100235</v>
      </c>
      <c r="V3916">
        <v>-8.4945080000000006E-2</v>
      </c>
      <c r="W3916">
        <v>-2.059776E-2</v>
      </c>
      <c r="X3916">
        <v>0.99617270000000002</v>
      </c>
      <c r="Y3916">
        <v>1.6302259999999999E-2</v>
      </c>
      <c r="Z3916">
        <v>-2.2362289999999999E-4</v>
      </c>
      <c r="AA3916">
        <v>0.99986710000000001</v>
      </c>
      <c r="AB3916">
        <v>40</v>
      </c>
      <c r="AC3916">
        <v>-19.537600000000001</v>
      </c>
      <c r="AD3916">
        <v>-1.1087693135129999</v>
      </c>
      <c r="AE3916">
        <v>0.65749999999999797</v>
      </c>
      <c r="AF3916">
        <v>0.32480074934259401</v>
      </c>
      <c r="AG3916">
        <v>-1.1087693135129999</v>
      </c>
      <c r="AH3916">
        <v>19.483267169196399</v>
      </c>
      <c r="AI3916">
        <v>93.256669253523</v>
      </c>
      <c r="AJ3916">
        <v>89.044924638196903</v>
      </c>
      <c r="AK3916">
        <v>19.517493806932499</v>
      </c>
      <c r="AL3916">
        <v>91.180248192618905</v>
      </c>
      <c r="AM3916">
        <v>94.873903336260796</v>
      </c>
      <c r="AN3916">
        <v>0.99999999127925698</v>
      </c>
    </row>
    <row r="3917" spans="1:40" x14ac:dyDescent="0.25">
      <c r="A3917" t="str">
        <f>"20190305135908442"</f>
        <v>20190305135908442</v>
      </c>
      <c r="B3917" t="str">
        <f>"1551765548433142"</f>
        <v>1551765548433142</v>
      </c>
      <c r="C3917" t="s">
        <v>40</v>
      </c>
      <c r="D3917">
        <v>4.0514419999999998</v>
      </c>
      <c r="E3917">
        <v>0.51902749999999997</v>
      </c>
      <c r="F3917" t="s">
        <v>79</v>
      </c>
      <c r="G3917">
        <v>-293.68119999999999</v>
      </c>
      <c r="H3917" s="1">
        <v>-8.8754359999999999E-6</v>
      </c>
      <c r="I3917">
        <v>140.6542</v>
      </c>
      <c r="J3917">
        <v>-272.16539999999998</v>
      </c>
      <c r="K3917">
        <v>1.10876</v>
      </c>
      <c r="L3917">
        <v>140.84630000000001</v>
      </c>
      <c r="M3917">
        <v>-0.99980049999999998</v>
      </c>
      <c r="N3917">
        <v>-1.0570980000000001E-2</v>
      </c>
      <c r="O3917">
        <v>1.6952080000000001E-2</v>
      </c>
      <c r="P3917">
        <v>-0.99719480000000005</v>
      </c>
      <c r="Q3917">
        <v>-3.1458519999999997E-2</v>
      </c>
      <c r="R3917">
        <v>-6.7920259999999996E-2</v>
      </c>
      <c r="S3917">
        <v>-3.0019529999999999</v>
      </c>
      <c r="T3917">
        <v>-0.1517637</v>
      </c>
      <c r="U3917">
        <v>-2.5329589999999999E-2</v>
      </c>
      <c r="V3917">
        <v>-8.4816740000000002E-2</v>
      </c>
      <c r="W3917">
        <v>-2.0925920000000001E-2</v>
      </c>
      <c r="X3917">
        <v>0.99617679999999997</v>
      </c>
      <c r="Y3917">
        <v>-2.5335949999999999E-2</v>
      </c>
      <c r="Z3917">
        <v>-1.451351E-3</v>
      </c>
      <c r="AA3917">
        <v>0.99967799999999996</v>
      </c>
      <c r="AB3917">
        <v>41</v>
      </c>
      <c r="AC3917">
        <v>-21.515799999999999</v>
      </c>
      <c r="AD3917">
        <v>-1.1087688754359999</v>
      </c>
      <c r="AE3917">
        <v>-0.19210000000001001</v>
      </c>
      <c r="AF3917">
        <v>-0.55535560762200398</v>
      </c>
      <c r="AG3917">
        <v>-1.1087688754359999</v>
      </c>
      <c r="AH3917">
        <v>21.452485969044599</v>
      </c>
      <c r="AI3917">
        <v>92.957702891273598</v>
      </c>
      <c r="AJ3917">
        <v>91.482924969578207</v>
      </c>
      <c r="AK3917">
        <v>21.488297804202901</v>
      </c>
      <c r="AL3917">
        <v>91.199054424877104</v>
      </c>
      <c r="AM3917">
        <v>94.866555016839698</v>
      </c>
      <c r="AN3917">
        <v>0.99999999518515603</v>
      </c>
    </row>
    <row r="3918" spans="1:40" x14ac:dyDescent="0.25">
      <c r="A3918" t="str">
        <f>"20190305135908463"</f>
        <v>20190305135908463</v>
      </c>
      <c r="B3918" t="str">
        <f>"1551765548452662"</f>
        <v>1551765548452662</v>
      </c>
      <c r="C3918" t="s">
        <v>40</v>
      </c>
      <c r="D3918">
        <v>4.0600120000000004</v>
      </c>
      <c r="E3918">
        <v>0.5177349</v>
      </c>
      <c r="F3918" t="s">
        <v>79</v>
      </c>
      <c r="G3918">
        <v>-293.74549999999999</v>
      </c>
      <c r="H3918" s="1">
        <v>-8.8303439999999995E-6</v>
      </c>
      <c r="I3918">
        <v>140.50470000000001</v>
      </c>
      <c r="J3918">
        <v>-272.54640000000001</v>
      </c>
      <c r="K3918">
        <v>1.1087689999999999</v>
      </c>
      <c r="L3918">
        <v>140.8528</v>
      </c>
      <c r="M3918">
        <v>-0.99980089999999999</v>
      </c>
      <c r="N3918">
        <v>-1.057014E-2</v>
      </c>
      <c r="O3918">
        <v>1.6935450000000001E-2</v>
      </c>
      <c r="P3918">
        <v>-0.99723260000000002</v>
      </c>
      <c r="Q3918">
        <v>-3.0446520000000001E-2</v>
      </c>
      <c r="R3918">
        <v>-6.7825869999999996E-2</v>
      </c>
      <c r="S3918">
        <v>-3.0003660000000001</v>
      </c>
      <c r="T3918">
        <v>-0.15415609999999999</v>
      </c>
      <c r="U3918">
        <v>-4.7500609999999999E-2</v>
      </c>
      <c r="V3918">
        <v>-8.4706390000000006E-2</v>
      </c>
      <c r="W3918">
        <v>-1.991538E-2</v>
      </c>
      <c r="X3918">
        <v>0.99620690000000001</v>
      </c>
      <c r="Y3918">
        <v>-3.269553E-2</v>
      </c>
      <c r="Z3918">
        <v>-1.7028659999999999E-3</v>
      </c>
      <c r="AA3918">
        <v>0.99946389999999996</v>
      </c>
      <c r="AB3918">
        <v>41</v>
      </c>
      <c r="AC3918">
        <v>-21.199099999999898</v>
      </c>
      <c r="AD3918">
        <v>-1.1087778303439999</v>
      </c>
      <c r="AE3918">
        <v>-0.34809999999998797</v>
      </c>
      <c r="AF3918">
        <v>-0.70515784280681604</v>
      </c>
      <c r="AG3918">
        <v>-1.1087778303439999</v>
      </c>
      <c r="AH3918">
        <v>21.132369490635</v>
      </c>
      <c r="AI3918">
        <v>93.001785884906198</v>
      </c>
      <c r="AJ3918">
        <v>91.911171518461501</v>
      </c>
      <c r="AK3918">
        <v>21.173182947990099</v>
      </c>
      <c r="AL3918">
        <v>91.141142673661307</v>
      </c>
      <c r="AM3918">
        <v>94.860107634566702</v>
      </c>
      <c r="AN3918">
        <v>0.99999999123749295</v>
      </c>
    </row>
    <row r="3919" spans="1:40" x14ac:dyDescent="0.25">
      <c r="A3919" t="str">
        <f>"20190305135908485"</f>
        <v>20190305135908485</v>
      </c>
      <c r="B3919" t="str">
        <f>"1551765548473158"</f>
        <v>1551765548473158</v>
      </c>
      <c r="C3919" t="s">
        <v>40</v>
      </c>
      <c r="D3919">
        <v>4.0666699999999896</v>
      </c>
      <c r="E3919">
        <v>0.51720109999999997</v>
      </c>
      <c r="F3919" t="s">
        <v>79</v>
      </c>
      <c r="G3919">
        <v>-293.44639999999998</v>
      </c>
      <c r="H3919" s="1">
        <v>-8.8437789999999907E-6</v>
      </c>
      <c r="I3919">
        <v>140.45599999999999</v>
      </c>
      <c r="J3919">
        <v>-272.93740000000003</v>
      </c>
      <c r="K3919">
        <v>1.1087750000000001</v>
      </c>
      <c r="L3919">
        <v>140.85939999999999</v>
      </c>
      <c r="M3919">
        <v>-0.99980100000000005</v>
      </c>
      <c r="N3919">
        <v>-1.056971E-2</v>
      </c>
      <c r="O3919">
        <v>1.6918059999999999E-2</v>
      </c>
      <c r="P3919">
        <v>-0.99731809999999999</v>
      </c>
      <c r="Q3919">
        <v>-2.9679290000000001E-2</v>
      </c>
      <c r="R3919">
        <v>-6.6901769999999999E-2</v>
      </c>
      <c r="S3919">
        <v>-2.999603</v>
      </c>
      <c r="T3919">
        <v>-0.15913329999999901</v>
      </c>
      <c r="U3919">
        <v>-5.6945799999999998E-2</v>
      </c>
      <c r="V3919">
        <v>-8.3766560000000004E-2</v>
      </c>
      <c r="W3919">
        <v>-1.9148310000000002E-2</v>
      </c>
      <c r="X3919">
        <v>0.9963014</v>
      </c>
      <c r="Y3919">
        <v>-3.5818610000000001E-2</v>
      </c>
      <c r="Z3919">
        <v>-1.8569540000000001E-3</v>
      </c>
      <c r="AA3919">
        <v>0.99935660000000004</v>
      </c>
      <c r="AB3919">
        <v>41</v>
      </c>
      <c r="AC3919">
        <v>-20.508999999999901</v>
      </c>
      <c r="AD3919">
        <v>-1.1087838437790001</v>
      </c>
      <c r="AE3919">
        <v>-0.403399999999976</v>
      </c>
      <c r="AF3919">
        <v>-0.74814826732527095</v>
      </c>
      <c r="AG3919">
        <v>-1.1087838437790001</v>
      </c>
      <c r="AH3919">
        <v>20.439520971335401</v>
      </c>
      <c r="AI3919">
        <v>93.103010022183099</v>
      </c>
      <c r="AJ3919">
        <v>92.096262922703801</v>
      </c>
      <c r="AK3919">
        <v>20.4832405878511</v>
      </c>
      <c r="AL3919">
        <v>91.0971844175765</v>
      </c>
      <c r="AM3919">
        <v>94.805984290585997</v>
      </c>
      <c r="AN3919">
        <v>0.99999998699602399</v>
      </c>
    </row>
    <row r="3920" spans="1:40" x14ac:dyDescent="0.25">
      <c r="A3920" t="str">
        <f>"20190305135908508"</f>
        <v>20190305135908508</v>
      </c>
      <c r="B3920" t="str">
        <f>"1551765548502439"</f>
        <v>1551765548502439</v>
      </c>
      <c r="C3920" t="s">
        <v>40</v>
      </c>
      <c r="D3920">
        <v>4.0599959999999999</v>
      </c>
      <c r="E3920">
        <v>0.51694090000000004</v>
      </c>
      <c r="F3920" t="s">
        <v>79</v>
      </c>
      <c r="G3920">
        <v>-293.46640000000002</v>
      </c>
      <c r="H3920" s="1">
        <v>-8.8436620000000008E-6</v>
      </c>
      <c r="I3920">
        <v>140.4622</v>
      </c>
      <c r="J3920">
        <v>-273.35829999999999</v>
      </c>
      <c r="K3920">
        <v>1.1087769999999999</v>
      </c>
      <c r="L3920">
        <v>140.8665</v>
      </c>
      <c r="M3920">
        <v>-0.99980139999999995</v>
      </c>
      <c r="N3920">
        <v>-1.056967E-2</v>
      </c>
      <c r="O3920">
        <v>1.6899129999999998E-2</v>
      </c>
      <c r="P3920">
        <v>-0.99737370000000003</v>
      </c>
      <c r="Q3920">
        <v>-2.9407300000000001E-2</v>
      </c>
      <c r="R3920">
        <v>-6.6189620000000005E-2</v>
      </c>
      <c r="S3920">
        <v>-2.9993289999999999</v>
      </c>
      <c r="T3920">
        <v>-0.16199549999999999</v>
      </c>
      <c r="U3920">
        <v>-5.8029169999999998E-2</v>
      </c>
      <c r="V3920">
        <v>-8.3035830000000005E-2</v>
      </c>
      <c r="W3920">
        <v>-1.887629E-2</v>
      </c>
      <c r="X3920">
        <v>0.99636780000000003</v>
      </c>
      <c r="Y3920">
        <v>-3.615898E-2</v>
      </c>
      <c r="Z3920">
        <v>-1.900452E-3</v>
      </c>
      <c r="AA3920">
        <v>0.99934420000000002</v>
      </c>
      <c r="AB3920">
        <v>41</v>
      </c>
      <c r="AC3920">
        <v>-20.1081</v>
      </c>
      <c r="AD3920">
        <v>-1.1087858436619999</v>
      </c>
      <c r="AE3920">
        <v>-0.40430000000000599</v>
      </c>
      <c r="AF3920">
        <v>-0.74181599183568503</v>
      </c>
      <c r="AG3920">
        <v>-1.1087858436619999</v>
      </c>
      <c r="AH3920">
        <v>20.0374949905001</v>
      </c>
      <c r="AI3920">
        <v>93.165099609418803</v>
      </c>
      <c r="AJ3920">
        <v>92.120201329701104</v>
      </c>
      <c r="AK3920">
        <v>20.081855056422601</v>
      </c>
      <c r="AL3920">
        <v>91.081595957276406</v>
      </c>
      <c r="AM3920">
        <v>94.763937510370994</v>
      </c>
      <c r="AN3920">
        <v>1.00000002813239</v>
      </c>
    </row>
    <row r="3921" spans="1:40" x14ac:dyDescent="0.25">
      <c r="A3921" t="str">
        <f>"20190305135908532"</f>
        <v>20190305135908532</v>
      </c>
      <c r="B3921" t="str">
        <f>"1551765548522938"</f>
        <v>1551765548522938</v>
      </c>
      <c r="C3921" t="s">
        <v>40</v>
      </c>
      <c r="D3921">
        <v>4.0537359999999998</v>
      </c>
      <c r="E3921">
        <v>0.5169475</v>
      </c>
      <c r="F3921" t="s">
        <v>79</v>
      </c>
      <c r="G3921">
        <v>-293.47680000000003</v>
      </c>
      <c r="H3921" s="1">
        <v>-8.8473430000000001E-6</v>
      </c>
      <c r="I3921">
        <v>140.4796</v>
      </c>
      <c r="J3921">
        <v>-273.79480000000001</v>
      </c>
      <c r="K3921">
        <v>1.108781</v>
      </c>
      <c r="L3921">
        <v>140.87379999999999</v>
      </c>
      <c r="M3921">
        <v>-0.99980170000000002</v>
      </c>
      <c r="N3921">
        <v>-1.056697E-2</v>
      </c>
      <c r="O3921">
        <v>1.6879559999999998E-2</v>
      </c>
      <c r="P3921">
        <v>-0.99745079999999997</v>
      </c>
      <c r="Q3921">
        <v>-2.862143E-2</v>
      </c>
      <c r="R3921">
        <v>-6.536641E-2</v>
      </c>
      <c r="S3921">
        <v>-2.9992070000000002</v>
      </c>
      <c r="T3921">
        <v>-0.165295</v>
      </c>
      <c r="U3921">
        <v>-5.7678220000000002E-2</v>
      </c>
      <c r="V3921">
        <v>-8.2194630000000005E-2</v>
      </c>
      <c r="W3921">
        <v>-1.809268E-2</v>
      </c>
      <c r="X3921">
        <v>0.996452</v>
      </c>
      <c r="Y3921">
        <v>-3.6020379999999998E-2</v>
      </c>
      <c r="Z3921">
        <v>-1.9335089999999999E-3</v>
      </c>
      <c r="AA3921">
        <v>0.99934920000000005</v>
      </c>
      <c r="AB3921">
        <v>41</v>
      </c>
      <c r="AC3921">
        <v>-19.681999999999999</v>
      </c>
      <c r="AD3921">
        <v>-1.108789847343</v>
      </c>
      <c r="AE3921">
        <v>-0.39419999999998301</v>
      </c>
      <c r="AF3921">
        <v>-0.72408879025091499</v>
      </c>
      <c r="AG3921">
        <v>-1.108789847343</v>
      </c>
      <c r="AH3921">
        <v>19.610329789376699</v>
      </c>
      <c r="AI3921">
        <v>93.233922405169594</v>
      </c>
      <c r="AJ3921">
        <v>92.114619864804794</v>
      </c>
      <c r="AK3921">
        <v>19.654993104802902</v>
      </c>
      <c r="AL3921">
        <v>91.036690825322395</v>
      </c>
      <c r="AM3921">
        <v>94.715498207357101</v>
      </c>
      <c r="AN3921">
        <v>0.99999994528720804</v>
      </c>
    </row>
    <row r="3922" spans="1:40" x14ac:dyDescent="0.25">
      <c r="A3922" t="str">
        <f>"20190305135908555"</f>
        <v>20190305135908555</v>
      </c>
      <c r="B3922" t="str">
        <f>"1551765548543431"</f>
        <v>1551765548543431</v>
      </c>
      <c r="C3922" t="s">
        <v>40</v>
      </c>
      <c r="D3922">
        <v>4.0734159999999999</v>
      </c>
      <c r="E3922">
        <v>0.51686100000000001</v>
      </c>
      <c r="F3922" t="s">
        <v>79</v>
      </c>
      <c r="G3922">
        <v>-293.77940000000001</v>
      </c>
      <c r="H3922" s="1">
        <v>-8.8282609999999998E-6</v>
      </c>
      <c r="I3922">
        <v>140.50799999999899</v>
      </c>
      <c r="J3922">
        <v>-274.19229999999999</v>
      </c>
      <c r="K3922">
        <v>1.1087910000000001</v>
      </c>
      <c r="L3922">
        <v>140.88059999999999</v>
      </c>
      <c r="M3922">
        <v>-0.99980219999999997</v>
      </c>
      <c r="N3922">
        <v>-1.0560770000000001E-2</v>
      </c>
      <c r="O3922">
        <v>1.6861689999999999E-2</v>
      </c>
      <c r="P3922">
        <v>-0.99752960000000002</v>
      </c>
      <c r="Q3922">
        <v>-2.7034289999999999E-2</v>
      </c>
      <c r="R3922">
        <v>-6.4839939999999999E-2</v>
      </c>
      <c r="S3922">
        <v>-2.9993289999999999</v>
      </c>
      <c r="T3922">
        <v>-0.16640949999999999</v>
      </c>
      <c r="U3922">
        <v>-5.4901119999999998E-2</v>
      </c>
      <c r="V3922">
        <v>-8.1651399999999902E-2</v>
      </c>
      <c r="W3922">
        <v>-1.6511209999999998E-2</v>
      </c>
      <c r="X3922">
        <v>0.99652419999999997</v>
      </c>
      <c r="Y3922">
        <v>-3.5077400000000002E-2</v>
      </c>
      <c r="Z3922">
        <v>-1.9144489999999999E-3</v>
      </c>
      <c r="AA3922">
        <v>0.99938280000000002</v>
      </c>
      <c r="AB3922">
        <v>41</v>
      </c>
      <c r="AC3922">
        <v>-19.5871</v>
      </c>
      <c r="AD3922">
        <v>-1.1087998282610001</v>
      </c>
      <c r="AE3922">
        <v>-0.37260000000000498</v>
      </c>
      <c r="AF3922">
        <v>-0.70059273531776101</v>
      </c>
      <c r="AG3922">
        <v>-1.1087998282610001</v>
      </c>
      <c r="AH3922">
        <v>19.515516331420599</v>
      </c>
      <c r="AI3922">
        <v>93.249750386440397</v>
      </c>
      <c r="AJ3922">
        <v>92.055993575840503</v>
      </c>
      <c r="AK3922">
        <v>19.5595410202253</v>
      </c>
      <c r="AL3922">
        <v>90.946065612280904</v>
      </c>
      <c r="AM3922">
        <v>94.684134421662904</v>
      </c>
      <c r="AN3922">
        <v>1.00000002618163</v>
      </c>
    </row>
    <row r="3923" spans="1:40" x14ac:dyDescent="0.25">
      <c r="A3923" t="str">
        <f>"20190305135908575"</f>
        <v>20190305135908575</v>
      </c>
      <c r="B3923" t="str">
        <f>"1551765548562951"</f>
        <v>1551765548562951</v>
      </c>
      <c r="C3923" t="s">
        <v>40</v>
      </c>
      <c r="D3923">
        <v>4.0731039999999998</v>
      </c>
      <c r="E3923">
        <v>0.51679579999999903</v>
      </c>
      <c r="F3923" t="s">
        <v>79</v>
      </c>
      <c r="G3923">
        <v>-294.41520000000003</v>
      </c>
      <c r="H3923" s="1">
        <v>-8.7751239999999906E-6</v>
      </c>
      <c r="I3923">
        <v>140.51830000000001</v>
      </c>
      <c r="J3923">
        <v>-274.57139999999998</v>
      </c>
      <c r="K3923">
        <v>1.1088</v>
      </c>
      <c r="L3923">
        <v>140.8869</v>
      </c>
      <c r="M3923">
        <v>-0.99980259999999999</v>
      </c>
      <c r="N3923">
        <v>-1.0554259999999999E-2</v>
      </c>
      <c r="O3923">
        <v>1.684478E-2</v>
      </c>
      <c r="P3923">
        <v>-0.99758820000000004</v>
      </c>
      <c r="Q3923">
        <v>-2.5734670000000001E-2</v>
      </c>
      <c r="R3923">
        <v>-6.446607E-2</v>
      </c>
      <c r="S3923">
        <v>-2.9994809999999998</v>
      </c>
      <c r="T3923">
        <v>-0.16445879999999999</v>
      </c>
      <c r="U3923">
        <v>-5.3726200000000002E-2</v>
      </c>
      <c r="V3923">
        <v>-8.1261990000000006E-2</v>
      </c>
      <c r="W3923">
        <v>-1.521773E-2</v>
      </c>
      <c r="X3923">
        <v>0.99657660000000003</v>
      </c>
      <c r="Y3923">
        <v>-3.4670840000000001E-2</v>
      </c>
      <c r="Z3923">
        <v>-1.877994E-3</v>
      </c>
      <c r="AA3923">
        <v>0.99939699999999998</v>
      </c>
      <c r="AB3923">
        <v>41</v>
      </c>
      <c r="AC3923">
        <v>-19.843800000000002</v>
      </c>
      <c r="AD3923">
        <v>-1.1088087751239999</v>
      </c>
      <c r="AE3923">
        <v>-0.36859999999998599</v>
      </c>
      <c r="AF3923">
        <v>-0.70064388651668896</v>
      </c>
      <c r="AG3923">
        <v>-1.1088087751239999</v>
      </c>
      <c r="AH3923">
        <v>19.773060283116799</v>
      </c>
      <c r="AI3923">
        <v>93.207590221532598</v>
      </c>
      <c r="AJ3923">
        <v>92.029384845100594</v>
      </c>
      <c r="AK3923">
        <v>19.8165151254017</v>
      </c>
      <c r="AL3923">
        <v>90.871945354704707</v>
      </c>
      <c r="AM3923">
        <v>94.661649612448599</v>
      </c>
      <c r="AN3923">
        <v>1.00000000499633</v>
      </c>
    </row>
    <row r="3924" spans="1:40" x14ac:dyDescent="0.25">
      <c r="A3924" t="str">
        <f>"20190305135908597"</f>
        <v>20190305135908597</v>
      </c>
      <c r="B3924" t="str">
        <f>"1551765548593207"</f>
        <v>1551765548593207</v>
      </c>
      <c r="C3924" t="s">
        <v>40</v>
      </c>
      <c r="D3924">
        <v>4.043914</v>
      </c>
      <c r="E3924">
        <v>0.51708359999999998</v>
      </c>
      <c r="F3924" t="s">
        <v>79</v>
      </c>
      <c r="G3924">
        <v>-294.95479999999998</v>
      </c>
      <c r="H3924" s="1">
        <v>-8.7302089999999995E-6</v>
      </c>
      <c r="I3924">
        <v>140.52780000000001</v>
      </c>
      <c r="J3924">
        <v>-274.97559999999999</v>
      </c>
      <c r="K3924">
        <v>1.1088119999999999</v>
      </c>
      <c r="L3924">
        <v>140.8937</v>
      </c>
      <c r="M3924">
        <v>-0.99980279999999999</v>
      </c>
      <c r="N3924">
        <v>-1.054805E-2</v>
      </c>
      <c r="O3924">
        <v>1.682674E-2</v>
      </c>
      <c r="P3924">
        <v>-0.99759799999999998</v>
      </c>
      <c r="Q3924">
        <v>-2.421183E-2</v>
      </c>
      <c r="R3924">
        <v>-6.4899990000000005E-2</v>
      </c>
      <c r="S3924">
        <v>-2.9996339999999999</v>
      </c>
      <c r="T3924">
        <v>-0.1631727</v>
      </c>
      <c r="U3924">
        <v>-5.2856449999999999E-2</v>
      </c>
      <c r="V3924">
        <v>-8.1677669999999994E-2</v>
      </c>
      <c r="W3924">
        <v>-1.3701319999999999E-2</v>
      </c>
      <c r="X3924">
        <v>0.99656460000000002</v>
      </c>
      <c r="Y3924">
        <v>-3.4363980000000002E-2</v>
      </c>
      <c r="Z3924">
        <v>-1.8525239999999999E-3</v>
      </c>
      <c r="AA3924">
        <v>0.99940759999999995</v>
      </c>
      <c r="AB3924">
        <v>41</v>
      </c>
      <c r="AC3924">
        <v>-19.979199999999899</v>
      </c>
      <c r="AD3924">
        <v>-1.1088207302090001</v>
      </c>
      <c r="AE3924">
        <v>-0.36589999999998202</v>
      </c>
      <c r="AF3924">
        <v>-0.699896654031262</v>
      </c>
      <c r="AG3924">
        <v>-1.1088207302090001</v>
      </c>
      <c r="AH3924">
        <v>19.908912674563702</v>
      </c>
      <c r="AI3924">
        <v>93.185813416657993</v>
      </c>
      <c r="AJ3924">
        <v>92.013400598093298</v>
      </c>
      <c r="AK3924">
        <v>19.9520460760662</v>
      </c>
      <c r="AL3924">
        <v>90.785052385352003</v>
      </c>
      <c r="AM3924">
        <v>94.685445649414504</v>
      </c>
      <c r="AN3924">
        <v>0.99999998495976505</v>
      </c>
    </row>
    <row r="3925" spans="1:40" x14ac:dyDescent="0.25">
      <c r="A3925" t="str">
        <f>"20190305135908621"</f>
        <v>20190305135908621</v>
      </c>
      <c r="B3925" t="str">
        <f>"1551765548612730"</f>
        <v>1551765548612730</v>
      </c>
      <c r="C3925" t="s">
        <v>40</v>
      </c>
      <c r="D3925">
        <v>3.9036230000000001</v>
      </c>
      <c r="E3925">
        <v>0.52867039999999998</v>
      </c>
      <c r="F3925" t="s">
        <v>79</v>
      </c>
      <c r="G3925">
        <v>-296.29480000000001</v>
      </c>
      <c r="H3925" s="1">
        <v>-8.6111919999999996E-6</v>
      </c>
      <c r="I3925">
        <v>140.52279999999999</v>
      </c>
      <c r="J3925">
        <v>-275.4117</v>
      </c>
      <c r="K3925">
        <v>1.1088100000000001</v>
      </c>
      <c r="L3925">
        <v>140.90100000000001</v>
      </c>
      <c r="M3925">
        <v>-0.99980340000000001</v>
      </c>
      <c r="N3925">
        <v>-1.054217E-2</v>
      </c>
      <c r="O3925">
        <v>1.6806740000000001E-2</v>
      </c>
      <c r="P3925">
        <v>-0.99755320000000003</v>
      </c>
      <c r="Q3925">
        <v>-2.3419240000000001E-2</v>
      </c>
      <c r="R3925">
        <v>-6.587606E-2</v>
      </c>
      <c r="S3925">
        <v>-3.0000309999999999</v>
      </c>
      <c r="T3925">
        <v>-0.15603300000000001</v>
      </c>
      <c r="U3925">
        <v>-5.2200320000000001E-2</v>
      </c>
      <c r="V3925">
        <v>-8.2633170000000006E-2</v>
      </c>
      <c r="W3925">
        <v>-1.291542E-2</v>
      </c>
      <c r="X3925">
        <v>0.9964963</v>
      </c>
      <c r="Y3925">
        <v>-3.4130050000000002E-2</v>
      </c>
      <c r="Z3925">
        <v>-1.7633569999999999E-3</v>
      </c>
      <c r="AA3925">
        <v>0.99941590000000002</v>
      </c>
      <c r="AB3925">
        <v>41</v>
      </c>
      <c r="AC3925">
        <v>-20.883099999999999</v>
      </c>
      <c r="AD3925">
        <v>-1.108818611192</v>
      </c>
      <c r="AE3925">
        <v>-0.37820000000002002</v>
      </c>
      <c r="AF3925">
        <v>-0.72709366041554402</v>
      </c>
      <c r="AG3925">
        <v>-1.108818611192</v>
      </c>
      <c r="AH3925">
        <v>20.815129941048301</v>
      </c>
      <c r="AI3925">
        <v>93.047399728931794</v>
      </c>
      <c r="AJ3925">
        <v>92.000586430757096</v>
      </c>
      <c r="AK3925">
        <v>20.857319539343202</v>
      </c>
      <c r="AL3925">
        <v>90.740019658989496</v>
      </c>
      <c r="AM3925">
        <v>94.740333062316296</v>
      </c>
      <c r="AN3925">
        <v>0.99999996238585698</v>
      </c>
    </row>
    <row r="3926" spans="1:40" x14ac:dyDescent="0.25">
      <c r="A3926" t="str">
        <f>"20190305135908642"</f>
        <v>20190305135908642</v>
      </c>
      <c r="B3926" t="str">
        <f>"1551765548633223"</f>
        <v>1551765548633223</v>
      </c>
      <c r="C3926" t="s">
        <v>40</v>
      </c>
      <c r="D3926">
        <v>5.0847490000000004</v>
      </c>
      <c r="E3926">
        <v>0.53452919999999904</v>
      </c>
      <c r="F3926" t="s">
        <v>42</v>
      </c>
      <c r="G3926">
        <v>-332.73219999999998</v>
      </c>
      <c r="H3926" s="1">
        <v>-3.9110079999999997E-6</v>
      </c>
      <c r="I3926">
        <v>141.4768</v>
      </c>
      <c r="J3926">
        <v>-275.80410000000001</v>
      </c>
      <c r="K3926">
        <v>1.1088150000000001</v>
      </c>
      <c r="L3926">
        <v>140.9076</v>
      </c>
      <c r="M3926">
        <v>-0.99980360000000001</v>
      </c>
      <c r="N3926">
        <v>-1.053742E-2</v>
      </c>
      <c r="O3926">
        <v>1.67887E-2</v>
      </c>
      <c r="P3926">
        <v>-0.99753860000000005</v>
      </c>
      <c r="Q3926">
        <v>-2.251591E-2</v>
      </c>
      <c r="R3926">
        <v>-6.6408770000000006E-2</v>
      </c>
      <c r="S3926">
        <v>-3.0079959999999999</v>
      </c>
      <c r="T3926">
        <v>-5.8187009999999997E-2</v>
      </c>
      <c r="U3926">
        <v>3.02124E-2</v>
      </c>
      <c r="V3926">
        <v>-8.3147260000000001E-2</v>
      </c>
      <c r="W3926">
        <v>-1.2017180000000001E-2</v>
      </c>
      <c r="X3926">
        <v>0.99646480000000004</v>
      </c>
      <c r="Y3926">
        <v>-6.7440759999999999E-3</v>
      </c>
      <c r="Z3926">
        <v>-2.4855409999999999E-4</v>
      </c>
      <c r="AA3926">
        <v>0.99997720000000001</v>
      </c>
      <c r="AB3926">
        <v>41</v>
      </c>
      <c r="AC3926">
        <v>-56.928099999999901</v>
      </c>
      <c r="AD3926">
        <v>-1.10881891100799</v>
      </c>
      <c r="AE3926">
        <v>0.56919999999999504</v>
      </c>
      <c r="AF3926">
        <v>-0.38653539872692499</v>
      </c>
      <c r="AG3926">
        <v>-1.10881891100799</v>
      </c>
      <c r="AH3926">
        <v>56.908045022931603</v>
      </c>
      <c r="AI3926">
        <v>91.116206700376296</v>
      </c>
      <c r="AJ3926">
        <v>90.3891630154897</v>
      </c>
      <c r="AK3926">
        <v>56.920158795666502</v>
      </c>
      <c r="AL3926">
        <v>90.688550276769007</v>
      </c>
      <c r="AM3926">
        <v>94.769838779369195</v>
      </c>
      <c r="AN3926">
        <v>0.99999998854984995</v>
      </c>
    </row>
    <row r="3927" spans="1:40" x14ac:dyDescent="0.25">
      <c r="A3927" t="str">
        <f>"20190305135908700"</f>
        <v>20190305135908700</v>
      </c>
      <c r="B3927" t="str">
        <f>"1551765548693266"</f>
        <v>1551765548693266</v>
      </c>
      <c r="C3927" t="s">
        <v>40</v>
      </c>
      <c r="D3927">
        <v>3.7656040000000002</v>
      </c>
      <c r="E3927">
        <v>0.53992640000000003</v>
      </c>
      <c r="F3927" t="s">
        <v>42</v>
      </c>
      <c r="G3927">
        <v>-322.4162</v>
      </c>
      <c r="H3927" s="1">
        <v>-3.893082E-6</v>
      </c>
      <c r="I3927">
        <v>142.09289999999999</v>
      </c>
      <c r="J3927">
        <v>-276.8501</v>
      </c>
      <c r="K3927">
        <v>1.1088180000000001</v>
      </c>
      <c r="L3927">
        <v>140.92509999999999</v>
      </c>
      <c r="M3927">
        <v>-0.99980460000000004</v>
      </c>
      <c r="N3927">
        <v>-1.05279E-2</v>
      </c>
      <c r="O3927">
        <v>1.6739739999999999E-2</v>
      </c>
      <c r="P3927">
        <v>-0.99745709999999999</v>
      </c>
      <c r="Q3927">
        <v>-2.1032100000000001E-2</v>
      </c>
      <c r="R3927">
        <v>-6.8096680000000007E-2</v>
      </c>
      <c r="S3927">
        <v>-3.0108640000000002</v>
      </c>
      <c r="T3927">
        <v>-7.1623210000000007E-2</v>
      </c>
      <c r="U3927">
        <v>7.6568600000000001E-2</v>
      </c>
      <c r="V3927">
        <v>-8.4785460000000007E-2</v>
      </c>
      <c r="W3927">
        <v>-1.054425E-2</v>
      </c>
      <c r="X3927">
        <v>0.99634339999999999</v>
      </c>
      <c r="Y3927">
        <v>8.6816610000000002E-3</v>
      </c>
      <c r="Z3927" s="1">
        <v>-7.2893769999999994E-5</v>
      </c>
      <c r="AA3927">
        <v>0.99996229999999997</v>
      </c>
      <c r="AB3927">
        <v>41</v>
      </c>
      <c r="AC3927">
        <v>-45.566099999999999</v>
      </c>
      <c r="AD3927">
        <v>-1.108821893082</v>
      </c>
      <c r="AE3927">
        <v>1.16779999999999</v>
      </c>
      <c r="AF3927">
        <v>0.40459009595364098</v>
      </c>
      <c r="AG3927">
        <v>-1.108821893082</v>
      </c>
      <c r="AH3927">
        <v>45.552307756355702</v>
      </c>
      <c r="AI3927">
        <v>91.3943479544414</v>
      </c>
      <c r="AJ3927">
        <v>89.491119187420907</v>
      </c>
      <c r="AK3927">
        <v>45.567597271153801</v>
      </c>
      <c r="AL3927">
        <v>90.604152240852102</v>
      </c>
      <c r="AM3927">
        <v>94.863959327853607</v>
      </c>
      <c r="AN3927">
        <v>0.999999963079516</v>
      </c>
    </row>
    <row r="3928" spans="1:40" x14ac:dyDescent="0.25">
      <c r="A3928" t="str">
        <f>"20190305135908712"</f>
        <v>20190305135908712</v>
      </c>
      <c r="B3928" t="str">
        <f>"1551765548703026"</f>
        <v>1551765548703026</v>
      </c>
      <c r="C3928" t="s">
        <v>40</v>
      </c>
      <c r="D3928">
        <v>3.842886</v>
      </c>
      <c r="E3928">
        <v>0.54418100000000003</v>
      </c>
      <c r="F3928" t="s">
        <v>42</v>
      </c>
      <c r="G3928">
        <v>-342.42500000000001</v>
      </c>
      <c r="H3928" s="1">
        <v>-4.1199290000000003E-6</v>
      </c>
      <c r="I3928">
        <v>143.3887</v>
      </c>
      <c r="J3928">
        <v>-277.09440000000001</v>
      </c>
      <c r="K3928">
        <v>1.108816</v>
      </c>
      <c r="L3928">
        <v>140.92920000000001</v>
      </c>
      <c r="M3928">
        <v>-0.99980469999999999</v>
      </c>
      <c r="N3928">
        <v>-1.052643E-2</v>
      </c>
      <c r="O3928">
        <v>1.672854E-2</v>
      </c>
      <c r="P3928">
        <v>-0.99743029999999999</v>
      </c>
      <c r="Q3928">
        <v>-2.073999E-2</v>
      </c>
      <c r="R3928">
        <v>-6.8577840000000001E-2</v>
      </c>
      <c r="S3928">
        <v>-3.014313</v>
      </c>
      <c r="T3928">
        <v>-5.0969720000000003E-2</v>
      </c>
      <c r="U3928">
        <v>0.1132507</v>
      </c>
      <c r="V3928">
        <v>-8.5254620000000003E-2</v>
      </c>
      <c r="W3928">
        <v>-1.0254030000000001E-2</v>
      </c>
      <c r="X3928">
        <v>0.99630640000000004</v>
      </c>
      <c r="Y3928">
        <v>2.0817100000000002E-2</v>
      </c>
      <c r="Z3928">
        <v>1.7888020000000001E-4</v>
      </c>
      <c r="AA3928">
        <v>0.99978330000000004</v>
      </c>
      <c r="AB3928">
        <v>41</v>
      </c>
      <c r="AC3928">
        <v>-65.330600000000004</v>
      </c>
      <c r="AD3928">
        <v>-1.108820119929</v>
      </c>
      <c r="AE3928">
        <v>2.45949999999999</v>
      </c>
      <c r="AF3928">
        <v>1.3658168525392</v>
      </c>
      <c r="AG3928">
        <v>-1.108820119929</v>
      </c>
      <c r="AH3928">
        <v>65.343806725782301</v>
      </c>
      <c r="AI3928">
        <v>90.971947456921399</v>
      </c>
      <c r="AJ3928">
        <v>88.802577448623097</v>
      </c>
      <c r="AK3928">
        <v>65.367484387495296</v>
      </c>
      <c r="AL3928">
        <v>90.587522956371004</v>
      </c>
      <c r="AM3928">
        <v>94.8909245830028</v>
      </c>
      <c r="AN3928">
        <v>0.99999996902177202</v>
      </c>
    </row>
    <row r="3929" spans="1:40" x14ac:dyDescent="0.25">
      <c r="A3929" t="str">
        <f>"20190305135908726"</f>
        <v>20190305135908726</v>
      </c>
      <c r="B3929" t="str">
        <f>"1551765548722546"</f>
        <v>1551765548722546</v>
      </c>
      <c r="C3929" t="s">
        <v>40</v>
      </c>
      <c r="D3929">
        <v>4.022373</v>
      </c>
      <c r="E3929">
        <v>0.54637630000000004</v>
      </c>
      <c r="F3929" t="s">
        <v>80</v>
      </c>
      <c r="G3929">
        <v>-511.05880000000002</v>
      </c>
      <c r="H3929">
        <v>0.36096109999999998</v>
      </c>
      <c r="I3929">
        <v>152.0094</v>
      </c>
      <c r="J3929">
        <v>-277.33150000000001</v>
      </c>
      <c r="K3929">
        <v>1.1088169999999999</v>
      </c>
      <c r="L3929">
        <v>140.9332</v>
      </c>
      <c r="M3929">
        <v>-0.9998049</v>
      </c>
      <c r="N3929">
        <v>-1.052523E-2</v>
      </c>
      <c r="O3929">
        <v>1.671752E-2</v>
      </c>
      <c r="P3929">
        <v>-0.99741100000000005</v>
      </c>
      <c r="Q3929">
        <v>-2.1219169999999999E-2</v>
      </c>
      <c r="R3929">
        <v>-6.8708610000000003E-2</v>
      </c>
      <c r="S3929">
        <v>-3.0173649999999999</v>
      </c>
      <c r="T3929">
        <v>-9.6442699999999999E-3</v>
      </c>
      <c r="U3929">
        <v>0.14289859999999999</v>
      </c>
      <c r="V3929">
        <v>-8.5374389999999994E-2</v>
      </c>
      <c r="W3929">
        <v>-1.073463E-2</v>
      </c>
      <c r="X3929">
        <v>0.99629109999999999</v>
      </c>
      <c r="Y3929">
        <v>3.0599149999999999E-2</v>
      </c>
      <c r="Z3929">
        <v>3.3249210000000002E-4</v>
      </c>
      <c r="AA3929">
        <v>0.99953170000000002</v>
      </c>
      <c r="AB3929">
        <v>41</v>
      </c>
      <c r="AC3929">
        <v>-233.72730000000001</v>
      </c>
      <c r="AD3929">
        <v>-0.74785590000000002</v>
      </c>
      <c r="AE3929">
        <v>11.0762</v>
      </c>
      <c r="AF3929">
        <v>7.1670216703822396</v>
      </c>
      <c r="AG3929">
        <v>-0.74785590000000002</v>
      </c>
      <c r="AH3929">
        <v>233.87742133936499</v>
      </c>
      <c r="AI3929">
        <v>90.183124713790804</v>
      </c>
      <c r="AJ3929">
        <v>88.244757349229204</v>
      </c>
      <c r="AK3929">
        <v>233.98840505551101</v>
      </c>
      <c r="AL3929">
        <v>90.615060814281193</v>
      </c>
      <c r="AM3929">
        <v>94.897837050228404</v>
      </c>
      <c r="AN3929">
        <v>0.99999998734415896</v>
      </c>
    </row>
    <row r="3930" spans="1:40" x14ac:dyDescent="0.25">
      <c r="A3930" t="str">
        <f>"20190305135908744"</f>
        <v>20190305135908744</v>
      </c>
      <c r="B3930" t="str">
        <f>"1551765548733281"</f>
        <v>1551765548733281</v>
      </c>
      <c r="C3930" t="s">
        <v>40</v>
      </c>
      <c r="D3930">
        <v>3.7627079999999999</v>
      </c>
      <c r="E3930">
        <v>0.54891909999999999</v>
      </c>
      <c r="F3930" t="s">
        <v>80</v>
      </c>
      <c r="G3930">
        <v>-511.05889999999999</v>
      </c>
      <c r="H3930">
        <v>0.84095129999999996</v>
      </c>
      <c r="I3930">
        <v>153.26990000000001</v>
      </c>
      <c r="J3930">
        <v>-277.64999999999998</v>
      </c>
      <c r="K3930">
        <v>1.1088129999999901</v>
      </c>
      <c r="L3930">
        <v>140.9385</v>
      </c>
      <c r="M3930">
        <v>-0.99980519999999995</v>
      </c>
      <c r="N3930">
        <v>-1.0523940000000001E-2</v>
      </c>
      <c r="O3930">
        <v>1.67028E-2</v>
      </c>
      <c r="P3930">
        <v>-0.99738479999999996</v>
      </c>
      <c r="Q3930">
        <v>-2.13852E-2</v>
      </c>
      <c r="R3930">
        <v>-6.9039080000000003E-2</v>
      </c>
      <c r="S3930">
        <v>-3.0186459999999999</v>
      </c>
      <c r="T3930">
        <v>-3.4589769999999998E-3</v>
      </c>
      <c r="U3930">
        <v>0.15933229999999901</v>
      </c>
      <c r="V3930">
        <v>-8.5689210000000002E-2</v>
      </c>
      <c r="W3930">
        <v>-1.090232E-2</v>
      </c>
      <c r="X3930">
        <v>0.99626230000000005</v>
      </c>
      <c r="Y3930">
        <v>3.6021940000000002E-2</v>
      </c>
      <c r="Z3930">
        <v>3.6687260000000001E-4</v>
      </c>
      <c r="AA3930">
        <v>0.99935090000000004</v>
      </c>
      <c r="AB3930">
        <v>41</v>
      </c>
      <c r="AC3930">
        <v>-233.40889999999999</v>
      </c>
      <c r="AD3930">
        <v>-0.26786169999999898</v>
      </c>
      <c r="AE3930">
        <v>12.3314</v>
      </c>
      <c r="AF3930">
        <v>8.4308707459178507</v>
      </c>
      <c r="AG3930">
        <v>-0.26786169999999898</v>
      </c>
      <c r="AH3930">
        <v>233.582009033524</v>
      </c>
      <c r="AI3930">
        <v>90.065661525121598</v>
      </c>
      <c r="AJ3930">
        <v>87.932872874679504</v>
      </c>
      <c r="AK3930">
        <v>233.73426423090399</v>
      </c>
      <c r="AL3930">
        <v>90.624669275683999</v>
      </c>
      <c r="AM3930">
        <v>94.915951004837297</v>
      </c>
      <c r="AN3930">
        <v>1.00000003584654</v>
      </c>
    </row>
    <row r="3931" spans="1:40" x14ac:dyDescent="0.25">
      <c r="A3931" t="str">
        <f>"20190305135908767"</f>
        <v>20190305135908767</v>
      </c>
      <c r="B3931" t="str">
        <f>"1551765548752801"</f>
        <v>1551765548752801</v>
      </c>
      <c r="C3931" t="s">
        <v>40</v>
      </c>
      <c r="D3931">
        <v>3.7718500000000001</v>
      </c>
      <c r="E3931">
        <v>0.55337239999999999</v>
      </c>
      <c r="F3931" t="s">
        <v>80</v>
      </c>
      <c r="G3931">
        <v>-511.92579999999998</v>
      </c>
      <c r="H3931">
        <v>1.6609779999999901</v>
      </c>
      <c r="I3931">
        <v>154.73179999999999</v>
      </c>
      <c r="J3931">
        <v>-278.07589999999999</v>
      </c>
      <c r="K3931">
        <v>1.1088100000000001</v>
      </c>
      <c r="L3931">
        <v>140.94560000000001</v>
      </c>
      <c r="M3931">
        <v>-0.99980550000000001</v>
      </c>
      <c r="N3931">
        <v>-1.0522790000000001E-2</v>
      </c>
      <c r="O3931">
        <v>1.6683429999999999E-2</v>
      </c>
      <c r="P3931">
        <v>-0.99734230000000001</v>
      </c>
      <c r="Q3931">
        <v>-2.1999790000000002E-2</v>
      </c>
      <c r="R3931">
        <v>-6.9459179999999995E-2</v>
      </c>
      <c r="S3931">
        <v>-3.0203250000000001</v>
      </c>
      <c r="T3931">
        <v>7.1191789999999998E-3</v>
      </c>
      <c r="U3931">
        <v>0.17782590000000001</v>
      </c>
      <c r="V3931">
        <v>-8.6089540000000006E-2</v>
      </c>
      <c r="W3931">
        <v>-1.151861E-2</v>
      </c>
      <c r="X3931">
        <v>0.99622080000000002</v>
      </c>
      <c r="Y3931">
        <v>4.2112740000000003E-2</v>
      </c>
      <c r="Z3931">
        <v>3.8689939999999998E-4</v>
      </c>
      <c r="AA3931">
        <v>0.99911280000000002</v>
      </c>
      <c r="AB3931">
        <v>41</v>
      </c>
      <c r="AC3931">
        <v>-233.84989999999999</v>
      </c>
      <c r="AD3931">
        <v>0.55216799999999899</v>
      </c>
      <c r="AE3931">
        <v>13.7861999999999</v>
      </c>
      <c r="AF3931">
        <v>9.8825918900437006</v>
      </c>
      <c r="AG3931">
        <v>0.55216799999999899</v>
      </c>
      <c r="AH3931">
        <v>234.046063081749</v>
      </c>
      <c r="AI3931">
        <v>89.8649467921379</v>
      </c>
      <c r="AJ3931">
        <v>87.582122776476396</v>
      </c>
      <c r="AK3931">
        <v>234.255267082795</v>
      </c>
      <c r="AL3931">
        <v>90.659982343660005</v>
      </c>
      <c r="AM3931">
        <v>94.939009141609603</v>
      </c>
      <c r="AN3931">
        <v>0.99999998481319097</v>
      </c>
    </row>
    <row r="3932" spans="1:40" x14ac:dyDescent="0.25">
      <c r="A3932" t="str">
        <f>"20190305135908789"</f>
        <v>20190305135908789</v>
      </c>
      <c r="B3932" t="str">
        <f>"1551765548783058"</f>
        <v>1551765548783058</v>
      </c>
      <c r="C3932" t="s">
        <v>40</v>
      </c>
      <c r="D3932">
        <v>4.050179</v>
      </c>
      <c r="E3932">
        <v>0.54853280000000004</v>
      </c>
      <c r="F3932" t="s">
        <v>80</v>
      </c>
      <c r="G3932">
        <v>-511.92610000000002</v>
      </c>
      <c r="H3932">
        <v>2.8752110000000002</v>
      </c>
      <c r="I3932">
        <v>157.2551</v>
      </c>
      <c r="J3932">
        <v>-278.48129999999998</v>
      </c>
      <c r="K3932">
        <v>1.108808</v>
      </c>
      <c r="L3932">
        <v>140.95230000000001</v>
      </c>
      <c r="M3932">
        <v>-0.99980590000000003</v>
      </c>
      <c r="N3932">
        <v>-1.0522210000000001E-2</v>
      </c>
      <c r="O3932">
        <v>1.6665079999999999E-2</v>
      </c>
      <c r="P3932">
        <v>-0.99729279999999998</v>
      </c>
      <c r="Q3932">
        <v>-2.286765E-2</v>
      </c>
      <c r="R3932">
        <v>-6.9888110000000003E-2</v>
      </c>
      <c r="S3932">
        <v>-3.0231629999999998</v>
      </c>
      <c r="T3932">
        <v>2.2836209999999999E-2</v>
      </c>
      <c r="U3932">
        <v>0.2108459</v>
      </c>
      <c r="V3932">
        <v>-8.6499060000000003E-2</v>
      </c>
      <c r="W3932">
        <v>-1.238763E-2</v>
      </c>
      <c r="X3932">
        <v>0.99617489999999997</v>
      </c>
      <c r="Y3932">
        <v>5.2942530000000002E-2</v>
      </c>
      <c r="Z3932">
        <v>3.8004599999999999E-4</v>
      </c>
      <c r="AA3932">
        <v>0.99859750000000003</v>
      </c>
      <c r="AB3932">
        <v>41</v>
      </c>
      <c r="AC3932">
        <v>-233.44479999999999</v>
      </c>
      <c r="AD3932">
        <v>1.7664029999999999</v>
      </c>
      <c r="AE3932">
        <v>16.302799999999898</v>
      </c>
      <c r="AF3932">
        <v>12.4092376000978</v>
      </c>
      <c r="AG3932">
        <v>1.7664029999999999</v>
      </c>
      <c r="AH3932">
        <v>233.67076610316599</v>
      </c>
      <c r="AI3932">
        <v>89.567497864875094</v>
      </c>
      <c r="AJ3932">
        <v>86.960126013394799</v>
      </c>
      <c r="AK3932">
        <v>234.006701375441</v>
      </c>
      <c r="AL3932">
        <v>90.709777080791895</v>
      </c>
      <c r="AM3932">
        <v>94.962614018212804</v>
      </c>
      <c r="AN3932">
        <v>0.99999998607395502</v>
      </c>
    </row>
    <row r="3933" spans="1:40" x14ac:dyDescent="0.25">
      <c r="A3933" t="str">
        <f>"20190305135908811"</f>
        <v>20190305135908811</v>
      </c>
      <c r="B3933" t="str">
        <f>"1551765548803086"</f>
        <v>1551765548803086</v>
      </c>
      <c r="C3933" t="s">
        <v>40</v>
      </c>
      <c r="D3933">
        <v>4.078023</v>
      </c>
      <c r="E3933">
        <v>0.54592069999999904</v>
      </c>
      <c r="F3933" t="s">
        <v>42</v>
      </c>
      <c r="G3933">
        <v>-390.53910000000002</v>
      </c>
      <c r="H3933" s="1">
        <v>-5.478524E-6</v>
      </c>
      <c r="I3933">
        <v>147.42949999999999</v>
      </c>
      <c r="J3933">
        <v>-278.89569999999998</v>
      </c>
      <c r="K3933">
        <v>1.10880499999999</v>
      </c>
      <c r="L3933">
        <v>140.95920000000001</v>
      </c>
      <c r="M3933">
        <v>-0.99980610000000003</v>
      </c>
      <c r="N3933">
        <v>-1.052197E-2</v>
      </c>
      <c r="O3933">
        <v>1.664618E-2</v>
      </c>
      <c r="P3933">
        <v>-0.99730510000000006</v>
      </c>
      <c r="Q3933">
        <v>-2.332702E-2</v>
      </c>
      <c r="R3933">
        <v>-6.9559019999999999E-2</v>
      </c>
      <c r="S3933">
        <v>-3.0196839999999998</v>
      </c>
      <c r="T3933">
        <v>-2.987981E-2</v>
      </c>
      <c r="U3933">
        <v>0.17454529999999999</v>
      </c>
      <c r="V3933">
        <v>-8.6151809999999995E-2</v>
      </c>
      <c r="W3933">
        <v>-1.2847040000000001E-2</v>
      </c>
      <c r="X3933">
        <v>0.99619919999999995</v>
      </c>
      <c r="Y3933">
        <v>4.1074689999999997E-2</v>
      </c>
      <c r="Z3933">
        <v>4.2982259999999999E-4</v>
      </c>
      <c r="AA3933">
        <v>0.99915600000000004</v>
      </c>
      <c r="AB3933">
        <v>41</v>
      </c>
      <c r="AC3933">
        <v>-111.6434</v>
      </c>
      <c r="AD3933">
        <v>-1.1088104785239901</v>
      </c>
      <c r="AE3933">
        <v>6.4702999999999804</v>
      </c>
      <c r="AF3933">
        <v>4.6104111752951198</v>
      </c>
      <c r="AG3933">
        <v>-1.1088104785239901</v>
      </c>
      <c r="AH3933">
        <v>111.724657509624</v>
      </c>
      <c r="AI3933">
        <v>90.568129354377405</v>
      </c>
      <c r="AJ3933">
        <v>87.636982565803706</v>
      </c>
      <c r="AK3933">
        <v>111.82524065489601</v>
      </c>
      <c r="AL3933">
        <v>90.736101410773699</v>
      </c>
      <c r="AM3933">
        <v>94.942670554849002</v>
      </c>
      <c r="AN3933">
        <v>1.0000000134418301</v>
      </c>
    </row>
    <row r="3934" spans="1:40" x14ac:dyDescent="0.25">
      <c r="A3934" t="str">
        <f>"20190305135908833"</f>
        <v>20190305135908833</v>
      </c>
      <c r="B3934" t="str">
        <f>"1551765548822606"</f>
        <v>1551765548822606</v>
      </c>
      <c r="C3934" t="s">
        <v>40</v>
      </c>
      <c r="D3934">
        <v>4.0743689999999999</v>
      </c>
      <c r="E3934">
        <v>0.54397329999999999</v>
      </c>
      <c r="F3934" t="s">
        <v>42</v>
      </c>
      <c r="G3934">
        <v>-339.0283</v>
      </c>
      <c r="H3934" s="1">
        <v>-1.6271409999999999E-6</v>
      </c>
      <c r="I3934">
        <v>144.0788</v>
      </c>
      <c r="J3934">
        <v>-279.3023</v>
      </c>
      <c r="K3934">
        <v>1.10880499999999</v>
      </c>
      <c r="L3934">
        <v>140.96600000000001</v>
      </c>
      <c r="M3934">
        <v>-0.99980659999999999</v>
      </c>
      <c r="N3934">
        <v>-1.0522210000000001E-2</v>
      </c>
      <c r="O3934">
        <v>1.6627110000000001E-2</v>
      </c>
      <c r="P3934">
        <v>-0.99730920000000001</v>
      </c>
      <c r="Q3934">
        <v>-2.3708429999999999E-2</v>
      </c>
      <c r="R3934">
        <v>-6.9375880000000001E-2</v>
      </c>
      <c r="S3934">
        <v>-3.0177610000000001</v>
      </c>
      <c r="T3934">
        <v>-5.5645590000000002E-2</v>
      </c>
      <c r="U3934">
        <v>0.15655520000000001</v>
      </c>
      <c r="V3934">
        <v>-8.5949490000000003E-2</v>
      </c>
      <c r="W3934">
        <v>-1.322808E-2</v>
      </c>
      <c r="X3934">
        <v>0.99621159999999997</v>
      </c>
      <c r="Y3934">
        <v>3.5186540000000002E-2</v>
      </c>
      <c r="Z3934">
        <v>3.7797949999999997E-4</v>
      </c>
      <c r="AA3934">
        <v>0.99938070000000001</v>
      </c>
      <c r="AB3934">
        <v>41</v>
      </c>
      <c r="AC3934">
        <v>-59.725999999999999</v>
      </c>
      <c r="AD3934">
        <v>-1.10880662714099</v>
      </c>
      <c r="AE3934">
        <v>3.1127999999999898</v>
      </c>
      <c r="AF3934">
        <v>2.1185159146064798</v>
      </c>
      <c r="AG3934">
        <v>-1.10880662714099</v>
      </c>
      <c r="AH3934">
        <v>59.748965288726197</v>
      </c>
      <c r="AI3934">
        <v>91.0624914553282</v>
      </c>
      <c r="AJ3934">
        <v>87.969317267232398</v>
      </c>
      <c r="AK3934">
        <v>59.796792680629899</v>
      </c>
      <c r="AL3934">
        <v>90.757935317604307</v>
      </c>
      <c r="AM3934">
        <v>94.931059348976802</v>
      </c>
      <c r="AN3934">
        <v>0.99999992445315</v>
      </c>
    </row>
    <row r="3935" spans="1:40" x14ac:dyDescent="0.25">
      <c r="A3935" t="str">
        <f>"20190305135908854"</f>
        <v>20190305135908854</v>
      </c>
      <c r="B3935" t="str">
        <f>"1551765548843102"</f>
        <v>1551765548843102</v>
      </c>
      <c r="C3935" t="s">
        <v>40</v>
      </c>
      <c r="D3935">
        <v>4.0813059999999997</v>
      </c>
      <c r="E3935">
        <v>0.54262959999999905</v>
      </c>
      <c r="F3935" t="s">
        <v>42</v>
      </c>
      <c r="G3935">
        <v>-324.30759999999998</v>
      </c>
      <c r="H3935" s="1">
        <v>-3.3505010000000002E-6</v>
      </c>
      <c r="I3935">
        <v>143.09719999999999</v>
      </c>
      <c r="J3935">
        <v>-279.69389999999999</v>
      </c>
      <c r="K3935">
        <v>1.108803</v>
      </c>
      <c r="L3935">
        <v>140.97239999999999</v>
      </c>
      <c r="M3935">
        <v>-0.9998068</v>
      </c>
      <c r="N3935">
        <v>-1.0523009999999999E-2</v>
      </c>
      <c r="O3935">
        <v>1.6608689999999999E-2</v>
      </c>
      <c r="P3935">
        <v>-0.99732969999999999</v>
      </c>
      <c r="Q3935">
        <v>-2.319535E-2</v>
      </c>
      <c r="R3935">
        <v>-6.9250119999999998E-2</v>
      </c>
      <c r="S3935">
        <v>-3.016235</v>
      </c>
      <c r="T3935">
        <v>-7.4311970000000005E-2</v>
      </c>
      <c r="U3935">
        <v>0.14283750000000001</v>
      </c>
      <c r="V3935">
        <v>-8.5805649999999997E-2</v>
      </c>
      <c r="W3935">
        <v>-1.271394E-2</v>
      </c>
      <c r="X3935">
        <v>0.99623079999999997</v>
      </c>
      <c r="Y3935">
        <v>3.069405E-2</v>
      </c>
      <c r="Z3935">
        <v>3.0530770000000002E-4</v>
      </c>
      <c r="AA3935">
        <v>0.9995288</v>
      </c>
      <c r="AB3935">
        <v>41</v>
      </c>
      <c r="AC3935">
        <v>-44.613700000000001</v>
      </c>
      <c r="AD3935">
        <v>-1.108806350501</v>
      </c>
      <c r="AE3935">
        <v>2.1247999999999898</v>
      </c>
      <c r="AF3935">
        <v>1.3826387075044799</v>
      </c>
      <c r="AG3935">
        <v>-1.108806350501</v>
      </c>
      <c r="AH3935">
        <v>44.615341320544303</v>
      </c>
      <c r="AI3935">
        <v>91.422972038236594</v>
      </c>
      <c r="AJ3935">
        <v>88.224959975256596</v>
      </c>
      <c r="AK3935">
        <v>44.650529923698201</v>
      </c>
      <c r="AL3935">
        <v>90.728474707394696</v>
      </c>
      <c r="AM3935">
        <v>94.922753196200006</v>
      </c>
      <c r="AN3935">
        <v>1.0000000303554399</v>
      </c>
    </row>
    <row r="3936" spans="1:40" x14ac:dyDescent="0.25">
      <c r="A3936" t="str">
        <f>"20190305135908869"</f>
        <v>20190305135908869</v>
      </c>
      <c r="B3936" t="str">
        <f>"1551765548862622"</f>
        <v>1551765548862622</v>
      </c>
      <c r="C3936" t="s">
        <v>40</v>
      </c>
      <c r="D3936">
        <v>4.0878560000000004</v>
      </c>
      <c r="E3936">
        <v>0.54139469999999901</v>
      </c>
      <c r="F3936" t="s">
        <v>79</v>
      </c>
      <c r="G3936">
        <v>-319.35419999999999</v>
      </c>
      <c r="H3936" s="1">
        <v>-6.4751939999999997E-6</v>
      </c>
      <c r="I3936">
        <v>142.72470000000001</v>
      </c>
      <c r="J3936">
        <v>-279.96140000000003</v>
      </c>
      <c r="K3936">
        <v>1.1088009999999999</v>
      </c>
      <c r="L3936">
        <v>140.9769</v>
      </c>
      <c r="M3936">
        <v>-0.999807</v>
      </c>
      <c r="N3936">
        <v>-1.052378E-2</v>
      </c>
      <c r="O3936">
        <v>1.6596349999999999E-2</v>
      </c>
      <c r="P3936">
        <v>-0.99735770000000001</v>
      </c>
      <c r="Q3936">
        <v>-2.301423E-2</v>
      </c>
      <c r="R3936">
        <v>-6.8906999999999996E-2</v>
      </c>
      <c r="S3936">
        <v>-3.01532</v>
      </c>
      <c r="T3936">
        <v>-8.4301349999999997E-2</v>
      </c>
      <c r="U3936">
        <v>0.1332245</v>
      </c>
      <c r="V3936">
        <v>-8.5450509999999993E-2</v>
      </c>
      <c r="W3936">
        <v>-1.25317E-2</v>
      </c>
      <c r="X3936">
        <v>0.99626360000000003</v>
      </c>
      <c r="Y3936">
        <v>2.7540039999999998E-2</v>
      </c>
      <c r="Z3936">
        <v>2.4069790000000001E-4</v>
      </c>
      <c r="AA3936">
        <v>0.99962070000000003</v>
      </c>
      <c r="AB3936">
        <v>41</v>
      </c>
      <c r="AC3936">
        <v>-39.392799999999902</v>
      </c>
      <c r="AD3936">
        <v>-1.108807475194</v>
      </c>
      <c r="AE3936">
        <v>1.74780000000001</v>
      </c>
      <c r="AF3936">
        <v>1.0928822551855699</v>
      </c>
      <c r="AG3936">
        <v>-1.108807475194</v>
      </c>
      <c r="AH3936">
        <v>39.385239753287301</v>
      </c>
      <c r="AI3936">
        <v>91.611994436250697</v>
      </c>
      <c r="AJ3936">
        <v>88.410534578181995</v>
      </c>
      <c r="AK3936">
        <v>39.415998732299897</v>
      </c>
      <c r="AL3936">
        <v>90.718032316887303</v>
      </c>
      <c r="AM3936">
        <v>94.902317357938301</v>
      </c>
      <c r="AN3936">
        <v>0.99999999692455499</v>
      </c>
    </row>
    <row r="3937" spans="1:40" x14ac:dyDescent="0.25">
      <c r="A3937" t="str">
        <f>"20190305135908882"</f>
        <v>20190305135908882</v>
      </c>
      <c r="B3937" t="str">
        <f>"1551765548873358"</f>
        <v>1551765548873358</v>
      </c>
      <c r="C3937" t="s">
        <v>40</v>
      </c>
      <c r="D3937">
        <v>4.1147199999999904</v>
      </c>
      <c r="E3937">
        <v>0.54100999999999999</v>
      </c>
      <c r="F3937" t="s">
        <v>79</v>
      </c>
      <c r="G3937">
        <v>-315.93419999999998</v>
      </c>
      <c r="H3937" s="1">
        <v>-7.9247069999999997E-6</v>
      </c>
      <c r="I3937">
        <v>142.47059999999999</v>
      </c>
      <c r="J3937">
        <v>-280.2038</v>
      </c>
      <c r="K3937">
        <v>1.1088039999999999</v>
      </c>
      <c r="L3937">
        <v>140.98089999999999</v>
      </c>
      <c r="M3937">
        <v>-0.99980709999999995</v>
      </c>
      <c r="N3937">
        <v>-1.0524560000000001E-2</v>
      </c>
      <c r="O3937">
        <v>1.6584959999999999E-2</v>
      </c>
      <c r="P3937">
        <v>-0.99736139999999995</v>
      </c>
      <c r="Q3937">
        <v>-2.2792199999999999E-2</v>
      </c>
      <c r="R3937">
        <v>-6.8925310000000004E-2</v>
      </c>
      <c r="S3937">
        <v>-3.014465</v>
      </c>
      <c r="T3937">
        <v>-9.2916490000000004E-2</v>
      </c>
      <c r="U3937">
        <v>0.1251678</v>
      </c>
      <c r="V3937">
        <v>-8.5458350000000002E-2</v>
      </c>
      <c r="W3937">
        <v>-1.230887E-2</v>
      </c>
      <c r="X3937">
        <v>0.99626570000000003</v>
      </c>
      <c r="Y3937">
        <v>2.4896919999999999E-2</v>
      </c>
      <c r="Z3937">
        <v>1.7823439999999999E-4</v>
      </c>
      <c r="AA3937">
        <v>0.99968999999999997</v>
      </c>
      <c r="AB3937">
        <v>41</v>
      </c>
      <c r="AC3937">
        <v>-35.730399999999896</v>
      </c>
      <c r="AD3937">
        <v>-1.1088119247069901</v>
      </c>
      <c r="AE3937">
        <v>1.48969999999999</v>
      </c>
      <c r="AF3937">
        <v>0.89601363527217603</v>
      </c>
      <c r="AG3937">
        <v>-1.1088119247069901</v>
      </c>
      <c r="AH3937">
        <v>35.715857309837901</v>
      </c>
      <c r="AI3937">
        <v>91.777638457442393</v>
      </c>
      <c r="AJ3937">
        <v>88.562906298890496</v>
      </c>
      <c r="AK3937">
        <v>35.744296995404298</v>
      </c>
      <c r="AL3937">
        <v>90.705264117275604</v>
      </c>
      <c r="AM3937">
        <v>94.902754664431299</v>
      </c>
      <c r="AN3937">
        <v>0.99999999143094398</v>
      </c>
    </row>
    <row r="3938" spans="1:40" x14ac:dyDescent="0.25">
      <c r="A3938" t="str">
        <f>"20190305135908900"</f>
        <v>20190305135908900</v>
      </c>
      <c r="B3938" t="str">
        <f>"1551765548892878"</f>
        <v>1551765548892878</v>
      </c>
      <c r="C3938" t="s">
        <v>40</v>
      </c>
      <c r="D3938">
        <v>4.1001029999999998</v>
      </c>
      <c r="E3938">
        <v>0.5403443</v>
      </c>
      <c r="F3938" t="s">
        <v>79</v>
      </c>
      <c r="G3938">
        <v>-316.24369999999999</v>
      </c>
      <c r="H3938" s="1">
        <v>-7.7792989999999907E-6</v>
      </c>
      <c r="I3938">
        <v>142.43969999999999</v>
      </c>
      <c r="J3938">
        <v>-280.53710000000001</v>
      </c>
      <c r="K3938">
        <v>1.108803</v>
      </c>
      <c r="L3938">
        <v>140.9864</v>
      </c>
      <c r="M3938">
        <v>-0.99980720000000001</v>
      </c>
      <c r="N3938">
        <v>-1.052578E-2</v>
      </c>
      <c r="O3938">
        <v>1.6569569999999999E-2</v>
      </c>
      <c r="P3938">
        <v>-0.99740910000000005</v>
      </c>
      <c r="Q3938">
        <v>-2.202343E-2</v>
      </c>
      <c r="R3938">
        <v>-6.848448E-2</v>
      </c>
      <c r="S3938">
        <v>-3.014221</v>
      </c>
      <c r="T3938">
        <v>-9.2736120000000005E-2</v>
      </c>
      <c r="U3938">
        <v>0.1220093</v>
      </c>
      <c r="V3938">
        <v>-8.5002590000000003E-2</v>
      </c>
      <c r="W3938">
        <v>-1.1538329999999999E-2</v>
      </c>
      <c r="X3938">
        <v>0.99631389999999997</v>
      </c>
      <c r="Y3938">
        <v>2.3870519999999999E-2</v>
      </c>
      <c r="Z3938">
        <v>1.5762950000000001E-4</v>
      </c>
      <c r="AA3938">
        <v>0.99971500000000002</v>
      </c>
      <c r="AB3938">
        <v>41</v>
      </c>
      <c r="AC3938">
        <v>-35.706599999999902</v>
      </c>
      <c r="AD3938">
        <v>-1.1088107792990001</v>
      </c>
      <c r="AE3938">
        <v>1.4532999999999801</v>
      </c>
      <c r="AF3938">
        <v>0.86059609999529396</v>
      </c>
      <c r="AG3938">
        <v>-1.1088107792990001</v>
      </c>
      <c r="AH3938">
        <v>35.691418610567801</v>
      </c>
      <c r="AI3938">
        <v>91.778895646519601</v>
      </c>
      <c r="AJ3938">
        <v>88.618744400189996</v>
      </c>
      <c r="AK3938">
        <v>35.719006837066502</v>
      </c>
      <c r="AL3938">
        <v>90.661112294491005</v>
      </c>
      <c r="AM3938">
        <v>94.876499309246597</v>
      </c>
      <c r="AN3938">
        <v>0.99999998034955295</v>
      </c>
    </row>
    <row r="3939" spans="1:40" x14ac:dyDescent="0.25">
      <c r="A3939" t="str">
        <f>"20190305135908923"</f>
        <v>20190305135908923</v>
      </c>
      <c r="B3939" t="str">
        <f>"1551765548913374"</f>
        <v>1551765548913374</v>
      </c>
      <c r="C3939" t="s">
        <v>40</v>
      </c>
      <c r="D3939">
        <v>4.1234690000000001</v>
      </c>
      <c r="E3939">
        <v>0.53974829999999996</v>
      </c>
      <c r="F3939" t="s">
        <v>79</v>
      </c>
      <c r="G3939">
        <v>-317.35919999999999</v>
      </c>
      <c r="H3939" s="1">
        <v>-7.2817589999999998E-6</v>
      </c>
      <c r="I3939">
        <v>142.4288</v>
      </c>
      <c r="J3939">
        <v>-280.95119999999997</v>
      </c>
      <c r="K3939">
        <v>1.1088039999999999</v>
      </c>
      <c r="L3939">
        <v>140.9933</v>
      </c>
      <c r="M3939">
        <v>-0.99980760000000002</v>
      </c>
      <c r="N3939">
        <v>-1.052752E-2</v>
      </c>
      <c r="O3939">
        <v>1.6550189999999999E-2</v>
      </c>
      <c r="P3939">
        <v>-0.99740450000000003</v>
      </c>
      <c r="Q3939">
        <v>-2.2192819999999999E-2</v>
      </c>
      <c r="R3939">
        <v>-6.8498260000000005E-2</v>
      </c>
      <c r="S3939">
        <v>-3.013855</v>
      </c>
      <c r="T3939">
        <v>-9.075511E-2</v>
      </c>
      <c r="U3939">
        <v>0.1180573</v>
      </c>
      <c r="V3939">
        <v>-8.4996740000000001E-2</v>
      </c>
      <c r="W3939">
        <v>-1.1706009999999999E-2</v>
      </c>
      <c r="X3939">
        <v>0.99631239999999999</v>
      </c>
      <c r="Y3939">
        <v>2.2587070000000001E-2</v>
      </c>
      <c r="Z3939">
        <v>1.3500510000000001E-4</v>
      </c>
      <c r="AA3939">
        <v>0.99974490000000005</v>
      </c>
      <c r="AB3939">
        <v>41</v>
      </c>
      <c r="AC3939">
        <v>-36.408000000000001</v>
      </c>
      <c r="AD3939">
        <v>-1.1088112817589999</v>
      </c>
      <c r="AE3939">
        <v>1.43549999999999</v>
      </c>
      <c r="AF3939">
        <v>0.83194020776382205</v>
      </c>
      <c r="AG3939">
        <v>-1.1088112817589999</v>
      </c>
      <c r="AH3939">
        <v>36.393069207485397</v>
      </c>
      <c r="AI3939">
        <v>91.744672363750198</v>
      </c>
      <c r="AJ3939">
        <v>88.690454989075704</v>
      </c>
      <c r="AK3939">
        <v>36.419460090845298</v>
      </c>
      <c r="AL3939">
        <v>90.670720328705102</v>
      </c>
      <c r="AM3939">
        <v>94.8761726257232</v>
      </c>
      <c r="AN3939">
        <v>0.99999993743725102</v>
      </c>
    </row>
    <row r="3940" spans="1:40" x14ac:dyDescent="0.25">
      <c r="A3940" t="str">
        <f>"20190305135908934"</f>
        <v>20190305135908934</v>
      </c>
      <c r="B3940" t="str">
        <f>"1551765548923136"</f>
        <v>1551765548923136</v>
      </c>
      <c r="C3940" t="s">
        <v>40</v>
      </c>
      <c r="D3940">
        <v>4.129988</v>
      </c>
      <c r="E3940">
        <v>0.53947009999999995</v>
      </c>
      <c r="F3940" t="s">
        <v>79</v>
      </c>
      <c r="G3940">
        <v>-317.5514</v>
      </c>
      <c r="H3940" s="1">
        <v>-7.1805680000000003E-6</v>
      </c>
      <c r="I3940">
        <v>142.36840000000001</v>
      </c>
      <c r="J3940">
        <v>-281.17840000000001</v>
      </c>
      <c r="K3940">
        <v>1.1088039999999999</v>
      </c>
      <c r="L3940">
        <v>140.99709999999999</v>
      </c>
      <c r="M3940">
        <v>-0.99980789999999997</v>
      </c>
      <c r="N3940">
        <v>-1.0528569999999999E-2</v>
      </c>
      <c r="O3940">
        <v>1.6539640000000001E-2</v>
      </c>
      <c r="P3940">
        <v>-0.99739739999999999</v>
      </c>
      <c r="Q3940">
        <v>-2.255714E-2</v>
      </c>
      <c r="R3940">
        <v>-6.8484160000000002E-2</v>
      </c>
      <c r="S3940">
        <v>-3.01355</v>
      </c>
      <c r="T3940">
        <v>-9.1296199999999994E-2</v>
      </c>
      <c r="U3940">
        <v>0.11322019999999999</v>
      </c>
      <c r="V3940">
        <v>-8.4972130000000007E-2</v>
      </c>
      <c r="W3940">
        <v>-1.2069369999999999E-2</v>
      </c>
      <c r="X3940">
        <v>0.99631020000000003</v>
      </c>
      <c r="Y3940">
        <v>2.1000120000000001E-2</v>
      </c>
      <c r="Z3940">
        <v>1.01894599999999E-4</v>
      </c>
      <c r="AA3940">
        <v>0.99977950000000004</v>
      </c>
      <c r="AB3940">
        <v>41</v>
      </c>
      <c r="AC3940">
        <v>-36.372999999999898</v>
      </c>
      <c r="AD3940">
        <v>-1.1088111805679901</v>
      </c>
      <c r="AE3940">
        <v>1.37130000000001</v>
      </c>
      <c r="AF3940">
        <v>0.76876939738441596</v>
      </c>
      <c r="AG3940">
        <v>-1.1088111805679901</v>
      </c>
      <c r="AH3940">
        <v>36.356967425322502</v>
      </c>
      <c r="AI3940">
        <v>91.746469379497498</v>
      </c>
      <c r="AJ3940">
        <v>88.788659173837402</v>
      </c>
      <c r="AK3940">
        <v>36.381994846166201</v>
      </c>
      <c r="AL3940">
        <v>90.691540770756205</v>
      </c>
      <c r="AM3940">
        <v>94.874778292973104</v>
      </c>
      <c r="AN3940">
        <v>0.99999997359648596</v>
      </c>
    </row>
    <row r="3941" spans="1:40" x14ac:dyDescent="0.25">
      <c r="A3941" t="str">
        <f>"20190305135908956"</f>
        <v>20190305135908956</v>
      </c>
      <c r="B3941" t="str">
        <f>"1551765548953391"</f>
        <v>1551765548953391</v>
      </c>
      <c r="C3941" t="s">
        <v>40</v>
      </c>
      <c r="D3941">
        <v>4.1125449999999999</v>
      </c>
      <c r="E3941">
        <v>0.53881129999999999</v>
      </c>
      <c r="F3941" t="s">
        <v>79</v>
      </c>
      <c r="G3941">
        <v>-317.43700000000001</v>
      </c>
      <c r="H3941" s="1">
        <v>-7.2218589999999998E-6</v>
      </c>
      <c r="I3941">
        <v>142.33260000000001</v>
      </c>
      <c r="J3941">
        <v>-281.56479999999999</v>
      </c>
      <c r="K3941">
        <v>1.108797</v>
      </c>
      <c r="L3941">
        <v>141.0034</v>
      </c>
      <c r="M3941">
        <v>-0.99980829999999998</v>
      </c>
      <c r="N3941">
        <v>-1.0530299999999999E-2</v>
      </c>
      <c r="O3941">
        <v>1.652174E-2</v>
      </c>
      <c r="P3941">
        <v>-0.9973746</v>
      </c>
      <c r="Q3941">
        <v>-2.3274240000000002E-2</v>
      </c>
      <c r="R3941">
        <v>-6.857634E-2</v>
      </c>
      <c r="S3941">
        <v>-3.0133359999999998</v>
      </c>
      <c r="T3941">
        <v>-9.2149850000000005E-2</v>
      </c>
      <c r="U3941">
        <v>0.1109924</v>
      </c>
      <c r="V3941">
        <v>-8.5046430000000006E-2</v>
      </c>
      <c r="W3941">
        <v>-1.278498E-2</v>
      </c>
      <c r="X3941">
        <v>0.99629500000000004</v>
      </c>
      <c r="Y3941">
        <v>2.028288E-2</v>
      </c>
      <c r="Z3941" s="1">
        <v>8.5835690000000001E-5</v>
      </c>
      <c r="AA3941">
        <v>0.99979430000000002</v>
      </c>
      <c r="AB3941">
        <v>41</v>
      </c>
      <c r="AC3941">
        <v>-35.872199999999999</v>
      </c>
      <c r="AD3941">
        <v>-1.108804221859</v>
      </c>
      <c r="AE3941">
        <v>1.3292000000000099</v>
      </c>
      <c r="AF3941">
        <v>0.73561282013639995</v>
      </c>
      <c r="AG3941">
        <v>-1.108804221859</v>
      </c>
      <c r="AH3941">
        <v>35.855055435185001</v>
      </c>
      <c r="AI3941">
        <v>91.770913689783796</v>
      </c>
      <c r="AJ3941">
        <v>88.824667891914501</v>
      </c>
      <c r="AK3941">
        <v>35.879737642348303</v>
      </c>
      <c r="AL3941">
        <v>90.732545323968594</v>
      </c>
      <c r="AM3941">
        <v>94.879094330553897</v>
      </c>
      <c r="AN3941">
        <v>1.0000000389971699</v>
      </c>
    </row>
    <row r="3942" spans="1:40" x14ac:dyDescent="0.25">
      <c r="A3942" t="str">
        <f>"20190305135908979"</f>
        <v>20190305135908979</v>
      </c>
      <c r="B3942" t="str">
        <f>"1551765548972910"</f>
        <v>1551765548972910</v>
      </c>
      <c r="C3942" t="s">
        <v>40</v>
      </c>
      <c r="D3942">
        <v>4.1374219999999999</v>
      </c>
      <c r="E3942">
        <v>0.5384101</v>
      </c>
      <c r="F3942" t="s">
        <v>79</v>
      </c>
      <c r="G3942">
        <v>-317.19009999999997</v>
      </c>
      <c r="H3942" s="1">
        <v>-7.3096939999999999E-6</v>
      </c>
      <c r="I3942">
        <v>142.25049999999999</v>
      </c>
      <c r="J3942">
        <v>-281.98989999999998</v>
      </c>
      <c r="K3942">
        <v>1.1087910000000001</v>
      </c>
      <c r="L3942">
        <v>141.0104</v>
      </c>
      <c r="M3942">
        <v>-0.99980840000000004</v>
      </c>
      <c r="N3942">
        <v>-1.053218E-2</v>
      </c>
      <c r="O3942">
        <v>1.6502300000000001E-2</v>
      </c>
      <c r="P3942">
        <v>-0.99737310000000001</v>
      </c>
      <c r="Q3942">
        <v>-2.398028E-2</v>
      </c>
      <c r="R3942">
        <v>-6.8352399999999994E-2</v>
      </c>
      <c r="S3942">
        <v>-3.0129389999999998</v>
      </c>
      <c r="T3942">
        <v>-9.3775150000000002E-2</v>
      </c>
      <c r="U3942">
        <v>0.1054688</v>
      </c>
      <c r="V3942">
        <v>-8.4802429999999998E-2</v>
      </c>
      <c r="W3942">
        <v>-1.34891E-2</v>
      </c>
      <c r="X3942">
        <v>0.99630649999999998</v>
      </c>
      <c r="Y3942">
        <v>1.8477489999999999E-2</v>
      </c>
      <c r="Z3942" s="1">
        <v>4.5222129999999997E-5</v>
      </c>
      <c r="AA3942">
        <v>0.99982930000000003</v>
      </c>
      <c r="AB3942">
        <v>41</v>
      </c>
      <c r="AC3942">
        <v>-35.200199999999903</v>
      </c>
      <c r="AD3942">
        <v>-1.108798309694</v>
      </c>
      <c r="AE3942">
        <v>1.24009999999998</v>
      </c>
      <c r="AF3942">
        <v>0.65836221840104703</v>
      </c>
      <c r="AG3942">
        <v>-1.108798309694</v>
      </c>
      <c r="AH3942">
        <v>35.181007236291101</v>
      </c>
      <c r="AI3942">
        <v>91.804875300980896</v>
      </c>
      <c r="AJ3942">
        <v>88.927916592492593</v>
      </c>
      <c r="AK3942">
        <v>35.2046324318571</v>
      </c>
      <c r="AL3942">
        <v>90.772891920053098</v>
      </c>
      <c r="AM3942">
        <v>94.865107504815498</v>
      </c>
      <c r="AN3942">
        <v>1.0000000249474801</v>
      </c>
    </row>
    <row r="3943" spans="1:40" x14ac:dyDescent="0.25">
      <c r="A3943" t="str">
        <f>"20190305135909001"</f>
        <v>20190305135909001</v>
      </c>
      <c r="B3943" t="str">
        <f>"1551765548993406"</f>
        <v>1551765548993406</v>
      </c>
      <c r="C3943" t="s">
        <v>40</v>
      </c>
      <c r="D3943">
        <v>4.0956839999999897</v>
      </c>
      <c r="E3943">
        <v>0.53803909999999999</v>
      </c>
      <c r="F3943" t="s">
        <v>79</v>
      </c>
      <c r="G3943">
        <v>-317.12209999999999</v>
      </c>
      <c r="H3943" s="1">
        <v>-7.3294149999999999E-6</v>
      </c>
      <c r="I3943">
        <v>142.21100000000001</v>
      </c>
      <c r="J3943">
        <v>-282.39299999999997</v>
      </c>
      <c r="K3943">
        <v>1.1087800000000001</v>
      </c>
      <c r="L3943">
        <v>141.0171</v>
      </c>
      <c r="M3943">
        <v>-0.99980869999999999</v>
      </c>
      <c r="N3943">
        <v>-1.0534180000000001E-2</v>
      </c>
      <c r="O3943">
        <v>1.6483580000000001E-2</v>
      </c>
      <c r="P3943">
        <v>-0.99735240000000003</v>
      </c>
      <c r="Q3943">
        <v>-2.469555E-2</v>
      </c>
      <c r="R3943">
        <v>-6.8400169999999996E-2</v>
      </c>
      <c r="S3943">
        <v>-3.0126650000000001</v>
      </c>
      <c r="T3943">
        <v>-9.5081929999999995E-2</v>
      </c>
      <c r="U3943">
        <v>0.102951</v>
      </c>
      <c r="V3943">
        <v>-8.4831509999999999E-2</v>
      </c>
      <c r="W3943">
        <v>-1.420253E-2</v>
      </c>
      <c r="X3943">
        <v>0.99629409999999896</v>
      </c>
      <c r="Y3943">
        <v>1.7665219999999999E-2</v>
      </c>
      <c r="Z3943" s="1">
        <v>2.540406E-5</v>
      </c>
      <c r="AA3943">
        <v>0.99984399999999996</v>
      </c>
      <c r="AB3943">
        <v>41</v>
      </c>
      <c r="AC3943">
        <v>-34.729100000000003</v>
      </c>
      <c r="AD3943">
        <v>-1.1087873294149999</v>
      </c>
      <c r="AE3943">
        <v>1.19390000000001</v>
      </c>
      <c r="AF3943">
        <v>0.62061428759966497</v>
      </c>
      <c r="AG3943">
        <v>-1.1087873294149999</v>
      </c>
      <c r="AH3943">
        <v>34.708724453496103</v>
      </c>
      <c r="AI3943">
        <v>91.829427471725793</v>
      </c>
      <c r="AJ3943">
        <v>88.975623820626296</v>
      </c>
      <c r="AK3943">
        <v>34.731975535874199</v>
      </c>
      <c r="AL3943">
        <v>90.813772374426307</v>
      </c>
      <c r="AM3943">
        <v>94.8668280914994</v>
      </c>
      <c r="AN3943">
        <v>1.00000001532104</v>
      </c>
    </row>
    <row r="3944" spans="1:40" x14ac:dyDescent="0.25">
      <c r="A3944" t="str">
        <f>"20190305135909023"</f>
        <v>20190305135909023</v>
      </c>
      <c r="B3944" t="str">
        <f>"1551765549012926"</f>
        <v>1551765549012926</v>
      </c>
      <c r="C3944" t="s">
        <v>40</v>
      </c>
      <c r="D3944">
        <v>4.122395</v>
      </c>
      <c r="E3944">
        <v>0.53763660000000002</v>
      </c>
      <c r="F3944" t="s">
        <v>79</v>
      </c>
      <c r="G3944">
        <v>-316.5111</v>
      </c>
      <c r="H3944" s="1">
        <v>-7.5835819999999996E-6</v>
      </c>
      <c r="I3944">
        <v>142.14750000000001</v>
      </c>
      <c r="J3944">
        <v>-282.81920000000002</v>
      </c>
      <c r="K3944">
        <v>1.108779</v>
      </c>
      <c r="L3944">
        <v>141.0241</v>
      </c>
      <c r="M3944">
        <v>-0.99980899999999995</v>
      </c>
      <c r="N3944">
        <v>-1.053627E-2</v>
      </c>
      <c r="O3944">
        <v>1.6463350000000002E-2</v>
      </c>
      <c r="P3944">
        <v>-0.99733400000000005</v>
      </c>
      <c r="Q3944">
        <v>-2.495671E-2</v>
      </c>
      <c r="R3944">
        <v>-6.8572190000000005E-2</v>
      </c>
      <c r="S3944">
        <v>-3.0123899999999999</v>
      </c>
      <c r="T3944">
        <v>-9.789813E-2</v>
      </c>
      <c r="U3944">
        <v>9.9807740000000006E-2</v>
      </c>
      <c r="V3944">
        <v>-8.4983219999999998E-2</v>
      </c>
      <c r="W3944">
        <v>-1.446185E-2</v>
      </c>
      <c r="X3944">
        <v>0.99627750000000004</v>
      </c>
      <c r="Y3944">
        <v>1.6646850000000001E-2</v>
      </c>
      <c r="Z3944" s="1">
        <v>-3.1773230000000001E-6</v>
      </c>
      <c r="AA3944">
        <v>0.99986140000000001</v>
      </c>
      <c r="AB3944">
        <v>41</v>
      </c>
      <c r="AC3944">
        <v>-33.691899999999897</v>
      </c>
      <c r="AD3944">
        <v>-1.1087865835819899</v>
      </c>
      <c r="AE3944">
        <v>1.1234</v>
      </c>
      <c r="AF3944">
        <v>0.56792102233915598</v>
      </c>
      <c r="AG3944">
        <v>-1.1087865835819899</v>
      </c>
      <c r="AH3944">
        <v>33.669404328258501</v>
      </c>
      <c r="AI3944">
        <v>91.885890667482798</v>
      </c>
      <c r="AJ3944">
        <v>89.033651088760905</v>
      </c>
      <c r="AK3944">
        <v>33.692443214989602</v>
      </c>
      <c r="AL3944">
        <v>90.828631792646405</v>
      </c>
      <c r="AM3944">
        <v>94.875570700574997</v>
      </c>
      <c r="AN3944">
        <v>1.00000007489661</v>
      </c>
    </row>
    <row r="3945" spans="1:40" x14ac:dyDescent="0.25">
      <c r="A3945" t="str">
        <f>"20190305135909046"</f>
        <v>20190305135909046</v>
      </c>
      <c r="B3945" t="str">
        <f>"1551765549033422"</f>
        <v>1551765549033422</v>
      </c>
      <c r="C3945" t="s">
        <v>40</v>
      </c>
      <c r="D3945">
        <v>4.1448119999999999</v>
      </c>
      <c r="E3945">
        <v>0.5372943</v>
      </c>
      <c r="F3945" t="s">
        <v>79</v>
      </c>
      <c r="G3945">
        <v>-316.20499999999998</v>
      </c>
      <c r="H3945" s="1">
        <v>-7.70425E-6</v>
      </c>
      <c r="I3945">
        <v>142.09039999999999</v>
      </c>
      <c r="J3945">
        <v>-283.23039999999997</v>
      </c>
      <c r="K3945">
        <v>1.108779</v>
      </c>
      <c r="L3945">
        <v>141.0308</v>
      </c>
      <c r="M3945">
        <v>-0.99980930000000001</v>
      </c>
      <c r="N3945">
        <v>-1.053833E-2</v>
      </c>
      <c r="O3945">
        <v>1.644056E-2</v>
      </c>
      <c r="P3945">
        <v>-0.99733079999999996</v>
      </c>
      <c r="Q3945">
        <v>-2.520553E-2</v>
      </c>
      <c r="R3945">
        <v>-6.8526840000000006E-2</v>
      </c>
      <c r="S3945">
        <v>-3.0121150000000001</v>
      </c>
      <c r="T3945">
        <v>-0.1000361</v>
      </c>
      <c r="U3945">
        <v>9.6206669999999994E-2</v>
      </c>
      <c r="V3945">
        <v>-8.4914480000000001E-2</v>
      </c>
      <c r="W3945">
        <v>-1.470891E-2</v>
      </c>
      <c r="X3945">
        <v>0.99627969999999999</v>
      </c>
      <c r="Y3945">
        <v>1.54792E-2</v>
      </c>
      <c r="Z3945" s="1">
        <v>-3.3945649999999999E-5</v>
      </c>
      <c r="AA3945">
        <v>0.9998802</v>
      </c>
      <c r="AB3945">
        <v>41</v>
      </c>
      <c r="AC3945">
        <v>-32.974600000000002</v>
      </c>
      <c r="AD3945">
        <v>-1.1087867042499999</v>
      </c>
      <c r="AE3945">
        <v>1.0595999999999799</v>
      </c>
      <c r="AF3945">
        <v>0.51672213329018402</v>
      </c>
      <c r="AG3945">
        <v>-1.1087867042499999</v>
      </c>
      <c r="AH3945">
        <v>32.950346572589297</v>
      </c>
      <c r="AI3945">
        <v>91.927052110042695</v>
      </c>
      <c r="AJ3945">
        <v>89.101570273097394</v>
      </c>
      <c r="AK3945">
        <v>32.973045794592601</v>
      </c>
      <c r="AL3945">
        <v>90.842788829997005</v>
      </c>
      <c r="AM3945">
        <v>94.871635300768205</v>
      </c>
      <c r="AN3945">
        <v>1.00000003078957</v>
      </c>
    </row>
    <row r="3946" spans="1:40" x14ac:dyDescent="0.25">
      <c r="A3946" t="str">
        <f>"20190305135909066"</f>
        <v>20190305135909066</v>
      </c>
      <c r="B3946" t="str">
        <f>"1551765549062702"</f>
        <v>1551765549062702</v>
      </c>
      <c r="C3946" t="s">
        <v>40</v>
      </c>
      <c r="D3946">
        <v>4.1618849999999998</v>
      </c>
      <c r="E3946">
        <v>0.53676590000000002</v>
      </c>
      <c r="F3946" t="s">
        <v>79</v>
      </c>
      <c r="G3946">
        <v>-315.76409999999998</v>
      </c>
      <c r="H3946" s="1">
        <v>-7.8873139999999998E-6</v>
      </c>
      <c r="I3946">
        <v>142.04320000000001</v>
      </c>
      <c r="J3946">
        <v>-283.61590000000001</v>
      </c>
      <c r="K3946">
        <v>1.108776</v>
      </c>
      <c r="L3946">
        <v>141.03720000000001</v>
      </c>
      <c r="M3946">
        <v>-0.99980970000000002</v>
      </c>
      <c r="N3946">
        <v>-1.054035E-2</v>
      </c>
      <c r="O3946">
        <v>1.6413799999999999E-2</v>
      </c>
      <c r="P3946">
        <v>-0.9973341</v>
      </c>
      <c r="Q3946">
        <v>-2.5422429999999999E-2</v>
      </c>
      <c r="R3946">
        <v>-6.8400440000000007E-2</v>
      </c>
      <c r="S3946">
        <v>-3.0118710000000002</v>
      </c>
      <c r="T3946">
        <v>-0.102648</v>
      </c>
      <c r="U3946">
        <v>9.3719479999999994E-2</v>
      </c>
      <c r="V3946">
        <v>-8.4761719999999999E-2</v>
      </c>
      <c r="W3946">
        <v>-1.4924420000000001E-2</v>
      </c>
      <c r="X3946">
        <v>0.99628950000000005</v>
      </c>
      <c r="Y3946">
        <v>1.468407E-2</v>
      </c>
      <c r="Z3946" s="1">
        <v>-5.8566870000000001E-5</v>
      </c>
      <c r="AA3946">
        <v>0.99989220000000001</v>
      </c>
      <c r="AB3946">
        <v>41</v>
      </c>
      <c r="AC3946">
        <v>-32.148199999999903</v>
      </c>
      <c r="AD3946">
        <v>-1.1087838873139999</v>
      </c>
      <c r="AE3946">
        <v>1.006</v>
      </c>
      <c r="AF3946">
        <v>0.47759344518735902</v>
      </c>
      <c r="AG3946">
        <v>-1.1087838873139999</v>
      </c>
      <c r="AH3946">
        <v>32.122208460489198</v>
      </c>
      <c r="AI3946">
        <v>91.976713779963305</v>
      </c>
      <c r="AJ3946">
        <v>89.148188310756595</v>
      </c>
      <c r="AK3946">
        <v>32.144887207560402</v>
      </c>
      <c r="AL3946">
        <v>90.855138001371401</v>
      </c>
      <c r="AM3946">
        <v>94.862865755229606</v>
      </c>
      <c r="AN3946">
        <v>1.0000000276499701</v>
      </c>
    </row>
    <row r="3947" spans="1:40" x14ac:dyDescent="0.25">
      <c r="A3947" t="str">
        <f>"20190305135909090"</f>
        <v>20190305135909090</v>
      </c>
      <c r="B3947" t="str">
        <f>"1551765549083199"</f>
        <v>1551765549083199</v>
      </c>
      <c r="C3947" t="s">
        <v>40</v>
      </c>
      <c r="D3947">
        <v>4.1010070000000001</v>
      </c>
      <c r="E3947">
        <v>0.53633180000000003</v>
      </c>
      <c r="F3947" t="s">
        <v>79</v>
      </c>
      <c r="G3947">
        <v>-315.28129999999999</v>
      </c>
      <c r="H3947" s="1">
        <v>-8.0857029999999994E-6</v>
      </c>
      <c r="I3947">
        <v>141.9836</v>
      </c>
      <c r="J3947">
        <v>-284.03930000000003</v>
      </c>
      <c r="K3947">
        <v>1.108773</v>
      </c>
      <c r="L3947">
        <v>141.04409999999999</v>
      </c>
      <c r="M3947">
        <v>-0.99981030000000004</v>
      </c>
      <c r="N3947">
        <v>-1.0542640000000001E-2</v>
      </c>
      <c r="O3947">
        <v>1.6376209999999999E-2</v>
      </c>
      <c r="P3947">
        <v>-0.99732920000000003</v>
      </c>
      <c r="Q3947">
        <v>-2.6235100000000001E-2</v>
      </c>
      <c r="R3947">
        <v>-6.8164509999999998E-2</v>
      </c>
      <c r="S3947">
        <v>-3.0115660000000002</v>
      </c>
      <c r="T3947">
        <v>-0.1054519</v>
      </c>
      <c r="U3947">
        <v>9.0011599999999997E-2</v>
      </c>
      <c r="V3947">
        <v>-8.4488469999999996E-2</v>
      </c>
      <c r="W3947">
        <v>-1.573606E-2</v>
      </c>
      <c r="X3947">
        <v>0.99630019999999997</v>
      </c>
      <c r="Y3947">
        <v>1.349562E-2</v>
      </c>
      <c r="Z3947" s="1">
        <v>-9.313197E-5</v>
      </c>
      <c r="AA3947">
        <v>0.99990889999999999</v>
      </c>
      <c r="AB3947">
        <v>42</v>
      </c>
      <c r="AC3947">
        <v>-31.241999999999901</v>
      </c>
      <c r="AD3947">
        <v>-1.108781085703</v>
      </c>
      <c r="AE3947">
        <v>0.93950000000000899</v>
      </c>
      <c r="AF3947">
        <v>0.427182432742157</v>
      </c>
      <c r="AG3947">
        <v>-1.108781085703</v>
      </c>
      <c r="AH3947">
        <v>31.213916477984402</v>
      </c>
      <c r="AI3947">
        <v>92.034215587955401</v>
      </c>
      <c r="AJ3947">
        <v>89.215919521312003</v>
      </c>
      <c r="AK3947">
        <v>31.236524490113201</v>
      </c>
      <c r="AL3947">
        <v>90.901647032125496</v>
      </c>
      <c r="AM3947">
        <v>94.847212129810899</v>
      </c>
      <c r="AN3947">
        <v>1.0000000068336501</v>
      </c>
    </row>
    <row r="3948" spans="1:40" x14ac:dyDescent="0.25">
      <c r="A3948" t="str">
        <f>"20190305135909103"</f>
        <v>20190305135909103</v>
      </c>
      <c r="B3948" t="str">
        <f>"1551765549092958"</f>
        <v>1551765549092958</v>
      </c>
      <c r="C3948" t="s">
        <v>40</v>
      </c>
      <c r="D3948">
        <v>4.0936519999999996</v>
      </c>
      <c r="E3948">
        <v>0.53614200000000001</v>
      </c>
      <c r="F3948" t="s">
        <v>79</v>
      </c>
      <c r="G3948">
        <v>-314.6789</v>
      </c>
      <c r="H3948" s="1">
        <v>-8.3206189999999999E-6</v>
      </c>
      <c r="I3948">
        <v>141.9324</v>
      </c>
      <c r="J3948">
        <v>-284.29849999999999</v>
      </c>
      <c r="K3948">
        <v>1.1087739999999999</v>
      </c>
      <c r="L3948">
        <v>141.04830000000001</v>
      </c>
      <c r="M3948">
        <v>-0.99981089999999995</v>
      </c>
      <c r="N3948">
        <v>-1.0544100000000001E-2</v>
      </c>
      <c r="O3948">
        <v>1.634741E-2</v>
      </c>
      <c r="P3948">
        <v>-0.99732639999999995</v>
      </c>
      <c r="Q3948">
        <v>-2.655799E-2</v>
      </c>
      <c r="R3948">
        <v>-6.8081870000000003E-2</v>
      </c>
      <c r="S3948">
        <v>-3.011139</v>
      </c>
      <c r="T3948">
        <v>-0.1089666</v>
      </c>
      <c r="U3948">
        <v>8.7295529999999996E-2</v>
      </c>
      <c r="V3948">
        <v>-8.4376380000000001E-2</v>
      </c>
      <c r="W3948">
        <v>-1.605854E-2</v>
      </c>
      <c r="X3948">
        <v>0.99630459999999998</v>
      </c>
      <c r="Y3948">
        <v>1.262807E-2</v>
      </c>
      <c r="Z3948">
        <v>-1.239031E-4</v>
      </c>
      <c r="AA3948">
        <v>0.99992020000000004</v>
      </c>
      <c r="AB3948">
        <v>42</v>
      </c>
      <c r="AC3948">
        <v>-30.380400000000002</v>
      </c>
      <c r="AD3948">
        <v>-1.108782320619</v>
      </c>
      <c r="AE3948">
        <v>0.88409999999998901</v>
      </c>
      <c r="AF3948">
        <v>0.38679866266044899</v>
      </c>
      <c r="AG3948">
        <v>-1.108782320619</v>
      </c>
      <c r="AH3948">
        <v>30.350400773859899</v>
      </c>
      <c r="AI3948">
        <v>92.092069763168894</v>
      </c>
      <c r="AJ3948">
        <v>89.2698372808144</v>
      </c>
      <c r="AK3948">
        <v>30.373110452732199</v>
      </c>
      <c r="AL3948">
        <v>90.920126067688997</v>
      </c>
      <c r="AM3948">
        <v>94.840790684737399</v>
      </c>
      <c r="AN3948">
        <v>1.00000005309499</v>
      </c>
    </row>
    <row r="3949" spans="1:40" x14ac:dyDescent="0.25">
      <c r="A3949" t="str">
        <f>"20190305135909123"</f>
        <v>20190305135909123</v>
      </c>
      <c r="B3949" t="str">
        <f>"1551765549113454"</f>
        <v>1551765549113454</v>
      </c>
      <c r="C3949" t="s">
        <v>40</v>
      </c>
      <c r="D3949">
        <v>4.0915470000000003</v>
      </c>
      <c r="E3949">
        <v>0.53571590000000002</v>
      </c>
      <c r="F3949" t="s">
        <v>79</v>
      </c>
      <c r="G3949">
        <v>-314.58569999999997</v>
      </c>
      <c r="H3949" s="1">
        <v>-8.3509050000000003E-6</v>
      </c>
      <c r="I3949">
        <v>141.91419999999999</v>
      </c>
      <c r="J3949">
        <v>-284.673</v>
      </c>
      <c r="K3949">
        <v>1.1087830000000001</v>
      </c>
      <c r="L3949">
        <v>141.05439999999999</v>
      </c>
      <c r="M3949">
        <v>-0.99981160000000002</v>
      </c>
      <c r="N3949">
        <v>-1.054627E-2</v>
      </c>
      <c r="O3949">
        <v>1.6294280000000001E-2</v>
      </c>
      <c r="P3949">
        <v>-0.9973339</v>
      </c>
      <c r="Q3949">
        <v>-2.712943E-2</v>
      </c>
      <c r="R3949">
        <v>-6.7743159999999997E-2</v>
      </c>
      <c r="S3949">
        <v>-3.0109859999999999</v>
      </c>
      <c r="T3949">
        <v>-0.11022899999999999</v>
      </c>
      <c r="U3949">
        <v>8.6074830000000005E-2</v>
      </c>
      <c r="V3949">
        <v>-8.3984610000000001E-2</v>
      </c>
      <c r="W3949">
        <v>-1.6629660000000001E-2</v>
      </c>
      <c r="X3949">
        <v>0.99632829999999994</v>
      </c>
      <c r="Y3949">
        <v>1.227786E-2</v>
      </c>
      <c r="Z3949">
        <v>-1.3494749999999999E-4</v>
      </c>
      <c r="AA3949">
        <v>0.99992460000000005</v>
      </c>
      <c r="AB3949">
        <v>42</v>
      </c>
      <c r="AC3949">
        <v>-29.912699999999901</v>
      </c>
      <c r="AD3949">
        <v>-1.108791350905</v>
      </c>
      <c r="AE3949">
        <v>0.859800000000007</v>
      </c>
      <c r="AF3949">
        <v>0.37174245902029401</v>
      </c>
      <c r="AG3949">
        <v>-1.108791350905</v>
      </c>
      <c r="AH3949">
        <v>29.881715188389901</v>
      </c>
      <c r="AI3949">
        <v>92.124878806901904</v>
      </c>
      <c r="AJ3949">
        <v>89.287250576480702</v>
      </c>
      <c r="AK3949">
        <v>29.9045901713388</v>
      </c>
      <c r="AL3949">
        <v>90.952853234209798</v>
      </c>
      <c r="AM3949">
        <v>94.818306284456497</v>
      </c>
      <c r="AN3949">
        <v>1.00000002084472</v>
      </c>
    </row>
    <row r="3950" spans="1:40" x14ac:dyDescent="0.25">
      <c r="A3950" t="str">
        <f>"20190305135909136"</f>
        <v>20190305135909136</v>
      </c>
      <c r="B3950" t="str">
        <f>"1551765549132974"</f>
        <v>1551765549132974</v>
      </c>
      <c r="C3950" t="s">
        <v>40</v>
      </c>
      <c r="D3950">
        <v>4.1018379999999999</v>
      </c>
      <c r="E3950">
        <v>0.53523959999999904</v>
      </c>
      <c r="F3950" t="s">
        <v>79</v>
      </c>
      <c r="G3950">
        <v>-314.22890000000001</v>
      </c>
      <c r="H3950" s="1">
        <v>-8.4751490000000003E-6</v>
      </c>
      <c r="I3950">
        <v>141.87610000000001</v>
      </c>
      <c r="J3950">
        <v>-284.92059999999998</v>
      </c>
      <c r="K3950">
        <v>1.1087880000000001</v>
      </c>
      <c r="L3950">
        <v>141.05840000000001</v>
      </c>
      <c r="M3950">
        <v>-0.99981240000000005</v>
      </c>
      <c r="N3950">
        <v>-1.054773E-2</v>
      </c>
      <c r="O3950">
        <v>1.6250649999999998E-2</v>
      </c>
      <c r="P3950">
        <v>-0.99735280000000004</v>
      </c>
      <c r="Q3950">
        <v>-2.704873E-2</v>
      </c>
      <c r="R3950">
        <v>-6.7498059999999999E-2</v>
      </c>
      <c r="S3950">
        <v>-3.0106199999999999</v>
      </c>
      <c r="T3950">
        <v>-0.1129434</v>
      </c>
      <c r="U3950">
        <v>8.3694459999999998E-2</v>
      </c>
      <c r="V3950">
        <v>-8.3695839999999994E-2</v>
      </c>
      <c r="W3950">
        <v>-1.6548980000000001E-2</v>
      </c>
      <c r="X3950">
        <v>0.99635390000000001</v>
      </c>
      <c r="Y3950">
        <v>1.153557E-2</v>
      </c>
      <c r="Z3950">
        <v>-1.60767E-4</v>
      </c>
      <c r="AA3950">
        <v>0.99993339999999997</v>
      </c>
      <c r="AB3950">
        <v>42</v>
      </c>
      <c r="AC3950">
        <v>-29.308299999999999</v>
      </c>
      <c r="AD3950">
        <v>-1.10879647514899</v>
      </c>
      <c r="AE3950">
        <v>0.81770000000000198</v>
      </c>
      <c r="AF3950">
        <v>0.34079923259544898</v>
      </c>
      <c r="AG3950">
        <v>-1.10879647514899</v>
      </c>
      <c r="AH3950">
        <v>29.275849152799399</v>
      </c>
      <c r="AI3950">
        <v>92.168842643730002</v>
      </c>
      <c r="AJ3950">
        <v>89.333051771127501</v>
      </c>
      <c r="AK3950">
        <v>29.2988210916021</v>
      </c>
      <c r="AL3950">
        <v>90.948230015029097</v>
      </c>
      <c r="AM3950">
        <v>94.8016939732466</v>
      </c>
      <c r="AN3950">
        <v>0.99999997820877695</v>
      </c>
    </row>
    <row r="3951" spans="1:40" x14ac:dyDescent="0.25">
      <c r="A3951" t="str">
        <f>"20190305135909156"</f>
        <v>20190305135909156</v>
      </c>
      <c r="B3951" t="str">
        <f>"1551765549153471"</f>
        <v>1551765549153471</v>
      </c>
      <c r="C3951" t="s">
        <v>40</v>
      </c>
      <c r="D3951">
        <v>4.1546620000000001</v>
      </c>
      <c r="E3951">
        <v>0.53479290000000002</v>
      </c>
      <c r="F3951" t="s">
        <v>79</v>
      </c>
      <c r="G3951">
        <v>-314.04239999999999</v>
      </c>
      <c r="H3951" s="1">
        <v>-8.5358129999999994E-6</v>
      </c>
      <c r="I3951">
        <v>141.8399</v>
      </c>
      <c r="J3951">
        <v>-285.26929999999999</v>
      </c>
      <c r="K3951">
        <v>1.10880499999999</v>
      </c>
      <c r="L3951">
        <v>141.06399999999999</v>
      </c>
      <c r="M3951">
        <v>-0.99981370000000003</v>
      </c>
      <c r="N3951">
        <v>-1.054981E-2</v>
      </c>
      <c r="O3951">
        <v>1.6171700000000001E-2</v>
      </c>
      <c r="P3951">
        <v>-0.99739310000000003</v>
      </c>
      <c r="Q3951">
        <v>-2.6539409999999999E-2</v>
      </c>
      <c r="R3951">
        <v>-6.7102090000000003E-2</v>
      </c>
      <c r="S3951">
        <v>-3.0103149999999999</v>
      </c>
      <c r="T3951">
        <v>-0.1146162</v>
      </c>
      <c r="U3951">
        <v>8.0780030000000003E-2</v>
      </c>
      <c r="V3951">
        <v>-8.3221439999999994E-2</v>
      </c>
      <c r="W3951">
        <v>-1.6040120000000001E-2</v>
      </c>
      <c r="X3951">
        <v>0.99640200000000001</v>
      </c>
      <c r="Y3951">
        <v>1.0650730000000001E-2</v>
      </c>
      <c r="Z3951">
        <v>-1.8591929999999999E-4</v>
      </c>
      <c r="AA3951">
        <v>0.99994329999999998</v>
      </c>
      <c r="AB3951">
        <v>42</v>
      </c>
      <c r="AC3951">
        <v>-28.773099999999999</v>
      </c>
      <c r="AD3951">
        <v>-1.10881353581299</v>
      </c>
      <c r="AE3951">
        <v>0.77590000000000703</v>
      </c>
      <c r="AF3951">
        <v>0.31000270834390498</v>
      </c>
      <c r="AG3951">
        <v>-1.10881353581299</v>
      </c>
      <c r="AH3951">
        <v>28.739236777123001</v>
      </c>
      <c r="AI3951">
        <v>92.209354109892402</v>
      </c>
      <c r="AJ3951">
        <v>89.381989225200201</v>
      </c>
      <c r="AK3951">
        <v>28.762289541479898</v>
      </c>
      <c r="AL3951">
        <v>90.919070574355601</v>
      </c>
      <c r="AM3951">
        <v>94.774374044250294</v>
      </c>
      <c r="AN3951">
        <v>1.0000000195646399</v>
      </c>
    </row>
    <row r="3952" spans="1:40" x14ac:dyDescent="0.25">
      <c r="A3952" t="str">
        <f>"20190305135909179"</f>
        <v>20190305135909179</v>
      </c>
      <c r="B3952" t="str">
        <f>"1551765549172991"</f>
        <v>1551765549172991</v>
      </c>
      <c r="C3952" t="s">
        <v>40</v>
      </c>
      <c r="D3952">
        <v>4.1322460000000003</v>
      </c>
      <c r="E3952">
        <v>0.53439159999999997</v>
      </c>
      <c r="F3952" t="s">
        <v>79</v>
      </c>
      <c r="G3952">
        <v>-314.31950000000001</v>
      </c>
      <c r="H3952" s="1">
        <v>-8.426519E-6</v>
      </c>
      <c r="I3952">
        <v>141.821</v>
      </c>
      <c r="J3952">
        <v>-285.7106</v>
      </c>
      <c r="K3952">
        <v>1.108824</v>
      </c>
      <c r="L3952">
        <v>141.0711</v>
      </c>
      <c r="M3952">
        <v>-0.99981580000000003</v>
      </c>
      <c r="N3952">
        <v>-1.0552519999999999E-2</v>
      </c>
      <c r="O3952">
        <v>1.6040949999999998E-2</v>
      </c>
      <c r="P3952">
        <v>-0.99742390000000003</v>
      </c>
      <c r="Q3952">
        <v>-2.6871909999999999E-2</v>
      </c>
      <c r="R3952">
        <v>-6.6513399999999903E-2</v>
      </c>
      <c r="S3952">
        <v>-3.0100709999999999</v>
      </c>
      <c r="T3952">
        <v>-0.1148911</v>
      </c>
      <c r="U3952">
        <v>7.8430180000000002E-2</v>
      </c>
      <c r="V3952">
        <v>-8.2502110000000003E-2</v>
      </c>
      <c r="W3952">
        <v>-1.637427E-2</v>
      </c>
      <c r="X3952">
        <v>0.99645640000000002</v>
      </c>
      <c r="Y3952">
        <v>1.000415E-2</v>
      </c>
      <c r="Z3952">
        <v>-1.9902750000000001E-4</v>
      </c>
      <c r="AA3952">
        <v>0.99994989999999995</v>
      </c>
      <c r="AB3952">
        <v>42</v>
      </c>
      <c r="AC3952">
        <v>-28.608899999999998</v>
      </c>
      <c r="AD3952">
        <v>-1.1088324265189999</v>
      </c>
      <c r="AE3952">
        <v>0.74989999999999601</v>
      </c>
      <c r="AF3952">
        <v>0.29042810191442298</v>
      </c>
      <c r="AG3952">
        <v>-1.1088324265189999</v>
      </c>
      <c r="AH3952">
        <v>28.5743533277677</v>
      </c>
      <c r="AI3952">
        <v>92.222142369771205</v>
      </c>
      <c r="AJ3952">
        <v>89.417669008171401</v>
      </c>
      <c r="AK3952">
        <v>28.597334245215698</v>
      </c>
      <c r="AL3952">
        <v>90.9382184583704</v>
      </c>
      <c r="AM3952">
        <v>94.733037508657205</v>
      </c>
      <c r="AN3952">
        <v>1.00000003598672</v>
      </c>
    </row>
    <row r="3953" spans="1:40" x14ac:dyDescent="0.25">
      <c r="A3953" t="str">
        <f>"20190305135909202"</f>
        <v>20190305135909202</v>
      </c>
      <c r="B3953" t="str">
        <f>"1551765549192510"</f>
        <v>1551765549192510</v>
      </c>
      <c r="C3953" t="s">
        <v>40</v>
      </c>
      <c r="D3953">
        <v>4.1268989999999999</v>
      </c>
      <c r="E3953">
        <v>0.5340241</v>
      </c>
      <c r="F3953" t="s">
        <v>79</v>
      </c>
      <c r="G3953">
        <v>-314.14640000000003</v>
      </c>
      <c r="H3953" s="1">
        <v>-8.4862899999999997E-6</v>
      </c>
      <c r="I3953">
        <v>141.8005</v>
      </c>
      <c r="J3953">
        <v>-286.13529999999997</v>
      </c>
      <c r="K3953">
        <v>1.108846</v>
      </c>
      <c r="L3953">
        <v>141.0778</v>
      </c>
      <c r="M3953">
        <v>-0.99981830000000005</v>
      </c>
      <c r="N3953">
        <v>-1.0555220000000001E-2</v>
      </c>
      <c r="O3953">
        <v>1.5878799999999998E-2</v>
      </c>
      <c r="P3953">
        <v>-0.99744900000000003</v>
      </c>
      <c r="Q3953">
        <v>-2.7257259999999998E-2</v>
      </c>
      <c r="R3953">
        <v>-6.5974270000000002E-2</v>
      </c>
      <c r="S3953">
        <v>-3.009735</v>
      </c>
      <c r="T3953">
        <v>-0.11736240000000001</v>
      </c>
      <c r="U3953">
        <v>7.7209470000000002E-2</v>
      </c>
      <c r="V3953">
        <v>-8.1800730000000002E-2</v>
      </c>
      <c r="W3953">
        <v>-1.6761910000000001E-2</v>
      </c>
      <c r="X3953">
        <v>0.99650780000000005</v>
      </c>
      <c r="Y3953">
        <v>9.764099E-3</v>
      </c>
      <c r="Z3953">
        <v>-2.0941110000000001E-4</v>
      </c>
      <c r="AA3953">
        <v>0.99995230000000002</v>
      </c>
      <c r="AB3953">
        <v>42</v>
      </c>
      <c r="AC3953">
        <v>-28.011099999999999</v>
      </c>
      <c r="AD3953">
        <v>-1.1088544862899901</v>
      </c>
      <c r="AE3953">
        <v>0.72270000000000301</v>
      </c>
      <c r="AF3953">
        <v>0.27736711624870197</v>
      </c>
      <c r="AG3953">
        <v>-1.1088544862899901</v>
      </c>
      <c r="AH3953">
        <v>27.975234297012499</v>
      </c>
      <c r="AI3953">
        <v>92.269733413010997</v>
      </c>
      <c r="AJ3953">
        <v>89.431945975454894</v>
      </c>
      <c r="AK3953">
        <v>27.998575405932499</v>
      </c>
      <c r="AL3953">
        <v>90.960431621275006</v>
      </c>
      <c r="AM3953">
        <v>94.692739766535098</v>
      </c>
      <c r="AN3953">
        <v>1.0000000582580999</v>
      </c>
    </row>
    <row r="3954" spans="1:40" x14ac:dyDescent="0.25">
      <c r="A3954" t="str">
        <f>"20190305135909223"</f>
        <v>20190305135909223</v>
      </c>
      <c r="B3954" t="str">
        <f>"1551765549213010"</f>
        <v>1551765549213010</v>
      </c>
      <c r="C3954" t="s">
        <v>40</v>
      </c>
      <c r="D3954">
        <v>4.1079780000000001</v>
      </c>
      <c r="E3954">
        <v>0.53370419999999996</v>
      </c>
      <c r="F3954" t="s">
        <v>79</v>
      </c>
      <c r="G3954">
        <v>-313.9117</v>
      </c>
      <c r="H3954" s="1">
        <v>-8.5688179999999992E-6</v>
      </c>
      <c r="I3954">
        <v>141.77850000000001</v>
      </c>
      <c r="J3954">
        <v>-286.53309999999999</v>
      </c>
      <c r="K3954">
        <v>1.108873</v>
      </c>
      <c r="L3954">
        <v>141.084</v>
      </c>
      <c r="M3954">
        <v>-0.99982110000000002</v>
      </c>
      <c r="N3954">
        <v>-1.0557820000000001E-2</v>
      </c>
      <c r="O3954">
        <v>1.5701179999999999E-2</v>
      </c>
      <c r="P3954">
        <v>-0.99744869999999997</v>
      </c>
      <c r="Q3954">
        <v>-2.7553859999999999E-2</v>
      </c>
      <c r="R3954">
        <v>-6.5854350000000006E-2</v>
      </c>
      <c r="S3954">
        <v>-3.0093990000000002</v>
      </c>
      <c r="T3954">
        <v>-0.1201376</v>
      </c>
      <c r="U3954">
        <v>7.5912480000000004E-2</v>
      </c>
      <c r="V3954">
        <v>-8.1502859999999996E-2</v>
      </c>
      <c r="W3954">
        <v>-1.7060809999999999E-2</v>
      </c>
      <c r="X3954">
        <v>0.9965271</v>
      </c>
      <c r="Y3954">
        <v>9.5141129999999994E-3</v>
      </c>
      <c r="Z3954">
        <v>-2.2063240000000001E-4</v>
      </c>
      <c r="AA3954">
        <v>0.99995469999999997</v>
      </c>
      <c r="AB3954">
        <v>42</v>
      </c>
      <c r="AC3954">
        <v>-27.378599999999999</v>
      </c>
      <c r="AD3954">
        <v>-1.108881568818</v>
      </c>
      <c r="AE3954">
        <v>0.694500000000005</v>
      </c>
      <c r="AF3954">
        <v>0.264081221641634</v>
      </c>
      <c r="AG3954">
        <v>-1.108881568818</v>
      </c>
      <c r="AH3954">
        <v>27.341308065636799</v>
      </c>
      <c r="AI3954">
        <v>92.322364181359603</v>
      </c>
      <c r="AJ3954">
        <v>89.446615029475097</v>
      </c>
      <c r="AK3954">
        <v>27.3650595461684</v>
      </c>
      <c r="AL3954">
        <v>90.977559811555906</v>
      </c>
      <c r="AM3954">
        <v>94.675637326631403</v>
      </c>
      <c r="AN3954">
        <v>1.0000000242302201</v>
      </c>
    </row>
    <row r="3955" spans="1:40" x14ac:dyDescent="0.25">
      <c r="A3955" t="str">
        <f>"20190305135909244"</f>
        <v>20190305135909244</v>
      </c>
      <c r="B3955" t="str">
        <f>"1551765549232526"</f>
        <v>1551765549232526</v>
      </c>
      <c r="C3955" t="s">
        <v>40</v>
      </c>
      <c r="D3955">
        <v>4.1172789999999999</v>
      </c>
      <c r="E3955">
        <v>0.53341499999999997</v>
      </c>
      <c r="F3955" t="s">
        <v>79</v>
      </c>
      <c r="G3955">
        <v>-313.774</v>
      </c>
      <c r="H3955" s="1">
        <v>-8.6137569999999995E-6</v>
      </c>
      <c r="I3955">
        <v>141.75239999999999</v>
      </c>
      <c r="J3955">
        <v>-286.9307</v>
      </c>
      <c r="K3955">
        <v>1.108897</v>
      </c>
      <c r="L3955">
        <v>141.09010000000001</v>
      </c>
      <c r="M3955">
        <v>-0.99982420000000005</v>
      </c>
      <c r="N3955">
        <v>-1.0560389999999999E-2</v>
      </c>
      <c r="O3955">
        <v>1.5501300000000001E-2</v>
      </c>
      <c r="P3955">
        <v>-0.99745729999999999</v>
      </c>
      <c r="Q3955">
        <v>-2.768609E-2</v>
      </c>
      <c r="R3955">
        <v>-6.5672939999999999E-2</v>
      </c>
      <c r="S3955">
        <v>-3.0091549999999998</v>
      </c>
      <c r="T3955">
        <v>-0.1224922</v>
      </c>
      <c r="U3955">
        <v>7.3837280000000005E-2</v>
      </c>
      <c r="V3955">
        <v>-8.1121090000000007E-2</v>
      </c>
      <c r="W3955">
        <v>-1.7194850000000001E-2</v>
      </c>
      <c r="X3955">
        <v>0.99655590000000005</v>
      </c>
      <c r="Y3955">
        <v>9.0273430000000002E-3</v>
      </c>
      <c r="Z3955">
        <v>-2.3562480000000001E-4</v>
      </c>
      <c r="AA3955">
        <v>0.99995919999999905</v>
      </c>
      <c r="AB3955">
        <v>42</v>
      </c>
      <c r="AC3955">
        <v>-26.843299999999999</v>
      </c>
      <c r="AD3955">
        <v>-1.1089056137569999</v>
      </c>
      <c r="AE3955">
        <v>0.66229999999998701</v>
      </c>
      <c r="AF3955">
        <v>0.24567221886059601</v>
      </c>
      <c r="AG3955">
        <v>-1.1089056137569999</v>
      </c>
      <c r="AH3955">
        <v>26.804626007054001</v>
      </c>
      <c r="AI3955">
        <v>92.368872387665604</v>
      </c>
      <c r="AJ3955">
        <v>89.474882165454005</v>
      </c>
      <c r="AK3955">
        <v>26.8286787203056</v>
      </c>
      <c r="AL3955">
        <v>90.985240909995596</v>
      </c>
      <c r="AM3955">
        <v>94.653698556467404</v>
      </c>
      <c r="AN3955">
        <v>0.99999997796705997</v>
      </c>
    </row>
    <row r="3956" spans="1:40" x14ac:dyDescent="0.25">
      <c r="A3956" t="str">
        <f>"20190305135909256"</f>
        <v>20190305135909256</v>
      </c>
      <c r="B3956" t="str">
        <f>"1551765549253023"</f>
        <v>1551765549253023</v>
      </c>
      <c r="C3956" t="s">
        <v>40</v>
      </c>
      <c r="D3956">
        <v>4.1007259999999999</v>
      </c>
      <c r="E3956">
        <v>0.53314010000000001</v>
      </c>
      <c r="F3956" t="s">
        <v>79</v>
      </c>
      <c r="G3956">
        <v>-313.8399</v>
      </c>
      <c r="H3956" s="1">
        <v>-8.5844789999999998E-6</v>
      </c>
      <c r="I3956">
        <v>141.7355</v>
      </c>
      <c r="J3956">
        <v>-287.17309999999998</v>
      </c>
      <c r="K3956">
        <v>1.1089089999999999</v>
      </c>
      <c r="L3956">
        <v>141.09370000000001</v>
      </c>
      <c r="M3956">
        <v>-0.99982599999999999</v>
      </c>
      <c r="N3956">
        <v>-1.056197E-2</v>
      </c>
      <c r="O3956">
        <v>1.5371640000000001E-2</v>
      </c>
      <c r="P3956">
        <v>-0.99745459999999997</v>
      </c>
      <c r="Q3956">
        <v>-2.764262E-2</v>
      </c>
      <c r="R3956">
        <v>-6.5726759999999995E-2</v>
      </c>
      <c r="S3956">
        <v>-3.008972</v>
      </c>
      <c r="T3956">
        <v>-0.123997</v>
      </c>
      <c r="U3956">
        <v>7.2174070000000007E-2</v>
      </c>
      <c r="V3956">
        <v>-8.1045130000000007E-2</v>
      </c>
      <c r="W3956">
        <v>-1.715243E-2</v>
      </c>
      <c r="X3956">
        <v>0.99656279999999997</v>
      </c>
      <c r="Y3956">
        <v>8.6065099999999995E-3</v>
      </c>
      <c r="Z3956">
        <v>-2.4803139999999998E-4</v>
      </c>
      <c r="AA3956">
        <v>0.99996289999999999</v>
      </c>
      <c r="AB3956">
        <v>42</v>
      </c>
      <c r="AC3956">
        <v>-26.666799999999999</v>
      </c>
      <c r="AD3956">
        <v>-1.108917584479</v>
      </c>
      <c r="AE3956">
        <v>0.64179999999998905</v>
      </c>
      <c r="AF3956">
        <v>0.23138892428311</v>
      </c>
      <c r="AG3956">
        <v>-1.108917584479</v>
      </c>
      <c r="AH3956">
        <v>26.627496187698</v>
      </c>
      <c r="AI3956">
        <v>92.384648148063405</v>
      </c>
      <c r="AJ3956">
        <v>89.502120852828895</v>
      </c>
      <c r="AK3956">
        <v>26.651581421546499</v>
      </c>
      <c r="AL3956">
        <v>90.982810075604903</v>
      </c>
      <c r="AM3956">
        <v>94.649327998667303</v>
      </c>
      <c r="AN3956">
        <v>0.99999996664773005</v>
      </c>
    </row>
    <row r="3957" spans="1:40" x14ac:dyDescent="0.25">
      <c r="A3957" t="str">
        <f>"20190305135909269"</f>
        <v>20190305135909269</v>
      </c>
      <c r="B3957" t="str">
        <f>"1551765549262783"</f>
        <v>1551765549262783</v>
      </c>
      <c r="C3957" t="s">
        <v>40</v>
      </c>
      <c r="D3957">
        <v>4.1086109999999998</v>
      </c>
      <c r="E3957">
        <v>0.5330201</v>
      </c>
      <c r="F3957" t="s">
        <v>79</v>
      </c>
      <c r="G3957">
        <v>-313.93119999999999</v>
      </c>
      <c r="H3957" s="1">
        <v>-8.5445609999999995E-6</v>
      </c>
      <c r="I3957">
        <v>141.71440000000001</v>
      </c>
      <c r="J3957">
        <v>-287.39449999999999</v>
      </c>
      <c r="K3957">
        <v>1.1089169999999999</v>
      </c>
      <c r="L3957">
        <v>141.09700000000001</v>
      </c>
      <c r="M3957">
        <v>-0.99982800000000005</v>
      </c>
      <c r="N3957">
        <v>-1.0563410000000001E-2</v>
      </c>
      <c r="O3957">
        <v>1.524502E-2</v>
      </c>
      <c r="P3957">
        <v>-0.99745839999999997</v>
      </c>
      <c r="Q3957">
        <v>-2.7583690000000001E-2</v>
      </c>
      <c r="R3957">
        <v>-6.5697060000000002E-2</v>
      </c>
      <c r="S3957">
        <v>-3.0087280000000001</v>
      </c>
      <c r="T3957">
        <v>-0.1246887</v>
      </c>
      <c r="U3957">
        <v>6.97937E-2</v>
      </c>
      <c r="V3957">
        <v>-8.0889340000000004E-2</v>
      </c>
      <c r="W3957">
        <v>-1.709395E-2</v>
      </c>
      <c r="X3957">
        <v>0.99657649999999998</v>
      </c>
      <c r="Y3957">
        <v>7.9450809999999997E-3</v>
      </c>
      <c r="Z3957">
        <v>-2.6387310000000001E-4</v>
      </c>
      <c r="AA3957">
        <v>0.99996839999999998</v>
      </c>
      <c r="AB3957">
        <v>42</v>
      </c>
      <c r="AC3957">
        <v>-26.5367</v>
      </c>
      <c r="AD3957">
        <v>-1.108925544561</v>
      </c>
      <c r="AE3957">
        <v>0.61740000000000295</v>
      </c>
      <c r="AF3957">
        <v>0.21238247652672201</v>
      </c>
      <c r="AG3957">
        <v>-1.108925544561</v>
      </c>
      <c r="AH3957">
        <v>26.4967831144033</v>
      </c>
      <c r="AI3957">
        <v>92.396429001407398</v>
      </c>
      <c r="AJ3957">
        <v>89.540760895124393</v>
      </c>
      <c r="AK3957">
        <v>26.520828373024901</v>
      </c>
      <c r="AL3957">
        <v>90.979458890003698</v>
      </c>
      <c r="AM3957">
        <v>94.640366325550303</v>
      </c>
      <c r="AN3957">
        <v>1.0000000044022399</v>
      </c>
    </row>
    <row r="3958" spans="1:40" x14ac:dyDescent="0.25">
      <c r="A3958" t="str">
        <f>"20190305135909284"</f>
        <v>20190305135909284</v>
      </c>
      <c r="B3958" t="str">
        <f>"1551765549273519"</f>
        <v>1551765549273519</v>
      </c>
      <c r="C3958" t="s">
        <v>40</v>
      </c>
      <c r="D3958">
        <v>4.0967960000000003</v>
      </c>
      <c r="E3958">
        <v>0.53289900000000001</v>
      </c>
      <c r="F3958" t="s">
        <v>79</v>
      </c>
      <c r="G3958">
        <v>-314.07760000000002</v>
      </c>
      <c r="H3958" s="1">
        <v>-8.487912E-6</v>
      </c>
      <c r="I3958">
        <v>141.70859999999999</v>
      </c>
      <c r="J3958">
        <v>-287.66809999999998</v>
      </c>
      <c r="K3958">
        <v>1.1089290000000001</v>
      </c>
      <c r="L3958">
        <v>141.1011</v>
      </c>
      <c r="M3958">
        <v>-0.99983040000000001</v>
      </c>
      <c r="N3958">
        <v>-1.05652E-2</v>
      </c>
      <c r="O3958">
        <v>1.508541E-2</v>
      </c>
      <c r="P3958">
        <v>-0.99744089999999996</v>
      </c>
      <c r="Q3958">
        <v>-2.751692E-2</v>
      </c>
      <c r="R3958">
        <v>-6.598859E-2</v>
      </c>
      <c r="S3958">
        <v>-3.0086979999999999</v>
      </c>
      <c r="T3958">
        <v>-0.12503909999999999</v>
      </c>
      <c r="U3958">
        <v>6.8954470000000004E-2</v>
      </c>
      <c r="V3958">
        <v>-8.1021060000000006E-2</v>
      </c>
      <c r="W3958">
        <v>-1.7027939999999998E-2</v>
      </c>
      <c r="X3958">
        <v>0.99656699999999998</v>
      </c>
      <c r="Y3958">
        <v>7.8262330000000001E-3</v>
      </c>
      <c r="Z3958">
        <v>-2.6330990000000002E-4</v>
      </c>
      <c r="AA3958">
        <v>0.99996940000000001</v>
      </c>
      <c r="AB3958">
        <v>42</v>
      </c>
      <c r="AC3958">
        <v>-26.409500000000001</v>
      </c>
      <c r="AD3958">
        <v>-1.108937487912</v>
      </c>
      <c r="AE3958">
        <v>0.60749999999998705</v>
      </c>
      <c r="AF3958">
        <v>0.20864281803575799</v>
      </c>
      <c r="AG3958">
        <v>-1.108937487912</v>
      </c>
      <c r="AH3958">
        <v>26.369190659105801</v>
      </c>
      <c r="AI3958">
        <v>92.408038849938094</v>
      </c>
      <c r="AJ3958">
        <v>89.546663999164494</v>
      </c>
      <c r="AK3958">
        <v>26.393322833510101</v>
      </c>
      <c r="AL3958">
        <v>90.975676176952405</v>
      </c>
      <c r="AM3958">
        <v>94.647933719462998</v>
      </c>
      <c r="AN3958">
        <v>1.00000007419658</v>
      </c>
    </row>
    <row r="3959" spans="1:40" x14ac:dyDescent="0.25">
      <c r="A3959" t="str">
        <f>"20190305135909299"</f>
        <v>20190305135909299</v>
      </c>
      <c r="B3959" t="str">
        <f>"1551765549293039"</f>
        <v>1551765549293039</v>
      </c>
      <c r="C3959" t="s">
        <v>40</v>
      </c>
      <c r="D3959">
        <v>4.0744160000000003</v>
      </c>
      <c r="E3959">
        <v>0.53268530000000003</v>
      </c>
      <c r="F3959" t="s">
        <v>79</v>
      </c>
      <c r="G3959">
        <v>-314.32</v>
      </c>
      <c r="H3959" s="1">
        <v>-8.3933889999999999E-6</v>
      </c>
      <c r="I3959">
        <v>141.6962</v>
      </c>
      <c r="J3959">
        <v>-287.95100000000002</v>
      </c>
      <c r="K3959">
        <v>1.108941</v>
      </c>
      <c r="L3959">
        <v>141.1053</v>
      </c>
      <c r="M3959">
        <v>-0.99983290000000002</v>
      </c>
      <c r="N3959">
        <v>-1.056707E-2</v>
      </c>
      <c r="O3959">
        <v>1.4915919999999999E-2</v>
      </c>
      <c r="P3959">
        <v>-0.99741900000000006</v>
      </c>
      <c r="Q3959">
        <v>-2.7587730000000001E-2</v>
      </c>
      <c r="R3959">
        <v>-6.6289589999999995E-2</v>
      </c>
      <c r="S3959">
        <v>-3.0087280000000001</v>
      </c>
      <c r="T3959">
        <v>-0.12518779999999999</v>
      </c>
      <c r="U3959">
        <v>6.7184450000000007E-2</v>
      </c>
      <c r="V3959">
        <v>-8.1151639999999997E-2</v>
      </c>
      <c r="W3959">
        <v>-1.709925E-2</v>
      </c>
      <c r="X3959">
        <v>0.99655510000000003</v>
      </c>
      <c r="Y3959">
        <v>7.4079130000000003E-3</v>
      </c>
      <c r="Z3959">
        <v>-2.6947709999999999E-4</v>
      </c>
      <c r="AA3959">
        <v>0.99997250000000004</v>
      </c>
      <c r="AB3959">
        <v>42</v>
      </c>
      <c r="AC3959">
        <v>-26.369</v>
      </c>
      <c r="AD3959">
        <v>-1.108949393389</v>
      </c>
      <c r="AE3959">
        <v>0.59090000000000398</v>
      </c>
      <c r="AF3959">
        <v>0.197145892803925</v>
      </c>
      <c r="AG3959">
        <v>-1.108949393389</v>
      </c>
      <c r="AH3959">
        <v>26.3283388421114</v>
      </c>
      <c r="AI3959">
        <v>92.411804558423199</v>
      </c>
      <c r="AJ3959">
        <v>89.570978762977006</v>
      </c>
      <c r="AK3959">
        <v>26.352420409616599</v>
      </c>
      <c r="AL3959">
        <v>90.979762586562998</v>
      </c>
      <c r="AM3959">
        <v>94.655447146474003</v>
      </c>
      <c r="AN3959">
        <v>1.0000000201806301</v>
      </c>
    </row>
    <row r="3960" spans="1:40" x14ac:dyDescent="0.25">
      <c r="A3960" t="str">
        <f>"20190305135909312"</f>
        <v>20190305135909312</v>
      </c>
      <c r="B3960" t="str">
        <f>"1551765549302799"</f>
        <v>1551765549302799</v>
      </c>
      <c r="C3960" t="s">
        <v>40</v>
      </c>
      <c r="D3960">
        <v>4.0745269999999998</v>
      </c>
      <c r="E3960">
        <v>0.53257710000000003</v>
      </c>
      <c r="F3960" t="s">
        <v>79</v>
      </c>
      <c r="G3960">
        <v>-314.3691</v>
      </c>
      <c r="H3960" s="1">
        <v>-8.3683749999999993E-6</v>
      </c>
      <c r="I3960">
        <v>141.67150000000001</v>
      </c>
      <c r="J3960">
        <v>-288.21370000000002</v>
      </c>
      <c r="K3960">
        <v>1.108948</v>
      </c>
      <c r="L3960">
        <v>141.10910000000001</v>
      </c>
      <c r="M3960">
        <v>-0.99983529999999998</v>
      </c>
      <c r="N3960">
        <v>-1.0568799999999901E-2</v>
      </c>
      <c r="O3960">
        <v>1.475433E-2</v>
      </c>
      <c r="P3960">
        <v>-0.99742750000000002</v>
      </c>
      <c r="Q3960">
        <v>-2.7322829999999999E-2</v>
      </c>
      <c r="R3960">
        <v>-6.6270079999999995E-2</v>
      </c>
      <c r="S3960">
        <v>-3.0085139999999999</v>
      </c>
      <c r="T3960">
        <v>-0.12628789999999901</v>
      </c>
      <c r="U3960">
        <v>6.4483639999999995E-2</v>
      </c>
      <c r="V3960">
        <v>-8.0971429999999997E-2</v>
      </c>
      <c r="W3960">
        <v>-1.683401E-2</v>
      </c>
      <c r="X3960">
        <v>0.99657430000000002</v>
      </c>
      <c r="Y3960">
        <v>6.6746110000000004E-3</v>
      </c>
      <c r="Z3960">
        <v>-2.877666E-4</v>
      </c>
      <c r="AA3960">
        <v>0.99997769999999997</v>
      </c>
      <c r="AB3960">
        <v>42</v>
      </c>
      <c r="AC3960">
        <v>-26.155399999999901</v>
      </c>
      <c r="AD3960">
        <v>-1.1089563683749999</v>
      </c>
      <c r="AE3960">
        <v>0.56239999999999601</v>
      </c>
      <c r="AF3960">
        <v>0.176095408797661</v>
      </c>
      <c r="AG3960">
        <v>-1.1089563683749999</v>
      </c>
      <c r="AH3960">
        <v>26.1139288147677</v>
      </c>
      <c r="AI3960">
        <v>92.431611300375593</v>
      </c>
      <c r="AJ3960">
        <v>89.613640258479194</v>
      </c>
      <c r="AK3960">
        <v>26.138057922552601</v>
      </c>
      <c r="AL3960">
        <v>90.964563241616602</v>
      </c>
      <c r="AM3960">
        <v>94.645065182193093</v>
      </c>
      <c r="AN3960">
        <v>1.0000000458947</v>
      </c>
    </row>
    <row r="3961" spans="1:40" x14ac:dyDescent="0.25">
      <c r="A3961" t="str">
        <f>"20190305135909327"</f>
        <v>20190305135909327</v>
      </c>
      <c r="B3961" t="str">
        <f>"1551765549323294"</f>
        <v>1551765549323294</v>
      </c>
      <c r="C3961" t="s">
        <v>40</v>
      </c>
      <c r="D3961">
        <v>4.0936459999999997</v>
      </c>
      <c r="E3961">
        <v>0.53239360000000002</v>
      </c>
      <c r="F3961" t="s">
        <v>79</v>
      </c>
      <c r="G3961">
        <v>-314.69779999999997</v>
      </c>
      <c r="H3961" s="1">
        <v>-8.2443500000000001E-6</v>
      </c>
      <c r="I3961">
        <v>141.6704</v>
      </c>
      <c r="J3961">
        <v>-288.46199999999999</v>
      </c>
      <c r="K3961">
        <v>1.108954</v>
      </c>
      <c r="L3961">
        <v>141.11259999999999</v>
      </c>
      <c r="M3961">
        <v>-0.99983750000000005</v>
      </c>
      <c r="N3961">
        <v>-1.057043E-2</v>
      </c>
      <c r="O3961">
        <v>1.460026E-2</v>
      </c>
      <c r="P3961">
        <v>-0.99741150000000001</v>
      </c>
      <c r="Q3961">
        <v>-2.7560790000000002E-2</v>
      </c>
      <c r="R3961">
        <v>-6.6411680000000001E-2</v>
      </c>
      <c r="S3961">
        <v>-3.0085139999999999</v>
      </c>
      <c r="T3961">
        <v>-0.1259739</v>
      </c>
      <c r="U3961">
        <v>6.376648E-2</v>
      </c>
      <c r="V3961">
        <v>-8.0958740000000001E-2</v>
      </c>
      <c r="W3961">
        <v>-1.707183E-2</v>
      </c>
      <c r="X3961">
        <v>0.99657119999999999</v>
      </c>
      <c r="Y3961">
        <v>6.5904300000000004E-3</v>
      </c>
      <c r="Z3961">
        <v>-2.8393670000000001E-4</v>
      </c>
      <c r="AA3961">
        <v>0.99997820000000004</v>
      </c>
      <c r="AB3961">
        <v>42</v>
      </c>
      <c r="AC3961">
        <v>-26.235799999999902</v>
      </c>
      <c r="AD3961">
        <v>-1.10896224435</v>
      </c>
      <c r="AE3961">
        <v>0.55780000000001395</v>
      </c>
      <c r="AF3961">
        <v>0.174358240740183</v>
      </c>
      <c r="AG3961">
        <v>-1.10896224435</v>
      </c>
      <c r="AH3961">
        <v>26.194368102072598</v>
      </c>
      <c r="AI3961">
        <v>92.424167320702594</v>
      </c>
      <c r="AJ3961">
        <v>89.618626273340396</v>
      </c>
      <c r="AK3961">
        <v>26.218411819223299</v>
      </c>
      <c r="AL3961">
        <v>90.978191365038995</v>
      </c>
      <c r="AM3961">
        <v>94.644354767236905</v>
      </c>
      <c r="AN3961">
        <v>0.99999996081568698</v>
      </c>
    </row>
    <row r="3962" spans="1:40" x14ac:dyDescent="0.25">
      <c r="A3962" t="str">
        <f>"20190305135909339"</f>
        <v>20190305135909339</v>
      </c>
      <c r="B3962" t="str">
        <f>"1551765549333055"</f>
        <v>1551765549333055</v>
      </c>
      <c r="C3962" t="s">
        <v>40</v>
      </c>
      <c r="D3962">
        <v>4.0495729999999996</v>
      </c>
      <c r="E3962">
        <v>0.53227849999999999</v>
      </c>
      <c r="F3962" t="s">
        <v>79</v>
      </c>
      <c r="G3962">
        <v>-314.74270000000001</v>
      </c>
      <c r="H3962" s="1">
        <v>-8.2227160000000005E-6</v>
      </c>
      <c r="I3962">
        <v>141.6525</v>
      </c>
      <c r="J3962">
        <v>-288.70580000000001</v>
      </c>
      <c r="K3962">
        <v>1.1089599999999999</v>
      </c>
      <c r="L3962">
        <v>141.11609999999999</v>
      </c>
      <c r="M3962">
        <v>-0.99983979999999995</v>
      </c>
      <c r="N3962">
        <v>-1.057251E-2</v>
      </c>
      <c r="O3962">
        <v>1.444805E-2</v>
      </c>
      <c r="P3962">
        <v>-0.99741489999999999</v>
      </c>
      <c r="Q3962">
        <v>-2.7695310000000001E-2</v>
      </c>
      <c r="R3962">
        <v>-6.6308690000000003E-2</v>
      </c>
      <c r="S3962">
        <v>-3.0083920000000002</v>
      </c>
      <c r="T3962">
        <v>-0.1269448</v>
      </c>
      <c r="U3962">
        <v>6.1798100000000002E-2</v>
      </c>
      <c r="V3962">
        <v>-8.0703849999999994E-2</v>
      </c>
      <c r="W3962">
        <v>-1.720526E-2</v>
      </c>
      <c r="X3962">
        <v>0.99658959999999996</v>
      </c>
      <c r="Y3962">
        <v>6.0900520000000003E-3</v>
      </c>
      <c r="Z3962">
        <v>-2.959541E-4</v>
      </c>
      <c r="AA3962">
        <v>0.99998140000000002</v>
      </c>
      <c r="AB3962">
        <v>42</v>
      </c>
      <c r="AC3962">
        <v>-26.036899999999999</v>
      </c>
      <c r="AD3962">
        <v>-1.108968222716</v>
      </c>
      <c r="AE3962">
        <v>0.53640000000001398</v>
      </c>
      <c r="AF3962">
        <v>0.159850712919275</v>
      </c>
      <c r="AG3962">
        <v>-1.108968222716</v>
      </c>
      <c r="AH3962">
        <v>25.994795388253099</v>
      </c>
      <c r="AI3962">
        <v>92.442777261882398</v>
      </c>
      <c r="AJ3962">
        <v>89.647673481402293</v>
      </c>
      <c r="AK3962">
        <v>26.0189306092037</v>
      </c>
      <c r="AL3962">
        <v>90.985837443736301</v>
      </c>
      <c r="AM3962">
        <v>94.629711068118496</v>
      </c>
      <c r="AN3962">
        <v>0.99999998160232395</v>
      </c>
    </row>
    <row r="3963" spans="1:40" x14ac:dyDescent="0.25">
      <c r="A3963" t="str">
        <f>"20190305135909356"</f>
        <v>20190305135909356</v>
      </c>
      <c r="B3963" t="str">
        <f>"1551765549352575"</f>
        <v>1551765549352575</v>
      </c>
      <c r="C3963" t="s">
        <v>40</v>
      </c>
      <c r="D3963">
        <v>4.0343239999999998</v>
      </c>
      <c r="E3963">
        <v>0.53208679999999997</v>
      </c>
      <c r="F3963" t="s">
        <v>79</v>
      </c>
      <c r="G3963">
        <v>-314.82010000000002</v>
      </c>
      <c r="H3963" s="1">
        <v>-8.1923529999999995E-6</v>
      </c>
      <c r="I3963">
        <v>141.64779999999999</v>
      </c>
      <c r="J3963">
        <v>-289.0274</v>
      </c>
      <c r="K3963">
        <v>1.108967</v>
      </c>
      <c r="L3963">
        <v>141.1206</v>
      </c>
      <c r="M3963">
        <v>-0.99984260000000003</v>
      </c>
      <c r="N3963">
        <v>-1.0581729999999999E-2</v>
      </c>
      <c r="O3963">
        <v>1.424626E-2</v>
      </c>
      <c r="P3963">
        <v>-0.99740680000000004</v>
      </c>
      <c r="Q3963">
        <v>-2.8098450000000001E-2</v>
      </c>
      <c r="R3963">
        <v>-6.6258529999999996E-2</v>
      </c>
      <c r="S3963">
        <v>-3.0083009999999999</v>
      </c>
      <c r="T3963">
        <v>-0.12775049999999999</v>
      </c>
      <c r="U3963">
        <v>6.1248780000000003E-2</v>
      </c>
      <c r="V3963">
        <v>-8.0451419999999996E-2</v>
      </c>
      <c r="W3963">
        <v>-1.7600480000000002E-2</v>
      </c>
      <c r="X3963">
        <v>0.99660309999999996</v>
      </c>
      <c r="Y3963">
        <v>6.1098940000000003E-3</v>
      </c>
      <c r="Z3963">
        <v>-2.9190379999999999E-4</v>
      </c>
      <c r="AA3963">
        <v>0.99998129999999996</v>
      </c>
      <c r="AB3963">
        <v>42</v>
      </c>
      <c r="AC3963">
        <v>-25.7927</v>
      </c>
      <c r="AD3963">
        <v>-1.108975192353</v>
      </c>
      <c r="AE3963">
        <v>0.52719999999999301</v>
      </c>
      <c r="AF3963">
        <v>0.159381920930764</v>
      </c>
      <c r="AG3963">
        <v>-1.108975192353</v>
      </c>
      <c r="AH3963">
        <v>25.7500108631472</v>
      </c>
      <c r="AI3963">
        <v>92.465985105435806</v>
      </c>
      <c r="AJ3963">
        <v>89.645367342416407</v>
      </c>
      <c r="AK3963">
        <v>25.774372698984799</v>
      </c>
      <c r="AL3963">
        <v>91.008485320374604</v>
      </c>
      <c r="AM3963">
        <v>94.615230408856107</v>
      </c>
      <c r="AN3963">
        <v>0.99999997340292801</v>
      </c>
    </row>
    <row r="3964" spans="1:40" x14ac:dyDescent="0.25">
      <c r="A3964" t="str">
        <f>"20190305135909380"</f>
        <v>20190305135909380</v>
      </c>
      <c r="B3964" t="str">
        <f>"1551765549373070"</f>
        <v>1551765549373070</v>
      </c>
      <c r="C3964" t="s">
        <v>40</v>
      </c>
      <c r="D3964">
        <v>4.0821579999999997</v>
      </c>
      <c r="E3964">
        <v>0.53190419999999905</v>
      </c>
      <c r="F3964" t="s">
        <v>79</v>
      </c>
      <c r="G3964">
        <v>-314.75229999999999</v>
      </c>
      <c r="H3964" s="1">
        <v>-8.2140040000000006E-6</v>
      </c>
      <c r="I3964">
        <v>141.63319999999999</v>
      </c>
      <c r="J3964">
        <v>-289.48630000000003</v>
      </c>
      <c r="K3964">
        <v>1.108976</v>
      </c>
      <c r="L3964">
        <v>141.12690000000001</v>
      </c>
      <c r="M3964">
        <v>-0.99984649999999997</v>
      </c>
      <c r="N3964">
        <v>-1.0602449999999999E-2</v>
      </c>
      <c r="O3964">
        <v>1.395825E-2</v>
      </c>
      <c r="P3964">
        <v>-0.99738499999999997</v>
      </c>
      <c r="Q3964">
        <v>-2.8328869999999999E-2</v>
      </c>
      <c r="R3964">
        <v>-6.6487450000000003E-2</v>
      </c>
      <c r="S3964">
        <v>-3.0081180000000001</v>
      </c>
      <c r="T3964">
        <v>-0.12967690000000001</v>
      </c>
      <c r="U3964">
        <v>5.993652E-2</v>
      </c>
      <c r="V3964">
        <v>-8.0392690000000003E-2</v>
      </c>
      <c r="W3964">
        <v>-1.7812140000000001E-2</v>
      </c>
      <c r="X3964">
        <v>0.99660409999999999</v>
      </c>
      <c r="Y3964">
        <v>5.9632390000000004E-3</v>
      </c>
      <c r="Z3964">
        <v>-2.933166E-4</v>
      </c>
      <c r="AA3964">
        <v>0.99998220000000004</v>
      </c>
      <c r="AB3964">
        <v>42</v>
      </c>
      <c r="AC3964">
        <v>-25.265999999999899</v>
      </c>
      <c r="AD3964">
        <v>-1.108984214004</v>
      </c>
      <c r="AE3964">
        <v>0.50629999999998099</v>
      </c>
      <c r="AF3964">
        <v>0.15326659367387699</v>
      </c>
      <c r="AG3964">
        <v>-1.108984214004</v>
      </c>
      <c r="AH3964">
        <v>25.222034018929602</v>
      </c>
      <c r="AI3964">
        <v>92.517562421642495</v>
      </c>
      <c r="AJ3964">
        <v>89.651835341110001</v>
      </c>
      <c r="AK3964">
        <v>25.246867858958002</v>
      </c>
      <c r="AL3964">
        <v>91.020614425310796</v>
      </c>
      <c r="AM3964">
        <v>94.6118711953971</v>
      </c>
      <c r="AN3964">
        <v>0.99999999453681199</v>
      </c>
    </row>
    <row r="3965" spans="1:40" x14ac:dyDescent="0.25">
      <c r="A3965" t="str">
        <f>"20190305135909404"</f>
        <v>20190305135909404</v>
      </c>
      <c r="B3965" t="str">
        <f>"1551765549392590"</f>
        <v>1551765549392590</v>
      </c>
      <c r="C3965" t="s">
        <v>40</v>
      </c>
      <c r="D3965">
        <v>4.058211</v>
      </c>
      <c r="E3965">
        <v>0.53175019999999995</v>
      </c>
      <c r="F3965" t="s">
        <v>79</v>
      </c>
      <c r="G3965">
        <v>-315.04000000000002</v>
      </c>
      <c r="H3965" s="1">
        <v>-8.0962000000000005E-6</v>
      </c>
      <c r="I3965">
        <v>141.61799999999999</v>
      </c>
      <c r="J3965">
        <v>-289.91649999999998</v>
      </c>
      <c r="K3965">
        <v>1.108984</v>
      </c>
      <c r="L3965">
        <v>141.1327</v>
      </c>
      <c r="M3965">
        <v>-0.99984989999999996</v>
      </c>
      <c r="N3965">
        <v>-1.06322E-2</v>
      </c>
      <c r="O3965">
        <v>1.368928E-2</v>
      </c>
      <c r="P3965">
        <v>-0.99736829999999999</v>
      </c>
      <c r="Q3965">
        <v>-2.8761889999999998E-2</v>
      </c>
      <c r="R3965">
        <v>-6.6555199999999995E-2</v>
      </c>
      <c r="S3965">
        <v>-3.008057</v>
      </c>
      <c r="T3965">
        <v>-0.13054389999999999</v>
      </c>
      <c r="U3965">
        <v>5.781555E-2</v>
      </c>
      <c r="V3965">
        <v>-8.0191559999999995E-2</v>
      </c>
      <c r="W3965">
        <v>-1.8216880000000001E-2</v>
      </c>
      <c r="X3965">
        <v>0.99661299999999997</v>
      </c>
      <c r="Y3965">
        <v>5.5282259999999998E-3</v>
      </c>
      <c r="Z3965">
        <v>-2.9892759999999998E-4</v>
      </c>
      <c r="AA3965">
        <v>0.99998469999999995</v>
      </c>
      <c r="AB3965">
        <v>42</v>
      </c>
      <c r="AC3965">
        <v>-25.1235</v>
      </c>
      <c r="AD3965">
        <v>-1.1089920961999999</v>
      </c>
      <c r="AE3965">
        <v>0.48529999999999501</v>
      </c>
      <c r="AF3965">
        <v>0.14103779206592101</v>
      </c>
      <c r="AG3965">
        <v>-1.1089920961999999</v>
      </c>
      <c r="AH3965">
        <v>25.0789417150555</v>
      </c>
      <c r="AI3965">
        <v>92.531932848409994</v>
      </c>
      <c r="AJ3965">
        <v>89.677786042948497</v>
      </c>
      <c r="AK3965">
        <v>25.1038457746094</v>
      </c>
      <c r="AL3965">
        <v>91.043808070759894</v>
      </c>
      <c r="AM3965">
        <v>94.600341692312199</v>
      </c>
      <c r="AN3965">
        <v>1.0000000063905801</v>
      </c>
    </row>
    <row r="3966" spans="1:40" x14ac:dyDescent="0.25">
      <c r="A3966" t="str">
        <f>"20190305135909423"</f>
        <v>20190305135909423</v>
      </c>
      <c r="B3966" t="str">
        <f>"1551765549413090"</f>
        <v>1551765549413090</v>
      </c>
      <c r="C3966" t="s">
        <v>40</v>
      </c>
      <c r="D3966">
        <v>4.0346919999999997</v>
      </c>
      <c r="E3966">
        <v>0.53161639999999999</v>
      </c>
      <c r="F3966" t="s">
        <v>79</v>
      </c>
      <c r="G3966">
        <v>-315.18729999999999</v>
      </c>
      <c r="H3966" s="1">
        <v>-8.0280319999999992E-6</v>
      </c>
      <c r="I3966">
        <v>141.60730000000001</v>
      </c>
      <c r="J3966">
        <v>-290.29469999999998</v>
      </c>
      <c r="K3966">
        <v>1.1089869999999999</v>
      </c>
      <c r="L3966">
        <v>141.1377</v>
      </c>
      <c r="M3966">
        <v>-0.99985279999999999</v>
      </c>
      <c r="N3966">
        <v>-1.0664089999999999E-2</v>
      </c>
      <c r="O3966">
        <v>1.3453110000000001E-2</v>
      </c>
      <c r="P3966">
        <v>-0.99734849999999997</v>
      </c>
      <c r="Q3966">
        <v>-2.8999400000000002E-2</v>
      </c>
      <c r="R3966">
        <v>-6.6746150000000004E-2</v>
      </c>
      <c r="S3966">
        <v>-3.0078429999999998</v>
      </c>
      <c r="T3966">
        <v>-0.1319969</v>
      </c>
      <c r="U3966">
        <v>5.6488040000000003E-2</v>
      </c>
      <c r="V3966">
        <v>-8.0146579999999995E-2</v>
      </c>
      <c r="W3966">
        <v>-1.8423769999999999E-2</v>
      </c>
      <c r="X3966">
        <v>0.99661279999999997</v>
      </c>
      <c r="Y3966">
        <v>5.3247879999999996E-3</v>
      </c>
      <c r="Z3966">
        <v>-3.014162E-4</v>
      </c>
      <c r="AA3966">
        <v>0.99998580000000004</v>
      </c>
      <c r="AB3966">
        <v>42</v>
      </c>
      <c r="AC3966">
        <v>-24.892600000000002</v>
      </c>
      <c r="AD3966">
        <v>-1.108995028032</v>
      </c>
      <c r="AE3966">
        <v>0.46960000000001401</v>
      </c>
      <c r="AF3966">
        <v>0.13438898201733401</v>
      </c>
      <c r="AG3966">
        <v>-1.108995028032</v>
      </c>
      <c r="AH3966">
        <v>24.847365249128799</v>
      </c>
      <c r="AI3966">
        <v>92.5555090000924</v>
      </c>
      <c r="AJ3966">
        <v>89.690114170034207</v>
      </c>
      <c r="AK3966">
        <v>24.872464497799601</v>
      </c>
      <c r="AL3966">
        <v>91.055664000195407</v>
      </c>
      <c r="AM3966">
        <v>94.597773313862206</v>
      </c>
      <c r="AN3966">
        <v>0.99999999135527395</v>
      </c>
    </row>
    <row r="3967" spans="1:40" x14ac:dyDescent="0.25">
      <c r="A3967" t="str">
        <f>"20190305135909447"</f>
        <v>20190305135909447</v>
      </c>
      <c r="B3967" t="str">
        <f>"1551765549443342"</f>
        <v>1551765549443342</v>
      </c>
      <c r="C3967" t="s">
        <v>40</v>
      </c>
      <c r="D3967">
        <v>4.0408410000000003</v>
      </c>
      <c r="E3967">
        <v>0.53139590000000003</v>
      </c>
      <c r="F3967" t="s">
        <v>79</v>
      </c>
      <c r="G3967">
        <v>-315.34230000000002</v>
      </c>
      <c r="H3967" s="1">
        <v>-7.9558549999999997E-6</v>
      </c>
      <c r="I3967">
        <v>141.5942</v>
      </c>
      <c r="J3967">
        <v>-290.7176</v>
      </c>
      <c r="K3967">
        <v>1.1089960000000001</v>
      </c>
      <c r="L3967">
        <v>141.14320000000001</v>
      </c>
      <c r="M3967">
        <v>-0.99985559999999996</v>
      </c>
      <c r="N3967">
        <v>-1.0711109999999999E-2</v>
      </c>
      <c r="O3967">
        <v>1.3189670000000001E-2</v>
      </c>
      <c r="P3967">
        <v>-0.99734750000000005</v>
      </c>
      <c r="Q3967">
        <v>-2.9497059999999999E-2</v>
      </c>
      <c r="R3967">
        <v>-6.6541870000000003E-2</v>
      </c>
      <c r="S3967">
        <v>-3.0077509999999998</v>
      </c>
      <c r="T3967">
        <v>-0.13316979999999901</v>
      </c>
      <c r="U3967">
        <v>5.4824829999999998E-2</v>
      </c>
      <c r="V3967">
        <v>-7.9679239999999998E-2</v>
      </c>
      <c r="W3967">
        <v>-1.8875070000000001E-2</v>
      </c>
      <c r="X3967">
        <v>0.99664180000000002</v>
      </c>
      <c r="Y3967">
        <v>5.0362899999999997E-3</v>
      </c>
      <c r="Z3967">
        <v>-3.0397200000000001E-4</v>
      </c>
      <c r="AA3967">
        <v>0.99998719999999996</v>
      </c>
      <c r="AB3967">
        <v>42</v>
      </c>
      <c r="AC3967">
        <v>-24.624700000000001</v>
      </c>
      <c r="AD3967">
        <v>-1.10900395585499</v>
      </c>
      <c r="AE3967">
        <v>0.45099999999999302</v>
      </c>
      <c r="AF3967">
        <v>0.125895187794304</v>
      </c>
      <c r="AG3967">
        <v>-1.10900395585499</v>
      </c>
      <c r="AH3967">
        <v>24.578671300146102</v>
      </c>
      <c r="AI3967">
        <v>92.583432831488906</v>
      </c>
      <c r="AJ3967">
        <v>89.706526046441496</v>
      </c>
      <c r="AK3967">
        <v>24.604000127073601</v>
      </c>
      <c r="AL3967">
        <v>91.081526113848</v>
      </c>
      <c r="AM3967">
        <v>94.570944897730399</v>
      </c>
      <c r="AN3967">
        <v>0.99999996353085996</v>
      </c>
    </row>
    <row r="3968" spans="1:40" x14ac:dyDescent="0.25">
      <c r="A3968" t="str">
        <f>"20190305135909459"</f>
        <v>20190305135909459</v>
      </c>
      <c r="B3968" t="str">
        <f>"1551765549453103"</f>
        <v>1551765549453103</v>
      </c>
      <c r="C3968" t="s">
        <v>40</v>
      </c>
      <c r="D3968">
        <v>4.0722839999999998</v>
      </c>
      <c r="E3968">
        <v>0.53134959999999998</v>
      </c>
      <c r="F3968" t="s">
        <v>79</v>
      </c>
      <c r="G3968">
        <v>-315.41770000000002</v>
      </c>
      <c r="H3968" s="1">
        <v>-7.9200109999999903E-6</v>
      </c>
      <c r="I3968">
        <v>141.58500000000001</v>
      </c>
      <c r="J3968">
        <v>-290.96859999999998</v>
      </c>
      <c r="K3968">
        <v>1.1090070000000001</v>
      </c>
      <c r="L3968">
        <v>141.1464</v>
      </c>
      <c r="M3968">
        <v>-0.99985740000000001</v>
      </c>
      <c r="N3968">
        <v>-1.074581E-2</v>
      </c>
      <c r="O3968">
        <v>1.3033329999999999E-2</v>
      </c>
      <c r="P3968">
        <v>-0.99731950000000003</v>
      </c>
      <c r="Q3968">
        <v>-3.017661E-2</v>
      </c>
      <c r="R3968">
        <v>-6.6660280000000002E-2</v>
      </c>
      <c r="S3968">
        <v>-3.007568</v>
      </c>
      <c r="T3968">
        <v>-0.135036299999999</v>
      </c>
      <c r="U3968">
        <v>5.3802490000000001E-2</v>
      </c>
      <c r="V3968">
        <v>-7.964069E-2</v>
      </c>
      <c r="W3968">
        <v>-1.9520740000000002E-2</v>
      </c>
      <c r="X3968">
        <v>0.99663250000000003</v>
      </c>
      <c r="Y3968">
        <v>4.8541890000000001E-3</v>
      </c>
      <c r="Z3968">
        <v>-3.0980029999999999E-4</v>
      </c>
      <c r="AA3968">
        <v>0.99998819999999999</v>
      </c>
      <c r="AB3968">
        <v>42</v>
      </c>
      <c r="AC3968">
        <v>-24.449100000000001</v>
      </c>
      <c r="AD3968">
        <v>-1.109014920011</v>
      </c>
      <c r="AE3968">
        <v>0.43860000000000798</v>
      </c>
      <c r="AF3968">
        <v>0.119645084014859</v>
      </c>
      <c r="AG3968">
        <v>-1.109014920011</v>
      </c>
      <c r="AH3968">
        <v>24.4025467162868</v>
      </c>
      <c r="AI3968">
        <v>92.602081682415303</v>
      </c>
      <c r="AJ3968">
        <v>89.719082458758606</v>
      </c>
      <c r="AK3968">
        <v>24.428027249032901</v>
      </c>
      <c r="AL3968">
        <v>91.118527038434394</v>
      </c>
      <c r="AM3968">
        <v>94.568785223773801</v>
      </c>
      <c r="AN3968">
        <v>1.00000001942503</v>
      </c>
    </row>
    <row r="3969" spans="1:40" x14ac:dyDescent="0.25">
      <c r="A3969" t="str">
        <f>"20190305135909473"</f>
        <v>20190305135909473</v>
      </c>
      <c r="B3969" t="str">
        <f>"1551765549462863"</f>
        <v>1551765549462863</v>
      </c>
      <c r="C3969" t="s">
        <v>40</v>
      </c>
      <c r="D3969">
        <v>4.0707559999999896</v>
      </c>
      <c r="E3969">
        <v>0.53128280000000006</v>
      </c>
      <c r="F3969" t="s">
        <v>79</v>
      </c>
      <c r="G3969">
        <v>-315.30720000000002</v>
      </c>
      <c r="H3969" s="1">
        <v>-7.9664969999999992E-6</v>
      </c>
      <c r="I3969">
        <v>141.57560000000001</v>
      </c>
      <c r="J3969">
        <v>-291.23360000000002</v>
      </c>
      <c r="K3969">
        <v>1.1090169999999999</v>
      </c>
      <c r="L3969">
        <v>141.1497</v>
      </c>
      <c r="M3969">
        <v>-0.99985889999999999</v>
      </c>
      <c r="N3969">
        <v>-1.07955E-2</v>
      </c>
      <c r="O3969">
        <v>1.28682E-2</v>
      </c>
      <c r="P3969">
        <v>-0.99730350000000001</v>
      </c>
      <c r="Q3969">
        <v>-3.042139E-2</v>
      </c>
      <c r="R3969">
        <v>-6.6785150000000001E-2</v>
      </c>
      <c r="S3969">
        <v>-3.0074770000000002</v>
      </c>
      <c r="T3969">
        <v>-0.13703879999999999</v>
      </c>
      <c r="U3969">
        <v>5.3039549999999998E-2</v>
      </c>
      <c r="V3969">
        <v>-7.9600480000000001E-2</v>
      </c>
      <c r="W3969">
        <v>-1.9716520000000001E-2</v>
      </c>
      <c r="X3969">
        <v>0.99663190000000002</v>
      </c>
      <c r="Y3969">
        <v>4.7663979999999998E-3</v>
      </c>
      <c r="Z3969">
        <v>-3.1283569999999999E-4</v>
      </c>
      <c r="AA3969">
        <v>0.99998860000000001</v>
      </c>
      <c r="AB3969">
        <v>42</v>
      </c>
      <c r="AC3969">
        <v>-24.073599999999999</v>
      </c>
      <c r="AD3969">
        <v>-1.109024966497</v>
      </c>
      <c r="AE3969">
        <v>0.42590000000001199</v>
      </c>
      <c r="AF3969">
        <v>0.115817053926454</v>
      </c>
      <c r="AG3969">
        <v>-1.109024966497</v>
      </c>
      <c r="AH3969">
        <v>24.026113453093799</v>
      </c>
      <c r="AI3969">
        <v>92.642817854557094</v>
      </c>
      <c r="AJ3969">
        <v>89.723809803835806</v>
      </c>
      <c r="AK3969">
        <v>24.0519745057912</v>
      </c>
      <c r="AL3969">
        <v>91.129746518509194</v>
      </c>
      <c r="AM3969">
        <v>94.5664909737106</v>
      </c>
      <c r="AN3969">
        <v>1.00000006083737</v>
      </c>
    </row>
    <row r="3970" spans="1:40" x14ac:dyDescent="0.25">
      <c r="A3970" t="str">
        <f>"20190305135909492"</f>
        <v>20190305135909492</v>
      </c>
      <c r="B3970" t="str">
        <f>"1551765549483358"</f>
        <v>1551765549483358</v>
      </c>
      <c r="C3970" t="s">
        <v>40</v>
      </c>
      <c r="D3970">
        <v>4.0716190000000001</v>
      </c>
      <c r="E3970">
        <v>0.53115859999999904</v>
      </c>
      <c r="F3970" t="s">
        <v>79</v>
      </c>
      <c r="G3970">
        <v>-315.43540000000002</v>
      </c>
      <c r="H3970" s="1">
        <v>-7.9078879999999998E-6</v>
      </c>
      <c r="I3970">
        <v>141.56890000000001</v>
      </c>
      <c r="J3970">
        <v>-291.57769999999999</v>
      </c>
      <c r="K3970">
        <v>1.1090340000000001</v>
      </c>
      <c r="L3970">
        <v>141.15389999999999</v>
      </c>
      <c r="M3970">
        <v>-0.99986079999999999</v>
      </c>
      <c r="N3970">
        <v>-1.0883800000000001E-2</v>
      </c>
      <c r="O3970">
        <v>1.2652409999999999E-2</v>
      </c>
      <c r="P3970">
        <v>-0.99726369999999998</v>
      </c>
      <c r="Q3970">
        <v>-3.082913E-2</v>
      </c>
      <c r="R3970">
        <v>-6.7194160000000003E-2</v>
      </c>
      <c r="S3970">
        <v>-3.0073850000000002</v>
      </c>
      <c r="T3970">
        <v>-0.1378103</v>
      </c>
      <c r="U3970">
        <v>5.2093510000000003E-2</v>
      </c>
      <c r="V3970">
        <v>-7.9793859999999994E-2</v>
      </c>
      <c r="W3970">
        <v>-2.0037409999999999E-2</v>
      </c>
      <c r="X3970">
        <v>0.99661</v>
      </c>
      <c r="Y3970">
        <v>4.6682709999999999E-3</v>
      </c>
      <c r="Z3970">
        <v>-3.0943840000000002E-4</v>
      </c>
      <c r="AA3970">
        <v>0.99998900000000002</v>
      </c>
      <c r="AB3970">
        <v>42</v>
      </c>
      <c r="AC3970">
        <v>-23.857700000000001</v>
      </c>
      <c r="AD3970">
        <v>-1.1090419078880001</v>
      </c>
      <c r="AE3970">
        <v>0.41500000000002002</v>
      </c>
      <c r="AF3970">
        <v>0.112847738127138</v>
      </c>
      <c r="AG3970">
        <v>-1.1090419078880001</v>
      </c>
      <c r="AH3970">
        <v>23.809606046477899</v>
      </c>
      <c r="AI3970">
        <v>92.666856907577596</v>
      </c>
      <c r="AJ3970">
        <v>89.728443608188797</v>
      </c>
      <c r="AK3970">
        <v>23.8356885500278</v>
      </c>
      <c r="AL3970">
        <v>91.148135834415299</v>
      </c>
      <c r="AM3970">
        <v>94.577637797821794</v>
      </c>
      <c r="AN3970">
        <v>1.0000000249965999</v>
      </c>
    </row>
    <row r="3971" spans="1:40" x14ac:dyDescent="0.25">
      <c r="A3971" t="str">
        <f>"20190305135909513"</f>
        <v>20190305135909513</v>
      </c>
      <c r="B3971" t="str">
        <f>"1551765549502882"</f>
        <v>1551765549502882</v>
      </c>
      <c r="C3971" t="s">
        <v>40</v>
      </c>
      <c r="D3971">
        <v>4.0737889999999997</v>
      </c>
      <c r="E3971">
        <v>0.53103809999999996</v>
      </c>
      <c r="F3971" t="s">
        <v>79</v>
      </c>
      <c r="G3971">
        <v>-315.53910000000002</v>
      </c>
      <c r="H3971" s="1">
        <v>-7.8574159999999906E-6</v>
      </c>
      <c r="I3971">
        <v>141.55189999999999</v>
      </c>
      <c r="J3971">
        <v>-291.97300000000001</v>
      </c>
      <c r="K3971">
        <v>1.109067</v>
      </c>
      <c r="L3971">
        <v>141.15870000000001</v>
      </c>
      <c r="M3971">
        <v>-0.99986229999999998</v>
      </c>
      <c r="N3971">
        <v>-1.103578E-2</v>
      </c>
      <c r="O3971">
        <v>1.2405040000000001E-2</v>
      </c>
      <c r="P3971">
        <v>-0.99723260000000002</v>
      </c>
      <c r="Q3971">
        <v>-3.1207430000000001E-2</v>
      </c>
      <c r="R3971">
        <v>-6.7481470000000002E-2</v>
      </c>
      <c r="S3971">
        <v>-3.0072939999999999</v>
      </c>
      <c r="T3971">
        <v>-0.13919129999999999</v>
      </c>
      <c r="U3971">
        <v>4.9942019999999997E-2</v>
      </c>
      <c r="V3971">
        <v>-7.9833870000000001E-2</v>
      </c>
      <c r="W3971">
        <v>-2.0265410000000001E-2</v>
      </c>
      <c r="X3971">
        <v>0.99660219999999999</v>
      </c>
      <c r="Y3971">
        <v>4.2014419999999997E-3</v>
      </c>
      <c r="Z3971">
        <v>-3.1657199999999999E-4</v>
      </c>
      <c r="AA3971">
        <v>0.99999110000000002</v>
      </c>
      <c r="AB3971">
        <v>42</v>
      </c>
      <c r="AC3971">
        <v>-23.566099999999999</v>
      </c>
      <c r="AD3971">
        <v>-1.1090748574160001</v>
      </c>
      <c r="AE3971">
        <v>0.39319999999997801</v>
      </c>
      <c r="AF3971">
        <v>0.100590835011182</v>
      </c>
      <c r="AG3971">
        <v>-1.1090748574160001</v>
      </c>
      <c r="AH3971">
        <v>23.5170918625189</v>
      </c>
      <c r="AI3971">
        <v>92.700065179564007</v>
      </c>
      <c r="AJ3971">
        <v>89.754927386889193</v>
      </c>
      <c r="AK3971">
        <v>23.5434444214434</v>
      </c>
      <c r="AL3971">
        <v>91.161201908388307</v>
      </c>
      <c r="AM3971">
        <v>94.579959033638403</v>
      </c>
      <c r="AN3971">
        <v>1.00000003934324</v>
      </c>
    </row>
    <row r="3972" spans="1:40" x14ac:dyDescent="0.25">
      <c r="A3972" t="str">
        <f>"20190305135909527"</f>
        <v>20190305135909527</v>
      </c>
      <c r="B3972" t="str">
        <f>"1551765549523375"</f>
        <v>1551765549523375</v>
      </c>
      <c r="C3972" t="s">
        <v>40</v>
      </c>
      <c r="D3972">
        <v>4.0957869999999996</v>
      </c>
      <c r="E3972">
        <v>0.53094839999999999</v>
      </c>
      <c r="F3972" t="s">
        <v>79</v>
      </c>
      <c r="G3972">
        <v>-315.7389</v>
      </c>
      <c r="H3972" s="1">
        <v>-7.7655700000000003E-6</v>
      </c>
      <c r="I3972">
        <v>141.53960000000001</v>
      </c>
      <c r="J3972">
        <v>-292.22370000000001</v>
      </c>
      <c r="K3972">
        <v>1.1090990000000001</v>
      </c>
      <c r="L3972">
        <v>141.1617</v>
      </c>
      <c r="M3972">
        <v>-0.99986249999999999</v>
      </c>
      <c r="N3972">
        <v>-1.1172329999999999E-2</v>
      </c>
      <c r="O3972">
        <v>1.225386E-2</v>
      </c>
      <c r="P3972">
        <v>-0.99719080000000004</v>
      </c>
      <c r="Q3972">
        <v>-3.1553680000000001E-2</v>
      </c>
      <c r="R3972">
        <v>-6.7930589999999999E-2</v>
      </c>
      <c r="S3972">
        <v>-3.0072019999999999</v>
      </c>
      <c r="T3972">
        <v>-0.14033599999999999</v>
      </c>
      <c r="U3972">
        <v>4.8202509999999997E-2</v>
      </c>
      <c r="V3972">
        <v>-8.013149E-2</v>
      </c>
      <c r="W3972">
        <v>-2.047684E-2</v>
      </c>
      <c r="X3972">
        <v>0.99657390000000001</v>
      </c>
      <c r="Y3972">
        <v>3.775334E-3</v>
      </c>
      <c r="Z3972">
        <v>-3.2548160000000001E-4</v>
      </c>
      <c r="AA3972">
        <v>0.99999280000000002</v>
      </c>
      <c r="AB3972">
        <v>42</v>
      </c>
      <c r="AC3972">
        <v>-23.5152</v>
      </c>
      <c r="AD3972">
        <v>-1.10910676557</v>
      </c>
      <c r="AE3972">
        <v>0.37790000000001001</v>
      </c>
      <c r="AF3972">
        <v>8.9502613788579002E-2</v>
      </c>
      <c r="AG3972">
        <v>-1.10910676557</v>
      </c>
      <c r="AH3972">
        <v>23.4658768474326</v>
      </c>
      <c r="AI3972">
        <v>92.706032205537895</v>
      </c>
      <c r="AJ3972">
        <v>89.781465777248698</v>
      </c>
      <c r="AK3972">
        <v>23.4922435019345</v>
      </c>
      <c r="AL3972">
        <v>91.173318576816996</v>
      </c>
      <c r="AM3972">
        <v>94.597090021002103</v>
      </c>
      <c r="AN3972">
        <v>0.99999994741360598</v>
      </c>
    </row>
    <row r="3973" spans="1:40" x14ac:dyDescent="0.25">
      <c r="A3973" t="str">
        <f>"20190305135909539"</f>
        <v>20190305135909539</v>
      </c>
      <c r="B3973" t="str">
        <f>"1551765549533134"</f>
        <v>1551765549533134</v>
      </c>
      <c r="C3973" t="s">
        <v>40</v>
      </c>
      <c r="D3973">
        <v>4.151319</v>
      </c>
      <c r="E3973">
        <v>0.53087169999999995</v>
      </c>
      <c r="F3973" t="s">
        <v>79</v>
      </c>
      <c r="G3973">
        <v>-315.80200000000002</v>
      </c>
      <c r="H3973" s="1">
        <v>-7.7332780000000008E-6</v>
      </c>
      <c r="I3973">
        <v>141.5232</v>
      </c>
      <c r="J3973">
        <v>-292.47820000000002</v>
      </c>
      <c r="K3973">
        <v>1.109132</v>
      </c>
      <c r="L3973">
        <v>141.16470000000001</v>
      </c>
      <c r="M3973">
        <v>-0.99986260000000005</v>
      </c>
      <c r="N3973">
        <v>-1.1332719999999999E-2</v>
      </c>
      <c r="O3973">
        <v>1.2103239999999999E-2</v>
      </c>
      <c r="P3973">
        <v>-0.99715770000000004</v>
      </c>
      <c r="Q3973">
        <v>-3.1689809999999999E-2</v>
      </c>
      <c r="R3973">
        <v>-6.8356860000000005E-2</v>
      </c>
      <c r="S3973">
        <v>-3.0071110000000001</v>
      </c>
      <c r="T3973">
        <v>-0.14145239999999901</v>
      </c>
      <c r="U3973">
        <v>4.6112060000000003E-2</v>
      </c>
      <c r="V3973">
        <v>-8.040667E-2</v>
      </c>
      <c r="W3973">
        <v>-2.0454239999999999E-2</v>
      </c>
      <c r="X3973">
        <v>0.9965522</v>
      </c>
      <c r="Y3973">
        <v>3.2320999999999999E-3</v>
      </c>
      <c r="Z3973">
        <v>-3.3754949999999998E-4</v>
      </c>
      <c r="AA3973">
        <v>0.99999470000000001</v>
      </c>
      <c r="AB3973">
        <v>42</v>
      </c>
      <c r="AC3973">
        <v>-23.323799999999999</v>
      </c>
      <c r="AD3973">
        <v>-1.109139733278</v>
      </c>
      <c r="AE3973">
        <v>0.35849999999999199</v>
      </c>
      <c r="AF3973">
        <v>7.5990276218859107E-2</v>
      </c>
      <c r="AG3973">
        <v>-1.109139733278</v>
      </c>
      <c r="AH3973">
        <v>23.273812128959602</v>
      </c>
      <c r="AI3973">
        <v>92.728416121721807</v>
      </c>
      <c r="AJ3973">
        <v>89.812926794477605</v>
      </c>
      <c r="AK3973">
        <v>23.3003497073354</v>
      </c>
      <c r="AL3973">
        <v>91.1720234202798</v>
      </c>
      <c r="AM3973">
        <v>94.612908911853594</v>
      </c>
      <c r="AN3973">
        <v>0.99999994791965197</v>
      </c>
    </row>
    <row r="3974" spans="1:40" x14ac:dyDescent="0.25">
      <c r="A3974" t="str">
        <f>"20190305135909557"</f>
        <v>20190305135909557</v>
      </c>
      <c r="B3974" t="str">
        <f>"1551765549552655"</f>
        <v>1551765549552655</v>
      </c>
      <c r="C3974" t="s">
        <v>40</v>
      </c>
      <c r="D3974">
        <v>4.0971929999999999</v>
      </c>
      <c r="E3974">
        <v>0.5307866</v>
      </c>
      <c r="F3974" t="s">
        <v>79</v>
      </c>
      <c r="G3974">
        <v>-315.94529999999997</v>
      </c>
      <c r="H3974" s="1">
        <v>-7.6662699999999994E-6</v>
      </c>
      <c r="I3974">
        <v>141.5103</v>
      </c>
      <c r="J3974">
        <v>-292.81150000000002</v>
      </c>
      <c r="K3974">
        <v>1.1091789999999999</v>
      </c>
      <c r="L3974">
        <v>141.16849999999999</v>
      </c>
      <c r="M3974">
        <v>-0.99986209999999998</v>
      </c>
      <c r="N3974">
        <v>-1.157325E-2</v>
      </c>
      <c r="O3974">
        <v>1.1905560000000001E-2</v>
      </c>
      <c r="P3974">
        <v>-0.99711050000000001</v>
      </c>
      <c r="Q3974">
        <v>-3.194197E-2</v>
      </c>
      <c r="R3974">
        <v>-6.89221E-2</v>
      </c>
      <c r="S3974">
        <v>-3.0071110000000001</v>
      </c>
      <c r="T3974">
        <v>-0.14212669999999999</v>
      </c>
      <c r="U3974">
        <v>4.4281010000000003E-2</v>
      </c>
      <c r="V3974">
        <v>-8.0774429999999994E-2</v>
      </c>
      <c r="W3974">
        <v>-2.0467229999999999E-2</v>
      </c>
      <c r="X3974">
        <v>0.99652220000000002</v>
      </c>
      <c r="Y3974">
        <v>2.821385E-3</v>
      </c>
      <c r="Z3974">
        <v>-3.4162899999999998E-4</v>
      </c>
      <c r="AA3974">
        <v>0.99999590000000005</v>
      </c>
      <c r="AB3974">
        <v>42</v>
      </c>
      <c r="AC3974">
        <v>-23.133799999999901</v>
      </c>
      <c r="AD3974">
        <v>-1.1091866662700001</v>
      </c>
      <c r="AE3974">
        <v>0.34180000000000599</v>
      </c>
      <c r="AF3974">
        <v>6.6184351491735793E-2</v>
      </c>
      <c r="AG3974">
        <v>-1.1091866662700001</v>
      </c>
      <c r="AH3974">
        <v>23.083176044466999</v>
      </c>
      <c r="AI3974">
        <v>92.751034285336402</v>
      </c>
      <c r="AJ3974">
        <v>89.835721323114996</v>
      </c>
      <c r="AK3974">
        <v>23.109904623967399</v>
      </c>
      <c r="AL3974">
        <v>91.172767839362606</v>
      </c>
      <c r="AM3974">
        <v>94.634054422601594</v>
      </c>
      <c r="AN3974">
        <v>0.99999995556926702</v>
      </c>
    </row>
    <row r="3975" spans="1:40" x14ac:dyDescent="0.25">
      <c r="A3975" t="str">
        <f>"20190305135909573"</f>
        <v>20190305135909573</v>
      </c>
      <c r="B3975" t="str">
        <f>"1551765549563391"</f>
        <v>1551765549563391</v>
      </c>
      <c r="C3975" t="s">
        <v>40</v>
      </c>
      <c r="D3975">
        <v>4.0968</v>
      </c>
      <c r="E3975">
        <v>0.53075249999999996</v>
      </c>
      <c r="F3975" t="s">
        <v>79</v>
      </c>
      <c r="G3975">
        <v>-316.12029999999999</v>
      </c>
      <c r="H3975" s="1">
        <v>-7.5842280000000001E-6</v>
      </c>
      <c r="I3975">
        <v>141.4933</v>
      </c>
      <c r="J3975">
        <v>-293.08920000000001</v>
      </c>
      <c r="K3975">
        <v>1.1092070000000001</v>
      </c>
      <c r="L3975">
        <v>141.17169999999999</v>
      </c>
      <c r="M3975">
        <v>-0.99986200000000003</v>
      </c>
      <c r="N3975">
        <v>-1.1772960000000001E-2</v>
      </c>
      <c r="O3975">
        <v>1.173562E-2</v>
      </c>
      <c r="P3975">
        <v>-0.99708739999999996</v>
      </c>
      <c r="Q3975">
        <v>-3.2170200000000003E-2</v>
      </c>
      <c r="R3975">
        <v>-6.9153989999999999E-2</v>
      </c>
      <c r="S3975">
        <v>-3.0070190000000001</v>
      </c>
      <c r="T3975">
        <v>-0.1430939</v>
      </c>
      <c r="U3975">
        <v>4.1900630000000001E-2</v>
      </c>
      <c r="V3975">
        <v>-8.0837129999999993E-2</v>
      </c>
      <c r="W3975">
        <v>-2.0495960000000001E-2</v>
      </c>
      <c r="X3975">
        <v>0.99651659999999997</v>
      </c>
      <c r="Y3975">
        <v>2.2010839999999999E-3</v>
      </c>
      <c r="Z3975">
        <v>-3.5468160000000002E-4</v>
      </c>
      <c r="AA3975">
        <v>0.99999749999999998</v>
      </c>
      <c r="AB3975">
        <v>42</v>
      </c>
      <c r="AC3975">
        <v>-23.031099999999899</v>
      </c>
      <c r="AD3975">
        <v>-1.1092145842279999</v>
      </c>
      <c r="AE3975">
        <v>0.32160000000001698</v>
      </c>
      <c r="AF3975">
        <v>5.1156290172708202E-2</v>
      </c>
      <c r="AG3975">
        <v>-1.1092145842279999</v>
      </c>
      <c r="AH3975">
        <v>22.979995568766601</v>
      </c>
      <c r="AI3975">
        <v>92.763441311312405</v>
      </c>
      <c r="AJ3975">
        <v>89.872452774328096</v>
      </c>
      <c r="AK3975">
        <v>23.006807042708399</v>
      </c>
      <c r="AL3975">
        <v>91.174414205110097</v>
      </c>
      <c r="AM3975">
        <v>94.637661804497</v>
      </c>
      <c r="AN3975">
        <v>1.00000003001925</v>
      </c>
    </row>
    <row r="3976" spans="1:40" x14ac:dyDescent="0.25">
      <c r="A3976" t="str">
        <f>"20190305135909594"</f>
        <v>20190305135909594</v>
      </c>
      <c r="B3976" t="str">
        <f>"1551765549582911"</f>
        <v>1551765549582911</v>
      </c>
      <c r="C3976" t="s">
        <v>40</v>
      </c>
      <c r="D3976">
        <v>4.1027769999999997</v>
      </c>
      <c r="E3976">
        <v>0.5306729</v>
      </c>
      <c r="F3976" t="s">
        <v>79</v>
      </c>
      <c r="G3976">
        <v>-316.28969999999998</v>
      </c>
      <c r="H3976" s="1">
        <v>-7.5076099999999998E-6</v>
      </c>
      <c r="I3976">
        <v>141.48779999999999</v>
      </c>
      <c r="J3976">
        <v>-293.48180000000002</v>
      </c>
      <c r="K3976">
        <v>1.1092379999999999</v>
      </c>
      <c r="L3976">
        <v>141.17609999999999</v>
      </c>
      <c r="M3976">
        <v>-0.99986169999999996</v>
      </c>
      <c r="N3976">
        <v>-1.2041960000000001E-2</v>
      </c>
      <c r="O3976">
        <v>1.149063E-2</v>
      </c>
      <c r="P3976">
        <v>-0.9970194</v>
      </c>
      <c r="Q3976">
        <v>-3.2450439999999997E-2</v>
      </c>
      <c r="R3976">
        <v>-6.9997630000000005E-2</v>
      </c>
      <c r="S3976">
        <v>-3.0069270000000001</v>
      </c>
      <c r="T3976">
        <v>-0.1437609</v>
      </c>
      <c r="U3976">
        <v>4.0969850000000002E-2</v>
      </c>
      <c r="V3976">
        <v>-8.1436289999999995E-2</v>
      </c>
      <c r="W3976">
        <v>-2.0508189999999999E-2</v>
      </c>
      <c r="X3976">
        <v>0.99646749999999995</v>
      </c>
      <c r="Y3976">
        <v>2.136883E-3</v>
      </c>
      <c r="Z3976">
        <v>-3.4676589999999902E-4</v>
      </c>
      <c r="AA3976">
        <v>0.99999769999999999</v>
      </c>
      <c r="AB3976">
        <v>42</v>
      </c>
      <c r="AC3976">
        <v>-22.807899999999901</v>
      </c>
      <c r="AD3976">
        <v>-1.1092455076099901</v>
      </c>
      <c r="AE3976">
        <v>0.31170000000000098</v>
      </c>
      <c r="AF3976">
        <v>4.9466355062257703E-2</v>
      </c>
      <c r="AG3976">
        <v>-1.1092455076099901</v>
      </c>
      <c r="AH3976">
        <v>22.756160991274701</v>
      </c>
      <c r="AI3976">
        <v>92.790658362848006</v>
      </c>
      <c r="AJ3976">
        <v>89.875453117510801</v>
      </c>
      <c r="AK3976">
        <v>22.783233650587199</v>
      </c>
      <c r="AL3976">
        <v>91.175115154005795</v>
      </c>
      <c r="AM3976">
        <v>94.672113457206606</v>
      </c>
      <c r="AN3976">
        <v>0.99999996687114401</v>
      </c>
    </row>
    <row r="3977" spans="1:40" x14ac:dyDescent="0.25">
      <c r="A3977" t="str">
        <f>"20190305135909614"</f>
        <v>20190305135909614</v>
      </c>
      <c r="B3977" t="str">
        <f>"1551765549603406"</f>
        <v>1551765549603406</v>
      </c>
      <c r="C3977" t="s">
        <v>40</v>
      </c>
      <c r="D3977">
        <v>4.0945429999999998</v>
      </c>
      <c r="E3977">
        <v>0.53059149999999999</v>
      </c>
      <c r="F3977" t="s">
        <v>79</v>
      </c>
      <c r="G3977">
        <v>-316.52449999999999</v>
      </c>
      <c r="H3977" s="1">
        <v>-7.3976409999999998E-6</v>
      </c>
      <c r="I3977">
        <v>141.46559999999999</v>
      </c>
      <c r="J3977">
        <v>-293.8689</v>
      </c>
      <c r="K3977">
        <v>1.1092630000000001</v>
      </c>
      <c r="L3977">
        <v>141.18029999999999</v>
      </c>
      <c r="M3977">
        <v>-0.99986120000000001</v>
      </c>
      <c r="N3977">
        <v>-1.228781E-2</v>
      </c>
      <c r="O3977">
        <v>1.1246569999999999E-2</v>
      </c>
      <c r="P3977">
        <v>-0.99694609999999995</v>
      </c>
      <c r="Q3977">
        <v>-3.3399440000000002E-2</v>
      </c>
      <c r="R3977">
        <v>-7.0591760000000003E-2</v>
      </c>
      <c r="S3977">
        <v>-3.0068969999999999</v>
      </c>
      <c r="T3977">
        <v>-0.14474809999999999</v>
      </c>
      <c r="U3977">
        <v>3.7780759999999997E-2</v>
      </c>
      <c r="V3977">
        <v>-8.1786220000000007E-2</v>
      </c>
      <c r="W3977">
        <v>-2.121232E-2</v>
      </c>
      <c r="X3977">
        <v>0.99642410000000003</v>
      </c>
      <c r="Y3977">
        <v>1.3216790000000001E-3</v>
      </c>
      <c r="Z3977">
        <v>-3.6298290000000001E-4</v>
      </c>
      <c r="AA3977">
        <v>0.99999899999999997</v>
      </c>
      <c r="AB3977">
        <v>42</v>
      </c>
      <c r="AC3977">
        <v>-22.6556</v>
      </c>
      <c r="AD3977">
        <v>-1.1092703976410001</v>
      </c>
      <c r="AE3977">
        <v>0.28530000000000599</v>
      </c>
      <c r="AF3977">
        <v>3.0392063145888701E-2</v>
      </c>
      <c r="AG3977">
        <v>-1.1092703976410001</v>
      </c>
      <c r="AH3977">
        <v>22.603197607150701</v>
      </c>
      <c r="AI3977">
        <v>92.809580555434195</v>
      </c>
      <c r="AJ3977">
        <v>89.9229606390291</v>
      </c>
      <c r="AK3977">
        <v>22.630420821550999</v>
      </c>
      <c r="AL3977">
        <v>91.215467613068199</v>
      </c>
      <c r="AM3977">
        <v>94.692303436826293</v>
      </c>
      <c r="AN3977">
        <v>0.999999967681239</v>
      </c>
    </row>
    <row r="3978" spans="1:40" x14ac:dyDescent="0.25">
      <c r="A3978" t="str">
        <f>"20190305135909628"</f>
        <v>20190305135909628</v>
      </c>
      <c r="B3978" t="str">
        <f>"1551765549622927"</f>
        <v>1551765549622927</v>
      </c>
      <c r="C3978" t="s">
        <v>40</v>
      </c>
      <c r="D3978">
        <v>4.1252060000000004</v>
      </c>
      <c r="E3978">
        <v>0.53050779999999997</v>
      </c>
      <c r="F3978" t="s">
        <v>79</v>
      </c>
      <c r="G3978">
        <v>-316.44049999999999</v>
      </c>
      <c r="H3978" s="1">
        <v>-7.4298439999999999E-6</v>
      </c>
      <c r="I3978">
        <v>141.44640000000001</v>
      </c>
      <c r="J3978">
        <v>-294.12020000000001</v>
      </c>
      <c r="K3978">
        <v>1.1092759999999999</v>
      </c>
      <c r="L3978">
        <v>141.18299999999999</v>
      </c>
      <c r="M3978">
        <v>-0.99986129999999995</v>
      </c>
      <c r="N3978">
        <v>-1.243681E-2</v>
      </c>
      <c r="O3978">
        <v>1.108868E-2</v>
      </c>
      <c r="P3978">
        <v>-0.99692400000000003</v>
      </c>
      <c r="Q3978">
        <v>-3.351237E-2</v>
      </c>
      <c r="R3978">
        <v>-7.0852289999999998E-2</v>
      </c>
      <c r="S3978">
        <v>-3.0067439999999999</v>
      </c>
      <c r="T3978">
        <v>-0.14776500000000001</v>
      </c>
      <c r="U3978">
        <v>3.5446169999999999E-2</v>
      </c>
      <c r="V3978">
        <v>-8.1888890000000006E-2</v>
      </c>
      <c r="W3978">
        <v>-2.1176739999999999E-2</v>
      </c>
      <c r="X3978">
        <v>0.99641639999999998</v>
      </c>
      <c r="Y3978">
        <v>7.0497699999999997E-4</v>
      </c>
      <c r="Z3978">
        <v>-3.8503320000000003E-4</v>
      </c>
      <c r="AA3978">
        <v>0.99999970000000005</v>
      </c>
      <c r="AB3978">
        <v>42</v>
      </c>
      <c r="AC3978">
        <v>-22.3202999999999</v>
      </c>
      <c r="AD3978">
        <v>-1.109283429844</v>
      </c>
      <c r="AE3978">
        <v>0.26340000000001801</v>
      </c>
      <c r="AF3978">
        <v>1.5822950815082601E-2</v>
      </c>
      <c r="AG3978">
        <v>-1.109283429844</v>
      </c>
      <c r="AH3978">
        <v>22.266858522449301</v>
      </c>
      <c r="AI3978">
        <v>92.851984802959095</v>
      </c>
      <c r="AJ3978">
        <v>89.959285314197402</v>
      </c>
      <c r="AK3978">
        <v>22.294477983399201</v>
      </c>
      <c r="AL3978">
        <v>91.213428600599599</v>
      </c>
      <c r="AM3978">
        <v>94.698203692290605</v>
      </c>
      <c r="AN3978">
        <v>0.99999994340570797</v>
      </c>
    </row>
    <row r="3979" spans="1:40" x14ac:dyDescent="0.25">
      <c r="A3979" t="str">
        <f>"20190305135909641"</f>
        <v>20190305135909641</v>
      </c>
      <c r="B3979" t="str">
        <f>"1551765549632687"</f>
        <v>1551765549632687</v>
      </c>
      <c r="C3979" t="s">
        <v>40</v>
      </c>
      <c r="D3979">
        <v>4.1199560000000002</v>
      </c>
      <c r="E3979">
        <v>0.53047419999999901</v>
      </c>
      <c r="F3979" t="s">
        <v>79</v>
      </c>
      <c r="G3979">
        <v>-316.58420000000001</v>
      </c>
      <c r="H3979" s="1">
        <v>-7.3634819999999998E-6</v>
      </c>
      <c r="I3979">
        <v>141.4365</v>
      </c>
      <c r="J3979">
        <v>-294.37569999999999</v>
      </c>
      <c r="K3979">
        <v>1.109289</v>
      </c>
      <c r="L3979">
        <v>141.1857</v>
      </c>
      <c r="M3979">
        <v>-0.99986109999999995</v>
      </c>
      <c r="N3979">
        <v>-1.2582060000000001E-2</v>
      </c>
      <c r="O3979">
        <v>1.0929950000000001E-2</v>
      </c>
      <c r="P3979">
        <v>-0.99690409999999996</v>
      </c>
      <c r="Q3979">
        <v>-3.3505920000000002E-2</v>
      </c>
      <c r="R3979">
        <v>-7.1130659999999998E-2</v>
      </c>
      <c r="S3979">
        <v>-3.0066830000000002</v>
      </c>
      <c r="T3979">
        <v>-0.14847149999999901</v>
      </c>
      <c r="U3979">
        <v>3.3935550000000002E-2</v>
      </c>
      <c r="V3979">
        <v>-8.2009380000000007E-2</v>
      </c>
      <c r="W3979">
        <v>-2.102565E-2</v>
      </c>
      <c r="X3979">
        <v>0.99640980000000001</v>
      </c>
      <c r="Y3979">
        <v>3.6203150000000003E-4</v>
      </c>
      <c r="Z3979">
        <v>-3.9068760000000001E-4</v>
      </c>
      <c r="AA3979">
        <v>0.99999990000000005</v>
      </c>
      <c r="AB3979">
        <v>42</v>
      </c>
      <c r="AC3979">
        <v>-22.208500000000001</v>
      </c>
      <c r="AD3979">
        <v>-1.1092963634819999</v>
      </c>
      <c r="AE3979">
        <v>0.25079999999999802</v>
      </c>
      <c r="AF3979">
        <v>8.0080279684555302E-3</v>
      </c>
      <c r="AG3979">
        <v>-1.1092963634819999</v>
      </c>
      <c r="AH3979">
        <v>22.154647604832999</v>
      </c>
      <c r="AI3979">
        <v>92.866439671549003</v>
      </c>
      <c r="AJ3979">
        <v>89.979289845046594</v>
      </c>
      <c r="AK3979">
        <v>22.182403229697201</v>
      </c>
      <c r="AL3979">
        <v>91.204769720864803</v>
      </c>
      <c r="AM3979">
        <v>94.705116565706007</v>
      </c>
      <c r="AN3979">
        <v>1.0000000529509701</v>
      </c>
    </row>
    <row r="3980" spans="1:40" x14ac:dyDescent="0.25">
      <c r="A3980" t="str">
        <f>"20190305135909659"</f>
        <v>20190305135909659</v>
      </c>
      <c r="B3980" t="str">
        <f>"1551765549653183"</f>
        <v>1551765549653183</v>
      </c>
      <c r="C3980" t="s">
        <v>40</v>
      </c>
      <c r="D3980">
        <v>4.1207339999999997</v>
      </c>
      <c r="E3980">
        <v>0.53041629999999995</v>
      </c>
      <c r="F3980" t="s">
        <v>79</v>
      </c>
      <c r="G3980">
        <v>-316.80239999999998</v>
      </c>
      <c r="H3980" s="1">
        <v>-7.2653009999999898E-6</v>
      </c>
      <c r="I3980">
        <v>141.43109999999999</v>
      </c>
      <c r="J3980">
        <v>-294.70609999999999</v>
      </c>
      <c r="K3980">
        <v>1.109308</v>
      </c>
      <c r="L3980">
        <v>141.1891</v>
      </c>
      <c r="M3980">
        <v>-0.99986120000000001</v>
      </c>
      <c r="N3980">
        <v>-1.275745E-2</v>
      </c>
      <c r="O3980">
        <v>1.072677E-2</v>
      </c>
      <c r="P3980">
        <v>-0.99689090000000002</v>
      </c>
      <c r="Q3980">
        <v>-3.3471260000000003E-2</v>
      </c>
      <c r="R3980">
        <v>-7.1332339999999994E-2</v>
      </c>
      <c r="S3980">
        <v>-3.006653</v>
      </c>
      <c r="T3980">
        <v>-0.14871860000000001</v>
      </c>
      <c r="U3980">
        <v>3.2897950000000002E-2</v>
      </c>
      <c r="V3980">
        <v>-8.2008769999999995E-2</v>
      </c>
      <c r="W3980">
        <v>-2.081628E-2</v>
      </c>
      <c r="X3980">
        <v>0.99641420000000003</v>
      </c>
      <c r="Y3980">
        <v>2.203141E-4</v>
      </c>
      <c r="Z3980">
        <v>-3.865834E-4</v>
      </c>
      <c r="AA3980">
        <v>0.99999990000000005</v>
      </c>
      <c r="AB3980">
        <v>42</v>
      </c>
      <c r="AC3980">
        <v>-22.0962999999999</v>
      </c>
      <c r="AD3980">
        <v>-1.1093152653010001</v>
      </c>
      <c r="AE3980">
        <v>0.24199999999999</v>
      </c>
      <c r="AF3980">
        <v>4.93245397367322E-3</v>
      </c>
      <c r="AG3980">
        <v>-1.1093152653010001</v>
      </c>
      <c r="AH3980">
        <v>22.0420762420461</v>
      </c>
      <c r="AI3980">
        <v>92.881103424596404</v>
      </c>
      <c r="AJ3980">
        <v>89.987178667403398</v>
      </c>
      <c r="AK3980">
        <v>22.069973487684699</v>
      </c>
      <c r="AL3980">
        <v>91.192771132928002</v>
      </c>
      <c r="AM3980">
        <v>94.705061041778194</v>
      </c>
      <c r="AN3980">
        <v>1.0000000069157899</v>
      </c>
    </row>
    <row r="3981" spans="1:40" x14ac:dyDescent="0.25">
      <c r="A3981" t="str">
        <f>"20190305135909671"</f>
        <v>20190305135909671</v>
      </c>
      <c r="B3981" t="str">
        <f>"1551765549662943"</f>
        <v>1551765549662943</v>
      </c>
      <c r="C3981" t="s">
        <v>40</v>
      </c>
      <c r="D3981">
        <v>4.1143029999999996</v>
      </c>
      <c r="E3981">
        <v>0.5303776</v>
      </c>
      <c r="F3981" t="s">
        <v>79</v>
      </c>
      <c r="G3981">
        <v>-317.10309999999998</v>
      </c>
      <c r="H3981" s="1">
        <v>-7.1307390000000002E-6</v>
      </c>
      <c r="I3981">
        <v>141.42660000000001</v>
      </c>
      <c r="J3981">
        <v>-294.95440000000002</v>
      </c>
      <c r="K3981">
        <v>1.109318</v>
      </c>
      <c r="L3981">
        <v>141.1917</v>
      </c>
      <c r="M3981">
        <v>-0.99986109999999995</v>
      </c>
      <c r="N3981">
        <v>-1.287786E-2</v>
      </c>
      <c r="O3981">
        <v>1.057568E-2</v>
      </c>
      <c r="P3981">
        <v>-0.99686629999999998</v>
      </c>
      <c r="Q3981">
        <v>-3.3411240000000002E-2</v>
      </c>
      <c r="R3981">
        <v>-7.1702459999999996E-2</v>
      </c>
      <c r="S3981">
        <v>-3.006653</v>
      </c>
      <c r="T3981">
        <v>-0.14891779999999999</v>
      </c>
      <c r="U3981">
        <v>3.1875609999999999E-2</v>
      </c>
      <c r="V3981">
        <v>-8.2228120000000002E-2</v>
      </c>
      <c r="W3981">
        <v>-2.0636740000000001E-2</v>
      </c>
      <c r="X3981">
        <v>0.99639990000000001</v>
      </c>
      <c r="Y3981" s="1">
        <v>3.1584129999999997E-5</v>
      </c>
      <c r="Z3981">
        <v>-3.863362E-4</v>
      </c>
      <c r="AA3981">
        <v>0.99999990000000005</v>
      </c>
      <c r="AB3981">
        <v>42</v>
      </c>
      <c r="AC3981">
        <v>-22.148699999999899</v>
      </c>
      <c r="AD3981">
        <v>-1.109325130739</v>
      </c>
      <c r="AE3981">
        <v>0.23490000000000999</v>
      </c>
      <c r="AF3981">
        <v>6.2828513256865605E-4</v>
      </c>
      <c r="AG3981">
        <v>-1.109325130739</v>
      </c>
      <c r="AH3981">
        <v>22.094526787180101</v>
      </c>
      <c r="AI3981">
        <v>92.874300999935699</v>
      </c>
      <c r="AJ3981">
        <v>89.998370723810297</v>
      </c>
      <c r="AK3981">
        <v>22.122357844268102</v>
      </c>
      <c r="AL3981">
        <v>91.182481987813304</v>
      </c>
      <c r="AM3981">
        <v>94.717656407819106</v>
      </c>
      <c r="AN3981">
        <v>1.0000000497382799</v>
      </c>
    </row>
    <row r="3982" spans="1:40" x14ac:dyDescent="0.25">
      <c r="A3982" t="str">
        <f>"20190305135909684"</f>
        <v>20190305135909684</v>
      </c>
      <c r="B3982" t="str">
        <f>"1551765549672703"</f>
        <v>1551765549672703</v>
      </c>
      <c r="C3982" t="s">
        <v>40</v>
      </c>
      <c r="D3982">
        <v>4.2132610000000001</v>
      </c>
      <c r="E3982">
        <v>0.5303776</v>
      </c>
      <c r="F3982" t="s">
        <v>79</v>
      </c>
      <c r="G3982">
        <v>-317.39429999999999</v>
      </c>
      <c r="H3982" s="1">
        <v>-6.9996660000000004E-6</v>
      </c>
      <c r="I3982">
        <v>141.41919999999999</v>
      </c>
      <c r="J3982">
        <v>-295.18509999999998</v>
      </c>
      <c r="K3982">
        <v>1.1093249999999999</v>
      </c>
      <c r="L3982">
        <v>141.19399999999999</v>
      </c>
      <c r="M3982">
        <v>-0.99986140000000001</v>
      </c>
      <c r="N3982">
        <v>-1.2983959999999999E-2</v>
      </c>
      <c r="O3982">
        <v>1.0435420000000001E-2</v>
      </c>
      <c r="P3982">
        <v>-0.99682559999999998</v>
      </c>
      <c r="Q3982">
        <v>-3.3474009999999998E-2</v>
      </c>
      <c r="R3982">
        <v>-7.2238159999999996E-2</v>
      </c>
      <c r="S3982">
        <v>-3.0066220000000001</v>
      </c>
      <c r="T3982">
        <v>-0.1486336</v>
      </c>
      <c r="U3982">
        <v>3.048706E-2</v>
      </c>
      <c r="V3982">
        <v>-8.2623470000000004E-2</v>
      </c>
      <c r="W3982">
        <v>-2.0594560000000001E-2</v>
      </c>
      <c r="X3982">
        <v>0.99636800000000003</v>
      </c>
      <c r="Y3982">
        <v>-2.894932E-4</v>
      </c>
      <c r="Z3982">
        <v>-3.891314E-4</v>
      </c>
      <c r="AA3982">
        <v>0.99999990000000005</v>
      </c>
      <c r="AB3982">
        <v>42</v>
      </c>
      <c r="AC3982">
        <v>-22.209199999999999</v>
      </c>
      <c r="AD3982">
        <v>-1.1093319996659901</v>
      </c>
      <c r="AE3982">
        <v>0.22520000000000001</v>
      </c>
      <c r="AF3982">
        <v>-6.5776883013062802E-3</v>
      </c>
      <c r="AG3982">
        <v>-1.1093319996659901</v>
      </c>
      <c r="AH3982">
        <v>22.1550712218861</v>
      </c>
      <c r="AI3982">
        <v>92.866476945027102</v>
      </c>
      <c r="AJ3982">
        <v>90.017010722455794</v>
      </c>
      <c r="AK3982">
        <v>22.182827628557899</v>
      </c>
      <c r="AL3982">
        <v>91.180064817512999</v>
      </c>
      <c r="AM3982">
        <v>94.740386696795298</v>
      </c>
      <c r="AN3982">
        <v>0.99999998256021705</v>
      </c>
    </row>
    <row r="3983" spans="1:40" x14ac:dyDescent="0.25">
      <c r="A3983" t="str">
        <f>"20190305135909699"</f>
        <v>20190305135909699</v>
      </c>
      <c r="B3983" t="str">
        <f>"1551765549693199"</f>
        <v>1551765549693199</v>
      </c>
      <c r="C3983" t="s">
        <v>40</v>
      </c>
      <c r="D3983">
        <v>4.1503329999999998</v>
      </c>
      <c r="E3983">
        <v>0.50602510000000001</v>
      </c>
      <c r="F3983" t="s">
        <v>79</v>
      </c>
      <c r="G3983">
        <v>-317.59429999999998</v>
      </c>
      <c r="H3983" s="1">
        <v>-6.9082269999999999E-6</v>
      </c>
      <c r="I3983">
        <v>141.40880000000001</v>
      </c>
      <c r="J3983">
        <v>-295.43920000000003</v>
      </c>
      <c r="K3983">
        <v>1.109332</v>
      </c>
      <c r="L3983">
        <v>141.19649999999999</v>
      </c>
      <c r="M3983">
        <v>-0.99986149999999996</v>
      </c>
      <c r="N3983">
        <v>-1.3095010000000001E-2</v>
      </c>
      <c r="O3983">
        <v>1.0281530000000001E-2</v>
      </c>
      <c r="P3983">
        <v>-0.99680069999999998</v>
      </c>
      <c r="Q3983">
        <v>-3.3580029999999997E-2</v>
      </c>
      <c r="R3983">
        <v>-7.2531490000000004E-2</v>
      </c>
      <c r="S3983">
        <v>-3.0066830000000002</v>
      </c>
      <c r="T3983">
        <v>-0.14884049999999999</v>
      </c>
      <c r="U3983">
        <v>2.8823850000000002E-2</v>
      </c>
      <c r="V3983">
        <v>-8.2763649999999994E-2</v>
      </c>
      <c r="W3983">
        <v>-2.0590299999999999E-2</v>
      </c>
      <c r="X3983">
        <v>0.99635649999999998</v>
      </c>
      <c r="Y3983">
        <v>-6.8841330000000002E-4</v>
      </c>
      <c r="Z3983">
        <v>-3.9559019999999999E-4</v>
      </c>
      <c r="AA3983">
        <v>0.99999970000000005</v>
      </c>
      <c r="AB3983">
        <v>42</v>
      </c>
      <c r="AC3983">
        <v>-22.155099999999901</v>
      </c>
      <c r="AD3983">
        <v>-1.109338908227</v>
      </c>
      <c r="AE3983">
        <v>0.21230000000002699</v>
      </c>
      <c r="AF3983">
        <v>-1.54802500798683E-2</v>
      </c>
      <c r="AG3983">
        <v>-1.109338908227</v>
      </c>
      <c r="AH3983">
        <v>22.1007069231865</v>
      </c>
      <c r="AI3983">
        <v>92.873533517030396</v>
      </c>
      <c r="AJ3983">
        <v>90.040132329405296</v>
      </c>
      <c r="AK3983">
        <v>22.128536303968101</v>
      </c>
      <c r="AL3983">
        <v>91.179820631330799</v>
      </c>
      <c r="AM3983">
        <v>94.748447106615401</v>
      </c>
      <c r="AN3983">
        <v>1.00000002865383</v>
      </c>
    </row>
    <row r="3984" spans="1:40" x14ac:dyDescent="0.25">
      <c r="A3984" t="str">
        <f>"20190305135909713"</f>
        <v>20190305135909713</v>
      </c>
      <c r="B3984" t="str">
        <f>"1551765549702959"</f>
        <v>1551765549702959</v>
      </c>
      <c r="C3984" t="s">
        <v>40</v>
      </c>
      <c r="D3984">
        <v>4.1019829999999997</v>
      </c>
      <c r="E3984">
        <v>0.50429219999999997</v>
      </c>
      <c r="F3984" t="s">
        <v>42</v>
      </c>
      <c r="G3984">
        <v>-324.1062</v>
      </c>
      <c r="H3984" s="1">
        <v>-2.5168089999999998E-6</v>
      </c>
      <c r="I3984">
        <v>139.5822</v>
      </c>
      <c r="J3984">
        <v>-295.72680000000003</v>
      </c>
      <c r="K3984">
        <v>1.1093390000000001</v>
      </c>
      <c r="L3984">
        <v>141.19929999999999</v>
      </c>
      <c r="M3984">
        <v>-0.99986180000000002</v>
      </c>
      <c r="N3984">
        <v>-1.320792E-2</v>
      </c>
      <c r="O3984">
        <v>1.0106520000000001E-2</v>
      </c>
      <c r="P3984">
        <v>-0.99675930000000001</v>
      </c>
      <c r="Q3984">
        <v>-3.3669119999999997E-2</v>
      </c>
      <c r="R3984">
        <v>-7.3057549999999999E-2</v>
      </c>
      <c r="S3984">
        <v>-2.993439</v>
      </c>
      <c r="T3984">
        <v>-0.1158382</v>
      </c>
      <c r="U3984">
        <v>-0.16856380000000001</v>
      </c>
      <c r="V3984">
        <v>-8.3114309999999997E-2</v>
      </c>
      <c r="W3984">
        <v>-2.0567510000000001E-2</v>
      </c>
      <c r="X3984">
        <v>0.99632779999999999</v>
      </c>
      <c r="Y3984">
        <v>-6.6240960000000002E-2</v>
      </c>
      <c r="Z3984">
        <v>-1.9755369999999999E-3</v>
      </c>
      <c r="AA3984">
        <v>0.99780170000000001</v>
      </c>
      <c r="AB3984">
        <v>42</v>
      </c>
      <c r="AC3984">
        <v>-28.379399999999901</v>
      </c>
      <c r="AD3984">
        <v>-1.109341516809</v>
      </c>
      <c r="AE3984">
        <v>-1.61709999999999</v>
      </c>
      <c r="AF3984">
        <v>-1.9009640835531201</v>
      </c>
      <c r="AG3984">
        <v>-1.109341516809</v>
      </c>
      <c r="AH3984">
        <v>28.318475007033999</v>
      </c>
      <c r="AI3984">
        <v>92.238312501204405</v>
      </c>
      <c r="AJ3984">
        <v>93.840392529640198</v>
      </c>
      <c r="AK3984">
        <v>28.403878780404</v>
      </c>
      <c r="AL3984">
        <v>91.178514561143203</v>
      </c>
      <c r="AM3984">
        <v>94.768609875124596</v>
      </c>
      <c r="AN3984">
        <v>1.0000000480236</v>
      </c>
    </row>
    <row r="3985" spans="1:40" x14ac:dyDescent="0.25">
      <c r="A3985" t="str">
        <f>"20190305135909728"</f>
        <v>20190305135909728</v>
      </c>
      <c r="B3985" t="str">
        <f>"1551765549723456"</f>
        <v>1551765549723456</v>
      </c>
      <c r="C3985" t="s">
        <v>40</v>
      </c>
      <c r="D3985">
        <v>4.0594169999999998</v>
      </c>
      <c r="E3985">
        <v>0.50291819999999998</v>
      </c>
      <c r="F3985" t="s">
        <v>42</v>
      </c>
      <c r="G3985">
        <v>-332.50130000000001</v>
      </c>
      <c r="H3985" s="1">
        <v>-3.6490020000000002E-6</v>
      </c>
      <c r="I3985">
        <v>138.91829999999999</v>
      </c>
      <c r="J3985">
        <v>-296.0009</v>
      </c>
      <c r="K3985">
        <v>1.109348</v>
      </c>
      <c r="L3985">
        <v>141.20189999999999</v>
      </c>
      <c r="M3985">
        <v>-0.99986220000000003</v>
      </c>
      <c r="N3985">
        <v>-1.3307599999999999E-2</v>
      </c>
      <c r="O3985">
        <v>9.9394189999999997E-3</v>
      </c>
      <c r="P3985">
        <v>-0.99673400000000001</v>
      </c>
      <c r="Q3985">
        <v>-3.3690079999999997E-2</v>
      </c>
      <c r="R3985">
        <v>-7.3393299999999995E-2</v>
      </c>
      <c r="S3985">
        <v>-2.9930729999999999</v>
      </c>
      <c r="T3985">
        <v>-9.0289350000000004E-2</v>
      </c>
      <c r="U3985">
        <v>-0.1856537</v>
      </c>
      <c r="V3985">
        <v>-8.3284040000000004E-2</v>
      </c>
      <c r="W3985">
        <v>-2.048939E-2</v>
      </c>
      <c r="X3985">
        <v>0.99631519999999996</v>
      </c>
      <c r="Y3985">
        <v>-7.1778659999999994E-2</v>
      </c>
      <c r="Z3985">
        <v>-1.726967E-3</v>
      </c>
      <c r="AA3985">
        <v>0.9974191</v>
      </c>
      <c r="AB3985">
        <v>42</v>
      </c>
      <c r="AC3985">
        <v>-36.500399999999999</v>
      </c>
      <c r="AD3985">
        <v>-1.1093516490019999</v>
      </c>
      <c r="AE3985">
        <v>-2.2835999999999999</v>
      </c>
      <c r="AF3985">
        <v>-2.6438793206540399</v>
      </c>
      <c r="AG3985">
        <v>-1.1093516490019999</v>
      </c>
      <c r="AH3985">
        <v>36.4423654832813</v>
      </c>
      <c r="AI3985">
        <v>91.739049594145499</v>
      </c>
      <c r="AJ3985">
        <v>94.149516267753398</v>
      </c>
      <c r="AK3985">
        <v>36.5549827104374</v>
      </c>
      <c r="AL3985">
        <v>91.174037713840704</v>
      </c>
      <c r="AM3985">
        <v>94.778363088422196</v>
      </c>
      <c r="AN3985">
        <v>1.0000000120861601</v>
      </c>
    </row>
    <row r="3986" spans="1:40" x14ac:dyDescent="0.25">
      <c r="A3986" t="str">
        <f>"20190305135909747"</f>
        <v>20190305135909747</v>
      </c>
      <c r="B3986" t="str">
        <f>"1551765549742975"</f>
        <v>1551765549742975</v>
      </c>
      <c r="C3986" t="s">
        <v>40</v>
      </c>
      <c r="D3986">
        <v>4.0246180000000003</v>
      </c>
      <c r="E3986">
        <v>0.50289419999999996</v>
      </c>
      <c r="F3986" t="s">
        <v>42</v>
      </c>
      <c r="G3986">
        <v>-346.5505</v>
      </c>
      <c r="H3986" s="1">
        <v>-1.778239E-6</v>
      </c>
      <c r="I3986">
        <v>137.83420000000001</v>
      </c>
      <c r="J3986">
        <v>-296.3503</v>
      </c>
      <c r="K3986">
        <v>1.109354</v>
      </c>
      <c r="L3986">
        <v>141.20519999999999</v>
      </c>
      <c r="M3986">
        <v>-0.99986260000000005</v>
      </c>
      <c r="N3986">
        <v>-1.342379E-2</v>
      </c>
      <c r="O3986">
        <v>9.7255919999999999E-3</v>
      </c>
      <c r="P3986">
        <v>-0.99672099999999997</v>
      </c>
      <c r="Q3986">
        <v>-3.3101640000000002E-2</v>
      </c>
      <c r="R3986">
        <v>-7.3834940000000002E-2</v>
      </c>
      <c r="S3986">
        <v>-2.9929199999999998</v>
      </c>
      <c r="T3986">
        <v>-6.5681929999999999E-2</v>
      </c>
      <c r="U3986">
        <v>-0.1993866</v>
      </c>
      <c r="V3986">
        <v>-8.3512779999999995E-2</v>
      </c>
      <c r="W3986">
        <v>-1.9785219999999999E-2</v>
      </c>
      <c r="X3986">
        <v>0.99631029999999998</v>
      </c>
      <c r="Y3986">
        <v>-7.6144089999999998E-2</v>
      </c>
      <c r="Z3986">
        <v>-1.4290419999999999E-3</v>
      </c>
      <c r="AA3986">
        <v>0.99709579999999998</v>
      </c>
      <c r="AB3986">
        <v>42</v>
      </c>
      <c r="AC3986">
        <v>-50.200200000000002</v>
      </c>
      <c r="AD3986">
        <v>-1.109355778239</v>
      </c>
      <c r="AE3986">
        <v>-3.37099999999998</v>
      </c>
      <c r="AF3986">
        <v>-3.8572359744770899</v>
      </c>
      <c r="AG3986">
        <v>-1.109355778239</v>
      </c>
      <c r="AH3986">
        <v>50.140661193557797</v>
      </c>
      <c r="AI3986">
        <v>91.263722481383297</v>
      </c>
      <c r="AJ3986">
        <v>94.399003022888806</v>
      </c>
      <c r="AK3986">
        <v>50.301042181376999</v>
      </c>
      <c r="AL3986">
        <v>91.133683545097995</v>
      </c>
      <c r="AM3986">
        <v>94.791449322422096</v>
      </c>
      <c r="AN3986">
        <v>1.00000002661993</v>
      </c>
    </row>
    <row r="3987" spans="1:40" x14ac:dyDescent="0.25">
      <c r="A3987" t="str">
        <f>"20190305135909762"</f>
        <v>20190305135909762</v>
      </c>
      <c r="B3987" t="str">
        <f>"1551765549752735"</f>
        <v>1551765549752735</v>
      </c>
      <c r="C3987" t="s">
        <v>40</v>
      </c>
      <c r="D3987">
        <v>4.0264350000000002</v>
      </c>
      <c r="E3987">
        <v>0.50291940000000002</v>
      </c>
      <c r="F3987" t="s">
        <v>42</v>
      </c>
      <c r="G3987">
        <v>-363.56760000000003</v>
      </c>
      <c r="H3987" s="1">
        <v>-3.2640279999999999E-6</v>
      </c>
      <c r="I3987">
        <v>136.6722</v>
      </c>
      <c r="J3987">
        <v>-296.64319999999998</v>
      </c>
      <c r="K3987">
        <v>1.109362</v>
      </c>
      <c r="L3987">
        <v>141.2079</v>
      </c>
      <c r="M3987">
        <v>-0.99986330000000001</v>
      </c>
      <c r="N3987">
        <v>-1.3512130000000001E-2</v>
      </c>
      <c r="O3987">
        <v>9.5456340000000008E-3</v>
      </c>
      <c r="P3987">
        <v>-0.99668440000000003</v>
      </c>
      <c r="Q3987">
        <v>-3.3215059999999998E-2</v>
      </c>
      <c r="R3987">
        <v>-7.4280780000000005E-2</v>
      </c>
      <c r="S3987">
        <v>-2.9932859999999999</v>
      </c>
      <c r="T3987">
        <v>-4.9401399999999998E-2</v>
      </c>
      <c r="U3987">
        <v>-0.2018585</v>
      </c>
      <c r="V3987">
        <v>-8.3779259999999994E-2</v>
      </c>
      <c r="W3987">
        <v>-1.9810970000000001E-2</v>
      </c>
      <c r="X3987">
        <v>0.99628740000000005</v>
      </c>
      <c r="Y3987">
        <v>-7.6787060000000004E-2</v>
      </c>
      <c r="Z3987">
        <v>-1.1808750000000001E-3</v>
      </c>
      <c r="AA3987">
        <v>0.99704680000000001</v>
      </c>
      <c r="AB3987">
        <v>42</v>
      </c>
      <c r="AC3987">
        <v>-66.924400000000006</v>
      </c>
      <c r="AD3987">
        <v>-1.1093652640280001</v>
      </c>
      <c r="AE3987">
        <v>-4.5356999999999896</v>
      </c>
      <c r="AF3987">
        <v>-5.1729724528686001</v>
      </c>
      <c r="AG3987">
        <v>-1.1093652640280001</v>
      </c>
      <c r="AH3987">
        <v>66.859762733377707</v>
      </c>
      <c r="AI3987">
        <v>90.947756434467706</v>
      </c>
      <c r="AJ3987">
        <v>94.424188440310502</v>
      </c>
      <c r="AK3987">
        <v>67.068757317030503</v>
      </c>
      <c r="AL3987">
        <v>91.135159218153902</v>
      </c>
      <c r="AM3987">
        <v>94.806776749052801</v>
      </c>
      <c r="AN3987">
        <v>1.00000001116862</v>
      </c>
    </row>
    <row r="3988" spans="1:40" x14ac:dyDescent="0.25">
      <c r="A3988" t="str">
        <f>"20190305135909779"</f>
        <v>20190305135909779</v>
      </c>
      <c r="B3988" t="str">
        <f>"1551765549773231"</f>
        <v>1551765549773231</v>
      </c>
      <c r="C3988" t="s">
        <v>40</v>
      </c>
      <c r="D3988">
        <v>4.0212539999999999</v>
      </c>
      <c r="E3988">
        <v>0.50301279999999904</v>
      </c>
      <c r="F3988" t="s">
        <v>42</v>
      </c>
      <c r="G3988">
        <v>-369.22129999999999</v>
      </c>
      <c r="H3988" s="1">
        <v>-1.139504E-6</v>
      </c>
      <c r="I3988">
        <v>136.27709999999999</v>
      </c>
      <c r="J3988">
        <v>-296.93490000000003</v>
      </c>
      <c r="K3988">
        <v>1.109364</v>
      </c>
      <c r="L3988">
        <v>141.2105</v>
      </c>
      <c r="M3988">
        <v>-0.99986390000000003</v>
      </c>
      <c r="N3988">
        <v>-1.3592480000000001E-2</v>
      </c>
      <c r="O3988">
        <v>9.3662060000000002E-3</v>
      </c>
      <c r="P3988">
        <v>-0.99668069999999997</v>
      </c>
      <c r="Q3988">
        <v>-3.2851310000000002E-2</v>
      </c>
      <c r="R3988">
        <v>-7.4489379999999994E-2</v>
      </c>
      <c r="S3988">
        <v>-2.9932859999999999</v>
      </c>
      <c r="T3988">
        <v>-4.5752639999999997E-2</v>
      </c>
      <c r="U3988">
        <v>-0.2033539</v>
      </c>
      <c r="V3988">
        <v>-8.3809449999999994E-2</v>
      </c>
      <c r="W3988">
        <v>-1.9366919999999999E-2</v>
      </c>
      <c r="X3988">
        <v>0.9962936</v>
      </c>
      <c r="Y3988">
        <v>-7.7106010000000003E-2</v>
      </c>
      <c r="Z3988">
        <v>-1.129129E-3</v>
      </c>
      <c r="AA3988">
        <v>0.99702230000000003</v>
      </c>
      <c r="AB3988">
        <v>42</v>
      </c>
      <c r="AC3988">
        <v>-72.286399999999901</v>
      </c>
      <c r="AD3988">
        <v>-1.1093651395039901</v>
      </c>
      <c r="AE3988">
        <v>-4.9333999999999998</v>
      </c>
      <c r="AF3988">
        <v>-5.6089804000074599</v>
      </c>
      <c r="AG3988">
        <v>-1.1093651395039901</v>
      </c>
      <c r="AH3988">
        <v>72.220086420870501</v>
      </c>
      <c r="AI3988">
        <v>90.877403422449603</v>
      </c>
      <c r="AJ3988">
        <v>94.440967783851306</v>
      </c>
      <c r="AK3988">
        <v>72.446064315312697</v>
      </c>
      <c r="AL3988">
        <v>91.109712135314496</v>
      </c>
      <c r="AM3988">
        <v>94.808470975655297</v>
      </c>
      <c r="AN3988">
        <v>1.0000000194502701</v>
      </c>
    </row>
    <row r="3989" spans="1:40" x14ac:dyDescent="0.25">
      <c r="A3989" t="str">
        <f>"20190305135909793"</f>
        <v>20190305135909793</v>
      </c>
      <c r="B3989" t="str">
        <f>"1551765549782991"</f>
        <v>1551765549782991</v>
      </c>
      <c r="C3989" t="s">
        <v>40</v>
      </c>
      <c r="D3989">
        <v>4.2840069999999999</v>
      </c>
      <c r="E3989">
        <v>0.50312230000000002</v>
      </c>
      <c r="F3989" t="s">
        <v>42</v>
      </c>
      <c r="G3989">
        <v>-384.3134</v>
      </c>
      <c r="H3989" s="1">
        <v>-3.1939340000000001E-6</v>
      </c>
      <c r="I3989">
        <v>135.26349999999999</v>
      </c>
      <c r="J3989">
        <v>-297.2253</v>
      </c>
      <c r="K3989">
        <v>1.1093630000000001</v>
      </c>
      <c r="L3989">
        <v>141.2131</v>
      </c>
      <c r="M3989">
        <v>-0.99986459999999999</v>
      </c>
      <c r="N3989">
        <v>-1.366325E-2</v>
      </c>
      <c r="O3989">
        <v>9.1872020000000002E-3</v>
      </c>
      <c r="P3989">
        <v>-0.99665950000000003</v>
      </c>
      <c r="Q3989">
        <v>-3.2664989999999998E-2</v>
      </c>
      <c r="R3989">
        <v>-7.4857409999999999E-2</v>
      </c>
      <c r="S3989">
        <v>-2.9935</v>
      </c>
      <c r="T3989">
        <v>-3.8005829999999997E-2</v>
      </c>
      <c r="U3989">
        <v>-0.20373540000000001</v>
      </c>
      <c r="V3989">
        <v>-8.3998939999999994E-2</v>
      </c>
      <c r="W3989">
        <v>-1.9110200000000001E-2</v>
      </c>
      <c r="X3989">
        <v>0.99628260000000002</v>
      </c>
      <c r="Y3989">
        <v>-7.7053300000000005E-2</v>
      </c>
      <c r="Z3989">
        <v>-1.0067609999999999E-3</v>
      </c>
      <c r="AA3989">
        <v>0.99702639999999998</v>
      </c>
      <c r="AB3989">
        <v>42</v>
      </c>
      <c r="AC3989">
        <v>-87.088099999999997</v>
      </c>
      <c r="AD3989">
        <v>-1.1093661939339901</v>
      </c>
      <c r="AE3989">
        <v>-5.9496000000000002</v>
      </c>
      <c r="AF3989">
        <v>-6.7484294321286198</v>
      </c>
      <c r="AG3989">
        <v>-1.1093661939339901</v>
      </c>
      <c r="AH3989">
        <v>87.015704395580599</v>
      </c>
      <c r="AI3989">
        <v>90.728239749313502</v>
      </c>
      <c r="AJ3989">
        <v>94.4346490351884</v>
      </c>
      <c r="AK3989">
        <v>87.284046678712897</v>
      </c>
      <c r="AL3989">
        <v>91.095000439228698</v>
      </c>
      <c r="AM3989">
        <v>94.819344558185904</v>
      </c>
      <c r="AN3989">
        <v>1.0000000203639601</v>
      </c>
    </row>
    <row r="3990" spans="1:40" x14ac:dyDescent="0.25">
      <c r="A3990" t="str">
        <f>"20190305135909815"</f>
        <v>20190305135909815</v>
      </c>
      <c r="B3990" t="str">
        <f>"1551765549802511"</f>
        <v>1551765549802511</v>
      </c>
      <c r="C3990" t="s">
        <v>40</v>
      </c>
      <c r="D3990">
        <v>4.0070189999999997</v>
      </c>
      <c r="E3990">
        <v>0.50336819999999904</v>
      </c>
      <c r="F3990" t="s">
        <v>42</v>
      </c>
      <c r="G3990">
        <v>-367.83819999999997</v>
      </c>
      <c r="H3990" s="1">
        <v>-1.5724420000000001E-6</v>
      </c>
      <c r="I3990">
        <v>136.41899999999899</v>
      </c>
      <c r="J3990">
        <v>-297.61750000000001</v>
      </c>
      <c r="K3990">
        <v>1.1093660000000001</v>
      </c>
      <c r="L3990">
        <v>141.2165</v>
      </c>
      <c r="M3990">
        <v>-0.99986560000000002</v>
      </c>
      <c r="N3990">
        <v>-1.374994E-2</v>
      </c>
      <c r="O3990">
        <v>8.9460919999999992E-3</v>
      </c>
      <c r="P3990">
        <v>-0.99663999999999997</v>
      </c>
      <c r="Q3990">
        <v>-3.3117569999999999E-2</v>
      </c>
      <c r="R3990">
        <v>-7.4914460000000002E-2</v>
      </c>
      <c r="S3990">
        <v>-2.9932560000000001</v>
      </c>
      <c r="T3990">
        <v>-4.702568E-2</v>
      </c>
      <c r="U3990">
        <v>-0.2032166</v>
      </c>
      <c r="V3990">
        <v>-8.3814970000000003E-2</v>
      </c>
      <c r="W3990">
        <v>-1.9476090000000001E-2</v>
      </c>
      <c r="X3990">
        <v>0.99629100000000004</v>
      </c>
      <c r="Y3990">
        <v>-7.6641529999999999E-2</v>
      </c>
      <c r="Z3990">
        <v>-1.146434E-3</v>
      </c>
      <c r="AA3990">
        <v>0.997058</v>
      </c>
      <c r="AB3990">
        <v>42</v>
      </c>
      <c r="AC3990">
        <v>-70.220699999999894</v>
      </c>
      <c r="AD3990">
        <v>-1.109367572442</v>
      </c>
      <c r="AE3990">
        <v>-4.7975000000000101</v>
      </c>
      <c r="AF3990">
        <v>-5.4242205979568503</v>
      </c>
      <c r="AG3990">
        <v>-1.109367572442</v>
      </c>
      <c r="AH3990">
        <v>70.157537511893906</v>
      </c>
      <c r="AI3990">
        <v>90.903220179892998</v>
      </c>
      <c r="AJ3990">
        <v>94.421020488532506</v>
      </c>
      <c r="AK3990">
        <v>70.375655842335703</v>
      </c>
      <c r="AL3990">
        <v>91.115968303790694</v>
      </c>
      <c r="AM3990">
        <v>94.808798684738093</v>
      </c>
      <c r="AN3990">
        <v>1.0000000119793899</v>
      </c>
    </row>
    <row r="3991" spans="1:40" x14ac:dyDescent="0.25">
      <c r="A3991" t="str">
        <f>"20190305135909837"</f>
        <v>20190305135909837</v>
      </c>
      <c r="B3991" t="str">
        <f>"1551765549832767"</f>
        <v>1551765549832767</v>
      </c>
      <c r="C3991" t="s">
        <v>40</v>
      </c>
      <c r="D3991">
        <v>4.1197800000000004</v>
      </c>
      <c r="E3991">
        <v>0.50372229999999996</v>
      </c>
      <c r="F3991" t="s">
        <v>42</v>
      </c>
      <c r="G3991">
        <v>-357.92509999999999</v>
      </c>
      <c r="H3991" s="1">
        <v>-1.3442129999999999E-6</v>
      </c>
      <c r="I3991">
        <v>137.16560000000001</v>
      </c>
      <c r="J3991">
        <v>-298.0204</v>
      </c>
      <c r="K3991">
        <v>1.109367</v>
      </c>
      <c r="L3991">
        <v>141.2199</v>
      </c>
      <c r="M3991">
        <v>-0.99986649999999999</v>
      </c>
      <c r="N3991">
        <v>-1.382769E-2</v>
      </c>
      <c r="O3991">
        <v>8.6986649999999995E-3</v>
      </c>
      <c r="P3991">
        <v>-0.99662759999999995</v>
      </c>
      <c r="Q3991">
        <v>-3.322137E-2</v>
      </c>
      <c r="R3991">
        <v>-7.5032639999999998E-2</v>
      </c>
      <c r="S3991">
        <v>-2.9931640000000002</v>
      </c>
      <c r="T3991">
        <v>-5.5059669999999998E-2</v>
      </c>
      <c r="U3991">
        <v>-0.2010498</v>
      </c>
      <c r="V3991">
        <v>-8.3687129999999998E-2</v>
      </c>
      <c r="W3991">
        <v>-1.950211E-2</v>
      </c>
      <c r="X3991">
        <v>0.9963012</v>
      </c>
      <c r="Y3991">
        <v>-7.5673580000000004E-2</v>
      </c>
      <c r="Z3991">
        <v>-1.2587449999999999E-3</v>
      </c>
      <c r="AA3991">
        <v>0.99713180000000001</v>
      </c>
      <c r="AB3991">
        <v>42</v>
      </c>
      <c r="AC3991">
        <v>-59.904699999999899</v>
      </c>
      <c r="AD3991">
        <v>-1.109368344213</v>
      </c>
      <c r="AE3991">
        <v>-4.05429999999998</v>
      </c>
      <c r="AF3991">
        <v>-4.5737259470767802</v>
      </c>
      <c r="AG3991">
        <v>-1.109368344213</v>
      </c>
      <c r="AH3991">
        <v>59.846731950446397</v>
      </c>
      <c r="AI3991">
        <v>91.058873131088006</v>
      </c>
      <c r="AJ3991">
        <v>94.370276814940098</v>
      </c>
      <c r="AK3991">
        <v>60.031500000505503</v>
      </c>
      <c r="AL3991">
        <v>91.117459464971702</v>
      </c>
      <c r="AM3991">
        <v>94.801449385112093</v>
      </c>
      <c r="AN3991">
        <v>0.99999997457176404</v>
      </c>
    </row>
    <row r="3992" spans="1:40" x14ac:dyDescent="0.25">
      <c r="A3992" t="str">
        <f>"20190305135909861"</f>
        <v>20190305135909861</v>
      </c>
      <c r="B3992" t="str">
        <f>"1551765549853263"</f>
        <v>1551765549853263</v>
      </c>
      <c r="C3992" t="s">
        <v>40</v>
      </c>
      <c r="D3992">
        <v>4.043914</v>
      </c>
      <c r="E3992">
        <v>0.50377240000000001</v>
      </c>
      <c r="F3992" t="s">
        <v>42</v>
      </c>
      <c r="G3992">
        <v>-353.78149999999999</v>
      </c>
      <c r="H3992" s="1">
        <v>-3.020618E-6</v>
      </c>
      <c r="I3992">
        <v>137.52709999999999</v>
      </c>
      <c r="J3992">
        <v>-298.4554</v>
      </c>
      <c r="K3992">
        <v>1.109375</v>
      </c>
      <c r="L3992">
        <v>141.2234</v>
      </c>
      <c r="M3992">
        <v>-0.99986799999999998</v>
      </c>
      <c r="N3992">
        <v>-1.389962E-2</v>
      </c>
      <c r="O3992">
        <v>8.4316089999999996E-3</v>
      </c>
      <c r="P3992">
        <v>-0.9966334</v>
      </c>
      <c r="Q3992">
        <v>-3.2802089999999999E-2</v>
      </c>
      <c r="R3992">
        <v>-7.5142070000000005E-2</v>
      </c>
      <c r="S3992">
        <v>-2.9932859999999999</v>
      </c>
      <c r="T3992">
        <v>-5.9551600000000003E-2</v>
      </c>
      <c r="U3992">
        <v>-0.19822690000000001</v>
      </c>
      <c r="V3992">
        <v>-8.3531140000000004E-2</v>
      </c>
      <c r="W3992">
        <v>-1.9010610000000001E-2</v>
      </c>
      <c r="X3992">
        <v>0.99632379999999998</v>
      </c>
      <c r="Y3992">
        <v>-7.446564E-2</v>
      </c>
      <c r="Z3992">
        <v>-1.3085600000000001E-3</v>
      </c>
      <c r="AA3992">
        <v>0.99722270000000002</v>
      </c>
      <c r="AB3992">
        <v>42</v>
      </c>
      <c r="AC3992">
        <v>-55.326099999999997</v>
      </c>
      <c r="AD3992">
        <v>-1.1093780206179999</v>
      </c>
      <c r="AE3992">
        <v>-3.6962999999999999</v>
      </c>
      <c r="AF3992">
        <v>-4.1610360401857598</v>
      </c>
      <c r="AG3992">
        <v>-1.1093780206179999</v>
      </c>
      <c r="AH3992">
        <v>55.2708403400853</v>
      </c>
      <c r="AI3992">
        <v>91.146623602059506</v>
      </c>
      <c r="AJ3992">
        <v>94.305360868653807</v>
      </c>
      <c r="AK3992">
        <v>55.438350736827999</v>
      </c>
      <c r="AL3992">
        <v>91.089293354893201</v>
      </c>
      <c r="AM3992">
        <v>94.792433165335794</v>
      </c>
      <c r="AN3992">
        <v>0.99999998454435501</v>
      </c>
    </row>
    <row r="3993" spans="1:40" x14ac:dyDescent="0.25">
      <c r="A3993" t="str">
        <f>"20190305135909872"</f>
        <v>20190305135909872</v>
      </c>
      <c r="B3993" t="str">
        <f>"1551765549863023"</f>
        <v>1551765549863023</v>
      </c>
      <c r="C3993" t="s">
        <v>40</v>
      </c>
      <c r="D3993">
        <v>4.0324900000000001</v>
      </c>
      <c r="E3993">
        <v>0.50375409999999998</v>
      </c>
      <c r="F3993" t="s">
        <v>42</v>
      </c>
      <c r="G3993">
        <v>-359.3723</v>
      </c>
      <c r="H3993" s="1">
        <v>-8.4667349999999999E-7</v>
      </c>
      <c r="I3993">
        <v>137.18469999999999</v>
      </c>
      <c r="J3993">
        <v>-298.69970000000001</v>
      </c>
      <c r="K3993">
        <v>1.1093789999999999</v>
      </c>
      <c r="L3993">
        <v>141.22540000000001</v>
      </c>
      <c r="M3993">
        <v>-0.9998686</v>
      </c>
      <c r="N3993">
        <v>-1.39352E-2</v>
      </c>
      <c r="O3993">
        <v>8.2815739999999999E-3</v>
      </c>
      <c r="P3993">
        <v>-0.99663710000000005</v>
      </c>
      <c r="Q3993">
        <v>-3.2418460000000003E-2</v>
      </c>
      <c r="R3993">
        <v>-7.5258039999999998E-2</v>
      </c>
      <c r="S3993">
        <v>-2.9933779999999999</v>
      </c>
      <c r="T3993">
        <v>-5.451334E-2</v>
      </c>
      <c r="U3993">
        <v>-0.19845579999999999</v>
      </c>
      <c r="V3993">
        <v>-8.3497589999999997E-2</v>
      </c>
      <c r="W3993">
        <v>-1.8591259999999998E-2</v>
      </c>
      <c r="X3993">
        <v>0.99633459999999996</v>
      </c>
      <c r="Y3993">
        <v>-7.4393239999999999E-2</v>
      </c>
      <c r="Z3993">
        <v>-1.2309860000000001E-3</v>
      </c>
      <c r="AA3993">
        <v>0.99722820000000001</v>
      </c>
      <c r="AB3993">
        <v>42</v>
      </c>
      <c r="AC3993">
        <v>-60.672599999999903</v>
      </c>
      <c r="AD3993">
        <v>-1.1093798466734901</v>
      </c>
      <c r="AE3993">
        <v>-4.04070000000001</v>
      </c>
      <c r="AF3993">
        <v>-4.5415631528004798</v>
      </c>
      <c r="AG3993">
        <v>-1.1093798466734901</v>
      </c>
      <c r="AH3993">
        <v>60.616875806149402</v>
      </c>
      <c r="AI3993">
        <v>91.0455519721434</v>
      </c>
      <c r="AJ3993">
        <v>94.284733277066493</v>
      </c>
      <c r="AK3993">
        <v>60.7968926180707</v>
      </c>
      <c r="AL3993">
        <v>91.065262042476405</v>
      </c>
      <c r="AM3993">
        <v>94.790465574495201</v>
      </c>
      <c r="AN3993">
        <v>1.0000000588206699</v>
      </c>
    </row>
    <row r="3994" spans="1:40" x14ac:dyDescent="0.25">
      <c r="A3994" t="str">
        <f>"20190305135909886"</f>
        <v>20190305135909886</v>
      </c>
      <c r="B3994" t="str">
        <f>"1551765549882543"</f>
        <v>1551765549882543</v>
      </c>
      <c r="C3994" t="s">
        <v>40</v>
      </c>
      <c r="D3994">
        <v>4.0583780000000003</v>
      </c>
      <c r="E3994">
        <v>0.50278650000000003</v>
      </c>
      <c r="F3994" t="s">
        <v>42</v>
      </c>
      <c r="G3994">
        <v>-362.9178</v>
      </c>
      <c r="H3994" s="1">
        <v>-3.492507E-6</v>
      </c>
      <c r="I3994">
        <v>136.95570000000001</v>
      </c>
      <c r="J3994">
        <v>-298.94260000000003</v>
      </c>
      <c r="K3994">
        <v>1.1093789999999999</v>
      </c>
      <c r="L3994">
        <v>141.22720000000001</v>
      </c>
      <c r="M3994">
        <v>-0.99986929999999996</v>
      </c>
      <c r="N3994">
        <v>-1.3967780000000001E-2</v>
      </c>
      <c r="O3994">
        <v>8.1326319999999903E-3</v>
      </c>
      <c r="P3994">
        <v>-0.99663880000000005</v>
      </c>
      <c r="Q3994">
        <v>-3.2391030000000001E-2</v>
      </c>
      <c r="R3994">
        <v>-7.524844E-2</v>
      </c>
      <c r="S3994">
        <v>-2.9934080000000001</v>
      </c>
      <c r="T3994">
        <v>-5.1711920000000001E-2</v>
      </c>
      <c r="U3994">
        <v>-0.19902039999999999</v>
      </c>
      <c r="V3994">
        <v>-8.3339479999999994E-2</v>
      </c>
      <c r="W3994">
        <v>-1.8531019999999999E-2</v>
      </c>
      <c r="X3994">
        <v>0.99634889999999998</v>
      </c>
      <c r="Y3994">
        <v>-7.4433009999999994E-2</v>
      </c>
      <c r="Z3994">
        <v>-1.189538E-3</v>
      </c>
      <c r="AA3994">
        <v>0.99722529999999998</v>
      </c>
      <c r="AB3994">
        <v>42</v>
      </c>
      <c r="AC3994">
        <v>-63.975199999999901</v>
      </c>
      <c r="AD3994">
        <v>-1.1093824925069999</v>
      </c>
      <c r="AE3994">
        <v>-4.2714999999999996</v>
      </c>
      <c r="AF3994">
        <v>-4.7902622112367403</v>
      </c>
      <c r="AG3994">
        <v>-1.1093824925069999</v>
      </c>
      <c r="AH3994">
        <v>63.919206511781702</v>
      </c>
      <c r="AI3994">
        <v>90.991546393439094</v>
      </c>
      <c r="AJ3994">
        <v>94.285874630120801</v>
      </c>
      <c r="AK3994">
        <v>64.108051777158906</v>
      </c>
      <c r="AL3994">
        <v>91.061810013659894</v>
      </c>
      <c r="AM3994">
        <v>94.781368198024197</v>
      </c>
      <c r="AN3994">
        <v>0.99999999908005999</v>
      </c>
    </row>
    <row r="3995" spans="1:40" x14ac:dyDescent="0.25">
      <c r="A3995" t="str">
        <f>"20190305135909904"</f>
        <v>20190305135909904</v>
      </c>
      <c r="B3995" t="str">
        <f>"1551765549893288"</f>
        <v>1551765549893288</v>
      </c>
      <c r="C3995" t="s">
        <v>40</v>
      </c>
      <c r="D3995">
        <v>4.0641790000000002</v>
      </c>
      <c r="E3995">
        <v>0.50280179999999997</v>
      </c>
      <c r="F3995" t="s">
        <v>42</v>
      </c>
      <c r="G3995">
        <v>-358.83670000000001</v>
      </c>
      <c r="H3995" s="1">
        <v>-1.05275E-6</v>
      </c>
      <c r="I3995">
        <v>137.09520000000001</v>
      </c>
      <c r="J3995">
        <v>-299.26769999999999</v>
      </c>
      <c r="K3995">
        <v>1.109386</v>
      </c>
      <c r="L3995">
        <v>141.22970000000001</v>
      </c>
      <c r="M3995">
        <v>-0.9998705</v>
      </c>
      <c r="N3995">
        <v>-1.4007469999999999E-2</v>
      </c>
      <c r="O3995">
        <v>7.9332199999999995E-3</v>
      </c>
      <c r="P3995">
        <v>-0.99662879999999998</v>
      </c>
      <c r="Q3995">
        <v>-3.2337280000000003E-2</v>
      </c>
      <c r="R3995">
        <v>-7.5402369999999996E-2</v>
      </c>
      <c r="S3995">
        <v>-2.9927670000000002</v>
      </c>
      <c r="T3995">
        <v>-5.543315E-2</v>
      </c>
      <c r="U3995">
        <v>-0.2064667</v>
      </c>
      <c r="V3995">
        <v>-8.3294980000000005E-2</v>
      </c>
      <c r="W3995">
        <v>-1.8437499999999999E-2</v>
      </c>
      <c r="X3995">
        <v>0.99635430000000003</v>
      </c>
      <c r="Y3995">
        <v>-7.6714859999999996E-2</v>
      </c>
      <c r="Z3995">
        <v>-1.283377E-3</v>
      </c>
      <c r="AA3995">
        <v>0.9970523</v>
      </c>
      <c r="AB3995">
        <v>41</v>
      </c>
      <c r="AC3995">
        <v>-59.569000000000003</v>
      </c>
      <c r="AD3995">
        <v>-1.10938705275</v>
      </c>
      <c r="AE3995">
        <v>-4.1345000000000001</v>
      </c>
      <c r="AF3995">
        <v>-4.60540051453592</v>
      </c>
      <c r="AG3995">
        <v>-1.10938705275</v>
      </c>
      <c r="AH3995">
        <v>59.513779345273299</v>
      </c>
      <c r="AI3995">
        <v>91.064735526898502</v>
      </c>
      <c r="AJ3995">
        <v>94.424944834555006</v>
      </c>
      <c r="AK3995">
        <v>59.702013244864503</v>
      </c>
      <c r="AL3995">
        <v>91.056450855870807</v>
      </c>
      <c r="AM3995">
        <v>94.778801182683395</v>
      </c>
      <c r="AN3995">
        <v>0.999999943113968</v>
      </c>
    </row>
    <row r="3996" spans="1:40" x14ac:dyDescent="0.25">
      <c r="A3996" t="str">
        <f>"20190305135909917"</f>
        <v>20190305135909917</v>
      </c>
      <c r="B3996" t="str">
        <f>"1551765549912799"</f>
        <v>1551765549912799</v>
      </c>
      <c r="C3996" t="s">
        <v>40</v>
      </c>
      <c r="D3996">
        <v>4.1361189999999999</v>
      </c>
      <c r="E3996">
        <v>0.50251000000000001</v>
      </c>
      <c r="F3996" t="s">
        <v>42</v>
      </c>
      <c r="G3996">
        <v>-360.59359999999998</v>
      </c>
      <c r="H3996" s="1">
        <v>-4.4835170000000002E-6</v>
      </c>
      <c r="I3996">
        <v>136.9897</v>
      </c>
      <c r="J3996">
        <v>-299.52120000000002</v>
      </c>
      <c r="K3996">
        <v>1.109394</v>
      </c>
      <c r="L3996">
        <v>141.23159999999999</v>
      </c>
      <c r="M3996">
        <v>-0.99987119999999996</v>
      </c>
      <c r="N3996">
        <v>-1.4035560000000001E-2</v>
      </c>
      <c r="O3996">
        <v>7.7783610000000001E-3</v>
      </c>
      <c r="P3996">
        <v>-0.99662269999999997</v>
      </c>
      <c r="Q3996">
        <v>-3.2425969999999998E-2</v>
      </c>
      <c r="R3996">
        <v>-7.5444049999999999E-2</v>
      </c>
      <c r="S3996">
        <v>-2.992737</v>
      </c>
      <c r="T3996">
        <v>-5.4138899999999997E-2</v>
      </c>
      <c r="U3996">
        <v>-0.20690919999999999</v>
      </c>
      <c r="V3996">
        <v>-8.3182759999999994E-2</v>
      </c>
      <c r="W3996">
        <v>-1.8497860000000001E-2</v>
      </c>
      <c r="X3996">
        <v>0.99636259999999999</v>
      </c>
      <c r="Y3996">
        <v>-7.6708700000000005E-2</v>
      </c>
      <c r="Z3996">
        <v>-1.263522E-3</v>
      </c>
      <c r="AA3996">
        <v>0.99705270000000001</v>
      </c>
      <c r="AB3996">
        <v>41</v>
      </c>
      <c r="AC3996">
        <v>-61.072399999999902</v>
      </c>
      <c r="AD3996">
        <v>-1.1093984835169901</v>
      </c>
      <c r="AE3996">
        <v>-4.2418999999999798</v>
      </c>
      <c r="AF3996">
        <v>-4.7153131613071801</v>
      </c>
      <c r="AG3996">
        <v>-1.1093984835169901</v>
      </c>
      <c r="AH3996">
        <v>61.017516019309497</v>
      </c>
      <c r="AI3996">
        <v>91.038520774963303</v>
      </c>
      <c r="AJ3996">
        <v>94.418922233330605</v>
      </c>
      <c r="AK3996">
        <v>61.209494397283798</v>
      </c>
      <c r="AL3996">
        <v>91.059909773193795</v>
      </c>
      <c r="AM3996">
        <v>94.772353080208006</v>
      </c>
      <c r="AN3996">
        <v>0.99999998653227795</v>
      </c>
    </row>
    <row r="3997" spans="1:40" x14ac:dyDescent="0.25">
      <c r="A3997" t="str">
        <f>"20190305135909931"</f>
        <v>20190305135909931</v>
      </c>
      <c r="B3997" t="str">
        <f>"1551765549922560"</f>
        <v>1551765549922560</v>
      </c>
      <c r="C3997" t="s">
        <v>40</v>
      </c>
      <c r="D3997">
        <v>4.1081300000000001</v>
      </c>
      <c r="E3997">
        <v>0.50221720000000003</v>
      </c>
      <c r="F3997" t="s">
        <v>42</v>
      </c>
      <c r="G3997">
        <v>-357.67349999999999</v>
      </c>
      <c r="H3997" s="1">
        <v>-1.4290479999999901E-6</v>
      </c>
      <c r="I3997">
        <v>137.1686</v>
      </c>
      <c r="J3997">
        <v>-299.76760000000002</v>
      </c>
      <c r="K3997">
        <v>1.109397</v>
      </c>
      <c r="L3997">
        <v>141.23339999999999</v>
      </c>
      <c r="M3997">
        <v>-0.99987199999999998</v>
      </c>
      <c r="N3997">
        <v>-1.4059540000000001E-2</v>
      </c>
      <c r="O3997">
        <v>7.6289000000000001E-3</v>
      </c>
      <c r="P3997">
        <v>-0.99660040000000005</v>
      </c>
      <c r="Q3997">
        <v>-3.2495360000000001E-2</v>
      </c>
      <c r="R3997">
        <v>-7.5709070000000003E-2</v>
      </c>
      <c r="S3997">
        <v>-2.9924930000000001</v>
      </c>
      <c r="T3997">
        <v>-5.7089090000000002E-2</v>
      </c>
      <c r="U3997">
        <v>-0.20907590000000001</v>
      </c>
      <c r="V3997">
        <v>-8.3298129999999998E-2</v>
      </c>
      <c r="W3997">
        <v>-1.854337E-2</v>
      </c>
      <c r="X3997">
        <v>0.99635209999999996</v>
      </c>
      <c r="Y3997">
        <v>-7.7281550000000004E-2</v>
      </c>
      <c r="Z3997">
        <v>-1.3184819999999999E-3</v>
      </c>
      <c r="AA3997">
        <v>0.99700840000000002</v>
      </c>
      <c r="AB3997">
        <v>41</v>
      </c>
      <c r="AC3997">
        <v>-57.905899999999903</v>
      </c>
      <c r="AD3997">
        <v>-1.1093984290479999</v>
      </c>
      <c r="AE3997">
        <v>-4.0647999999999902</v>
      </c>
      <c r="AF3997">
        <v>-4.5048382930659097</v>
      </c>
      <c r="AG3997">
        <v>-1.1093984290479999</v>
      </c>
      <c r="AH3997">
        <v>57.852070870649001</v>
      </c>
      <c r="AI3997">
        <v>91.095281305584805</v>
      </c>
      <c r="AJ3997">
        <v>94.452536115623801</v>
      </c>
      <c r="AK3997">
        <v>58.037801792828397</v>
      </c>
      <c r="AL3997">
        <v>91.062517767873899</v>
      </c>
      <c r="AM3997">
        <v>94.778991570908403</v>
      </c>
      <c r="AN3997">
        <v>0.99999997110343097</v>
      </c>
    </row>
    <row r="3998" spans="1:40" x14ac:dyDescent="0.25">
      <c r="A3998" t="str">
        <f>"20190305135909948"</f>
        <v>20190305135909948</v>
      </c>
      <c r="B3998" t="str">
        <f>"1551765549943055"</f>
        <v>1551765549943055</v>
      </c>
      <c r="C3998" t="s">
        <v>40</v>
      </c>
      <c r="D3998">
        <v>4.0415169999999998</v>
      </c>
      <c r="E3998">
        <v>0.50223679999999904</v>
      </c>
      <c r="F3998" t="s">
        <v>42</v>
      </c>
      <c r="G3998">
        <v>-354.50670000000002</v>
      </c>
      <c r="H3998" s="1">
        <v>-2.7399140000000002E-6</v>
      </c>
      <c r="I3998">
        <v>137.35570000000001</v>
      </c>
      <c r="J3998">
        <v>-300.09879999999998</v>
      </c>
      <c r="K3998">
        <v>1.1094010000000001</v>
      </c>
      <c r="L3998">
        <v>141.23570000000001</v>
      </c>
      <c r="M3998">
        <v>-0.99987309999999996</v>
      </c>
      <c r="N3998">
        <v>-1.408912E-2</v>
      </c>
      <c r="O3998">
        <v>7.4298879999999999E-3</v>
      </c>
      <c r="P3998">
        <v>-0.99656299999999998</v>
      </c>
      <c r="Q3998">
        <v>-3.2521620000000001E-2</v>
      </c>
      <c r="R3998">
        <v>-7.6186359999999995E-2</v>
      </c>
      <c r="S3998">
        <v>-2.9921570000000002</v>
      </c>
      <c r="T3998">
        <v>-6.064224E-2</v>
      </c>
      <c r="U3998">
        <v>-0.2119598</v>
      </c>
      <c r="V3998">
        <v>-8.3577479999999996E-2</v>
      </c>
      <c r="W3998">
        <v>-1.8540239999999999E-2</v>
      </c>
      <c r="X3998">
        <v>0.99632880000000001</v>
      </c>
      <c r="Y3998">
        <v>-7.8044269999999999E-2</v>
      </c>
      <c r="Z3998">
        <v>-1.3862340000000001E-3</v>
      </c>
      <c r="AA3998">
        <v>0.99694899999999997</v>
      </c>
      <c r="AB3998">
        <v>41</v>
      </c>
      <c r="AC3998">
        <v>-54.407899999999998</v>
      </c>
      <c r="AD3998">
        <v>-1.109403739914</v>
      </c>
      <c r="AE3998">
        <v>-3.8799999999999901</v>
      </c>
      <c r="AF3998">
        <v>-4.2824061339980597</v>
      </c>
      <c r="AG3998">
        <v>-1.109403739914</v>
      </c>
      <c r="AH3998">
        <v>54.355082129964899</v>
      </c>
      <c r="AI3998">
        <v>91.165650807934696</v>
      </c>
      <c r="AJ3998">
        <v>94.504785878138605</v>
      </c>
      <c r="AK3998">
        <v>54.534802945549103</v>
      </c>
      <c r="AL3998">
        <v>91.062338363438201</v>
      </c>
      <c r="AM3998">
        <v>94.795055485801299</v>
      </c>
      <c r="AN3998">
        <v>1.00000000668592</v>
      </c>
    </row>
    <row r="3999" spans="1:40" x14ac:dyDescent="0.25">
      <c r="A3999" t="str">
        <f>"20190305135909962"</f>
        <v>20190305135909962</v>
      </c>
      <c r="B3999" t="str">
        <f>"1551765549952815"</f>
        <v>1551765549952815</v>
      </c>
      <c r="C3999" t="s">
        <v>40</v>
      </c>
      <c r="D3999">
        <v>3.9992320000000001</v>
      </c>
      <c r="E3999">
        <v>0.50222029999999995</v>
      </c>
      <c r="F3999" t="s">
        <v>42</v>
      </c>
      <c r="G3999">
        <v>-352.84379999999999</v>
      </c>
      <c r="H3999" s="1">
        <v>-3.4314139999999998E-6</v>
      </c>
      <c r="I3999">
        <v>137.47890000000001</v>
      </c>
      <c r="J3999">
        <v>-300.35430000000002</v>
      </c>
      <c r="K3999">
        <v>1.109402</v>
      </c>
      <c r="L3999">
        <v>141.23750000000001</v>
      </c>
      <c r="M3999">
        <v>-0.99987400000000004</v>
      </c>
      <c r="N3999">
        <v>-1.4109740000000001E-2</v>
      </c>
      <c r="O3999">
        <v>7.2781499999999997E-3</v>
      </c>
      <c r="P3999">
        <v>-0.9965427</v>
      </c>
      <c r="Q3999">
        <v>-3.2494250000000002E-2</v>
      </c>
      <c r="R3999">
        <v>-7.6463859999999995E-2</v>
      </c>
      <c r="S3999">
        <v>-2.9920040000000001</v>
      </c>
      <c r="T3999">
        <v>-6.2931899999999999E-2</v>
      </c>
      <c r="U3999">
        <v>-0.21310419999999999</v>
      </c>
      <c r="V3999">
        <v>-8.3703940000000004E-2</v>
      </c>
      <c r="W3999">
        <v>-1.8492080000000001E-2</v>
      </c>
      <c r="X3999">
        <v>0.99631910000000001</v>
      </c>
      <c r="Y3999">
        <v>-7.8274200000000002E-2</v>
      </c>
      <c r="Z3999">
        <v>-1.425419E-3</v>
      </c>
      <c r="AA3999">
        <v>0.99693080000000001</v>
      </c>
      <c r="AB3999">
        <v>41</v>
      </c>
      <c r="AC3999">
        <v>-52.4894999999999</v>
      </c>
      <c r="AD3999">
        <v>-1.1094054314140001</v>
      </c>
      <c r="AE3999">
        <v>-3.7585999999999999</v>
      </c>
      <c r="AF3999">
        <v>-4.1387254826489404</v>
      </c>
      <c r="AG3999">
        <v>-1.1094054314140001</v>
      </c>
      <c r="AH3999">
        <v>52.437445731311897</v>
      </c>
      <c r="AI3999">
        <v>91.208254701469798</v>
      </c>
      <c r="AJ3999">
        <v>94.512823451687197</v>
      </c>
      <c r="AK3999">
        <v>52.612218579492101</v>
      </c>
      <c r="AL3999">
        <v>91.059578503187197</v>
      </c>
      <c r="AM3999">
        <v>94.802323451302001</v>
      </c>
      <c r="AN3999">
        <v>1.00000002780952</v>
      </c>
    </row>
    <row r="4000" spans="1:40" x14ac:dyDescent="0.25">
      <c r="A4000" t="str">
        <f>"20190305135909985"</f>
        <v>20190305135909985</v>
      </c>
      <c r="B4000" t="str">
        <f>"1551765549973311"</f>
        <v>1551765549973311</v>
      </c>
      <c r="C4000" t="s">
        <v>40</v>
      </c>
      <c r="D4000">
        <v>4.0883890000000003</v>
      </c>
      <c r="E4000">
        <v>0.50210619999999995</v>
      </c>
      <c r="F4000" t="s">
        <v>42</v>
      </c>
      <c r="G4000">
        <v>-353.95179999999999</v>
      </c>
      <c r="H4000" s="1">
        <v>-2.9701350000000001E-6</v>
      </c>
      <c r="I4000">
        <v>137.3997</v>
      </c>
      <c r="J4000">
        <v>-300.74209999999999</v>
      </c>
      <c r="K4000">
        <v>1.109397</v>
      </c>
      <c r="L4000">
        <v>141.24010000000001</v>
      </c>
      <c r="M4000">
        <v>-0.99987519999999996</v>
      </c>
      <c r="N4000">
        <v>-1.4137230000000001E-2</v>
      </c>
      <c r="O4000">
        <v>7.0524309999999996E-3</v>
      </c>
      <c r="P4000">
        <v>-0.99649089999999996</v>
      </c>
      <c r="Q4000">
        <v>-3.259066E-2</v>
      </c>
      <c r="R4000">
        <v>-7.7097299999999994E-2</v>
      </c>
      <c r="S4000">
        <v>-2.991943</v>
      </c>
      <c r="T4000">
        <v>-6.1929699999999997E-2</v>
      </c>
      <c r="U4000">
        <v>-0.21423339999999999</v>
      </c>
      <c r="V4000">
        <v>-8.411238E-2</v>
      </c>
      <c r="W4000">
        <v>-1.8560989999999999E-2</v>
      </c>
      <c r="X4000">
        <v>0.99628340000000004</v>
      </c>
      <c r="Y4000">
        <v>-7.8425590000000003E-2</v>
      </c>
      <c r="Z4000">
        <v>-1.411944E-3</v>
      </c>
      <c r="AA4000">
        <v>0.996919</v>
      </c>
      <c r="AB4000">
        <v>41</v>
      </c>
      <c r="AC4000">
        <v>-53.209699999999998</v>
      </c>
      <c r="AD4000">
        <v>-1.1093999701349999</v>
      </c>
      <c r="AE4000">
        <v>-3.84040000000001</v>
      </c>
      <c r="AF4000">
        <v>-4.2137774579378897</v>
      </c>
      <c r="AG4000">
        <v>-1.1093999701349999</v>
      </c>
      <c r="AH4000">
        <v>53.158301186391299</v>
      </c>
      <c r="AI4000">
        <v>91.191837013294702</v>
      </c>
      <c r="AJ4000">
        <v>94.532272078014202</v>
      </c>
      <c r="AK4000">
        <v>53.336588509032403</v>
      </c>
      <c r="AL4000">
        <v>91.063527454108197</v>
      </c>
      <c r="AM4000">
        <v>94.825818476582896</v>
      </c>
      <c r="AN4000">
        <v>1.0000000079672999</v>
      </c>
    </row>
    <row r="4001" spans="1:40" x14ac:dyDescent="0.25">
      <c r="A4001" t="str">
        <f>"20190305135910006"</f>
        <v>20190305135910006</v>
      </c>
      <c r="B4001" t="str">
        <f>"1551765550002591"</f>
        <v>1551765550002591</v>
      </c>
      <c r="C4001" t="s">
        <v>40</v>
      </c>
      <c r="D4001">
        <v>4.0283369999999996</v>
      </c>
      <c r="E4001">
        <v>0.50268619999999997</v>
      </c>
      <c r="F4001" t="s">
        <v>42</v>
      </c>
      <c r="G4001">
        <v>-349.30669999999998</v>
      </c>
      <c r="H4001" s="1">
        <v>-7.251879E-7</v>
      </c>
      <c r="I4001">
        <v>137.7251</v>
      </c>
      <c r="J4001">
        <v>-301.14479999999998</v>
      </c>
      <c r="K4001">
        <v>1.109394</v>
      </c>
      <c r="L4001">
        <v>141.24279999999999</v>
      </c>
      <c r="M4001">
        <v>-0.9998764</v>
      </c>
      <c r="N4001">
        <v>-1.4161689999999999E-2</v>
      </c>
      <c r="O4001">
        <v>6.8249139999999996E-3</v>
      </c>
      <c r="P4001">
        <v>-0.99644480000000002</v>
      </c>
      <c r="Q4001">
        <v>-3.2635289999999997E-2</v>
      </c>
      <c r="R4001">
        <v>-7.7670749999999997E-2</v>
      </c>
      <c r="S4001">
        <v>-2.9915769999999999</v>
      </c>
      <c r="T4001">
        <v>-6.8338869999999996E-2</v>
      </c>
      <c r="U4001">
        <v>-0.2165222</v>
      </c>
      <c r="V4001">
        <v>-8.4458690000000003E-2</v>
      </c>
      <c r="W4001">
        <v>-1.858069E-2</v>
      </c>
      <c r="X4001">
        <v>0.99625370000000002</v>
      </c>
      <c r="Y4001">
        <v>-7.8961050000000005E-2</v>
      </c>
      <c r="Z4001">
        <v>-1.519746E-3</v>
      </c>
      <c r="AA4001">
        <v>0.99687650000000005</v>
      </c>
      <c r="AB4001">
        <v>41</v>
      </c>
      <c r="AC4001">
        <v>-48.161900000000003</v>
      </c>
      <c r="AD4001">
        <v>-1.1093947251878999</v>
      </c>
      <c r="AE4001">
        <v>-3.5176999999999898</v>
      </c>
      <c r="AF4001">
        <v>-3.8443228933168601</v>
      </c>
      <c r="AG4001">
        <v>-1.1093947251878999</v>
      </c>
      <c r="AH4001">
        <v>48.111375374450901</v>
      </c>
      <c r="AI4001">
        <v>91.316747385766703</v>
      </c>
      <c r="AJ4001">
        <v>94.568493142913795</v>
      </c>
      <c r="AK4001">
        <v>48.277469026303301</v>
      </c>
      <c r="AL4001">
        <v>91.064656412277103</v>
      </c>
      <c r="AM4001">
        <v>94.845736835714902</v>
      </c>
      <c r="AN4001">
        <v>0.99999997356054005</v>
      </c>
    </row>
    <row r="4002" spans="1:40" x14ac:dyDescent="0.25">
      <c r="A4002" t="str">
        <f>"20190305135910028"</f>
        <v>20190305135910028</v>
      </c>
      <c r="B4002" t="str">
        <f>"1551765550023087"</f>
        <v>1551765550023087</v>
      </c>
      <c r="C4002" t="s">
        <v>40</v>
      </c>
      <c r="D4002">
        <v>4.0065140000000001</v>
      </c>
      <c r="E4002">
        <v>0.50300670000000003</v>
      </c>
      <c r="F4002" t="s">
        <v>42</v>
      </c>
      <c r="G4002">
        <v>-343.85309999999998</v>
      </c>
      <c r="H4002" s="1">
        <v>-2.8703069999999998E-6</v>
      </c>
      <c r="I4002">
        <v>138.2012</v>
      </c>
      <c r="J4002">
        <v>-301.5539</v>
      </c>
      <c r="K4002">
        <v>1.109391</v>
      </c>
      <c r="L4002">
        <v>141.24529999999999</v>
      </c>
      <c r="M4002">
        <v>-0.99987769999999998</v>
      </c>
      <c r="N4002">
        <v>-1.4182760000000001E-2</v>
      </c>
      <c r="O4002">
        <v>6.6029369999999997E-3</v>
      </c>
      <c r="P4002">
        <v>-0.99639429999999996</v>
      </c>
      <c r="Q4002">
        <v>-3.25265E-2</v>
      </c>
      <c r="R4002">
        <v>-7.8360739999999998E-2</v>
      </c>
      <c r="S4002">
        <v>-2.9915470000000002</v>
      </c>
      <c r="T4002">
        <v>-7.7708959999999994E-2</v>
      </c>
      <c r="U4002">
        <v>-0.21304319999999999</v>
      </c>
      <c r="V4002">
        <v>-8.4927749999999996E-2</v>
      </c>
      <c r="W4002">
        <v>-1.8450169999999998E-2</v>
      </c>
      <c r="X4002">
        <v>0.99621630000000005</v>
      </c>
      <c r="Y4002">
        <v>-7.7579770000000006E-2</v>
      </c>
      <c r="Z4002">
        <v>-1.6349439999999999E-3</v>
      </c>
      <c r="AA4002">
        <v>0.9969848</v>
      </c>
      <c r="AB4002">
        <v>41</v>
      </c>
      <c r="AC4002">
        <v>-42.2991999999999</v>
      </c>
      <c r="AD4002">
        <v>-1.1093938703069901</v>
      </c>
      <c r="AE4002">
        <v>-3.0440999999999798</v>
      </c>
      <c r="AF4002">
        <v>-3.32108794038164</v>
      </c>
      <c r="AG4002">
        <v>-1.1093938703069901</v>
      </c>
      <c r="AH4002">
        <v>42.2492633691582</v>
      </c>
      <c r="AI4002">
        <v>91.499520622350403</v>
      </c>
      <c r="AJ4002">
        <v>94.494607189779302</v>
      </c>
      <c r="AK4002">
        <v>42.394110854029201</v>
      </c>
      <c r="AL4002">
        <v>91.057176831486501</v>
      </c>
      <c r="AM4002">
        <v>94.872701540226302</v>
      </c>
      <c r="AN4002">
        <v>1.00000002393939</v>
      </c>
    </row>
    <row r="4003" spans="1:40" x14ac:dyDescent="0.25">
      <c r="A4003" t="str">
        <f>"20190305135910051"</f>
        <v>20190305135910051</v>
      </c>
      <c r="B4003" t="str">
        <f>"1551765550042607"</f>
        <v>1551765550042607</v>
      </c>
      <c r="C4003" t="s">
        <v>40</v>
      </c>
      <c r="D4003">
        <v>4.006526</v>
      </c>
      <c r="E4003">
        <v>0.50329829999999998</v>
      </c>
      <c r="F4003" t="s">
        <v>42</v>
      </c>
      <c r="G4003">
        <v>-341.57929999999999</v>
      </c>
      <c r="H4003" s="1">
        <v>-3.8093340000000002E-6</v>
      </c>
      <c r="I4003">
        <v>138.4068</v>
      </c>
      <c r="J4003">
        <v>-301.98020000000002</v>
      </c>
      <c r="K4003">
        <v>1.109397</v>
      </c>
      <c r="L4003">
        <v>141.24799999999999</v>
      </c>
      <c r="M4003">
        <v>-0.99987890000000001</v>
      </c>
      <c r="N4003">
        <v>-1.4201449999999999E-2</v>
      </c>
      <c r="O4003">
        <v>6.3840619999999898E-3</v>
      </c>
      <c r="P4003">
        <v>-0.99638610000000005</v>
      </c>
      <c r="Q4003">
        <v>-3.1658409999999998E-2</v>
      </c>
      <c r="R4003">
        <v>-7.8819440000000004E-2</v>
      </c>
      <c r="S4003">
        <v>-2.991425</v>
      </c>
      <c r="T4003">
        <v>-8.2914230000000005E-2</v>
      </c>
      <c r="U4003">
        <v>-0.2121429</v>
      </c>
      <c r="V4003">
        <v>-8.5168999999999995E-2</v>
      </c>
      <c r="W4003">
        <v>-1.7561489999999999E-2</v>
      </c>
      <c r="X4003">
        <v>0.99621179999999998</v>
      </c>
      <c r="Y4003">
        <v>-7.7061450000000004E-2</v>
      </c>
      <c r="Z4003">
        <v>-1.7006499999999999E-3</v>
      </c>
      <c r="AA4003">
        <v>0.99702489999999999</v>
      </c>
      <c r="AB4003">
        <v>41</v>
      </c>
      <c r="AC4003">
        <v>-39.5990999999999</v>
      </c>
      <c r="AD4003">
        <v>-1.109400809334</v>
      </c>
      <c r="AE4003">
        <v>-2.8411999999999802</v>
      </c>
      <c r="AF4003">
        <v>-3.0915565733020398</v>
      </c>
      <c r="AG4003">
        <v>-1.109400809334</v>
      </c>
      <c r="AH4003">
        <v>39.549269981785997</v>
      </c>
      <c r="AI4003">
        <v>91.601904481161796</v>
      </c>
      <c r="AJ4003">
        <v>94.469707521916604</v>
      </c>
      <c r="AK4003">
        <v>39.685428664610399</v>
      </c>
      <c r="AL4003">
        <v>91.006250927935994</v>
      </c>
      <c r="AM4003">
        <v>94.886498218199407</v>
      </c>
      <c r="AN4003">
        <v>1.00000005747562</v>
      </c>
    </row>
    <row r="4004" spans="1:40" x14ac:dyDescent="0.25">
      <c r="A4004" t="str">
        <f>"20190305135910073"</f>
        <v>20190305135910073</v>
      </c>
      <c r="B4004" t="str">
        <f>"1551765550063103"</f>
        <v>1551765550063103</v>
      </c>
      <c r="C4004" t="s">
        <v>40</v>
      </c>
      <c r="D4004">
        <v>3.9765579999999998</v>
      </c>
      <c r="E4004">
        <v>0.50354860000000001</v>
      </c>
      <c r="F4004" t="s">
        <v>42</v>
      </c>
      <c r="G4004">
        <v>-341.16500000000002</v>
      </c>
      <c r="H4004" s="1">
        <v>-3.9730589999999996E-6</v>
      </c>
      <c r="I4004">
        <v>138.48570000000001</v>
      </c>
      <c r="J4004">
        <v>-302.39299999999997</v>
      </c>
      <c r="K4004">
        <v>1.1093919999999999</v>
      </c>
      <c r="L4004">
        <v>141.25040000000001</v>
      </c>
      <c r="M4004">
        <v>-0.99987979999999999</v>
      </c>
      <c r="N4004">
        <v>-1.4216639999999999E-2</v>
      </c>
      <c r="O4004">
        <v>6.1878419999999998E-3</v>
      </c>
      <c r="P4004">
        <v>-0.9964113</v>
      </c>
      <c r="Q4004">
        <v>-3.0494250000000001E-2</v>
      </c>
      <c r="R4004">
        <v>-7.8960399999999903E-2</v>
      </c>
      <c r="S4004">
        <v>-2.9915159999999998</v>
      </c>
      <c r="T4004">
        <v>-8.4696049999999995E-2</v>
      </c>
      <c r="U4004">
        <v>-0.21087649999999999</v>
      </c>
      <c r="V4004">
        <v>-8.5116070000000002E-2</v>
      </c>
      <c r="W4004">
        <v>-1.637916E-2</v>
      </c>
      <c r="X4004">
        <v>0.99623640000000002</v>
      </c>
      <c r="Y4004">
        <v>-7.6442339999999998E-2</v>
      </c>
      <c r="Z4004">
        <v>-1.7118999999999999E-3</v>
      </c>
      <c r="AA4004">
        <v>0.99707250000000003</v>
      </c>
      <c r="AB4004">
        <v>41</v>
      </c>
      <c r="AC4004">
        <v>-38.771999999999998</v>
      </c>
      <c r="AD4004">
        <v>-1.109395973059</v>
      </c>
      <c r="AE4004">
        <v>-2.7646999999999999</v>
      </c>
      <c r="AF4004">
        <v>-3.0021408300562702</v>
      </c>
      <c r="AG4004">
        <v>-1.109395973059</v>
      </c>
      <c r="AH4004">
        <v>38.7226056209009</v>
      </c>
      <c r="AI4004">
        <v>91.636158028603901</v>
      </c>
      <c r="AJ4004">
        <v>94.433239813076895</v>
      </c>
      <c r="AK4004">
        <v>38.854649593843398</v>
      </c>
      <c r="AL4004">
        <v>90.938498712206595</v>
      </c>
      <c r="AM4004">
        <v>94.883356091409894</v>
      </c>
      <c r="AN4004">
        <v>0.99999999346975499</v>
      </c>
    </row>
    <row r="4005" spans="1:40" x14ac:dyDescent="0.25">
      <c r="A4005" t="str">
        <f>"20190305135910094"</f>
        <v>20190305135910094</v>
      </c>
      <c r="B4005" t="str">
        <f>"1551765550082623"</f>
        <v>1551765550082623</v>
      </c>
      <c r="C4005" t="s">
        <v>40</v>
      </c>
      <c r="D4005">
        <v>3.9943089999999999</v>
      </c>
      <c r="E4005">
        <v>0.50380550000000002</v>
      </c>
      <c r="F4005" t="s">
        <v>42</v>
      </c>
      <c r="G4005">
        <v>-341.11630000000002</v>
      </c>
      <c r="H4005" s="1">
        <v>-3.9833560000000003E-6</v>
      </c>
      <c r="I4005">
        <v>138.5453</v>
      </c>
      <c r="J4005">
        <v>-302.77050000000003</v>
      </c>
      <c r="K4005">
        <v>1.1093820000000001</v>
      </c>
      <c r="L4005">
        <v>141.2526</v>
      </c>
      <c r="M4005">
        <v>-0.99988069999999896</v>
      </c>
      <c r="N4005">
        <v>-1.4228299999999999E-2</v>
      </c>
      <c r="O4005">
        <v>6.0248769999999997E-3</v>
      </c>
      <c r="P4005">
        <v>-0.99643360000000003</v>
      </c>
      <c r="Q4005">
        <v>-3.0495910000000001E-2</v>
      </c>
      <c r="R4005">
        <v>-7.8679509999999994E-2</v>
      </c>
      <c r="S4005">
        <v>-2.991638</v>
      </c>
      <c r="T4005">
        <v>-8.5708380000000001E-2</v>
      </c>
      <c r="U4005">
        <v>-0.20898439999999999</v>
      </c>
      <c r="V4005">
        <v>-8.4673830000000005E-2</v>
      </c>
      <c r="W4005">
        <v>-1.6365540000000001E-2</v>
      </c>
      <c r="X4005">
        <v>0.99627429999999995</v>
      </c>
      <c r="Y4005">
        <v>-7.5649010000000003E-2</v>
      </c>
      <c r="Z4005">
        <v>-1.7078919999999999E-3</v>
      </c>
      <c r="AA4005">
        <v>0.99713300000000005</v>
      </c>
      <c r="AB4005">
        <v>41</v>
      </c>
      <c r="AC4005">
        <v>-38.345799999999997</v>
      </c>
      <c r="AD4005">
        <v>-1.10938598335599</v>
      </c>
      <c r="AE4005">
        <v>-2.7073</v>
      </c>
      <c r="AF4005">
        <v>-2.9358578033537701</v>
      </c>
      <c r="AG4005">
        <v>-1.10938598335599</v>
      </c>
      <c r="AH4005">
        <v>38.296895266333898</v>
      </c>
      <c r="AI4005">
        <v>91.654430822669099</v>
      </c>
      <c r="AJ4005">
        <v>94.383747015462106</v>
      </c>
      <c r="AK4005">
        <v>38.425280549946898</v>
      </c>
      <c r="AL4005">
        <v>90.937718247378598</v>
      </c>
      <c r="AM4005">
        <v>94.857921320119203</v>
      </c>
      <c r="AN4005">
        <v>0.99999998461342499</v>
      </c>
    </row>
    <row r="4006" spans="1:40" x14ac:dyDescent="0.25">
      <c r="A4006" t="str">
        <f>"20190305135910108"</f>
        <v>20190305135910108</v>
      </c>
      <c r="B4006" t="str">
        <f>"1551765550103120"</f>
        <v>1551765550103120</v>
      </c>
      <c r="C4006" t="s">
        <v>40</v>
      </c>
      <c r="D4006">
        <v>3.9576880000000001</v>
      </c>
      <c r="E4006">
        <v>0.50406279999999903</v>
      </c>
      <c r="F4006" t="s">
        <v>42</v>
      </c>
      <c r="G4006">
        <v>-339.86439999999999</v>
      </c>
      <c r="H4006" s="1">
        <v>-2.7986589999999998E-7</v>
      </c>
      <c r="I4006">
        <v>138.70089999999999</v>
      </c>
      <c r="J4006">
        <v>-303.01979999999998</v>
      </c>
      <c r="K4006">
        <v>1.1093770000000001</v>
      </c>
      <c r="L4006">
        <v>141.25399999999999</v>
      </c>
      <c r="M4006">
        <v>-0.99988109999999997</v>
      </c>
      <c r="N4006">
        <v>-1.423497E-2</v>
      </c>
      <c r="O4006">
        <v>5.9298500000000004E-3</v>
      </c>
      <c r="P4006">
        <v>-0.99640070000000003</v>
      </c>
      <c r="Q4006">
        <v>-3.058524E-2</v>
      </c>
      <c r="R4006">
        <v>-7.9060359999999996E-2</v>
      </c>
      <c r="S4006">
        <v>-2.9918209999999998</v>
      </c>
      <c r="T4006">
        <v>-8.9477539999999994E-2</v>
      </c>
      <c r="U4006">
        <v>-0.20581050000000001</v>
      </c>
      <c r="V4006">
        <v>-8.4960179999999996E-2</v>
      </c>
      <c r="W4006">
        <v>-1.644636E-2</v>
      </c>
      <c r="X4006">
        <v>0.99624860000000004</v>
      </c>
      <c r="Y4006">
        <v>-7.4494400000000002E-2</v>
      </c>
      <c r="Z4006">
        <v>-1.736247E-3</v>
      </c>
      <c r="AA4006">
        <v>0.99721990000000005</v>
      </c>
      <c r="AB4006">
        <v>41</v>
      </c>
      <c r="AC4006">
        <v>-36.8446</v>
      </c>
      <c r="AD4006">
        <v>-1.1093772798658901</v>
      </c>
      <c r="AE4006">
        <v>-2.5531000000000001</v>
      </c>
      <c r="AF4006">
        <v>-2.7690617856615498</v>
      </c>
      <c r="AG4006">
        <v>-1.1093772798658901</v>
      </c>
      <c r="AH4006">
        <v>36.795611925467298</v>
      </c>
      <c r="AI4006">
        <v>91.722061903072799</v>
      </c>
      <c r="AJ4006">
        <v>94.303694154792893</v>
      </c>
      <c r="AK4006">
        <v>36.916330777739603</v>
      </c>
      <c r="AL4006">
        <v>90.942349506837999</v>
      </c>
      <c r="AM4006">
        <v>94.874395957525493</v>
      </c>
      <c r="AN4006">
        <v>0.99999999397242101</v>
      </c>
    </row>
    <row r="4007" spans="1:40" x14ac:dyDescent="0.25">
      <c r="A4007" t="str">
        <f>"20190305135910121"</f>
        <v>20190305135910121</v>
      </c>
      <c r="B4007" t="str">
        <f>"1551765550112879"</f>
        <v>1551765550112879</v>
      </c>
      <c r="C4007" t="s">
        <v>40</v>
      </c>
      <c r="D4007">
        <v>3.962304</v>
      </c>
      <c r="E4007">
        <v>0.50417109999999998</v>
      </c>
      <c r="F4007" t="s">
        <v>42</v>
      </c>
      <c r="G4007">
        <v>-338.67329999999998</v>
      </c>
      <c r="H4007" s="1">
        <v>-7.4991019999999995E-7</v>
      </c>
      <c r="I4007">
        <v>138.8141</v>
      </c>
      <c r="J4007">
        <v>-303.28059999999999</v>
      </c>
      <c r="K4007">
        <v>1.1093679999999999</v>
      </c>
      <c r="L4007">
        <v>141.25550000000001</v>
      </c>
      <c r="M4007">
        <v>-0.99988160000000004</v>
      </c>
      <c r="N4007">
        <v>-1.424133E-2</v>
      </c>
      <c r="O4007">
        <v>5.8403509999999997E-3</v>
      </c>
      <c r="P4007">
        <v>-0.99642010000000003</v>
      </c>
      <c r="Q4007">
        <v>-3.0630149999999998E-2</v>
      </c>
      <c r="R4007">
        <v>-7.8797859999999997E-2</v>
      </c>
      <c r="S4007">
        <v>-2.9917910000000001</v>
      </c>
      <c r="T4007">
        <v>-9.309125E-2</v>
      </c>
      <c r="U4007">
        <v>-0.20474239999999999</v>
      </c>
      <c r="V4007">
        <v>-8.4608600000000006E-2</v>
      </c>
      <c r="W4007">
        <v>-1.6481490000000001E-2</v>
      </c>
      <c r="X4007">
        <v>0.99627790000000005</v>
      </c>
      <c r="Y4007">
        <v>-7.4048290000000003E-2</v>
      </c>
      <c r="Z4007">
        <v>-1.7769159999999999E-3</v>
      </c>
      <c r="AA4007">
        <v>0.9972531</v>
      </c>
      <c r="AB4007">
        <v>41</v>
      </c>
      <c r="AC4007">
        <v>-35.392699999999898</v>
      </c>
      <c r="AD4007">
        <v>-1.1093687499101901</v>
      </c>
      <c r="AE4007">
        <v>-2.44140000000001</v>
      </c>
      <c r="AF4007">
        <v>-2.6454982500456299</v>
      </c>
      <c r="AG4007">
        <v>-1.1093687499101901</v>
      </c>
      <c r="AH4007">
        <v>35.3432764999298</v>
      </c>
      <c r="AI4007">
        <v>91.792820269221096</v>
      </c>
      <c r="AJ4007">
        <v>94.280693998627697</v>
      </c>
      <c r="AK4007">
        <v>35.459505830803202</v>
      </c>
      <c r="AL4007">
        <v>90.944362617840497</v>
      </c>
      <c r="AM4007">
        <v>94.854179366067697</v>
      </c>
      <c r="AN4007">
        <v>0.999999954367494</v>
      </c>
    </row>
    <row r="4008" spans="1:40" x14ac:dyDescent="0.25">
      <c r="A4008" t="str">
        <f>"20190305135910140"</f>
        <v>20190305135910140</v>
      </c>
      <c r="B4008" t="str">
        <f>"1551765550133375"</f>
        <v>1551765550133375</v>
      </c>
      <c r="C4008" t="s">
        <v>40</v>
      </c>
      <c r="D4008">
        <v>3.9540999999999999</v>
      </c>
      <c r="E4008">
        <v>0.50436809999999999</v>
      </c>
      <c r="F4008" t="s">
        <v>42</v>
      </c>
      <c r="G4008">
        <v>-338.18579999999997</v>
      </c>
      <c r="H4008" s="1">
        <v>-9.6739599999999994E-7</v>
      </c>
      <c r="I4008">
        <v>138.88720000000001</v>
      </c>
      <c r="J4008">
        <v>-303.60789999999997</v>
      </c>
      <c r="K4008">
        <v>1.109351</v>
      </c>
      <c r="L4008">
        <v>141.25729999999999</v>
      </c>
      <c r="M4008">
        <v>-0.99988200000000005</v>
      </c>
      <c r="N4008">
        <v>-1.4248169999999999E-2</v>
      </c>
      <c r="O4008">
        <v>5.7472249999999999E-3</v>
      </c>
      <c r="P4008">
        <v>-0.99639319999999998</v>
      </c>
      <c r="Q4008">
        <v>-3.1612460000000002E-2</v>
      </c>
      <c r="R4008">
        <v>-7.8748029999999997E-2</v>
      </c>
      <c r="S4008">
        <v>-2.9917600000000002</v>
      </c>
      <c r="T4008">
        <v>-9.5085139999999999E-2</v>
      </c>
      <c r="U4008">
        <v>-0.20298769999999999</v>
      </c>
      <c r="V4008">
        <v>-8.4466579999999999E-2</v>
      </c>
      <c r="W4008">
        <v>-1.7452720000000001E-2</v>
      </c>
      <c r="X4008">
        <v>0.99627350000000003</v>
      </c>
      <c r="Y4008">
        <v>-7.3372419999999994E-2</v>
      </c>
      <c r="Z4008">
        <v>-1.7885010000000001E-3</v>
      </c>
      <c r="AA4008">
        <v>0.99730300000000005</v>
      </c>
      <c r="AB4008">
        <v>41</v>
      </c>
      <c r="AC4008">
        <v>-34.5779</v>
      </c>
      <c r="AD4008">
        <v>-1.1093519673959999</v>
      </c>
      <c r="AE4008">
        <v>-2.3700999999999701</v>
      </c>
      <c r="AF4008">
        <v>-2.5661789762759701</v>
      </c>
      <c r="AG4008">
        <v>-1.1093519673959999</v>
      </c>
      <c r="AH4008">
        <v>34.528332156827801</v>
      </c>
      <c r="AI4008">
        <v>91.835150585863303</v>
      </c>
      <c r="AJ4008">
        <v>94.250463174303107</v>
      </c>
      <c r="AK4008">
        <v>34.641328754221803</v>
      </c>
      <c r="AL4008">
        <v>91.000017924864494</v>
      </c>
      <c r="AM4008">
        <v>94.846091506378201</v>
      </c>
      <c r="AN4008">
        <v>1.00000004368727</v>
      </c>
    </row>
    <row r="4009" spans="1:40" x14ac:dyDescent="0.25">
      <c r="A4009" t="str">
        <f>"20190305135910161"</f>
        <v>20190305135910161</v>
      </c>
      <c r="B4009" t="str">
        <f>"1551765550152898"</f>
        <v>1551765550152898</v>
      </c>
      <c r="C4009" t="s">
        <v>40</v>
      </c>
      <c r="D4009">
        <v>3.9535149999999999</v>
      </c>
      <c r="E4009">
        <v>0.50454460000000001</v>
      </c>
      <c r="F4009" t="s">
        <v>42</v>
      </c>
      <c r="G4009">
        <v>-336.43</v>
      </c>
      <c r="H4009" s="1">
        <v>-1.7682240000000001E-6</v>
      </c>
      <c r="I4009">
        <v>139.0515</v>
      </c>
      <c r="J4009">
        <v>-304.0104</v>
      </c>
      <c r="K4009">
        <v>1.1093329999999999</v>
      </c>
      <c r="L4009">
        <v>141.2595</v>
      </c>
      <c r="M4009">
        <v>-0.99988239999999995</v>
      </c>
      <c r="N4009">
        <v>-1.4255159999999999E-2</v>
      </c>
      <c r="O4009">
        <v>5.6646219999999898E-3</v>
      </c>
      <c r="P4009">
        <v>-0.99639770000000005</v>
      </c>
      <c r="Q4009">
        <v>-3.177373E-2</v>
      </c>
      <c r="R4009">
        <v>-7.8626680000000004E-2</v>
      </c>
      <c r="S4009">
        <v>-2.9917600000000002</v>
      </c>
      <c r="T4009">
        <v>-0.10111829999999999</v>
      </c>
      <c r="U4009">
        <v>-0.2010651</v>
      </c>
      <c r="V4009">
        <v>-8.4264919999999993E-2</v>
      </c>
      <c r="W4009">
        <v>-1.7600609999999999E-2</v>
      </c>
      <c r="X4009">
        <v>0.9962879</v>
      </c>
      <c r="Y4009">
        <v>-7.2646509999999997E-2</v>
      </c>
      <c r="Z4009">
        <v>-1.8551189999999999E-3</v>
      </c>
      <c r="AA4009">
        <v>0.99735600000000002</v>
      </c>
      <c r="AB4009">
        <v>41</v>
      </c>
      <c r="AC4009">
        <v>-32.419600000000003</v>
      </c>
      <c r="AD4009">
        <v>-1.109334768224</v>
      </c>
      <c r="AE4009">
        <v>-2.20799999999999</v>
      </c>
      <c r="AF4009">
        <v>-2.38884387913436</v>
      </c>
      <c r="AG4009">
        <v>-1.109334768224</v>
      </c>
      <c r="AH4009">
        <v>32.368846162683496</v>
      </c>
      <c r="AI4009">
        <v>91.957534923210204</v>
      </c>
      <c r="AJ4009">
        <v>94.220817438087494</v>
      </c>
      <c r="AK4009">
        <v>32.475827943415602</v>
      </c>
      <c r="AL4009">
        <v>91.008492774470596</v>
      </c>
      <c r="AM4009">
        <v>94.834507047970106</v>
      </c>
      <c r="AN4009">
        <v>0.99999996895069299</v>
      </c>
    </row>
    <row r="4010" spans="1:40" x14ac:dyDescent="0.25">
      <c r="A4010" t="str">
        <f>"20190305135910176"</f>
        <v>20190305135910176</v>
      </c>
      <c r="B4010" t="str">
        <f>"1551765550173393"</f>
        <v>1551765550173393</v>
      </c>
      <c r="C4010" t="s">
        <v>40</v>
      </c>
      <c r="D4010">
        <v>3.9967269999999999</v>
      </c>
      <c r="E4010">
        <v>0.50472340000000004</v>
      </c>
      <c r="F4010" t="s">
        <v>42</v>
      </c>
      <c r="G4010">
        <v>-335.70330000000001</v>
      </c>
      <c r="H4010" s="1">
        <v>-2.0941669999999999E-6</v>
      </c>
      <c r="I4010">
        <v>139.1506</v>
      </c>
      <c r="J4010">
        <v>-304.28140000000002</v>
      </c>
      <c r="K4010">
        <v>1.109318</v>
      </c>
      <c r="L4010">
        <v>141.261</v>
      </c>
      <c r="M4010">
        <v>-0.99988250000000001</v>
      </c>
      <c r="N4010">
        <v>-1.425922E-2</v>
      </c>
      <c r="O4010">
        <v>5.6239469999999998E-3</v>
      </c>
      <c r="P4010">
        <v>-0.9963978</v>
      </c>
      <c r="Q4010">
        <v>-3.1467050000000003E-2</v>
      </c>
      <c r="R4010">
        <v>-7.8748460000000006E-2</v>
      </c>
      <c r="S4010">
        <v>-2.9917910000000001</v>
      </c>
      <c r="T4010">
        <v>-0.10472049999999999</v>
      </c>
      <c r="U4010">
        <v>-0.19908139999999999</v>
      </c>
      <c r="V4010">
        <v>-8.4346610000000002E-2</v>
      </c>
      <c r="W4010">
        <v>-1.7285709999999999E-2</v>
      </c>
      <c r="X4010">
        <v>0.99628649999999996</v>
      </c>
      <c r="Y4010">
        <v>-7.1943770000000004E-2</v>
      </c>
      <c r="Z4010">
        <v>-1.8875719999999999E-3</v>
      </c>
      <c r="AA4010">
        <v>0.99740689999999999</v>
      </c>
      <c r="AB4010">
        <v>41</v>
      </c>
      <c r="AC4010">
        <v>-31.421899999999901</v>
      </c>
      <c r="AD4010">
        <v>-1.1093200941670001</v>
      </c>
      <c r="AE4010">
        <v>-2.1103999999999901</v>
      </c>
      <c r="AF4010">
        <v>-2.2842654222675098</v>
      </c>
      <c r="AG4010">
        <v>-1.1093200941670001</v>
      </c>
      <c r="AH4010">
        <v>31.3706090188563</v>
      </c>
      <c r="AI4010">
        <v>92.019892697288995</v>
      </c>
      <c r="AJ4010">
        <v>94.164668610001897</v>
      </c>
      <c r="AK4010">
        <v>31.473219883015499</v>
      </c>
      <c r="AL4010">
        <v>90.990447588117704</v>
      </c>
      <c r="AM4010">
        <v>94.8391783466991</v>
      </c>
      <c r="AN4010">
        <v>0.99999996823547199</v>
      </c>
    </row>
    <row r="4011" spans="1:40" x14ac:dyDescent="0.25">
      <c r="A4011" t="str">
        <f>"20190305135910194"</f>
        <v>20190305135910194</v>
      </c>
      <c r="B4011" t="str">
        <f>"1551765550183151"</f>
        <v>1551765550183151</v>
      </c>
      <c r="C4011" t="s">
        <v>40</v>
      </c>
      <c r="D4011">
        <v>3.9462489999999999</v>
      </c>
      <c r="E4011">
        <v>0.50483230000000001</v>
      </c>
      <c r="F4011" t="s">
        <v>42</v>
      </c>
      <c r="G4011">
        <v>-335.42169999999999</v>
      </c>
      <c r="H4011" s="1">
        <v>-2.2181150000000002E-6</v>
      </c>
      <c r="I4011">
        <v>139.20230000000001</v>
      </c>
      <c r="J4011">
        <v>-304.61669999999998</v>
      </c>
      <c r="K4011">
        <v>1.109302</v>
      </c>
      <c r="L4011">
        <v>141.2629</v>
      </c>
      <c r="M4011">
        <v>-0.99988259999999995</v>
      </c>
      <c r="N4011">
        <v>-1.4263430000000001E-2</v>
      </c>
      <c r="O4011">
        <v>5.5888559999999997E-3</v>
      </c>
      <c r="P4011">
        <v>-0.99642520000000001</v>
      </c>
      <c r="Q4011">
        <v>-3.0000519999999999E-2</v>
      </c>
      <c r="R4011">
        <v>-7.8974080000000002E-2</v>
      </c>
      <c r="S4011">
        <v>-2.9918520000000002</v>
      </c>
      <c r="T4011">
        <v>-0.1065798</v>
      </c>
      <c r="U4011">
        <v>-0.19779969999999999</v>
      </c>
      <c r="V4011">
        <v>-8.4539199999999995E-2</v>
      </c>
      <c r="W4011">
        <v>-1.5810089999999999E-2</v>
      </c>
      <c r="X4011">
        <v>0.99629469999999998</v>
      </c>
      <c r="Y4011">
        <v>-7.1480440000000006E-2</v>
      </c>
      <c r="Z4011">
        <v>-1.901189E-3</v>
      </c>
      <c r="AA4011">
        <v>0.9974402</v>
      </c>
      <c r="AB4011">
        <v>41</v>
      </c>
      <c r="AC4011">
        <v>-30.805</v>
      </c>
      <c r="AD4011">
        <v>-1.1093042181149999</v>
      </c>
      <c r="AE4011">
        <v>-2.0605999999999902</v>
      </c>
      <c r="AF4011">
        <v>-2.2298713229542302</v>
      </c>
      <c r="AG4011">
        <v>-1.1093042181149999</v>
      </c>
      <c r="AH4011">
        <v>30.753299290160999</v>
      </c>
      <c r="AI4011">
        <v>92.060419552996095</v>
      </c>
      <c r="AJ4011">
        <v>94.147165363589593</v>
      </c>
      <c r="AK4011">
        <v>30.853983522318099</v>
      </c>
      <c r="AL4011">
        <v>90.905889188645801</v>
      </c>
      <c r="AM4011">
        <v>94.850135342694898</v>
      </c>
      <c r="AN4011">
        <v>0.99999998226526798</v>
      </c>
    </row>
    <row r="4012" spans="1:40" x14ac:dyDescent="0.25">
      <c r="A4012" t="str">
        <f>"20190305135910218"</f>
        <v>20190305135910218</v>
      </c>
      <c r="B4012" t="str">
        <f>"1551765550213407"</f>
        <v>1551765550213407</v>
      </c>
      <c r="C4012" t="s">
        <v>40</v>
      </c>
      <c r="D4012">
        <v>3.9908320000000002</v>
      </c>
      <c r="E4012">
        <v>0.50507100000000005</v>
      </c>
      <c r="F4012" t="s">
        <v>42</v>
      </c>
      <c r="G4012">
        <v>-336.6626</v>
      </c>
      <c r="H4012" s="1">
        <v>-1.6412090000000001E-6</v>
      </c>
      <c r="I4012">
        <v>139.14760000000001</v>
      </c>
      <c r="J4012">
        <v>-305.03140000000002</v>
      </c>
      <c r="K4012">
        <v>1.1092789999999999</v>
      </c>
      <c r="L4012">
        <v>141.26509999999999</v>
      </c>
      <c r="M4012">
        <v>-0.99988270000000001</v>
      </c>
      <c r="N4012">
        <v>-1.4267719999999999E-2</v>
      </c>
      <c r="O4012">
        <v>5.5865610000000003E-3</v>
      </c>
      <c r="P4012">
        <v>-0.99640740000000005</v>
      </c>
      <c r="Q4012">
        <v>-2.9046740000000001E-2</v>
      </c>
      <c r="R4012">
        <v>-7.9554600000000003E-2</v>
      </c>
      <c r="S4012">
        <v>-2.9920040000000001</v>
      </c>
      <c r="T4012">
        <v>-0.1035715</v>
      </c>
      <c r="U4012">
        <v>-0.19749449999999999</v>
      </c>
      <c r="V4012">
        <v>-8.5118120000000005E-2</v>
      </c>
      <c r="W4012">
        <v>-1.4845509999999999E-2</v>
      </c>
      <c r="X4012">
        <v>0.99626029999999999</v>
      </c>
      <c r="Y4012">
        <v>-7.1376729999999999E-2</v>
      </c>
      <c r="Z4012">
        <v>-1.857184E-3</v>
      </c>
      <c r="AA4012">
        <v>0.99744770000000005</v>
      </c>
      <c r="AB4012">
        <v>41</v>
      </c>
      <c r="AC4012">
        <v>-31.6311999999999</v>
      </c>
      <c r="AD4012">
        <v>-1.1092806412089999</v>
      </c>
      <c r="AE4012">
        <v>-2.11749999999997</v>
      </c>
      <c r="AF4012">
        <v>-2.29138906184658</v>
      </c>
      <c r="AG4012">
        <v>-1.1092806412089999</v>
      </c>
      <c r="AH4012">
        <v>31.580209960531601</v>
      </c>
      <c r="AI4012">
        <v>92.006463520830394</v>
      </c>
      <c r="AJ4012">
        <v>94.149980491459601</v>
      </c>
      <c r="AK4012">
        <v>31.682655010667499</v>
      </c>
      <c r="AL4012">
        <v>90.850616284811807</v>
      </c>
      <c r="AM4012">
        <v>94.883356550492493</v>
      </c>
      <c r="AN4012">
        <v>1.00000003443779</v>
      </c>
    </row>
    <row r="4013" spans="1:40" x14ac:dyDescent="0.25">
      <c r="A4013" t="str">
        <f>"20190305135910239"</f>
        <v>20190305135910239</v>
      </c>
      <c r="B4013" t="str">
        <f>"1551765550232930"</f>
        <v>1551765550232930</v>
      </c>
      <c r="C4013" t="s">
        <v>40</v>
      </c>
      <c r="D4013">
        <v>4.0049260000000002</v>
      </c>
      <c r="E4013">
        <v>0.50520159999999903</v>
      </c>
      <c r="F4013" t="s">
        <v>42</v>
      </c>
      <c r="G4013">
        <v>-336.74610000000001</v>
      </c>
      <c r="H4013" s="1">
        <v>-1.5967079999999999E-6</v>
      </c>
      <c r="I4013">
        <v>139.17609999999999</v>
      </c>
      <c r="J4013">
        <v>-305.44139999999999</v>
      </c>
      <c r="K4013">
        <v>1.1092420000000001</v>
      </c>
      <c r="L4013">
        <v>141.26750000000001</v>
      </c>
      <c r="M4013">
        <v>-0.99988220000000005</v>
      </c>
      <c r="N4013">
        <v>-1.427115E-2</v>
      </c>
      <c r="O4013">
        <v>5.6554450000000003E-3</v>
      </c>
      <c r="P4013">
        <v>-0.99634780000000001</v>
      </c>
      <c r="Q4013">
        <v>-2.886329E-2</v>
      </c>
      <c r="R4013">
        <v>-8.0361390000000005E-2</v>
      </c>
      <c r="S4013">
        <v>-2.9920040000000001</v>
      </c>
      <c r="T4013">
        <v>-0.10465090000000001</v>
      </c>
      <c r="U4013">
        <v>-0.19708249999999999</v>
      </c>
      <c r="V4013">
        <v>-8.5995290000000002E-2</v>
      </c>
      <c r="W4013">
        <v>-1.464967E-2</v>
      </c>
      <c r="X4013">
        <v>0.99618779999999996</v>
      </c>
      <c r="Y4013">
        <v>-7.1307629999999997E-2</v>
      </c>
      <c r="Z4013">
        <v>-1.87188E-3</v>
      </c>
      <c r="AA4013">
        <v>0.99745260000000002</v>
      </c>
      <c r="AB4013">
        <v>41</v>
      </c>
      <c r="AC4013">
        <v>-31.3047</v>
      </c>
      <c r="AD4013">
        <v>-1.1092435967080001</v>
      </c>
      <c r="AE4013">
        <v>-2.0914000000000201</v>
      </c>
      <c r="AF4013">
        <v>-2.2655946495184298</v>
      </c>
      <c r="AG4013">
        <v>-1.1092435967080001</v>
      </c>
      <c r="AH4013">
        <v>31.253304473666901</v>
      </c>
      <c r="AI4013">
        <v>92.0273754957189</v>
      </c>
      <c r="AJ4013">
        <v>94.146196567717098</v>
      </c>
      <c r="AK4013">
        <v>31.354941891135599</v>
      </c>
      <c r="AL4013">
        <v>90.839394315245599</v>
      </c>
      <c r="AM4013">
        <v>94.933791290956506</v>
      </c>
      <c r="AN4013">
        <v>0.99999996780106504</v>
      </c>
    </row>
    <row r="4014" spans="1:40" x14ac:dyDescent="0.25">
      <c r="A4014" t="str">
        <f>"20190305135910263"</f>
        <v>20190305135910263</v>
      </c>
      <c r="B4014" t="str">
        <f>"1551765550253423"</f>
        <v>1551765550253423</v>
      </c>
      <c r="C4014" t="s">
        <v>40</v>
      </c>
      <c r="D4014">
        <v>4.0071110000000001</v>
      </c>
      <c r="E4014">
        <v>0.50532790000000005</v>
      </c>
      <c r="F4014" t="s">
        <v>42</v>
      </c>
      <c r="G4014">
        <v>-336.45549999999997</v>
      </c>
      <c r="H4014" s="1">
        <v>-1.727601E-6</v>
      </c>
      <c r="I4014">
        <v>139.21250000000001</v>
      </c>
      <c r="J4014">
        <v>-305.8648</v>
      </c>
      <c r="K4014">
        <v>1.1091799999999901</v>
      </c>
      <c r="L4014">
        <v>141.27000000000001</v>
      </c>
      <c r="M4014">
        <v>-0.99988120000000003</v>
      </c>
      <c r="N4014">
        <v>-1.427382E-2</v>
      </c>
      <c r="O4014">
        <v>5.8155189999999999E-3</v>
      </c>
      <c r="P4014">
        <v>-0.99634120000000004</v>
      </c>
      <c r="Q4014">
        <v>-2.7964639999999999E-2</v>
      </c>
      <c r="R4014">
        <v>-8.0760750000000006E-2</v>
      </c>
      <c r="S4014">
        <v>-2.991943</v>
      </c>
      <c r="T4014">
        <v>-0.107009199999999</v>
      </c>
      <c r="U4014">
        <v>-0.19824220000000001</v>
      </c>
      <c r="V4014">
        <v>-8.6556460000000002E-2</v>
      </c>
      <c r="W4014">
        <v>-1.373423E-2</v>
      </c>
      <c r="X4014">
        <v>0.99615229999999999</v>
      </c>
      <c r="Y4014">
        <v>-7.1850549999999999E-2</v>
      </c>
      <c r="Z4014">
        <v>-1.9214950000000001E-3</v>
      </c>
      <c r="AA4014">
        <v>0.99741360000000001</v>
      </c>
      <c r="AB4014">
        <v>41</v>
      </c>
      <c r="AC4014">
        <v>-30.590699999999899</v>
      </c>
      <c r="AD4014">
        <v>-1.1091817276010001</v>
      </c>
      <c r="AE4014">
        <v>-2.0575000000000001</v>
      </c>
      <c r="AF4014">
        <v>-2.23246232478165</v>
      </c>
      <c r="AG4014">
        <v>-1.1091817276010001</v>
      </c>
      <c r="AH4014">
        <v>30.538248125810799</v>
      </c>
      <c r="AI4014">
        <v>92.074598142174494</v>
      </c>
      <c r="AJ4014">
        <v>94.1811022619721</v>
      </c>
      <c r="AK4014">
        <v>30.639823281637899</v>
      </c>
      <c r="AL4014">
        <v>90.786938133587597</v>
      </c>
      <c r="AM4014">
        <v>94.966002801934096</v>
      </c>
      <c r="AN4014">
        <v>1.00000002731835</v>
      </c>
    </row>
    <row r="4015" spans="1:40" x14ac:dyDescent="0.25">
      <c r="A4015" t="str">
        <f>"20190305135910283"</f>
        <v>20190305135910283</v>
      </c>
      <c r="B4015" t="str">
        <f>"1551765550272948"</f>
        <v>1551765550272948</v>
      </c>
      <c r="C4015" t="s">
        <v>40</v>
      </c>
      <c r="D4015">
        <v>4.0184340000000001</v>
      </c>
      <c r="E4015">
        <v>0.5054514</v>
      </c>
      <c r="F4015" t="s">
        <v>42</v>
      </c>
      <c r="G4015">
        <v>-336.85669999999999</v>
      </c>
      <c r="H4015" s="1">
        <v>-1.537375E-6</v>
      </c>
      <c r="I4015">
        <v>139.2157</v>
      </c>
      <c r="J4015">
        <v>-306.23989999999998</v>
      </c>
      <c r="K4015">
        <v>1.109113</v>
      </c>
      <c r="L4015">
        <v>141.2723</v>
      </c>
      <c r="M4015">
        <v>-0.99987999999999999</v>
      </c>
      <c r="N4015">
        <v>-1.427571E-2</v>
      </c>
      <c r="O4015">
        <v>6.0213460000000003E-3</v>
      </c>
      <c r="P4015">
        <v>-0.99632969999999998</v>
      </c>
      <c r="Q4015">
        <v>-2.7616990000000001E-2</v>
      </c>
      <c r="R4015">
        <v>-8.1021140000000005E-2</v>
      </c>
      <c r="S4015">
        <v>-2.991943</v>
      </c>
      <c r="T4015">
        <v>-0.10707990000000001</v>
      </c>
      <c r="U4015">
        <v>-0.19831850000000001</v>
      </c>
      <c r="V4015">
        <v>-8.7023790000000004E-2</v>
      </c>
      <c r="W4015">
        <v>-1.337062E-2</v>
      </c>
      <c r="X4015">
        <v>0.99611649999999996</v>
      </c>
      <c r="Y4015">
        <v>-7.2080870000000005E-2</v>
      </c>
      <c r="Z4015">
        <v>-1.93272E-3</v>
      </c>
      <c r="AA4015">
        <v>0.99739690000000003</v>
      </c>
      <c r="AB4015">
        <v>41</v>
      </c>
      <c r="AC4015">
        <v>-30.616800000000001</v>
      </c>
      <c r="AD4015">
        <v>-1.109114537375</v>
      </c>
      <c r="AE4015">
        <v>-2.0566</v>
      </c>
      <c r="AF4015">
        <v>-2.2380120861920298</v>
      </c>
      <c r="AG4015">
        <v>-1.109114537375</v>
      </c>
      <c r="AH4015">
        <v>30.563931199531801</v>
      </c>
      <c r="AI4015">
        <v>92.072712800782</v>
      </c>
      <c r="AJ4015">
        <v>94.1879496483335</v>
      </c>
      <c r="AK4015">
        <v>30.665823379206198</v>
      </c>
      <c r="AL4015">
        <v>90.766102924996005</v>
      </c>
      <c r="AM4015">
        <v>94.992858289771704</v>
      </c>
      <c r="AN4015">
        <v>0.99999999753869895</v>
      </c>
    </row>
    <row r="4016" spans="1:40" x14ac:dyDescent="0.25">
      <c r="A4016" t="str">
        <f>"20190305135910305"</f>
        <v>20190305135910305</v>
      </c>
      <c r="B4016" t="str">
        <f>"1551765550302690"</f>
        <v>1551765550302690</v>
      </c>
      <c r="C4016" t="s">
        <v>40</v>
      </c>
      <c r="D4016">
        <v>4.0126169999999997</v>
      </c>
      <c r="E4016">
        <v>0.50560269999999996</v>
      </c>
      <c r="F4016" t="s">
        <v>42</v>
      </c>
      <c r="G4016">
        <v>-336.76710000000003</v>
      </c>
      <c r="H4016" s="1">
        <v>-1.5731809999999999E-6</v>
      </c>
      <c r="I4016">
        <v>139.2527</v>
      </c>
      <c r="J4016">
        <v>-306.64870000000002</v>
      </c>
      <c r="K4016">
        <v>1.109043</v>
      </c>
      <c r="L4016">
        <v>141.27500000000001</v>
      </c>
      <c r="M4016">
        <v>-0.99987809999999999</v>
      </c>
      <c r="N4016">
        <v>-1.42773E-2</v>
      </c>
      <c r="O4016">
        <v>6.3252109999999999E-3</v>
      </c>
      <c r="P4016">
        <v>-0.99629009999999996</v>
      </c>
      <c r="Q4016">
        <v>-2.7773119999999998E-2</v>
      </c>
      <c r="R4016">
        <v>-8.1452549999999999E-2</v>
      </c>
      <c r="S4016">
        <v>-2.991943</v>
      </c>
      <c r="T4016">
        <v>-0.1087033</v>
      </c>
      <c r="U4016">
        <v>-0.197937</v>
      </c>
      <c r="V4016">
        <v>-8.7760309999999994E-2</v>
      </c>
      <c r="W4016">
        <v>-1.350895E-2</v>
      </c>
      <c r="X4016">
        <v>0.99604999999999999</v>
      </c>
      <c r="Y4016">
        <v>-7.2255379999999994E-2</v>
      </c>
      <c r="Z4016">
        <v>-1.9666589999999999E-3</v>
      </c>
      <c r="AA4016">
        <v>0.9973843</v>
      </c>
      <c r="AB4016">
        <v>41</v>
      </c>
      <c r="AC4016">
        <v>-30.118400000000001</v>
      </c>
      <c r="AD4016">
        <v>-1.1090445731809999</v>
      </c>
      <c r="AE4016">
        <v>-2.0223</v>
      </c>
      <c r="AF4016">
        <v>-2.20980131851725</v>
      </c>
      <c r="AG4016">
        <v>-1.1090445731809999</v>
      </c>
      <c r="AH4016">
        <v>30.064422597342698</v>
      </c>
      <c r="AI4016">
        <v>92.106943782989802</v>
      </c>
      <c r="AJ4016">
        <v>94.203806483175697</v>
      </c>
      <c r="AK4016">
        <v>30.1659196419442</v>
      </c>
      <c r="AL4016">
        <v>90.774029377262806</v>
      </c>
      <c r="AM4016">
        <v>95.035233129924805</v>
      </c>
      <c r="AN4016">
        <v>0.99999998312069904</v>
      </c>
    </row>
    <row r="4017" spans="1:40" x14ac:dyDescent="0.25">
      <c r="A4017" t="str">
        <f>"20190305135910330"</f>
        <v>20190305135910330</v>
      </c>
      <c r="B4017" t="str">
        <f>"1551765550323186"</f>
        <v>1551765550323186</v>
      </c>
      <c r="C4017" t="s">
        <v>40</v>
      </c>
      <c r="D4017">
        <v>4.029795</v>
      </c>
      <c r="E4017">
        <v>0.50571849999999996</v>
      </c>
      <c r="F4017" t="s">
        <v>42</v>
      </c>
      <c r="G4017">
        <v>-336.1</v>
      </c>
      <c r="H4017" s="1">
        <v>-1.875122E-6</v>
      </c>
      <c r="I4017">
        <v>139.32839999999999</v>
      </c>
      <c r="J4017">
        <v>-307.08859999999999</v>
      </c>
      <c r="K4017">
        <v>1.1089599999999999</v>
      </c>
      <c r="L4017">
        <v>141.2782</v>
      </c>
      <c r="M4017">
        <v>-0.99987519999999996</v>
      </c>
      <c r="N4017">
        <v>-1.4278509999999999E-2</v>
      </c>
      <c r="O4017">
        <v>6.7542870000000003E-3</v>
      </c>
      <c r="P4017">
        <v>-0.99628399999999995</v>
      </c>
      <c r="Q4017">
        <v>-2.7386589999999999E-2</v>
      </c>
      <c r="R4017">
        <v>-8.1660670000000005E-2</v>
      </c>
      <c r="S4017">
        <v>-2.9918520000000002</v>
      </c>
      <c r="T4017">
        <v>-0.112664</v>
      </c>
      <c r="U4017">
        <v>-0.19775390000000001</v>
      </c>
      <c r="V4017">
        <v>-8.8398169999999998E-2</v>
      </c>
      <c r="W4017">
        <v>-1.310214E-2</v>
      </c>
      <c r="X4017">
        <v>0.99599899999999997</v>
      </c>
      <c r="Y4017">
        <v>-7.2619740000000002E-2</v>
      </c>
      <c r="Z4017">
        <v>-2.0423170000000001E-3</v>
      </c>
      <c r="AA4017">
        <v>0.99735759999999996</v>
      </c>
      <c r="AB4017">
        <v>41</v>
      </c>
      <c r="AC4017">
        <v>-29.011399999999998</v>
      </c>
      <c r="AD4017">
        <v>-1.1089618751219901</v>
      </c>
      <c r="AE4017">
        <v>-1.94980000000001</v>
      </c>
      <c r="AF4017">
        <v>-2.14261021847802</v>
      </c>
      <c r="AG4017">
        <v>-1.1089618751219901</v>
      </c>
      <c r="AH4017">
        <v>28.955449136659301</v>
      </c>
      <c r="AI4017">
        <v>92.187319066289803</v>
      </c>
      <c r="AJ4017">
        <v>94.231990747692194</v>
      </c>
      <c r="AK4017">
        <v>29.055784444658599</v>
      </c>
      <c r="AL4017">
        <v>90.750718838043298</v>
      </c>
      <c r="AM4017">
        <v>95.071898396906406</v>
      </c>
      <c r="AN4017">
        <v>0.99999995526646301</v>
      </c>
    </row>
    <row r="4018" spans="1:40" x14ac:dyDescent="0.25">
      <c r="A4018" t="str">
        <f>"20190305135910351"</f>
        <v>20190305135910351</v>
      </c>
      <c r="B4018" t="str">
        <f>"1551765550342708"</f>
        <v>1551765550342708</v>
      </c>
      <c r="C4018" t="s">
        <v>40</v>
      </c>
      <c r="D4018">
        <v>4.038443</v>
      </c>
      <c r="E4018">
        <v>0.50583069999999997</v>
      </c>
      <c r="F4018" t="s">
        <v>42</v>
      </c>
      <c r="G4018">
        <v>-336.30680000000001</v>
      </c>
      <c r="H4018" s="1">
        <v>-1.7732799999999999E-6</v>
      </c>
      <c r="I4018">
        <v>139.35130000000001</v>
      </c>
      <c r="J4018">
        <v>-307.48520000000002</v>
      </c>
      <c r="K4018">
        <v>1.1088769999999999</v>
      </c>
      <c r="L4018">
        <v>141.28129999999999</v>
      </c>
      <c r="M4018">
        <v>-0.99987199999999998</v>
      </c>
      <c r="N4018">
        <v>-1.427927E-2</v>
      </c>
      <c r="O4018">
        <v>7.2349199999999997E-3</v>
      </c>
      <c r="P4018">
        <v>-0.99624159999999995</v>
      </c>
      <c r="Q4018">
        <v>-2.758043E-2</v>
      </c>
      <c r="R4018">
        <v>-8.2110459999999996E-2</v>
      </c>
      <c r="S4018">
        <v>-2.9918819999999999</v>
      </c>
      <c r="T4018">
        <v>-0.1135554</v>
      </c>
      <c r="U4018">
        <v>-0.1973114</v>
      </c>
      <c r="V4018">
        <v>-8.9329249999999999E-2</v>
      </c>
      <c r="W4018">
        <v>-1.327743E-2</v>
      </c>
      <c r="X4018">
        <v>0.99591359999999995</v>
      </c>
      <c r="Y4018">
        <v>-7.2950139999999997E-2</v>
      </c>
      <c r="Z4018">
        <v>-2.0751239999999998E-3</v>
      </c>
      <c r="AA4018">
        <v>0.99733340000000004</v>
      </c>
      <c r="AB4018">
        <v>41</v>
      </c>
      <c r="AC4018">
        <v>-28.821599999999901</v>
      </c>
      <c r="AD4018">
        <v>-1.1088787732799901</v>
      </c>
      <c r="AE4018">
        <v>-1.92999999999997</v>
      </c>
      <c r="AF4018">
        <v>-2.1353459691896002</v>
      </c>
      <c r="AG4018">
        <v>-1.1088787732799901</v>
      </c>
      <c r="AH4018">
        <v>28.764492437871802</v>
      </c>
      <c r="AI4018">
        <v>92.201622080383402</v>
      </c>
      <c r="AJ4018">
        <v>94.245592233007102</v>
      </c>
      <c r="AK4018">
        <v>28.8649500216153</v>
      </c>
      <c r="AL4018">
        <v>90.760763092028199</v>
      </c>
      <c r="AM4018">
        <v>95.125473781368697</v>
      </c>
      <c r="AN4018">
        <v>0.99999995185896196</v>
      </c>
    </row>
    <row r="4019" spans="1:40" x14ac:dyDescent="0.25">
      <c r="A4019" t="str">
        <f>"20190305135910372"</f>
        <v>20190305135910372</v>
      </c>
      <c r="B4019" t="str">
        <f>"1551765550363201"</f>
        <v>1551765550363201</v>
      </c>
      <c r="C4019" t="s">
        <v>40</v>
      </c>
      <c r="D4019">
        <v>4.0644090000000004</v>
      </c>
      <c r="E4019">
        <v>0.50589729999999999</v>
      </c>
      <c r="F4019" t="s">
        <v>42</v>
      </c>
      <c r="G4019">
        <v>-336.089</v>
      </c>
      <c r="H4019" s="1">
        <v>-1.8690090000000001E-6</v>
      </c>
      <c r="I4019">
        <v>139.3921</v>
      </c>
      <c r="J4019">
        <v>-307.87419999999997</v>
      </c>
      <c r="K4019">
        <v>1.1087910000000001</v>
      </c>
      <c r="L4019">
        <v>141.28450000000001</v>
      </c>
      <c r="M4019">
        <v>-0.99986770000000003</v>
      </c>
      <c r="N4019">
        <v>-1.4279750000000001E-2</v>
      </c>
      <c r="O4019">
        <v>7.7889419999999897E-3</v>
      </c>
      <c r="P4019">
        <v>-0.99619480000000005</v>
      </c>
      <c r="Q4019">
        <v>-2.8519449999999998E-2</v>
      </c>
      <c r="R4019">
        <v>-8.2360000000000003E-2</v>
      </c>
      <c r="S4019">
        <v>-2.9918209999999998</v>
      </c>
      <c r="T4019">
        <v>-0.1159834</v>
      </c>
      <c r="U4019">
        <v>-0.19760130000000001</v>
      </c>
      <c r="V4019">
        <v>-9.0133500000000005E-2</v>
      </c>
      <c r="W4019">
        <v>-1.419831E-2</v>
      </c>
      <c r="X4019">
        <v>0.99582839999999995</v>
      </c>
      <c r="Y4019">
        <v>-7.3596659999999994E-2</v>
      </c>
      <c r="Z4019">
        <v>-2.141259E-3</v>
      </c>
      <c r="AA4019">
        <v>0.9972858</v>
      </c>
      <c r="AB4019">
        <v>41</v>
      </c>
      <c r="AC4019">
        <v>-28.2148</v>
      </c>
      <c r="AD4019">
        <v>-1.1087928690090001</v>
      </c>
      <c r="AE4019">
        <v>-1.8924000000000001</v>
      </c>
      <c r="AF4019">
        <v>-2.10888615289559</v>
      </c>
      <c r="AG4019">
        <v>-1.1087928690090001</v>
      </c>
      <c r="AH4019">
        <v>28.155914682672201</v>
      </c>
      <c r="AI4019">
        <v>92.248876001972704</v>
      </c>
      <c r="AJ4019">
        <v>94.283472235453402</v>
      </c>
      <c r="AK4019">
        <v>28.2565453311291</v>
      </c>
      <c r="AL4019">
        <v>90.813530638565695</v>
      </c>
      <c r="AM4019">
        <v>95.171810445742494</v>
      </c>
      <c r="AN4019">
        <v>0.99999992103782898</v>
      </c>
    </row>
    <row r="4020" spans="1:40" x14ac:dyDescent="0.25">
      <c r="A4020" t="str">
        <f>"20190305135910395"</f>
        <v>20190305135910395</v>
      </c>
      <c r="B4020" t="str">
        <f>"1551765550393457"</f>
        <v>1551765550393457</v>
      </c>
      <c r="C4020" t="s">
        <v>40</v>
      </c>
      <c r="D4020">
        <v>4.0364360000000001</v>
      </c>
      <c r="E4020">
        <v>0.50564770000000003</v>
      </c>
      <c r="F4020" t="s">
        <v>42</v>
      </c>
      <c r="G4020">
        <v>-335.32380000000001</v>
      </c>
      <c r="H4020" s="1">
        <v>-2.2168749999999998E-6</v>
      </c>
      <c r="I4020">
        <v>139.47020000000001</v>
      </c>
      <c r="J4020">
        <v>-308.28339999999997</v>
      </c>
      <c r="K4020">
        <v>1.1087020000000001</v>
      </c>
      <c r="L4020">
        <v>141.28829999999999</v>
      </c>
      <c r="M4020">
        <v>-0.99986240000000004</v>
      </c>
      <c r="N4020">
        <v>-1.427993E-2</v>
      </c>
      <c r="O4020">
        <v>8.4442030000000008E-3</v>
      </c>
      <c r="P4020">
        <v>-0.99620699999999995</v>
      </c>
      <c r="Q4020">
        <v>-2.9025510000000001E-2</v>
      </c>
      <c r="R4020">
        <v>-8.2032460000000001E-2</v>
      </c>
      <c r="S4020">
        <v>-2.9916079999999998</v>
      </c>
      <c r="T4020">
        <v>-0.12084250000000001</v>
      </c>
      <c r="U4020">
        <v>-0.19773859999999999</v>
      </c>
      <c r="V4020">
        <v>-9.0462409999999993E-2</v>
      </c>
      <c r="W4020">
        <v>-1.468621E-2</v>
      </c>
      <c r="X4020">
        <v>0.9957916</v>
      </c>
      <c r="Y4020">
        <v>-7.4293579999999998E-2</v>
      </c>
      <c r="Z4020">
        <v>-2.2497929999999999E-3</v>
      </c>
      <c r="AA4020">
        <v>0.99723390000000001</v>
      </c>
      <c r="AB4020">
        <v>41</v>
      </c>
      <c r="AC4020">
        <v>-27.040400000000002</v>
      </c>
      <c r="AD4020">
        <v>-1.1087042168750001</v>
      </c>
      <c r="AE4020">
        <v>-1.8180999999999801</v>
      </c>
      <c r="AF4020">
        <v>-2.0429739938329199</v>
      </c>
      <c r="AG4020">
        <v>-1.1087042168750001</v>
      </c>
      <c r="AH4020">
        <v>26.978930386933801</v>
      </c>
      <c r="AI4020">
        <v>92.346546014774205</v>
      </c>
      <c r="AJ4020">
        <v>94.330446541652805</v>
      </c>
      <c r="AK4020">
        <v>27.078878348318099</v>
      </c>
      <c r="AL4020">
        <v>90.841488083151205</v>
      </c>
      <c r="AM4020">
        <v>95.190770988571501</v>
      </c>
      <c r="AN4020">
        <v>1.00000002150886</v>
      </c>
    </row>
    <row r="4021" spans="1:40" x14ac:dyDescent="0.25">
      <c r="A4021" t="str">
        <f>"20190305135910419"</f>
        <v>20190305135910419</v>
      </c>
      <c r="B4021" t="str">
        <f>"1551765550412509"</f>
        <v>1551765550412509</v>
      </c>
      <c r="C4021" t="s">
        <v>40</v>
      </c>
      <c r="D4021">
        <v>4.0781159999999996</v>
      </c>
      <c r="E4021">
        <v>0.50544330000000004</v>
      </c>
      <c r="F4021" t="s">
        <v>42</v>
      </c>
      <c r="G4021">
        <v>-335.12950000000001</v>
      </c>
      <c r="H4021" s="1">
        <v>-2.302431E-6</v>
      </c>
      <c r="I4021">
        <v>139.50550000000001</v>
      </c>
      <c r="J4021">
        <v>-308.70569999999998</v>
      </c>
      <c r="K4021">
        <v>1.10863</v>
      </c>
      <c r="L4021">
        <v>141.29249999999999</v>
      </c>
      <c r="M4021">
        <v>-0.99985590000000002</v>
      </c>
      <c r="N4021">
        <v>-1.4279699999999999E-2</v>
      </c>
      <c r="O4021">
        <v>9.1811449999999999E-3</v>
      </c>
      <c r="P4021">
        <v>-0.99626049999999999</v>
      </c>
      <c r="Q4021">
        <v>-2.909575E-2</v>
      </c>
      <c r="R4021">
        <v>-8.1355469999999999E-2</v>
      </c>
      <c r="S4021">
        <v>-2.991425</v>
      </c>
      <c r="T4021">
        <v>-0.1235414</v>
      </c>
      <c r="U4021">
        <v>-0.1986542</v>
      </c>
      <c r="V4021">
        <v>-9.0522149999999996E-2</v>
      </c>
      <c r="W4021">
        <v>-1.4740410000000001E-2</v>
      </c>
      <c r="X4021">
        <v>0.99578540000000004</v>
      </c>
      <c r="Y4021">
        <v>-7.5331560000000006E-2</v>
      </c>
      <c r="Z4021">
        <v>-2.339645E-3</v>
      </c>
      <c r="AA4021">
        <v>0.99715580000000004</v>
      </c>
      <c r="AB4021">
        <v>41</v>
      </c>
      <c r="AC4021">
        <v>-26.4238</v>
      </c>
      <c r="AD4021">
        <v>-1.1086323024310001</v>
      </c>
      <c r="AE4021">
        <v>-1.7869999999999699</v>
      </c>
      <c r="AF4021">
        <v>-2.0260000281921098</v>
      </c>
      <c r="AG4021">
        <v>-1.1086323024310001</v>
      </c>
      <c r="AH4021">
        <v>26.3600875205181</v>
      </c>
      <c r="AI4021">
        <v>92.401209098687204</v>
      </c>
      <c r="AJ4021">
        <v>94.395034120587098</v>
      </c>
      <c r="AK4021">
        <v>26.461064902713201</v>
      </c>
      <c r="AL4021">
        <v>90.844593825537004</v>
      </c>
      <c r="AM4021">
        <v>95.194212313764794</v>
      </c>
      <c r="AN4021">
        <v>1.0000000510903699</v>
      </c>
    </row>
    <row r="4022" spans="1:40" x14ac:dyDescent="0.25">
      <c r="A4022" t="str">
        <f>"20190305135910440"</f>
        <v>20190305135910440</v>
      </c>
      <c r="B4022" t="str">
        <f>"1551765550433009"</f>
        <v>1551765550433009</v>
      </c>
      <c r="C4022" t="s">
        <v>40</v>
      </c>
      <c r="D4022">
        <v>4.0663640000000001</v>
      </c>
      <c r="E4022">
        <v>0.50528260000000003</v>
      </c>
      <c r="F4022" t="s">
        <v>42</v>
      </c>
      <c r="G4022">
        <v>-335.35700000000003</v>
      </c>
      <c r="H4022" s="1">
        <v>-2.1911819999999998E-6</v>
      </c>
      <c r="I4022">
        <v>139.5266</v>
      </c>
      <c r="J4022">
        <v>-309.11329999999998</v>
      </c>
      <c r="K4022">
        <v>1.1085750000000001</v>
      </c>
      <c r="L4022">
        <v>141.29689999999999</v>
      </c>
      <c r="M4022">
        <v>-0.99984870000000003</v>
      </c>
      <c r="N4022">
        <v>-1.427904E-2</v>
      </c>
      <c r="O4022">
        <v>9.9368149999999999E-3</v>
      </c>
      <c r="P4022">
        <v>-0.99634719999999999</v>
      </c>
      <c r="Q4022">
        <v>-2.8858890000000002E-2</v>
      </c>
      <c r="R4022">
        <v>-8.0373490000000006E-2</v>
      </c>
      <c r="S4022">
        <v>-2.9914550000000002</v>
      </c>
      <c r="T4022">
        <v>-0.1244379</v>
      </c>
      <c r="U4022">
        <v>-0.19821169999999999</v>
      </c>
      <c r="V4022">
        <v>-9.0295039999999993E-2</v>
      </c>
      <c r="W4022">
        <v>-1.4491789999999999E-2</v>
      </c>
      <c r="X4022">
        <v>0.99580959999999996</v>
      </c>
      <c r="Y4022">
        <v>-7.5935500000000003E-2</v>
      </c>
      <c r="Z4022">
        <v>-2.3911010000000001E-3</v>
      </c>
      <c r="AA4022">
        <v>0.99710989999999999</v>
      </c>
      <c r="AB4022">
        <v>41</v>
      </c>
      <c r="AC4022">
        <v>-26.243699999999901</v>
      </c>
      <c r="AD4022">
        <v>-1.1085771911819999</v>
      </c>
      <c r="AE4022">
        <v>-1.77029999999999</v>
      </c>
      <c r="AF4022">
        <v>-2.0274167057993999</v>
      </c>
      <c r="AG4022">
        <v>-1.1085771911819999</v>
      </c>
      <c r="AH4022">
        <v>26.178311249002299</v>
      </c>
      <c r="AI4022">
        <v>92.417633914332995</v>
      </c>
      <c r="AJ4022">
        <v>94.428513598633401</v>
      </c>
      <c r="AK4022">
        <v>26.280094020710902</v>
      </c>
      <c r="AL4022">
        <v>90.830347484388994</v>
      </c>
      <c r="AM4022">
        <v>95.181126401908799</v>
      </c>
      <c r="AN4022">
        <v>0.99999998283908198</v>
      </c>
    </row>
    <row r="4023" spans="1:40" x14ac:dyDescent="0.25">
      <c r="A4023" t="str">
        <f>"20190305135910462"</f>
        <v>20190305135910462</v>
      </c>
      <c r="B4023" t="str">
        <f>"1551765550452525"</f>
        <v>1551765550452525</v>
      </c>
      <c r="C4023" t="s">
        <v>40</v>
      </c>
      <c r="D4023">
        <v>4.0589339999999998</v>
      </c>
      <c r="E4023">
        <v>0.50515759999999998</v>
      </c>
      <c r="F4023" t="s">
        <v>42</v>
      </c>
      <c r="G4023">
        <v>-335.79520000000002</v>
      </c>
      <c r="H4023" s="1">
        <v>-1.9808580000000001E-6</v>
      </c>
      <c r="I4023">
        <v>139.5446</v>
      </c>
      <c r="J4023">
        <v>-309.49689999999998</v>
      </c>
      <c r="K4023">
        <v>1.10853</v>
      </c>
      <c r="L4023">
        <v>141.3014</v>
      </c>
      <c r="M4023">
        <v>-0.99984119999999999</v>
      </c>
      <c r="N4023">
        <v>-1.427809E-2</v>
      </c>
      <c r="O4023">
        <v>1.067151E-2</v>
      </c>
      <c r="P4023">
        <v>-0.99644370000000004</v>
      </c>
      <c r="Q4023">
        <v>-2.8690719999999999E-2</v>
      </c>
      <c r="R4023">
        <v>-7.9228209999999993E-2</v>
      </c>
      <c r="S4023">
        <v>-2.9915470000000002</v>
      </c>
      <c r="T4023">
        <v>-0.12429270000000001</v>
      </c>
      <c r="U4023">
        <v>-0.19647220000000001</v>
      </c>
      <c r="V4023">
        <v>-8.9883569999999996E-2</v>
      </c>
      <c r="W4023">
        <v>-1.431555E-2</v>
      </c>
      <c r="X4023">
        <v>0.9958494</v>
      </c>
      <c r="Y4023">
        <v>-7.6088639999999999E-2</v>
      </c>
      <c r="Z4023">
        <v>-2.412998E-3</v>
      </c>
      <c r="AA4023">
        <v>0.99709809999999999</v>
      </c>
      <c r="AB4023">
        <v>41</v>
      </c>
      <c r="AC4023">
        <v>-26.298300000000001</v>
      </c>
      <c r="AD4023">
        <v>-1.1085319808580001</v>
      </c>
      <c r="AE4023">
        <v>-1.7567999999999899</v>
      </c>
      <c r="AF4023">
        <v>-2.0337735264522601</v>
      </c>
      <c r="AG4023">
        <v>-1.1085319808580001</v>
      </c>
      <c r="AH4023">
        <v>26.231650994248</v>
      </c>
      <c r="AI4023">
        <v>92.412609654477606</v>
      </c>
      <c r="AJ4023">
        <v>94.433346328907206</v>
      </c>
      <c r="AK4023">
        <v>26.333715875157399</v>
      </c>
      <c r="AL4023">
        <v>90.820248606674397</v>
      </c>
      <c r="AM4023">
        <v>95.157438876587094</v>
      </c>
      <c r="AN4023">
        <v>1.00000000930405</v>
      </c>
    </row>
    <row r="4024" spans="1:40" x14ac:dyDescent="0.25">
      <c r="A4024" t="str">
        <f>"20190305135910483"</f>
        <v>20190305135910483</v>
      </c>
      <c r="B4024" t="str">
        <f>"1551765550473021"</f>
        <v>1551765550473021</v>
      </c>
      <c r="C4024" t="s">
        <v>40</v>
      </c>
      <c r="D4024">
        <v>4.070627</v>
      </c>
      <c r="E4024">
        <v>0.50503319999999996</v>
      </c>
      <c r="F4024" t="s">
        <v>42</v>
      </c>
      <c r="G4024">
        <v>-336.20760000000001</v>
      </c>
      <c r="H4024" s="1">
        <v>-1.781447E-6</v>
      </c>
      <c r="I4024">
        <v>139.56950000000001</v>
      </c>
      <c r="J4024">
        <v>-309.8895</v>
      </c>
      <c r="K4024">
        <v>1.1085050000000001</v>
      </c>
      <c r="L4024">
        <v>141.30619999999999</v>
      </c>
      <c r="M4024">
        <v>-0.99983279999999997</v>
      </c>
      <c r="N4024">
        <v>-1.427688E-2</v>
      </c>
      <c r="O4024">
        <v>1.143827E-2</v>
      </c>
      <c r="P4024">
        <v>-0.99650669999999997</v>
      </c>
      <c r="Q4024">
        <v>-2.8472919999999999E-2</v>
      </c>
      <c r="R4024">
        <v>-7.8513009999999994E-2</v>
      </c>
      <c r="S4024">
        <v>-2.9916689999999999</v>
      </c>
      <c r="T4024">
        <v>-0.1241584</v>
      </c>
      <c r="U4024">
        <v>-0.19396969999999999</v>
      </c>
      <c r="V4024">
        <v>-8.9933230000000003E-2</v>
      </c>
      <c r="W4024">
        <v>-1.4091589999999999E-2</v>
      </c>
      <c r="X4024">
        <v>0.99584810000000001</v>
      </c>
      <c r="Y4024">
        <v>-7.6020099999999993E-2</v>
      </c>
      <c r="Z4024">
        <v>-2.4296719999999999E-3</v>
      </c>
      <c r="AA4024">
        <v>0.99710330000000003</v>
      </c>
      <c r="AB4024">
        <v>41</v>
      </c>
      <c r="AC4024">
        <v>-26.318100000000001</v>
      </c>
      <c r="AD4024">
        <v>-1.10850678144699</v>
      </c>
      <c r="AE4024">
        <v>-1.7366999999999799</v>
      </c>
      <c r="AF4024">
        <v>-2.0340576481790702</v>
      </c>
      <c r="AG4024">
        <v>-1.10850678144699</v>
      </c>
      <c r="AH4024">
        <v>26.250143724863499</v>
      </c>
      <c r="AI4024">
        <v>92.410865407393004</v>
      </c>
      <c r="AJ4024">
        <v>94.430852005376394</v>
      </c>
      <c r="AK4024">
        <v>26.352157850480101</v>
      </c>
      <c r="AL4024">
        <v>90.807415358129802</v>
      </c>
      <c r="AM4024">
        <v>95.160279643309394</v>
      </c>
      <c r="AN4024">
        <v>0.99999999852028498</v>
      </c>
    </row>
    <row r="4025" spans="1:40" x14ac:dyDescent="0.25">
      <c r="A4025" t="str">
        <f>"20190305135910507"</f>
        <v>20190305135910507</v>
      </c>
      <c r="B4025" t="str">
        <f>"1551765550502808"</f>
        <v>1551765550502808</v>
      </c>
      <c r="C4025" t="s">
        <v>40</v>
      </c>
      <c r="D4025">
        <v>4.0379079999999998</v>
      </c>
      <c r="E4025">
        <v>0.50486640000000005</v>
      </c>
      <c r="F4025" t="s">
        <v>42</v>
      </c>
      <c r="G4025">
        <v>-336.61130000000003</v>
      </c>
      <c r="H4025" s="1">
        <v>-1.5881770000000001E-6</v>
      </c>
      <c r="I4025">
        <v>139.58330000000001</v>
      </c>
      <c r="J4025">
        <v>-310.30739999999997</v>
      </c>
      <c r="K4025">
        <v>1.1084849999999999</v>
      </c>
      <c r="L4025">
        <v>141.31180000000001</v>
      </c>
      <c r="M4025">
        <v>-0.99982309999999996</v>
      </c>
      <c r="N4025">
        <v>-1.427544E-2</v>
      </c>
      <c r="O4025">
        <v>1.2260480000000001E-2</v>
      </c>
      <c r="P4025">
        <v>-0.99659260000000005</v>
      </c>
      <c r="Q4025">
        <v>-2.756391E-2</v>
      </c>
      <c r="R4025">
        <v>-7.7742080000000005E-2</v>
      </c>
      <c r="S4025">
        <v>-2.9917600000000002</v>
      </c>
      <c r="T4025">
        <v>-0.1241075</v>
      </c>
      <c r="U4025">
        <v>-0.19290160000000001</v>
      </c>
      <c r="V4025">
        <v>-8.998138E-2</v>
      </c>
      <c r="W4025">
        <v>-1.3177629999999999E-2</v>
      </c>
      <c r="X4025">
        <v>0.99585630000000003</v>
      </c>
      <c r="Y4025">
        <v>-7.6482820000000007E-2</v>
      </c>
      <c r="Z4025">
        <v>-2.4639789999999998E-3</v>
      </c>
      <c r="AA4025">
        <v>0.99706790000000001</v>
      </c>
      <c r="AB4025">
        <v>41</v>
      </c>
      <c r="AC4025">
        <v>-26.303899999999999</v>
      </c>
      <c r="AD4025">
        <v>-1.1084865881770001</v>
      </c>
      <c r="AE4025">
        <v>-1.7284999999999899</v>
      </c>
      <c r="AF4025">
        <v>-2.04728115438505</v>
      </c>
      <c r="AG4025">
        <v>-1.1084865881770001</v>
      </c>
      <c r="AH4025">
        <v>26.2343386656596</v>
      </c>
      <c r="AI4025">
        <v>92.4121696767684</v>
      </c>
      <c r="AJ4025">
        <v>94.462217198385005</v>
      </c>
      <c r="AK4025">
        <v>26.337437761972801</v>
      </c>
      <c r="AL4025">
        <v>90.755044410272404</v>
      </c>
      <c r="AM4025">
        <v>95.162985231403198</v>
      </c>
      <c r="AN4025">
        <v>1.0000000344644</v>
      </c>
    </row>
    <row r="4026" spans="1:40" x14ac:dyDescent="0.25">
      <c r="A4026" t="str">
        <f>"20190305135910530"</f>
        <v>20190305135910530</v>
      </c>
      <c r="B4026" t="str">
        <f>"1551765550523303"</f>
        <v>1551765550523303</v>
      </c>
      <c r="C4026" t="s">
        <v>40</v>
      </c>
      <c r="D4026">
        <v>4.258553</v>
      </c>
      <c r="E4026">
        <v>0.50485500000000005</v>
      </c>
      <c r="F4026" t="s">
        <v>42</v>
      </c>
      <c r="G4026">
        <v>-337.5247</v>
      </c>
      <c r="H4026" s="1">
        <v>-1.1593160000000001E-6</v>
      </c>
      <c r="I4026">
        <v>139.5669</v>
      </c>
      <c r="J4026">
        <v>-310.72210000000001</v>
      </c>
      <c r="K4026">
        <v>1.108482</v>
      </c>
      <c r="L4026">
        <v>141.3175</v>
      </c>
      <c r="M4026">
        <v>-0.9998127</v>
      </c>
      <c r="N4026">
        <v>-1.4273869999999999E-2</v>
      </c>
      <c r="O4026">
        <v>1.3071370000000001E-2</v>
      </c>
      <c r="P4026">
        <v>-0.99669370000000002</v>
      </c>
      <c r="Q4026">
        <v>-2.6503280000000001E-2</v>
      </c>
      <c r="R4026">
        <v>-7.6807449999999999E-2</v>
      </c>
      <c r="S4026">
        <v>-2.9919129999999998</v>
      </c>
      <c r="T4026">
        <v>-0.1218525</v>
      </c>
      <c r="U4026">
        <v>-0.191803</v>
      </c>
      <c r="V4026">
        <v>-8.9854359999999994E-2</v>
      </c>
      <c r="W4026">
        <v>-1.211402E-2</v>
      </c>
      <c r="X4026">
        <v>0.99588129999999997</v>
      </c>
      <c r="Y4026">
        <v>-7.6925839999999995E-2</v>
      </c>
      <c r="Z4026">
        <v>-2.4594590000000002E-3</v>
      </c>
      <c r="AA4026">
        <v>0.99703379999999997</v>
      </c>
      <c r="AB4026">
        <v>41</v>
      </c>
      <c r="AC4026">
        <v>-26.802599999999899</v>
      </c>
      <c r="AD4026">
        <v>-1.1084831593160001</v>
      </c>
      <c r="AE4026">
        <v>-1.7505999999999899</v>
      </c>
      <c r="AF4026">
        <v>-2.0972608273823798</v>
      </c>
      <c r="AG4026">
        <v>-1.1084831593160001</v>
      </c>
      <c r="AH4026">
        <v>26.731895897686599</v>
      </c>
      <c r="AI4026">
        <v>92.367239819909202</v>
      </c>
      <c r="AJ4026">
        <v>94.485972646942102</v>
      </c>
      <c r="AK4026">
        <v>26.8369427501963</v>
      </c>
      <c r="AL4026">
        <v>90.694099154728505</v>
      </c>
      <c r="AM4026">
        <v>95.155607608083002</v>
      </c>
      <c r="AN4026">
        <v>1.00000005959062</v>
      </c>
    </row>
    <row r="4027" spans="1:40" x14ac:dyDescent="0.25">
      <c r="A4027" t="str">
        <f>"20190305135910551"</f>
        <v>20190305135910551</v>
      </c>
      <c r="B4027" t="str">
        <f>"1551765550542827"</f>
        <v>1551765550542827</v>
      </c>
      <c r="C4027" t="s">
        <v>40</v>
      </c>
      <c r="D4027">
        <v>4.0416230000000004</v>
      </c>
      <c r="E4027">
        <v>0.50477359999999905</v>
      </c>
      <c r="F4027" t="s">
        <v>42</v>
      </c>
      <c r="G4027">
        <v>-338.48989999999998</v>
      </c>
      <c r="H4027" s="1">
        <v>-7.0366749999999998E-7</v>
      </c>
      <c r="I4027">
        <v>139.5635</v>
      </c>
      <c r="J4027">
        <v>-311.12240000000003</v>
      </c>
      <c r="K4027">
        <v>1.108481</v>
      </c>
      <c r="L4027">
        <v>141.32339999999999</v>
      </c>
      <c r="M4027">
        <v>-0.99980239999999998</v>
      </c>
      <c r="N4027">
        <v>-1.4267790000000001E-2</v>
      </c>
      <c r="O4027">
        <v>1.383857E-2</v>
      </c>
      <c r="P4027">
        <v>-0.99678770000000005</v>
      </c>
      <c r="Q4027">
        <v>-2.605331E-2</v>
      </c>
      <c r="R4027">
        <v>-7.5732320000000006E-2</v>
      </c>
      <c r="S4027">
        <v>-2.9922179999999998</v>
      </c>
      <c r="T4027">
        <v>-0.1194487</v>
      </c>
      <c r="U4027">
        <v>-0.1890106</v>
      </c>
      <c r="V4027">
        <v>-8.9544269999999995E-2</v>
      </c>
      <c r="W4027">
        <v>-1.1668039999999999E-2</v>
      </c>
      <c r="X4027">
        <v>0.99591450000000004</v>
      </c>
      <c r="Y4027">
        <v>-7.6760869999999995E-2</v>
      </c>
      <c r="Z4027">
        <v>-2.4329960000000002E-3</v>
      </c>
      <c r="AA4027">
        <v>0.99704660000000001</v>
      </c>
      <c r="AB4027">
        <v>40</v>
      </c>
      <c r="AC4027">
        <v>-27.3674999999999</v>
      </c>
      <c r="AD4027">
        <v>-1.1084817036675001</v>
      </c>
      <c r="AE4027">
        <v>-1.75989999999998</v>
      </c>
      <c r="AF4027">
        <v>-2.1350089341361298</v>
      </c>
      <c r="AG4027">
        <v>-1.1084817036675001</v>
      </c>
      <c r="AH4027">
        <v>27.295926199519801</v>
      </c>
      <c r="AI4027">
        <v>92.3184181327602</v>
      </c>
      <c r="AJ4027">
        <v>94.472405506934706</v>
      </c>
      <c r="AK4027">
        <v>27.401725893195799</v>
      </c>
      <c r="AL4027">
        <v>90.668544613808095</v>
      </c>
      <c r="AM4027">
        <v>95.137740487014398</v>
      </c>
      <c r="AN4027">
        <v>1.0000000053787601</v>
      </c>
    </row>
    <row r="4028" spans="1:40" x14ac:dyDescent="0.25">
      <c r="A4028" t="str">
        <f>"20190305135910574"</f>
        <v>20190305135910574</v>
      </c>
      <c r="B4028" t="str">
        <f>"1551765550563320"</f>
        <v>1551765550563320</v>
      </c>
      <c r="C4028" t="s">
        <v>40</v>
      </c>
      <c r="D4028">
        <v>4.0439939999999996</v>
      </c>
      <c r="E4028">
        <v>0.50464709999999902</v>
      </c>
      <c r="F4028" t="s">
        <v>42</v>
      </c>
      <c r="G4028">
        <v>-339.16160000000002</v>
      </c>
      <c r="H4028" s="1">
        <v>-3.8398570000000001E-7</v>
      </c>
      <c r="I4028">
        <v>139.57570000000001</v>
      </c>
      <c r="J4028">
        <v>-311.51639999999998</v>
      </c>
      <c r="K4028">
        <v>1.108481</v>
      </c>
      <c r="L4028">
        <v>141.3295</v>
      </c>
      <c r="M4028">
        <v>-0.99979229999999997</v>
      </c>
      <c r="N4028">
        <v>-1.4249319999999999E-2</v>
      </c>
      <c r="O4028">
        <v>1.456825E-2</v>
      </c>
      <c r="P4028">
        <v>-0.99685710000000005</v>
      </c>
      <c r="Q4028">
        <v>-2.5682819999999999E-2</v>
      </c>
      <c r="R4028">
        <v>-7.4942990000000001E-2</v>
      </c>
      <c r="S4028">
        <v>-2.9924010000000001</v>
      </c>
      <c r="T4028">
        <v>-0.1182994</v>
      </c>
      <c r="U4028">
        <v>-0.18652340000000001</v>
      </c>
      <c r="V4028">
        <v>-8.9481469999999994E-2</v>
      </c>
      <c r="W4028">
        <v>-1.131619E-2</v>
      </c>
      <c r="X4028">
        <v>0.99592420000000004</v>
      </c>
      <c r="Y4028">
        <v>-7.6660660000000005E-2</v>
      </c>
      <c r="Z4028">
        <v>-2.4281630000000001E-3</v>
      </c>
      <c r="AA4028">
        <v>0.99705429999999995</v>
      </c>
      <c r="AB4028">
        <v>40</v>
      </c>
      <c r="AC4028">
        <v>-27.645199999999999</v>
      </c>
      <c r="AD4028">
        <v>-1.1084813839857</v>
      </c>
      <c r="AE4028">
        <v>-1.75379999999998</v>
      </c>
      <c r="AF4028">
        <v>-2.1529494184429101</v>
      </c>
      <c r="AG4028">
        <v>-1.1084813839857</v>
      </c>
      <c r="AH4028">
        <v>27.572561260272501</v>
      </c>
      <c r="AI4028">
        <v>92.295205701304994</v>
      </c>
      <c r="AJ4028">
        <v>94.464769537597206</v>
      </c>
      <c r="AK4028">
        <v>27.678693188597201</v>
      </c>
      <c r="AL4028">
        <v>90.648383765350204</v>
      </c>
      <c r="AM4028">
        <v>95.134106766477004</v>
      </c>
      <c r="AN4028">
        <v>1.00000000088755</v>
      </c>
    </row>
    <row r="4029" spans="1:40" x14ac:dyDescent="0.25">
      <c r="A4029" t="str">
        <f>"20190305135910596"</f>
        <v>20190305135910596</v>
      </c>
      <c r="B4029" t="str">
        <f>"1551765550593576"</f>
        <v>1551765550593576</v>
      </c>
      <c r="C4029" t="s">
        <v>40</v>
      </c>
      <c r="D4029">
        <v>4.0401249999999997</v>
      </c>
      <c r="E4029">
        <v>0.504496099999999</v>
      </c>
      <c r="F4029" t="s">
        <v>42</v>
      </c>
      <c r="G4029">
        <v>-339.74439999999998</v>
      </c>
      <c r="H4029" s="1">
        <v>-1.071303E-7</v>
      </c>
      <c r="I4029">
        <v>139.58349999999999</v>
      </c>
      <c r="J4029">
        <v>-311.92529999999999</v>
      </c>
      <c r="K4029">
        <v>1.1084799999999999</v>
      </c>
      <c r="L4029">
        <v>141.33619999999999</v>
      </c>
      <c r="M4029">
        <v>-0.99978219999999995</v>
      </c>
      <c r="N4029">
        <v>-1.421679E-2</v>
      </c>
      <c r="O4029">
        <v>1.5289189999999999E-2</v>
      </c>
      <c r="P4029">
        <v>-0.99690299999999998</v>
      </c>
      <c r="Q4029">
        <v>-2.5912310000000001E-2</v>
      </c>
      <c r="R4029">
        <v>-7.4251319999999996E-2</v>
      </c>
      <c r="S4029">
        <v>-2.9925229999999998</v>
      </c>
      <c r="T4029">
        <v>-0.1175131</v>
      </c>
      <c r="U4029">
        <v>-0.1851044</v>
      </c>
      <c r="V4029">
        <v>-8.9508749999999998E-2</v>
      </c>
      <c r="W4029">
        <v>-1.1581080000000001E-2</v>
      </c>
      <c r="X4029">
        <v>0.99591870000000005</v>
      </c>
      <c r="Y4029">
        <v>-7.6906669999999996E-2</v>
      </c>
      <c r="Z4029">
        <v>-2.4380629999999999E-3</v>
      </c>
      <c r="AA4029">
        <v>0.99703529999999996</v>
      </c>
      <c r="AB4029">
        <v>40</v>
      </c>
      <c r="AC4029">
        <v>-27.819099999999899</v>
      </c>
      <c r="AD4029">
        <v>-1.1084801071303001</v>
      </c>
      <c r="AE4029">
        <v>-1.7526999999999999</v>
      </c>
      <c r="AF4029">
        <v>-2.1744308145090998</v>
      </c>
      <c r="AG4029">
        <v>-1.1084801071303001</v>
      </c>
      <c r="AH4029">
        <v>27.745170635651</v>
      </c>
      <c r="AI4029">
        <v>92.280888075492996</v>
      </c>
      <c r="AJ4029">
        <v>94.481196879767595</v>
      </c>
      <c r="AK4029">
        <v>27.852313568469999</v>
      </c>
      <c r="AL4029">
        <v>90.663561841484295</v>
      </c>
      <c r="AM4029">
        <v>95.135691830544303</v>
      </c>
      <c r="AN4029">
        <v>0.99999999737510903</v>
      </c>
    </row>
    <row r="4030" spans="1:40" x14ac:dyDescent="0.25">
      <c r="A4030" t="str">
        <f>"20190305135910621"</f>
        <v>20190305135910621</v>
      </c>
      <c r="B4030" t="str">
        <f>"1551765550613603"</f>
        <v>1551765550613603</v>
      </c>
      <c r="C4030" t="s">
        <v>40</v>
      </c>
      <c r="D4030">
        <v>3.976664</v>
      </c>
      <c r="E4030">
        <v>0.50446519999999995</v>
      </c>
      <c r="F4030" t="s">
        <v>42</v>
      </c>
      <c r="G4030">
        <v>-339.81909999999999</v>
      </c>
      <c r="H4030" s="1">
        <v>-6.6733440000000001E-8</v>
      </c>
      <c r="I4030">
        <v>139.61920000000001</v>
      </c>
      <c r="J4030">
        <v>-312.34780000000001</v>
      </c>
      <c r="K4030">
        <v>1.1084940000000001</v>
      </c>
      <c r="L4030">
        <v>141.3433</v>
      </c>
      <c r="M4030">
        <v>-0.99977179999999999</v>
      </c>
      <c r="N4030">
        <v>-1.4178690000000001E-2</v>
      </c>
      <c r="O4030">
        <v>1.598567E-2</v>
      </c>
      <c r="P4030">
        <v>-0.99695560000000005</v>
      </c>
      <c r="Q4030">
        <v>-2.653225E-2</v>
      </c>
      <c r="R4030">
        <v>-7.332081E-2</v>
      </c>
      <c r="S4030">
        <v>-2.9925229999999998</v>
      </c>
      <c r="T4030">
        <v>-0.1189207</v>
      </c>
      <c r="U4030">
        <v>-0.18420410000000001</v>
      </c>
      <c r="V4030">
        <v>-8.9272969999999993E-2</v>
      </c>
      <c r="W4030">
        <v>-1.224488E-2</v>
      </c>
      <c r="X4030">
        <v>0.99593189999999998</v>
      </c>
      <c r="Y4030">
        <v>-7.7299950000000006E-2</v>
      </c>
      <c r="Z4030">
        <v>-2.490801E-3</v>
      </c>
      <c r="AA4030">
        <v>0.99700469999999997</v>
      </c>
      <c r="AB4030">
        <v>40</v>
      </c>
      <c r="AC4030">
        <v>-27.4712999999999</v>
      </c>
      <c r="AD4030">
        <v>-1.10849406673344</v>
      </c>
      <c r="AE4030">
        <v>-1.72409999999999</v>
      </c>
      <c r="AF4030">
        <v>-2.1595684680593399</v>
      </c>
      <c r="AG4030">
        <v>-1.10849406673344</v>
      </c>
      <c r="AH4030">
        <v>27.395794492851099</v>
      </c>
      <c r="AI4030">
        <v>92.309891419444895</v>
      </c>
      <c r="AJ4030">
        <v>94.507218013532096</v>
      </c>
      <c r="AK4030">
        <v>27.5031280213496</v>
      </c>
      <c r="AL4030">
        <v>90.701597495616596</v>
      </c>
      <c r="AM4030">
        <v>95.122168149632699</v>
      </c>
      <c r="AN4030">
        <v>0.99999997484822201</v>
      </c>
    </row>
    <row r="4031" spans="1:40" x14ac:dyDescent="0.25">
      <c r="A4031" t="str">
        <f>"20190305135910641"</f>
        <v>20190305135910641</v>
      </c>
      <c r="B4031" t="str">
        <f>"1551765550633128"</f>
        <v>1551765550633128</v>
      </c>
      <c r="C4031" t="s">
        <v>40</v>
      </c>
      <c r="D4031">
        <v>3.9745379999999999</v>
      </c>
      <c r="E4031">
        <v>0.50441629999999904</v>
      </c>
      <c r="F4031" t="s">
        <v>42</v>
      </c>
      <c r="G4031">
        <v>-339.98180000000002</v>
      </c>
      <c r="H4031" s="1">
        <v>-4.2907579999999998E-6</v>
      </c>
      <c r="I4031">
        <v>139.66460000000001</v>
      </c>
      <c r="J4031">
        <v>-312.74250000000001</v>
      </c>
      <c r="K4031">
        <v>1.1085199999999999</v>
      </c>
      <c r="L4031">
        <v>141.3502</v>
      </c>
      <c r="M4031">
        <v>-0.99976240000000005</v>
      </c>
      <c r="N4031">
        <v>-1.414498E-2</v>
      </c>
      <c r="O4031">
        <v>1.658983E-2</v>
      </c>
      <c r="P4031">
        <v>-0.99699450000000001</v>
      </c>
      <c r="Q4031">
        <v>-2.745175E-2</v>
      </c>
      <c r="R4031">
        <v>-7.2446880000000005E-2</v>
      </c>
      <c r="S4031">
        <v>-2.9925839999999999</v>
      </c>
      <c r="T4031">
        <v>-0.1200432</v>
      </c>
      <c r="U4031">
        <v>-0.181778</v>
      </c>
      <c r="V4031">
        <v>-8.9003079999999998E-2</v>
      </c>
      <c r="W4031">
        <v>-1.320523E-2</v>
      </c>
      <c r="X4031">
        <v>0.99594380000000005</v>
      </c>
      <c r="Y4031">
        <v>-7.7094449999999995E-2</v>
      </c>
      <c r="Z4031">
        <v>-2.5205800000000001E-3</v>
      </c>
      <c r="AA4031">
        <v>0.99702060000000003</v>
      </c>
      <c r="AB4031">
        <v>40</v>
      </c>
      <c r="AC4031">
        <v>-27.2393</v>
      </c>
      <c r="AD4031">
        <v>-1.108524290758</v>
      </c>
      <c r="AE4031">
        <v>-1.68559999999999</v>
      </c>
      <c r="AF4031">
        <v>-2.1337881314451002</v>
      </c>
      <c r="AG4031">
        <v>-1.108524290758</v>
      </c>
      <c r="AH4031">
        <v>27.162770045734199</v>
      </c>
      <c r="AI4031">
        <v>92.329798926250405</v>
      </c>
      <c r="AJ4031">
        <v>94.491681040306204</v>
      </c>
      <c r="AK4031">
        <v>27.268992545573301</v>
      </c>
      <c r="AL4031">
        <v>90.756625945322597</v>
      </c>
      <c r="AM4031">
        <v>95.106704122574698</v>
      </c>
      <c r="AN4031">
        <v>0.999999989553639</v>
      </c>
    </row>
    <row r="4032" spans="1:40" x14ac:dyDescent="0.25">
      <c r="A4032" t="str">
        <f>"20190305135910662"</f>
        <v>20190305135910662</v>
      </c>
      <c r="B4032" t="str">
        <f>"1551765550652643"</f>
        <v>1551765550652643</v>
      </c>
      <c r="C4032" t="s">
        <v>40</v>
      </c>
      <c r="D4032">
        <v>3.9739620000000002</v>
      </c>
      <c r="E4032">
        <v>0.50444730000000004</v>
      </c>
      <c r="F4032" t="s">
        <v>42</v>
      </c>
      <c r="G4032">
        <v>-339.8972</v>
      </c>
      <c r="H4032" s="1">
        <v>-5.6626520000000001E-8</v>
      </c>
      <c r="I4032">
        <v>139.72</v>
      </c>
      <c r="J4032">
        <v>-313.12299999999999</v>
      </c>
      <c r="K4032">
        <v>1.108544</v>
      </c>
      <c r="L4032">
        <v>141.357</v>
      </c>
      <c r="M4032">
        <v>-0.99975349999999996</v>
      </c>
      <c r="N4032">
        <v>-1.411454E-2</v>
      </c>
      <c r="O4032">
        <v>1.713746E-2</v>
      </c>
      <c r="P4032">
        <v>-0.99704440000000005</v>
      </c>
      <c r="Q4032">
        <v>-2.7508399999999999E-2</v>
      </c>
      <c r="R4032">
        <v>-7.1734030000000004E-2</v>
      </c>
      <c r="S4032">
        <v>-2.9925839999999999</v>
      </c>
      <c r="T4032">
        <v>-0.1221642</v>
      </c>
      <c r="U4032">
        <v>-0.17965699999999901</v>
      </c>
      <c r="V4032">
        <v>-8.8835339999999999E-2</v>
      </c>
      <c r="W4032">
        <v>-1.3299170000000001E-2</v>
      </c>
      <c r="X4032">
        <v>0.9959576</v>
      </c>
      <c r="Y4032">
        <v>-7.6933609999999999E-2</v>
      </c>
      <c r="Z4032">
        <v>-2.569142E-3</v>
      </c>
      <c r="AA4032">
        <v>0.9970329</v>
      </c>
      <c r="AB4032">
        <v>40</v>
      </c>
      <c r="AC4032">
        <v>-26.7742</v>
      </c>
      <c r="AD4032">
        <v>-1.1085440566265199</v>
      </c>
      <c r="AE4032">
        <v>-1.637</v>
      </c>
      <c r="AF4032">
        <v>-2.0920740756790401</v>
      </c>
      <c r="AG4032">
        <v>-1.1085440566265199</v>
      </c>
      <c r="AH4032">
        <v>26.6966163166807</v>
      </c>
      <c r="AI4032">
        <v>92.370511354144995</v>
      </c>
      <c r="AJ4032">
        <v>94.4808130159862</v>
      </c>
      <c r="AK4032">
        <v>26.801398594544899</v>
      </c>
      <c r="AL4032">
        <v>90.762008727417395</v>
      </c>
      <c r="AM4032">
        <v>95.097060245487597</v>
      </c>
      <c r="AN4032">
        <v>1.0000000632766799</v>
      </c>
    </row>
    <row r="4033" spans="1:40" x14ac:dyDescent="0.25">
      <c r="A4033" t="str">
        <f>"20190305135910684"</f>
        <v>20190305135910684</v>
      </c>
      <c r="B4033" t="str">
        <f>"1551765550673143"</f>
        <v>1551765550673143</v>
      </c>
      <c r="C4033" t="s">
        <v>40</v>
      </c>
      <c r="D4033">
        <v>3.9809320000000001</v>
      </c>
      <c r="E4033">
        <v>0.50447419999999998</v>
      </c>
      <c r="F4033" t="s">
        <v>42</v>
      </c>
      <c r="G4033">
        <v>-340.65649999999999</v>
      </c>
      <c r="H4033" s="1">
        <v>-4.0198330000000003E-6</v>
      </c>
      <c r="I4033">
        <v>139.7261</v>
      </c>
      <c r="J4033">
        <v>-313.5197</v>
      </c>
      <c r="K4033">
        <v>1.1085689999999999</v>
      </c>
      <c r="L4033">
        <v>141.36429999999999</v>
      </c>
      <c r="M4033">
        <v>-0.99974470000000004</v>
      </c>
      <c r="N4033">
        <v>-1.408473E-2</v>
      </c>
      <c r="O4033">
        <v>1.7671180000000002E-2</v>
      </c>
      <c r="P4033">
        <v>-0.99711499999999997</v>
      </c>
      <c r="Q4033">
        <v>-2.7522830000000002E-2</v>
      </c>
      <c r="R4033">
        <v>-7.0740319999999995E-2</v>
      </c>
      <c r="S4033">
        <v>-2.9927980000000001</v>
      </c>
      <c r="T4033">
        <v>-0.120495699999999</v>
      </c>
      <c r="U4033">
        <v>-0.17726140000000001</v>
      </c>
      <c r="V4033">
        <v>-8.8373640000000003E-2</v>
      </c>
      <c r="W4033">
        <v>-1.3350620000000001E-2</v>
      </c>
      <c r="X4033">
        <v>0.99599789999999999</v>
      </c>
      <c r="Y4033">
        <v>-7.6668810000000004E-2</v>
      </c>
      <c r="Z4033">
        <v>-2.544195E-3</v>
      </c>
      <c r="AA4033">
        <v>0.99705339999999998</v>
      </c>
      <c r="AB4033">
        <v>40</v>
      </c>
      <c r="AC4033">
        <v>-27.136799999999901</v>
      </c>
      <c r="AD4033">
        <v>-1.1085730198329999</v>
      </c>
      <c r="AE4033">
        <v>-1.6381999999999799</v>
      </c>
      <c r="AF4033">
        <v>-2.1140158539645699</v>
      </c>
      <c r="AG4033">
        <v>-1.1085730198329999</v>
      </c>
      <c r="AH4033">
        <v>27.0586178305687</v>
      </c>
      <c r="AI4033">
        <v>92.338937309208305</v>
      </c>
      <c r="AJ4033">
        <v>94.467288150433902</v>
      </c>
      <c r="AK4033">
        <v>27.163703651598802</v>
      </c>
      <c r="AL4033">
        <v>90.764956922019493</v>
      </c>
      <c r="AM4033">
        <v>95.0705038819615</v>
      </c>
      <c r="AN4033">
        <v>0.99999997805282104</v>
      </c>
    </row>
    <row r="4034" spans="1:40" x14ac:dyDescent="0.25">
      <c r="A4034" t="str">
        <f>"20190305135910699"</f>
        <v>20190305135910699</v>
      </c>
      <c r="B4034" t="str">
        <f>"1551765550692660"</f>
        <v>1551765550692660</v>
      </c>
      <c r="C4034" t="s">
        <v>40</v>
      </c>
      <c r="D4034">
        <v>3.9839540000000002</v>
      </c>
      <c r="E4034">
        <v>0.50450070000000002</v>
      </c>
      <c r="F4034" t="s">
        <v>42</v>
      </c>
      <c r="G4034">
        <v>-341.4581</v>
      </c>
      <c r="H4034" s="1">
        <v>-3.678951E-6</v>
      </c>
      <c r="I4034">
        <v>139.73740000000001</v>
      </c>
      <c r="J4034">
        <v>-313.76339999999999</v>
      </c>
      <c r="K4034">
        <v>1.108589</v>
      </c>
      <c r="L4034">
        <v>141.3689</v>
      </c>
      <c r="M4034">
        <v>-0.99973939999999994</v>
      </c>
      <c r="N4034">
        <v>-1.4067390000000001E-2</v>
      </c>
      <c r="O4034">
        <v>1.7984610000000002E-2</v>
      </c>
      <c r="P4034">
        <v>-0.99714709999999995</v>
      </c>
      <c r="Q4034">
        <v>-2.7149320000000001E-2</v>
      </c>
      <c r="R4034">
        <v>-7.0434250000000004E-2</v>
      </c>
      <c r="S4034">
        <v>-2.9930729999999999</v>
      </c>
      <c r="T4034">
        <v>-0.1187626</v>
      </c>
      <c r="U4034">
        <v>-0.17428589999999999</v>
      </c>
      <c r="V4034">
        <v>-8.8378799999999993E-2</v>
      </c>
      <c r="W4034">
        <v>-1.2998600000000001E-2</v>
      </c>
      <c r="X4034">
        <v>0.9960021</v>
      </c>
      <c r="Y4034">
        <v>-7.5991149999999993E-2</v>
      </c>
      <c r="Z4034">
        <v>-2.501114E-3</v>
      </c>
      <c r="AA4034">
        <v>0.99710540000000003</v>
      </c>
      <c r="AB4034">
        <v>40</v>
      </c>
      <c r="AC4034">
        <v>-27.694700000000001</v>
      </c>
      <c r="AD4034">
        <v>-1.1085926789509899</v>
      </c>
      <c r="AE4034">
        <v>-1.63149999999998</v>
      </c>
      <c r="AF4034">
        <v>-2.1259689798724799</v>
      </c>
      <c r="AG4034">
        <v>-1.1085926789509899</v>
      </c>
      <c r="AH4034">
        <v>27.616777065886001</v>
      </c>
      <c r="AI4034">
        <v>92.291959152605102</v>
      </c>
      <c r="AJ4034">
        <v>94.402008411746493</v>
      </c>
      <c r="AK4034">
        <v>27.720661920994001</v>
      </c>
      <c r="AL4034">
        <v>90.7447859094341</v>
      </c>
      <c r="AM4034">
        <v>95.070777125991498</v>
      </c>
      <c r="AN4034">
        <v>0.99999997954790398</v>
      </c>
    </row>
    <row r="4035" spans="1:40" x14ac:dyDescent="0.25">
      <c r="A4035" t="str">
        <f>"20190305135910711"</f>
        <v>20190305135910711</v>
      </c>
      <c r="B4035" t="str">
        <f>"1551765550702929"</f>
        <v>1551765550702929</v>
      </c>
      <c r="C4035" t="s">
        <v>40</v>
      </c>
      <c r="D4035">
        <v>3.9872960000000002</v>
      </c>
      <c r="E4035">
        <v>0.50451140000000005</v>
      </c>
      <c r="F4035" t="s">
        <v>42</v>
      </c>
      <c r="G4035">
        <v>-342.41239999999999</v>
      </c>
      <c r="H4035" s="1">
        <v>-3.262452E-6</v>
      </c>
      <c r="I4035">
        <v>139.7105</v>
      </c>
      <c r="J4035">
        <v>-314.00470000000001</v>
      </c>
      <c r="K4035">
        <v>1.1086100000000001</v>
      </c>
      <c r="L4035">
        <v>141.37350000000001</v>
      </c>
      <c r="M4035">
        <v>-0.99973429999999996</v>
      </c>
      <c r="N4035">
        <v>-1.40514E-2</v>
      </c>
      <c r="O4035">
        <v>1.827604E-2</v>
      </c>
      <c r="P4035">
        <v>-0.99718739999999995</v>
      </c>
      <c r="Q4035">
        <v>-2.6989860000000001E-2</v>
      </c>
      <c r="R4035">
        <v>-6.9922310000000001E-2</v>
      </c>
      <c r="S4035">
        <v>-2.9931640000000002</v>
      </c>
      <c r="T4035">
        <v>-0.11582290000000001</v>
      </c>
      <c r="U4035">
        <v>-0.17324829999999999</v>
      </c>
      <c r="V4035">
        <v>-8.8157170000000007E-2</v>
      </c>
      <c r="W4035">
        <v>-1.285934E-2</v>
      </c>
      <c r="X4035">
        <v>0.99602360000000001</v>
      </c>
      <c r="Y4035">
        <v>-7.5939419999999994E-2</v>
      </c>
      <c r="Z4035">
        <v>-2.4516609999999999E-3</v>
      </c>
      <c r="AA4035">
        <v>0.99710940000000003</v>
      </c>
      <c r="AB4035">
        <v>40</v>
      </c>
      <c r="AC4035">
        <v>-28.407699999999899</v>
      </c>
      <c r="AD4035">
        <v>-1.108613262452</v>
      </c>
      <c r="AE4035">
        <v>-1.66300000000001</v>
      </c>
      <c r="AF4035">
        <v>-2.1786470233981099</v>
      </c>
      <c r="AG4035">
        <v>-1.108613262452</v>
      </c>
      <c r="AH4035">
        <v>28.329560947514899</v>
      </c>
      <c r="AI4035">
        <v>92.23440633797</v>
      </c>
      <c r="AJ4035">
        <v>94.397599591517405</v>
      </c>
      <c r="AK4035">
        <v>28.434829869320598</v>
      </c>
      <c r="AL4035">
        <v>90.736806194501398</v>
      </c>
      <c r="AM4035">
        <v>95.058018426561404</v>
      </c>
      <c r="AN4035">
        <v>1.0000000305023</v>
      </c>
    </row>
    <row r="4036" spans="1:40" x14ac:dyDescent="0.25">
      <c r="A4036" t="str">
        <f>"20190305135910724"</f>
        <v>20190305135910724</v>
      </c>
      <c r="B4036" t="str">
        <f>"1551765550712688"</f>
        <v>1551765550712688</v>
      </c>
      <c r="C4036" t="s">
        <v>40</v>
      </c>
      <c r="D4036">
        <v>3.953335</v>
      </c>
      <c r="E4036">
        <v>0.5045113</v>
      </c>
      <c r="F4036" t="s">
        <v>42</v>
      </c>
      <c r="G4036">
        <v>-342.99509999999998</v>
      </c>
      <c r="H4036" s="1">
        <v>-3.012649E-6</v>
      </c>
      <c r="I4036">
        <v>139.71129999999999</v>
      </c>
      <c r="J4036">
        <v>-314.22669999999999</v>
      </c>
      <c r="K4036">
        <v>1.108633</v>
      </c>
      <c r="L4036">
        <v>141.37780000000001</v>
      </c>
      <c r="M4036">
        <v>-0.9997298</v>
      </c>
      <c r="N4036">
        <v>-1.4037259999999999E-2</v>
      </c>
      <c r="O4036">
        <v>1.8536549999999999E-2</v>
      </c>
      <c r="P4036">
        <v>-0.99722189999999999</v>
      </c>
      <c r="Q4036">
        <v>-2.6769190000000002E-2</v>
      </c>
      <c r="R4036">
        <v>-6.9512779999999996E-2</v>
      </c>
      <c r="S4036">
        <v>-2.9932859999999999</v>
      </c>
      <c r="T4036">
        <v>-0.11446539999999999</v>
      </c>
      <c r="U4036">
        <v>-0.17161560000000001</v>
      </c>
      <c r="V4036">
        <v>-8.8006829999999994E-2</v>
      </c>
      <c r="W4036">
        <v>-1.26566E-2</v>
      </c>
      <c r="X4036">
        <v>0.99603949999999997</v>
      </c>
      <c r="Y4036">
        <v>-7.5656810000000005E-2</v>
      </c>
      <c r="Z4036">
        <v>-2.4247610000000001E-3</v>
      </c>
      <c r="AA4036">
        <v>0.99713099999999999</v>
      </c>
      <c r="AB4036">
        <v>40</v>
      </c>
      <c r="AC4036">
        <v>-28.7683999999999</v>
      </c>
      <c r="AD4036">
        <v>-1.108636012649</v>
      </c>
      <c r="AE4036">
        <v>-1.6665000000000101</v>
      </c>
      <c r="AF4036">
        <v>-2.1962822353880398</v>
      </c>
      <c r="AG4036">
        <v>-1.108636012649</v>
      </c>
      <c r="AH4036">
        <v>28.690097668862901</v>
      </c>
      <c r="AI4036">
        <v>92.206459766738007</v>
      </c>
      <c r="AJ4036">
        <v>94.377564468347899</v>
      </c>
      <c r="AK4036">
        <v>28.795389105114001</v>
      </c>
      <c r="AL4036">
        <v>90.725189097149894</v>
      </c>
      <c r="AM4036">
        <v>95.049357110445996</v>
      </c>
      <c r="AN4036">
        <v>1.0000000386052199</v>
      </c>
    </row>
    <row r="4037" spans="1:40" x14ac:dyDescent="0.25">
      <c r="A4037" t="str">
        <f>"20190305135910739"</f>
        <v>20190305135910739</v>
      </c>
      <c r="B4037" t="str">
        <f>"1551765550733185"</f>
        <v>1551765550733185</v>
      </c>
      <c r="C4037" t="s">
        <v>40</v>
      </c>
      <c r="D4037">
        <v>4.0922999999999998</v>
      </c>
      <c r="E4037">
        <v>0.50456420000000002</v>
      </c>
      <c r="F4037" t="s">
        <v>42</v>
      </c>
      <c r="G4037">
        <v>-343.59339999999997</v>
      </c>
      <c r="H4037" s="1">
        <v>-2.7541009999999998E-6</v>
      </c>
      <c r="I4037">
        <v>139.70429999999999</v>
      </c>
      <c r="J4037">
        <v>-314.48480000000001</v>
      </c>
      <c r="K4037">
        <v>1.1086549999999999</v>
      </c>
      <c r="L4037">
        <v>141.3828</v>
      </c>
      <c r="M4037">
        <v>-0.99972439999999996</v>
      </c>
      <c r="N4037">
        <v>-1.402159E-2</v>
      </c>
      <c r="O4037">
        <v>1.8829749999999999E-2</v>
      </c>
      <c r="P4037">
        <v>-0.99724199999999996</v>
      </c>
      <c r="Q4037">
        <v>-2.6623959999999999E-2</v>
      </c>
      <c r="R4037">
        <v>-6.9279279999999999E-2</v>
      </c>
      <c r="S4037">
        <v>-2.9934690000000002</v>
      </c>
      <c r="T4037">
        <v>-0.11300780000000001</v>
      </c>
      <c r="U4037">
        <v>-0.17057800000000001</v>
      </c>
      <c r="V4037">
        <v>-8.8065409999999997E-2</v>
      </c>
      <c r="W4037">
        <v>-1.253142E-2</v>
      </c>
      <c r="X4037">
        <v>0.99603589999999997</v>
      </c>
      <c r="Y4037">
        <v>-7.5603130000000004E-2</v>
      </c>
      <c r="Z4037">
        <v>-2.4024990000000002E-3</v>
      </c>
      <c r="AA4037">
        <v>0.99713510000000005</v>
      </c>
      <c r="AB4037">
        <v>40</v>
      </c>
      <c r="AC4037">
        <v>-29.1085999999999</v>
      </c>
      <c r="AD4037">
        <v>-1.1086577541010001</v>
      </c>
      <c r="AE4037">
        <v>-1.6785000000000101</v>
      </c>
      <c r="AF4037">
        <v>-2.2231496410223599</v>
      </c>
      <c r="AG4037">
        <v>-1.1086577541010001</v>
      </c>
      <c r="AH4037">
        <v>29.029857712667699</v>
      </c>
      <c r="AI4037">
        <v>92.180698672690696</v>
      </c>
      <c r="AJ4037">
        <v>94.379248255106205</v>
      </c>
      <c r="AK4037">
        <v>29.1359598290469</v>
      </c>
      <c r="AL4037">
        <v>90.718016246540799</v>
      </c>
      <c r="AM4037">
        <v>95.052718889933303</v>
      </c>
      <c r="AN4037">
        <v>1.0000000335072401</v>
      </c>
    </row>
    <row r="4038" spans="1:40" x14ac:dyDescent="0.25">
      <c r="A4038" t="str">
        <f>"20190305135910752"</f>
        <v>20190305135910752</v>
      </c>
      <c r="B4038" t="str">
        <f>"1551765550742944"</f>
        <v>1551765550742944</v>
      </c>
      <c r="C4038" t="s">
        <v>40</v>
      </c>
      <c r="D4038">
        <v>3.9755319999999998</v>
      </c>
      <c r="E4038">
        <v>0.50456699999999999</v>
      </c>
      <c r="F4038" t="s">
        <v>42</v>
      </c>
      <c r="G4038">
        <v>-344.33049999999997</v>
      </c>
      <c r="H4038" s="1">
        <v>-2.435007E-6</v>
      </c>
      <c r="I4038">
        <v>139.69329999999999</v>
      </c>
      <c r="J4038">
        <v>-314.75420000000003</v>
      </c>
      <c r="K4038">
        <v>1.1086860000000001</v>
      </c>
      <c r="L4038">
        <v>141.38820000000001</v>
      </c>
      <c r="M4038">
        <v>-0.99971909999999997</v>
      </c>
      <c r="N4038">
        <v>-1.4006619999999999E-2</v>
      </c>
      <c r="O4038">
        <v>1.9117680000000001E-2</v>
      </c>
      <c r="P4038">
        <v>-0.99723949999999995</v>
      </c>
      <c r="Q4038">
        <v>-2.6652160000000001E-2</v>
      </c>
      <c r="R4038">
        <v>-6.9304530000000003E-2</v>
      </c>
      <c r="S4038">
        <v>-2.9935299999999998</v>
      </c>
      <c r="T4038">
        <v>-0.1111989</v>
      </c>
      <c r="U4038">
        <v>-0.16944890000000001</v>
      </c>
      <c r="V4038">
        <v>-8.8376430000000006E-2</v>
      </c>
      <c r="W4038">
        <v>-1.257924E-2</v>
      </c>
      <c r="X4038">
        <v>0.99600770000000005</v>
      </c>
      <c r="Y4038">
        <v>-7.5516550000000002E-2</v>
      </c>
      <c r="Z4038">
        <v>-2.3724589999999999E-3</v>
      </c>
      <c r="AA4038">
        <v>0.99714170000000002</v>
      </c>
      <c r="AB4038">
        <v>40</v>
      </c>
      <c r="AC4038">
        <v>-29.5762999999999</v>
      </c>
      <c r="AD4038">
        <v>-1.1086884350069901</v>
      </c>
      <c r="AE4038">
        <v>-1.6949000000000101</v>
      </c>
      <c r="AF4038">
        <v>-2.2569149192804998</v>
      </c>
      <c r="AG4038">
        <v>-1.1086884350069901</v>
      </c>
      <c r="AH4038">
        <v>29.497174741981201</v>
      </c>
      <c r="AI4038">
        <v>92.146253453327503</v>
      </c>
      <c r="AJ4038">
        <v>94.375342499338998</v>
      </c>
      <c r="AK4038">
        <v>29.604158031563099</v>
      </c>
      <c r="AL4038">
        <v>90.720756381885394</v>
      </c>
      <c r="AM4038">
        <v>95.070613494196195</v>
      </c>
      <c r="AN4038">
        <v>0.99999998455890604</v>
      </c>
    </row>
    <row r="4039" spans="1:40" x14ac:dyDescent="0.25">
      <c r="A4039" t="str">
        <f>"20190305135910767"</f>
        <v>20190305135910767</v>
      </c>
      <c r="B4039" t="str">
        <f>"1551765550763440"</f>
        <v>1551765550763440</v>
      </c>
      <c r="C4039" t="s">
        <v>40</v>
      </c>
      <c r="D4039">
        <v>4.0059959999999997</v>
      </c>
      <c r="E4039">
        <v>0.50456449999999997</v>
      </c>
      <c r="F4039" t="s">
        <v>42</v>
      </c>
      <c r="G4039">
        <v>-344.8039</v>
      </c>
      <c r="H4039" s="1">
        <v>-2.230144E-6</v>
      </c>
      <c r="I4039">
        <v>139.6867</v>
      </c>
      <c r="J4039">
        <v>-314.99290000000002</v>
      </c>
      <c r="K4039">
        <v>1.108708</v>
      </c>
      <c r="L4039">
        <v>141.393</v>
      </c>
      <c r="M4039">
        <v>-0.99971460000000001</v>
      </c>
      <c r="N4039">
        <v>-1.399414E-2</v>
      </c>
      <c r="O4039">
        <v>1.936392E-2</v>
      </c>
      <c r="P4039">
        <v>-0.99725469999999905</v>
      </c>
      <c r="Q4039">
        <v>-2.6378100000000002E-2</v>
      </c>
      <c r="R4039">
        <v>-6.9192569999999995E-2</v>
      </c>
      <c r="S4039">
        <v>-2.9935909999999999</v>
      </c>
      <c r="T4039">
        <v>-0.11044900000000001</v>
      </c>
      <c r="U4039">
        <v>-0.1694946</v>
      </c>
      <c r="V4039">
        <v>-8.8508749999999997E-2</v>
      </c>
      <c r="W4039">
        <v>-1.232168E-2</v>
      </c>
      <c r="X4039">
        <v>0.99599919999999997</v>
      </c>
      <c r="Y4039">
        <v>-7.5776850000000007E-2</v>
      </c>
      <c r="Z4039">
        <v>-2.3702089999999999E-3</v>
      </c>
      <c r="AA4039">
        <v>0.99712199999999995</v>
      </c>
      <c r="AB4039">
        <v>40</v>
      </c>
      <c r="AC4039">
        <v>-29.8109999999999</v>
      </c>
      <c r="AD4039">
        <v>-1.1087102301439999</v>
      </c>
      <c r="AE4039">
        <v>-1.7062999999999899</v>
      </c>
      <c r="AF4039">
        <v>-2.2801507460861901</v>
      </c>
      <c r="AG4039">
        <v>-1.1087102301439999</v>
      </c>
      <c r="AH4039">
        <v>29.7313755375482</v>
      </c>
      <c r="AI4039">
        <v>92.129375402999401</v>
      </c>
      <c r="AJ4039">
        <v>94.385528123080206</v>
      </c>
      <c r="AK4039">
        <v>29.839286471931999</v>
      </c>
      <c r="AL4039">
        <v>90.7059981155857</v>
      </c>
      <c r="AM4039">
        <v>95.078208822714799</v>
      </c>
      <c r="AN4039">
        <v>1.00000001451261</v>
      </c>
    </row>
    <row r="4040" spans="1:40" x14ac:dyDescent="0.25">
      <c r="A4040" t="str">
        <f>"20190305135910781"</f>
        <v>20190305135910781</v>
      </c>
      <c r="B4040" t="str">
        <f>"1551765550773201"</f>
        <v>1551765550773201</v>
      </c>
      <c r="C4040" t="s">
        <v>40</v>
      </c>
      <c r="D4040">
        <v>3.9607619999999999</v>
      </c>
      <c r="E4040">
        <v>0.50457419999999997</v>
      </c>
      <c r="F4040" t="s">
        <v>42</v>
      </c>
      <c r="G4040">
        <v>-345.71960000000001</v>
      </c>
      <c r="H4040" s="1">
        <v>-1.8287149999999999E-6</v>
      </c>
      <c r="I4040">
        <v>139.65430000000001</v>
      </c>
      <c r="J4040">
        <v>-315.2636</v>
      </c>
      <c r="K4040">
        <v>1.108733</v>
      </c>
      <c r="L4040">
        <v>141.39850000000001</v>
      </c>
      <c r="M4040">
        <v>-0.99970950000000003</v>
      </c>
      <c r="N4040">
        <v>-1.398159E-2</v>
      </c>
      <c r="O4040">
        <v>1.9633540000000001E-2</v>
      </c>
      <c r="P4040">
        <v>-0.99723969999999995</v>
      </c>
      <c r="Q4040">
        <v>-2.6220710000000001E-2</v>
      </c>
      <c r="R4040">
        <v>-6.9466199999999895E-2</v>
      </c>
      <c r="S4040">
        <v>-2.993652</v>
      </c>
      <c r="T4040">
        <v>-0.10802009999999999</v>
      </c>
      <c r="U4040">
        <v>-0.16938780000000001</v>
      </c>
      <c r="V4040">
        <v>-8.9050299999999999E-2</v>
      </c>
      <c r="W4040">
        <v>-1.218143E-2</v>
      </c>
      <c r="X4040">
        <v>0.99595270000000002</v>
      </c>
      <c r="Y4040">
        <v>-7.6011910000000002E-2</v>
      </c>
      <c r="Z4040">
        <v>-2.3353860000000001E-3</v>
      </c>
      <c r="AA4040">
        <v>0.9971042</v>
      </c>
      <c r="AB4040">
        <v>40</v>
      </c>
      <c r="AC4040">
        <v>-30.456</v>
      </c>
      <c r="AD4040">
        <v>-1.1087348287150001</v>
      </c>
      <c r="AE4040">
        <v>-1.7442</v>
      </c>
      <c r="AF4040">
        <v>-2.3387918279758502</v>
      </c>
      <c r="AG4040">
        <v>-1.1087348287150001</v>
      </c>
      <c r="AH4040">
        <v>30.375755127003</v>
      </c>
      <c r="AI4040">
        <v>92.084241824676397</v>
      </c>
      <c r="AJ4040">
        <v>94.402821785633705</v>
      </c>
      <c r="AK4040">
        <v>30.485828505564101</v>
      </c>
      <c r="AL4040">
        <v>90.697961746389296</v>
      </c>
      <c r="AM4040">
        <v>95.109353697109697</v>
      </c>
      <c r="AN4040">
        <v>1.0000000619021101</v>
      </c>
    </row>
    <row r="4041" spans="1:40" x14ac:dyDescent="0.25">
      <c r="A4041" t="str">
        <f>"20190305135910797"</f>
        <v>20190305135910797</v>
      </c>
      <c r="B4041" t="str">
        <f>"1551765550792720"</f>
        <v>1551765550792720</v>
      </c>
      <c r="C4041" t="s">
        <v>40</v>
      </c>
      <c r="D4041">
        <v>4.1202389999999998</v>
      </c>
      <c r="E4041">
        <v>0.50454160000000003</v>
      </c>
      <c r="F4041" t="s">
        <v>42</v>
      </c>
      <c r="G4041">
        <v>-346.34289999999999</v>
      </c>
      <c r="H4041" s="1">
        <v>-1.5556490000000001E-6</v>
      </c>
      <c r="I4041">
        <v>139.63299999999899</v>
      </c>
      <c r="J4041">
        <v>-315.53769999999997</v>
      </c>
      <c r="K4041">
        <v>1.108757</v>
      </c>
      <c r="L4041">
        <v>141.4041</v>
      </c>
      <c r="M4041">
        <v>-0.99970460000000005</v>
      </c>
      <c r="N4041">
        <v>-1.3972480000000001E-2</v>
      </c>
      <c r="O4041">
        <v>1.9893770000000002E-2</v>
      </c>
      <c r="P4041">
        <v>-0.9972065</v>
      </c>
      <c r="Q4041">
        <v>-2.5947959999999999E-2</v>
      </c>
      <c r="R4041">
        <v>-7.0044140000000005E-2</v>
      </c>
      <c r="S4041">
        <v>-2.993652</v>
      </c>
      <c r="T4041">
        <v>-0.1067969</v>
      </c>
      <c r="U4041">
        <v>-0.1700439</v>
      </c>
      <c r="V4041">
        <v>-8.9885439999999997E-2</v>
      </c>
      <c r="W4041">
        <v>-1.192261E-2</v>
      </c>
      <c r="X4041">
        <v>0.99588069999999895</v>
      </c>
      <c r="Y4041">
        <v>-7.6490320000000001E-2</v>
      </c>
      <c r="Z4041">
        <v>-2.3292069999999998E-3</v>
      </c>
      <c r="AA4041">
        <v>0.99706760000000005</v>
      </c>
      <c r="AB4041">
        <v>40</v>
      </c>
      <c r="AC4041">
        <v>-30.805199999999999</v>
      </c>
      <c r="AD4041">
        <v>-1.1087585556490001</v>
      </c>
      <c r="AE4041">
        <v>-1.7711000000000101</v>
      </c>
      <c r="AF4041">
        <v>-2.3805669558353402</v>
      </c>
      <c r="AG4041">
        <v>-1.1087585556490001</v>
      </c>
      <c r="AH4041">
        <v>30.724194146442599</v>
      </c>
      <c r="AI4041">
        <v>92.060592363286005</v>
      </c>
      <c r="AJ4041">
        <v>94.4305301778315</v>
      </c>
      <c r="AK4041">
        <v>30.836221404611798</v>
      </c>
      <c r="AL4041">
        <v>90.683131449681994</v>
      </c>
      <c r="AM4041">
        <v>95.157384372115601</v>
      </c>
      <c r="AN4041">
        <v>0.99999995479284598</v>
      </c>
    </row>
    <row r="4042" spans="1:40" x14ac:dyDescent="0.25">
      <c r="A4042" t="str">
        <f>"20190305135910813"</f>
        <v>20190305135910813</v>
      </c>
      <c r="B4042" t="str">
        <f>"1551765550802988"</f>
        <v>1551765550802988</v>
      </c>
      <c r="C4042" t="s">
        <v>40</v>
      </c>
      <c r="D4042">
        <v>4.0955459999999997</v>
      </c>
      <c r="E4042">
        <v>0.50454809999999894</v>
      </c>
      <c r="F4042" t="s">
        <v>42</v>
      </c>
      <c r="G4042">
        <v>-346.57159999999999</v>
      </c>
      <c r="H4042" s="1">
        <v>-1.4541190000000001E-6</v>
      </c>
      <c r="I4042">
        <v>139.62010000000001</v>
      </c>
      <c r="J4042">
        <v>-315.83609999999999</v>
      </c>
      <c r="K4042">
        <v>1.108786</v>
      </c>
      <c r="L4042">
        <v>141.41030000000001</v>
      </c>
      <c r="M4042">
        <v>-0.99969929999999996</v>
      </c>
      <c r="N4042">
        <v>-1.39658E-2</v>
      </c>
      <c r="O4042">
        <v>2.0160620000000001E-2</v>
      </c>
      <c r="P4042">
        <v>-0.99719599999999997</v>
      </c>
      <c r="Q4042">
        <v>-2.577546E-2</v>
      </c>
      <c r="R4042">
        <v>-7.0255170000000006E-2</v>
      </c>
      <c r="S4042">
        <v>-2.9935610000000001</v>
      </c>
      <c r="T4042">
        <v>-0.1069523</v>
      </c>
      <c r="U4042">
        <v>-0.17207339999999999</v>
      </c>
      <c r="V4042">
        <v>-9.0360949999999995E-2</v>
      </c>
      <c r="W4042">
        <v>-1.1762150000000001E-2</v>
      </c>
      <c r="X4042">
        <v>0.99583960000000005</v>
      </c>
      <c r="Y4042">
        <v>-7.7430810000000003E-2</v>
      </c>
      <c r="Z4042">
        <v>-2.361298E-3</v>
      </c>
      <c r="AA4042">
        <v>0.99699490000000002</v>
      </c>
      <c r="AB4042">
        <v>40</v>
      </c>
      <c r="AC4042">
        <v>-30.735499999999998</v>
      </c>
      <c r="AD4042">
        <v>-1.1087874541189999</v>
      </c>
      <c r="AE4042">
        <v>-1.79019999999999</v>
      </c>
      <c r="AF4042">
        <v>-2.40642202808997</v>
      </c>
      <c r="AG4042">
        <v>-1.1087874541189999</v>
      </c>
      <c r="AH4042">
        <v>30.653398922578901</v>
      </c>
      <c r="AI4042">
        <v>92.065237496205995</v>
      </c>
      <c r="AJ4042">
        <v>94.488755908017197</v>
      </c>
      <c r="AK4042">
        <v>30.767696405523299</v>
      </c>
      <c r="AL4042">
        <v>90.673937107293199</v>
      </c>
      <c r="AM4042">
        <v>95.184732364744804</v>
      </c>
      <c r="AN4042">
        <v>0.999999979192842</v>
      </c>
    </row>
    <row r="4043" spans="1:40" x14ac:dyDescent="0.25">
      <c r="A4043" t="str">
        <f>"20190305135910833"</f>
        <v>20190305135910833</v>
      </c>
      <c r="B4043" t="str">
        <f>"1551765550823484"</f>
        <v>1551765550823484</v>
      </c>
      <c r="C4043" t="s">
        <v>40</v>
      </c>
      <c r="D4043">
        <v>4.1076810000000004</v>
      </c>
      <c r="E4043">
        <v>0.5045674</v>
      </c>
      <c r="F4043" t="s">
        <v>42</v>
      </c>
      <c r="G4043">
        <v>-346.8297</v>
      </c>
      <c r="H4043" s="1">
        <v>-1.343949E-6</v>
      </c>
      <c r="I4043">
        <v>139.6223</v>
      </c>
      <c r="J4043">
        <v>-316.1728</v>
      </c>
      <c r="K4043">
        <v>1.108819</v>
      </c>
      <c r="L4043">
        <v>141.41739999999999</v>
      </c>
      <c r="M4043">
        <v>-0.99969370000000002</v>
      </c>
      <c r="N4043">
        <v>-1.395967E-2</v>
      </c>
      <c r="O4043">
        <v>2.0439840000000001E-2</v>
      </c>
      <c r="P4043">
        <v>-0.99715989999999999</v>
      </c>
      <c r="Q4043">
        <v>-2.5535970000000002E-2</v>
      </c>
      <c r="R4043">
        <v>-7.0853029999999997E-2</v>
      </c>
      <c r="S4043">
        <v>-2.9935299999999998</v>
      </c>
      <c r="T4043">
        <v>-0.1070927</v>
      </c>
      <c r="U4043">
        <v>-0.1726837</v>
      </c>
      <c r="V4043">
        <v>-9.1235350000000007E-2</v>
      </c>
      <c r="W4043">
        <v>-1.1535460000000001E-2</v>
      </c>
      <c r="X4043">
        <v>0.99576249999999999</v>
      </c>
      <c r="Y4043">
        <v>-7.7911789999999995E-2</v>
      </c>
      <c r="Z4043">
        <v>-2.3819969999999998E-3</v>
      </c>
      <c r="AA4043">
        <v>0.99695739999999999</v>
      </c>
      <c r="AB4043">
        <v>40</v>
      </c>
      <c r="AC4043">
        <v>-30.6569</v>
      </c>
      <c r="AD4043">
        <v>-1.1088203439489901</v>
      </c>
      <c r="AE4043">
        <v>-1.7950999999999899</v>
      </c>
      <c r="AF4043">
        <v>-2.4182553583099198</v>
      </c>
      <c r="AG4043">
        <v>-1.1088203439489901</v>
      </c>
      <c r="AH4043">
        <v>30.573939521021099</v>
      </c>
      <c r="AI4043">
        <v>92.070565833683901</v>
      </c>
      <c r="AJ4043">
        <v>94.522412534073695</v>
      </c>
      <c r="AK4043">
        <v>30.6894643056572</v>
      </c>
      <c r="AL4043">
        <v>90.660947860640405</v>
      </c>
      <c r="AM4043">
        <v>95.235029365987401</v>
      </c>
      <c r="AN4043">
        <v>0.99999995616664095</v>
      </c>
    </row>
    <row r="4044" spans="1:40" x14ac:dyDescent="0.25">
      <c r="A4044" t="str">
        <f>"20190305135910853"</f>
        <v>20190305135910853</v>
      </c>
      <c r="B4044" t="str">
        <f>"1551765550843005"</f>
        <v>1551765550843005</v>
      </c>
      <c r="C4044" t="s">
        <v>40</v>
      </c>
      <c r="D4044">
        <v>4.0870290000000002</v>
      </c>
      <c r="E4044">
        <v>0.50458590000000003</v>
      </c>
      <c r="F4044" t="s">
        <v>42</v>
      </c>
      <c r="G4044">
        <v>-346.98320000000001</v>
      </c>
      <c r="H4044" s="1">
        <v>-1.2785750000000001E-6</v>
      </c>
      <c r="I4044">
        <v>139.624</v>
      </c>
      <c r="J4044">
        <v>-316.54849999999999</v>
      </c>
      <c r="K4044">
        <v>1.1088579999999999</v>
      </c>
      <c r="L4044">
        <v>141.42529999999999</v>
      </c>
      <c r="M4044">
        <v>-0.99968800000000002</v>
      </c>
      <c r="N4044">
        <v>-1.3953760000000001E-2</v>
      </c>
      <c r="O4044">
        <v>2.0717090000000001E-2</v>
      </c>
      <c r="P4044">
        <v>-0.99710650000000001</v>
      </c>
      <c r="Q4044">
        <v>-2.5222720000000001E-2</v>
      </c>
      <c r="R4044">
        <v>-7.1713109999999997E-2</v>
      </c>
      <c r="S4044">
        <v>-2.9934080000000001</v>
      </c>
      <c r="T4044">
        <v>-0.1077285</v>
      </c>
      <c r="U4044">
        <v>-0.17422489999999999</v>
      </c>
      <c r="V4044">
        <v>-9.2368530000000004E-2</v>
      </c>
      <c r="W4044">
        <v>-1.1236690000000001E-2</v>
      </c>
      <c r="X4044">
        <v>0.99566149999999998</v>
      </c>
      <c r="Y4044">
        <v>-7.8700580000000006E-2</v>
      </c>
      <c r="Z4044">
        <v>-2.4203419999999998E-3</v>
      </c>
      <c r="AA4044">
        <v>0.99689539999999999</v>
      </c>
      <c r="AB4044">
        <v>40</v>
      </c>
      <c r="AC4044">
        <v>-30.434699999999999</v>
      </c>
      <c r="AD4044">
        <v>-1.108859278575</v>
      </c>
      <c r="AE4044">
        <v>-1.8012999999999899</v>
      </c>
      <c r="AF4044">
        <v>-2.42828099195023</v>
      </c>
      <c r="AG4044">
        <v>-1.108859278575</v>
      </c>
      <c r="AH4044">
        <v>30.3506973602973</v>
      </c>
      <c r="AI4044">
        <v>92.085705231018295</v>
      </c>
      <c r="AJ4044">
        <v>94.574343692562195</v>
      </c>
      <c r="AK4044">
        <v>30.467867462819001</v>
      </c>
      <c r="AL4044">
        <v>90.643828451804097</v>
      </c>
      <c r="AM4044">
        <v>95.300217107588395</v>
      </c>
      <c r="AN4044">
        <v>1.00000001555938</v>
      </c>
    </row>
    <row r="4045" spans="1:40" x14ac:dyDescent="0.25">
      <c r="A4045" t="str">
        <f>"20190305135910867"</f>
        <v>20190305135910867</v>
      </c>
      <c r="B4045" t="str">
        <f>"1551765550863500"</f>
        <v>1551765550863500</v>
      </c>
      <c r="C4045" t="s">
        <v>40</v>
      </c>
      <c r="D4045">
        <v>4.1084930000000002</v>
      </c>
      <c r="E4045">
        <v>0.50465870000000002</v>
      </c>
      <c r="F4045" t="s">
        <v>42</v>
      </c>
      <c r="G4045">
        <v>-347.25400000000002</v>
      </c>
      <c r="H4045" s="1">
        <v>-1.1607669999999999E-6</v>
      </c>
      <c r="I4045">
        <v>139.6139</v>
      </c>
      <c r="J4045">
        <v>-316.79820000000001</v>
      </c>
      <c r="K4045">
        <v>1.1088819999999999</v>
      </c>
      <c r="L4045">
        <v>141.4307</v>
      </c>
      <c r="M4045">
        <v>-0.99968489999999999</v>
      </c>
      <c r="N4045">
        <v>-1.395031E-2</v>
      </c>
      <c r="O4045">
        <v>2.08746E-2</v>
      </c>
      <c r="P4045">
        <v>-0.99712100000000004</v>
      </c>
      <c r="Q4045">
        <v>-2.512559E-2</v>
      </c>
      <c r="R4045">
        <v>-7.1543190000000007E-2</v>
      </c>
      <c r="S4045">
        <v>-2.9932560000000001</v>
      </c>
      <c r="T4045">
        <v>-0.1080948</v>
      </c>
      <c r="U4045">
        <v>-0.1765747</v>
      </c>
      <c r="V4045">
        <v>-9.2354359999999996E-2</v>
      </c>
      <c r="W4045">
        <v>-1.11495E-2</v>
      </c>
      <c r="X4045">
        <v>0.99566379999999999</v>
      </c>
      <c r="Y4045">
        <v>-7.9639139999999997E-2</v>
      </c>
      <c r="Z4045">
        <v>-2.454669E-3</v>
      </c>
      <c r="AA4045">
        <v>0.9968207</v>
      </c>
      <c r="AB4045">
        <v>40</v>
      </c>
      <c r="AC4045">
        <v>-30.4558</v>
      </c>
      <c r="AD4045">
        <v>-1.108883160767</v>
      </c>
      <c r="AE4045">
        <v>-1.8168</v>
      </c>
      <c r="AF4045">
        <v>-2.4489834740971101</v>
      </c>
      <c r="AG4045">
        <v>-1.108883160767</v>
      </c>
      <c r="AH4045">
        <v>30.371114835669399</v>
      </c>
      <c r="AI4045">
        <v>92.084244823229199</v>
      </c>
      <c r="AJ4045">
        <v>94.610087055330695</v>
      </c>
      <c r="AK4045">
        <v>30.4898632053679</v>
      </c>
      <c r="AL4045">
        <v>90.638832516486801</v>
      </c>
      <c r="AM4045">
        <v>95.299396473602201</v>
      </c>
      <c r="AN4045">
        <v>1.0000000208958399</v>
      </c>
    </row>
    <row r="4046" spans="1:40" x14ac:dyDescent="0.25">
      <c r="A4046" t="str">
        <f>"20190305135910882"</f>
        <v>20190305135910882</v>
      </c>
      <c r="B4046" t="str">
        <f>"1551765550873260"</f>
        <v>1551765550873260</v>
      </c>
      <c r="C4046" t="s">
        <v>40</v>
      </c>
      <c r="D4046">
        <v>3.9996679999999998</v>
      </c>
      <c r="E4046">
        <v>0.50471690000000002</v>
      </c>
      <c r="F4046" t="s">
        <v>42</v>
      </c>
      <c r="G4046">
        <v>-347.51589999999999</v>
      </c>
      <c r="H4046" s="1">
        <v>-1.051578E-6</v>
      </c>
      <c r="I4046">
        <v>139.62989999999999</v>
      </c>
      <c r="J4046">
        <v>-317.06139999999999</v>
      </c>
      <c r="K4046">
        <v>1.1089169999999999</v>
      </c>
      <c r="L4046">
        <v>141.43629999999999</v>
      </c>
      <c r="M4046">
        <v>-0.99968179999999995</v>
      </c>
      <c r="N4046">
        <v>-1.3947029999999999E-2</v>
      </c>
      <c r="O4046">
        <v>2.1019690000000001E-2</v>
      </c>
      <c r="P4046">
        <v>-0.99709499999999995</v>
      </c>
      <c r="Q4046">
        <v>-2.5617689999999999E-2</v>
      </c>
      <c r="R4046">
        <v>-7.1731039999999996E-2</v>
      </c>
      <c r="S4046">
        <v>-2.993347</v>
      </c>
      <c r="T4046">
        <v>-0.1080576</v>
      </c>
      <c r="U4046">
        <v>-0.1754761</v>
      </c>
      <c r="V4046">
        <v>-9.2686169999999998E-2</v>
      </c>
      <c r="W4046">
        <v>-1.165274E-2</v>
      </c>
      <c r="X4046">
        <v>0.99562720000000005</v>
      </c>
      <c r="Y4046">
        <v>-7.9417650000000006E-2</v>
      </c>
      <c r="Z4046">
        <v>-2.4514720000000001E-3</v>
      </c>
      <c r="AA4046">
        <v>0.99683840000000001</v>
      </c>
      <c r="AB4046">
        <v>40</v>
      </c>
      <c r="AC4046">
        <v>-30.454499999999999</v>
      </c>
      <c r="AD4046">
        <v>-1.1089180515779999</v>
      </c>
      <c r="AE4046">
        <v>-1.80639999999999</v>
      </c>
      <c r="AF4046">
        <v>-2.4429795424715599</v>
      </c>
      <c r="AG4046">
        <v>-1.1089180515779999</v>
      </c>
      <c r="AH4046">
        <v>30.3696718645853</v>
      </c>
      <c r="AI4046">
        <v>92.084441598256703</v>
      </c>
      <c r="AJ4046">
        <v>94.599051067135406</v>
      </c>
      <c r="AK4046">
        <v>30.4879454449236</v>
      </c>
      <c r="AL4046">
        <v>90.667667921079499</v>
      </c>
      <c r="AM4046">
        <v>95.318521505620097</v>
      </c>
      <c r="AN4046">
        <v>1.0000000169193</v>
      </c>
    </row>
    <row r="4047" spans="1:40" x14ac:dyDescent="0.25">
      <c r="A4047" t="str">
        <f>"20190305135910898"</f>
        <v>20190305135910898</v>
      </c>
      <c r="B4047" t="str">
        <f>"1551765550892780"</f>
        <v>1551765550892780</v>
      </c>
      <c r="C4047" t="s">
        <v>40</v>
      </c>
      <c r="D4047">
        <v>4.1173669999999998</v>
      </c>
      <c r="E4047">
        <v>0.50477519999999998</v>
      </c>
      <c r="F4047" t="s">
        <v>42</v>
      </c>
      <c r="G4047">
        <v>-347.47739999999999</v>
      </c>
      <c r="H4047" s="1">
        <v>-1.0740649999999999E-6</v>
      </c>
      <c r="I4047">
        <v>139.65219999999999</v>
      </c>
      <c r="J4047">
        <v>-317.34399999999999</v>
      </c>
      <c r="K4047">
        <v>1.1089549999999999</v>
      </c>
      <c r="L4047">
        <v>141.44239999999999</v>
      </c>
      <c r="M4047">
        <v>-0.99967930000000005</v>
      </c>
      <c r="N4047">
        <v>-1.394404E-2</v>
      </c>
      <c r="O4047">
        <v>2.1144159999999999E-2</v>
      </c>
      <c r="P4047">
        <v>-0.99710580000000004</v>
      </c>
      <c r="Q4047">
        <v>-2.5724159999999999E-2</v>
      </c>
      <c r="R4047">
        <v>-7.1544709999999997E-2</v>
      </c>
      <c r="S4047">
        <v>-2.9933169999999998</v>
      </c>
      <c r="T4047">
        <v>-0.1091318</v>
      </c>
      <c r="U4047">
        <v>-0.17556759999999999</v>
      </c>
      <c r="V4047">
        <v>-9.2622899999999994E-2</v>
      </c>
      <c r="W4047">
        <v>-1.177138E-2</v>
      </c>
      <c r="X4047">
        <v>0.99563170000000001</v>
      </c>
      <c r="Y4047">
        <v>-7.9571169999999997E-2</v>
      </c>
      <c r="Z4047">
        <v>-2.4798630000000001E-3</v>
      </c>
      <c r="AA4047">
        <v>0.99682610000000005</v>
      </c>
      <c r="AB4047">
        <v>40</v>
      </c>
      <c r="AC4047">
        <v>-30.133399999999899</v>
      </c>
      <c r="AD4047">
        <v>-1.108956074065</v>
      </c>
      <c r="AE4047">
        <v>-1.79019999999999</v>
      </c>
      <c r="AF4047">
        <v>-2.4237359607577602</v>
      </c>
      <c r="AG4047">
        <v>-1.108956074065</v>
      </c>
      <c r="AH4047">
        <v>30.0482531707821</v>
      </c>
      <c r="AI4047">
        <v>92.106753469638903</v>
      </c>
      <c r="AJ4047">
        <v>94.611577110768707</v>
      </c>
      <c r="AK4047">
        <v>30.166236062808601</v>
      </c>
      <c r="AL4047">
        <v>90.674465953391802</v>
      </c>
      <c r="AM4047">
        <v>95.3148878578356</v>
      </c>
      <c r="AN4047">
        <v>1.0000000245181999</v>
      </c>
    </row>
    <row r="4048" spans="1:40" x14ac:dyDescent="0.25">
      <c r="A4048" t="str">
        <f>"20190305135910912"</f>
        <v>20190305135910912</v>
      </c>
      <c r="B4048" t="str">
        <f>"1551765550903048"</f>
        <v>1551765550903048</v>
      </c>
      <c r="C4048" t="s">
        <v>40</v>
      </c>
      <c r="D4048">
        <v>4.0908490000000004</v>
      </c>
      <c r="E4048">
        <v>0.50477190000000005</v>
      </c>
      <c r="F4048" t="s">
        <v>42</v>
      </c>
      <c r="G4048">
        <v>-347.58390000000003</v>
      </c>
      <c r="H4048" s="1">
        <v>-1.0355869999999999E-6</v>
      </c>
      <c r="I4048">
        <v>139.67930000000001</v>
      </c>
      <c r="J4048">
        <v>-317.60660000000001</v>
      </c>
      <c r="K4048">
        <v>1.108994</v>
      </c>
      <c r="L4048">
        <v>141.44799999999901</v>
      </c>
      <c r="M4048">
        <v>-0.99967760000000006</v>
      </c>
      <c r="N4048">
        <v>-1.3941439999999999E-2</v>
      </c>
      <c r="O4048">
        <v>2.12258E-2</v>
      </c>
      <c r="P4048">
        <v>-0.99710569999999998</v>
      </c>
      <c r="Q4048">
        <v>-2.5924860000000001E-2</v>
      </c>
      <c r="R4048">
        <v>-7.1474090000000004E-2</v>
      </c>
      <c r="S4048">
        <v>-2.9933779999999999</v>
      </c>
      <c r="T4048">
        <v>-0.10977339999999999</v>
      </c>
      <c r="U4048">
        <v>-0.1745148</v>
      </c>
      <c r="V4048">
        <v>-9.263217E-2</v>
      </c>
      <c r="W4048">
        <v>-1.198361E-2</v>
      </c>
      <c r="X4048">
        <v>0.99562830000000002</v>
      </c>
      <c r="Y4048">
        <v>-7.9301350000000007E-2</v>
      </c>
      <c r="Z4048">
        <v>-2.4878499999999998E-3</v>
      </c>
      <c r="AA4048">
        <v>0.99684759999999994</v>
      </c>
      <c r="AB4048">
        <v>40</v>
      </c>
      <c r="AC4048">
        <v>-29.9773</v>
      </c>
      <c r="AD4048">
        <v>-1.108995035587</v>
      </c>
      <c r="AE4048">
        <v>-1.76869999999996</v>
      </c>
      <c r="AF4048">
        <v>-2.40138029246486</v>
      </c>
      <c r="AG4048">
        <v>-1.108995035587</v>
      </c>
      <c r="AH4048">
        <v>29.8922309407215</v>
      </c>
      <c r="AI4048">
        <v>92.117869315209106</v>
      </c>
      <c r="AJ4048">
        <v>94.592969770399407</v>
      </c>
      <c r="AK4048">
        <v>30.0090314390755</v>
      </c>
      <c r="AL4048">
        <v>90.686626698150803</v>
      </c>
      <c r="AM4048">
        <v>95.315434790173498</v>
      </c>
      <c r="AN4048">
        <v>1.00000001879421</v>
      </c>
    </row>
    <row r="4049" spans="1:40" x14ac:dyDescent="0.25">
      <c r="A4049" t="str">
        <f>"20190305135910926"</f>
        <v>20190305135910926</v>
      </c>
      <c r="B4049" t="str">
        <f>"1551765550923544"</f>
        <v>1551765550923544</v>
      </c>
      <c r="C4049" t="s">
        <v>40</v>
      </c>
      <c r="D4049">
        <v>4.0963880000000001</v>
      </c>
      <c r="E4049">
        <v>0.50475779999999904</v>
      </c>
      <c r="F4049" t="s">
        <v>42</v>
      </c>
      <c r="G4049">
        <v>-347.5197</v>
      </c>
      <c r="H4049" s="1">
        <v>-1.070318E-6</v>
      </c>
      <c r="I4049">
        <v>139.7064</v>
      </c>
      <c r="J4049">
        <v>-317.84820000000002</v>
      </c>
      <c r="K4049">
        <v>1.1090260000000001</v>
      </c>
      <c r="L4049">
        <v>141.45320000000001</v>
      </c>
      <c r="M4049">
        <v>-0.99967649999999997</v>
      </c>
      <c r="N4049">
        <v>-1.393926E-2</v>
      </c>
      <c r="O4049">
        <v>2.1279570000000001E-2</v>
      </c>
      <c r="P4049">
        <v>-0.99711099999999997</v>
      </c>
      <c r="Q4049">
        <v>-2.6224649999999999E-2</v>
      </c>
      <c r="R4049">
        <v>-7.1292530000000007E-2</v>
      </c>
      <c r="S4049">
        <v>-2.9932859999999999</v>
      </c>
      <c r="T4049">
        <v>-0.1109729</v>
      </c>
      <c r="U4049">
        <v>-0.1742706</v>
      </c>
      <c r="V4049">
        <v>-9.2503630000000003E-2</v>
      </c>
      <c r="W4049">
        <v>-1.22939E-2</v>
      </c>
      <c r="X4049">
        <v>0.99563650000000004</v>
      </c>
      <c r="Y4049">
        <v>-7.9274140000000007E-2</v>
      </c>
      <c r="Z4049">
        <v>-2.5127869999999998E-3</v>
      </c>
      <c r="AA4049">
        <v>0.99684969999999995</v>
      </c>
      <c r="AB4049">
        <v>40</v>
      </c>
      <c r="AC4049">
        <v>-29.671499999999899</v>
      </c>
      <c r="AD4049">
        <v>-1.1090270703180001</v>
      </c>
      <c r="AE4049">
        <v>-1.7467999999999999</v>
      </c>
      <c r="AF4049">
        <v>-2.3745565589724098</v>
      </c>
      <c r="AG4049">
        <v>-1.1090270703180001</v>
      </c>
      <c r="AH4049">
        <v>29.586414940276299</v>
      </c>
      <c r="AI4049">
        <v>92.139814899920694</v>
      </c>
      <c r="AJ4049">
        <v>94.588628638112198</v>
      </c>
      <c r="AK4049">
        <v>29.7022626901161</v>
      </c>
      <c r="AL4049">
        <v>90.7044062926973</v>
      </c>
      <c r="AM4049">
        <v>95.308057579711601</v>
      </c>
      <c r="AN4049">
        <v>1.0000000508363101</v>
      </c>
    </row>
    <row r="4050" spans="1:40" x14ac:dyDescent="0.25">
      <c r="A4050" t="str">
        <f>"20190305135910943"</f>
        <v>20190305135910943</v>
      </c>
      <c r="B4050" t="str">
        <f>"1551765550933307"</f>
        <v>1551765550933307</v>
      </c>
      <c r="C4050" t="s">
        <v>40</v>
      </c>
      <c r="D4050">
        <v>4.0231130000000004</v>
      </c>
      <c r="E4050">
        <v>0.50480709999999995</v>
      </c>
      <c r="F4050" t="s">
        <v>42</v>
      </c>
      <c r="G4050">
        <v>-347.21539999999999</v>
      </c>
      <c r="H4050" s="1">
        <v>-1.212178E-6</v>
      </c>
      <c r="I4050">
        <v>139.74889999999999</v>
      </c>
      <c r="J4050">
        <v>-318.15679999999998</v>
      </c>
      <c r="K4050">
        <v>1.1090770000000001</v>
      </c>
      <c r="L4050">
        <v>141.4599</v>
      </c>
      <c r="M4050">
        <v>-0.9996758</v>
      </c>
      <c r="N4050">
        <v>-1.393672E-2</v>
      </c>
      <c r="O4050">
        <v>2.1313780000000001E-2</v>
      </c>
      <c r="P4050">
        <v>-0.99713839999999998</v>
      </c>
      <c r="Q4050">
        <v>-2.6098610000000001E-2</v>
      </c>
      <c r="R4050">
        <v>-7.0951689999999998E-2</v>
      </c>
      <c r="S4050">
        <v>-2.9932859999999999</v>
      </c>
      <c r="T4050">
        <v>-0.1130393</v>
      </c>
      <c r="U4050">
        <v>-0.1737061</v>
      </c>
      <c r="V4050">
        <v>-9.2196109999999998E-2</v>
      </c>
      <c r="W4050">
        <v>-1.218106E-2</v>
      </c>
      <c r="X4050">
        <v>0.99566639999999995</v>
      </c>
      <c r="Y4050">
        <v>-7.9118240000000006E-2</v>
      </c>
      <c r="Z4050">
        <v>-2.5515199999999998E-3</v>
      </c>
      <c r="AA4050">
        <v>0.99686200000000003</v>
      </c>
      <c r="AB4050">
        <v>40</v>
      </c>
      <c r="AC4050">
        <v>-29.058599999999998</v>
      </c>
      <c r="AD4050">
        <v>-1.1090782121780001</v>
      </c>
      <c r="AE4050">
        <v>-1.7110000000000101</v>
      </c>
      <c r="AF4050">
        <v>-2.3266423968170198</v>
      </c>
      <c r="AG4050">
        <v>-1.1090782121780001</v>
      </c>
      <c r="AH4050">
        <v>28.9734659258195</v>
      </c>
      <c r="AI4050">
        <v>92.185133362300505</v>
      </c>
      <c r="AJ4050">
        <v>94.591143875150905</v>
      </c>
      <c r="AK4050">
        <v>29.0878848849142</v>
      </c>
      <c r="AL4050">
        <v>90.697940560313498</v>
      </c>
      <c r="AM4050">
        <v>95.290353742715993</v>
      </c>
      <c r="AN4050">
        <v>1.0000000405053999</v>
      </c>
    </row>
    <row r="4051" spans="1:40" x14ac:dyDescent="0.25">
      <c r="A4051" t="str">
        <f>"20190305135910955"</f>
        <v>20190305135910955</v>
      </c>
      <c r="B4051" t="str">
        <f>"1551765550943064"</f>
        <v>1551765550943064</v>
      </c>
      <c r="C4051" t="s">
        <v>40</v>
      </c>
      <c r="D4051">
        <v>4.033588</v>
      </c>
      <c r="E4051">
        <v>0.50484620000000002</v>
      </c>
      <c r="F4051" t="s">
        <v>42</v>
      </c>
      <c r="G4051">
        <v>-347.73439999999999</v>
      </c>
      <c r="H4051" s="1">
        <v>-9.9182350000000009E-7</v>
      </c>
      <c r="I4051">
        <v>139.7576</v>
      </c>
      <c r="J4051">
        <v>-318.3843</v>
      </c>
      <c r="K4051">
        <v>1.1091200000000001</v>
      </c>
      <c r="L4051">
        <v>141.46469999999999</v>
      </c>
      <c r="M4051">
        <v>-0.9996758</v>
      </c>
      <c r="N4051">
        <v>-1.393492E-2</v>
      </c>
      <c r="O4051">
        <v>2.1312870000000001E-2</v>
      </c>
      <c r="P4051">
        <v>-0.99718709999999999</v>
      </c>
      <c r="Q4051">
        <v>-2.5685220000000002E-2</v>
      </c>
      <c r="R4051">
        <v>-7.0415340000000007E-2</v>
      </c>
      <c r="S4051">
        <v>-2.9933779999999999</v>
      </c>
      <c r="T4051">
        <v>-0.11224339999999999</v>
      </c>
      <c r="U4051">
        <v>-0.1722717</v>
      </c>
      <c r="V4051">
        <v>-9.1658619999999996E-2</v>
      </c>
      <c r="W4051">
        <v>-1.1777279999999999E-2</v>
      </c>
      <c r="X4051">
        <v>0.99572090000000002</v>
      </c>
      <c r="Y4051">
        <v>-7.8641020000000006E-2</v>
      </c>
      <c r="Z4051">
        <v>-2.5229889999999998E-3</v>
      </c>
      <c r="AA4051">
        <v>0.9968998</v>
      </c>
      <c r="AB4051">
        <v>40</v>
      </c>
      <c r="AC4051">
        <v>-29.350100000000001</v>
      </c>
      <c r="AD4051">
        <v>-1.1091209918234901</v>
      </c>
      <c r="AE4051">
        <v>-1.7070999999999901</v>
      </c>
      <c r="AF4051">
        <v>-2.3289930657932101</v>
      </c>
      <c r="AG4051">
        <v>-1.1091209918234901</v>
      </c>
      <c r="AH4051">
        <v>29.265394159993399</v>
      </c>
      <c r="AI4051">
        <v>92.163564137039998</v>
      </c>
      <c r="AJ4051">
        <v>94.550112374747101</v>
      </c>
      <c r="AK4051">
        <v>29.378864059299399</v>
      </c>
      <c r="AL4051">
        <v>90.674803998768994</v>
      </c>
      <c r="AM4051">
        <v>95.259398956198297</v>
      </c>
      <c r="AN4051">
        <v>1.0000000588206499</v>
      </c>
    </row>
    <row r="4052" spans="1:40" x14ac:dyDescent="0.25">
      <c r="A4052" t="str">
        <f>"20190305135910971"</f>
        <v>20190305135910971</v>
      </c>
      <c r="B4052" t="str">
        <f>"1551765550963560"</f>
        <v>1551765550963560</v>
      </c>
      <c r="C4052" t="s">
        <v>40</v>
      </c>
      <c r="D4052">
        <v>4.0516620000000003</v>
      </c>
      <c r="E4052">
        <v>0.504915</v>
      </c>
      <c r="F4052" t="s">
        <v>42</v>
      </c>
      <c r="G4052">
        <v>-348.36149999999998</v>
      </c>
      <c r="H4052" s="1">
        <v>-7.2261189999999899E-7</v>
      </c>
      <c r="I4052">
        <v>139.7568</v>
      </c>
      <c r="J4052">
        <v>-318.64589999999998</v>
      </c>
      <c r="K4052">
        <v>1.109167</v>
      </c>
      <c r="L4052">
        <v>141.47030000000001</v>
      </c>
      <c r="M4052">
        <v>-0.99967680000000003</v>
      </c>
      <c r="N4052">
        <v>-1.393023E-2</v>
      </c>
      <c r="O4052">
        <v>2.1271080000000001E-2</v>
      </c>
      <c r="P4052">
        <v>-0.99721300000000002</v>
      </c>
      <c r="Q4052">
        <v>-2.5566470000000001E-2</v>
      </c>
      <c r="R4052">
        <v>-7.0090449999999999E-2</v>
      </c>
      <c r="S4052">
        <v>-2.9935909999999999</v>
      </c>
      <c r="T4052">
        <v>-0.1107595</v>
      </c>
      <c r="U4052">
        <v>-0.17054749999999999</v>
      </c>
      <c r="V4052">
        <v>-9.1291230000000001E-2</v>
      </c>
      <c r="W4052">
        <v>-1.1673080000000001E-2</v>
      </c>
      <c r="X4052">
        <v>0.99575579999999997</v>
      </c>
      <c r="Y4052">
        <v>-7.8025490000000003E-2</v>
      </c>
      <c r="Z4052">
        <v>-2.476125E-3</v>
      </c>
      <c r="AA4052">
        <v>0.99694830000000001</v>
      </c>
      <c r="AB4052">
        <v>40</v>
      </c>
      <c r="AC4052">
        <v>-29.715599999999899</v>
      </c>
      <c r="AD4052">
        <v>-1.1091677226118899</v>
      </c>
      <c r="AE4052">
        <v>-1.71350000000001</v>
      </c>
      <c r="AF4052">
        <v>-2.3420042543724802</v>
      </c>
      <c r="AG4052">
        <v>-1.1091677226118899</v>
      </c>
      <c r="AH4052">
        <v>29.631277245544901</v>
      </c>
      <c r="AI4052">
        <v>92.137055070095897</v>
      </c>
      <c r="AJ4052">
        <v>94.519163213323907</v>
      </c>
      <c r="AK4052">
        <v>29.744374731480399</v>
      </c>
      <c r="AL4052">
        <v>90.668833420273003</v>
      </c>
      <c r="AM4052">
        <v>95.238252944878894</v>
      </c>
      <c r="AN4052">
        <v>0.99999998135261903</v>
      </c>
    </row>
    <row r="4053" spans="1:40" x14ac:dyDescent="0.25">
      <c r="A4053" t="str">
        <f>"20190305135910987"</f>
        <v>20190305135910987</v>
      </c>
      <c r="B4053" t="str">
        <f>"1551765550983080"</f>
        <v>1551765550983080</v>
      </c>
      <c r="C4053" t="s">
        <v>40</v>
      </c>
      <c r="D4053">
        <v>4.0443949999999997</v>
      </c>
      <c r="E4053">
        <v>0.50499570000000005</v>
      </c>
      <c r="F4053" t="s">
        <v>42</v>
      </c>
      <c r="G4053">
        <v>-348.86779999999999</v>
      </c>
      <c r="H4053" s="1">
        <v>-5.0740439999999998E-7</v>
      </c>
      <c r="I4053">
        <v>139.76419999999999</v>
      </c>
      <c r="J4053">
        <v>-318.94349999999997</v>
      </c>
      <c r="K4053">
        <v>1.1092249999999999</v>
      </c>
      <c r="L4053">
        <v>141.47659999999999</v>
      </c>
      <c r="M4053">
        <v>-0.99967879999999998</v>
      </c>
      <c r="N4053">
        <v>-1.392116E-2</v>
      </c>
      <c r="O4053">
        <v>2.1178619999999999E-2</v>
      </c>
      <c r="P4053">
        <v>-0.99725920000000001</v>
      </c>
      <c r="Q4053">
        <v>-2.5546989999999999E-2</v>
      </c>
      <c r="R4053">
        <v>-6.94385E-2</v>
      </c>
      <c r="S4053">
        <v>-2.9936829999999999</v>
      </c>
      <c r="T4053">
        <v>-0.10987089999999899</v>
      </c>
      <c r="U4053">
        <v>-0.16899110000000001</v>
      </c>
      <c r="V4053">
        <v>-9.0547169999999996E-2</v>
      </c>
      <c r="W4053">
        <v>-1.167467E-2</v>
      </c>
      <c r="X4053">
        <v>0.99582369999999998</v>
      </c>
      <c r="Y4053">
        <v>-7.7416670000000007E-2</v>
      </c>
      <c r="Z4053">
        <v>-2.4405410000000001E-3</v>
      </c>
      <c r="AA4053">
        <v>0.99699590000000005</v>
      </c>
      <c r="AB4053">
        <v>40</v>
      </c>
      <c r="AC4053">
        <v>-29.924299999999999</v>
      </c>
      <c r="AD4053">
        <v>-1.1092255074044</v>
      </c>
      <c r="AE4053">
        <v>-1.7123999999999999</v>
      </c>
      <c r="AF4053">
        <v>-2.3426243376115798</v>
      </c>
      <c r="AG4053">
        <v>-1.1092255074044</v>
      </c>
      <c r="AH4053">
        <v>29.8404497105997</v>
      </c>
      <c r="AI4053">
        <v>92.122287677883193</v>
      </c>
      <c r="AJ4053">
        <v>94.488798417515397</v>
      </c>
      <c r="AK4053">
        <v>29.952808031039101</v>
      </c>
      <c r="AL4053">
        <v>90.668924537913398</v>
      </c>
      <c r="AM4053">
        <v>95.195441385263905</v>
      </c>
      <c r="AN4053">
        <v>0.999999964698153</v>
      </c>
    </row>
    <row r="4054" spans="1:40" x14ac:dyDescent="0.25">
      <c r="A4054" t="str">
        <f>"20190305135911011"</f>
        <v>20190305135911011</v>
      </c>
      <c r="B4054" t="str">
        <f>"1551765551003576"</f>
        <v>1551765551003576</v>
      </c>
      <c r="C4054" t="s">
        <v>40</v>
      </c>
      <c r="D4054">
        <v>4.0381260000000001</v>
      </c>
      <c r="E4054">
        <v>0.50507120000000005</v>
      </c>
      <c r="F4054" t="s">
        <v>42</v>
      </c>
      <c r="G4054">
        <v>-349.39060000000001</v>
      </c>
      <c r="H4054" s="1">
        <v>-2.8832519999999999E-7</v>
      </c>
      <c r="I4054">
        <v>139.78380000000001</v>
      </c>
      <c r="J4054">
        <v>-319.36759999999998</v>
      </c>
      <c r="K4054">
        <v>1.1093109999999999</v>
      </c>
      <c r="L4054">
        <v>141.4854</v>
      </c>
      <c r="M4054">
        <v>-0.99968400000000002</v>
      </c>
      <c r="N4054">
        <v>-1.389994E-2</v>
      </c>
      <c r="O4054">
        <v>2.095201E-2</v>
      </c>
      <c r="P4054">
        <v>-0.99727619999999895</v>
      </c>
      <c r="Q4054">
        <v>-2.545565E-2</v>
      </c>
      <c r="R4054">
        <v>-6.9228949999999997E-2</v>
      </c>
      <c r="S4054">
        <v>-2.9938959999999999</v>
      </c>
      <c r="T4054">
        <v>-0.10907169999999999</v>
      </c>
      <c r="U4054">
        <v>-0.16644289999999901</v>
      </c>
      <c r="V4054">
        <v>-9.0109419999999996E-2</v>
      </c>
      <c r="W4054">
        <v>-1.162444E-2</v>
      </c>
      <c r="X4054">
        <v>0.99586399999999997</v>
      </c>
      <c r="Y4054">
        <v>-7.6342759999999996E-2</v>
      </c>
      <c r="Z4054">
        <v>-2.391963E-3</v>
      </c>
      <c r="AA4054">
        <v>0.99707880000000004</v>
      </c>
      <c r="AB4054">
        <v>40</v>
      </c>
      <c r="AC4054">
        <v>-30.023</v>
      </c>
      <c r="AD4054">
        <v>-1.1093112883251901</v>
      </c>
      <c r="AE4054">
        <v>-1.70159999999998</v>
      </c>
      <c r="AF4054">
        <v>-2.32716239039588</v>
      </c>
      <c r="AG4054">
        <v>-1.1093112883251901</v>
      </c>
      <c r="AH4054">
        <v>29.940009325633799</v>
      </c>
      <c r="AI4054">
        <v>92.115527865538894</v>
      </c>
      <c r="AJ4054">
        <v>94.444522056405006</v>
      </c>
      <c r="AK4054">
        <v>30.050797239752601</v>
      </c>
      <c r="AL4054">
        <v>90.666046371410204</v>
      </c>
      <c r="AM4054">
        <v>95.170252408392898</v>
      </c>
      <c r="AN4054">
        <v>0.99999997083702397</v>
      </c>
    </row>
    <row r="4055" spans="1:40" x14ac:dyDescent="0.25">
      <c r="A4055" t="str">
        <f>"20190305135911035"</f>
        <v>20190305135911035</v>
      </c>
      <c r="B4055" t="str">
        <f>"1551765551023095"</f>
        <v>1551765551023095</v>
      </c>
      <c r="C4055" t="s">
        <v>40</v>
      </c>
      <c r="D4055">
        <v>4.0451569999999997</v>
      </c>
      <c r="E4055">
        <v>0.50511640000000002</v>
      </c>
      <c r="F4055" t="s">
        <v>42</v>
      </c>
      <c r="G4055">
        <v>-350.07409999999999</v>
      </c>
      <c r="H4055" s="1">
        <v>-4.2816910000000004E-6</v>
      </c>
      <c r="I4055">
        <v>139.79050000000001</v>
      </c>
      <c r="J4055">
        <v>-319.78140000000002</v>
      </c>
      <c r="K4055">
        <v>1.1093980000000001</v>
      </c>
      <c r="L4055">
        <v>141.4939</v>
      </c>
      <c r="M4055">
        <v>-0.999691</v>
      </c>
      <c r="N4055">
        <v>-1.386653E-2</v>
      </c>
      <c r="O4055">
        <v>2.063429E-2</v>
      </c>
      <c r="P4055">
        <v>-0.99723980000000001</v>
      </c>
      <c r="Q4055">
        <v>-2.5846250000000001E-2</v>
      </c>
      <c r="R4055">
        <v>-6.9605650000000005E-2</v>
      </c>
      <c r="S4055">
        <v>-2.9939269999999998</v>
      </c>
      <c r="T4055">
        <v>-0.1081598</v>
      </c>
      <c r="U4055">
        <v>-0.1652527</v>
      </c>
      <c r="V4055">
        <v>-9.0165930000000005E-2</v>
      </c>
      <c r="W4055">
        <v>-1.207041E-2</v>
      </c>
      <c r="X4055">
        <v>0.99585360000000001</v>
      </c>
      <c r="Y4055">
        <v>-7.563201E-2</v>
      </c>
      <c r="Z4055">
        <v>-2.3485699999999999E-3</v>
      </c>
      <c r="AA4055">
        <v>0.99713300000000005</v>
      </c>
      <c r="AB4055">
        <v>40</v>
      </c>
      <c r="AC4055">
        <v>-30.2926999999999</v>
      </c>
      <c r="AD4055">
        <v>-1.1094022816910001</v>
      </c>
      <c r="AE4055">
        <v>-1.70339999999998</v>
      </c>
      <c r="AF4055">
        <v>-2.3250570737653602</v>
      </c>
      <c r="AG4055">
        <v>-1.1094022816910001</v>
      </c>
      <c r="AH4055">
        <v>30.210705643055299</v>
      </c>
      <c r="AI4055">
        <v>92.096884367072605</v>
      </c>
      <c r="AJ4055">
        <v>94.400886057203905</v>
      </c>
      <c r="AK4055">
        <v>30.320346292056399</v>
      </c>
      <c r="AL4055">
        <v>90.691600350546906</v>
      </c>
      <c r="AM4055">
        <v>95.173530955938105</v>
      </c>
      <c r="AN4055">
        <v>0.99999999118164595</v>
      </c>
    </row>
    <row r="4056" spans="1:40" x14ac:dyDescent="0.25">
      <c r="A4056" t="str">
        <f>"20190305135911056"</f>
        <v>20190305135911056</v>
      </c>
      <c r="B4056" t="str">
        <f>"1551765551053352"</f>
        <v>1551765551053352</v>
      </c>
      <c r="C4056" t="s">
        <v>40</v>
      </c>
      <c r="D4056">
        <v>4.0532089999999998</v>
      </c>
      <c r="E4056">
        <v>0.505135</v>
      </c>
      <c r="F4056" t="s">
        <v>42</v>
      </c>
      <c r="G4056">
        <v>-350.36110000000002</v>
      </c>
      <c r="H4056" s="1">
        <v>-4.1657629999999996E-6</v>
      </c>
      <c r="I4056">
        <v>139.79830000000001</v>
      </c>
      <c r="J4056">
        <v>-320.15750000000003</v>
      </c>
      <c r="K4056">
        <v>1.109478</v>
      </c>
      <c r="L4056">
        <v>141.50129999999999</v>
      </c>
      <c r="M4056">
        <v>-0.99969920000000001</v>
      </c>
      <c r="N4056">
        <v>-1.382098E-2</v>
      </c>
      <c r="O4056">
        <v>2.0270349999999999E-2</v>
      </c>
      <c r="P4056">
        <v>-0.99723139999999999</v>
      </c>
      <c r="Q4056">
        <v>-2.5667550000000001E-2</v>
      </c>
      <c r="R4056">
        <v>-6.9791880000000001E-2</v>
      </c>
      <c r="S4056">
        <v>-2.9939580000000001</v>
      </c>
      <c r="T4056">
        <v>-0.1086179</v>
      </c>
      <c r="U4056">
        <v>-0.16600039999999999</v>
      </c>
      <c r="V4056">
        <v>-8.9987020000000001E-2</v>
      </c>
      <c r="W4056">
        <v>-1.1956100000000001E-2</v>
      </c>
      <c r="X4056">
        <v>0.99587119999999996</v>
      </c>
      <c r="Y4056">
        <v>-7.5516369999999999E-2</v>
      </c>
      <c r="Z4056">
        <v>-2.3456240000000001E-3</v>
      </c>
      <c r="AA4056">
        <v>0.99714179999999997</v>
      </c>
      <c r="AB4056">
        <v>40</v>
      </c>
      <c r="AC4056">
        <v>-30.203599999999899</v>
      </c>
      <c r="AD4056">
        <v>-1.1094821657629901</v>
      </c>
      <c r="AE4056">
        <v>-1.7029999999999701</v>
      </c>
      <c r="AF4056">
        <v>-2.3118363510767401</v>
      </c>
      <c r="AG4056">
        <v>-1.1094821657629901</v>
      </c>
      <c r="AH4056">
        <v>30.122352689373301</v>
      </c>
      <c r="AI4056">
        <v>92.103214817605604</v>
      </c>
      <c r="AJ4056">
        <v>94.388744456273599</v>
      </c>
      <c r="AK4056">
        <v>30.231302809063699</v>
      </c>
      <c r="AL4056">
        <v>90.685050370992897</v>
      </c>
      <c r="AM4056">
        <v>95.163230261598599</v>
      </c>
      <c r="AN4056">
        <v>1.00000002954256</v>
      </c>
    </row>
    <row r="4057" spans="1:40" x14ac:dyDescent="0.25">
      <c r="A4057" t="str">
        <f>"20190305135911076"</f>
        <v>20190305135911076</v>
      </c>
      <c r="B4057" t="str">
        <f>"1551765551063112"</f>
        <v>1551765551063112</v>
      </c>
      <c r="C4057" t="s">
        <v>40</v>
      </c>
      <c r="D4057">
        <v>4.8656319999999997</v>
      </c>
      <c r="E4057">
        <v>0.505135</v>
      </c>
      <c r="F4057" t="s">
        <v>42</v>
      </c>
      <c r="G4057">
        <v>-350.91879999999998</v>
      </c>
      <c r="H4057" s="1">
        <v>-3.9246950000000004E-6</v>
      </c>
      <c r="I4057">
        <v>139.79130000000001</v>
      </c>
      <c r="J4057">
        <v>-320.5231</v>
      </c>
      <c r="K4057">
        <v>1.109548</v>
      </c>
      <c r="L4057">
        <v>141.50839999999999</v>
      </c>
      <c r="M4057">
        <v>-0.99970809999999999</v>
      </c>
      <c r="N4057">
        <v>-1.376262E-2</v>
      </c>
      <c r="O4057">
        <v>1.9857980000000001E-2</v>
      </c>
      <c r="P4057">
        <v>-0.9971759</v>
      </c>
      <c r="Q4057">
        <v>-2.5579569999999999E-2</v>
      </c>
      <c r="R4057">
        <v>-7.0611699999999999E-2</v>
      </c>
      <c r="S4057">
        <v>-2.9938959999999999</v>
      </c>
      <c r="T4057">
        <v>-0.1079825</v>
      </c>
      <c r="U4057">
        <v>-0.16642760000000001</v>
      </c>
      <c r="V4057">
        <v>-9.039258E-2</v>
      </c>
      <c r="W4057">
        <v>-1.194333E-2</v>
      </c>
      <c r="X4057">
        <v>0.99583460000000001</v>
      </c>
      <c r="Y4057">
        <v>-7.5249189999999994E-2</v>
      </c>
      <c r="Z4057">
        <v>-2.3164959999999999E-3</v>
      </c>
      <c r="AA4057">
        <v>0.99716199999999999</v>
      </c>
      <c r="AB4057">
        <v>40</v>
      </c>
      <c r="AC4057">
        <v>-30.395699999999898</v>
      </c>
      <c r="AD4057">
        <v>-1.1095519246950001</v>
      </c>
      <c r="AE4057">
        <v>-1.7170999999999801</v>
      </c>
      <c r="AF4057">
        <v>-2.3173376503865599</v>
      </c>
      <c r="AG4057">
        <v>-1.1095519246950001</v>
      </c>
      <c r="AH4057">
        <v>30.315336765803099</v>
      </c>
      <c r="AI4057">
        <v>92.090018008672502</v>
      </c>
      <c r="AJ4057">
        <v>94.371251471301704</v>
      </c>
      <c r="AK4057">
        <v>30.4240168696303</v>
      </c>
      <c r="AL4057">
        <v>90.684318667705398</v>
      </c>
      <c r="AM4057">
        <v>95.186563234263105</v>
      </c>
      <c r="AN4057">
        <v>1.0000000061038501</v>
      </c>
    </row>
    <row r="4058" spans="1:40" x14ac:dyDescent="0.25">
      <c r="A4058" t="str">
        <f>"20190305135911100"</f>
        <v>20190305135911100</v>
      </c>
      <c r="B4058" t="str">
        <f>"1551765551093368"</f>
        <v>1551765551093368</v>
      </c>
      <c r="C4058" t="s">
        <v>40</v>
      </c>
      <c r="D4058">
        <v>4.2234049999999996</v>
      </c>
      <c r="E4058">
        <v>0.533869699999999</v>
      </c>
      <c r="F4058" t="s">
        <v>42</v>
      </c>
      <c r="G4058">
        <v>-351.37479999999999</v>
      </c>
      <c r="H4058" s="1">
        <v>-3.7229700000000002E-6</v>
      </c>
      <c r="I4058">
        <v>139.76840000000001</v>
      </c>
      <c r="J4058">
        <v>-320.93419999999998</v>
      </c>
      <c r="K4058">
        <v>1.1096090000000001</v>
      </c>
      <c r="L4058">
        <v>141.51609999999999</v>
      </c>
      <c r="M4058">
        <v>-0.99971929999999998</v>
      </c>
      <c r="N4058">
        <v>-1.368713E-2</v>
      </c>
      <c r="O4058">
        <v>1.9341569999999999E-2</v>
      </c>
      <c r="P4058">
        <v>-0.99712440000000002</v>
      </c>
      <c r="Q4058">
        <v>-2.4645810000000001E-2</v>
      </c>
      <c r="R4058">
        <v>-7.1663009999999999E-2</v>
      </c>
      <c r="S4058">
        <v>-2.9937740000000002</v>
      </c>
      <c r="T4058">
        <v>-0.10766829999999999</v>
      </c>
      <c r="U4058">
        <v>-0.1688385</v>
      </c>
      <c r="V4058">
        <v>-9.0927649999999999E-2</v>
      </c>
      <c r="W4058">
        <v>-1.110034E-2</v>
      </c>
      <c r="X4058">
        <v>0.9957956</v>
      </c>
      <c r="Y4058">
        <v>-7.5537149999999997E-2</v>
      </c>
      <c r="Z4058">
        <v>-2.304834E-3</v>
      </c>
      <c r="AA4058">
        <v>0.99714029999999998</v>
      </c>
      <c r="AB4058">
        <v>40</v>
      </c>
      <c r="AC4058">
        <v>-30.4406</v>
      </c>
      <c r="AD4058">
        <v>-1.1096127229699999</v>
      </c>
      <c r="AE4058">
        <v>-1.74769999999998</v>
      </c>
      <c r="AF4058">
        <v>-2.3331072414618999</v>
      </c>
      <c r="AG4058">
        <v>-1.1096127229699999</v>
      </c>
      <c r="AH4058">
        <v>30.3608892601296</v>
      </c>
      <c r="AI4058">
        <v>92.086934938386406</v>
      </c>
      <c r="AJ4058">
        <v>94.394304515765</v>
      </c>
      <c r="AK4058">
        <v>30.4706125055109</v>
      </c>
      <c r="AL4058">
        <v>90.636015716604305</v>
      </c>
      <c r="AM4058">
        <v>95.217298860735696</v>
      </c>
      <c r="AN4058">
        <v>0.99999996603099806</v>
      </c>
    </row>
    <row r="4059" spans="1:40" x14ac:dyDescent="0.25">
      <c r="A4059" t="str">
        <f>"20190305135911114"</f>
        <v>20190305135911114</v>
      </c>
      <c r="B4059" t="str">
        <f>"1551765551103128"</f>
        <v>1551765551103128</v>
      </c>
      <c r="C4059" t="s">
        <v>40</v>
      </c>
      <c r="D4059">
        <v>4.2439640000000001</v>
      </c>
      <c r="E4059">
        <v>0.53712059999999995</v>
      </c>
      <c r="F4059" t="s">
        <v>41</v>
      </c>
      <c r="G4059">
        <v>-322.0027</v>
      </c>
      <c r="H4059">
        <v>1.0415099999999999</v>
      </c>
      <c r="I4059">
        <v>141.5385</v>
      </c>
      <c r="J4059">
        <v>-321.21260000000001</v>
      </c>
      <c r="K4059">
        <v>1.109639</v>
      </c>
      <c r="L4059">
        <v>141.52109999999999</v>
      </c>
      <c r="M4059">
        <v>-0.99972720000000004</v>
      </c>
      <c r="N4059">
        <v>-1.363578E-2</v>
      </c>
      <c r="O4059">
        <v>1.8968039999999999E-2</v>
      </c>
      <c r="P4059">
        <v>-0.99708419999999998</v>
      </c>
      <c r="Q4059">
        <v>-2.427497E-2</v>
      </c>
      <c r="R4059">
        <v>-7.2346419999999995E-2</v>
      </c>
      <c r="S4059">
        <v>-3.0084230000000001</v>
      </c>
      <c r="T4059">
        <v>-0.19178020000000001</v>
      </c>
      <c r="U4059">
        <v>6.2850950000000003E-2</v>
      </c>
      <c r="V4059">
        <v>-9.1237079999999998E-2</v>
      </c>
      <c r="W4059">
        <v>-1.0789E-2</v>
      </c>
      <c r="X4059">
        <v>0.99577079999999996</v>
      </c>
      <c r="Y4059">
        <v>1.9366780000000001E-3</v>
      </c>
      <c r="Z4059">
        <v>-8.7436999999999996E-4</v>
      </c>
      <c r="AA4059">
        <v>0.99999769999999999</v>
      </c>
      <c r="AB4059">
        <v>40</v>
      </c>
      <c r="AC4059">
        <v>-0.79009999999999503</v>
      </c>
      <c r="AD4059">
        <v>-6.8129000000000106E-2</v>
      </c>
      <c r="AE4059">
        <v>1.7400000000009099E-2</v>
      </c>
      <c r="AF4059">
        <v>2.3910589132817598E-3</v>
      </c>
      <c r="AG4059">
        <v>-6.8129000000000106E-2</v>
      </c>
      <c r="AH4059">
        <v>0.78445802941210097</v>
      </c>
      <c r="AI4059">
        <v>94.963574757548798</v>
      </c>
      <c r="AJ4059">
        <v>89.825360752387795</v>
      </c>
      <c r="AK4059">
        <v>0.787414552642281</v>
      </c>
      <c r="AL4059">
        <v>90.618176129563096</v>
      </c>
      <c r="AM4059">
        <v>95.235084687134005</v>
      </c>
      <c r="AN4059">
        <v>1.0000000467102801</v>
      </c>
    </row>
    <row r="4060" spans="1:40" x14ac:dyDescent="0.25">
      <c r="A4060" t="str">
        <f>"20190305135911129"</f>
        <v>20190305135911129</v>
      </c>
      <c r="B4060" t="str">
        <f>"1551765551122648"</f>
        <v>1551765551122648</v>
      </c>
      <c r="C4060" t="s">
        <v>40</v>
      </c>
      <c r="D4060">
        <v>4.1423350000000001</v>
      </c>
      <c r="E4060">
        <v>0.54083130000000001</v>
      </c>
      <c r="F4060" t="s">
        <v>42</v>
      </c>
      <c r="G4060">
        <v>-339.7328</v>
      </c>
      <c r="H4060" s="1">
        <v>-7.5430540000000003E-7</v>
      </c>
      <c r="I4060">
        <v>142.05000000000001</v>
      </c>
      <c r="J4060">
        <v>-321.46600000000001</v>
      </c>
      <c r="K4060">
        <v>1.1096629999999901</v>
      </c>
      <c r="L4060">
        <v>141.5256</v>
      </c>
      <c r="M4060">
        <v>-0.99973429999999996</v>
      </c>
      <c r="N4060">
        <v>-1.3591310000000001E-2</v>
      </c>
      <c r="O4060">
        <v>1.8619050000000002E-2</v>
      </c>
      <c r="P4060">
        <v>-0.99704400000000004</v>
      </c>
      <c r="Q4060">
        <v>-2.3975929999999999E-2</v>
      </c>
      <c r="R4060">
        <v>-7.2994260000000005E-2</v>
      </c>
      <c r="S4060">
        <v>-3.0106199999999999</v>
      </c>
      <c r="T4060">
        <v>-0.18038180000000001</v>
      </c>
      <c r="U4060">
        <v>8.5968020000000006E-2</v>
      </c>
      <c r="V4060">
        <v>-9.1536450000000005E-2</v>
      </c>
      <c r="W4060">
        <v>-1.054072E-2</v>
      </c>
      <c r="X4060">
        <v>0.99574600000000002</v>
      </c>
      <c r="Y4060">
        <v>9.9232629999999999E-3</v>
      </c>
      <c r="Z4060">
        <v>-4.968692E-4</v>
      </c>
      <c r="AA4060">
        <v>0.99995060000000002</v>
      </c>
      <c r="AB4060">
        <v>40</v>
      </c>
      <c r="AC4060">
        <v>-18.2667999999999</v>
      </c>
      <c r="AD4060">
        <v>-1.10966375430539</v>
      </c>
      <c r="AE4060">
        <v>0.52440000000001397</v>
      </c>
      <c r="AF4060">
        <v>0.18349063740392699</v>
      </c>
      <c r="AG4060">
        <v>-1.10966375430539</v>
      </c>
      <c r="AH4060">
        <v>18.206266934259698</v>
      </c>
      <c r="AI4060">
        <v>93.4876605621875</v>
      </c>
      <c r="AJ4060">
        <v>89.422567888135106</v>
      </c>
      <c r="AK4060">
        <v>18.2409752519746</v>
      </c>
      <c r="AL4060">
        <v>90.603949915463403</v>
      </c>
      <c r="AM4060">
        <v>95.252296380992405</v>
      </c>
      <c r="AN4060">
        <v>1.0000000624863501</v>
      </c>
    </row>
    <row r="4061" spans="1:40" x14ac:dyDescent="0.25">
      <c r="A4061" t="str">
        <f>"20190305135911143"</f>
        <v>20190305135911143</v>
      </c>
      <c r="B4061" t="str">
        <f>"1551765551133384"</f>
        <v>1551765551133384</v>
      </c>
      <c r="C4061" t="s">
        <v>40</v>
      </c>
      <c r="D4061">
        <v>4.1709379999999996</v>
      </c>
      <c r="E4061">
        <v>0.54176059999999904</v>
      </c>
      <c r="F4061" t="s">
        <v>42</v>
      </c>
      <c r="G4061">
        <v>-342.07089999999999</v>
      </c>
      <c r="H4061" s="1">
        <v>-4.0463569999999998E-6</v>
      </c>
      <c r="I4061">
        <v>142.2944</v>
      </c>
      <c r="J4061">
        <v>-321.71390000000002</v>
      </c>
      <c r="K4061">
        <v>1.1096779999999999</v>
      </c>
      <c r="L4061">
        <v>141.53</v>
      </c>
      <c r="M4061">
        <v>-0.9997414</v>
      </c>
      <c r="N4061">
        <v>-1.3548309999999999E-2</v>
      </c>
      <c r="O4061">
        <v>1.8273649999999999E-2</v>
      </c>
      <c r="P4061">
        <v>-0.99697100000000005</v>
      </c>
      <c r="Q4061">
        <v>-2.3888139999999999E-2</v>
      </c>
      <c r="R4061">
        <v>-7.4016449999999998E-2</v>
      </c>
      <c r="S4061">
        <v>-3.013245</v>
      </c>
      <c r="T4061">
        <v>-0.16227749999999999</v>
      </c>
      <c r="U4061">
        <v>0.112442</v>
      </c>
      <c r="V4061">
        <v>-9.2212589999999997E-2</v>
      </c>
      <c r="W4061">
        <v>-1.050223E-2</v>
      </c>
      <c r="X4061">
        <v>0.99568400000000001</v>
      </c>
      <c r="Y4061">
        <v>1.9001509999999999E-2</v>
      </c>
      <c r="Z4061" s="1">
        <v>-9.5544730000000002E-5</v>
      </c>
      <c r="AA4061">
        <v>0.99981949999999997</v>
      </c>
      <c r="AB4061">
        <v>40</v>
      </c>
      <c r="AC4061">
        <v>-20.3569999999999</v>
      </c>
      <c r="AD4061">
        <v>-1.1096820463570001</v>
      </c>
      <c r="AE4061">
        <v>0.76439999999999397</v>
      </c>
      <c r="AF4061">
        <v>0.39108112058858902</v>
      </c>
      <c r="AG4061">
        <v>-1.1096820463570001</v>
      </c>
      <c r="AH4061">
        <v>20.307312522178201</v>
      </c>
      <c r="AI4061">
        <v>93.127207274715502</v>
      </c>
      <c r="AJ4061">
        <v>88.896726086295502</v>
      </c>
      <c r="AK4061">
        <v>20.341368699286299</v>
      </c>
      <c r="AL4061">
        <v>90.601744490564002</v>
      </c>
      <c r="AM4061">
        <v>95.291201023657806</v>
      </c>
      <c r="AN4061">
        <v>1.0000000432227301</v>
      </c>
    </row>
    <row r="4062" spans="1:40" x14ac:dyDescent="0.25">
      <c r="A4062" t="str">
        <f>"20190305135911158"</f>
        <v>20190305135911158</v>
      </c>
      <c r="B4062" t="str">
        <f>"1551765551152904"</f>
        <v>1551765551152904</v>
      </c>
      <c r="C4062" t="s">
        <v>40</v>
      </c>
      <c r="D4062">
        <v>4.105829</v>
      </c>
      <c r="E4062">
        <v>0.54336640000000003</v>
      </c>
      <c r="F4062" t="s">
        <v>42</v>
      </c>
      <c r="G4062">
        <v>-342.91629999999998</v>
      </c>
      <c r="H4062" s="1">
        <v>-3.748561E-6</v>
      </c>
      <c r="I4062">
        <v>142.35</v>
      </c>
      <c r="J4062">
        <v>-321.99020000000002</v>
      </c>
      <c r="K4062">
        <v>1.1096889999999999</v>
      </c>
      <c r="L4062">
        <v>141.53469999999999</v>
      </c>
      <c r="M4062">
        <v>-0.99974890000000005</v>
      </c>
      <c r="N4062">
        <v>-1.3500180000000001E-2</v>
      </c>
      <c r="O4062">
        <v>1.7886599999999999E-2</v>
      </c>
      <c r="P4062">
        <v>-0.99690529999999999</v>
      </c>
      <c r="Q4062">
        <v>-2.4055960000000001E-2</v>
      </c>
      <c r="R4062">
        <v>-7.4839790000000003E-2</v>
      </c>
      <c r="S4062">
        <v>-3.014008</v>
      </c>
      <c r="T4062">
        <v>-0.1577462</v>
      </c>
      <c r="U4062">
        <v>0.1165771</v>
      </c>
      <c r="V4062">
        <v>-9.2648220000000003E-2</v>
      </c>
      <c r="W4062">
        <v>-1.072358E-2</v>
      </c>
      <c r="X4062">
        <v>0.9956412</v>
      </c>
      <c r="Y4062">
        <v>2.0746279999999999E-2</v>
      </c>
      <c r="Z4062" s="1">
        <v>-1.118393E-5</v>
      </c>
      <c r="AA4062">
        <v>0.99978480000000003</v>
      </c>
      <c r="AB4062">
        <v>40</v>
      </c>
      <c r="AC4062">
        <v>-20.926099999999899</v>
      </c>
      <c r="AD4062">
        <v>-1.109692748561</v>
      </c>
      <c r="AE4062">
        <v>0.81530000000000702</v>
      </c>
      <c r="AF4062">
        <v>0.43960432918210401</v>
      </c>
      <c r="AG4062">
        <v>-1.109692748561</v>
      </c>
      <c r="AH4062">
        <v>20.878712160128899</v>
      </c>
      <c r="AI4062">
        <v>93.041705536738505</v>
      </c>
      <c r="AJ4062">
        <v>88.793807228885299</v>
      </c>
      <c r="AK4062">
        <v>20.912802094123101</v>
      </c>
      <c r="AL4062">
        <v>90.614427624968897</v>
      </c>
      <c r="AM4062">
        <v>95.316282010847402</v>
      </c>
      <c r="AN4062">
        <v>1.00000004348731</v>
      </c>
    </row>
    <row r="4063" spans="1:40" x14ac:dyDescent="0.25">
      <c r="A4063" t="str">
        <f>"20190305135911176"</f>
        <v>20190305135911176</v>
      </c>
      <c r="B4063" t="str">
        <f>"1551765551173400"</f>
        <v>1551765551173400</v>
      </c>
      <c r="C4063" t="s">
        <v>40</v>
      </c>
      <c r="D4063">
        <v>4.1244750000000003</v>
      </c>
      <c r="E4063">
        <v>0.54458809999999902</v>
      </c>
      <c r="F4063" t="s">
        <v>42</v>
      </c>
      <c r="G4063">
        <v>-344.49950000000001</v>
      </c>
      <c r="H4063" s="1">
        <v>-3.1029930000000002E-6</v>
      </c>
      <c r="I4063">
        <v>142.47630000000001</v>
      </c>
      <c r="J4063">
        <v>-322.31020000000001</v>
      </c>
      <c r="K4063">
        <v>1.109696</v>
      </c>
      <c r="L4063">
        <v>141.54</v>
      </c>
      <c r="M4063">
        <v>-0.99975749999999997</v>
      </c>
      <c r="N4063">
        <v>-1.34456E-2</v>
      </c>
      <c r="O4063">
        <v>1.7441910000000001E-2</v>
      </c>
      <c r="P4063">
        <v>-0.99680840000000004</v>
      </c>
      <c r="Q4063">
        <v>-2.4426750000000001E-2</v>
      </c>
      <c r="R4063">
        <v>-7.6001830000000006E-2</v>
      </c>
      <c r="S4063">
        <v>-3.0151979999999998</v>
      </c>
      <c r="T4063">
        <v>-0.14864769999999999</v>
      </c>
      <c r="U4063">
        <v>0.12614439999999999</v>
      </c>
      <c r="V4063">
        <v>-9.3364630000000004E-2</v>
      </c>
      <c r="W4063">
        <v>-1.115419E-2</v>
      </c>
      <c r="X4063">
        <v>0.9955695</v>
      </c>
      <c r="Y4063">
        <v>2.4338640000000002E-2</v>
      </c>
      <c r="Z4063">
        <v>1.386274E-4</v>
      </c>
      <c r="AA4063">
        <v>0.99970380000000003</v>
      </c>
      <c r="AB4063">
        <v>40</v>
      </c>
      <c r="AC4063">
        <v>-22.189299999999999</v>
      </c>
      <c r="AD4063">
        <v>-1.1096991029929999</v>
      </c>
      <c r="AE4063">
        <v>0.93630000000001701</v>
      </c>
      <c r="AF4063">
        <v>0.54773132131441005</v>
      </c>
      <c r="AG4063">
        <v>-1.1096991029929999</v>
      </c>
      <c r="AH4063">
        <v>22.1469639226511</v>
      </c>
      <c r="AI4063">
        <v>92.867596599088301</v>
      </c>
      <c r="AJ4063">
        <v>88.583268703940703</v>
      </c>
      <c r="AK4063">
        <v>22.1815115059985</v>
      </c>
      <c r="AL4063">
        <v>90.6391012639385</v>
      </c>
      <c r="AM4063">
        <v>95.357535912351807</v>
      </c>
      <c r="AN4063">
        <v>0.99999999970992104</v>
      </c>
    </row>
    <row r="4064" spans="1:40" x14ac:dyDescent="0.25">
      <c r="A4064" t="str">
        <f>"20190305135911190"</f>
        <v>20190305135911190</v>
      </c>
      <c r="B4064" t="str">
        <f>"1551765551183160"</f>
        <v>1551765551183160</v>
      </c>
      <c r="C4064" t="s">
        <v>40</v>
      </c>
      <c r="D4064">
        <v>4.1399080000000001</v>
      </c>
      <c r="E4064">
        <v>0.54506869999999996</v>
      </c>
      <c r="F4064" t="s">
        <v>42</v>
      </c>
      <c r="G4064">
        <v>-345.60579999999999</v>
      </c>
      <c r="H4064" s="1">
        <v>-2.650476E-6</v>
      </c>
      <c r="I4064">
        <v>142.55940000000001</v>
      </c>
      <c r="J4064">
        <v>-322.5711</v>
      </c>
      <c r="K4064">
        <v>1.1096999999999999</v>
      </c>
      <c r="L4064">
        <v>141.54429999999999</v>
      </c>
      <c r="M4064">
        <v>-0.99976410000000004</v>
      </c>
      <c r="N4064">
        <v>-1.3403899999999899E-2</v>
      </c>
      <c r="O4064">
        <v>1.7087149999999999E-2</v>
      </c>
      <c r="P4064">
        <v>-0.99675369999999996</v>
      </c>
      <c r="Q4064">
        <v>-2.4809479999999998E-2</v>
      </c>
      <c r="R4064">
        <v>-7.659407E-2</v>
      </c>
      <c r="S4064">
        <v>-3.0161129999999998</v>
      </c>
      <c r="T4064">
        <v>-0.14367469999999999</v>
      </c>
      <c r="U4064">
        <v>0.13198850000000001</v>
      </c>
      <c r="V4064">
        <v>-9.3602000000000005E-2</v>
      </c>
      <c r="W4064">
        <v>-1.158089E-2</v>
      </c>
      <c r="X4064">
        <v>0.99554229999999999</v>
      </c>
      <c r="Y4064">
        <v>2.6611929999999999E-2</v>
      </c>
      <c r="Z4064">
        <v>2.2762030000000001E-4</v>
      </c>
      <c r="AA4064">
        <v>0.99964580000000003</v>
      </c>
      <c r="AB4064">
        <v>40</v>
      </c>
      <c r="AC4064">
        <v>-23.034699999999901</v>
      </c>
      <c r="AD4064">
        <v>-1.1097026504759999</v>
      </c>
      <c r="AE4064">
        <v>1.0151000000000101</v>
      </c>
      <c r="AF4064">
        <v>0.61988314390863597</v>
      </c>
      <c r="AG4064">
        <v>-1.1097026504759999</v>
      </c>
      <c r="AH4064">
        <v>22.9954175446912</v>
      </c>
      <c r="AI4064">
        <v>92.761809224546397</v>
      </c>
      <c r="AJ4064">
        <v>88.455862406056397</v>
      </c>
      <c r="AK4064">
        <v>23.030521555954099</v>
      </c>
      <c r="AL4064">
        <v>90.663550978525805</v>
      </c>
      <c r="AM4064">
        <v>95.371223229045</v>
      </c>
      <c r="AN4064">
        <v>0.99999996125323998</v>
      </c>
    </row>
    <row r="4065" spans="1:40" x14ac:dyDescent="0.25">
      <c r="A4065" t="str">
        <f>"20190305135911205"</f>
        <v>20190305135911205</v>
      </c>
      <c r="B4065" t="str">
        <f>"1551765551192920"</f>
        <v>1551765551192920</v>
      </c>
      <c r="C4065" t="s">
        <v>40</v>
      </c>
      <c r="D4065">
        <v>4.1265349999999996</v>
      </c>
      <c r="E4065">
        <v>0.54547480000000004</v>
      </c>
      <c r="F4065" t="s">
        <v>42</v>
      </c>
      <c r="G4065">
        <v>-346.07600000000002</v>
      </c>
      <c r="H4065" s="1">
        <v>-2.4560089999999999E-6</v>
      </c>
      <c r="I4065">
        <v>142.5866</v>
      </c>
      <c r="J4065">
        <v>-322.80610000000001</v>
      </c>
      <c r="K4065">
        <v>1.1096999999999999</v>
      </c>
      <c r="L4065">
        <v>141.548</v>
      </c>
      <c r="M4065">
        <v>-0.99976989999999999</v>
      </c>
      <c r="N4065">
        <v>-1.3366680000000001E-2</v>
      </c>
      <c r="O4065">
        <v>1.677667E-2</v>
      </c>
      <c r="P4065">
        <v>-0.99672419999999995</v>
      </c>
      <c r="Q4065">
        <v>-2.519099E-2</v>
      </c>
      <c r="R4065">
        <v>-7.685285E-2</v>
      </c>
      <c r="S4065">
        <v>-3.0165410000000001</v>
      </c>
      <c r="T4065">
        <v>-0.1424154</v>
      </c>
      <c r="U4065">
        <v>0.13378909999999999</v>
      </c>
      <c r="V4065">
        <v>-9.3550770000000005E-2</v>
      </c>
      <c r="W4065">
        <v>-1.200005E-2</v>
      </c>
      <c r="X4065">
        <v>0.99554219999999904</v>
      </c>
      <c r="Y4065">
        <v>2.7510650000000001E-2</v>
      </c>
      <c r="Z4065">
        <v>2.6578890000000002E-4</v>
      </c>
      <c r="AA4065">
        <v>0.99962150000000005</v>
      </c>
      <c r="AB4065">
        <v>40</v>
      </c>
      <c r="AC4065">
        <v>-23.2698999999999</v>
      </c>
      <c r="AD4065">
        <v>-1.1097024560090001</v>
      </c>
      <c r="AE4065">
        <v>1.0386</v>
      </c>
      <c r="AF4065">
        <v>0.64656001772124505</v>
      </c>
      <c r="AG4065">
        <v>-1.1097024560090001</v>
      </c>
      <c r="AH4065">
        <v>23.231323177050399</v>
      </c>
      <c r="AI4065">
        <v>92.733740994266</v>
      </c>
      <c r="AJ4065">
        <v>88.405790342330604</v>
      </c>
      <c r="AK4065">
        <v>23.266797286131801</v>
      </c>
      <c r="AL4065">
        <v>90.687568714616503</v>
      </c>
      <c r="AM4065">
        <v>95.368301180658307</v>
      </c>
      <c r="AN4065">
        <v>1.0000000098742099</v>
      </c>
    </row>
    <row r="4066" spans="1:40" x14ac:dyDescent="0.25">
      <c r="A4066" t="str">
        <f>"20190305135911219"</f>
        <v>20190305135911219</v>
      </c>
      <c r="B4066" t="str">
        <f>"1551765551213415"</f>
        <v>1551765551213415</v>
      </c>
      <c r="C4066" t="s">
        <v>40</v>
      </c>
      <c r="D4066">
        <v>4.1401919999999999</v>
      </c>
      <c r="E4066">
        <v>0.54644899999999996</v>
      </c>
      <c r="F4066" t="s">
        <v>42</v>
      </c>
      <c r="G4066">
        <v>-346.62779999999998</v>
      </c>
      <c r="H4066" s="1">
        <v>-2.2285279999999998E-6</v>
      </c>
      <c r="I4066">
        <v>142.62129999999999</v>
      </c>
      <c r="J4066">
        <v>-323.06310000000002</v>
      </c>
      <c r="K4066">
        <v>1.109694</v>
      </c>
      <c r="L4066">
        <v>141.55199999999999</v>
      </c>
      <c r="M4066">
        <v>-0.99977590000000005</v>
      </c>
      <c r="N4066">
        <v>-1.3325979999999999E-2</v>
      </c>
      <c r="O4066">
        <v>1.64479999999999E-2</v>
      </c>
      <c r="P4066">
        <v>-0.9966796</v>
      </c>
      <c r="Q4066">
        <v>-2.5370750000000001E-2</v>
      </c>
      <c r="R4066">
        <v>-7.7368010000000001E-2</v>
      </c>
      <c r="S4066">
        <v>-3.016785</v>
      </c>
      <c r="T4066">
        <v>-0.1405332</v>
      </c>
      <c r="U4066">
        <v>0.13594059999999999</v>
      </c>
      <c r="V4066">
        <v>-9.3737539999999994E-2</v>
      </c>
      <c r="W4066">
        <v>-1.2220460000000001E-2</v>
      </c>
      <c r="X4066">
        <v>0.99552200000000002</v>
      </c>
      <c r="Y4066">
        <v>2.8546169999999999E-2</v>
      </c>
      <c r="Z4066">
        <v>3.0835440000000002E-4</v>
      </c>
      <c r="AA4066">
        <v>0.99959240000000005</v>
      </c>
      <c r="AB4066">
        <v>40</v>
      </c>
      <c r="AC4066">
        <v>-23.564699999999899</v>
      </c>
      <c r="AD4066">
        <v>-1.1096962285280001</v>
      </c>
      <c r="AE4066">
        <v>1.0692999999999699</v>
      </c>
      <c r="AF4066">
        <v>0.68002378510876205</v>
      </c>
      <c r="AG4066">
        <v>-1.1096962285280001</v>
      </c>
      <c r="AH4066">
        <v>23.527034584746598</v>
      </c>
      <c r="AI4066">
        <v>92.699334669442905</v>
      </c>
      <c r="AJ4066">
        <v>88.344387691041803</v>
      </c>
      <c r="AK4066">
        <v>23.563005207735799</v>
      </c>
      <c r="AL4066">
        <v>90.700198168837701</v>
      </c>
      <c r="AM4066">
        <v>95.379064461161093</v>
      </c>
      <c r="AN4066">
        <v>1.0000000592659299</v>
      </c>
    </row>
    <row r="4067" spans="1:40" x14ac:dyDescent="0.25">
      <c r="A4067" t="str">
        <f>"20190305135911234"</f>
        <v>20190305135911234</v>
      </c>
      <c r="B4067" t="str">
        <f>"1551765551223176"</f>
        <v>1551765551223176</v>
      </c>
      <c r="C4067" t="s">
        <v>40</v>
      </c>
      <c r="D4067">
        <v>4.1223799999999997</v>
      </c>
      <c r="E4067">
        <v>0.54686639999999997</v>
      </c>
      <c r="F4067" t="s">
        <v>42</v>
      </c>
      <c r="G4067">
        <v>-347.36959999999999</v>
      </c>
      <c r="H4067" s="1">
        <v>-1.9304920000000002E-6</v>
      </c>
      <c r="I4067">
        <v>142.69720000000001</v>
      </c>
      <c r="J4067">
        <v>-323.334</v>
      </c>
      <c r="K4067">
        <v>1.1096790000000001</v>
      </c>
      <c r="L4067">
        <v>141.55619999999999</v>
      </c>
      <c r="M4067">
        <v>-0.99978180000000005</v>
      </c>
      <c r="N4067">
        <v>-1.328123E-2</v>
      </c>
      <c r="O4067">
        <v>1.612481E-2</v>
      </c>
      <c r="P4067">
        <v>-0.99662919999999999</v>
      </c>
      <c r="Q4067">
        <v>-2.5762409999999999E-2</v>
      </c>
      <c r="R4067">
        <v>-7.7888219999999994E-2</v>
      </c>
      <c r="S4067">
        <v>-3.0175169999999998</v>
      </c>
      <c r="T4067">
        <v>-0.137763</v>
      </c>
      <c r="U4067">
        <v>0.14218140000000001</v>
      </c>
      <c r="V4067">
        <v>-9.3934980000000001E-2</v>
      </c>
      <c r="W4067">
        <v>-1.265498E-2</v>
      </c>
      <c r="X4067">
        <v>0.99549790000000005</v>
      </c>
      <c r="Y4067">
        <v>3.0918899999999999E-2</v>
      </c>
      <c r="Z4067">
        <v>3.893274E-4</v>
      </c>
      <c r="AA4067">
        <v>0.99952180000000002</v>
      </c>
      <c r="AB4067">
        <v>40</v>
      </c>
      <c r="AC4067">
        <v>-24.035599999999899</v>
      </c>
      <c r="AD4067">
        <v>-1.1096809304919999</v>
      </c>
      <c r="AE4067">
        <v>1.14100000000001</v>
      </c>
      <c r="AF4067">
        <v>0.75164942645826005</v>
      </c>
      <c r="AG4067">
        <v>-1.1096809304919999</v>
      </c>
      <c r="AH4067">
        <v>23.999833795123401</v>
      </c>
      <c r="AI4067">
        <v>92.646005440138495</v>
      </c>
      <c r="AJ4067">
        <v>88.206143111555903</v>
      </c>
      <c r="AK4067">
        <v>24.037229266730002</v>
      </c>
      <c r="AL4067">
        <v>90.725096299315098</v>
      </c>
      <c r="AM4067">
        <v>95.390457480449598</v>
      </c>
      <c r="AN4067">
        <v>0.99999999894540503</v>
      </c>
    </row>
    <row r="4068" spans="1:40" x14ac:dyDescent="0.25">
      <c r="A4068" t="str">
        <f>"20190305135911263"</f>
        <v>20190305135911263</v>
      </c>
      <c r="B4068" t="str">
        <f>"1551765551253432"</f>
        <v>1551765551253432</v>
      </c>
      <c r="C4068" t="s">
        <v>40</v>
      </c>
      <c r="D4068">
        <v>4.1283310000000002</v>
      </c>
      <c r="E4068">
        <v>0.54809140000000001</v>
      </c>
      <c r="F4068" t="s">
        <v>42</v>
      </c>
      <c r="G4068">
        <v>-347.90910000000002</v>
      </c>
      <c r="H4068" s="1">
        <v>-1.7068820000000001E-6</v>
      </c>
      <c r="I4068">
        <v>142.72649999999999</v>
      </c>
      <c r="J4068">
        <v>-323.83449999999999</v>
      </c>
      <c r="K4068">
        <v>1.109637</v>
      </c>
      <c r="L4068">
        <v>141.56370000000001</v>
      </c>
      <c r="M4068">
        <v>-0.9997914</v>
      </c>
      <c r="N4068">
        <v>-1.319994E-2</v>
      </c>
      <c r="O4068">
        <v>1.5583670000000001E-2</v>
      </c>
      <c r="P4068">
        <v>-0.99657929999999995</v>
      </c>
      <c r="Q4068">
        <v>-2.580797E-2</v>
      </c>
      <c r="R4068">
        <v>-7.8507930000000004E-2</v>
      </c>
      <c r="S4068">
        <v>-3.0178829999999999</v>
      </c>
      <c r="T4068">
        <v>-0.13627210000000001</v>
      </c>
      <c r="U4068">
        <v>0.1437378</v>
      </c>
      <c r="V4068">
        <v>-9.4015550000000003E-2</v>
      </c>
      <c r="W4068">
        <v>-1.277405E-2</v>
      </c>
      <c r="X4068">
        <v>0.99548879999999995</v>
      </c>
      <c r="Y4068">
        <v>3.1967500000000003E-2</v>
      </c>
      <c r="Z4068">
        <v>4.349321E-4</v>
      </c>
      <c r="AA4068">
        <v>0.99948879999999996</v>
      </c>
      <c r="AB4068">
        <v>40</v>
      </c>
      <c r="AC4068">
        <v>-24.0746</v>
      </c>
      <c r="AD4068">
        <v>-1.1096387068819999</v>
      </c>
      <c r="AE4068">
        <v>1.1627999999999701</v>
      </c>
      <c r="AF4068">
        <v>0.78578996966766401</v>
      </c>
      <c r="AG4068">
        <v>-1.1096387068819999</v>
      </c>
      <c r="AH4068">
        <v>24.038848020221401</v>
      </c>
      <c r="AI4068">
        <v>92.641501291413505</v>
      </c>
      <c r="AJ4068">
        <v>88.127762895530694</v>
      </c>
      <c r="AK4068">
        <v>24.0772709848011</v>
      </c>
      <c r="AL4068">
        <v>90.731919039887302</v>
      </c>
      <c r="AM4068">
        <v>95.395102746031995</v>
      </c>
      <c r="AN4068">
        <v>1.0000000254603201</v>
      </c>
    </row>
    <row r="4069" spans="1:40" x14ac:dyDescent="0.25">
      <c r="A4069" t="str">
        <f>"20190305135911277"</f>
        <v>20190305135911277</v>
      </c>
      <c r="B4069" t="str">
        <f>"1551765551272952"</f>
        <v>1551765551272952</v>
      </c>
      <c r="C4069" t="s">
        <v>40</v>
      </c>
      <c r="D4069">
        <v>4.1299839999999897</v>
      </c>
      <c r="E4069">
        <v>0.5486299</v>
      </c>
      <c r="F4069" t="s">
        <v>42</v>
      </c>
      <c r="G4069">
        <v>-349.64190000000002</v>
      </c>
      <c r="H4069" s="1">
        <v>-9.98176E-7</v>
      </c>
      <c r="I4069">
        <v>142.8569</v>
      </c>
      <c r="J4069">
        <v>-324.1096</v>
      </c>
      <c r="K4069">
        <v>1.1096010000000001</v>
      </c>
      <c r="L4069">
        <v>141.5677</v>
      </c>
      <c r="M4069">
        <v>-0.99979600000000002</v>
      </c>
      <c r="N4069">
        <v>-1.31527E-2</v>
      </c>
      <c r="O4069">
        <v>1.532914E-2</v>
      </c>
      <c r="P4069">
        <v>-0.99653380000000003</v>
      </c>
      <c r="Q4069">
        <v>-2.554269E-2</v>
      </c>
      <c r="R4069">
        <v>-7.9169420000000004E-2</v>
      </c>
      <c r="S4069">
        <v>-3.0188290000000002</v>
      </c>
      <c r="T4069">
        <v>-0.1298002</v>
      </c>
      <c r="U4069">
        <v>0.15129089999999901</v>
      </c>
      <c r="V4069">
        <v>-9.4424499999999995E-2</v>
      </c>
      <c r="W4069">
        <v>-1.254976E-2</v>
      </c>
      <c r="X4069">
        <v>0.99545289999999997</v>
      </c>
      <c r="Y4069">
        <v>3.470082E-2</v>
      </c>
      <c r="Z4069">
        <v>5.1685420000000004E-4</v>
      </c>
      <c r="AA4069">
        <v>0.9993976</v>
      </c>
      <c r="AB4069">
        <v>40</v>
      </c>
      <c r="AC4069">
        <v>-25.532299999999999</v>
      </c>
      <c r="AD4069">
        <v>-1.1096019981759999</v>
      </c>
      <c r="AE4069">
        <v>1.2891999999999899</v>
      </c>
      <c r="AF4069">
        <v>0.89593861580124301</v>
      </c>
      <c r="AG4069">
        <v>-1.1096019981759999</v>
      </c>
      <c r="AH4069">
        <v>25.501023148533601</v>
      </c>
      <c r="AI4069">
        <v>92.489951361146396</v>
      </c>
      <c r="AJ4069">
        <v>87.987829923359996</v>
      </c>
      <c r="AK4069">
        <v>25.540871250207701</v>
      </c>
      <c r="AL4069">
        <v>90.719067172650398</v>
      </c>
      <c r="AM4069">
        <v>95.418625307037004</v>
      </c>
      <c r="AN4069">
        <v>0.99999997939735796</v>
      </c>
    </row>
    <row r="4070" spans="1:40" x14ac:dyDescent="0.25">
      <c r="A4070" t="str">
        <f>"20190305135911301"</f>
        <v>20190305135911301</v>
      </c>
      <c r="B4070" t="str">
        <f>"1551765551293448"</f>
        <v>1551765551293448</v>
      </c>
      <c r="C4070" t="s">
        <v>40</v>
      </c>
      <c r="D4070">
        <v>4.1057920000000001</v>
      </c>
      <c r="E4070">
        <v>0.54938969999999998</v>
      </c>
      <c r="F4070" t="s">
        <v>42</v>
      </c>
      <c r="G4070">
        <v>-350.87799999999999</v>
      </c>
      <c r="H4070" s="1">
        <v>-4.5644680000000001E-6</v>
      </c>
      <c r="I4070">
        <v>142.92689999999999</v>
      </c>
      <c r="J4070">
        <v>-324.51389999999998</v>
      </c>
      <c r="K4070">
        <v>1.1095410000000001</v>
      </c>
      <c r="L4070">
        <v>141.5736</v>
      </c>
      <c r="M4070">
        <v>-0.99980159999999996</v>
      </c>
      <c r="N4070">
        <v>-1.308279E-2</v>
      </c>
      <c r="O4070">
        <v>1.502068E-2</v>
      </c>
      <c r="P4070">
        <v>-0.99648840000000005</v>
      </c>
      <c r="Q4070">
        <v>-2.542954E-2</v>
      </c>
      <c r="R4070">
        <v>-7.977882E-2</v>
      </c>
      <c r="S4070">
        <v>-3.019409</v>
      </c>
      <c r="T4070">
        <v>-0.12516060000000001</v>
      </c>
      <c r="U4070">
        <v>0.15332029999999999</v>
      </c>
      <c r="V4070">
        <v>-9.4727400000000003E-2</v>
      </c>
      <c r="W4070">
        <v>-1.249456E-2</v>
      </c>
      <c r="X4070">
        <v>0.9954248</v>
      </c>
      <c r="Y4070">
        <v>3.5670359999999998E-2</v>
      </c>
      <c r="Z4070">
        <v>5.4660500000000003E-4</v>
      </c>
      <c r="AA4070">
        <v>0.99936349999999996</v>
      </c>
      <c r="AB4070">
        <v>40</v>
      </c>
      <c r="AC4070">
        <v>-26.364100000000001</v>
      </c>
      <c r="AD4070">
        <v>-1.1095455644679999</v>
      </c>
      <c r="AE4070">
        <v>1.35329999999999</v>
      </c>
      <c r="AF4070">
        <v>0.955418920391648</v>
      </c>
      <c r="AG4070">
        <v>-1.1095455644679999</v>
      </c>
      <c r="AH4070">
        <v>26.3349328957142</v>
      </c>
      <c r="AI4070">
        <v>92.410979383403102</v>
      </c>
      <c r="AJ4070">
        <v>87.922247457868906</v>
      </c>
      <c r="AK4070">
        <v>26.3756062924598</v>
      </c>
      <c r="AL4070">
        <v>90.7159042090165</v>
      </c>
      <c r="AM4070">
        <v>95.436056043242601</v>
      </c>
      <c r="AN4070">
        <v>0.99999996339769603</v>
      </c>
    </row>
    <row r="4071" spans="1:40" x14ac:dyDescent="0.25">
      <c r="A4071" t="str">
        <f>"20190305135911313"</f>
        <v>20190305135911313</v>
      </c>
      <c r="B4071" t="str">
        <f>"1551765551303209"</f>
        <v>1551765551303209</v>
      </c>
      <c r="C4071" t="s">
        <v>40</v>
      </c>
      <c r="D4071">
        <v>4.0959209999999997</v>
      </c>
      <c r="E4071">
        <v>0.54968159999999999</v>
      </c>
      <c r="F4071" t="s">
        <v>42</v>
      </c>
      <c r="G4071">
        <v>-352.87</v>
      </c>
      <c r="H4071" s="1">
        <v>-3.9082720000000004E-6</v>
      </c>
      <c r="I4071">
        <v>143.04910000000001</v>
      </c>
      <c r="J4071">
        <v>-324.76080000000002</v>
      </c>
      <c r="K4071">
        <v>1.109499</v>
      </c>
      <c r="L4071">
        <v>141.5771</v>
      </c>
      <c r="M4071">
        <v>-0.99980440000000004</v>
      </c>
      <c r="N4071">
        <v>-1.303998E-2</v>
      </c>
      <c r="O4071">
        <v>1.48719E-2</v>
      </c>
      <c r="P4071">
        <v>-0.99645499999999998</v>
      </c>
      <c r="Q4071">
        <v>-2.5267069999999999E-2</v>
      </c>
      <c r="R4071">
        <v>-8.0245479999999994E-2</v>
      </c>
      <c r="S4071">
        <v>-3.0201419999999999</v>
      </c>
      <c r="T4071">
        <v>-0.1181749</v>
      </c>
      <c r="U4071">
        <v>0.15716550000000001</v>
      </c>
      <c r="V4071">
        <v>-9.5047000000000006E-2</v>
      </c>
      <c r="W4071">
        <v>-1.236668E-2</v>
      </c>
      <c r="X4071">
        <v>0.99539599999999995</v>
      </c>
      <c r="Y4071">
        <v>3.7077300000000001E-2</v>
      </c>
      <c r="Z4071">
        <v>5.7921809999999998E-4</v>
      </c>
      <c r="AA4071">
        <v>0.99931219999999998</v>
      </c>
      <c r="AB4071">
        <v>40</v>
      </c>
      <c r="AC4071">
        <v>-28.109199999999898</v>
      </c>
      <c r="AD4071">
        <v>-1.109502908272</v>
      </c>
      <c r="AE4071">
        <v>1.472</v>
      </c>
      <c r="AF4071">
        <v>1.05212972617474</v>
      </c>
      <c r="AG4071">
        <v>-1.109502908272</v>
      </c>
      <c r="AH4071">
        <v>28.084349097897</v>
      </c>
      <c r="AI4071">
        <v>92.260771625215497</v>
      </c>
      <c r="AJ4071">
        <v>87.854519815111701</v>
      </c>
      <c r="AK4071">
        <v>28.125942436062701</v>
      </c>
      <c r="AL4071">
        <v>90.708576609768201</v>
      </c>
      <c r="AM4071">
        <v>95.454443147631594</v>
      </c>
      <c r="AN4071">
        <v>1.0000000318996101</v>
      </c>
    </row>
    <row r="4072" spans="1:40" x14ac:dyDescent="0.25">
      <c r="A4072" t="str">
        <f>"20190305135911327"</f>
        <v>20190305135911327</v>
      </c>
      <c r="B4072" t="str">
        <f>"1551765551322729"</f>
        <v>1551765551322729</v>
      </c>
      <c r="C4072" t="s">
        <v>40</v>
      </c>
      <c r="D4072">
        <v>4.0741909999999999</v>
      </c>
      <c r="E4072">
        <v>0.55023259999999996</v>
      </c>
      <c r="F4072" t="s">
        <v>42</v>
      </c>
      <c r="G4072">
        <v>-353.97620000000001</v>
      </c>
      <c r="H4072" s="1">
        <v>-3.4946270000000001E-6</v>
      </c>
      <c r="I4072">
        <v>143.1044</v>
      </c>
      <c r="J4072">
        <v>-324.97669999999999</v>
      </c>
      <c r="K4072">
        <v>1.1094580000000001</v>
      </c>
      <c r="L4072">
        <v>141.58019999999999</v>
      </c>
      <c r="M4072">
        <v>-0.99980639999999998</v>
      </c>
      <c r="N4072">
        <v>-1.300367E-2</v>
      </c>
      <c r="O4072">
        <v>1.4766619999999999E-2</v>
      </c>
      <c r="P4072">
        <v>-0.9964326</v>
      </c>
      <c r="Q4072">
        <v>-2.508318E-2</v>
      </c>
      <c r="R4072">
        <v>-8.0578150000000001E-2</v>
      </c>
      <c r="S4072">
        <v>-3.020508</v>
      </c>
      <c r="T4072">
        <v>-0.1147089</v>
      </c>
      <c r="U4072">
        <v>0.1579132</v>
      </c>
      <c r="V4072">
        <v>-9.5275460000000006E-2</v>
      </c>
      <c r="W4072">
        <v>-1.2211629999999999E-2</v>
      </c>
      <c r="X4072">
        <v>0.99537609999999999</v>
      </c>
      <c r="Y4072">
        <v>3.7424079999999998E-2</v>
      </c>
      <c r="Z4072">
        <v>5.8524219999999999E-4</v>
      </c>
      <c r="AA4072">
        <v>0.9992993</v>
      </c>
      <c r="AB4072">
        <v>40</v>
      </c>
      <c r="AC4072">
        <v>-28.999500000000001</v>
      </c>
      <c r="AD4072">
        <v>-1.1094614946269901</v>
      </c>
      <c r="AE4072">
        <v>1.5242</v>
      </c>
      <c r="AF4072">
        <v>1.09417587346947</v>
      </c>
      <c r="AG4072">
        <v>-1.1094614946269901</v>
      </c>
      <c r="AH4072">
        <v>28.976551468207798</v>
      </c>
      <c r="AI4072">
        <v>92.191124106350998</v>
      </c>
      <c r="AJ4072">
        <v>87.8374966963855</v>
      </c>
      <c r="AK4072">
        <v>29.018419333930598</v>
      </c>
      <c r="AL4072">
        <v>90.699692209693694</v>
      </c>
      <c r="AM4072">
        <v>95.467583030699501</v>
      </c>
      <c r="AN4072">
        <v>1.00000005881833</v>
      </c>
    </row>
    <row r="4073" spans="1:40" x14ac:dyDescent="0.25">
      <c r="A4073" t="str">
        <f>"20190305135911344"</f>
        <v>20190305135911344</v>
      </c>
      <c r="B4073" t="str">
        <f>"1551765551333465"</f>
        <v>1551765551333465</v>
      </c>
      <c r="C4073" t="s">
        <v>40</v>
      </c>
      <c r="D4073">
        <v>4.0920350000000001</v>
      </c>
      <c r="E4073">
        <v>0.55023259999999996</v>
      </c>
      <c r="F4073" t="s">
        <v>42</v>
      </c>
      <c r="G4073">
        <v>-355.82380000000001</v>
      </c>
      <c r="H4073" s="1">
        <v>-2.7333839999999999E-6</v>
      </c>
      <c r="I4073">
        <v>143.22229999999999</v>
      </c>
      <c r="J4073">
        <v>-325.28769999999997</v>
      </c>
      <c r="K4073">
        <v>1.1094040000000001</v>
      </c>
      <c r="L4073">
        <v>141.5847</v>
      </c>
      <c r="M4073">
        <v>-0.9998089</v>
      </c>
      <c r="N4073">
        <v>-1.295061E-2</v>
      </c>
      <c r="O4073">
        <v>1.464529E-2</v>
      </c>
      <c r="P4073">
        <v>-0.99637030000000004</v>
      </c>
      <c r="Q4073">
        <v>-2.4827040000000002E-2</v>
      </c>
      <c r="R4073">
        <v>-8.1426559999999995E-2</v>
      </c>
      <c r="S4073">
        <v>-3.0210569999999999</v>
      </c>
      <c r="T4073">
        <v>-0.1086568</v>
      </c>
      <c r="U4073">
        <v>0.16082759999999999</v>
      </c>
      <c r="V4073">
        <v>-9.6003790000000006E-2</v>
      </c>
      <c r="W4073">
        <v>-1.199858E-2</v>
      </c>
      <c r="X4073">
        <v>0.99530859999999999</v>
      </c>
      <c r="Y4073">
        <v>3.8498839999999999E-2</v>
      </c>
      <c r="Z4073">
        <v>6.0460089999999896E-4</v>
      </c>
      <c r="AA4073">
        <v>0.99925850000000005</v>
      </c>
      <c r="AB4073">
        <v>40</v>
      </c>
      <c r="AC4073">
        <v>-30.536100000000001</v>
      </c>
      <c r="AD4073">
        <v>-1.1094067333840001</v>
      </c>
      <c r="AE4073">
        <v>1.63759999999999</v>
      </c>
      <c r="AF4073">
        <v>1.18861240384789</v>
      </c>
      <c r="AG4073">
        <v>-1.1094067333840001</v>
      </c>
      <c r="AH4073">
        <v>30.5166450009812</v>
      </c>
      <c r="AI4073">
        <v>92.080446439922497</v>
      </c>
      <c r="AJ4073">
        <v>87.769477389017894</v>
      </c>
      <c r="AK4073">
        <v>30.5599280899443</v>
      </c>
      <c r="AL4073">
        <v>90.687484523942103</v>
      </c>
      <c r="AM4073">
        <v>95.509494929159899</v>
      </c>
      <c r="AN4073">
        <v>0.99999995142516895</v>
      </c>
    </row>
    <row r="4074" spans="1:40" x14ac:dyDescent="0.25">
      <c r="A4074" t="str">
        <f>"20190305135911359"</f>
        <v>20190305135911359</v>
      </c>
      <c r="B4074" t="str">
        <f>"1551765551352984"</f>
        <v>1551765551352984</v>
      </c>
      <c r="C4074" t="s">
        <v>40</v>
      </c>
      <c r="D4074">
        <v>4.0974370000000002</v>
      </c>
      <c r="E4074">
        <v>0.55804469999999995</v>
      </c>
      <c r="F4074" t="s">
        <v>42</v>
      </c>
      <c r="G4074">
        <v>-356.36840000000001</v>
      </c>
      <c r="H4074" s="1">
        <v>-2.497225E-6</v>
      </c>
      <c r="I4074">
        <v>143.21289999999999</v>
      </c>
      <c r="J4074">
        <v>-325.55430000000001</v>
      </c>
      <c r="K4074">
        <v>1.109367</v>
      </c>
      <c r="L4074">
        <v>141.58850000000001</v>
      </c>
      <c r="M4074">
        <v>-0.99981070000000005</v>
      </c>
      <c r="N4074">
        <v>-1.290298E-2</v>
      </c>
      <c r="O4074">
        <v>1.456961E-2</v>
      </c>
      <c r="P4074">
        <v>-0.99633649999999996</v>
      </c>
      <c r="Q4074">
        <v>-2.471665E-2</v>
      </c>
      <c r="R4074">
        <v>-8.1871869999999999E-2</v>
      </c>
      <c r="S4074">
        <v>-3.0211790000000001</v>
      </c>
      <c r="T4074">
        <v>-0.1078392</v>
      </c>
      <c r="U4074">
        <v>0.15827939999999999</v>
      </c>
      <c r="V4074">
        <v>-9.637453E-2</v>
      </c>
      <c r="W4074">
        <v>-1.192707E-2</v>
      </c>
      <c r="X4074">
        <v>0.99527359999999998</v>
      </c>
      <c r="Y4074">
        <v>3.7732889999999998E-2</v>
      </c>
      <c r="Z4074">
        <v>5.8485349999999896E-4</v>
      </c>
      <c r="AA4074">
        <v>0.9992877</v>
      </c>
      <c r="AB4074">
        <v>40</v>
      </c>
      <c r="AC4074">
        <v>-30.8141</v>
      </c>
      <c r="AD4074">
        <v>-1.1093694972249999</v>
      </c>
      <c r="AE4074">
        <v>1.6243999999999801</v>
      </c>
      <c r="AF4074">
        <v>1.17372370173686</v>
      </c>
      <c r="AG4074">
        <v>-1.1093694972249999</v>
      </c>
      <c r="AH4074">
        <v>30.794693853069202</v>
      </c>
      <c r="AI4074">
        <v>92.061675183371605</v>
      </c>
      <c r="AJ4074">
        <v>87.817257791578101</v>
      </c>
      <c r="AK4074">
        <v>30.8370150551841</v>
      </c>
      <c r="AL4074">
        <v>90.683387029490603</v>
      </c>
      <c r="AM4074">
        <v>95.530832690772598</v>
      </c>
      <c r="AN4074">
        <v>0.99999992194422904</v>
      </c>
    </row>
    <row r="4075" spans="1:40" x14ac:dyDescent="0.25">
      <c r="A4075" t="str">
        <f>"20190305135911373"</f>
        <v>20190305135911373</v>
      </c>
      <c r="B4075" t="str">
        <f>"1551765551362744"</f>
        <v>1551765551362744</v>
      </c>
      <c r="C4075" t="s">
        <v>40</v>
      </c>
      <c r="D4075">
        <v>4.0691059999999997</v>
      </c>
      <c r="E4075">
        <v>0.55796060000000003</v>
      </c>
      <c r="F4075" t="s">
        <v>42</v>
      </c>
      <c r="G4075">
        <v>-386.32080000000002</v>
      </c>
      <c r="H4075" s="1">
        <v>-3.2364430000000002E-6</v>
      </c>
      <c r="I4075">
        <v>145.9143</v>
      </c>
      <c r="J4075">
        <v>-325.80829999999997</v>
      </c>
      <c r="K4075">
        <v>1.1093280000000001</v>
      </c>
      <c r="L4075">
        <v>141.59209999999999</v>
      </c>
      <c r="M4075">
        <v>-0.99981180000000003</v>
      </c>
      <c r="N4075">
        <v>-1.2857499999999999E-2</v>
      </c>
      <c r="O4075">
        <v>1.452577E-2</v>
      </c>
      <c r="P4075">
        <v>-0.99632969999999998</v>
      </c>
      <c r="Q4075">
        <v>-2.4447300000000002E-2</v>
      </c>
      <c r="R4075">
        <v>-8.2034220000000005E-2</v>
      </c>
      <c r="S4075">
        <v>-3.0273439999999998</v>
      </c>
      <c r="T4075">
        <v>-5.5268049999999999E-2</v>
      </c>
      <c r="U4075">
        <v>0.21551509999999999</v>
      </c>
      <c r="V4075">
        <v>-9.6493910000000002E-2</v>
      </c>
      <c r="W4075">
        <v>-1.1695209999999999E-2</v>
      </c>
      <c r="X4075">
        <v>0.99526490000000001</v>
      </c>
      <c r="Y4075">
        <v>5.6496230000000001E-2</v>
      </c>
      <c r="Z4075">
        <v>8.0050990000000001E-4</v>
      </c>
      <c r="AA4075">
        <v>0.99840249999999997</v>
      </c>
      <c r="AB4075">
        <v>40</v>
      </c>
      <c r="AC4075">
        <v>-60.512500000000003</v>
      </c>
      <c r="AD4075">
        <v>-1.1093312364429999</v>
      </c>
      <c r="AE4075">
        <v>4.3221999999999996</v>
      </c>
      <c r="AF4075">
        <v>3.4415298378029502</v>
      </c>
      <c r="AG4075">
        <v>-1.1093312364429999</v>
      </c>
      <c r="AH4075">
        <v>60.548657654483002</v>
      </c>
      <c r="AI4075">
        <v>91.047925775164998</v>
      </c>
      <c r="AJ4075">
        <v>86.746861026007394</v>
      </c>
      <c r="AK4075">
        <v>60.656530457786801</v>
      </c>
      <c r="AL4075">
        <v>90.670101425240304</v>
      </c>
      <c r="AM4075">
        <v>95.537689329536903</v>
      </c>
      <c r="AN4075">
        <v>1.00000003688802</v>
      </c>
    </row>
    <row r="4076" spans="1:40" x14ac:dyDescent="0.25">
      <c r="A4076" t="str">
        <f>"20190305135911389"</f>
        <v>20190305135911389</v>
      </c>
      <c r="B4076" t="str">
        <f>"1551765551383243"</f>
        <v>1551765551383243</v>
      </c>
      <c r="C4076" t="s">
        <v>40</v>
      </c>
      <c r="D4076">
        <v>4.1195899999999996</v>
      </c>
      <c r="E4076">
        <v>0.55787189999999998</v>
      </c>
      <c r="F4076" t="s">
        <v>42</v>
      </c>
      <c r="G4076">
        <v>-386.52120000000002</v>
      </c>
      <c r="H4076" s="1">
        <v>-3.144087E-6</v>
      </c>
      <c r="I4076">
        <v>145.8903</v>
      </c>
      <c r="J4076">
        <v>-326.08429999999998</v>
      </c>
      <c r="K4076">
        <v>1.1092949999999999</v>
      </c>
      <c r="L4076">
        <v>141.59610000000001</v>
      </c>
      <c r="M4076">
        <v>-0.9998129</v>
      </c>
      <c r="N4076">
        <v>-1.280801E-2</v>
      </c>
      <c r="O4076">
        <v>1.449486E-2</v>
      </c>
      <c r="P4076">
        <v>-0.9963244</v>
      </c>
      <c r="Q4076">
        <v>-2.3964920000000001E-2</v>
      </c>
      <c r="R4076">
        <v>-8.2239950000000006E-2</v>
      </c>
      <c r="S4076">
        <v>-3.0273439999999998</v>
      </c>
      <c r="T4076">
        <v>-5.53149E-2</v>
      </c>
      <c r="U4076">
        <v>0.21432499999999999</v>
      </c>
      <c r="V4076">
        <v>-9.6669980000000003E-2</v>
      </c>
      <c r="W4076">
        <v>-1.125461E-2</v>
      </c>
      <c r="X4076">
        <v>0.99525280000000005</v>
      </c>
      <c r="Y4076">
        <v>5.613667E-2</v>
      </c>
      <c r="Z4076">
        <v>7.9318619999999896E-4</v>
      </c>
      <c r="AA4076">
        <v>0.99842280000000005</v>
      </c>
      <c r="AB4076">
        <v>40</v>
      </c>
      <c r="AC4076">
        <v>-60.436900000000001</v>
      </c>
      <c r="AD4076">
        <v>-1.109298144087</v>
      </c>
      <c r="AE4076">
        <v>4.2941999999999796</v>
      </c>
      <c r="AF4076">
        <v>3.4165073028667998</v>
      </c>
      <c r="AG4076">
        <v>-1.109298144087</v>
      </c>
      <c r="AH4076">
        <v>60.472528186264</v>
      </c>
      <c r="AI4076">
        <v>91.049233710018896</v>
      </c>
      <c r="AJ4076">
        <v>86.766406493409093</v>
      </c>
      <c r="AK4076">
        <v>60.579119585559503</v>
      </c>
      <c r="AL4076">
        <v>90.644855303495802</v>
      </c>
      <c r="AM4076">
        <v>95.547797858386701</v>
      </c>
      <c r="AN4076">
        <v>0.99999994359364397</v>
      </c>
    </row>
    <row r="4077" spans="1:40" x14ac:dyDescent="0.25">
      <c r="A4077" t="str">
        <f>"20190305135911402"</f>
        <v>20190305135911402</v>
      </c>
      <c r="B4077" t="str">
        <f>"1551765551393000"</f>
        <v>1551765551393000</v>
      </c>
      <c r="C4077" t="s">
        <v>40</v>
      </c>
      <c r="D4077">
        <v>4.078748</v>
      </c>
      <c r="E4077">
        <v>0.55770220000000004</v>
      </c>
      <c r="F4077" t="s">
        <v>42</v>
      </c>
      <c r="G4077">
        <v>-385.85489999999999</v>
      </c>
      <c r="H4077" s="1">
        <v>-3.3817199999999999E-6</v>
      </c>
      <c r="I4077">
        <v>145.80709999999999</v>
      </c>
      <c r="J4077">
        <v>-326.33170000000001</v>
      </c>
      <c r="K4077">
        <v>1.1092649999999999</v>
      </c>
      <c r="L4077">
        <v>141.59960000000001</v>
      </c>
      <c r="M4077">
        <v>-0.99981390000000003</v>
      </c>
      <c r="N4077">
        <v>-1.2764309999999999E-2</v>
      </c>
      <c r="O4077">
        <v>1.4477800000000001E-2</v>
      </c>
      <c r="P4077">
        <v>-0.99632359999999998</v>
      </c>
      <c r="Q4077">
        <v>-2.3822260000000001E-2</v>
      </c>
      <c r="R4077">
        <v>-8.2291429999999999E-2</v>
      </c>
      <c r="S4077">
        <v>-3.0273129999999999</v>
      </c>
      <c r="T4077">
        <v>-5.6184650000000003E-2</v>
      </c>
      <c r="U4077">
        <v>0.21328739999999999</v>
      </c>
      <c r="V4077">
        <v>-9.6705700000000006E-2</v>
      </c>
      <c r="W4077">
        <v>-1.1149360000000001E-2</v>
      </c>
      <c r="X4077">
        <v>0.99525059999999999</v>
      </c>
      <c r="Y4077">
        <v>5.5813649999999999E-2</v>
      </c>
      <c r="Z4077">
        <v>7.9026349999999999E-4</v>
      </c>
      <c r="AA4077">
        <v>0.99844089999999996</v>
      </c>
      <c r="AB4077">
        <v>40</v>
      </c>
      <c r="AC4077">
        <v>-59.523199999999903</v>
      </c>
      <c r="AD4077">
        <v>-1.10926838172</v>
      </c>
      <c r="AE4077">
        <v>4.20749999999998</v>
      </c>
      <c r="AF4077">
        <v>3.34406829798725</v>
      </c>
      <c r="AG4077">
        <v>-1.10926838172</v>
      </c>
      <c r="AH4077">
        <v>59.557299502940197</v>
      </c>
      <c r="AI4077">
        <v>91.065346040796499</v>
      </c>
      <c r="AJ4077">
        <v>86.786287674132396</v>
      </c>
      <c r="AK4077">
        <v>59.661421314004897</v>
      </c>
      <c r="AL4077">
        <v>90.638824489580401</v>
      </c>
      <c r="AM4077">
        <v>95.549847190528794</v>
      </c>
      <c r="AN4077">
        <v>1.0000000287206201</v>
      </c>
    </row>
    <row r="4078" spans="1:40" x14ac:dyDescent="0.25">
      <c r="A4078" t="str">
        <f>"20190305135911415"</f>
        <v>20190305135911415</v>
      </c>
      <c r="B4078" t="str">
        <f>"1551765551413496"</f>
        <v>1551765551413496</v>
      </c>
      <c r="C4078" t="s">
        <v>40</v>
      </c>
      <c r="D4078">
        <v>4.0440829999999997</v>
      </c>
      <c r="E4078">
        <v>0.55745129999999998</v>
      </c>
      <c r="F4078" t="s">
        <v>42</v>
      </c>
      <c r="G4078">
        <v>-370.05110000000002</v>
      </c>
      <c r="H4078" s="1">
        <v>-5.1565599999999996E-6</v>
      </c>
      <c r="I4078">
        <v>144.67830000000001</v>
      </c>
      <c r="J4078">
        <v>-326.5566</v>
      </c>
      <c r="K4078">
        <v>1.1092420000000001</v>
      </c>
      <c r="L4078">
        <v>141.6028</v>
      </c>
      <c r="M4078">
        <v>-0.99981450000000005</v>
      </c>
      <c r="N4078">
        <v>-1.272568E-2</v>
      </c>
      <c r="O4078">
        <v>1.4469859999999999E-2</v>
      </c>
      <c r="P4078">
        <v>-0.99631400000000003</v>
      </c>
      <c r="Q4078">
        <v>-2.3904040000000001E-2</v>
      </c>
      <c r="R4078">
        <v>-8.238798E-2</v>
      </c>
      <c r="S4078">
        <v>-3.0268250000000001</v>
      </c>
      <c r="T4078">
        <v>-7.6798080000000005E-2</v>
      </c>
      <c r="U4078">
        <v>0.21315000000000001</v>
      </c>
      <c r="V4078">
        <v>-9.6793850000000001E-2</v>
      </c>
      <c r="W4078">
        <v>-1.126485E-2</v>
      </c>
      <c r="X4078">
        <v>0.99524069999999998</v>
      </c>
      <c r="Y4078">
        <v>5.5778029999999999E-2</v>
      </c>
      <c r="Z4078">
        <v>8.7943519999999999E-4</v>
      </c>
      <c r="AA4078">
        <v>0.99844279999999996</v>
      </c>
      <c r="AB4078">
        <v>40</v>
      </c>
      <c r="AC4078">
        <v>-43.494500000000002</v>
      </c>
      <c r="AD4078">
        <v>-1.1092471565599999</v>
      </c>
      <c r="AE4078">
        <v>3.0754999999999999</v>
      </c>
      <c r="AF4078">
        <v>2.44418596443492</v>
      </c>
      <c r="AG4078">
        <v>-1.1092471565599999</v>
      </c>
      <c r="AH4078">
        <v>43.506295105572299</v>
      </c>
      <c r="AI4078">
        <v>91.458212415236204</v>
      </c>
      <c r="AJ4078">
        <v>86.784500146747106</v>
      </c>
      <c r="AK4078">
        <v>43.5890145345845</v>
      </c>
      <c r="AL4078">
        <v>90.645442014008097</v>
      </c>
      <c r="AM4078">
        <v>95.554929318462001</v>
      </c>
      <c r="AN4078">
        <v>0.99999999858991695</v>
      </c>
    </row>
    <row r="4079" spans="1:40" x14ac:dyDescent="0.25">
      <c r="A4079" t="str">
        <f>"20190305135911434"</f>
        <v>20190305135911434</v>
      </c>
      <c r="B4079" t="str">
        <f>"1551765551423256"</f>
        <v>1551765551423256</v>
      </c>
      <c r="C4079" t="s">
        <v>40</v>
      </c>
      <c r="D4079">
        <v>4.0465869999999997</v>
      </c>
      <c r="E4079">
        <v>0.55739680000000003</v>
      </c>
      <c r="F4079" t="s">
        <v>42</v>
      </c>
      <c r="G4079">
        <v>-358.11079999999998</v>
      </c>
      <c r="H4079" s="1">
        <v>-1.91241E-6</v>
      </c>
      <c r="I4079">
        <v>143.82419999999999</v>
      </c>
      <c r="J4079">
        <v>-326.89100000000002</v>
      </c>
      <c r="K4079">
        <v>1.1092109999999999</v>
      </c>
      <c r="L4079">
        <v>141.60769999999999</v>
      </c>
      <c r="M4079">
        <v>-0.99981520000000002</v>
      </c>
      <c r="N4079">
        <v>-1.267224E-2</v>
      </c>
      <c r="O4079">
        <v>1.44668E-2</v>
      </c>
      <c r="P4079">
        <v>-0.99630730000000001</v>
      </c>
      <c r="Q4079">
        <v>-2.3313710000000001E-2</v>
      </c>
      <c r="R4079">
        <v>-8.2634739999999998E-2</v>
      </c>
      <c r="S4079">
        <v>-3.0261230000000001</v>
      </c>
      <c r="T4079">
        <v>-0.1063793</v>
      </c>
      <c r="U4079">
        <v>0.21304319999999999</v>
      </c>
      <c r="V4079">
        <v>-9.7038340000000001E-2</v>
      </c>
      <c r="W4079">
        <v>-1.0721899999999999E-2</v>
      </c>
      <c r="X4079">
        <v>0.99522290000000002</v>
      </c>
      <c r="Y4079">
        <v>5.5744929999999998E-2</v>
      </c>
      <c r="Z4079">
        <v>1.007513E-3</v>
      </c>
      <c r="AA4079">
        <v>0.99844460000000002</v>
      </c>
      <c r="AB4079">
        <v>40</v>
      </c>
      <c r="AC4079">
        <v>-31.219799999999999</v>
      </c>
      <c r="AD4079">
        <v>-1.1092129124099901</v>
      </c>
      <c r="AE4079">
        <v>2.2164999999999901</v>
      </c>
      <c r="AF4079">
        <v>1.7623676897827301</v>
      </c>
      <c r="AG4079">
        <v>-1.1092129124099901</v>
      </c>
      <c r="AH4079">
        <v>31.2094018851231</v>
      </c>
      <c r="AI4079">
        <v>92.032256836882496</v>
      </c>
      <c r="AJ4079">
        <v>86.767989784136702</v>
      </c>
      <c r="AK4079">
        <v>31.278795679919899</v>
      </c>
      <c r="AL4079">
        <v>90.614331383331603</v>
      </c>
      <c r="AM4079">
        <v>95.568971308897005</v>
      </c>
      <c r="AN4079">
        <v>1.0000000096269801</v>
      </c>
    </row>
    <row r="4080" spans="1:40" x14ac:dyDescent="0.25">
      <c r="A4080" t="str">
        <f>"20190305135911457"</f>
        <v>20190305135911457</v>
      </c>
      <c r="B4080" t="str">
        <f>"1551765551453513"</f>
        <v>1551765551453513</v>
      </c>
      <c r="C4080" t="s">
        <v>40</v>
      </c>
      <c r="D4080">
        <v>4.0413750000000004</v>
      </c>
      <c r="E4080">
        <v>0.55746359999999995</v>
      </c>
      <c r="F4080" t="s">
        <v>42</v>
      </c>
      <c r="G4080">
        <v>-356.19690000000003</v>
      </c>
      <c r="H4080" s="1">
        <v>-2.6913840000000002E-6</v>
      </c>
      <c r="I4080">
        <v>143.6661</v>
      </c>
      <c r="J4080">
        <v>-327.279</v>
      </c>
      <c r="K4080">
        <v>1.109181</v>
      </c>
      <c r="L4080">
        <v>141.61320000000001</v>
      </c>
      <c r="M4080">
        <v>-0.99981589999999998</v>
      </c>
      <c r="N4080">
        <v>-1.261558E-2</v>
      </c>
      <c r="O4080">
        <v>1.4469030000000001E-2</v>
      </c>
      <c r="P4080">
        <v>-0.99630680000000005</v>
      </c>
      <c r="Q4080">
        <v>-2.3082200000000001E-2</v>
      </c>
      <c r="R4080">
        <v>-8.2705059999999997E-2</v>
      </c>
      <c r="S4080">
        <v>-3.0260310000000001</v>
      </c>
      <c r="T4080">
        <v>-0.114534</v>
      </c>
      <c r="U4080">
        <v>0.21255489999999999</v>
      </c>
      <c r="V4080">
        <v>-9.7111610000000001E-2</v>
      </c>
      <c r="W4080">
        <v>-1.054122E-2</v>
      </c>
      <c r="X4080">
        <v>0.99521769999999998</v>
      </c>
      <c r="Y4080">
        <v>5.557927E-2</v>
      </c>
      <c r="Z4080">
        <v>1.03696E-3</v>
      </c>
      <c r="AA4080">
        <v>0.9984537</v>
      </c>
      <c r="AB4080">
        <v>40</v>
      </c>
      <c r="AC4080">
        <v>-28.917899999999999</v>
      </c>
      <c r="AD4080">
        <v>-1.1091836913840001</v>
      </c>
      <c r="AE4080">
        <v>2.05289999999999</v>
      </c>
      <c r="AF4080">
        <v>1.6318491254565</v>
      </c>
      <c r="AG4080">
        <v>-1.1091836913840001</v>
      </c>
      <c r="AH4080">
        <v>28.902270197996899</v>
      </c>
      <c r="AI4080">
        <v>92.194272828867597</v>
      </c>
      <c r="AJ4080">
        <v>86.768457825149994</v>
      </c>
      <c r="AK4080">
        <v>28.969543362426499</v>
      </c>
      <c r="AL4080">
        <v>90.603978586827097</v>
      </c>
      <c r="AM4080">
        <v>95.573178702964398</v>
      </c>
      <c r="AN4080">
        <v>1.0000000262545801</v>
      </c>
    </row>
    <row r="4081" spans="1:40" x14ac:dyDescent="0.25">
      <c r="A4081" t="str">
        <f>"20190305135911478"</f>
        <v>20190305135911478</v>
      </c>
      <c r="B4081" t="str">
        <f>"1551765551473031"</f>
        <v>1551765551473031</v>
      </c>
      <c r="C4081" t="s">
        <v>40</v>
      </c>
      <c r="D4081">
        <v>4.0607430000000004</v>
      </c>
      <c r="E4081">
        <v>0.55754049999999999</v>
      </c>
      <c r="F4081" t="s">
        <v>42</v>
      </c>
      <c r="G4081">
        <v>-352.01400000000001</v>
      </c>
      <c r="H4081" s="1">
        <v>-4.2556460000000004E-6</v>
      </c>
      <c r="I4081">
        <v>143.36519999999999</v>
      </c>
      <c r="J4081">
        <v>-327.66820000000001</v>
      </c>
      <c r="K4081">
        <v>1.109164</v>
      </c>
      <c r="L4081">
        <v>141.6189</v>
      </c>
      <c r="M4081">
        <v>-0.99981620000000004</v>
      </c>
      <c r="N4081">
        <v>-1.2573630000000001E-2</v>
      </c>
      <c r="O4081">
        <v>1.447412E-2</v>
      </c>
      <c r="P4081">
        <v>-0.99629800000000002</v>
      </c>
      <c r="Q4081">
        <v>-2.2317489999999999E-2</v>
      </c>
      <c r="R4081">
        <v>-8.3021600000000001E-2</v>
      </c>
      <c r="S4081">
        <v>-3.0257260000000001</v>
      </c>
      <c r="T4081">
        <v>-0.13568169999999999</v>
      </c>
      <c r="U4081">
        <v>0.21432499999999999</v>
      </c>
      <c r="V4081">
        <v>-9.743359E-2</v>
      </c>
      <c r="W4081">
        <v>-9.8141879999999997E-3</v>
      </c>
      <c r="X4081">
        <v>0.99519369999999996</v>
      </c>
      <c r="Y4081">
        <v>5.6146229999999998E-2</v>
      </c>
      <c r="Z4081">
        <v>1.1442449999999999E-3</v>
      </c>
      <c r="AA4081">
        <v>0.99842189999999997</v>
      </c>
      <c r="AB4081">
        <v>40</v>
      </c>
      <c r="AC4081">
        <v>-24.345800000000001</v>
      </c>
      <c r="AD4081">
        <v>-1.1091682556460001</v>
      </c>
      <c r="AE4081">
        <v>1.74629999999999</v>
      </c>
      <c r="AF4081">
        <v>1.39083309555297</v>
      </c>
      <c r="AG4081">
        <v>-1.1091682556460001</v>
      </c>
      <c r="AH4081">
        <v>24.318310316524801</v>
      </c>
      <c r="AI4081">
        <v>92.607219703913998</v>
      </c>
      <c r="AJ4081">
        <v>86.726657917044193</v>
      </c>
      <c r="AK4081">
        <v>24.3832911554166</v>
      </c>
      <c r="AL4081">
        <v>90.562320544294707</v>
      </c>
      <c r="AM4081">
        <v>95.591674028767102</v>
      </c>
      <c r="AN4081">
        <v>1.00000006163303</v>
      </c>
    </row>
    <row r="4082" spans="1:40" x14ac:dyDescent="0.25">
      <c r="A4082" t="str">
        <f>"20190305135911493"</f>
        <v>20190305135911493</v>
      </c>
      <c r="B4082" t="str">
        <f>"1551765551482793"</f>
        <v>1551765551482793</v>
      </c>
      <c r="C4082" t="s">
        <v>40</v>
      </c>
      <c r="D4082">
        <v>4.0679550000000004</v>
      </c>
      <c r="E4082">
        <v>0.55758459999999999</v>
      </c>
      <c r="F4082" t="s">
        <v>42</v>
      </c>
      <c r="G4082">
        <v>-351.07240000000002</v>
      </c>
      <c r="H4082" s="1">
        <v>-4.5607649999999997E-6</v>
      </c>
      <c r="I4082">
        <v>143.27889999999999</v>
      </c>
      <c r="J4082">
        <v>-327.94619999999998</v>
      </c>
      <c r="K4082">
        <v>1.1091580000000001</v>
      </c>
      <c r="L4082">
        <v>141.62289999999999</v>
      </c>
      <c r="M4082">
        <v>-0.99981640000000005</v>
      </c>
      <c r="N4082">
        <v>-1.2558980000000001E-2</v>
      </c>
      <c r="O4082">
        <v>1.447789E-2</v>
      </c>
      <c r="P4082">
        <v>-0.99629880000000004</v>
      </c>
      <c r="Q4082">
        <v>-2.1998469999999999E-2</v>
      </c>
      <c r="R4082">
        <v>-8.3095909999999995E-2</v>
      </c>
      <c r="S4082">
        <v>-3.0257869999999998</v>
      </c>
      <c r="T4082">
        <v>-0.14339779999999999</v>
      </c>
      <c r="U4082">
        <v>0.21463009999999999</v>
      </c>
      <c r="V4082">
        <v>-9.7511710000000001E-2</v>
      </c>
      <c r="W4082">
        <v>-9.5072730000000001E-3</v>
      </c>
      <c r="X4082">
        <v>0.99518899999999999</v>
      </c>
      <c r="Y4082">
        <v>5.6234920000000001E-2</v>
      </c>
      <c r="Z4082">
        <v>1.1807320000000001E-3</v>
      </c>
      <c r="AA4082">
        <v>0.99841679999999999</v>
      </c>
      <c r="AB4082">
        <v>40</v>
      </c>
      <c r="AC4082">
        <v>-23.126200000000001</v>
      </c>
      <c r="AD4082">
        <v>-1.109162560765</v>
      </c>
      <c r="AE4082">
        <v>1.6559999999999999</v>
      </c>
      <c r="AF4082">
        <v>1.3179652166410001</v>
      </c>
      <c r="AG4082">
        <v>-1.109162560765</v>
      </c>
      <c r="AH4082">
        <v>23.0948991699155</v>
      </c>
      <c r="AI4082">
        <v>92.745132071903996</v>
      </c>
      <c r="AJ4082">
        <v>86.733822963393195</v>
      </c>
      <c r="AK4082">
        <v>23.1590509643</v>
      </c>
      <c r="AL4082">
        <v>90.544734805660696</v>
      </c>
      <c r="AM4082">
        <v>95.596155118130795</v>
      </c>
      <c r="AN4082">
        <v>1.000000033774</v>
      </c>
    </row>
    <row r="4083" spans="1:40" x14ac:dyDescent="0.25">
      <c r="A4083" t="str">
        <f>"20190305135911508"</f>
        <v>20190305135911508</v>
      </c>
      <c r="B4083" t="str">
        <f>"1551765551503288"</f>
        <v>1551765551503288</v>
      </c>
      <c r="C4083" t="s">
        <v>40</v>
      </c>
      <c r="D4083">
        <v>4.0624349999999998</v>
      </c>
      <c r="E4083">
        <v>0.55764780000000003</v>
      </c>
      <c r="F4083" t="s">
        <v>42</v>
      </c>
      <c r="G4083">
        <v>-350.9667</v>
      </c>
      <c r="H4083" s="1">
        <v>-4.5932380000000001E-6</v>
      </c>
      <c r="I4083">
        <v>143.25909999999999</v>
      </c>
      <c r="J4083">
        <v>-328.19119999999998</v>
      </c>
      <c r="K4083">
        <v>1.109156</v>
      </c>
      <c r="L4083">
        <v>141.62639999999999</v>
      </c>
      <c r="M4083">
        <v>-0.9998165</v>
      </c>
      <c r="N4083">
        <v>-1.2550769999999999E-2</v>
      </c>
      <c r="O4083">
        <v>1.448057E-2</v>
      </c>
      <c r="P4083">
        <v>-0.99628760000000005</v>
      </c>
      <c r="Q4083">
        <v>-2.1985049999999999E-2</v>
      </c>
      <c r="R4083">
        <v>-8.3235420000000004E-2</v>
      </c>
      <c r="S4083">
        <v>-3.0258790000000002</v>
      </c>
      <c r="T4083">
        <v>-0.1457918</v>
      </c>
      <c r="U4083">
        <v>0.2150879</v>
      </c>
      <c r="V4083">
        <v>-9.7654080000000004E-2</v>
      </c>
      <c r="W4083">
        <v>-9.5003280000000006E-3</v>
      </c>
      <c r="X4083">
        <v>0.99517509999999998</v>
      </c>
      <c r="Y4083">
        <v>5.6378230000000001E-2</v>
      </c>
      <c r="Z4083">
        <v>1.195378E-3</v>
      </c>
      <c r="AA4083">
        <v>0.99840879999999999</v>
      </c>
      <c r="AB4083">
        <v>40</v>
      </c>
      <c r="AC4083">
        <v>-22.775500000000001</v>
      </c>
      <c r="AD4083">
        <v>-1.109160593238</v>
      </c>
      <c r="AE4083">
        <v>1.63269999999999</v>
      </c>
      <c r="AF4083">
        <v>1.29963409000793</v>
      </c>
      <c r="AG4083">
        <v>-1.109160593238</v>
      </c>
      <c r="AH4083">
        <v>22.743092740116499</v>
      </c>
      <c r="AI4083">
        <v>92.787512176958202</v>
      </c>
      <c r="AJ4083">
        <v>86.729439781928505</v>
      </c>
      <c r="AK4083">
        <v>22.807182056866299</v>
      </c>
      <c r="AL4083">
        <v>90.544336871865696</v>
      </c>
      <c r="AM4083">
        <v>95.604351473239305</v>
      </c>
      <c r="AN4083">
        <v>1.0000000276163801</v>
      </c>
    </row>
    <row r="4084" spans="1:40" x14ac:dyDescent="0.25">
      <c r="A4084" t="str">
        <f>"20190305135911522"</f>
        <v>20190305135911522</v>
      </c>
      <c r="B4084" t="str">
        <f>"1551765551513049"</f>
        <v>1551765551513049</v>
      </c>
      <c r="C4084" t="s">
        <v>40</v>
      </c>
      <c r="D4084">
        <v>4.0428129999999998</v>
      </c>
      <c r="E4084">
        <v>0.5577474</v>
      </c>
      <c r="F4084" t="s">
        <v>42</v>
      </c>
      <c r="G4084">
        <v>-350.44349999999997</v>
      </c>
      <c r="H4084" s="1">
        <v>-4.7628819999999997E-6</v>
      </c>
      <c r="I4084">
        <v>143.21190000000001</v>
      </c>
      <c r="J4084">
        <v>-328.45400000000001</v>
      </c>
      <c r="K4084">
        <v>1.109151</v>
      </c>
      <c r="L4084">
        <v>141.6302</v>
      </c>
      <c r="M4084">
        <v>-0.99981629999999999</v>
      </c>
      <c r="N4084">
        <v>-1.2553689999999999E-2</v>
      </c>
      <c r="O4084">
        <v>1.448262E-2</v>
      </c>
      <c r="P4084">
        <v>-0.99626619999999999</v>
      </c>
      <c r="Q4084">
        <v>-2.142697E-2</v>
      </c>
      <c r="R4084">
        <v>-8.3635370000000001E-2</v>
      </c>
      <c r="S4084">
        <v>-3.025909</v>
      </c>
      <c r="T4084">
        <v>-0.15082590000000001</v>
      </c>
      <c r="U4084">
        <v>0.21560670000000001</v>
      </c>
      <c r="V4084">
        <v>-9.805556E-2</v>
      </c>
      <c r="W4084">
        <v>-8.9380199999999996E-3</v>
      </c>
      <c r="X4084">
        <v>0.99514080000000005</v>
      </c>
      <c r="Y4084">
        <v>5.654124E-2</v>
      </c>
      <c r="Z4084">
        <v>1.223247E-3</v>
      </c>
      <c r="AA4084">
        <v>0.9983995</v>
      </c>
      <c r="AB4084">
        <v>40</v>
      </c>
      <c r="AC4084">
        <v>-21.9894999999999</v>
      </c>
      <c r="AD4084">
        <v>-1.1091557628819999</v>
      </c>
      <c r="AE4084">
        <v>1.5817000000000101</v>
      </c>
      <c r="AF4084">
        <v>1.25985456729013</v>
      </c>
      <c r="AG4084">
        <v>-1.1091557628819999</v>
      </c>
      <c r="AH4084">
        <v>21.9545327605022</v>
      </c>
      <c r="AI4084">
        <v>92.887415024452494</v>
      </c>
      <c r="AJ4084">
        <v>86.715700033573299</v>
      </c>
      <c r="AK4084">
        <v>22.0186050595632</v>
      </c>
      <c r="AL4084">
        <v>90.512117643875698</v>
      </c>
      <c r="AM4084">
        <v>95.627437473357304</v>
      </c>
      <c r="AN4084">
        <v>0.99999999643653703</v>
      </c>
    </row>
    <row r="4085" spans="1:40" x14ac:dyDescent="0.25">
      <c r="A4085" t="str">
        <f>"20190305135911545"</f>
        <v>20190305135911545</v>
      </c>
      <c r="B4085" t="str">
        <f>"1551765551533544"</f>
        <v>1551765551533544</v>
      </c>
      <c r="C4085" t="s">
        <v>40</v>
      </c>
      <c r="D4085">
        <v>3.9972020000000001</v>
      </c>
      <c r="E4085">
        <v>0.55753680000000005</v>
      </c>
      <c r="F4085" t="s">
        <v>42</v>
      </c>
      <c r="G4085">
        <v>-350.67399999999998</v>
      </c>
      <c r="H4085" s="1">
        <v>-4.6842879999999999E-6</v>
      </c>
      <c r="I4085">
        <v>143.21090000000001</v>
      </c>
      <c r="J4085">
        <v>-328.84640000000002</v>
      </c>
      <c r="K4085">
        <v>1.109162</v>
      </c>
      <c r="L4085">
        <v>141.63589999999999</v>
      </c>
      <c r="M4085">
        <v>-0.99981580000000003</v>
      </c>
      <c r="N4085">
        <v>-1.260447E-2</v>
      </c>
      <c r="O4085">
        <v>1.448344E-2</v>
      </c>
      <c r="P4085">
        <v>-0.99625900000000001</v>
      </c>
      <c r="Q4085">
        <v>-2.1204790000000001E-2</v>
      </c>
      <c r="R4085">
        <v>-8.3776859999999995E-2</v>
      </c>
      <c r="S4085">
        <v>-3.026062</v>
      </c>
      <c r="T4085">
        <v>-0.15105250000000001</v>
      </c>
      <c r="U4085">
        <v>0.21528630000000001</v>
      </c>
      <c r="V4085">
        <v>-9.8198640000000004E-2</v>
      </c>
      <c r="W4085">
        <v>-8.6635199999999992E-3</v>
      </c>
      <c r="X4085">
        <v>0.99512909999999999</v>
      </c>
      <c r="Y4085">
        <v>5.6431549999999997E-2</v>
      </c>
      <c r="Z4085">
        <v>1.2229630000000001E-3</v>
      </c>
      <c r="AA4085">
        <v>0.99840569999999895</v>
      </c>
      <c r="AB4085">
        <v>40</v>
      </c>
      <c r="AC4085">
        <v>-21.8276</v>
      </c>
      <c r="AD4085">
        <v>-1.1091666842879999</v>
      </c>
      <c r="AE4085">
        <v>1.5750000000000099</v>
      </c>
      <c r="AF4085">
        <v>1.25544600367632</v>
      </c>
      <c r="AG4085">
        <v>-1.1091666842879999</v>
      </c>
      <c r="AH4085">
        <v>21.7921442032493</v>
      </c>
      <c r="AI4085">
        <v>92.908885459786106</v>
      </c>
      <c r="AJ4085">
        <v>86.702833077164001</v>
      </c>
      <c r="AK4085">
        <v>21.856439425873901</v>
      </c>
      <c r="AL4085">
        <v>90.496389352540206</v>
      </c>
      <c r="AM4085">
        <v>95.635661888344103</v>
      </c>
      <c r="AN4085">
        <v>0.99999997757172399</v>
      </c>
    </row>
    <row r="4086" spans="1:40" x14ac:dyDescent="0.25">
      <c r="A4086" t="str">
        <f>"20190305135911567"</f>
        <v>20190305135911567</v>
      </c>
      <c r="B4086" t="str">
        <f>"1551765551562824"</f>
        <v>1551765551562824</v>
      </c>
      <c r="C4086" t="s">
        <v>40</v>
      </c>
      <c r="D4086">
        <v>4.0150899999999998</v>
      </c>
      <c r="E4086">
        <v>0.55753529999999996</v>
      </c>
      <c r="F4086" t="s">
        <v>42</v>
      </c>
      <c r="G4086">
        <v>-350.69400000000002</v>
      </c>
      <c r="H4086" s="1">
        <v>-4.671344E-6</v>
      </c>
      <c r="I4086">
        <v>143.1764</v>
      </c>
      <c r="J4086">
        <v>-329.24880000000002</v>
      </c>
      <c r="K4086">
        <v>1.1091869999999999</v>
      </c>
      <c r="L4086">
        <v>141.64169999999999</v>
      </c>
      <c r="M4086">
        <v>-0.99981450000000005</v>
      </c>
      <c r="N4086">
        <v>-1.270144E-2</v>
      </c>
      <c r="O4086">
        <v>1.4483080000000001E-2</v>
      </c>
      <c r="P4086">
        <v>-0.99622489999999997</v>
      </c>
      <c r="Q4086">
        <v>-2.111528E-2</v>
      </c>
      <c r="R4086">
        <v>-8.4205959999999996E-2</v>
      </c>
      <c r="S4086">
        <v>-3.02597</v>
      </c>
      <c r="T4086">
        <v>-0.15362329999999999</v>
      </c>
      <c r="U4086">
        <v>0.21337890000000001</v>
      </c>
      <c r="V4086">
        <v>-9.8626779999999997E-2</v>
      </c>
      <c r="W4086">
        <v>-8.4766559999999904E-3</v>
      </c>
      <c r="X4086">
        <v>0.99508839999999998</v>
      </c>
      <c r="Y4086">
        <v>5.5806380000000003E-2</v>
      </c>
      <c r="Z4086">
        <v>1.2189709999999999E-3</v>
      </c>
      <c r="AA4086">
        <v>0.99844089999999996</v>
      </c>
      <c r="AB4086">
        <v>40</v>
      </c>
      <c r="AC4086">
        <v>-21.4452</v>
      </c>
      <c r="AD4086">
        <v>-1.109191671344</v>
      </c>
      <c r="AE4086">
        <v>1.5347000000000099</v>
      </c>
      <c r="AF4086">
        <v>1.2206725416903801</v>
      </c>
      <c r="AG4086">
        <v>-1.109191671344</v>
      </c>
      <c r="AH4086">
        <v>21.4082003485521</v>
      </c>
      <c r="AI4086">
        <v>92.961129037269501</v>
      </c>
      <c r="AJ4086">
        <v>86.736589880365599</v>
      </c>
      <c r="AK4086">
        <v>21.471641525080599</v>
      </c>
      <c r="AL4086">
        <v>90.485682424975494</v>
      </c>
      <c r="AM4086">
        <v>95.660303821526199</v>
      </c>
      <c r="AN4086">
        <v>1.00000000962233</v>
      </c>
    </row>
    <row r="4087" spans="1:40" x14ac:dyDescent="0.25">
      <c r="A4087" t="str">
        <f>"20190305135911582"</f>
        <v>20190305135911582</v>
      </c>
      <c r="B4087" t="str">
        <f>"1551765551572584"</f>
        <v>1551765551572584</v>
      </c>
      <c r="C4087" t="s">
        <v>40</v>
      </c>
      <c r="D4087">
        <v>4.0174779999999997</v>
      </c>
      <c r="E4087">
        <v>0.55749759999999904</v>
      </c>
      <c r="F4087" t="s">
        <v>42</v>
      </c>
      <c r="G4087">
        <v>-350.47179999999997</v>
      </c>
      <c r="H4087" s="1">
        <v>-4.738919E-6</v>
      </c>
      <c r="I4087">
        <v>143.131</v>
      </c>
      <c r="J4087">
        <v>-329.51220000000001</v>
      </c>
      <c r="K4087">
        <v>1.1092040000000001</v>
      </c>
      <c r="L4087">
        <v>141.6455</v>
      </c>
      <c r="M4087">
        <v>-0.99981339999999996</v>
      </c>
      <c r="N4087">
        <v>-1.2781249999999999E-2</v>
      </c>
      <c r="O4087">
        <v>1.448297E-2</v>
      </c>
      <c r="P4087">
        <v>-0.99623410000000001</v>
      </c>
      <c r="Q4087">
        <v>-2.1237510000000001E-2</v>
      </c>
      <c r="R4087">
        <v>-8.40643999999999E-2</v>
      </c>
      <c r="S4087">
        <v>-3.02597</v>
      </c>
      <c r="T4087">
        <v>-0.15814890000000001</v>
      </c>
      <c r="U4087">
        <v>0.21235660000000001</v>
      </c>
      <c r="V4087">
        <v>-9.8485370000000003E-2</v>
      </c>
      <c r="W4087">
        <v>-8.5186649999999999E-3</v>
      </c>
      <c r="X4087">
        <v>0.99510200000000004</v>
      </c>
      <c r="Y4087">
        <v>5.5467250000000003E-2</v>
      </c>
      <c r="Z4087">
        <v>1.2313700000000001E-3</v>
      </c>
      <c r="AA4087">
        <v>0.99845980000000001</v>
      </c>
      <c r="AB4087">
        <v>40</v>
      </c>
      <c r="AC4087">
        <v>-20.959599999999899</v>
      </c>
      <c r="AD4087">
        <v>-1.109208738919</v>
      </c>
      <c r="AE4087">
        <v>1.4855</v>
      </c>
      <c r="AF4087">
        <v>1.1784780851043599</v>
      </c>
      <c r="AG4087">
        <v>-1.109208738919</v>
      </c>
      <c r="AH4087">
        <v>20.9206188087127</v>
      </c>
      <c r="AI4087">
        <v>93.030178851802901</v>
      </c>
      <c r="AJ4087">
        <v>86.775882333987695</v>
      </c>
      <c r="AK4087">
        <v>20.983122883951999</v>
      </c>
      <c r="AL4087">
        <v>90.488089472978601</v>
      </c>
      <c r="AM4087">
        <v>95.652163979842896</v>
      </c>
      <c r="AN4087">
        <v>0.99999996308070804</v>
      </c>
    </row>
    <row r="4088" spans="1:40" x14ac:dyDescent="0.25">
      <c r="A4088" t="str">
        <f>"20190305135911594"</f>
        <v>20190305135911594</v>
      </c>
      <c r="B4088" t="str">
        <f>"1551765551583320"</f>
        <v>1551765551583320</v>
      </c>
      <c r="C4088" t="s">
        <v>40</v>
      </c>
      <c r="D4088">
        <v>4.0117390000000004</v>
      </c>
      <c r="E4088">
        <v>0.55743120000000002</v>
      </c>
      <c r="F4088" t="s">
        <v>42</v>
      </c>
      <c r="G4088">
        <v>-350.56630000000001</v>
      </c>
      <c r="H4088" s="1">
        <v>-4.7055710000000001E-6</v>
      </c>
      <c r="I4088">
        <v>143.1242</v>
      </c>
      <c r="J4088">
        <v>-329.73329999999999</v>
      </c>
      <c r="K4088">
        <v>1.109218</v>
      </c>
      <c r="L4088">
        <v>141.64869999999999</v>
      </c>
      <c r="M4088">
        <v>-0.9998127</v>
      </c>
      <c r="N4088">
        <v>-1.2856370000000001E-2</v>
      </c>
      <c r="O4088">
        <v>1.4482510000000001E-2</v>
      </c>
      <c r="P4088">
        <v>-0.99623980000000001</v>
      </c>
      <c r="Q4088">
        <v>-2.1143240000000001E-2</v>
      </c>
      <c r="R4088">
        <v>-8.4020709999999998E-2</v>
      </c>
      <c r="S4088">
        <v>-3.0258479999999999</v>
      </c>
      <c r="T4088">
        <v>-0.15941350000000001</v>
      </c>
      <c r="U4088">
        <v>0.2125244</v>
      </c>
      <c r="V4088">
        <v>-9.8441379999999995E-2</v>
      </c>
      <c r="W4088">
        <v>-8.34913199999999E-3</v>
      </c>
      <c r="X4088">
        <v>0.99510779999999999</v>
      </c>
      <c r="Y4088">
        <v>5.5524259999999999E-2</v>
      </c>
      <c r="Z4088">
        <v>1.241979E-3</v>
      </c>
      <c r="AA4088">
        <v>0.99845649999999997</v>
      </c>
      <c r="AB4088">
        <v>40</v>
      </c>
      <c r="AC4088">
        <v>-20.832999999999998</v>
      </c>
      <c r="AD4088">
        <v>-1.109222705571</v>
      </c>
      <c r="AE4088">
        <v>1.47550000000001</v>
      </c>
      <c r="AF4088">
        <v>1.17030512056409</v>
      </c>
      <c r="AG4088">
        <v>-1.109222705571</v>
      </c>
      <c r="AH4088">
        <v>20.7935325951027</v>
      </c>
      <c r="AI4088">
        <v>93.048710556985199</v>
      </c>
      <c r="AJ4088">
        <v>86.778667758404296</v>
      </c>
      <c r="AK4088">
        <v>20.855958066446401</v>
      </c>
      <c r="AL4088">
        <v>90.478375596771102</v>
      </c>
      <c r="AM4088">
        <v>95.649622974483094</v>
      </c>
      <c r="AN4088">
        <v>0.999999973461148</v>
      </c>
    </row>
    <row r="4089" spans="1:40" x14ac:dyDescent="0.25">
      <c r="A4089" t="str">
        <f>"20190305135911607"</f>
        <v>20190305135911607</v>
      </c>
      <c r="B4089" t="str">
        <f>"1551765551602841"</f>
        <v>1551765551602841</v>
      </c>
      <c r="C4089" t="s">
        <v>40</v>
      </c>
      <c r="D4089">
        <v>4.0018640000000003</v>
      </c>
      <c r="E4089">
        <v>0.55753799999999998</v>
      </c>
      <c r="F4089" t="s">
        <v>42</v>
      </c>
      <c r="G4089">
        <v>-350.62920000000003</v>
      </c>
      <c r="H4089" s="1">
        <v>-4.6822620000000003E-6</v>
      </c>
      <c r="I4089">
        <v>143.11359999999999</v>
      </c>
      <c r="J4089">
        <v>-329.95060000000001</v>
      </c>
      <c r="K4089">
        <v>1.1092310000000001</v>
      </c>
      <c r="L4089">
        <v>141.65190000000001</v>
      </c>
      <c r="M4089">
        <v>-0.99981149999999996</v>
      </c>
      <c r="N4089">
        <v>-1.2931389999999999E-2</v>
      </c>
      <c r="O4089">
        <v>1.448234E-2</v>
      </c>
      <c r="P4089">
        <v>-0.99622730000000004</v>
      </c>
      <c r="Q4089">
        <v>-2.1191640000000001E-2</v>
      </c>
      <c r="R4089">
        <v>-8.4154590000000001E-2</v>
      </c>
      <c r="S4089">
        <v>-3.0258180000000001</v>
      </c>
      <c r="T4089">
        <v>-0.16062029999999999</v>
      </c>
      <c r="U4089">
        <v>0.2121277</v>
      </c>
      <c r="V4089">
        <v>-9.8574729999999999E-2</v>
      </c>
      <c r="W4089">
        <v>-8.322711E-3</v>
      </c>
      <c r="X4089">
        <v>0.99509479999999995</v>
      </c>
      <c r="Y4089">
        <v>5.539384E-2</v>
      </c>
      <c r="Z4089">
        <v>1.2461499999999999E-3</v>
      </c>
      <c r="AA4089">
        <v>0.99846380000000001</v>
      </c>
      <c r="AB4089">
        <v>40</v>
      </c>
      <c r="AC4089">
        <v>-20.678599999999999</v>
      </c>
      <c r="AD4089">
        <v>-1.10923568226199</v>
      </c>
      <c r="AE4089">
        <v>1.46169999999997</v>
      </c>
      <c r="AF4089">
        <v>1.1587295288153201</v>
      </c>
      <c r="AG4089">
        <v>-1.10923568226199</v>
      </c>
      <c r="AH4089">
        <v>20.638510879958002</v>
      </c>
      <c r="AI4089">
        <v>93.071626194468493</v>
      </c>
      <c r="AJ4089">
        <v>86.786556640479006</v>
      </c>
      <c r="AK4089">
        <v>20.700753350105298</v>
      </c>
      <c r="AL4089">
        <v>90.476861742123305</v>
      </c>
      <c r="AM4089">
        <v>95.657299845973796</v>
      </c>
      <c r="AN4089">
        <v>0.99999995294999999</v>
      </c>
    </row>
    <row r="4090" spans="1:40" x14ac:dyDescent="0.25">
      <c r="A4090" t="str">
        <f>"20190305135911624"</f>
        <v>20190305135911624</v>
      </c>
      <c r="B4090" t="str">
        <f>"1551765551613577"</f>
        <v>1551765551613577</v>
      </c>
      <c r="C4090" t="s">
        <v>40</v>
      </c>
      <c r="D4090">
        <v>4.117801</v>
      </c>
      <c r="E4090">
        <v>0.55753799999999998</v>
      </c>
      <c r="F4090" t="s">
        <v>42</v>
      </c>
      <c r="G4090">
        <v>-350.59480000000002</v>
      </c>
      <c r="H4090" s="1">
        <v>-4.6919650000000002E-6</v>
      </c>
      <c r="I4090">
        <v>143.10239999999999</v>
      </c>
      <c r="J4090">
        <v>-330.24669999999998</v>
      </c>
      <c r="K4090">
        <v>1.109245</v>
      </c>
      <c r="L4090">
        <v>141.65610000000001</v>
      </c>
      <c r="M4090">
        <v>-0.99981030000000004</v>
      </c>
      <c r="N4090">
        <v>-1.303254E-2</v>
      </c>
      <c r="O4090">
        <v>1.4481880000000001E-2</v>
      </c>
      <c r="P4090">
        <v>-0.99625410000000003</v>
      </c>
      <c r="Q4090">
        <v>-2.1107399999999998E-2</v>
      </c>
      <c r="R4090">
        <v>-8.3861399999999905E-2</v>
      </c>
      <c r="S4090">
        <v>-3.0258180000000001</v>
      </c>
      <c r="T4090">
        <v>-0.16258049999999999</v>
      </c>
      <c r="U4090">
        <v>0.212616</v>
      </c>
      <c r="V4090">
        <v>-9.8281640000000003E-2</v>
      </c>
      <c r="W4090">
        <v>-8.1370219999999903E-3</v>
      </c>
      <c r="X4090">
        <v>0.99512540000000005</v>
      </c>
      <c r="Y4090">
        <v>5.5552360000000002E-2</v>
      </c>
      <c r="Z4090">
        <v>1.264261E-3</v>
      </c>
      <c r="AA4090">
        <v>0.99845499999999998</v>
      </c>
      <c r="AB4090">
        <v>40</v>
      </c>
      <c r="AC4090">
        <v>-20.348099999999999</v>
      </c>
      <c r="AD4090">
        <v>-1.1092496919649999</v>
      </c>
      <c r="AE4090">
        <v>1.4462999999999699</v>
      </c>
      <c r="AF4090">
        <v>1.14805000629285</v>
      </c>
      <c r="AG4090">
        <v>-1.1092496919649999</v>
      </c>
      <c r="AH4090">
        <v>20.306869288829098</v>
      </c>
      <c r="AI4090">
        <v>93.121662963463393</v>
      </c>
      <c r="AJ4090">
        <v>86.764224333170702</v>
      </c>
      <c r="AK4090">
        <v>20.369521202268501</v>
      </c>
      <c r="AL4090">
        <v>90.466222150852602</v>
      </c>
      <c r="AM4090">
        <v>95.640415427542294</v>
      </c>
      <c r="AN4090">
        <v>1.00000002680663</v>
      </c>
    </row>
    <row r="4091" spans="1:40" x14ac:dyDescent="0.25">
      <c r="A4091" t="str">
        <f>"20190305135911646"</f>
        <v>20190305135911646</v>
      </c>
      <c r="B4091" t="str">
        <f>"1551765551642858"</f>
        <v>1551765551642858</v>
      </c>
      <c r="C4091" t="s">
        <v>40</v>
      </c>
      <c r="D4091">
        <v>3.982424</v>
      </c>
      <c r="E4091">
        <v>0.55781210000000003</v>
      </c>
      <c r="F4091" t="s">
        <v>42</v>
      </c>
      <c r="G4091">
        <v>-350.90350000000001</v>
      </c>
      <c r="H4091" s="1">
        <v>-4.5890579999999999E-6</v>
      </c>
      <c r="I4091">
        <v>143.11439999999999</v>
      </c>
      <c r="J4091">
        <v>-330.64350000000002</v>
      </c>
      <c r="K4091">
        <v>1.1092599999999999</v>
      </c>
      <c r="L4091">
        <v>141.6619</v>
      </c>
      <c r="M4091">
        <v>-0.99980849999999999</v>
      </c>
      <c r="N4091">
        <v>-1.316077E-2</v>
      </c>
      <c r="O4091">
        <v>1.448141E-2</v>
      </c>
      <c r="P4091">
        <v>-0.99626700000000001</v>
      </c>
      <c r="Q4091">
        <v>-2.1391629999999998E-2</v>
      </c>
      <c r="R4091">
        <v>-8.3633899999999997E-2</v>
      </c>
      <c r="S4091">
        <v>-3.0258180000000001</v>
      </c>
      <c r="T4091">
        <v>-0.16248309999999999</v>
      </c>
      <c r="U4091">
        <v>0.21362300000000001</v>
      </c>
      <c r="V4091">
        <v>-9.8053730000000006E-2</v>
      </c>
      <c r="W4091">
        <v>-8.2929939999999997E-3</v>
      </c>
      <c r="X4091">
        <v>0.99514659999999999</v>
      </c>
      <c r="Y4091">
        <v>5.58827E-2</v>
      </c>
      <c r="Z4091">
        <v>1.2803020000000001E-3</v>
      </c>
      <c r="AA4091">
        <v>0.99843649999999995</v>
      </c>
      <c r="AB4091">
        <v>40</v>
      </c>
      <c r="AC4091">
        <v>-20.259999999999899</v>
      </c>
      <c r="AD4091">
        <v>-1.109264589058</v>
      </c>
      <c r="AE4091">
        <v>1.4524999999999799</v>
      </c>
      <c r="AF4091">
        <v>1.1554827733839701</v>
      </c>
      <c r="AG4091">
        <v>-1.109264589058</v>
      </c>
      <c r="AH4091">
        <v>20.218611365653299</v>
      </c>
      <c r="AI4091">
        <v>93.135195560872305</v>
      </c>
      <c r="AJ4091">
        <v>86.729134845848193</v>
      </c>
      <c r="AK4091">
        <v>20.281958828561098</v>
      </c>
      <c r="AL4091">
        <v>90.475158987227204</v>
      </c>
      <c r="AM4091">
        <v>95.627300536014801</v>
      </c>
      <c r="AN4091">
        <v>1.0000000316039701</v>
      </c>
    </row>
    <row r="4092" spans="1:40" x14ac:dyDescent="0.25">
      <c r="A4092" t="str">
        <f>"20190305135911669"</f>
        <v>20190305135911669</v>
      </c>
      <c r="B4092" t="str">
        <f>"1551765551663352"</f>
        <v>1551765551663352</v>
      </c>
      <c r="C4092" t="s">
        <v>40</v>
      </c>
      <c r="D4092">
        <v>3.945144</v>
      </c>
      <c r="E4092">
        <v>0.55791939999999995</v>
      </c>
      <c r="F4092" t="s">
        <v>42</v>
      </c>
      <c r="G4092">
        <v>-351.17250000000001</v>
      </c>
      <c r="H4092" s="1">
        <v>-4.5003519999999997E-6</v>
      </c>
      <c r="I4092">
        <v>143.1302</v>
      </c>
      <c r="J4092">
        <v>-331.03879999999998</v>
      </c>
      <c r="K4092">
        <v>1.109273</v>
      </c>
      <c r="L4092">
        <v>141.66759999999999</v>
      </c>
      <c r="M4092">
        <v>-0.999807</v>
      </c>
      <c r="N4092">
        <v>-1.3279499999999901E-2</v>
      </c>
      <c r="O4092">
        <v>1.448063E-2</v>
      </c>
      <c r="P4092">
        <v>-0.9962782</v>
      </c>
      <c r="Q4092">
        <v>-2.1873879999999998E-2</v>
      </c>
      <c r="R4092">
        <v>-8.3375399999999905E-2</v>
      </c>
      <c r="S4092">
        <v>-3.0259399999999999</v>
      </c>
      <c r="T4092">
        <v>-0.16350399999999901</v>
      </c>
      <c r="U4092">
        <v>0.2164459</v>
      </c>
      <c r="V4092">
        <v>-9.7795290000000007E-2</v>
      </c>
      <c r="W4092">
        <v>-8.6565549999999998E-3</v>
      </c>
      <c r="X4092">
        <v>0.99516890000000002</v>
      </c>
      <c r="Y4092">
        <v>5.6804519999999997E-2</v>
      </c>
      <c r="Z4092">
        <v>1.320849E-3</v>
      </c>
      <c r="AA4092">
        <v>0.99838450000000001</v>
      </c>
      <c r="AB4092">
        <v>40</v>
      </c>
      <c r="AC4092">
        <v>-20.133700000000001</v>
      </c>
      <c r="AD4092">
        <v>-1.1092775003519999</v>
      </c>
      <c r="AE4092">
        <v>1.4625999999999999</v>
      </c>
      <c r="AF4092">
        <v>1.1673473541485</v>
      </c>
      <c r="AG4092">
        <v>-1.1092775003519999</v>
      </c>
      <c r="AH4092">
        <v>20.092100027624301</v>
      </c>
      <c r="AI4092">
        <v>93.154761583963605</v>
      </c>
      <c r="AJ4092">
        <v>86.6748637091615</v>
      </c>
      <c r="AK4092">
        <v>20.1565294616431</v>
      </c>
      <c r="AL4092">
        <v>90.4959902627714</v>
      </c>
      <c r="AM4092">
        <v>95.612438531086894</v>
      </c>
      <c r="AN4092">
        <v>0.99999999710893095</v>
      </c>
    </row>
    <row r="4093" spans="1:40" x14ac:dyDescent="0.25">
      <c r="A4093" t="str">
        <f>"20190305135911682"</f>
        <v>20190305135911682</v>
      </c>
      <c r="B4093" t="str">
        <f>"1551765551673113"</f>
        <v>1551765551673113</v>
      </c>
      <c r="C4093" t="s">
        <v>40</v>
      </c>
      <c r="D4093">
        <v>3.9261889999999999</v>
      </c>
      <c r="E4093">
        <v>0.55794949999999999</v>
      </c>
      <c r="F4093" t="s">
        <v>42</v>
      </c>
      <c r="G4093">
        <v>-351.39600000000002</v>
      </c>
      <c r="H4093" s="1">
        <v>-4.4251329999999996E-6</v>
      </c>
      <c r="I4093">
        <v>143.13499999999999</v>
      </c>
      <c r="J4093">
        <v>-331.29239999999999</v>
      </c>
      <c r="K4093">
        <v>1.1092789999999999</v>
      </c>
      <c r="L4093">
        <v>141.6713</v>
      </c>
      <c r="M4093">
        <v>-0.99980610000000003</v>
      </c>
      <c r="N4093">
        <v>-1.335101E-2</v>
      </c>
      <c r="O4093">
        <v>1.447998E-2</v>
      </c>
      <c r="P4093">
        <v>-0.99629299999999998</v>
      </c>
      <c r="Q4093">
        <v>-2.2131419999999999E-2</v>
      </c>
      <c r="R4093">
        <v>-8.3130309999999999E-2</v>
      </c>
      <c r="S4093">
        <v>-3.0258479999999999</v>
      </c>
      <c r="T4093">
        <v>-0.1648809</v>
      </c>
      <c r="U4093">
        <v>0.2181244</v>
      </c>
      <c r="V4093">
        <v>-9.7549319999999995E-2</v>
      </c>
      <c r="W4093">
        <v>-8.8425129999999998E-3</v>
      </c>
      <c r="X4093">
        <v>0.99519139999999995</v>
      </c>
      <c r="Y4093">
        <v>5.7355799999999998E-2</v>
      </c>
      <c r="Z4093">
        <v>1.348953E-3</v>
      </c>
      <c r="AA4093">
        <v>0.99835289999999999</v>
      </c>
      <c r="AB4093">
        <v>40</v>
      </c>
      <c r="AC4093">
        <v>-20.103599999999901</v>
      </c>
      <c r="AD4093">
        <v>-1.1092834251329999</v>
      </c>
      <c r="AE4093">
        <v>1.46369999999998</v>
      </c>
      <c r="AF4093">
        <v>1.1688807999036099</v>
      </c>
      <c r="AG4093">
        <v>-1.1092834251329999</v>
      </c>
      <c r="AH4093">
        <v>20.061928722409299</v>
      </c>
      <c r="AI4093">
        <v>93.159483342343606</v>
      </c>
      <c r="AJ4093">
        <v>86.665509613549503</v>
      </c>
      <c r="AK4093">
        <v>20.126544067591102</v>
      </c>
      <c r="AL4093">
        <v>90.506645282203806</v>
      </c>
      <c r="AM4093">
        <v>95.5982864159717</v>
      </c>
      <c r="AN4093">
        <v>0.99999999125128802</v>
      </c>
    </row>
    <row r="4094" spans="1:40" x14ac:dyDescent="0.25">
      <c r="A4094" t="str">
        <f>"20190305135911696"</f>
        <v>20190305135911696</v>
      </c>
      <c r="B4094" t="str">
        <f>"1551765551693609"</f>
        <v>1551765551693609</v>
      </c>
      <c r="C4094" t="s">
        <v>40</v>
      </c>
      <c r="D4094">
        <v>3.967622</v>
      </c>
      <c r="E4094">
        <v>0.55809169999999997</v>
      </c>
      <c r="F4094" t="s">
        <v>42</v>
      </c>
      <c r="G4094">
        <v>-351.5872</v>
      </c>
      <c r="H4094" s="1">
        <v>-4.3610710000000003E-6</v>
      </c>
      <c r="I4094">
        <v>143.14080000000001</v>
      </c>
      <c r="J4094">
        <v>-331.53609999999998</v>
      </c>
      <c r="K4094">
        <v>1.109283</v>
      </c>
      <c r="L4094">
        <v>141.6748</v>
      </c>
      <c r="M4094">
        <v>-0.99980519999999995</v>
      </c>
      <c r="N4094">
        <v>-1.341611E-2</v>
      </c>
      <c r="O4094">
        <v>1.447973E-2</v>
      </c>
      <c r="P4094">
        <v>-0.99628950000000005</v>
      </c>
      <c r="Q4094">
        <v>-2.2261360000000001E-2</v>
      </c>
      <c r="R4094">
        <v>-8.3139210000000005E-2</v>
      </c>
      <c r="S4094">
        <v>-3.025757</v>
      </c>
      <c r="T4094">
        <v>-0.16538349999999999</v>
      </c>
      <c r="U4094">
        <v>0.21910099999999999</v>
      </c>
      <c r="V4094">
        <v>-9.7557809999999995E-2</v>
      </c>
      <c r="W4094">
        <v>-8.9075649999999992E-3</v>
      </c>
      <c r="X4094">
        <v>0.99519000000000002</v>
      </c>
      <c r="Y4094">
        <v>5.7677529999999998E-2</v>
      </c>
      <c r="Z4094">
        <v>1.36508299999999E-3</v>
      </c>
      <c r="AA4094">
        <v>0.99833430000000001</v>
      </c>
      <c r="AB4094">
        <v>40</v>
      </c>
      <c r="AC4094">
        <v>-20.051100000000002</v>
      </c>
      <c r="AD4094">
        <v>-1.1092873610709999</v>
      </c>
      <c r="AE4094">
        <v>1.466</v>
      </c>
      <c r="AF4094">
        <v>1.17191790541438</v>
      </c>
      <c r="AG4094">
        <v>-1.1092873610709999</v>
      </c>
      <c r="AH4094">
        <v>20.009311125607901</v>
      </c>
      <c r="AI4094">
        <v>93.167729880804302</v>
      </c>
      <c r="AJ4094">
        <v>86.648093951659007</v>
      </c>
      <c r="AK4094">
        <v>20.074273131245299</v>
      </c>
      <c r="AL4094">
        <v>90.510372627805097</v>
      </c>
      <c r="AM4094">
        <v>95.598778381622296</v>
      </c>
      <c r="AN4094">
        <v>1.00000000355311</v>
      </c>
    </row>
    <row r="4095" spans="1:40" x14ac:dyDescent="0.25">
      <c r="A4095" t="str">
        <f>"20190305135911713"</f>
        <v>20190305135911713</v>
      </c>
      <c r="B4095" t="str">
        <f>"1551765551703368"</f>
        <v>1551765551703368</v>
      </c>
      <c r="C4095" t="s">
        <v>40</v>
      </c>
      <c r="D4095">
        <v>3.9174319999999998</v>
      </c>
      <c r="E4095">
        <v>0.55817130000000004</v>
      </c>
      <c r="F4095" t="s">
        <v>42</v>
      </c>
      <c r="G4095">
        <v>-351.8476</v>
      </c>
      <c r="H4095" s="1">
        <v>-4.2746919999999997E-6</v>
      </c>
      <c r="I4095">
        <v>143.1534</v>
      </c>
      <c r="J4095">
        <v>-331.82440000000003</v>
      </c>
      <c r="K4095">
        <v>1.109291</v>
      </c>
      <c r="L4095">
        <v>141.679</v>
      </c>
      <c r="M4095">
        <v>-0.99980420000000003</v>
      </c>
      <c r="N4095">
        <v>-1.3486919999999999E-2</v>
      </c>
      <c r="O4095">
        <v>1.447944E-2</v>
      </c>
      <c r="P4095">
        <v>-0.99628859999999997</v>
      </c>
      <c r="Q4095">
        <v>-2.2445219999999998E-2</v>
      </c>
      <c r="R4095">
        <v>-8.3100209999999994E-2</v>
      </c>
      <c r="S4095">
        <v>-3.0258479999999999</v>
      </c>
      <c r="T4095">
        <v>-0.16525300000000001</v>
      </c>
      <c r="U4095">
        <v>0.2202759</v>
      </c>
      <c r="V4095">
        <v>-9.7518789999999994E-2</v>
      </c>
      <c r="W4095">
        <v>-9.0208249999999997E-3</v>
      </c>
      <c r="X4095">
        <v>0.99519279999999999</v>
      </c>
      <c r="Y4095">
        <v>5.8060510000000003E-2</v>
      </c>
      <c r="Z4095">
        <v>1.3805429999999999E-3</v>
      </c>
      <c r="AA4095">
        <v>0.99831210000000004</v>
      </c>
      <c r="AB4095">
        <v>40</v>
      </c>
      <c r="AC4095">
        <v>-20.0231999999999</v>
      </c>
      <c r="AD4095">
        <v>-1.109295274692</v>
      </c>
      <c r="AE4095">
        <v>1.4743999999999999</v>
      </c>
      <c r="AF4095">
        <v>1.1806900607890201</v>
      </c>
      <c r="AG4095">
        <v>-1.109295274692</v>
      </c>
      <c r="AH4095">
        <v>19.981454304204799</v>
      </c>
      <c r="AI4095">
        <v>93.1720630613205</v>
      </c>
      <c r="AJ4095">
        <v>86.618364797734102</v>
      </c>
      <c r="AK4095">
        <v>20.047021752298399</v>
      </c>
      <c r="AL4095">
        <v>90.5168622106508</v>
      </c>
      <c r="AM4095">
        <v>95.596537622849397</v>
      </c>
      <c r="AN4095">
        <v>0.99999999942929196</v>
      </c>
    </row>
    <row r="4096" spans="1:40" x14ac:dyDescent="0.25">
      <c r="A4096" t="str">
        <f>"20190305135911734"</f>
        <v>20190305135911734</v>
      </c>
      <c r="B4096" t="str">
        <f>"1551765551722889"</f>
        <v>1551765551722889</v>
      </c>
      <c r="C4096" t="s">
        <v>40</v>
      </c>
      <c r="D4096">
        <v>3.961773</v>
      </c>
      <c r="E4096">
        <v>0.55837639999999999</v>
      </c>
      <c r="F4096" t="s">
        <v>42</v>
      </c>
      <c r="G4096">
        <v>-352.10309999999998</v>
      </c>
      <c r="H4096" s="1">
        <v>-4.1888770000000002E-6</v>
      </c>
      <c r="I4096">
        <v>143.15979999999999</v>
      </c>
      <c r="J4096">
        <v>-332.20569999999998</v>
      </c>
      <c r="K4096">
        <v>1.1092919999999999</v>
      </c>
      <c r="L4096">
        <v>141.68450000000001</v>
      </c>
      <c r="M4096">
        <v>-0.99980309999999994</v>
      </c>
      <c r="N4096">
        <v>-1.3573129999999999E-2</v>
      </c>
      <c r="O4096">
        <v>1.4478970000000001E-2</v>
      </c>
      <c r="P4096">
        <v>-0.996255</v>
      </c>
      <c r="Q4096">
        <v>-2.2448269999999999E-2</v>
      </c>
      <c r="R4096">
        <v>-8.3500149999999995E-2</v>
      </c>
      <c r="S4096">
        <v>-3.0258479999999999</v>
      </c>
      <c r="T4096">
        <v>-0.16552130000000001</v>
      </c>
      <c r="U4096">
        <v>0.22096250000000001</v>
      </c>
      <c r="V4096">
        <v>-9.7917969999999993E-2</v>
      </c>
      <c r="W4096">
        <v>-8.9384759999999903E-3</v>
      </c>
      <c r="X4096">
        <v>0.99515430000000005</v>
      </c>
      <c r="Y4096">
        <v>5.8285440000000001E-2</v>
      </c>
      <c r="Z4096">
        <v>1.3932689999999999E-3</v>
      </c>
      <c r="AA4096">
        <v>0.99829900000000005</v>
      </c>
      <c r="AB4096">
        <v>39</v>
      </c>
      <c r="AC4096">
        <v>-19.897400000000001</v>
      </c>
      <c r="AD4096">
        <v>-1.1092961888770001</v>
      </c>
      <c r="AE4096">
        <v>1.4752999999999701</v>
      </c>
      <c r="AF4096">
        <v>1.1833669630352199</v>
      </c>
      <c r="AG4096">
        <v>-1.1092961888770001</v>
      </c>
      <c r="AH4096">
        <v>19.855300751358701</v>
      </c>
      <c r="AI4096">
        <v>93.192082181762402</v>
      </c>
      <c r="AJ4096">
        <v>86.589232053368093</v>
      </c>
      <c r="AK4096">
        <v>19.921442300465301</v>
      </c>
      <c r="AL4096">
        <v>90.512143794038593</v>
      </c>
      <c r="AM4096">
        <v>95.619515975129502</v>
      </c>
      <c r="AN4096">
        <v>0.99999995300530498</v>
      </c>
    </row>
    <row r="4097" spans="1:40" x14ac:dyDescent="0.25">
      <c r="A4097" t="str">
        <f>"20190305135911749"</f>
        <v>20190305135911749</v>
      </c>
      <c r="B4097" t="str">
        <f>"1551765551743385"</f>
        <v>1551765551743385</v>
      </c>
      <c r="C4097" t="s">
        <v>40</v>
      </c>
      <c r="D4097">
        <v>3.9075090000000001</v>
      </c>
      <c r="E4097">
        <v>0.55849359999999904</v>
      </c>
      <c r="F4097" t="s">
        <v>42</v>
      </c>
      <c r="G4097">
        <v>-352.5256</v>
      </c>
      <c r="H4097" s="1">
        <v>-4.0471409999999901E-6</v>
      </c>
      <c r="I4097">
        <v>143.1712</v>
      </c>
      <c r="J4097">
        <v>-332.45400000000001</v>
      </c>
      <c r="K4097">
        <v>1.1092949999999999</v>
      </c>
      <c r="L4097">
        <v>141.68809999999999</v>
      </c>
      <c r="M4097">
        <v>-0.99980250000000004</v>
      </c>
      <c r="N4097">
        <v>-1.3623659999999999E-2</v>
      </c>
      <c r="O4097">
        <v>1.447881E-2</v>
      </c>
      <c r="P4097">
        <v>-0.99622080000000002</v>
      </c>
      <c r="Q4097">
        <v>-2.2535139999999999E-2</v>
      </c>
      <c r="R4097">
        <v>-8.3884150000000005E-2</v>
      </c>
      <c r="S4097">
        <v>-3.0260929999999999</v>
      </c>
      <c r="T4097">
        <v>-0.1651996</v>
      </c>
      <c r="U4097">
        <v>0.22142029999999999</v>
      </c>
      <c r="V4097">
        <v>-9.8300869999999999E-2</v>
      </c>
      <c r="W4097">
        <v>-8.9755169999999902E-3</v>
      </c>
      <c r="X4097">
        <v>0.99511629999999995</v>
      </c>
      <c r="Y4097">
        <v>5.84299E-2</v>
      </c>
      <c r="Z4097">
        <v>1.3987820000000001E-3</v>
      </c>
      <c r="AA4097">
        <v>0.99829049999999997</v>
      </c>
      <c r="AB4097">
        <v>39</v>
      </c>
      <c r="AC4097">
        <v>-20.071599999999901</v>
      </c>
      <c r="AD4097">
        <v>-1.109299047141</v>
      </c>
      <c r="AE4097">
        <v>1.4831000000000001</v>
      </c>
      <c r="AF4097">
        <v>1.1886936004373001</v>
      </c>
      <c r="AG4097">
        <v>-1.109299047141</v>
      </c>
      <c r="AH4097">
        <v>20.030122325516199</v>
      </c>
      <c r="AI4097">
        <v>93.164334482835102</v>
      </c>
      <c r="AJ4097">
        <v>86.603748136292893</v>
      </c>
      <c r="AK4097">
        <v>20.096003016193301</v>
      </c>
      <c r="AL4097">
        <v>90.514266129698697</v>
      </c>
      <c r="AM4097">
        <v>95.641563181936405</v>
      </c>
      <c r="AN4097">
        <v>1.0000000357369301</v>
      </c>
    </row>
    <row r="4098" spans="1:40" x14ac:dyDescent="0.25">
      <c r="A4098" t="str">
        <f>"20190305135911761"</f>
        <v>20190305135911761</v>
      </c>
      <c r="B4098" t="str">
        <f>"1551765551753145"</f>
        <v>1551765551753145</v>
      </c>
      <c r="C4098" t="s">
        <v>40</v>
      </c>
      <c r="D4098">
        <v>3.9386410000000001</v>
      </c>
      <c r="E4098">
        <v>0.55854930000000003</v>
      </c>
      <c r="F4098" t="s">
        <v>42</v>
      </c>
      <c r="G4098">
        <v>-352.82049999999998</v>
      </c>
      <c r="H4098" s="1">
        <v>-3.9477579999999998E-6</v>
      </c>
      <c r="I4098">
        <v>143.17670000000001</v>
      </c>
      <c r="J4098">
        <v>-332.68920000000003</v>
      </c>
      <c r="K4098">
        <v>1.109297</v>
      </c>
      <c r="L4098">
        <v>141.69149999999999</v>
      </c>
      <c r="M4098">
        <v>-0.99980170000000002</v>
      </c>
      <c r="N4098">
        <v>-1.3668690000000001E-2</v>
      </c>
      <c r="O4098">
        <v>1.4478680000000001E-2</v>
      </c>
      <c r="P4098">
        <v>-0.99618209999999996</v>
      </c>
      <c r="Q4098">
        <v>-2.259721E-2</v>
      </c>
      <c r="R4098">
        <v>-8.4323529999999994E-2</v>
      </c>
      <c r="S4098">
        <v>-3.0263059999999999</v>
      </c>
      <c r="T4098">
        <v>-0.1648338</v>
      </c>
      <c r="U4098">
        <v>0.22120670000000001</v>
      </c>
      <c r="V4098">
        <v>-9.8739750000000001E-2</v>
      </c>
      <c r="W4098">
        <v>-8.9933019999999999E-3</v>
      </c>
      <c r="X4098">
        <v>0.99507270000000003</v>
      </c>
      <c r="Y4098">
        <v>5.8355209999999998E-2</v>
      </c>
      <c r="Z4098">
        <v>1.396385E-3</v>
      </c>
      <c r="AA4098">
        <v>0.99829489999999999</v>
      </c>
      <c r="AB4098">
        <v>39</v>
      </c>
      <c r="AC4098">
        <v>-20.1312999999999</v>
      </c>
      <c r="AD4098">
        <v>-1.109300947758</v>
      </c>
      <c r="AE4098">
        <v>1.4852000000000201</v>
      </c>
      <c r="AF4098">
        <v>1.1899488236433799</v>
      </c>
      <c r="AG4098">
        <v>-1.109300947758</v>
      </c>
      <c r="AH4098">
        <v>20.090024568277901</v>
      </c>
      <c r="AI4098">
        <v>93.154945191907501</v>
      </c>
      <c r="AJ4098">
        <v>86.6102837772344</v>
      </c>
      <c r="AK4098">
        <v>20.155783635214899</v>
      </c>
      <c r="AL4098">
        <v>90.515285169912204</v>
      </c>
      <c r="AM4098">
        <v>95.666833951827897</v>
      </c>
      <c r="AN4098">
        <v>1.0000000479980999</v>
      </c>
    </row>
    <row r="4099" spans="1:40" x14ac:dyDescent="0.25">
      <c r="A4099" t="str">
        <f>"20190305135911774"</f>
        <v>20190305135911774</v>
      </c>
      <c r="B4099" t="str">
        <f>"1551765551762905"</f>
        <v>1551765551762905</v>
      </c>
      <c r="C4099" t="s">
        <v>40</v>
      </c>
      <c r="D4099">
        <v>3.875121</v>
      </c>
      <c r="E4099">
        <v>0.55854930000000003</v>
      </c>
      <c r="F4099" t="s">
        <v>41</v>
      </c>
      <c r="G4099">
        <v>-333.71800000000002</v>
      </c>
      <c r="H4099">
        <v>1.0531870000000001</v>
      </c>
      <c r="I4099">
        <v>141.76669999999999</v>
      </c>
      <c r="J4099">
        <v>-332.90870000000001</v>
      </c>
      <c r="K4099">
        <v>1.109299</v>
      </c>
      <c r="L4099">
        <v>141.69470000000001</v>
      </c>
      <c r="M4099">
        <v>-0.99980139999999995</v>
      </c>
      <c r="N4099">
        <v>-1.370744E-2</v>
      </c>
      <c r="O4099">
        <v>1.447823E-2</v>
      </c>
      <c r="P4099">
        <v>-0.99614709999999995</v>
      </c>
      <c r="Q4099">
        <v>-2.2710109999999999E-2</v>
      </c>
      <c r="R4099">
        <v>-8.4708679999999995E-2</v>
      </c>
      <c r="S4099">
        <v>-3.026367</v>
      </c>
      <c r="T4099">
        <v>-0.16510139999999901</v>
      </c>
      <c r="U4099">
        <v>0.22029109999999999</v>
      </c>
      <c r="V4099">
        <v>-9.9124019999999993E-2</v>
      </c>
      <c r="W4099">
        <v>-9.0681440000000002E-3</v>
      </c>
      <c r="X4099">
        <v>0.99503370000000002</v>
      </c>
      <c r="Y4099">
        <v>5.8054000000000001E-2</v>
      </c>
      <c r="Z4099">
        <v>1.3891140000000001E-3</v>
      </c>
      <c r="AA4099">
        <v>0.99831250000000005</v>
      </c>
      <c r="AB4099">
        <v>39</v>
      </c>
      <c r="AC4099">
        <v>-0.80930000000000701</v>
      </c>
      <c r="AD4099">
        <v>-5.6111999999999898E-2</v>
      </c>
      <c r="AE4099">
        <v>7.1999999999974307E-2</v>
      </c>
      <c r="AF4099">
        <v>5.9988011488974501E-2</v>
      </c>
      <c r="AG4099">
        <v>-5.6111999999999898E-2</v>
      </c>
      <c r="AH4099">
        <v>0.80641154584560404</v>
      </c>
      <c r="AI4099">
        <v>93.969426167144107</v>
      </c>
      <c r="AJ4099">
        <v>85.745669837586604</v>
      </c>
      <c r="AK4099">
        <v>0.81058417165615604</v>
      </c>
      <c r="AL4099">
        <v>90.519573534871896</v>
      </c>
      <c r="AM4099">
        <v>95.688964959746897</v>
      </c>
      <c r="AN4099">
        <v>0.99999993335612503</v>
      </c>
    </row>
    <row r="4100" spans="1:40" x14ac:dyDescent="0.25">
      <c r="A4100" t="str">
        <f>"20190305135911788"</f>
        <v>20190305135911788</v>
      </c>
      <c r="B4100" t="str">
        <f>"1551765551783400"</f>
        <v>1551765551783400</v>
      </c>
      <c r="C4100" t="s">
        <v>40</v>
      </c>
      <c r="D4100">
        <v>3.1684399999999999</v>
      </c>
      <c r="E4100">
        <v>0.55812280000000003</v>
      </c>
      <c r="F4100" t="s">
        <v>42</v>
      </c>
      <c r="G4100">
        <v>-353.21629999999999</v>
      </c>
      <c r="H4100" s="1">
        <v>-3.8110379999999998E-6</v>
      </c>
      <c r="I4100">
        <v>143.1653</v>
      </c>
      <c r="J4100">
        <v>-333.13650000000001</v>
      </c>
      <c r="K4100">
        <v>1.109302</v>
      </c>
      <c r="L4100">
        <v>141.69799999999901</v>
      </c>
      <c r="M4100">
        <v>-0.99980080000000005</v>
      </c>
      <c r="N4100">
        <v>-1.37444E-2</v>
      </c>
      <c r="O4100">
        <v>1.447816E-2</v>
      </c>
      <c r="P4100">
        <v>-0.99611099999999997</v>
      </c>
      <c r="Q4100">
        <v>-2.2668839999999999E-2</v>
      </c>
      <c r="R4100">
        <v>-8.5140679999999996E-2</v>
      </c>
      <c r="S4100">
        <v>-3.0265200000000001</v>
      </c>
      <c r="T4100">
        <v>-0.165324</v>
      </c>
      <c r="U4100">
        <v>0.21917719999999999</v>
      </c>
      <c r="V4100">
        <v>-9.9555350000000001E-2</v>
      </c>
      <c r="W4100">
        <v>-8.9906259999999998E-3</v>
      </c>
      <c r="X4100">
        <v>0.99499139999999997</v>
      </c>
      <c r="Y4100">
        <v>5.7685309999999997E-2</v>
      </c>
      <c r="Z4100">
        <v>1.3791729999999901E-3</v>
      </c>
      <c r="AA4100">
        <v>0.9983339</v>
      </c>
      <c r="AB4100">
        <v>39</v>
      </c>
      <c r="AC4100">
        <v>-20.079799999999899</v>
      </c>
      <c r="AD4100">
        <v>-1.1093058110380001</v>
      </c>
      <c r="AE4100">
        <v>1.46730000000002</v>
      </c>
      <c r="AF4100">
        <v>1.1728396919036499</v>
      </c>
      <c r="AG4100">
        <v>-1.1093058110380001</v>
      </c>
      <c r="AH4100">
        <v>20.0381093811393</v>
      </c>
      <c r="AI4100">
        <v>93.163246087794406</v>
      </c>
      <c r="AJ4100">
        <v>86.650273554704</v>
      </c>
      <c r="AK4100">
        <v>20.1030331018931</v>
      </c>
      <c r="AL4100">
        <v>90.515131868767298</v>
      </c>
      <c r="AM4100">
        <v>95.713797879611704</v>
      </c>
      <c r="AN4100">
        <v>0.999999992571727</v>
      </c>
    </row>
    <row r="4101" spans="1:40" x14ac:dyDescent="0.25">
      <c r="A4101" t="str">
        <f>"20190305135911802"</f>
        <v>20190305135911802</v>
      </c>
      <c r="B4101" t="str">
        <f>"1551765551793161"</f>
        <v>1551765551793161</v>
      </c>
      <c r="C4101" t="s">
        <v>40</v>
      </c>
      <c r="D4101">
        <v>3.177686</v>
      </c>
      <c r="E4101">
        <v>0.4239889</v>
      </c>
      <c r="F4101" t="s">
        <v>42</v>
      </c>
      <c r="G4101">
        <v>-353.65699999999998</v>
      </c>
      <c r="H4101" s="1">
        <v>-3.6439789999999998E-6</v>
      </c>
      <c r="I4101">
        <v>143.15119999999999</v>
      </c>
      <c r="J4101">
        <v>-333.40690000000001</v>
      </c>
      <c r="K4101">
        <v>1.1093029999999999</v>
      </c>
      <c r="L4101">
        <v>141.70189999999999</v>
      </c>
      <c r="M4101">
        <v>-0.99980009999999997</v>
      </c>
      <c r="N4101">
        <v>-1.378529E-2</v>
      </c>
      <c r="O4101">
        <v>1.447788E-2</v>
      </c>
      <c r="P4101">
        <v>-0.99602710000000005</v>
      </c>
      <c r="Q4101">
        <v>-2.2573860000000001E-2</v>
      </c>
      <c r="R4101">
        <v>-8.6143440000000002E-2</v>
      </c>
      <c r="S4101">
        <v>-3.0263369999999998</v>
      </c>
      <c r="T4101">
        <v>-0.1635991</v>
      </c>
      <c r="U4101">
        <v>0.21432499999999999</v>
      </c>
      <c r="V4101">
        <v>-0.1005561</v>
      </c>
      <c r="W4101">
        <v>-8.8562429999999998E-3</v>
      </c>
      <c r="X4101">
        <v>0.994892</v>
      </c>
      <c r="Y4101">
        <v>5.61018E-2</v>
      </c>
      <c r="Z4101">
        <v>1.319216E-3</v>
      </c>
      <c r="AA4101">
        <v>0.99842419999999998</v>
      </c>
      <c r="AB4101">
        <v>39</v>
      </c>
      <c r="AC4101">
        <v>-20.2500999999999</v>
      </c>
      <c r="AD4101">
        <v>-1.109306643979</v>
      </c>
      <c r="AE4101">
        <v>1.44929999999999</v>
      </c>
      <c r="AF4101">
        <v>1.15250078072172</v>
      </c>
      <c r="AG4101">
        <v>-1.109306643979</v>
      </c>
      <c r="AH4101">
        <v>20.208627319207501</v>
      </c>
      <c r="AI4101">
        <v>93.136881349184705</v>
      </c>
      <c r="AJ4101">
        <v>86.735949497541597</v>
      </c>
      <c r="AK4101">
        <v>20.271838530497401</v>
      </c>
      <c r="AL4101">
        <v>90.507431965939801</v>
      </c>
      <c r="AM4101">
        <v>95.771421029011805</v>
      </c>
      <c r="AN4101">
        <v>1.0000000269756399</v>
      </c>
    </row>
    <row r="4102" spans="1:40" x14ac:dyDescent="0.25">
      <c r="A4102" t="str">
        <f>"20190305135911824"</f>
        <v>20190305135911824</v>
      </c>
      <c r="B4102" t="str">
        <f>"1551765551812680"</f>
        <v>1551765551812680</v>
      </c>
      <c r="C4102" t="s">
        <v>40</v>
      </c>
      <c r="D4102">
        <v>3.8421720000000001</v>
      </c>
      <c r="E4102">
        <v>0.44245180000000001</v>
      </c>
      <c r="F4102" t="s">
        <v>81</v>
      </c>
      <c r="G4102">
        <v>-439.84660000000002</v>
      </c>
      <c r="H4102">
        <v>6.3515430000000004</v>
      </c>
      <c r="I4102">
        <v>109.8695</v>
      </c>
      <c r="J4102">
        <v>-333.77949999999998</v>
      </c>
      <c r="K4102">
        <v>1.1093029999999999</v>
      </c>
      <c r="L4102">
        <v>141.7073</v>
      </c>
      <c r="M4102">
        <v>-0.99979949999999995</v>
      </c>
      <c r="N4102">
        <v>-1.383525E-2</v>
      </c>
      <c r="O4102">
        <v>1.447771E-2</v>
      </c>
      <c r="P4102">
        <v>-0.99592950000000002</v>
      </c>
      <c r="Q4102">
        <v>-2.2658230000000001E-2</v>
      </c>
      <c r="R4102">
        <v>-8.7243009999999996E-2</v>
      </c>
      <c r="S4102">
        <v>-2.939209</v>
      </c>
      <c r="T4102">
        <v>0.1447589</v>
      </c>
      <c r="U4102">
        <v>-0.87901309999999999</v>
      </c>
      <c r="V4102">
        <v>-0.1016542</v>
      </c>
      <c r="W4102">
        <v>-8.8923800000000001E-3</v>
      </c>
      <c r="X4102">
        <v>0.99478009999999994</v>
      </c>
      <c r="Y4102">
        <v>-0.3001064</v>
      </c>
      <c r="Z4102">
        <v>6.0000409999999898E-3</v>
      </c>
      <c r="AA4102">
        <v>0.95388689999999998</v>
      </c>
      <c r="AB4102">
        <v>39</v>
      </c>
      <c r="AC4102">
        <v>-106.0671</v>
      </c>
      <c r="AD4102">
        <v>5.2422399999999998</v>
      </c>
      <c r="AE4102">
        <v>-31.837800000000001</v>
      </c>
      <c r="AF4102">
        <v>-33.295608866635099</v>
      </c>
      <c r="AG4102">
        <v>5.2422399999999998</v>
      </c>
      <c r="AH4102">
        <v>105.35890883395</v>
      </c>
      <c r="AI4102">
        <v>87.283734443165102</v>
      </c>
      <c r="AJ4102">
        <v>107.53762081119901</v>
      </c>
      <c r="AK4102">
        <v>110.619068522105</v>
      </c>
      <c r="AL4102">
        <v>90.509502533741099</v>
      </c>
      <c r="AM4102">
        <v>95.834665840984499</v>
      </c>
      <c r="AN4102">
        <v>1.00000004907785</v>
      </c>
    </row>
    <row r="4103" spans="1:40" x14ac:dyDescent="0.25">
      <c r="A4103" t="str">
        <f>"20190305135911840"</f>
        <v>20190305135911840</v>
      </c>
      <c r="B4103" t="str">
        <f>"1551765551833177"</f>
        <v>1551765551833177</v>
      </c>
      <c r="C4103" t="s">
        <v>40</v>
      </c>
      <c r="D4103">
        <v>3.8376049999999999</v>
      </c>
      <c r="E4103">
        <v>0.4633041</v>
      </c>
      <c r="F4103" t="s">
        <v>81</v>
      </c>
      <c r="G4103">
        <v>-440.75</v>
      </c>
      <c r="H4103">
        <v>4.1909539999999996</v>
      </c>
      <c r="I4103">
        <v>115.205</v>
      </c>
      <c r="J4103">
        <v>-334.0625</v>
      </c>
      <c r="K4103">
        <v>1.1093040000000001</v>
      </c>
      <c r="L4103">
        <v>141.7114</v>
      </c>
      <c r="M4103">
        <v>-0.99979899999999999</v>
      </c>
      <c r="N4103">
        <v>-1.386927E-2</v>
      </c>
      <c r="O4103">
        <v>1.4477769999999999E-2</v>
      </c>
      <c r="P4103">
        <v>-0.99588390000000004</v>
      </c>
      <c r="Q4103">
        <v>-2.2740690000000001E-2</v>
      </c>
      <c r="R4103">
        <v>-8.7739940000000002E-2</v>
      </c>
      <c r="S4103">
        <v>-2.9502259999999998</v>
      </c>
      <c r="T4103">
        <v>8.4991929999999993E-2</v>
      </c>
      <c r="U4103">
        <v>-0.73092650000000003</v>
      </c>
      <c r="V4103">
        <v>-0.1021503</v>
      </c>
      <c r="W4103">
        <v>-8.9416749999999996E-3</v>
      </c>
      <c r="X4103">
        <v>0.99472879999999997</v>
      </c>
      <c r="Y4103">
        <v>-0.25444889999999998</v>
      </c>
      <c r="Z4103">
        <v>2.427458E-3</v>
      </c>
      <c r="AA4103">
        <v>0.96708320000000003</v>
      </c>
      <c r="AB4103">
        <v>39</v>
      </c>
      <c r="AC4103">
        <v>-106.6875</v>
      </c>
      <c r="AD4103">
        <v>3.0816499999999998</v>
      </c>
      <c r="AE4103">
        <v>-26.506399999999999</v>
      </c>
      <c r="AF4103">
        <v>-28.026343188690898</v>
      </c>
      <c r="AG4103">
        <v>3.0816499999999998</v>
      </c>
      <c r="AH4103">
        <v>106.209063717578</v>
      </c>
      <c r="AI4103">
        <v>88.393009745637002</v>
      </c>
      <c r="AJ4103">
        <v>104.782197176141</v>
      </c>
      <c r="AK4103">
        <v>109.88784143397</v>
      </c>
      <c r="AL4103">
        <v>90.512327060629602</v>
      </c>
      <c r="AM4103">
        <v>95.863242965717703</v>
      </c>
      <c r="AN4103">
        <v>1.00000001144566</v>
      </c>
    </row>
    <row r="4104" spans="1:40" x14ac:dyDescent="0.25">
      <c r="A4104" t="str">
        <f>"20190305135911860"</f>
        <v>20190305135911860</v>
      </c>
      <c r="B4104" t="str">
        <f>"1551765551852696"</f>
        <v>1551765551852696</v>
      </c>
      <c r="C4104" t="s">
        <v>40</v>
      </c>
      <c r="D4104">
        <v>3.7942420000000001</v>
      </c>
      <c r="E4104">
        <v>0.47544629999999999</v>
      </c>
      <c r="F4104" t="s">
        <v>81</v>
      </c>
      <c r="G4104">
        <v>-450.29239999999999</v>
      </c>
      <c r="H4104">
        <v>2.9199190000000002</v>
      </c>
      <c r="I4104">
        <v>119.6108</v>
      </c>
      <c r="J4104">
        <v>-334.40260000000001</v>
      </c>
      <c r="K4104">
        <v>1.1093059999999999</v>
      </c>
      <c r="L4104">
        <v>141.71629999999999</v>
      </c>
      <c r="M4104">
        <v>-0.99979870000000004</v>
      </c>
      <c r="N4104">
        <v>-1.3905560000000001E-2</v>
      </c>
      <c r="O4104">
        <v>1.4477520000000001E-2</v>
      </c>
      <c r="P4104">
        <v>-0.99578670000000002</v>
      </c>
      <c r="Q4104">
        <v>-2.2883870000000001E-2</v>
      </c>
      <c r="R4104">
        <v>-8.8800870000000004E-2</v>
      </c>
      <c r="S4104">
        <v>-2.9638059999999999</v>
      </c>
      <c r="T4104">
        <v>4.6170469999999998E-2</v>
      </c>
      <c r="U4104">
        <v>-0.56355290000000002</v>
      </c>
      <c r="V4104">
        <v>-0.1032098</v>
      </c>
      <c r="W4104">
        <v>-9.0502410000000005E-3</v>
      </c>
      <c r="X4104">
        <v>0.99461840000000001</v>
      </c>
      <c r="Y4104">
        <v>-0.20099439999999999</v>
      </c>
      <c r="Z4104">
        <v>5.6465200000000001E-4</v>
      </c>
      <c r="AA4104">
        <v>0.97959220000000002</v>
      </c>
      <c r="AB4104">
        <v>39</v>
      </c>
      <c r="AC4104">
        <v>-115.889799999999</v>
      </c>
      <c r="AD4104">
        <v>1.810613</v>
      </c>
      <c r="AE4104">
        <v>-22.1054999999999</v>
      </c>
      <c r="AF4104">
        <v>-23.775541811075598</v>
      </c>
      <c r="AG4104">
        <v>1.810613</v>
      </c>
      <c r="AH4104">
        <v>115.530377661792</v>
      </c>
      <c r="AI4104">
        <v>89.120550565359096</v>
      </c>
      <c r="AJ4104">
        <v>101.628817133441</v>
      </c>
      <c r="AK4104">
        <v>117.965346057739</v>
      </c>
      <c r="AL4104">
        <v>90.518547709622993</v>
      </c>
      <c r="AM4104">
        <v>95.924278956183201</v>
      </c>
      <c r="AN4104">
        <v>0.99999996564837801</v>
      </c>
    </row>
    <row r="4105" spans="1:40" x14ac:dyDescent="0.25">
      <c r="A4105" t="str">
        <f>"20190305135911874"</f>
        <v>20190305135911874</v>
      </c>
      <c r="B4105" t="str">
        <f>"1551765551863433"</f>
        <v>1551765551863433</v>
      </c>
      <c r="C4105" t="s">
        <v>40</v>
      </c>
      <c r="D4105">
        <v>3.8008899999999999</v>
      </c>
      <c r="E4105">
        <v>0.47885529999999998</v>
      </c>
      <c r="F4105" t="s">
        <v>81</v>
      </c>
      <c r="G4105">
        <v>-473.06790000000001</v>
      </c>
      <c r="H4105">
        <v>2.6119490000000001</v>
      </c>
      <c r="I4105">
        <v>119.8177</v>
      </c>
      <c r="J4105">
        <v>-334.6694</v>
      </c>
      <c r="K4105">
        <v>1.109307</v>
      </c>
      <c r="L4105">
        <v>141.72020000000001</v>
      </c>
      <c r="M4105">
        <v>-0.99979819999999997</v>
      </c>
      <c r="N4105">
        <v>-1.393083E-2</v>
      </c>
      <c r="O4105">
        <v>1.4477520000000001E-2</v>
      </c>
      <c r="P4105">
        <v>-0.99575829999999999</v>
      </c>
      <c r="Q4105">
        <v>-2.2898519999999999E-2</v>
      </c>
      <c r="R4105">
        <v>-8.9113129999999999E-2</v>
      </c>
      <c r="S4105">
        <v>-2.9715880000000001</v>
      </c>
      <c r="T4105">
        <v>3.2202120000000001E-2</v>
      </c>
      <c r="U4105">
        <v>-0.46928409999999898</v>
      </c>
      <c r="V4105">
        <v>-0.1035219</v>
      </c>
      <c r="W4105">
        <v>-9.0401690000000007E-3</v>
      </c>
      <c r="X4105">
        <v>0.99458610000000003</v>
      </c>
      <c r="Y4105">
        <v>-0.17027439999999999</v>
      </c>
      <c r="Z4105" s="1">
        <v>7.9856020000000004E-5</v>
      </c>
      <c r="AA4105">
        <v>0.98539670000000001</v>
      </c>
      <c r="AB4105">
        <v>39</v>
      </c>
      <c r="AC4105">
        <v>-138.39850000000001</v>
      </c>
      <c r="AD4105">
        <v>1.502642</v>
      </c>
      <c r="AE4105">
        <v>-21.9025</v>
      </c>
      <c r="AF4105">
        <v>-23.901316765775199</v>
      </c>
      <c r="AG4105">
        <v>1.502642</v>
      </c>
      <c r="AH4105">
        <v>138.05099158746501</v>
      </c>
      <c r="AI4105">
        <v>89.385518865476499</v>
      </c>
      <c r="AJ4105">
        <v>99.822474306053095</v>
      </c>
      <c r="AK4105">
        <v>140.11283722200599</v>
      </c>
      <c r="AL4105">
        <v>90.517970580253902</v>
      </c>
      <c r="AM4105">
        <v>95.942257212373903</v>
      </c>
      <c r="AN4105">
        <v>1.0000000093741801</v>
      </c>
    </row>
    <row r="4106" spans="1:40" x14ac:dyDescent="0.25">
      <c r="A4106" t="str">
        <f>"20190305135911892"</f>
        <v>20190305135911892</v>
      </c>
      <c r="B4106" t="str">
        <f>"1551765551882952"</f>
        <v>1551765551882952</v>
      </c>
      <c r="C4106" t="s">
        <v>40</v>
      </c>
      <c r="D4106">
        <v>3.7621250000000002</v>
      </c>
      <c r="E4106">
        <v>0.48368830000000002</v>
      </c>
      <c r="F4106" t="s">
        <v>55</v>
      </c>
      <c r="G4106">
        <v>0</v>
      </c>
      <c r="H4106">
        <v>0</v>
      </c>
      <c r="I4106">
        <v>0</v>
      </c>
      <c r="J4106">
        <v>-334.97570000000002</v>
      </c>
      <c r="K4106">
        <v>1.1093090000000001</v>
      </c>
      <c r="L4106">
        <v>141.72460000000001</v>
      </c>
      <c r="M4106">
        <v>-0.99979790000000002</v>
      </c>
      <c r="N4106">
        <v>-1.395685E-2</v>
      </c>
      <c r="O4106">
        <v>1.447734E-2</v>
      </c>
      <c r="P4106">
        <v>-0.99567050000000001</v>
      </c>
      <c r="Q4106">
        <v>-2.3087469999999999E-2</v>
      </c>
      <c r="R4106">
        <v>-9.0041179999999998E-2</v>
      </c>
      <c r="S4106">
        <v>-2.9737239999999998</v>
      </c>
      <c r="T4106">
        <v>2.349913E-2</v>
      </c>
      <c r="U4106">
        <v>-0.44239810000000002</v>
      </c>
      <c r="V4106">
        <v>-0.1044484</v>
      </c>
      <c r="W4106">
        <v>-9.204584E-3</v>
      </c>
      <c r="X4106">
        <v>0.99448769999999997</v>
      </c>
      <c r="Y4106">
        <v>-0.16145570000000001</v>
      </c>
      <c r="Z4106">
        <v>-1.837756E-4</v>
      </c>
      <c r="AA4106">
        <v>0.98687990000000003</v>
      </c>
      <c r="AB4106">
        <v>39</v>
      </c>
      <c r="AC4106">
        <v>-2.9737239999999998</v>
      </c>
      <c r="AD4106">
        <v>2.349913E-2</v>
      </c>
      <c r="AE4106">
        <v>-0.44239810000000002</v>
      </c>
      <c r="AF4106">
        <v>-0.48537787545873301</v>
      </c>
      <c r="AG4106">
        <v>2.349913E-2</v>
      </c>
      <c r="AH4106">
        <v>2.9668256618908702</v>
      </c>
      <c r="AI4106">
        <v>89.552144508785602</v>
      </c>
      <c r="AJ4106">
        <v>99.291377191200695</v>
      </c>
      <c r="AK4106">
        <v>3.00635965898124</v>
      </c>
      <c r="AL4106">
        <v>90.527391268481097</v>
      </c>
      <c r="AM4106">
        <v>95.995642455079405</v>
      </c>
      <c r="AN4106">
        <v>0.99999998904023102</v>
      </c>
    </row>
    <row r="4107" spans="1:40" x14ac:dyDescent="0.25">
      <c r="A4107" t="str">
        <f>"20190305135911907"</f>
        <v>20190305135911907</v>
      </c>
      <c r="B4107" t="str">
        <f>"1551765551903448"</f>
        <v>1551765551903448</v>
      </c>
      <c r="C4107" t="s">
        <v>40</v>
      </c>
      <c r="D4107">
        <v>3.7858010000000002</v>
      </c>
      <c r="E4107">
        <v>0.48704979999999998</v>
      </c>
      <c r="F4107" t="s">
        <v>55</v>
      </c>
      <c r="G4107">
        <v>0</v>
      </c>
      <c r="H4107">
        <v>0</v>
      </c>
      <c r="I4107">
        <v>0</v>
      </c>
      <c r="J4107">
        <v>-335.23059999999998</v>
      </c>
      <c r="K4107">
        <v>1.109313</v>
      </c>
      <c r="L4107">
        <v>141.72829999999999</v>
      </c>
      <c r="M4107">
        <v>-0.99979770000000001</v>
      </c>
      <c r="N4107">
        <v>-1.3976250000000001E-2</v>
      </c>
      <c r="O4107">
        <v>1.4477200000000001E-2</v>
      </c>
      <c r="P4107">
        <v>-0.99563409999999997</v>
      </c>
      <c r="Q4107">
        <v>-2.29877E-2</v>
      </c>
      <c r="R4107">
        <v>-9.0470869999999995E-2</v>
      </c>
      <c r="S4107">
        <v>-2.9765929999999998</v>
      </c>
      <c r="T4107">
        <v>1.2294889999999999E-2</v>
      </c>
      <c r="U4107">
        <v>-0.40600589999999998</v>
      </c>
      <c r="V4107">
        <v>-0.1048772</v>
      </c>
      <c r="W4107">
        <v>-9.0860990000000003E-3</v>
      </c>
      <c r="X4107">
        <v>0.99444370000000004</v>
      </c>
      <c r="Y4107">
        <v>-0.14948040000000001</v>
      </c>
      <c r="Z4107">
        <v>-4.812479E-4</v>
      </c>
      <c r="AA4107">
        <v>0.98876459999999999</v>
      </c>
      <c r="AB4107">
        <v>39</v>
      </c>
      <c r="AC4107">
        <v>-2.9765929999999998</v>
      </c>
      <c r="AD4107">
        <v>1.2294889999999999E-2</v>
      </c>
      <c r="AE4107">
        <v>-0.40600589999999998</v>
      </c>
      <c r="AF4107">
        <v>-0.449052754448313</v>
      </c>
      <c r="AG4107">
        <v>1.2294889999999999E-2</v>
      </c>
      <c r="AH4107">
        <v>2.9703528378227402</v>
      </c>
      <c r="AI4107">
        <v>89.765507040950297</v>
      </c>
      <c r="AJ4107">
        <v>98.596777599084803</v>
      </c>
      <c r="AK4107">
        <v>3.0041297444949602</v>
      </c>
      <c r="AL4107">
        <v>90.520602273578604</v>
      </c>
      <c r="AM4107">
        <v>96.020340838813297</v>
      </c>
      <c r="AN4107">
        <v>1.0000000283722801</v>
      </c>
    </row>
    <row r="4108" spans="1:40" x14ac:dyDescent="0.25">
      <c r="A4108" t="str">
        <f>"20190305135911924"</f>
        <v>20190305135911924</v>
      </c>
      <c r="B4108" t="str">
        <f>"1551765551913208"</f>
        <v>1551765551913208</v>
      </c>
      <c r="C4108" t="s">
        <v>40</v>
      </c>
      <c r="D4108">
        <v>3.7950349999999999</v>
      </c>
      <c r="E4108">
        <v>0.48831089999999999</v>
      </c>
      <c r="F4108" t="s">
        <v>55</v>
      </c>
      <c r="G4108">
        <v>0</v>
      </c>
      <c r="H4108">
        <v>0</v>
      </c>
      <c r="I4108">
        <v>0</v>
      </c>
      <c r="J4108">
        <v>-335.53680000000003</v>
      </c>
      <c r="K4108">
        <v>1.1093120000000001</v>
      </c>
      <c r="L4108">
        <v>141.73269999999999</v>
      </c>
      <c r="M4108">
        <v>-0.99979720000000005</v>
      </c>
      <c r="N4108">
        <v>-1.399717E-2</v>
      </c>
      <c r="O4108">
        <v>1.4477230000000001E-2</v>
      </c>
      <c r="P4108">
        <v>-0.99559419999999998</v>
      </c>
      <c r="Q4108">
        <v>-2.2480679999999999E-2</v>
      </c>
      <c r="R4108">
        <v>-9.1031799999999996E-2</v>
      </c>
      <c r="S4108">
        <v>-2.97879</v>
      </c>
      <c r="T4108">
        <v>5.8610440000000001E-3</v>
      </c>
      <c r="U4108">
        <v>-0.37995909999999999</v>
      </c>
      <c r="V4108">
        <v>-0.10543719999999999</v>
      </c>
      <c r="W4108">
        <v>-8.5589610000000003E-3</v>
      </c>
      <c r="X4108">
        <v>0.99438910000000003</v>
      </c>
      <c r="Y4108">
        <v>-0.14087849999999999</v>
      </c>
      <c r="Z4108">
        <v>-6.2176889999999996E-4</v>
      </c>
      <c r="AA4108">
        <v>0.99002670000000004</v>
      </c>
      <c r="AB4108">
        <v>39</v>
      </c>
      <c r="AC4108">
        <v>-2.97879</v>
      </c>
      <c r="AD4108">
        <v>5.8610440000000001E-3</v>
      </c>
      <c r="AE4108">
        <v>-0.37995909999999999</v>
      </c>
      <c r="AF4108">
        <v>-0.42304651479974098</v>
      </c>
      <c r="AG4108">
        <v>5.8610440000000001E-3</v>
      </c>
      <c r="AH4108">
        <v>2.9729651401938102</v>
      </c>
      <c r="AI4108">
        <v>89.888171055432494</v>
      </c>
      <c r="AJ4108">
        <v>98.098695061197404</v>
      </c>
      <c r="AK4108">
        <v>3.0029193179851799</v>
      </c>
      <c r="AL4108">
        <v>90.490398344291606</v>
      </c>
      <c r="AM4108">
        <v>96.052578803743202</v>
      </c>
      <c r="AN4108">
        <v>0.99999997057802403</v>
      </c>
    </row>
    <row r="4109" spans="1:40" x14ac:dyDescent="0.25">
      <c r="A4109" t="str">
        <f>"20190305135911939"</f>
        <v>20190305135911939</v>
      </c>
      <c r="B4109" t="str">
        <f>"1551765551932728"</f>
        <v>1551765551932728</v>
      </c>
      <c r="C4109" t="s">
        <v>40</v>
      </c>
      <c r="D4109">
        <v>3.8287689999999999</v>
      </c>
      <c r="E4109">
        <v>0.49100769999999999</v>
      </c>
      <c r="F4109" t="s">
        <v>55</v>
      </c>
      <c r="G4109">
        <v>0</v>
      </c>
      <c r="H4109">
        <v>0</v>
      </c>
      <c r="I4109">
        <v>0</v>
      </c>
      <c r="J4109">
        <v>-335.7971</v>
      </c>
      <c r="K4109">
        <v>1.1093139999999999</v>
      </c>
      <c r="L4109">
        <v>141.73650000000001</v>
      </c>
      <c r="M4109">
        <v>-0.99979709999999999</v>
      </c>
      <c r="N4109">
        <v>-1.40132E-2</v>
      </c>
      <c r="O4109">
        <v>1.447712E-2</v>
      </c>
      <c r="P4109">
        <v>-0.99557600000000002</v>
      </c>
      <c r="Q4109">
        <v>-2.2287649999999999E-2</v>
      </c>
      <c r="R4109">
        <v>-9.1280650000000005E-2</v>
      </c>
      <c r="S4109">
        <v>-2.9794309999999999</v>
      </c>
      <c r="T4109">
        <v>5.0351620000000001E-3</v>
      </c>
      <c r="U4109">
        <v>-0.3713379</v>
      </c>
      <c r="V4109">
        <v>-0.1056858</v>
      </c>
      <c r="W4109">
        <v>-8.3502999999999893E-3</v>
      </c>
      <c r="X4109">
        <v>0.99436449999999998</v>
      </c>
      <c r="Y4109">
        <v>-0.13803099999999999</v>
      </c>
      <c r="Z4109">
        <v>-6.2827909999999996E-4</v>
      </c>
      <c r="AA4109">
        <v>0.99042770000000002</v>
      </c>
      <c r="AB4109">
        <v>39</v>
      </c>
      <c r="AC4109">
        <v>-2.9794309999999999</v>
      </c>
      <c r="AD4109">
        <v>5.0351620000000001E-3</v>
      </c>
      <c r="AE4109">
        <v>-0.3713379</v>
      </c>
      <c r="AF4109">
        <v>-0.41443562253497601</v>
      </c>
      <c r="AG4109">
        <v>5.0351620000000001E-3</v>
      </c>
      <c r="AH4109">
        <v>2.97373390353148</v>
      </c>
      <c r="AI4109">
        <v>89.903914818306305</v>
      </c>
      <c r="AJ4109">
        <v>97.933946487367194</v>
      </c>
      <c r="AK4109">
        <v>3.0024782375722401</v>
      </c>
      <c r="AL4109">
        <v>90.478442513933103</v>
      </c>
      <c r="AM4109">
        <v>96.066892249645704</v>
      </c>
      <c r="AN4109">
        <v>0.99999998734598905</v>
      </c>
    </row>
    <row r="4110" spans="1:40" x14ac:dyDescent="0.25">
      <c r="A4110" t="str">
        <f>"20190305135911952"</f>
        <v>20190305135911952</v>
      </c>
      <c r="B4110" t="str">
        <f>"1551765551943465"</f>
        <v>1551765551943465</v>
      </c>
      <c r="C4110" t="s">
        <v>40</v>
      </c>
      <c r="D4110">
        <v>3.7941760000000002</v>
      </c>
      <c r="E4110">
        <v>0.4919367</v>
      </c>
      <c r="F4110" t="s">
        <v>54</v>
      </c>
      <c r="G4110">
        <v>-1309.191</v>
      </c>
      <c r="H4110">
        <v>-0.1</v>
      </c>
      <c r="I4110">
        <v>27.449570000000001</v>
      </c>
      <c r="J4110">
        <v>-336.03620000000001</v>
      </c>
      <c r="K4110">
        <v>1.1093150000000001</v>
      </c>
      <c r="L4110">
        <v>141.73990000000001</v>
      </c>
      <c r="M4110">
        <v>-0.99979689999999999</v>
      </c>
      <c r="N4110">
        <v>-1.4026E-2</v>
      </c>
      <c r="O4110">
        <v>1.447703E-2</v>
      </c>
      <c r="P4110">
        <v>-0.99556009999999995</v>
      </c>
      <c r="Q4110">
        <v>-2.223441E-2</v>
      </c>
      <c r="R4110">
        <v>-9.1465939999999996E-2</v>
      </c>
      <c r="S4110">
        <v>-2.9811709999999998</v>
      </c>
      <c r="T4110">
        <v>-3.703713E-3</v>
      </c>
      <c r="U4110">
        <v>-0.35002139999999998</v>
      </c>
      <c r="V4110">
        <v>-0.1058708</v>
      </c>
      <c r="W4110">
        <v>-8.2845729999999999E-3</v>
      </c>
      <c r="X4110">
        <v>0.99434540000000005</v>
      </c>
      <c r="Y4110">
        <v>-0.1309748</v>
      </c>
      <c r="Z4110">
        <v>-8.1839550000000004E-4</v>
      </c>
      <c r="AA4110">
        <v>0.99138530000000002</v>
      </c>
      <c r="AB4110">
        <v>39</v>
      </c>
      <c r="AC4110">
        <v>-973.15480000000002</v>
      </c>
      <c r="AD4110">
        <v>-1.2093149999999999</v>
      </c>
      <c r="AE4110">
        <v>-114.29033</v>
      </c>
      <c r="AF4110">
        <v>-128.36793089499</v>
      </c>
      <c r="AG4110">
        <v>-1.2093149999999999</v>
      </c>
      <c r="AH4110">
        <v>971.39656872640398</v>
      </c>
      <c r="AI4110">
        <v>90.070714091253393</v>
      </c>
      <c r="AJ4110">
        <v>97.527894118175496</v>
      </c>
      <c r="AK4110">
        <v>979.84237602711505</v>
      </c>
      <c r="AL4110">
        <v>90.4746764896163</v>
      </c>
      <c r="AM4110">
        <v>96.077548628555903</v>
      </c>
      <c r="AN4110">
        <v>1.00000001747179</v>
      </c>
    </row>
    <row r="4111" spans="1:40" x14ac:dyDescent="0.25">
      <c r="A4111" t="str">
        <f>"20190305135911964"</f>
        <v>20190305135911964</v>
      </c>
      <c r="B4111" t="str">
        <f>"1551765551953225"</f>
        <v>1551765551953225</v>
      </c>
      <c r="C4111" t="s">
        <v>40</v>
      </c>
      <c r="D4111">
        <v>3.8873829999999998</v>
      </c>
      <c r="E4111">
        <v>0.49237039999999999</v>
      </c>
      <c r="F4111" t="s">
        <v>54</v>
      </c>
      <c r="G4111">
        <v>-1163.5999999999999</v>
      </c>
      <c r="H4111">
        <v>-0.1</v>
      </c>
      <c r="I4111">
        <v>46.50826</v>
      </c>
      <c r="J4111">
        <v>-336.25220000000002</v>
      </c>
      <c r="K4111">
        <v>1.109316</v>
      </c>
      <c r="L4111">
        <v>141.7431</v>
      </c>
      <c r="M4111">
        <v>-0.99979669999999998</v>
      </c>
      <c r="N4111">
        <v>-1.4036730000000001E-2</v>
      </c>
      <c r="O4111">
        <v>1.4476950000000001E-2</v>
      </c>
      <c r="P4111">
        <v>-0.99553659999999999</v>
      </c>
      <c r="Q4111">
        <v>-2.2149220000000001E-2</v>
      </c>
      <c r="R4111">
        <v>-9.174351E-2</v>
      </c>
      <c r="S4111">
        <v>-2.9817499999999999</v>
      </c>
      <c r="T4111">
        <v>-4.3572189999999998E-3</v>
      </c>
      <c r="U4111">
        <v>-0.3431244</v>
      </c>
      <c r="V4111">
        <v>-0.1061478</v>
      </c>
      <c r="W4111">
        <v>-8.1890909999999904E-3</v>
      </c>
      <c r="X4111">
        <v>0.99431659999999999</v>
      </c>
      <c r="Y4111">
        <v>-0.1286892</v>
      </c>
      <c r="Z4111">
        <v>-8.1849989999999997E-4</v>
      </c>
      <c r="AA4111">
        <v>0.99168460000000003</v>
      </c>
      <c r="AB4111">
        <v>39</v>
      </c>
      <c r="AC4111">
        <v>-827.34779999999898</v>
      </c>
      <c r="AD4111">
        <v>-1.2093160000000001</v>
      </c>
      <c r="AE4111">
        <v>-95.234840000000005</v>
      </c>
      <c r="AF4111">
        <v>-107.203284256082</v>
      </c>
      <c r="AG4111">
        <v>-1.2093160000000001</v>
      </c>
      <c r="AH4111">
        <v>825.88049249164999</v>
      </c>
      <c r="AI4111">
        <v>90.083198715593596</v>
      </c>
      <c r="AJ4111">
        <v>97.395915779038006</v>
      </c>
      <c r="AK4111">
        <v>832.81005906432699</v>
      </c>
      <c r="AL4111">
        <v>90.469205616007599</v>
      </c>
      <c r="AM4111">
        <v>96.093505598302897</v>
      </c>
      <c r="AN4111">
        <v>0.99999995884590198</v>
      </c>
    </row>
    <row r="4112" spans="1:40" x14ac:dyDescent="0.25">
      <c r="A4112" t="str">
        <f>"20190305135911982"</f>
        <v>20190305135911982</v>
      </c>
      <c r="B4112" t="str">
        <f>"1551765551972745"</f>
        <v>1551765551972745</v>
      </c>
      <c r="C4112" t="s">
        <v>40</v>
      </c>
      <c r="D4112">
        <v>3.8171300000000001</v>
      </c>
      <c r="E4112">
        <v>0.49345489999999997</v>
      </c>
      <c r="F4112" t="s">
        <v>54</v>
      </c>
      <c r="G4112">
        <v>-685.91300000000001</v>
      </c>
      <c r="H4112">
        <v>-0.1</v>
      </c>
      <c r="I4112">
        <v>101.87479999999999</v>
      </c>
      <c r="J4112">
        <v>-336.54660000000001</v>
      </c>
      <c r="K4112">
        <v>1.1093230000000001</v>
      </c>
      <c r="L4112">
        <v>141.7473</v>
      </c>
      <c r="M4112">
        <v>-0.99979649999999998</v>
      </c>
      <c r="N4112">
        <v>-1.405008E-2</v>
      </c>
      <c r="O4112">
        <v>1.4476859999999999E-2</v>
      </c>
      <c r="P4112">
        <v>-0.99552169999999895</v>
      </c>
      <c r="Q4112">
        <v>-2.2052479999999999E-2</v>
      </c>
      <c r="R4112">
        <v>-9.1926179999999996E-2</v>
      </c>
      <c r="S4112">
        <v>-2.981903</v>
      </c>
      <c r="T4112">
        <v>-1.0313030000000001E-2</v>
      </c>
      <c r="U4112">
        <v>-0.33999629999999997</v>
      </c>
      <c r="V4112">
        <v>-0.1063299</v>
      </c>
      <c r="W4112">
        <v>-8.0793389999999996E-3</v>
      </c>
      <c r="X4112">
        <v>0.99429809999999996</v>
      </c>
      <c r="Y4112">
        <v>-0.1276545</v>
      </c>
      <c r="Z4112">
        <v>-9.6696379999999999E-4</v>
      </c>
      <c r="AA4112">
        <v>0.99181819999999998</v>
      </c>
      <c r="AB4112">
        <v>39</v>
      </c>
      <c r="AC4112">
        <v>-349.3664</v>
      </c>
      <c r="AD4112">
        <v>-1.2093229999999999</v>
      </c>
      <c r="AE4112">
        <v>-39.872500000000002</v>
      </c>
      <c r="AF4112">
        <v>-44.926017034023097</v>
      </c>
      <c r="AG4112">
        <v>-1.2093229999999999</v>
      </c>
      <c r="AH4112">
        <v>348.74837035651302</v>
      </c>
      <c r="AI4112">
        <v>90.197050303733107</v>
      </c>
      <c r="AJ4112">
        <v>97.340457430667499</v>
      </c>
      <c r="AK4112">
        <v>351.63224439033399</v>
      </c>
      <c r="AL4112">
        <v>90.462917054150907</v>
      </c>
      <c r="AM4112">
        <v>96.103993069582998</v>
      </c>
      <c r="AN4112">
        <v>1.00000001750814</v>
      </c>
    </row>
    <row r="4113" spans="1:40" x14ac:dyDescent="0.25">
      <c r="A4113" t="str">
        <f>"20190305135911995"</f>
        <v>20190305135911995</v>
      </c>
      <c r="B4113" t="str">
        <f>"1551765551983481"</f>
        <v>1551765551983481</v>
      </c>
      <c r="C4113" t="s">
        <v>40</v>
      </c>
      <c r="D4113">
        <v>3.9013990000000001</v>
      </c>
      <c r="E4113">
        <v>0.49376769999999998</v>
      </c>
      <c r="F4113" t="s">
        <v>43</v>
      </c>
      <c r="G4113">
        <v>-538.07339999999999</v>
      </c>
      <c r="H4113">
        <v>-0.05</v>
      </c>
      <c r="I4113">
        <v>119.3567</v>
      </c>
      <c r="J4113">
        <v>-336.7869</v>
      </c>
      <c r="K4113">
        <v>1.1093249999999999</v>
      </c>
      <c r="L4113">
        <v>141.7508</v>
      </c>
      <c r="M4113">
        <v>-0.99979640000000003</v>
      </c>
      <c r="N4113">
        <v>-1.405989E-2</v>
      </c>
      <c r="O4113">
        <v>1.447643E-2</v>
      </c>
      <c r="P4113">
        <v>-0.99551610000000001</v>
      </c>
      <c r="Q4113">
        <v>-2.2328230000000001E-2</v>
      </c>
      <c r="R4113">
        <v>-9.1920500000000002E-2</v>
      </c>
      <c r="S4113">
        <v>-2.9825439999999999</v>
      </c>
      <c r="T4113">
        <v>-1.715767E-2</v>
      </c>
      <c r="U4113">
        <v>-0.33137509999999998</v>
      </c>
      <c r="V4113">
        <v>-0.106324</v>
      </c>
      <c r="W4113">
        <v>-8.345402E-3</v>
      </c>
      <c r="X4113">
        <v>0.99429650000000003</v>
      </c>
      <c r="Y4113">
        <v>-0.12479560000000001</v>
      </c>
      <c r="Z4113">
        <v>-1.118064E-3</v>
      </c>
      <c r="AA4113">
        <v>0.9921818</v>
      </c>
      <c r="AB4113">
        <v>39</v>
      </c>
      <c r="AC4113">
        <v>-201.28649999999999</v>
      </c>
      <c r="AD4113">
        <v>-1.1593249999999999</v>
      </c>
      <c r="AE4113">
        <v>-22.394099999999899</v>
      </c>
      <c r="AF4113">
        <v>-25.3051215560962</v>
      </c>
      <c r="AG4113">
        <v>-1.1593249999999999</v>
      </c>
      <c r="AH4113">
        <v>200.934600512939</v>
      </c>
      <c r="AI4113">
        <v>90.327983049191502</v>
      </c>
      <c r="AJ4113">
        <v>97.177876273706403</v>
      </c>
      <c r="AK4113">
        <v>202.525077199637</v>
      </c>
      <c r="AL4113">
        <v>90.478161870873805</v>
      </c>
      <c r="AM4113">
        <v>96.103666677572406</v>
      </c>
      <c r="AN4113">
        <v>0.99999998431139503</v>
      </c>
    </row>
    <row r="4114" spans="1:40" x14ac:dyDescent="0.25">
      <c r="A4114" t="str">
        <f>"20190305135912009"</f>
        <v>20190305135912009</v>
      </c>
      <c r="B4114" t="str">
        <f>"1551765552003001"</f>
        <v>1551765552003001</v>
      </c>
      <c r="C4114" t="s">
        <v>40</v>
      </c>
      <c r="D4114">
        <v>3.8311920000000002</v>
      </c>
      <c r="E4114">
        <v>0.4948708</v>
      </c>
      <c r="F4114" t="s">
        <v>42</v>
      </c>
      <c r="G4114">
        <v>-466.11009999999999</v>
      </c>
      <c r="H4114">
        <v>7.9987290000000003E-2</v>
      </c>
      <c r="I4114">
        <v>127.5119</v>
      </c>
      <c r="J4114">
        <v>-337.02629999999999</v>
      </c>
      <c r="K4114">
        <v>1.1093249999999999</v>
      </c>
      <c r="L4114">
        <v>141.7543</v>
      </c>
      <c r="M4114">
        <v>-0.99979629999999997</v>
      </c>
      <c r="N4114">
        <v>-1.406844E-2</v>
      </c>
      <c r="O4114">
        <v>1.447589E-2</v>
      </c>
      <c r="P4114">
        <v>-0.99548789999999998</v>
      </c>
      <c r="Q4114">
        <v>-2.2292090000000001E-2</v>
      </c>
      <c r="R4114">
        <v>-9.2232149999999999E-2</v>
      </c>
      <c r="S4114">
        <v>-2.982666</v>
      </c>
      <c r="T4114">
        <v>-2.3740290000000001E-2</v>
      </c>
      <c r="U4114">
        <v>-0.32839970000000002</v>
      </c>
      <c r="V4114">
        <v>-0.10663499999999999</v>
      </c>
      <c r="W4114">
        <v>-8.3012639999999992E-3</v>
      </c>
      <c r="X4114">
        <v>0.99426360000000003</v>
      </c>
      <c r="Y4114">
        <v>-0.123809199999999</v>
      </c>
      <c r="Z4114">
        <v>-1.2767119999999999E-3</v>
      </c>
      <c r="AA4114">
        <v>0.9923052</v>
      </c>
      <c r="AB4114">
        <v>39</v>
      </c>
      <c r="AC4114">
        <v>-129.0838</v>
      </c>
      <c r="AD4114">
        <v>-1.0293377100000001</v>
      </c>
      <c r="AE4114">
        <v>-14.2424</v>
      </c>
      <c r="AF4114">
        <v>-16.1086831052137</v>
      </c>
      <c r="AG4114">
        <v>-1.0293377100000001</v>
      </c>
      <c r="AH4114">
        <v>128.85598486777999</v>
      </c>
      <c r="AI4114">
        <v>90.454150122339996</v>
      </c>
      <c r="AJ4114">
        <v>97.125754054401796</v>
      </c>
      <c r="AK4114">
        <v>129.86305881100699</v>
      </c>
      <c r="AL4114">
        <v>90.475632845021494</v>
      </c>
      <c r="AM4114">
        <v>96.121585700068593</v>
      </c>
      <c r="AN4114">
        <v>1.0000000202469701</v>
      </c>
    </row>
    <row r="4115" spans="1:40" x14ac:dyDescent="0.25">
      <c r="A4115" t="str">
        <f>"20190305135912025"</f>
        <v>20190305135912025</v>
      </c>
      <c r="B4115" t="str">
        <f>"1551765552012761"</f>
        <v>1551765552012761</v>
      </c>
      <c r="C4115" t="s">
        <v>40</v>
      </c>
      <c r="D4115">
        <v>3.8132640000000002</v>
      </c>
      <c r="E4115">
        <v>0.49536140000000001</v>
      </c>
      <c r="F4115" t="s">
        <v>42</v>
      </c>
      <c r="G4115">
        <v>-467.03730000000002</v>
      </c>
      <c r="H4115">
        <v>7.9987050000000004E-2</v>
      </c>
      <c r="I4115">
        <v>127.7847</v>
      </c>
      <c r="J4115">
        <v>-337.29860000000002</v>
      </c>
      <c r="K4115">
        <v>1.109324</v>
      </c>
      <c r="L4115">
        <v>141.75819999999999</v>
      </c>
      <c r="M4115">
        <v>-0.99979629999999997</v>
      </c>
      <c r="N4115">
        <v>-1.4077269999999999E-2</v>
      </c>
      <c r="O4115">
        <v>1.4473969999999999E-2</v>
      </c>
      <c r="P4115">
        <v>-0.99545810000000001</v>
      </c>
      <c r="Q4115">
        <v>-2.214062E-2</v>
      </c>
      <c r="R4115">
        <v>-9.2593449999999994E-2</v>
      </c>
      <c r="S4115">
        <v>-2.9833370000000001</v>
      </c>
      <c r="T4115">
        <v>-2.362001E-2</v>
      </c>
      <c r="U4115">
        <v>-0.32055660000000002</v>
      </c>
      <c r="V4115">
        <v>-0.10699359999999999</v>
      </c>
      <c r="W4115">
        <v>-8.1416979999999993E-3</v>
      </c>
      <c r="X4115">
        <v>0.99422639999999995</v>
      </c>
      <c r="Y4115">
        <v>-0.1212046</v>
      </c>
      <c r="Z4115">
        <v>-1.2452019999999999E-3</v>
      </c>
      <c r="AA4115">
        <v>0.99262680000000003</v>
      </c>
      <c r="AB4115">
        <v>39</v>
      </c>
      <c r="AC4115">
        <v>-129.73869999999999</v>
      </c>
      <c r="AD4115">
        <v>-1.02933695</v>
      </c>
      <c r="AE4115">
        <v>-13.9734999999999</v>
      </c>
      <c r="AF4115">
        <v>-15.8490695814027</v>
      </c>
      <c r="AG4115">
        <v>-1.02933695</v>
      </c>
      <c r="AH4115">
        <v>129.514775612683</v>
      </c>
      <c r="AI4115">
        <v>90.451985165303796</v>
      </c>
      <c r="AJ4115">
        <v>96.976750035835593</v>
      </c>
      <c r="AK4115">
        <v>130.48497861116601</v>
      </c>
      <c r="AL4115">
        <v>90.466490075128107</v>
      </c>
      <c r="AM4115">
        <v>96.142242783048601</v>
      </c>
      <c r="AN4115">
        <v>1.00000002607212</v>
      </c>
    </row>
    <row r="4116" spans="1:40" x14ac:dyDescent="0.25">
      <c r="A4116" t="str">
        <f>"20190305135912049"</f>
        <v>20190305135912049</v>
      </c>
      <c r="B4116" t="str">
        <f>"1551765552043017"</f>
        <v>1551765552043017</v>
      </c>
      <c r="C4116" t="s">
        <v>40</v>
      </c>
      <c r="D4116">
        <v>3.872465</v>
      </c>
      <c r="E4116">
        <v>0.49659530000000002</v>
      </c>
      <c r="F4116" t="s">
        <v>42</v>
      </c>
      <c r="G4116">
        <v>-467.52069999999998</v>
      </c>
      <c r="H4116">
        <v>7.9986929999999998E-2</v>
      </c>
      <c r="I4116">
        <v>127.8844</v>
      </c>
      <c r="J4116">
        <v>-337.71710000000002</v>
      </c>
      <c r="K4116">
        <v>1.1093440000000001</v>
      </c>
      <c r="L4116">
        <v>141.76419999999999</v>
      </c>
      <c r="M4116">
        <v>-0.99979600000000002</v>
      </c>
      <c r="N4116">
        <v>-1.408882E-2</v>
      </c>
      <c r="O4116">
        <v>1.4466980000000001E-2</v>
      </c>
      <c r="P4116">
        <v>-0.9954421</v>
      </c>
      <c r="Q4116">
        <v>-2.1394549999999998E-2</v>
      </c>
      <c r="R4116">
        <v>-9.2938740000000006E-2</v>
      </c>
      <c r="S4116">
        <v>-2.9836119999999999</v>
      </c>
      <c r="T4116">
        <v>-2.358389E-2</v>
      </c>
      <c r="U4116">
        <v>-0.31787110000000002</v>
      </c>
      <c r="V4116">
        <v>-0.1073318</v>
      </c>
      <c r="W4116">
        <v>-7.3852249999999996E-3</v>
      </c>
      <c r="X4116">
        <v>0.99419579999999996</v>
      </c>
      <c r="Y4116">
        <v>-0.1203047</v>
      </c>
      <c r="Z4116">
        <v>-1.234892E-3</v>
      </c>
      <c r="AA4116">
        <v>0.99273619999999996</v>
      </c>
      <c r="AB4116">
        <v>39</v>
      </c>
      <c r="AC4116">
        <v>-129.80359999999899</v>
      </c>
      <c r="AD4116">
        <v>-1.0293570700000001</v>
      </c>
      <c r="AE4116">
        <v>-13.8797999999999</v>
      </c>
      <c r="AF4116">
        <v>-15.7554201999498</v>
      </c>
      <c r="AG4116">
        <v>-1.0293570700000001</v>
      </c>
      <c r="AH4116">
        <v>129.581137520054</v>
      </c>
      <c r="AI4116">
        <v>90.451805176073506</v>
      </c>
      <c r="AJ4116">
        <v>96.932410880512606</v>
      </c>
      <c r="AK4116">
        <v>130.539511423345</v>
      </c>
      <c r="AL4116">
        <v>90.423146081335503</v>
      </c>
      <c r="AM4116">
        <v>96.161697100472495</v>
      </c>
      <c r="AN4116">
        <v>0.99999997278858899</v>
      </c>
    </row>
    <row r="4117" spans="1:40" x14ac:dyDescent="0.25">
      <c r="A4117" t="str">
        <f>"20190305135912072"</f>
        <v>20190305135912072</v>
      </c>
      <c r="B4117" t="str">
        <f>"1551765552063512"</f>
        <v>1551765552063512</v>
      </c>
      <c r="C4117" t="s">
        <v>40</v>
      </c>
      <c r="D4117">
        <v>3.8595929999999998</v>
      </c>
      <c r="E4117">
        <v>0.49717260000000002</v>
      </c>
      <c r="F4117" t="s">
        <v>82</v>
      </c>
      <c r="G4117">
        <v>-477.62819999999999</v>
      </c>
      <c r="H4117">
        <v>7.9986559999999998E-2</v>
      </c>
      <c r="I4117">
        <v>127.2787</v>
      </c>
      <c r="J4117">
        <v>-338.11320000000001</v>
      </c>
      <c r="K4117">
        <v>1.109359</v>
      </c>
      <c r="L4117">
        <v>141.76990000000001</v>
      </c>
      <c r="M4117">
        <v>-0.99979629999999997</v>
      </c>
      <c r="N4117">
        <v>-1.409792E-2</v>
      </c>
      <c r="O4117">
        <v>1.445361E-2</v>
      </c>
      <c r="P4117">
        <v>-0.99543570000000003</v>
      </c>
      <c r="Q4117">
        <v>-2.0427859999999999E-2</v>
      </c>
      <c r="R4117">
        <v>-9.3225329999999995E-2</v>
      </c>
      <c r="S4117">
        <v>-2.9844360000000001</v>
      </c>
      <c r="T4117">
        <v>-2.195716E-2</v>
      </c>
      <c r="U4117">
        <v>-0.3089905</v>
      </c>
      <c r="V4117">
        <v>-0.1076051</v>
      </c>
      <c r="W4117">
        <v>-6.4108699999999999E-3</v>
      </c>
      <c r="X4117">
        <v>0.99417299999999997</v>
      </c>
      <c r="Y4117">
        <v>-0.1173413</v>
      </c>
      <c r="Z4117">
        <v>-1.1627779999999999E-3</v>
      </c>
      <c r="AA4117">
        <v>0.99309099999999995</v>
      </c>
      <c r="AB4117">
        <v>39</v>
      </c>
      <c r="AC4117">
        <v>-139.51499999999999</v>
      </c>
      <c r="AD4117">
        <v>-1.0293724399999999</v>
      </c>
      <c r="AE4117">
        <v>-14.491199999999999</v>
      </c>
      <c r="AF4117">
        <v>-16.5054925445611</v>
      </c>
      <c r="AG4117">
        <v>-1.0293724399999999</v>
      </c>
      <c r="AH4117">
        <v>139.28345118588501</v>
      </c>
      <c r="AI4117">
        <v>90.420493880813197</v>
      </c>
      <c r="AJ4117">
        <v>96.758198506902403</v>
      </c>
      <c r="AK4117">
        <v>140.261793322378</v>
      </c>
      <c r="AL4117">
        <v>90.367318326516695</v>
      </c>
      <c r="AM4117">
        <v>96.177406114179703</v>
      </c>
      <c r="AN4117">
        <v>0.99999995536458197</v>
      </c>
    </row>
    <row r="4118" spans="1:40" x14ac:dyDescent="0.25">
      <c r="A4118" t="str">
        <f>"20190305135912092"</f>
        <v>20190305135912092</v>
      </c>
      <c r="B4118" t="str">
        <f>"1551765552083032"</f>
        <v>1551765552083032</v>
      </c>
      <c r="C4118" t="s">
        <v>40</v>
      </c>
      <c r="D4118">
        <v>3.8994849999999999</v>
      </c>
      <c r="E4118">
        <v>0.49765209999999999</v>
      </c>
      <c r="F4118" t="s">
        <v>82</v>
      </c>
      <c r="G4118">
        <v>-492.06360000000001</v>
      </c>
      <c r="H4118">
        <v>7.9986399999999902E-2</v>
      </c>
      <c r="I4118">
        <v>126.0296</v>
      </c>
      <c r="J4118">
        <v>-338.47449999999998</v>
      </c>
      <c r="K4118">
        <v>1.109369</v>
      </c>
      <c r="L4118">
        <v>141.77520000000001</v>
      </c>
      <c r="M4118">
        <v>-0.99979640000000003</v>
      </c>
      <c r="N4118">
        <v>-1.410495E-2</v>
      </c>
      <c r="O4118">
        <v>1.4434020000000001E-2</v>
      </c>
      <c r="P4118">
        <v>-0.99536760000000002</v>
      </c>
      <c r="Q4118">
        <v>-1.9867079999999999E-2</v>
      </c>
      <c r="R4118">
        <v>-9.4068680000000002E-2</v>
      </c>
      <c r="S4118">
        <v>-2.9848020000000002</v>
      </c>
      <c r="T4118">
        <v>-1.9957539999999999E-2</v>
      </c>
      <c r="U4118">
        <v>-0.3051758</v>
      </c>
      <c r="V4118">
        <v>-0.10842789999999999</v>
      </c>
      <c r="W4118">
        <v>-5.8459059999999997E-3</v>
      </c>
      <c r="X4118">
        <v>0.9940871</v>
      </c>
      <c r="Y4118">
        <v>-0.1160545</v>
      </c>
      <c r="Z4118">
        <v>-1.100881E-3</v>
      </c>
      <c r="AA4118">
        <v>0.99324230000000002</v>
      </c>
      <c r="AB4118">
        <v>39</v>
      </c>
      <c r="AC4118">
        <v>-153.5891</v>
      </c>
      <c r="AD4118">
        <v>-1.0293825999999999</v>
      </c>
      <c r="AE4118">
        <v>-15.7456</v>
      </c>
      <c r="AF4118">
        <v>-17.960289543492799</v>
      </c>
      <c r="AG4118">
        <v>-1.0293825999999999</v>
      </c>
      <c r="AH4118">
        <v>153.33898539480799</v>
      </c>
      <c r="AI4118">
        <v>90.382016083445706</v>
      </c>
      <c r="AJ4118">
        <v>96.680501486446403</v>
      </c>
      <c r="AK4118">
        <v>154.390660569001</v>
      </c>
      <c r="AL4118">
        <v>90.334947657992899</v>
      </c>
      <c r="AM4118">
        <v>96.224805773083801</v>
      </c>
      <c r="AN4118">
        <v>0.99999997325088996</v>
      </c>
    </row>
    <row r="4119" spans="1:40" x14ac:dyDescent="0.25">
      <c r="A4119" t="str">
        <f>"20190305135912108"</f>
        <v>20190305135912108</v>
      </c>
      <c r="B4119" t="str">
        <f>"1551765552103530"</f>
        <v>1551765552103530</v>
      </c>
      <c r="C4119" t="s">
        <v>40</v>
      </c>
      <c r="D4119">
        <v>3.8914900000000001</v>
      </c>
      <c r="E4119">
        <v>0.49807439999999997</v>
      </c>
      <c r="F4119" t="s">
        <v>82</v>
      </c>
      <c r="G4119">
        <v>-501.35640000000001</v>
      </c>
      <c r="H4119">
        <v>7.9987299999999997E-2</v>
      </c>
      <c r="I4119">
        <v>125.1992</v>
      </c>
      <c r="J4119">
        <v>-338.74110000000002</v>
      </c>
      <c r="K4119">
        <v>1.109378</v>
      </c>
      <c r="L4119">
        <v>141.779</v>
      </c>
      <c r="M4119">
        <v>-0.99979660000000004</v>
      </c>
      <c r="N4119">
        <v>-1.410926E-2</v>
      </c>
      <c r="O4119">
        <v>1.441165E-2</v>
      </c>
      <c r="P4119">
        <v>-0.9953476</v>
      </c>
      <c r="Q4119">
        <v>-1.962827E-2</v>
      </c>
      <c r="R4119">
        <v>-9.4329739999999995E-2</v>
      </c>
      <c r="S4119">
        <v>-2.9848330000000001</v>
      </c>
      <c r="T4119">
        <v>-1.8863560000000001E-2</v>
      </c>
      <c r="U4119">
        <v>-0.30375669999999999</v>
      </c>
      <c r="V4119">
        <v>-0.108666</v>
      </c>
      <c r="W4119">
        <v>-5.6048410000000002E-3</v>
      </c>
      <c r="X4119">
        <v>0.99406249999999996</v>
      </c>
      <c r="Y4119">
        <v>-0.1155645</v>
      </c>
      <c r="Z4119">
        <v>-1.0697230000000001E-3</v>
      </c>
      <c r="AA4119">
        <v>0.99329940000000005</v>
      </c>
      <c r="AB4119">
        <v>39</v>
      </c>
      <c r="AC4119">
        <v>-162.61529999999999</v>
      </c>
      <c r="AD4119">
        <v>-1.0293907</v>
      </c>
      <c r="AE4119">
        <v>-16.579799999999899</v>
      </c>
      <c r="AF4119">
        <v>-18.921115471614399</v>
      </c>
      <c r="AG4119">
        <v>-1.0293907</v>
      </c>
      <c r="AH4119">
        <v>162.35300362814701</v>
      </c>
      <c r="AI4119">
        <v>90.360833871240601</v>
      </c>
      <c r="AJ4119">
        <v>96.647437778363894</v>
      </c>
      <c r="AK4119">
        <v>163.45508876442099</v>
      </c>
      <c r="AL4119">
        <v>90.321135420713404</v>
      </c>
      <c r="AM4119">
        <v>96.238520510692496</v>
      </c>
      <c r="AN4119">
        <v>0.99999998385244204</v>
      </c>
    </row>
    <row r="4120" spans="1:40" x14ac:dyDescent="0.25">
      <c r="A4120" t="str">
        <f>"20190305135912122"</f>
        <v>20190305135912122</v>
      </c>
      <c r="B4120" t="str">
        <f>"1551765552113289"</f>
        <v>1551765552113289</v>
      </c>
      <c r="C4120" t="s">
        <v>40</v>
      </c>
      <c r="D4120">
        <v>3.8760949999999998</v>
      </c>
      <c r="E4120">
        <v>0.49825730000000001</v>
      </c>
      <c r="F4120" t="s">
        <v>82</v>
      </c>
      <c r="G4120">
        <v>-496.7278</v>
      </c>
      <c r="H4120">
        <v>7.9987950000000002E-2</v>
      </c>
      <c r="I4120">
        <v>125.84010000000001</v>
      </c>
      <c r="J4120">
        <v>-338.9787</v>
      </c>
      <c r="K4120">
        <v>1.1093919999999999</v>
      </c>
      <c r="L4120">
        <v>141.7824</v>
      </c>
      <c r="M4120">
        <v>-0.99979700000000005</v>
      </c>
      <c r="N4120">
        <v>-1.4112629999999999E-2</v>
      </c>
      <c r="O4120">
        <v>1.4385220000000001E-2</v>
      </c>
      <c r="P4120">
        <v>-0.99529699999999999</v>
      </c>
      <c r="Q4120">
        <v>-1.9318140000000001E-2</v>
      </c>
      <c r="R4120">
        <v>-9.492544E-2</v>
      </c>
      <c r="S4120">
        <v>-2.9851380000000001</v>
      </c>
      <c r="T4120">
        <v>-1.9450189999999999E-2</v>
      </c>
      <c r="U4120">
        <v>-0.30116270000000001</v>
      </c>
      <c r="V4120">
        <v>-0.1092345</v>
      </c>
      <c r="W4120">
        <v>-5.2940849999999996E-3</v>
      </c>
      <c r="X4120">
        <v>0.99400189999999999</v>
      </c>
      <c r="Y4120">
        <v>-0.11467330000000001</v>
      </c>
      <c r="Z4120">
        <v>-1.0749500000000001E-3</v>
      </c>
      <c r="AA4120">
        <v>0.99340269999999997</v>
      </c>
      <c r="AB4120">
        <v>39</v>
      </c>
      <c r="AC4120">
        <v>-157.7491</v>
      </c>
      <c r="AD4120">
        <v>-1.0294040499999999</v>
      </c>
      <c r="AE4120">
        <v>-15.9422999999999</v>
      </c>
      <c r="AF4120">
        <v>-18.2093638674238</v>
      </c>
      <c r="AG4120">
        <v>-1.0294040499999999</v>
      </c>
      <c r="AH4120">
        <v>157.49677881227899</v>
      </c>
      <c r="AI4120">
        <v>90.372003706429297</v>
      </c>
      <c r="AJ4120">
        <v>96.595105133477503</v>
      </c>
      <c r="AK4120">
        <v>158.54928552787001</v>
      </c>
      <c r="AL4120">
        <v>90.303330146770307</v>
      </c>
      <c r="AM4120">
        <v>96.271278039296902</v>
      </c>
      <c r="AN4120">
        <v>0.99999999026492303</v>
      </c>
    </row>
    <row r="4121" spans="1:40" x14ac:dyDescent="0.25">
      <c r="A4121" t="str">
        <f>"20190305135912136"</f>
        <v>20190305135912136</v>
      </c>
      <c r="B4121" t="str">
        <f>"1551765552132809"</f>
        <v>1551765552132809</v>
      </c>
      <c r="C4121" t="s">
        <v>40</v>
      </c>
      <c r="D4121">
        <v>3.869275</v>
      </c>
      <c r="E4121">
        <v>0.49861450000000002</v>
      </c>
      <c r="F4121" t="s">
        <v>82</v>
      </c>
      <c r="G4121">
        <v>-502.55579999999998</v>
      </c>
      <c r="H4121">
        <v>7.9987299999999997E-2</v>
      </c>
      <c r="I4121">
        <v>125.2645</v>
      </c>
      <c r="J4121">
        <v>-339.24579999999997</v>
      </c>
      <c r="K4121">
        <v>1.1094059999999999</v>
      </c>
      <c r="L4121">
        <v>141.78620000000001</v>
      </c>
      <c r="M4121">
        <v>-0.99979759999999995</v>
      </c>
      <c r="N4121">
        <v>-1.4115910000000001E-2</v>
      </c>
      <c r="O4121">
        <v>1.4345500000000001E-2</v>
      </c>
      <c r="P4121">
        <v>-0.99523439999999996</v>
      </c>
      <c r="Q4121">
        <v>-1.9323469999999999E-2</v>
      </c>
      <c r="R4121">
        <v>-9.5579739999999996E-2</v>
      </c>
      <c r="S4121">
        <v>-2.984985</v>
      </c>
      <c r="T4121">
        <v>-1.8784760000000001E-2</v>
      </c>
      <c r="U4121">
        <v>-0.30142210000000003</v>
      </c>
      <c r="V4121">
        <v>-0.1098488</v>
      </c>
      <c r="W4121">
        <v>-5.2998860000000002E-3</v>
      </c>
      <c r="X4121">
        <v>0.99393419999999999</v>
      </c>
      <c r="Y4121">
        <v>-0.1147247</v>
      </c>
      <c r="Z4121">
        <v>-1.0600029999999999E-3</v>
      </c>
      <c r="AA4121">
        <v>0.99339679999999997</v>
      </c>
      <c r="AB4121">
        <v>39</v>
      </c>
      <c r="AC4121">
        <v>-163.31</v>
      </c>
      <c r="AD4121">
        <v>-1.0294186999999999</v>
      </c>
      <c r="AE4121">
        <v>-16.521699999999999</v>
      </c>
      <c r="AF4121">
        <v>-18.862254377199498</v>
      </c>
      <c r="AG4121">
        <v>-1.0294186999999999</v>
      </c>
      <c r="AH4121">
        <v>163.04974317677099</v>
      </c>
      <c r="AI4121">
        <v>90.359337141108</v>
      </c>
      <c r="AJ4121">
        <v>96.598874913489894</v>
      </c>
      <c r="AK4121">
        <v>164.14037618167299</v>
      </c>
      <c r="AL4121">
        <v>90.303662514983699</v>
      </c>
      <c r="AM4121">
        <v>96.306688430504806</v>
      </c>
      <c r="AN4121">
        <v>1.00000002079134</v>
      </c>
    </row>
    <row r="4122" spans="1:40" x14ac:dyDescent="0.25">
      <c r="A4122" t="str">
        <f>"20190305135912152"</f>
        <v>20190305135912152</v>
      </c>
      <c r="B4122" t="str">
        <f>"1551765552143545"</f>
        <v>1551765552143545</v>
      </c>
      <c r="C4122" t="s">
        <v>40</v>
      </c>
      <c r="D4122">
        <v>3.897443</v>
      </c>
      <c r="E4122">
        <v>0.49874679999999999</v>
      </c>
      <c r="F4122" t="s">
        <v>82</v>
      </c>
      <c r="G4122">
        <v>-489.90429999999998</v>
      </c>
      <c r="H4122">
        <v>7.9986559999999998E-2</v>
      </c>
      <c r="I4122">
        <v>126.6232</v>
      </c>
      <c r="J4122">
        <v>-339.5154</v>
      </c>
      <c r="K4122">
        <v>1.1094200000000001</v>
      </c>
      <c r="L4122">
        <v>141.79</v>
      </c>
      <c r="M4122">
        <v>-0.99979839999999998</v>
      </c>
      <c r="N4122">
        <v>-1.4118759999999999E-2</v>
      </c>
      <c r="O4122">
        <v>1.428772E-2</v>
      </c>
      <c r="P4122">
        <v>-0.99519809999999997</v>
      </c>
      <c r="Q4122">
        <v>-1.9202520000000001E-2</v>
      </c>
      <c r="R4122">
        <v>-9.5979739999999994E-2</v>
      </c>
      <c r="S4122">
        <v>-2.9850460000000001</v>
      </c>
      <c r="T4122">
        <v>-2.0396230000000001E-2</v>
      </c>
      <c r="U4122">
        <v>-0.30043029999999998</v>
      </c>
      <c r="V4122">
        <v>-0.1101901</v>
      </c>
      <c r="W4122">
        <v>-5.1804609999999999E-3</v>
      </c>
      <c r="X4122">
        <v>0.99389700000000003</v>
      </c>
      <c r="Y4122">
        <v>-0.1143378</v>
      </c>
      <c r="Z4122">
        <v>-1.095087E-3</v>
      </c>
      <c r="AA4122">
        <v>0.99344129999999997</v>
      </c>
      <c r="AB4122">
        <v>39</v>
      </c>
      <c r="AC4122">
        <v>-150.38889999999901</v>
      </c>
      <c r="AD4122">
        <v>-1.02943344</v>
      </c>
      <c r="AE4122">
        <v>-15.166799999999901</v>
      </c>
      <c r="AF4122">
        <v>-17.313376823502999</v>
      </c>
      <c r="AG4122">
        <v>-1.02943344</v>
      </c>
      <c r="AH4122">
        <v>150.14986090389201</v>
      </c>
      <c r="AI4122">
        <v>90.390230435376495</v>
      </c>
      <c r="AJ4122">
        <v>96.577573639351399</v>
      </c>
      <c r="AK4122">
        <v>151.14825000541001</v>
      </c>
      <c r="AL4122">
        <v>90.296819887496</v>
      </c>
      <c r="AM4122">
        <v>96.326359535870594</v>
      </c>
      <c r="AN4122">
        <v>0.99999997096158999</v>
      </c>
    </row>
    <row r="4123" spans="1:40" x14ac:dyDescent="0.25">
      <c r="A4123" t="str">
        <f>"20190305135912166"</f>
        <v>20190305135912166</v>
      </c>
      <c r="B4123" t="str">
        <f>"1551765552163065"</f>
        <v>1551765552163065</v>
      </c>
      <c r="C4123" t="s">
        <v>40</v>
      </c>
      <c r="D4123">
        <v>3.910161</v>
      </c>
      <c r="E4123">
        <v>0.49898870000000001</v>
      </c>
      <c r="F4123" t="s">
        <v>82</v>
      </c>
      <c r="G4123">
        <v>-488.387</v>
      </c>
      <c r="H4123">
        <v>7.9986570000000007E-2</v>
      </c>
      <c r="I4123">
        <v>126.7984</v>
      </c>
      <c r="J4123">
        <v>-339.7543</v>
      </c>
      <c r="K4123">
        <v>1.1094379999999999</v>
      </c>
      <c r="L4123">
        <v>141.79339999999999</v>
      </c>
      <c r="M4123">
        <v>-0.99979929999999995</v>
      </c>
      <c r="N4123">
        <v>-1.412104E-2</v>
      </c>
      <c r="O4123">
        <v>1.422096E-2</v>
      </c>
      <c r="P4123">
        <v>-0.99516459999999995</v>
      </c>
      <c r="Q4123">
        <v>-1.9000280000000001E-2</v>
      </c>
      <c r="R4123">
        <v>-9.6366259999999995E-2</v>
      </c>
      <c r="S4123">
        <v>-2.9850460000000001</v>
      </c>
      <c r="T4123">
        <v>-2.0641329999999999E-2</v>
      </c>
      <c r="U4123">
        <v>-0.30059809999999998</v>
      </c>
      <c r="V4123">
        <v>-0.1105096</v>
      </c>
      <c r="W4123">
        <v>-4.9808489999999999E-3</v>
      </c>
      <c r="X4123">
        <v>0.99386260000000004</v>
      </c>
      <c r="Y4123">
        <v>-0.1143266</v>
      </c>
      <c r="Z4123">
        <v>-1.1014009999999999E-3</v>
      </c>
      <c r="AA4123">
        <v>0.99344259999999995</v>
      </c>
      <c r="AB4123">
        <v>39</v>
      </c>
      <c r="AC4123">
        <v>-148.63269999999901</v>
      </c>
      <c r="AD4123">
        <v>-1.0294514299999999</v>
      </c>
      <c r="AE4123">
        <v>-14.9949999999999</v>
      </c>
      <c r="AF4123">
        <v>-17.106581156598502</v>
      </c>
      <c r="AG4123">
        <v>-1.0294514299999999</v>
      </c>
      <c r="AH4123">
        <v>148.39735518498699</v>
      </c>
      <c r="AI4123">
        <v>90.394847063852097</v>
      </c>
      <c r="AJ4123">
        <v>96.575775569343307</v>
      </c>
      <c r="AK4123">
        <v>149.38363335724901</v>
      </c>
      <c r="AL4123">
        <v>90.285382799222006</v>
      </c>
      <c r="AM4123">
        <v>96.344771473668899</v>
      </c>
      <c r="AN4123">
        <v>1.00000002411384</v>
      </c>
    </row>
    <row r="4124" spans="1:40" x14ac:dyDescent="0.25">
      <c r="A4124" t="str">
        <f>"20190305135912182"</f>
        <v>20190305135912182</v>
      </c>
      <c r="B4124" t="str">
        <f>"1551765552172825"</f>
        <v>1551765552172825</v>
      </c>
      <c r="C4124" t="s">
        <v>40</v>
      </c>
      <c r="D4124">
        <v>3.8926020000000001</v>
      </c>
      <c r="E4124">
        <v>0.499116</v>
      </c>
      <c r="F4124" t="s">
        <v>82</v>
      </c>
      <c r="G4124">
        <v>-482.14</v>
      </c>
      <c r="H4124">
        <v>7.9986559999999998E-2</v>
      </c>
      <c r="I4124">
        <v>127.5005</v>
      </c>
      <c r="J4124">
        <v>-340.03219999999999</v>
      </c>
      <c r="K4124">
        <v>1.1094619999999999</v>
      </c>
      <c r="L4124">
        <v>141.79730000000001</v>
      </c>
      <c r="M4124">
        <v>-0.99980049999999998</v>
      </c>
      <c r="N4124">
        <v>-1.412337E-2</v>
      </c>
      <c r="O4124">
        <v>1.412393E-2</v>
      </c>
      <c r="P4124">
        <v>-0.99510770000000004</v>
      </c>
      <c r="Q4124">
        <v>-1.8180390000000001E-2</v>
      </c>
      <c r="R4124">
        <v>-9.7111299999999998E-2</v>
      </c>
      <c r="S4124">
        <v>-2.9851380000000001</v>
      </c>
      <c r="T4124">
        <v>-2.15826E-2</v>
      </c>
      <c r="U4124">
        <v>-0.29965209999999998</v>
      </c>
      <c r="V4124">
        <v>-0.1111574</v>
      </c>
      <c r="W4124">
        <v>-4.165831E-3</v>
      </c>
      <c r="X4124">
        <v>0.99379410000000001</v>
      </c>
      <c r="Y4124">
        <v>-0.113915</v>
      </c>
      <c r="Z4124">
        <v>-1.1202009999999999E-3</v>
      </c>
      <c r="AA4124">
        <v>0.99348990000000004</v>
      </c>
      <c r="AB4124">
        <v>39</v>
      </c>
      <c r="AC4124">
        <v>-142.1078</v>
      </c>
      <c r="AD4124">
        <v>-1.0294754399999999</v>
      </c>
      <c r="AE4124">
        <v>-14.296799999999999</v>
      </c>
      <c r="AF4124">
        <v>-16.3018475243619</v>
      </c>
      <c r="AG4124">
        <v>-1.0294754399999999</v>
      </c>
      <c r="AH4124">
        <v>141.88430358635401</v>
      </c>
      <c r="AI4124">
        <v>90.412998957439299</v>
      </c>
      <c r="AJ4124">
        <v>96.554278909665399</v>
      </c>
      <c r="AK4124">
        <v>142.821446766842</v>
      </c>
      <c r="AL4124">
        <v>90.238685220664095</v>
      </c>
      <c r="AM4124">
        <v>96.382094394303095</v>
      </c>
      <c r="AN4124">
        <v>1.00000001745874</v>
      </c>
    </row>
    <row r="4125" spans="1:40" x14ac:dyDescent="0.25">
      <c r="A4125" t="str">
        <f>"20190305135912197"</f>
        <v>20190305135912197</v>
      </c>
      <c r="B4125" t="str">
        <f>"1551765552193321"</f>
        <v>1551765552193321</v>
      </c>
      <c r="C4125" t="s">
        <v>40</v>
      </c>
      <c r="D4125">
        <v>3.921354</v>
      </c>
      <c r="E4125">
        <v>0.49935689999999999</v>
      </c>
      <c r="F4125" t="s">
        <v>82</v>
      </c>
      <c r="G4125">
        <v>-495.59120000000001</v>
      </c>
      <c r="H4125">
        <v>7.9987390000000005E-2</v>
      </c>
      <c r="I4125">
        <v>126.1203</v>
      </c>
      <c r="J4125">
        <v>-340.2713</v>
      </c>
      <c r="K4125">
        <v>1.1094850000000001</v>
      </c>
      <c r="L4125">
        <v>141.8006</v>
      </c>
      <c r="M4125">
        <v>-0.99980190000000002</v>
      </c>
      <c r="N4125">
        <v>-1.412511E-2</v>
      </c>
      <c r="O4125">
        <v>1.402142E-2</v>
      </c>
      <c r="P4125">
        <v>-0.9950909</v>
      </c>
      <c r="Q4125">
        <v>-1.8056840000000001E-2</v>
      </c>
      <c r="R4125">
        <v>-9.7302940000000004E-2</v>
      </c>
      <c r="S4125">
        <v>-2.9850460000000001</v>
      </c>
      <c r="T4125">
        <v>-1.9754770000000001E-2</v>
      </c>
      <c r="U4125">
        <v>-0.30082700000000001</v>
      </c>
      <c r="V4125">
        <v>-0.1112465</v>
      </c>
      <c r="W4125">
        <v>-4.0469870000000002E-3</v>
      </c>
      <c r="X4125">
        <v>0.99378460000000002</v>
      </c>
      <c r="Y4125">
        <v>-0.11420420000000001</v>
      </c>
      <c r="Z4125">
        <v>-1.0806520000000001E-3</v>
      </c>
      <c r="AA4125">
        <v>0.99345669999999997</v>
      </c>
      <c r="AB4125">
        <v>39</v>
      </c>
      <c r="AC4125">
        <v>-155.31989999999999</v>
      </c>
      <c r="AD4125">
        <v>-1.02949761</v>
      </c>
      <c r="AE4125">
        <v>-15.680300000000001</v>
      </c>
      <c r="AF4125">
        <v>-17.856004564793199</v>
      </c>
      <c r="AG4125">
        <v>-1.02949761</v>
      </c>
      <c r="AH4125">
        <v>155.078001833586</v>
      </c>
      <c r="AI4125">
        <v>90.377860527026698</v>
      </c>
      <c r="AJ4125">
        <v>96.568230919043899</v>
      </c>
      <c r="AK4125">
        <v>156.10600057987699</v>
      </c>
      <c r="AL4125">
        <v>90.231875908599406</v>
      </c>
      <c r="AM4125">
        <v>96.387228357402293</v>
      </c>
      <c r="AN4125">
        <v>0.99999999653159399</v>
      </c>
    </row>
    <row r="4126" spans="1:40" x14ac:dyDescent="0.25">
      <c r="A4126" t="str">
        <f>"20190305135912210"</f>
        <v>20190305135912210</v>
      </c>
      <c r="B4126" t="str">
        <f>"1551765552203081"</f>
        <v>1551765552203081</v>
      </c>
      <c r="C4126" t="s">
        <v>40</v>
      </c>
      <c r="D4126">
        <v>3.9202180000000002</v>
      </c>
      <c r="E4126">
        <v>0.49946309999999999</v>
      </c>
      <c r="F4126" t="s">
        <v>82</v>
      </c>
      <c r="G4126">
        <v>-486.18439999999998</v>
      </c>
      <c r="H4126">
        <v>7.9986559999999998E-2</v>
      </c>
      <c r="I4126">
        <v>127.1717</v>
      </c>
      <c r="J4126">
        <v>-340.52530000000002</v>
      </c>
      <c r="K4126">
        <v>1.1095109999999999</v>
      </c>
      <c r="L4126">
        <v>141.804</v>
      </c>
      <c r="M4126">
        <v>-0.99980380000000002</v>
      </c>
      <c r="N4126">
        <v>-1.41266E-2</v>
      </c>
      <c r="O4126">
        <v>1.3886870000000001E-2</v>
      </c>
      <c r="P4126">
        <v>-0.99504720000000002</v>
      </c>
      <c r="Q4126">
        <v>-1.8154739999999999E-2</v>
      </c>
      <c r="R4126">
        <v>-9.7732910000000006E-2</v>
      </c>
      <c r="S4126">
        <v>-2.9851679999999998</v>
      </c>
      <c r="T4126">
        <v>-2.1062020000000001E-2</v>
      </c>
      <c r="U4126">
        <v>-0.29928589999999999</v>
      </c>
      <c r="V4126">
        <v>-0.11154169999999999</v>
      </c>
      <c r="W4126">
        <v>-4.1515060000000001E-3</v>
      </c>
      <c r="X4126">
        <v>0.9937511</v>
      </c>
      <c r="Y4126">
        <v>-0.1135581</v>
      </c>
      <c r="Z4126">
        <v>-1.1058520000000001E-3</v>
      </c>
      <c r="AA4126">
        <v>0.99353080000000005</v>
      </c>
      <c r="AB4126">
        <v>39</v>
      </c>
      <c r="AC4126">
        <v>-145.659099999999</v>
      </c>
      <c r="AD4126">
        <v>-1.0295244400000001</v>
      </c>
      <c r="AE4126">
        <v>-14.632300000000001</v>
      </c>
      <c r="AF4126">
        <v>-16.6530159417416</v>
      </c>
      <c r="AG4126">
        <v>-1.0295244400000001</v>
      </c>
      <c r="AH4126">
        <v>145.43464165133901</v>
      </c>
      <c r="AI4126">
        <v>90.402954175280399</v>
      </c>
      <c r="AJ4126">
        <v>96.532212274675501</v>
      </c>
      <c r="AK4126">
        <v>146.388585117768</v>
      </c>
      <c r="AL4126">
        <v>90.237864451578105</v>
      </c>
      <c r="AM4126">
        <v>96.404250759609198</v>
      </c>
      <c r="AN4126">
        <v>1.0000000172960799</v>
      </c>
    </row>
    <row r="4127" spans="1:40" x14ac:dyDescent="0.25">
      <c r="A4127" t="str">
        <f>"20190305135912226"</f>
        <v>20190305135912226</v>
      </c>
      <c r="B4127" t="str">
        <f>"1551765552223577"</f>
        <v>1551765552223577</v>
      </c>
      <c r="C4127" t="s">
        <v>40</v>
      </c>
      <c r="D4127">
        <v>3.9122819999999998</v>
      </c>
      <c r="E4127">
        <v>0.49964839999999999</v>
      </c>
      <c r="F4127" t="s">
        <v>82</v>
      </c>
      <c r="G4127">
        <v>-479.67630000000003</v>
      </c>
      <c r="H4127">
        <v>7.9986580000000002E-2</v>
      </c>
      <c r="I4127">
        <v>127.8297</v>
      </c>
      <c r="J4127">
        <v>-340.78199999999998</v>
      </c>
      <c r="K4127">
        <v>1.1095349999999999</v>
      </c>
      <c r="L4127">
        <v>141.8074</v>
      </c>
      <c r="M4127">
        <v>-0.99980599999999997</v>
      </c>
      <c r="N4127">
        <v>-1.4127890000000001E-2</v>
      </c>
      <c r="O4127">
        <v>1.372928E-2</v>
      </c>
      <c r="P4127">
        <v>-0.99496260000000003</v>
      </c>
      <c r="Q4127">
        <v>-1.8918870000000001E-2</v>
      </c>
      <c r="R4127">
        <v>-9.844667E-2</v>
      </c>
      <c r="S4127">
        <v>-2.9850460000000001</v>
      </c>
      <c r="T4127">
        <v>-2.2085190000000001E-2</v>
      </c>
      <c r="U4127">
        <v>-0.29977419999999999</v>
      </c>
      <c r="V4127">
        <v>-0.1120966</v>
      </c>
      <c r="W4127">
        <v>-4.9237589999999998E-3</v>
      </c>
      <c r="X4127">
        <v>0.99368509999999999</v>
      </c>
      <c r="Y4127">
        <v>-0.113565899999999</v>
      </c>
      <c r="Z4127">
        <v>-1.131237E-3</v>
      </c>
      <c r="AA4127">
        <v>0.99352980000000002</v>
      </c>
      <c r="AB4127">
        <v>39</v>
      </c>
      <c r="AC4127">
        <v>-138.89429999999999</v>
      </c>
      <c r="AD4127">
        <v>-1.02954842</v>
      </c>
      <c r="AE4127">
        <v>-13.9777</v>
      </c>
      <c r="AF4127">
        <v>-15.8826273595506</v>
      </c>
      <c r="AG4127">
        <v>-1.02954842</v>
      </c>
      <c r="AH4127">
        <v>138.68174014986201</v>
      </c>
      <c r="AI4127">
        <v>90.422583595371606</v>
      </c>
      <c r="AJ4127">
        <v>96.533375901749594</v>
      </c>
      <c r="AK4127">
        <v>139.59205877407601</v>
      </c>
      <c r="AL4127">
        <v>90.282111754298001</v>
      </c>
      <c r="AM4127">
        <v>96.4362679766583</v>
      </c>
      <c r="AN4127">
        <v>0.999999984548129</v>
      </c>
    </row>
    <row r="4128" spans="1:40" x14ac:dyDescent="0.25">
      <c r="A4128" t="str">
        <f>"20190305135912249"</f>
        <v>20190305135912249</v>
      </c>
      <c r="B4128" t="str">
        <f>"1551765552243097"</f>
        <v>1551765552243097</v>
      </c>
      <c r="C4128" t="s">
        <v>40</v>
      </c>
      <c r="D4128">
        <v>3.9463140000000001</v>
      </c>
      <c r="E4128">
        <v>0.4998552</v>
      </c>
      <c r="F4128" t="s">
        <v>42</v>
      </c>
      <c r="G4128">
        <v>-462.089</v>
      </c>
      <c r="H4128">
        <v>6.3740980000000003E-2</v>
      </c>
      <c r="I4128">
        <v>129.6026</v>
      </c>
      <c r="J4128">
        <v>-341.18819999999999</v>
      </c>
      <c r="K4128">
        <v>1.1095820000000001</v>
      </c>
      <c r="L4128">
        <v>141.81270000000001</v>
      </c>
      <c r="M4128">
        <v>-0.99981010000000003</v>
      </c>
      <c r="N4128">
        <v>-1.412946E-2</v>
      </c>
      <c r="O4128">
        <v>1.3429E-2</v>
      </c>
      <c r="P4128">
        <v>-0.99487049999999999</v>
      </c>
      <c r="Q4128">
        <v>-1.9743409999999999E-2</v>
      </c>
      <c r="R4128">
        <v>-9.9213819999999994E-2</v>
      </c>
      <c r="S4128">
        <v>-2.984985</v>
      </c>
      <c r="T4128">
        <v>-2.573371E-2</v>
      </c>
      <c r="U4128">
        <v>-0.30032350000000002</v>
      </c>
      <c r="V4128">
        <v>-0.11256330000000001</v>
      </c>
      <c r="W4128">
        <v>-5.7616730000000001E-3</v>
      </c>
      <c r="X4128">
        <v>0.99362779999999995</v>
      </c>
      <c r="Y4128">
        <v>-0.11344849999999999</v>
      </c>
      <c r="Z4128">
        <v>-1.217608E-3</v>
      </c>
      <c r="AA4128">
        <v>0.99354310000000001</v>
      </c>
      <c r="AB4128">
        <v>39</v>
      </c>
      <c r="AC4128">
        <v>-120.9008</v>
      </c>
      <c r="AD4128">
        <v>-1.0458410199999999</v>
      </c>
      <c r="AE4128">
        <v>-12.210100000000001</v>
      </c>
      <c r="AF4128">
        <v>-13.831712946638699</v>
      </c>
      <c r="AG4128">
        <v>-1.0458410199999999</v>
      </c>
      <c r="AH4128">
        <v>120.716968052433</v>
      </c>
      <c r="AI4128">
        <v>90.4931476784989</v>
      </c>
      <c r="AJ4128">
        <v>96.536427685673999</v>
      </c>
      <c r="AK4128">
        <v>121.511301705848</v>
      </c>
      <c r="AL4128">
        <v>90.330121389135599</v>
      </c>
      <c r="AM4128">
        <v>96.463207851940894</v>
      </c>
      <c r="AN4128">
        <v>0.99999994915774304</v>
      </c>
    </row>
    <row r="4129" spans="1:40" x14ac:dyDescent="0.25">
      <c r="A4129" t="str">
        <f>"20190305135912273"</f>
        <v>20190305135912273</v>
      </c>
      <c r="B4129" t="str">
        <f>"1551765552263594"</f>
        <v>1551765552263594</v>
      </c>
      <c r="C4129" t="s">
        <v>40</v>
      </c>
      <c r="D4129">
        <v>3.984159</v>
      </c>
      <c r="E4129">
        <v>0.50000809999999996</v>
      </c>
      <c r="F4129" t="s">
        <v>42</v>
      </c>
      <c r="G4129">
        <v>-453.41180000000003</v>
      </c>
      <c r="H4129" s="1">
        <v>-3.641009E-6</v>
      </c>
      <c r="I4129">
        <v>130.49770000000001</v>
      </c>
      <c r="J4129">
        <v>-341.59410000000003</v>
      </c>
      <c r="K4129">
        <v>1.1096299999999999</v>
      </c>
      <c r="L4129">
        <v>141.81790000000001</v>
      </c>
      <c r="M4129">
        <v>-0.99981469999999995</v>
      </c>
      <c r="N4129">
        <v>-1.4130449999999999E-2</v>
      </c>
      <c r="O4129">
        <v>1.307227E-2</v>
      </c>
      <c r="P4129">
        <v>-0.99480550000000001</v>
      </c>
      <c r="Q4129">
        <v>-2.0076710000000001E-2</v>
      </c>
      <c r="R4129">
        <v>-9.9795010000000003E-2</v>
      </c>
      <c r="S4129">
        <v>-2.9848629999999998</v>
      </c>
      <c r="T4129">
        <v>-2.9512170000000001E-2</v>
      </c>
      <c r="U4129">
        <v>-0.30094910000000002</v>
      </c>
      <c r="V4129">
        <v>-0.1127886</v>
      </c>
      <c r="W4129">
        <v>-6.1083229999999997E-3</v>
      </c>
      <c r="X4129">
        <v>0.99360020000000004</v>
      </c>
      <c r="Y4129">
        <v>-0.113302</v>
      </c>
      <c r="Z4129">
        <v>-1.306013E-3</v>
      </c>
      <c r="AA4129">
        <v>0.99355970000000005</v>
      </c>
      <c r="AB4129">
        <v>39</v>
      </c>
      <c r="AC4129">
        <v>-111.8177</v>
      </c>
      <c r="AD4129">
        <v>-1.109633641009</v>
      </c>
      <c r="AE4129">
        <v>-11.3202</v>
      </c>
      <c r="AF4129">
        <v>-12.7798439066023</v>
      </c>
      <c r="AG4129">
        <v>-1.109633641009</v>
      </c>
      <c r="AH4129">
        <v>111.649264831633</v>
      </c>
      <c r="AI4129">
        <v>90.565725386866703</v>
      </c>
      <c r="AJ4129">
        <v>96.529896242563694</v>
      </c>
      <c r="AK4129">
        <v>112.383780122126</v>
      </c>
      <c r="AL4129">
        <v>90.349983315197505</v>
      </c>
      <c r="AM4129">
        <v>96.476212797153295</v>
      </c>
      <c r="AN4129">
        <v>0.99999996866993501</v>
      </c>
    </row>
    <row r="4130" spans="1:40" x14ac:dyDescent="0.25">
      <c r="A4130" t="str">
        <f>"20190305135912293"</f>
        <v>20190305135912293</v>
      </c>
      <c r="B4130" t="str">
        <f>"1551765552283113"</f>
        <v>1551765552283113</v>
      </c>
      <c r="C4130" t="s">
        <v>40</v>
      </c>
      <c r="D4130">
        <v>3.9826510000000002</v>
      </c>
      <c r="E4130">
        <v>0.50016139999999998</v>
      </c>
      <c r="F4130" t="s">
        <v>42</v>
      </c>
      <c r="G4130">
        <v>-446.20769999999999</v>
      </c>
      <c r="H4130" s="1">
        <v>-2.4885610000000002E-6</v>
      </c>
      <c r="I4130">
        <v>131.25319999999999</v>
      </c>
      <c r="J4130">
        <v>-341.94869999999997</v>
      </c>
      <c r="K4130">
        <v>1.109674</v>
      </c>
      <c r="L4130">
        <v>141.82220000000001</v>
      </c>
      <c r="M4130">
        <v>-0.99981929999999997</v>
      </c>
      <c r="N4130">
        <v>-1.413089E-2</v>
      </c>
      <c r="O4130">
        <v>1.271864E-2</v>
      </c>
      <c r="P4130">
        <v>-0.99474560000000001</v>
      </c>
      <c r="Q4130">
        <v>-2.007339E-2</v>
      </c>
      <c r="R4130">
        <v>-0.10039049999999999</v>
      </c>
      <c r="S4130">
        <v>-2.984772</v>
      </c>
      <c r="T4130">
        <v>-3.1659359999999998E-2</v>
      </c>
      <c r="U4130">
        <v>-0.30142210000000003</v>
      </c>
      <c r="V4130">
        <v>-0.113031199999999</v>
      </c>
      <c r="W4130">
        <v>-6.1161719999999996E-3</v>
      </c>
      <c r="X4130">
        <v>0.99357260000000003</v>
      </c>
      <c r="Y4130">
        <v>-0.11310820000000001</v>
      </c>
      <c r="Z4130">
        <v>-1.3549320000000001E-3</v>
      </c>
      <c r="AA4130">
        <v>0.99358179999999996</v>
      </c>
      <c r="AB4130">
        <v>39</v>
      </c>
      <c r="AC4130">
        <v>-104.259</v>
      </c>
      <c r="AD4130">
        <v>-1.109676488561</v>
      </c>
      <c r="AE4130">
        <v>-10.569000000000001</v>
      </c>
      <c r="AF4130">
        <v>-11.892976431318001</v>
      </c>
      <c r="AG4130">
        <v>-1.109676488561</v>
      </c>
      <c r="AH4130">
        <v>104.10445525505401</v>
      </c>
      <c r="AI4130">
        <v>90.606761224389203</v>
      </c>
      <c r="AJ4130">
        <v>96.517261615641004</v>
      </c>
      <c r="AK4130">
        <v>104.787460481952</v>
      </c>
      <c r="AL4130">
        <v>90.350433032252198</v>
      </c>
      <c r="AM4130">
        <v>96.490202679535898</v>
      </c>
      <c r="AN4130">
        <v>0.99999998560206604</v>
      </c>
    </row>
    <row r="4131" spans="1:40" x14ac:dyDescent="0.25">
      <c r="A4131" t="str">
        <f>"20190305135912311"</f>
        <v>20190305135912311</v>
      </c>
      <c r="B4131" t="str">
        <f>"1551765552302634"</f>
        <v>1551765552302634</v>
      </c>
      <c r="C4131" t="s">
        <v>40</v>
      </c>
      <c r="D4131">
        <v>3.9865629999999999</v>
      </c>
      <c r="E4131">
        <v>0.5003223</v>
      </c>
      <c r="F4131" t="s">
        <v>42</v>
      </c>
      <c r="G4131">
        <v>-444.35340000000002</v>
      </c>
      <c r="H4131" s="1">
        <v>-3.0638819999999999E-6</v>
      </c>
      <c r="I4131">
        <v>131.46250000000001</v>
      </c>
      <c r="J4131">
        <v>-342.25850000000003</v>
      </c>
      <c r="K4131">
        <v>1.1097049999999999</v>
      </c>
      <c r="L4131">
        <v>141.82579999999999</v>
      </c>
      <c r="M4131">
        <v>-0.99982349999999998</v>
      </c>
      <c r="N4131">
        <v>-1.4131110000000001E-2</v>
      </c>
      <c r="O4131">
        <v>1.238473E-2</v>
      </c>
      <c r="P4131">
        <v>-0.99471500000000002</v>
      </c>
      <c r="Q4131">
        <v>-1.9753010000000001E-2</v>
      </c>
      <c r="R4131">
        <v>-0.1007566</v>
      </c>
      <c r="S4131">
        <v>-2.9847109999999999</v>
      </c>
      <c r="T4131">
        <v>-3.2342910000000002E-2</v>
      </c>
      <c r="U4131">
        <v>-0.30194090000000001</v>
      </c>
      <c r="V4131">
        <v>-0.113065</v>
      </c>
      <c r="W4131">
        <v>-5.8039789999999999E-3</v>
      </c>
      <c r="X4131">
        <v>0.99357059999999997</v>
      </c>
      <c r="Y4131">
        <v>-0.1129489</v>
      </c>
      <c r="Z4131">
        <v>-1.3698899999999999E-3</v>
      </c>
      <c r="AA4131">
        <v>0.99359980000000003</v>
      </c>
      <c r="AB4131">
        <v>39</v>
      </c>
      <c r="AC4131">
        <v>-102.0949</v>
      </c>
      <c r="AD4131">
        <v>-1.1097080638820001</v>
      </c>
      <c r="AE4131">
        <v>-10.363299999999899</v>
      </c>
      <c r="AF4131">
        <v>-11.625689521424</v>
      </c>
      <c r="AG4131">
        <v>-1.1097080638820001</v>
      </c>
      <c r="AH4131">
        <v>101.94678741393599</v>
      </c>
      <c r="AI4131">
        <v>90.619633988506095</v>
      </c>
      <c r="AJ4131">
        <v>96.5057257754316</v>
      </c>
      <c r="AK4131">
        <v>102.613525292029</v>
      </c>
      <c r="AL4131">
        <v>90.332545381834507</v>
      </c>
      <c r="AM4131">
        <v>96.492139850987598</v>
      </c>
      <c r="AN4131">
        <v>0.99999995879079495</v>
      </c>
    </row>
    <row r="4132" spans="1:40" x14ac:dyDescent="0.25">
      <c r="A4132" t="str">
        <f>"20190305135912327"</f>
        <v>20190305135912327</v>
      </c>
      <c r="B4132" t="str">
        <f>"1551765552323099"</f>
        <v>1551765552323099</v>
      </c>
      <c r="C4132" t="s">
        <v>40</v>
      </c>
      <c r="D4132">
        <v>3.9853049999999999</v>
      </c>
      <c r="E4132">
        <v>0.50046930000000001</v>
      </c>
      <c r="F4132" t="s">
        <v>42</v>
      </c>
      <c r="G4132">
        <v>-446.13290000000001</v>
      </c>
      <c r="H4132" s="1">
        <v>-2.4939969999999999E-6</v>
      </c>
      <c r="I4132">
        <v>131.32830000000001</v>
      </c>
      <c r="J4132">
        <v>-342.5163</v>
      </c>
      <c r="K4132">
        <v>1.1097330000000001</v>
      </c>
      <c r="L4132">
        <v>141.8288</v>
      </c>
      <c r="M4132">
        <v>-0.99982700000000002</v>
      </c>
      <c r="N4132">
        <v>-1.4131029999999999E-2</v>
      </c>
      <c r="O4132">
        <v>1.209468E-2</v>
      </c>
      <c r="P4132">
        <v>-0.99461560000000004</v>
      </c>
      <c r="Q4132">
        <v>-1.959696E-2</v>
      </c>
      <c r="R4132">
        <v>-0.1017648</v>
      </c>
      <c r="S4132">
        <v>-2.984772</v>
      </c>
      <c r="T4132">
        <v>-3.1886820000000003E-2</v>
      </c>
      <c r="U4132">
        <v>-0.30163570000000001</v>
      </c>
      <c r="V4132">
        <v>-0.1137838</v>
      </c>
      <c r="W4132">
        <v>-5.6557129999999997E-3</v>
      </c>
      <c r="X4132">
        <v>0.99348939999999997</v>
      </c>
      <c r="Y4132">
        <v>-0.1125584</v>
      </c>
      <c r="Z4132">
        <v>-1.355523E-3</v>
      </c>
      <c r="AA4132">
        <v>0.99364419999999998</v>
      </c>
      <c r="AB4132">
        <v>39</v>
      </c>
      <c r="AC4132">
        <v>-103.61660000000001</v>
      </c>
      <c r="AD4132">
        <v>-1.1097354939970001</v>
      </c>
      <c r="AE4132">
        <v>-10.500499999999899</v>
      </c>
      <c r="AF4132">
        <v>-11.7517322962502</v>
      </c>
      <c r="AG4132">
        <v>-1.1097354939970001</v>
      </c>
      <c r="AH4132">
        <v>103.470258903332</v>
      </c>
      <c r="AI4132">
        <v>90.610558043265399</v>
      </c>
      <c r="AJ4132">
        <v>96.479655993615197</v>
      </c>
      <c r="AK4132">
        <v>104.14139043796099</v>
      </c>
      <c r="AL4132">
        <v>90.324050224266003</v>
      </c>
      <c r="AM4132">
        <v>96.533586660912405</v>
      </c>
      <c r="AN4132">
        <v>0.99999996407216796</v>
      </c>
    </row>
    <row r="4133" spans="1:40" x14ac:dyDescent="0.25">
      <c r="A4133" t="str">
        <f>"20190305135912350"</f>
        <v>20190305135912350</v>
      </c>
      <c r="B4133" t="str">
        <f>"1551765552343594"</f>
        <v>1551765552343594</v>
      </c>
      <c r="C4133" t="s">
        <v>40</v>
      </c>
      <c r="D4133">
        <v>4.0110469999999996</v>
      </c>
      <c r="E4133">
        <v>0.5006313</v>
      </c>
      <c r="F4133" t="s">
        <v>42</v>
      </c>
      <c r="G4133">
        <v>-446.56950000000001</v>
      </c>
      <c r="H4133" s="1">
        <v>-2.367179E-6</v>
      </c>
      <c r="I4133">
        <v>131.2465</v>
      </c>
      <c r="J4133">
        <v>-342.9239</v>
      </c>
      <c r="K4133">
        <v>1.109772</v>
      </c>
      <c r="L4133">
        <v>141.83320000000001</v>
      </c>
      <c r="M4133">
        <v>-0.99983259999999996</v>
      </c>
      <c r="N4133">
        <v>-1.413055E-2</v>
      </c>
      <c r="O4133">
        <v>1.1619630000000001E-2</v>
      </c>
      <c r="P4133">
        <v>-0.99450000000000005</v>
      </c>
      <c r="Q4133">
        <v>-1.9304849999999998E-2</v>
      </c>
      <c r="R4133">
        <v>-0.10294150000000001</v>
      </c>
      <c r="S4133">
        <v>-2.9845579999999998</v>
      </c>
      <c r="T4133">
        <v>-3.1830549999999999E-2</v>
      </c>
      <c r="U4133">
        <v>-0.30352780000000001</v>
      </c>
      <c r="V4133">
        <v>-0.1144865</v>
      </c>
      <c r="W4133">
        <v>-5.3734669999999998E-3</v>
      </c>
      <c r="X4133">
        <v>0.99341029999999997</v>
      </c>
      <c r="Y4133">
        <v>-0.112717</v>
      </c>
      <c r="Z4133">
        <v>-1.3578829999999901E-3</v>
      </c>
      <c r="AA4133">
        <v>0.99362620000000001</v>
      </c>
      <c r="AB4133">
        <v>39</v>
      </c>
      <c r="AC4133">
        <v>-103.6456</v>
      </c>
      <c r="AD4133">
        <v>-1.1097743671789999</v>
      </c>
      <c r="AE4133">
        <v>-10.5867</v>
      </c>
      <c r="AF4133">
        <v>-11.7890913304867</v>
      </c>
      <c r="AG4133">
        <v>-1.1097743671789999</v>
      </c>
      <c r="AH4133">
        <v>103.503831633057</v>
      </c>
      <c r="AI4133">
        <v>90.610359184136101</v>
      </c>
      <c r="AJ4133">
        <v>96.497988613503793</v>
      </c>
      <c r="AK4133">
        <v>104.17896830103901</v>
      </c>
      <c r="AL4133">
        <v>90.307878453315297</v>
      </c>
      <c r="AM4133">
        <v>96.574103192808295</v>
      </c>
      <c r="AN4133">
        <v>1.00000002848796</v>
      </c>
    </row>
    <row r="4134" spans="1:40" x14ac:dyDescent="0.25">
      <c r="A4134" t="str">
        <f>"20190305135912366"</f>
        <v>20190305135912366</v>
      </c>
      <c r="B4134" t="str">
        <f>"1551765552363115"</f>
        <v>1551765552363115</v>
      </c>
      <c r="C4134" t="s">
        <v>40</v>
      </c>
      <c r="D4134">
        <v>4.0229879999999998</v>
      </c>
      <c r="E4134">
        <v>0.50073159999999906</v>
      </c>
      <c r="F4134" t="s">
        <v>42</v>
      </c>
      <c r="G4134">
        <v>-448.39120000000003</v>
      </c>
      <c r="H4134" s="1">
        <v>-1.8058449999999999E-6</v>
      </c>
      <c r="I4134">
        <v>131.0264</v>
      </c>
      <c r="J4134">
        <v>-343.19540000000001</v>
      </c>
      <c r="K4134">
        <v>1.109791</v>
      </c>
      <c r="L4134">
        <v>141.83609999999999</v>
      </c>
      <c r="M4134">
        <v>-0.99983639999999996</v>
      </c>
      <c r="N4134">
        <v>-1.4130169999999999E-2</v>
      </c>
      <c r="O4134">
        <v>1.1296199999999999E-2</v>
      </c>
      <c r="P4134">
        <v>-0.99443179999999998</v>
      </c>
      <c r="Q4134">
        <v>-1.9095060000000001E-2</v>
      </c>
      <c r="R4134">
        <v>-0.10363840000000001</v>
      </c>
      <c r="S4134">
        <v>-2.984283</v>
      </c>
      <c r="T4134">
        <v>-3.1401989999999998E-2</v>
      </c>
      <c r="U4134">
        <v>-0.30578610000000001</v>
      </c>
      <c r="V4134">
        <v>-0.1148613</v>
      </c>
      <c r="W4134">
        <v>-5.1690059999999899E-3</v>
      </c>
      <c r="X4134">
        <v>0.99336809999999998</v>
      </c>
      <c r="Y4134">
        <v>-0.1131491</v>
      </c>
      <c r="Z4134">
        <v>-1.3546960000000001E-3</v>
      </c>
      <c r="AA4134">
        <v>0.99357709999999999</v>
      </c>
      <c r="AB4134">
        <v>39</v>
      </c>
      <c r="AC4134">
        <v>-105.19580000000001</v>
      </c>
      <c r="AD4134">
        <v>-1.109792805845</v>
      </c>
      <c r="AE4134">
        <v>-10.8096999999999</v>
      </c>
      <c r="AF4134">
        <v>-11.9961203556787</v>
      </c>
      <c r="AG4134">
        <v>-1.109792805845</v>
      </c>
      <c r="AH4134">
        <v>105.05539574376201</v>
      </c>
      <c r="AI4134">
        <v>90.601335912978101</v>
      </c>
      <c r="AJ4134">
        <v>96.514304773333194</v>
      </c>
      <c r="AK4134">
        <v>105.74391102346399</v>
      </c>
      <c r="AL4134">
        <v>90.296163544127396</v>
      </c>
      <c r="AM4134">
        <v>96.595713555950397</v>
      </c>
      <c r="AN4134">
        <v>1.0000000094791599</v>
      </c>
    </row>
    <row r="4135" spans="1:40" x14ac:dyDescent="0.25">
      <c r="A4135" t="str">
        <f>"20190305135912381"</f>
        <v>20190305135912381</v>
      </c>
      <c r="B4135" t="str">
        <f>"1551765552372875"</f>
        <v>1551765552372875</v>
      </c>
      <c r="C4135" t="s">
        <v>40</v>
      </c>
      <c r="D4135">
        <v>4.0361969999999996</v>
      </c>
      <c r="E4135">
        <v>0.50076679999999996</v>
      </c>
      <c r="F4135" t="s">
        <v>42</v>
      </c>
      <c r="G4135">
        <v>-449.30529999999999</v>
      </c>
      <c r="H4135" s="1">
        <v>-1.523151E-6</v>
      </c>
      <c r="I4135">
        <v>130.91970000000001</v>
      </c>
      <c r="J4135">
        <v>-343.46570000000003</v>
      </c>
      <c r="K4135">
        <v>1.109804</v>
      </c>
      <c r="L4135">
        <v>141.8389</v>
      </c>
      <c r="M4135">
        <v>-0.99983999999999995</v>
      </c>
      <c r="N4135">
        <v>-1.412969E-2</v>
      </c>
      <c r="O4135">
        <v>1.097164E-2</v>
      </c>
      <c r="P4135">
        <v>-0.99434409999999895</v>
      </c>
      <c r="Q4135">
        <v>-1.8739740000000001E-2</v>
      </c>
      <c r="R4135">
        <v>-0.10454140000000001</v>
      </c>
      <c r="S4135">
        <v>-2.9841920000000002</v>
      </c>
      <c r="T4135">
        <v>-3.121138E-2</v>
      </c>
      <c r="U4135">
        <v>-0.30700680000000002</v>
      </c>
      <c r="V4135">
        <v>-0.11544119999999999</v>
      </c>
      <c r="W4135">
        <v>-4.8189130000000002E-3</v>
      </c>
      <c r="X4135">
        <v>0.99330260000000004</v>
      </c>
      <c r="Y4135">
        <v>-0.113232</v>
      </c>
      <c r="Z4135">
        <v>-1.3525830000000001E-3</v>
      </c>
      <c r="AA4135">
        <v>0.9935676</v>
      </c>
      <c r="AB4135">
        <v>38</v>
      </c>
      <c r="AC4135">
        <v>-105.839599999999</v>
      </c>
      <c r="AD4135">
        <v>-1.109805523151</v>
      </c>
      <c r="AE4135">
        <v>-10.919199999999901</v>
      </c>
      <c r="AF4135">
        <v>-12.0785784753218</v>
      </c>
      <c r="AG4135">
        <v>-1.109805523151</v>
      </c>
      <c r="AH4135">
        <v>105.701915139452</v>
      </c>
      <c r="AI4135">
        <v>90.597659490214397</v>
      </c>
      <c r="AJ4135">
        <v>96.518924035665506</v>
      </c>
      <c r="AK4135">
        <v>106.39557599088199</v>
      </c>
      <c r="AL4135">
        <v>90.276104452574103</v>
      </c>
      <c r="AM4135">
        <v>96.629150925488005</v>
      </c>
      <c r="AN4135">
        <v>0.99999997387335005</v>
      </c>
    </row>
    <row r="4136" spans="1:40" x14ac:dyDescent="0.25">
      <c r="A4136" t="str">
        <f>"20190305135912393"</f>
        <v>20190305135912393</v>
      </c>
      <c r="B4136" t="str">
        <f>"1551765552382635"</f>
        <v>1551765552382635</v>
      </c>
      <c r="C4136" t="s">
        <v>40</v>
      </c>
      <c r="D4136">
        <v>4.0123259999999998</v>
      </c>
      <c r="E4136">
        <v>0.50080590000000003</v>
      </c>
      <c r="F4136" t="s">
        <v>42</v>
      </c>
      <c r="G4136">
        <v>-452.59219999999999</v>
      </c>
      <c r="H4136" s="1">
        <v>-3.913398E-6</v>
      </c>
      <c r="I4136">
        <v>130.5222</v>
      </c>
      <c r="J4136">
        <v>-343.66730000000001</v>
      </c>
      <c r="K4136">
        <v>1.1098140000000001</v>
      </c>
      <c r="L4136">
        <v>141.8409</v>
      </c>
      <c r="M4136">
        <v>-0.99984280000000003</v>
      </c>
      <c r="N4136">
        <v>-1.412919E-2</v>
      </c>
      <c r="O4136">
        <v>1.072906E-2</v>
      </c>
      <c r="P4136">
        <v>-0.99424069999999998</v>
      </c>
      <c r="Q4136">
        <v>-1.8770169999999999E-2</v>
      </c>
      <c r="R4136">
        <v>-0.10551480000000001</v>
      </c>
      <c r="S4136">
        <v>-2.9838870000000002</v>
      </c>
      <c r="T4136">
        <v>-3.0345919999999998E-2</v>
      </c>
      <c r="U4136">
        <v>-0.30943300000000001</v>
      </c>
      <c r="V4136">
        <v>-0.116172499999999</v>
      </c>
      <c r="W4136">
        <v>-4.8537290000000002E-3</v>
      </c>
      <c r="X4136">
        <v>0.99321720000000002</v>
      </c>
      <c r="Y4136">
        <v>-0.1138011</v>
      </c>
      <c r="Z4136">
        <v>-1.340965E-3</v>
      </c>
      <c r="AA4136">
        <v>0.99350269999999996</v>
      </c>
      <c r="AB4136">
        <v>38</v>
      </c>
      <c r="AC4136">
        <v>-108.924899999999</v>
      </c>
      <c r="AD4136">
        <v>-1.109817913398</v>
      </c>
      <c r="AE4136">
        <v>-11.3187</v>
      </c>
      <c r="AF4136">
        <v>-12.485544320675</v>
      </c>
      <c r="AG4136">
        <v>-1.109817913398</v>
      </c>
      <c r="AH4136">
        <v>108.786005444453</v>
      </c>
      <c r="AI4136">
        <v>90.580690553786596</v>
      </c>
      <c r="AJ4136">
        <v>96.547280735448595</v>
      </c>
      <c r="AK4136">
        <v>109.50577835596199</v>
      </c>
      <c r="AL4136">
        <v>90.278099276489399</v>
      </c>
      <c r="AM4136">
        <v>96.671336557287404</v>
      </c>
      <c r="AN4136">
        <v>1.0000000074086399</v>
      </c>
    </row>
    <row r="4137" spans="1:40" x14ac:dyDescent="0.25">
      <c r="A4137" t="str">
        <f>"20190305135912409"</f>
        <v>20190305135912409</v>
      </c>
      <c r="B4137" t="str">
        <f>"1551765552403130"</f>
        <v>1551765552403130</v>
      </c>
      <c r="C4137" t="s">
        <v>40</v>
      </c>
      <c r="D4137">
        <v>4.062684</v>
      </c>
      <c r="E4137">
        <v>0.50087740000000003</v>
      </c>
      <c r="F4137" t="s">
        <v>42</v>
      </c>
      <c r="G4137">
        <v>-451.04939999999999</v>
      </c>
      <c r="H4137" s="1">
        <v>-4.4147990000000002E-6</v>
      </c>
      <c r="I4137">
        <v>130.61089999999999</v>
      </c>
      <c r="J4137">
        <v>-343.94060000000002</v>
      </c>
      <c r="K4137">
        <v>1.1098220000000001</v>
      </c>
      <c r="L4137">
        <v>141.84350000000001</v>
      </c>
      <c r="M4137">
        <v>-0.99984620000000002</v>
      </c>
      <c r="N4137">
        <v>-1.4128409999999999E-2</v>
      </c>
      <c r="O4137">
        <v>1.0404E-2</v>
      </c>
      <c r="P4137">
        <v>-0.99415830000000005</v>
      </c>
      <c r="Q4137">
        <v>-1.8622730000000001E-2</v>
      </c>
      <c r="R4137">
        <v>-0.1063156</v>
      </c>
      <c r="S4137">
        <v>-2.983673</v>
      </c>
      <c r="T4137">
        <v>-3.083694E-2</v>
      </c>
      <c r="U4137">
        <v>-0.312027</v>
      </c>
      <c r="V4137">
        <v>-0.116649</v>
      </c>
      <c r="W4137">
        <v>-4.7101299999999999E-3</v>
      </c>
      <c r="X4137">
        <v>0.99316199999999999</v>
      </c>
      <c r="Y4137">
        <v>-0.11433939999999999</v>
      </c>
      <c r="Z4137">
        <v>-1.359907E-3</v>
      </c>
      <c r="AA4137">
        <v>0.99344080000000001</v>
      </c>
      <c r="AB4137">
        <v>38</v>
      </c>
      <c r="AC4137">
        <v>-107.10879999999899</v>
      </c>
      <c r="AD4137">
        <v>-1.10982641479899</v>
      </c>
      <c r="AE4137">
        <v>-11.2326</v>
      </c>
      <c r="AF4137">
        <v>-12.345151962248099</v>
      </c>
      <c r="AG4137">
        <v>-1.10982641479899</v>
      </c>
      <c r="AH4137">
        <v>106.974765838688</v>
      </c>
      <c r="AI4137">
        <v>90.590484019100103</v>
      </c>
      <c r="AJ4137">
        <v>96.582954077882803</v>
      </c>
      <c r="AK4137">
        <v>107.690459270467</v>
      </c>
      <c r="AL4137">
        <v>90.269871576900798</v>
      </c>
      <c r="AM4137">
        <v>96.698820868326806</v>
      </c>
      <c r="AN4137">
        <v>0.99999996638480704</v>
      </c>
    </row>
    <row r="4138" spans="1:40" x14ac:dyDescent="0.25">
      <c r="A4138" t="str">
        <f>"20190305135912424"</f>
        <v>20190305135912424</v>
      </c>
      <c r="B4138" t="str">
        <f>"1551765552412891"</f>
        <v>1551765552412891</v>
      </c>
      <c r="C4138" t="s">
        <v>40</v>
      </c>
      <c r="D4138">
        <v>4.0908810000000004</v>
      </c>
      <c r="E4138">
        <v>0.50095579999999995</v>
      </c>
      <c r="F4138" t="s">
        <v>42</v>
      </c>
      <c r="G4138">
        <v>-448.5258</v>
      </c>
      <c r="H4138" s="1">
        <v>-1.8080370000000001E-6</v>
      </c>
      <c r="I4138">
        <v>130.8459</v>
      </c>
      <c r="J4138">
        <v>-344.19199999999898</v>
      </c>
      <c r="K4138">
        <v>1.1098239999999999</v>
      </c>
      <c r="L4138">
        <v>141.8459</v>
      </c>
      <c r="M4138">
        <v>-0.99984910000000005</v>
      </c>
      <c r="N4138">
        <v>-1.412763E-2</v>
      </c>
      <c r="O4138">
        <v>1.011095E-2</v>
      </c>
      <c r="P4138">
        <v>-0.99404910000000002</v>
      </c>
      <c r="Q4138">
        <v>-1.882547E-2</v>
      </c>
      <c r="R4138">
        <v>-0.1072944</v>
      </c>
      <c r="S4138">
        <v>-2.9834589999999999</v>
      </c>
      <c r="T4138">
        <v>-3.1659479999999997E-2</v>
      </c>
      <c r="U4138">
        <v>-0.31372070000000002</v>
      </c>
      <c r="V4138">
        <v>-0.117336</v>
      </c>
      <c r="W4138">
        <v>-4.9162520000000003E-3</v>
      </c>
      <c r="X4138">
        <v>0.99308010000000002</v>
      </c>
      <c r="Y4138">
        <v>-0.1146129</v>
      </c>
      <c r="Z4138">
        <v>-1.3829179999999999E-3</v>
      </c>
      <c r="AA4138">
        <v>0.99340930000000005</v>
      </c>
      <c r="AB4138">
        <v>38</v>
      </c>
      <c r="AC4138">
        <v>-104.3338</v>
      </c>
      <c r="AD4138">
        <v>-1.10982580803699</v>
      </c>
      <c r="AE4138">
        <v>-11</v>
      </c>
      <c r="AF4138">
        <v>-12.053107872142</v>
      </c>
      <c r="AG4138">
        <v>-1.10982580803699</v>
      </c>
      <c r="AH4138">
        <v>104.20557278699501</v>
      </c>
      <c r="AI4138">
        <v>90.6061559925474</v>
      </c>
      <c r="AJ4138">
        <v>96.597890330886599</v>
      </c>
      <c r="AK4138">
        <v>104.906198685147</v>
      </c>
      <c r="AL4138">
        <v>90.281681626520907</v>
      </c>
      <c r="AM4138">
        <v>96.738462211846198</v>
      </c>
      <c r="AN4138">
        <v>0.99999999572286802</v>
      </c>
    </row>
    <row r="4139" spans="1:40" x14ac:dyDescent="0.25">
      <c r="A4139" t="str">
        <f>"20190305135912439"</f>
        <v>20190305135912439</v>
      </c>
      <c r="B4139" t="str">
        <f>"1551765552433386"</f>
        <v>1551765552433386</v>
      </c>
      <c r="C4139" t="s">
        <v>40</v>
      </c>
      <c r="D4139">
        <v>4.0967919999999998</v>
      </c>
      <c r="E4139">
        <v>0.5010772</v>
      </c>
      <c r="F4139" t="s">
        <v>42</v>
      </c>
      <c r="G4139">
        <v>-446.15109999999999</v>
      </c>
      <c r="H4139" s="1">
        <v>-2.563243E-6</v>
      </c>
      <c r="I4139">
        <v>131.04480000000001</v>
      </c>
      <c r="J4139">
        <v>-344.45060000000001</v>
      </c>
      <c r="K4139">
        <v>1.109823</v>
      </c>
      <c r="L4139">
        <v>141.84829999999999</v>
      </c>
      <c r="M4139">
        <v>-0.99985210000000002</v>
      </c>
      <c r="N4139">
        <v>-1.412681E-2</v>
      </c>
      <c r="O4139">
        <v>9.8177980000000008E-3</v>
      </c>
      <c r="P4139">
        <v>-0.99388960000000004</v>
      </c>
      <c r="Q4139">
        <v>-1.9101690000000001E-2</v>
      </c>
      <c r="R4139">
        <v>-0.1087154</v>
      </c>
      <c r="S4139">
        <v>-2.983215</v>
      </c>
      <c r="T4139">
        <v>-3.247237E-2</v>
      </c>
      <c r="U4139">
        <v>-0.31602479999999999</v>
      </c>
      <c r="V4139">
        <v>-0.11846379999999999</v>
      </c>
      <c r="W4139">
        <v>-5.1960679999999999E-3</v>
      </c>
      <c r="X4139">
        <v>0.99294479999999996</v>
      </c>
      <c r="Y4139">
        <v>-0.1150883</v>
      </c>
      <c r="Z4139">
        <v>-1.408161E-3</v>
      </c>
      <c r="AA4139">
        <v>0.99335430000000002</v>
      </c>
      <c r="AB4139">
        <v>38</v>
      </c>
      <c r="AC4139">
        <v>-101.700499999999</v>
      </c>
      <c r="AD4139">
        <v>-1.1098255632430001</v>
      </c>
      <c r="AE4139">
        <v>-10.8034999999999</v>
      </c>
      <c r="AF4139">
        <v>-11.8001641741965</v>
      </c>
      <c r="AG4139">
        <v>-1.1098255632430001</v>
      </c>
      <c r="AH4139">
        <v>101.577558778815</v>
      </c>
      <c r="AI4139">
        <v>90.621801375667999</v>
      </c>
      <c r="AJ4139">
        <v>96.626292551969698</v>
      </c>
      <c r="AK4139">
        <v>102.266690739372</v>
      </c>
      <c r="AL4139">
        <v>90.297714099164594</v>
      </c>
      <c r="AM4139">
        <v>96.803544521102907</v>
      </c>
      <c r="AN4139">
        <v>1.0000000234400701</v>
      </c>
    </row>
    <row r="4140" spans="1:40" x14ac:dyDescent="0.25">
      <c r="A4140" t="str">
        <f>"20190305135912457"</f>
        <v>20190305135912457</v>
      </c>
      <c r="B4140" t="str">
        <f>"1551765552452907"</f>
        <v>1551765552452907</v>
      </c>
      <c r="C4140" t="s">
        <v>40</v>
      </c>
      <c r="D4140">
        <v>4.1119870000000001</v>
      </c>
      <c r="E4140">
        <v>0.5011892</v>
      </c>
      <c r="F4140" t="s">
        <v>42</v>
      </c>
      <c r="G4140">
        <v>-442.99059999999997</v>
      </c>
      <c r="H4140" s="1">
        <v>-3.5709419999999999E-6</v>
      </c>
      <c r="I4140">
        <v>131.2998</v>
      </c>
      <c r="J4140">
        <v>-344.7636</v>
      </c>
      <c r="K4140">
        <v>1.109815</v>
      </c>
      <c r="L4140">
        <v>141.851</v>
      </c>
      <c r="M4140">
        <v>-0.99985520000000006</v>
      </c>
      <c r="N4140">
        <v>-1.4125550000000001E-2</v>
      </c>
      <c r="O4140">
        <v>9.4800660000000005E-3</v>
      </c>
      <c r="P4140">
        <v>-0.99378169999999999</v>
      </c>
      <c r="Q4140">
        <v>-1.9092230000000002E-2</v>
      </c>
      <c r="R4140">
        <v>-0.1096955</v>
      </c>
      <c r="S4140">
        <v>-2.9828800000000002</v>
      </c>
      <c r="T4140">
        <v>-3.3595319999999998E-2</v>
      </c>
      <c r="U4140">
        <v>-0.31930540000000002</v>
      </c>
      <c r="V4140">
        <v>-0.1191077</v>
      </c>
      <c r="W4140">
        <v>-5.187395E-3</v>
      </c>
      <c r="X4140">
        <v>0.99286779999999997</v>
      </c>
      <c r="Y4140">
        <v>-0.1158438</v>
      </c>
      <c r="Z4140">
        <v>-1.444042E-3</v>
      </c>
      <c r="AA4140">
        <v>0.99326639999999999</v>
      </c>
      <c r="AB4140">
        <v>38</v>
      </c>
      <c r="AC4140">
        <v>-98.226999999999904</v>
      </c>
      <c r="AD4140">
        <v>-1.1098185709420001</v>
      </c>
      <c r="AE4140">
        <v>-10.5511999999999</v>
      </c>
      <c r="AF4140">
        <v>-11.480568358779299</v>
      </c>
      <c r="AG4140">
        <v>-1.1098185709420001</v>
      </c>
      <c r="AH4140">
        <v>98.110167527740202</v>
      </c>
      <c r="AI4140">
        <v>90.643708294435001</v>
      </c>
      <c r="AJ4140">
        <v>96.674233597248005</v>
      </c>
      <c r="AK4140">
        <v>98.785829547674894</v>
      </c>
      <c r="AL4140">
        <v>90.297217169948695</v>
      </c>
      <c r="AM4140">
        <v>96.840700626260599</v>
      </c>
      <c r="AN4140">
        <v>1.0000000107714999</v>
      </c>
    </row>
    <row r="4141" spans="1:40" x14ac:dyDescent="0.25">
      <c r="A4141" t="str">
        <f>"20190305135912474"</f>
        <v>20190305135912474</v>
      </c>
      <c r="B4141" t="str">
        <f>"1551765552463643"</f>
        <v>1551765552463643</v>
      </c>
      <c r="C4141" t="s">
        <v>40</v>
      </c>
      <c r="D4141">
        <v>4.1212410000000004</v>
      </c>
      <c r="E4141">
        <v>0.50124069999999998</v>
      </c>
      <c r="F4141" t="s">
        <v>42</v>
      </c>
      <c r="G4141">
        <v>-442.08710000000002</v>
      </c>
      <c r="H4141" s="1">
        <v>-3.861782E-6</v>
      </c>
      <c r="I4141">
        <v>131.3622</v>
      </c>
      <c r="J4141">
        <v>-345.04719999999998</v>
      </c>
      <c r="K4141">
        <v>1.1097999999999999</v>
      </c>
      <c r="L4141">
        <v>141.85339999999999</v>
      </c>
      <c r="M4141">
        <v>-0.99985800000000002</v>
      </c>
      <c r="N4141">
        <v>-1.4124319999999999E-2</v>
      </c>
      <c r="O4141">
        <v>9.1915150000000008E-3</v>
      </c>
      <c r="P4141">
        <v>-0.99357470000000003</v>
      </c>
      <c r="Q4141">
        <v>-1.9844480000000001E-2</v>
      </c>
      <c r="R4141">
        <v>-0.11142580000000001</v>
      </c>
      <c r="S4141">
        <v>-2.9826350000000001</v>
      </c>
      <c r="T4141">
        <v>-3.4012199999999902E-2</v>
      </c>
      <c r="U4141">
        <v>-0.3214417</v>
      </c>
      <c r="V4141">
        <v>-0.12054860000000001</v>
      </c>
      <c r="W4141">
        <v>-5.9415469999999897E-3</v>
      </c>
      <c r="X4141">
        <v>0.99268970000000001</v>
      </c>
      <c r="Y4141">
        <v>-0.1162687</v>
      </c>
      <c r="Z4141">
        <v>-1.4596520000000001E-3</v>
      </c>
      <c r="AA4141">
        <v>0.99321680000000001</v>
      </c>
      <c r="AB4141">
        <v>38</v>
      </c>
      <c r="AC4141">
        <v>-97.039900000000003</v>
      </c>
      <c r="AD4141">
        <v>-1.1098038617820001</v>
      </c>
      <c r="AE4141">
        <v>-10.4911999999999</v>
      </c>
      <c r="AF4141">
        <v>-11.381317989210199</v>
      </c>
      <c r="AG4141">
        <v>-1.1098038617820001</v>
      </c>
      <c r="AH4141">
        <v>96.926829199539995</v>
      </c>
      <c r="AI4141">
        <v>90.651527263953497</v>
      </c>
      <c r="AJ4141">
        <v>96.697103513990996</v>
      </c>
      <c r="AK4141">
        <v>97.599058819539593</v>
      </c>
      <c r="AL4141">
        <v>90.340427551573796</v>
      </c>
      <c r="AM4141">
        <v>96.923887329900197</v>
      </c>
      <c r="AN4141">
        <v>1.0000000537144</v>
      </c>
    </row>
    <row r="4142" spans="1:40" x14ac:dyDescent="0.25">
      <c r="A4142" t="str">
        <f>"20190305135912494"</f>
        <v>20190305135912494</v>
      </c>
      <c r="B4142" t="str">
        <f>"1551765552483163"</f>
        <v>1551765552483163</v>
      </c>
      <c r="C4142" t="s">
        <v>40</v>
      </c>
      <c r="D4142">
        <v>4.1278860000000002</v>
      </c>
      <c r="E4142">
        <v>0.50129709999999905</v>
      </c>
      <c r="F4142" t="s">
        <v>79</v>
      </c>
      <c r="G4142">
        <v>-435.23149999999998</v>
      </c>
      <c r="H4142" s="1">
        <v>-6.1242690000000002E-6</v>
      </c>
      <c r="I4142">
        <v>131.988</v>
      </c>
      <c r="J4142">
        <v>-345.399</v>
      </c>
      <c r="K4142">
        <v>1.1097699999999999</v>
      </c>
      <c r="L4142">
        <v>141.8563</v>
      </c>
      <c r="M4142">
        <v>-0.99986120000000001</v>
      </c>
      <c r="N4142">
        <v>-1.4122880000000001E-2</v>
      </c>
      <c r="O4142">
        <v>8.8584800000000002E-3</v>
      </c>
      <c r="P4142">
        <v>-0.99334619999999996</v>
      </c>
      <c r="Q4142">
        <v>-2.071129E-2</v>
      </c>
      <c r="R4142">
        <v>-0.1132913</v>
      </c>
      <c r="S4142">
        <v>-2.9821170000000001</v>
      </c>
      <c r="T4142">
        <v>-3.6697859999999999E-2</v>
      </c>
      <c r="U4142">
        <v>-0.3262177</v>
      </c>
      <c r="V4142">
        <v>-0.122081</v>
      </c>
      <c r="W4142">
        <v>-6.8081779999999998E-3</v>
      </c>
      <c r="X4142">
        <v>0.99249679999999996</v>
      </c>
      <c r="Y4142">
        <v>-0.1175262</v>
      </c>
      <c r="Z4142">
        <v>-1.5374080000000001E-3</v>
      </c>
      <c r="AA4142">
        <v>0.99306859999999997</v>
      </c>
      <c r="AB4142">
        <v>38</v>
      </c>
      <c r="AC4142">
        <v>-89.832499999999897</v>
      </c>
      <c r="AD4142">
        <v>-1.1097761242690001</v>
      </c>
      <c r="AE4142">
        <v>-9.8682999999999996</v>
      </c>
      <c r="AF4142">
        <v>-10.662163530673</v>
      </c>
      <c r="AG4142">
        <v>-1.1097761242690001</v>
      </c>
      <c r="AH4142">
        <v>89.728016923084596</v>
      </c>
      <c r="AI4142">
        <v>90.703660920207</v>
      </c>
      <c r="AJ4142">
        <v>96.776543388342802</v>
      </c>
      <c r="AK4142">
        <v>90.366090737345601</v>
      </c>
      <c r="AL4142">
        <v>90.390082875213906</v>
      </c>
      <c r="AM4142">
        <v>97.012381526200897</v>
      </c>
      <c r="AN4142">
        <v>1.0000000099294499</v>
      </c>
    </row>
    <row r="4143" spans="1:40" x14ac:dyDescent="0.25">
      <c r="A4143" t="str">
        <f>"20190305135912516"</f>
        <v>20190305135912516</v>
      </c>
      <c r="B4143" t="str">
        <f>"1551765552512950"</f>
        <v>1551765552512950</v>
      </c>
      <c r="C4143" t="s">
        <v>40</v>
      </c>
      <c r="D4143">
        <v>4.1087899999999999</v>
      </c>
      <c r="E4143">
        <v>0.50146279999999999</v>
      </c>
      <c r="F4143" t="s">
        <v>79</v>
      </c>
      <c r="G4143">
        <v>-428.6814</v>
      </c>
      <c r="H4143" s="1">
        <v>-8.2665320000000004E-6</v>
      </c>
      <c r="I4143">
        <v>132.60120000000001</v>
      </c>
      <c r="J4143">
        <v>-345.77330000000001</v>
      </c>
      <c r="K4143">
        <v>1.109739</v>
      </c>
      <c r="L4143">
        <v>141.85929999999999</v>
      </c>
      <c r="M4143">
        <v>-0.99986390000000003</v>
      </c>
      <c r="N4143">
        <v>-1.4121140000000001E-2</v>
      </c>
      <c r="O4143">
        <v>8.5399289999999999E-3</v>
      </c>
      <c r="P4143">
        <v>-0.99306729999999999</v>
      </c>
      <c r="Q4143">
        <v>-2.152047E-2</v>
      </c>
      <c r="R4143">
        <v>-0.11556130000000001</v>
      </c>
      <c r="S4143">
        <v>-2.9814759999999998</v>
      </c>
      <c r="T4143">
        <v>-3.9729599999999997E-2</v>
      </c>
      <c r="U4143">
        <v>-0.33132929999999999</v>
      </c>
      <c r="V4143">
        <v>-0.1240318</v>
      </c>
      <c r="W4143">
        <v>-7.6164700000000002E-3</v>
      </c>
      <c r="X4143">
        <v>0.99224900000000005</v>
      </c>
      <c r="Y4143">
        <v>-0.1189123</v>
      </c>
      <c r="Z4143">
        <v>-1.625339E-3</v>
      </c>
      <c r="AA4143">
        <v>0.99290339999999999</v>
      </c>
      <c r="AB4143">
        <v>38</v>
      </c>
      <c r="AC4143">
        <v>-82.908099999999905</v>
      </c>
      <c r="AD4143">
        <v>-1.1097472665320001</v>
      </c>
      <c r="AE4143">
        <v>-9.2580999999999793</v>
      </c>
      <c r="AF4143">
        <v>-9.9640989285487507</v>
      </c>
      <c r="AG4143">
        <v>-1.1097472665320001</v>
      </c>
      <c r="AH4143">
        <v>82.811350486584104</v>
      </c>
      <c r="AI4143">
        <v>90.762272049077097</v>
      </c>
      <c r="AJ4143">
        <v>96.861008904832005</v>
      </c>
      <c r="AK4143">
        <v>83.416033086363896</v>
      </c>
      <c r="AL4143">
        <v>90.436395810353005</v>
      </c>
      <c r="AM4143">
        <v>97.125054726016103</v>
      </c>
      <c r="AN4143">
        <v>0.99999998801375001</v>
      </c>
    </row>
    <row r="4144" spans="1:40" x14ac:dyDescent="0.25">
      <c r="A4144" t="str">
        <f>"20190305135912532"</f>
        <v>20190305135912532</v>
      </c>
      <c r="B4144" t="str">
        <f>"1551765552522710"</f>
        <v>1551765552522710</v>
      </c>
      <c r="C4144" t="s">
        <v>40</v>
      </c>
      <c r="D4144">
        <v>4.1309610000000001</v>
      </c>
      <c r="E4144">
        <v>0.50152159999999901</v>
      </c>
      <c r="F4144" t="s">
        <v>79</v>
      </c>
      <c r="G4144">
        <v>-422.66570000000002</v>
      </c>
      <c r="H4144" s="1">
        <v>-7.5635630000000003E-6</v>
      </c>
      <c r="I4144">
        <v>133.17359999999999</v>
      </c>
      <c r="J4144">
        <v>-346.04520000000002</v>
      </c>
      <c r="K4144">
        <v>1.109718</v>
      </c>
      <c r="L4144">
        <v>141.8614</v>
      </c>
      <c r="M4144">
        <v>-0.99986560000000002</v>
      </c>
      <c r="N4144">
        <v>-1.411978E-2</v>
      </c>
      <c r="O4144">
        <v>8.335182E-3</v>
      </c>
      <c r="P4144">
        <v>-0.99293010000000004</v>
      </c>
      <c r="Q4144">
        <v>-2.1987039999999999E-2</v>
      </c>
      <c r="R4144">
        <v>-0.1166476</v>
      </c>
      <c r="S4144">
        <v>-2.9808650000000001</v>
      </c>
      <c r="T4144">
        <v>-4.3021200000000002E-2</v>
      </c>
      <c r="U4144">
        <v>-0.33671570000000001</v>
      </c>
      <c r="V4144">
        <v>-0.1249142</v>
      </c>
      <c r="W4144">
        <v>-8.0802679999999998E-3</v>
      </c>
      <c r="X4144">
        <v>0.99213459999999998</v>
      </c>
      <c r="Y4144">
        <v>-0.1205</v>
      </c>
      <c r="Z4144">
        <v>-1.722908E-3</v>
      </c>
      <c r="AA4144">
        <v>0.99271180000000003</v>
      </c>
      <c r="AB4144">
        <v>38</v>
      </c>
      <c r="AC4144">
        <v>-76.620499999999893</v>
      </c>
      <c r="AD4144">
        <v>-1.1097255635629999</v>
      </c>
      <c r="AE4144">
        <v>-8.68780000000001</v>
      </c>
      <c r="AF4144">
        <v>-9.3242764901893391</v>
      </c>
      <c r="AG4144">
        <v>-1.1097255635629999</v>
      </c>
      <c r="AH4144">
        <v>76.529566445320697</v>
      </c>
      <c r="AI4144">
        <v>90.824668074449406</v>
      </c>
      <c r="AJ4144">
        <v>96.946614998166297</v>
      </c>
      <c r="AK4144">
        <v>77.103489954739899</v>
      </c>
      <c r="AL4144">
        <v>90.462970312002597</v>
      </c>
      <c r="AM4144">
        <v>97.176036784474604</v>
      </c>
      <c r="AN4144">
        <v>0.99999995630487404</v>
      </c>
    </row>
    <row r="4145" spans="1:40" x14ac:dyDescent="0.25">
      <c r="A4145" t="str">
        <f>"20190305135912551"</f>
        <v>20190305135912551</v>
      </c>
      <c r="B4145" t="str">
        <f>"1551765552543208"</f>
        <v>1551765552543208</v>
      </c>
      <c r="C4145" t="s">
        <v>40</v>
      </c>
      <c r="D4145">
        <v>4.1640839999999999</v>
      </c>
      <c r="E4145">
        <v>0.50166149999999998</v>
      </c>
      <c r="F4145" t="s">
        <v>79</v>
      </c>
      <c r="G4145">
        <v>-420.24279999999999</v>
      </c>
      <c r="H4145" s="1">
        <v>-7.3117239999999996E-6</v>
      </c>
      <c r="I4145">
        <v>133.40950000000001</v>
      </c>
      <c r="J4145">
        <v>-346.3578</v>
      </c>
      <c r="K4145">
        <v>1.1096919999999999</v>
      </c>
      <c r="L4145">
        <v>141.8638</v>
      </c>
      <c r="M4145">
        <v>-0.99986739999999996</v>
      </c>
      <c r="N4145">
        <v>-1.4118179999999999E-2</v>
      </c>
      <c r="O4145">
        <v>8.1202429999999992E-3</v>
      </c>
      <c r="P4145">
        <v>-0.99270369999999997</v>
      </c>
      <c r="Q4145">
        <v>-2.234744E-2</v>
      </c>
      <c r="R4145">
        <v>-0.11849030000000001</v>
      </c>
      <c r="S4145">
        <v>-2.980499</v>
      </c>
      <c r="T4145">
        <v>-4.4577360000000003E-2</v>
      </c>
      <c r="U4145">
        <v>-0.33950809999999998</v>
      </c>
      <c r="V4145">
        <v>-0.12654189999999901</v>
      </c>
      <c r="W4145">
        <v>-8.4389180000000001E-3</v>
      </c>
      <c r="X4145">
        <v>0.99192539999999996</v>
      </c>
      <c r="Y4145">
        <v>-0.1212168</v>
      </c>
      <c r="Z4145">
        <v>-1.76888E-3</v>
      </c>
      <c r="AA4145">
        <v>0.99262450000000002</v>
      </c>
      <c r="AB4145">
        <v>38</v>
      </c>
      <c r="AC4145">
        <v>-73.884999999999906</v>
      </c>
      <c r="AD4145">
        <v>-1.1096993117239999</v>
      </c>
      <c r="AE4145">
        <v>-8.4542999999999893</v>
      </c>
      <c r="AF4145">
        <v>-9.0520295860828206</v>
      </c>
      <c r="AG4145">
        <v>-1.1096993117239999</v>
      </c>
      <c r="AH4145">
        <v>73.797473744555106</v>
      </c>
      <c r="AI4145">
        <v>90.8550892302558</v>
      </c>
      <c r="AJ4145">
        <v>96.992993137643793</v>
      </c>
      <c r="AK4145">
        <v>74.358844822038904</v>
      </c>
      <c r="AL4145">
        <v>90.483520107992703</v>
      </c>
      <c r="AM4145">
        <v>97.270067312155504</v>
      </c>
      <c r="AN4145">
        <v>1.0000000334788799</v>
      </c>
    </row>
    <row r="4146" spans="1:40" x14ac:dyDescent="0.25">
      <c r="A4146" t="str">
        <f>"20190305135912566"</f>
        <v>20190305135912566</v>
      </c>
      <c r="B4146" t="str">
        <f>"1551765552562726"</f>
        <v>1551765552562726</v>
      </c>
      <c r="C4146" t="s">
        <v>40</v>
      </c>
      <c r="D4146">
        <v>4.1753900000000002</v>
      </c>
      <c r="E4146">
        <v>0.50178710000000004</v>
      </c>
      <c r="F4146" t="s">
        <v>79</v>
      </c>
      <c r="G4146">
        <v>-418.0059</v>
      </c>
      <c r="H4146" s="1">
        <v>-7.4598379999999999E-6</v>
      </c>
      <c r="I4146">
        <v>133.59549999999999</v>
      </c>
      <c r="J4146">
        <v>-346.61649999999997</v>
      </c>
      <c r="K4146">
        <v>1.1096729999999999</v>
      </c>
      <c r="L4146">
        <v>141.8657</v>
      </c>
      <c r="M4146">
        <v>-0.9998686</v>
      </c>
      <c r="N4146">
        <v>-1.411685E-2</v>
      </c>
      <c r="O4146">
        <v>7.957413E-3</v>
      </c>
      <c r="P4146">
        <v>-0.99259410000000003</v>
      </c>
      <c r="Q4146">
        <v>-2.2219969999999999E-2</v>
      </c>
      <c r="R4146">
        <v>-0.1194293</v>
      </c>
      <c r="S4146">
        <v>-2.9799500000000001</v>
      </c>
      <c r="T4146">
        <v>-4.6154019999999997E-2</v>
      </c>
      <c r="U4146">
        <v>-0.34388730000000001</v>
      </c>
      <c r="V4146">
        <v>-0.12731869999999901</v>
      </c>
      <c r="W4146">
        <v>-8.3087330000000004E-3</v>
      </c>
      <c r="X4146">
        <v>0.99182709999999996</v>
      </c>
      <c r="Y4146">
        <v>-0.12251380000000001</v>
      </c>
      <c r="Z4146">
        <v>-1.824209E-3</v>
      </c>
      <c r="AA4146">
        <v>0.99246509999999999</v>
      </c>
      <c r="AB4146">
        <v>38</v>
      </c>
      <c r="AC4146">
        <v>-71.389399999999995</v>
      </c>
      <c r="AD4146">
        <v>-1.1096804598379999</v>
      </c>
      <c r="AE4146">
        <v>-8.2702000000000098</v>
      </c>
      <c r="AF4146">
        <v>-8.8359630588181695</v>
      </c>
      <c r="AG4146">
        <v>-1.1096804598379999</v>
      </c>
      <c r="AH4146">
        <v>71.304323124576499</v>
      </c>
      <c r="AI4146">
        <v>90.884832422296199</v>
      </c>
      <c r="AJ4146">
        <v>97.064026482906399</v>
      </c>
      <c r="AK4146">
        <v>71.858278090653997</v>
      </c>
      <c r="AL4146">
        <v>90.476060791900494</v>
      </c>
      <c r="AM4146">
        <v>97.314931147993406</v>
      </c>
      <c r="AN4146">
        <v>1.0000000413540799</v>
      </c>
    </row>
    <row r="4147" spans="1:40" x14ac:dyDescent="0.25">
      <c r="A4147" t="str">
        <f>"20190305135912580"</f>
        <v>20190305135912580</v>
      </c>
      <c r="B4147" t="str">
        <f>"1551765552573461"</f>
        <v>1551765552573461</v>
      </c>
      <c r="C4147" t="s">
        <v>40</v>
      </c>
      <c r="D4147">
        <v>4.1865920000000001</v>
      </c>
      <c r="E4147">
        <v>0.50186109999999995</v>
      </c>
      <c r="F4147" t="s">
        <v>79</v>
      </c>
      <c r="G4147">
        <v>-418.42910000000001</v>
      </c>
      <c r="H4147" s="1">
        <v>-7.4110540000000001E-6</v>
      </c>
      <c r="I4147">
        <v>133.5361</v>
      </c>
      <c r="J4147">
        <v>-346.85210000000001</v>
      </c>
      <c r="K4147">
        <v>1.109658</v>
      </c>
      <c r="L4147">
        <v>141.8674</v>
      </c>
      <c r="M4147">
        <v>-0.99986989999999998</v>
      </c>
      <c r="N4147">
        <v>-1.4115610000000001E-2</v>
      </c>
      <c r="O4147">
        <v>7.8177109999999998E-3</v>
      </c>
      <c r="P4147">
        <v>-0.9925176</v>
      </c>
      <c r="Q4147">
        <v>-2.2066280000000001E-2</v>
      </c>
      <c r="R4147">
        <v>-0.12009259999999999</v>
      </c>
      <c r="S4147">
        <v>-2.9797669999999998</v>
      </c>
      <c r="T4147">
        <v>-4.6044710000000003E-2</v>
      </c>
      <c r="U4147">
        <v>-0.34562680000000001</v>
      </c>
      <c r="V4147">
        <v>-0.12784380000000001</v>
      </c>
      <c r="W4147">
        <v>-8.1524790000000007E-3</v>
      </c>
      <c r="X4147">
        <v>0.9917608</v>
      </c>
      <c r="Y4147">
        <v>-0.1229538</v>
      </c>
      <c r="Z4147">
        <v>-1.8279920000000001E-3</v>
      </c>
      <c r="AA4147">
        <v>0.99241069999999998</v>
      </c>
      <c r="AB4147">
        <v>38</v>
      </c>
      <c r="AC4147">
        <v>-71.576999999999998</v>
      </c>
      <c r="AD4147">
        <v>-1.1096654110539901</v>
      </c>
      <c r="AE4147">
        <v>-8.3312999999999899</v>
      </c>
      <c r="AF4147">
        <v>-8.8885615843113204</v>
      </c>
      <c r="AG4147">
        <v>-1.1096654110539901</v>
      </c>
      <c r="AH4147">
        <v>71.492720767319497</v>
      </c>
      <c r="AI4147">
        <v>90.882444983689993</v>
      </c>
      <c r="AJ4147">
        <v>97.087114325147994</v>
      </c>
      <c r="AK4147">
        <v>72.051696767505106</v>
      </c>
      <c r="AL4147">
        <v>90.467107817204194</v>
      </c>
      <c r="AM4147">
        <v>97.345256973615506</v>
      </c>
      <c r="AN4147">
        <v>0.99999999226446201</v>
      </c>
    </row>
    <row r="4148" spans="1:40" x14ac:dyDescent="0.25">
      <c r="A4148" t="str">
        <f>"20190305135912594"</f>
        <v>20190305135912594</v>
      </c>
      <c r="B4148" t="str">
        <f>"1551765552583222"</f>
        <v>1551765552583222</v>
      </c>
      <c r="C4148" t="s">
        <v>40</v>
      </c>
      <c r="D4148">
        <v>4.2506729999999999</v>
      </c>
      <c r="E4148">
        <v>0.5018378</v>
      </c>
      <c r="F4148" t="s">
        <v>79</v>
      </c>
      <c r="G4148">
        <v>-419.36900000000003</v>
      </c>
      <c r="H4148" s="1">
        <v>-7.3083019999999996E-6</v>
      </c>
      <c r="I4148">
        <v>133.4177</v>
      </c>
      <c r="J4148">
        <v>-347.11279999999999</v>
      </c>
      <c r="K4148">
        <v>1.1096509999999999</v>
      </c>
      <c r="L4148">
        <v>141.86930000000001</v>
      </c>
      <c r="M4148">
        <v>-0.99987099999999995</v>
      </c>
      <c r="N4148">
        <v>-1.411422E-2</v>
      </c>
      <c r="O4148">
        <v>7.6745930000000004E-3</v>
      </c>
      <c r="P4148">
        <v>-0.99235490000000004</v>
      </c>
      <c r="Q4148">
        <v>-2.1881870000000001E-2</v>
      </c>
      <c r="R4148">
        <v>-0.1214636</v>
      </c>
      <c r="S4148">
        <v>-2.979584</v>
      </c>
      <c r="T4148">
        <v>-4.5594099999999999E-2</v>
      </c>
      <c r="U4148">
        <v>-0.34718320000000003</v>
      </c>
      <c r="V4148">
        <v>-0.1290721</v>
      </c>
      <c r="W4148">
        <v>-7.9676809999999904E-3</v>
      </c>
      <c r="X4148">
        <v>0.99160320000000002</v>
      </c>
      <c r="Y4148">
        <v>-0.1233305</v>
      </c>
      <c r="Z4148">
        <v>-1.822906E-3</v>
      </c>
      <c r="AA4148">
        <v>0.99236400000000002</v>
      </c>
      <c r="AB4148">
        <v>38</v>
      </c>
      <c r="AC4148">
        <v>-72.256200000000007</v>
      </c>
      <c r="AD4148">
        <v>-1.109658308302</v>
      </c>
      <c r="AE4148">
        <v>-8.4516000000000098</v>
      </c>
      <c r="AF4148">
        <v>-9.0038483243165999</v>
      </c>
      <c r="AG4148">
        <v>-1.109658308302</v>
      </c>
      <c r="AH4148">
        <v>72.172410742788301</v>
      </c>
      <c r="AI4148">
        <v>90.874084467905206</v>
      </c>
      <c r="AJ4148">
        <v>97.111178185182197</v>
      </c>
      <c r="AK4148">
        <v>72.740342992277903</v>
      </c>
      <c r="AL4148">
        <v>90.456519324809307</v>
      </c>
      <c r="AM4148">
        <v>97.416212569163804</v>
      </c>
      <c r="AN4148">
        <v>0.999999998594583</v>
      </c>
    </row>
    <row r="4149" spans="1:40" x14ac:dyDescent="0.25">
      <c r="A4149" t="str">
        <f>"20190305135912617"</f>
        <v>20190305135912617</v>
      </c>
      <c r="B4149" t="str">
        <f>"1551765552613008"</f>
        <v>1551765552613008</v>
      </c>
      <c r="C4149" t="s">
        <v>40</v>
      </c>
      <c r="D4149">
        <v>4.2404140000000003</v>
      </c>
      <c r="E4149">
        <v>0.50197400000000003</v>
      </c>
      <c r="F4149" t="s">
        <v>79</v>
      </c>
      <c r="G4149">
        <v>-417.73480000000001</v>
      </c>
      <c r="H4149" s="1">
        <v>-7.4535169999999997E-6</v>
      </c>
      <c r="I4149">
        <v>133.54140000000001</v>
      </c>
      <c r="J4149">
        <v>-347.49299999999999</v>
      </c>
      <c r="K4149">
        <v>1.1096360000000001</v>
      </c>
      <c r="L4149">
        <v>141.87200000000001</v>
      </c>
      <c r="M4149">
        <v>-0.9998726</v>
      </c>
      <c r="N4149">
        <v>-1.411217E-2</v>
      </c>
      <c r="O4149">
        <v>7.4753950000000001E-3</v>
      </c>
      <c r="P4149">
        <v>-0.99221090000000001</v>
      </c>
      <c r="Q4149">
        <v>-2.139367E-2</v>
      </c>
      <c r="R4149">
        <v>-0.1227197</v>
      </c>
      <c r="S4149">
        <v>-2.979095</v>
      </c>
      <c r="T4149">
        <v>-4.6809429999999999E-2</v>
      </c>
      <c r="U4149">
        <v>-0.35130309999999998</v>
      </c>
      <c r="V4149">
        <v>-0.13012969999999999</v>
      </c>
      <c r="W4149">
        <v>-7.4781409999999998E-3</v>
      </c>
      <c r="X4149">
        <v>0.99146880000000004</v>
      </c>
      <c r="Y4149">
        <v>-0.12450369999999999</v>
      </c>
      <c r="Z4149">
        <v>-1.868326E-3</v>
      </c>
      <c r="AA4149">
        <v>0.99221740000000003</v>
      </c>
      <c r="AB4149">
        <v>38</v>
      </c>
      <c r="AC4149">
        <v>-70.241799999999898</v>
      </c>
      <c r="AD4149">
        <v>-1.1096434535169999</v>
      </c>
      <c r="AE4149">
        <v>-8.3306000000000004</v>
      </c>
      <c r="AF4149">
        <v>-8.8533258225648908</v>
      </c>
      <c r="AG4149">
        <v>-1.1096434535169999</v>
      </c>
      <c r="AH4149">
        <v>70.160289887259196</v>
      </c>
      <c r="AI4149">
        <v>90.898977113203699</v>
      </c>
      <c r="AJ4149">
        <v>97.191977812022998</v>
      </c>
      <c r="AK4149">
        <v>70.725377084740003</v>
      </c>
      <c r="AL4149">
        <v>90.428469902324807</v>
      </c>
      <c r="AM4149">
        <v>97.477297356774898</v>
      </c>
      <c r="AN4149">
        <v>1.00000002139417</v>
      </c>
    </row>
    <row r="4150" spans="1:40" x14ac:dyDescent="0.25">
      <c r="A4150" t="str">
        <f>"20190305135912632"</f>
        <v>20190305135912632</v>
      </c>
      <c r="B4150" t="str">
        <f>"1551765552622768"</f>
        <v>1551765552622768</v>
      </c>
      <c r="C4150" t="s">
        <v>40</v>
      </c>
      <c r="D4150">
        <v>4.2831999999999999</v>
      </c>
      <c r="E4150">
        <v>0.50103900000000001</v>
      </c>
      <c r="F4150" t="s">
        <v>79</v>
      </c>
      <c r="G4150">
        <v>-420.01979999999998</v>
      </c>
      <c r="H4150" s="1">
        <v>-7.2169349999999901E-6</v>
      </c>
      <c r="I4150">
        <v>133.25540000000001</v>
      </c>
      <c r="J4150">
        <v>-347.75560000000002</v>
      </c>
      <c r="K4150">
        <v>1.1096280000000001</v>
      </c>
      <c r="L4150">
        <v>141.87379999999999</v>
      </c>
      <c r="M4150">
        <v>-0.99987360000000003</v>
      </c>
      <c r="N4150">
        <v>-1.411073E-2</v>
      </c>
      <c r="O4150">
        <v>7.343741E-3</v>
      </c>
      <c r="P4150">
        <v>-0.99215330000000002</v>
      </c>
      <c r="Q4150">
        <v>-2.1162170000000001E-2</v>
      </c>
      <c r="R4150">
        <v>-0.1232244</v>
      </c>
      <c r="S4150">
        <v>-2.97879</v>
      </c>
      <c r="T4150">
        <v>-4.5574780000000002E-2</v>
      </c>
      <c r="U4150">
        <v>-0.35389710000000002</v>
      </c>
      <c r="V4150">
        <v>-0.13050390000000001</v>
      </c>
      <c r="W4150">
        <v>-7.2458389999999996E-3</v>
      </c>
      <c r="X4150">
        <v>0.99142129999999995</v>
      </c>
      <c r="Y4150">
        <v>-0.12523799999999999</v>
      </c>
      <c r="Z4150">
        <v>-1.850195E-3</v>
      </c>
      <c r="AA4150">
        <v>0.99212500000000003</v>
      </c>
      <c r="AB4150">
        <v>38</v>
      </c>
      <c r="AC4150">
        <v>-72.264199999999903</v>
      </c>
      <c r="AD4150">
        <v>-1.1096352169349999</v>
      </c>
      <c r="AE4150">
        <v>-8.6183999999999799</v>
      </c>
      <c r="AF4150">
        <v>-9.1467834754472506</v>
      </c>
      <c r="AG4150">
        <v>-1.1096352169349999</v>
      </c>
      <c r="AH4150">
        <v>72.182172661251101</v>
      </c>
      <c r="AI4150">
        <v>90.873735763405193</v>
      </c>
      <c r="AJ4150">
        <v>97.221917826505702</v>
      </c>
      <c r="AK4150">
        <v>72.767856835006697</v>
      </c>
      <c r="AL4150">
        <v>90.415159634016305</v>
      </c>
      <c r="AM4150">
        <v>97.498909854377999</v>
      </c>
      <c r="AN4150">
        <v>0.99999998209585605</v>
      </c>
    </row>
    <row r="4151" spans="1:40" x14ac:dyDescent="0.25">
      <c r="A4151" t="str">
        <f>"20190305135912692"</f>
        <v>20190305135912692</v>
      </c>
      <c r="B4151" t="str">
        <f>"1551765552683280"</f>
        <v>1551765552683280</v>
      </c>
      <c r="C4151" t="s">
        <v>40</v>
      </c>
      <c r="D4151">
        <v>4.2857640000000004</v>
      </c>
      <c r="E4151">
        <v>0.50195769999999995</v>
      </c>
      <c r="F4151" t="s">
        <v>42</v>
      </c>
      <c r="G4151">
        <v>-366.33690000000001</v>
      </c>
      <c r="H4151" s="1">
        <v>-1.5688910000000001E-6</v>
      </c>
      <c r="I4151">
        <v>139.673</v>
      </c>
      <c r="J4151">
        <v>-348.74700000000001</v>
      </c>
      <c r="K4151">
        <v>1.1096060000000001</v>
      </c>
      <c r="L4151">
        <v>141.88050000000001</v>
      </c>
      <c r="M4151">
        <v>-0.99987700000000002</v>
      </c>
      <c r="N4151">
        <v>-1.410521E-2</v>
      </c>
      <c r="O4151">
        <v>6.8552609999999996E-3</v>
      </c>
      <c r="P4151">
        <v>-0.99203370000000002</v>
      </c>
      <c r="Q4151">
        <v>-2.0925719999999998E-2</v>
      </c>
      <c r="R4151">
        <v>-0.12422229999999999</v>
      </c>
      <c r="S4151">
        <v>-2.9761660000000001</v>
      </c>
      <c r="T4151">
        <v>-0.17772979999999899</v>
      </c>
      <c r="U4151">
        <v>-0.35249330000000001</v>
      </c>
      <c r="V4151">
        <v>-0.13101750000000001</v>
      </c>
      <c r="W4151">
        <v>-7.0079560000000001E-3</v>
      </c>
      <c r="X4151">
        <v>0.99135530000000005</v>
      </c>
      <c r="Y4151">
        <v>-0.1241449</v>
      </c>
      <c r="Z4151">
        <v>-4.881598E-3</v>
      </c>
      <c r="AA4151">
        <v>0.99225209999999997</v>
      </c>
      <c r="AB4151">
        <v>38</v>
      </c>
      <c r="AC4151">
        <v>-17.5899</v>
      </c>
      <c r="AD4151">
        <v>-1.1096075688910001</v>
      </c>
      <c r="AE4151">
        <v>-2.2075000000000098</v>
      </c>
      <c r="AF4151">
        <v>-2.3189586114243199</v>
      </c>
      <c r="AG4151">
        <v>-1.1096075688910001</v>
      </c>
      <c r="AH4151">
        <v>17.5057706670747</v>
      </c>
      <c r="AI4151">
        <v>93.595528840780801</v>
      </c>
      <c r="AJ4151">
        <v>97.545937388538803</v>
      </c>
      <c r="AK4151">
        <v>17.693524370420199</v>
      </c>
      <c r="AL4151">
        <v>90.401529582936107</v>
      </c>
      <c r="AM4151">
        <v>97.528579532533698</v>
      </c>
      <c r="AN4151">
        <v>1.00000001379581</v>
      </c>
    </row>
    <row r="4152" spans="1:40" x14ac:dyDescent="0.25">
      <c r="A4152" t="str">
        <f>"20190305135912706"</f>
        <v>20190305135912706</v>
      </c>
      <c r="B4152" t="str">
        <f>"1551765552702800"</f>
        <v>1551765552702800</v>
      </c>
      <c r="C4152" t="s">
        <v>40</v>
      </c>
      <c r="D4152">
        <v>4.5867940000000003</v>
      </c>
      <c r="E4152">
        <v>0.50197239999999999</v>
      </c>
      <c r="F4152" t="s">
        <v>42</v>
      </c>
      <c r="G4152">
        <v>-367.28579999999999</v>
      </c>
      <c r="H4152" s="1">
        <v>-1.1723199999999999E-6</v>
      </c>
      <c r="I4152">
        <v>139.71260000000001</v>
      </c>
      <c r="J4152">
        <v>-349.00279999999998</v>
      </c>
      <c r="K4152">
        <v>1.1095999999999999</v>
      </c>
      <c r="L4152">
        <v>141.88210000000001</v>
      </c>
      <c r="M4152">
        <v>-0.99987789999999999</v>
      </c>
      <c r="N4152">
        <v>-1.41037E-2</v>
      </c>
      <c r="O4152">
        <v>6.7285169999999998E-3</v>
      </c>
      <c r="P4152">
        <v>-0.99159779999999997</v>
      </c>
      <c r="Q4152">
        <v>-2.0851740000000001E-2</v>
      </c>
      <c r="R4152">
        <v>-0.1276678</v>
      </c>
      <c r="S4152">
        <v>-2.9767459999999999</v>
      </c>
      <c r="T4152">
        <v>-0.1781682</v>
      </c>
      <c r="U4152">
        <v>-0.34808349999999999</v>
      </c>
      <c r="V4152">
        <v>-0.13433439999999999</v>
      </c>
      <c r="W4152">
        <v>-6.9419310000000001E-3</v>
      </c>
      <c r="X4152">
        <v>0.99091169999999995</v>
      </c>
      <c r="Y4152">
        <v>-0.1225489</v>
      </c>
      <c r="Z4152">
        <v>-4.8264450000000004E-3</v>
      </c>
      <c r="AA4152">
        <v>0.99245070000000002</v>
      </c>
      <c r="AB4152">
        <v>38</v>
      </c>
      <c r="AC4152">
        <v>-18.283000000000001</v>
      </c>
      <c r="AD4152">
        <v>-1.1096011723200001</v>
      </c>
      <c r="AE4152">
        <v>-2.1695000000000002</v>
      </c>
      <c r="AF4152">
        <v>-2.2841840440715</v>
      </c>
      <c r="AG4152">
        <v>-1.1096011723200001</v>
      </c>
      <c r="AH4152">
        <v>18.2018747455216</v>
      </c>
      <c r="AI4152">
        <v>93.461398452658102</v>
      </c>
      <c r="AJ4152">
        <v>97.152753083690001</v>
      </c>
      <c r="AK4152">
        <v>18.378165190259399</v>
      </c>
      <c r="AL4152">
        <v>90.397746558792505</v>
      </c>
      <c r="AM4152">
        <v>97.7203207126487</v>
      </c>
      <c r="AN4152">
        <v>0.99999995931312802</v>
      </c>
    </row>
    <row r="4153" spans="1:40" x14ac:dyDescent="0.25">
      <c r="A4153" t="str">
        <f>"20190305135912723"</f>
        <v>20190305135912723</v>
      </c>
      <c r="B4153" t="str">
        <f>"1551765552713068"</f>
        <v>1551765552713068</v>
      </c>
      <c r="C4153" t="s">
        <v>40</v>
      </c>
      <c r="D4153">
        <v>4.6500079999999997</v>
      </c>
      <c r="E4153">
        <v>0.50415670000000001</v>
      </c>
      <c r="F4153" t="s">
        <v>42</v>
      </c>
      <c r="G4153">
        <v>-367.57459999999998</v>
      </c>
      <c r="H4153" s="1">
        <v>-1.031048E-6</v>
      </c>
      <c r="I4153">
        <v>139.6472</v>
      </c>
      <c r="J4153">
        <v>-349.30430000000001</v>
      </c>
      <c r="K4153">
        <v>1.1095999999999999</v>
      </c>
      <c r="L4153">
        <v>141.88399999999999</v>
      </c>
      <c r="M4153">
        <v>-0.99987890000000001</v>
      </c>
      <c r="N4153">
        <v>-1.4101890000000001E-2</v>
      </c>
      <c r="O4153">
        <v>6.578591E-3</v>
      </c>
      <c r="P4153">
        <v>-0.99153170000000002</v>
      </c>
      <c r="Q4153">
        <v>-2.0860299999999998E-2</v>
      </c>
      <c r="R4153">
        <v>-0.12817980000000001</v>
      </c>
      <c r="S4153">
        <v>-2.975616</v>
      </c>
      <c r="T4153">
        <v>-0.17778329999999901</v>
      </c>
      <c r="U4153">
        <v>-0.35806270000000001</v>
      </c>
      <c r="V4153">
        <v>-0.13469719999999999</v>
      </c>
      <c r="W4153">
        <v>-6.9517019999999997E-3</v>
      </c>
      <c r="X4153">
        <v>0.99086240000000003</v>
      </c>
      <c r="Y4153">
        <v>-0.12571930000000001</v>
      </c>
      <c r="Z4153">
        <v>-4.9284539999999996E-3</v>
      </c>
      <c r="AA4153">
        <v>0.99205359999999998</v>
      </c>
      <c r="AB4153">
        <v>38</v>
      </c>
      <c r="AC4153">
        <v>-18.270299999999899</v>
      </c>
      <c r="AD4153">
        <v>-1.109601031048</v>
      </c>
      <c r="AE4153">
        <v>-2.2367999999999801</v>
      </c>
      <c r="AF4153">
        <v>-2.3484222819378</v>
      </c>
      <c r="AG4153">
        <v>-1.109601031048</v>
      </c>
      <c r="AH4153">
        <v>18.1890895335838</v>
      </c>
      <c r="AI4153">
        <v>93.462258567109799</v>
      </c>
      <c r="AJ4153">
        <v>97.356850297664494</v>
      </c>
      <c r="AK4153">
        <v>18.373602796488601</v>
      </c>
      <c r="AL4153">
        <v>90.398306401627394</v>
      </c>
      <c r="AM4153">
        <v>97.741299169896493</v>
      </c>
      <c r="AN4153">
        <v>0.99999997879114799</v>
      </c>
    </row>
    <row r="4154" spans="1:40" x14ac:dyDescent="0.25">
      <c r="A4154" t="str">
        <f>"20190305135912736"</f>
        <v>20190305135912736</v>
      </c>
      <c r="B4154" t="str">
        <f>"1551765552733564"</f>
        <v>1551765552733564</v>
      </c>
      <c r="C4154" t="s">
        <v>40</v>
      </c>
      <c r="D4154">
        <v>4.3345479999999998</v>
      </c>
      <c r="E4154">
        <v>0.50571549999999998</v>
      </c>
      <c r="F4154" t="s">
        <v>42</v>
      </c>
      <c r="G4154">
        <v>-367.53919999999999</v>
      </c>
      <c r="H4154" s="1">
        <v>-1.083942E-6</v>
      </c>
      <c r="I4154">
        <v>139.78899999999999</v>
      </c>
      <c r="J4154">
        <v>-349.52640000000002</v>
      </c>
      <c r="K4154">
        <v>1.1095980000000001</v>
      </c>
      <c r="L4154">
        <v>141.8853</v>
      </c>
      <c r="M4154">
        <v>-0.99987969999999904</v>
      </c>
      <c r="N4154">
        <v>-1.4100639999999999E-2</v>
      </c>
      <c r="O4154">
        <v>6.4672559999999898E-3</v>
      </c>
      <c r="P4154">
        <v>-0.99144049999999995</v>
      </c>
      <c r="Q4154">
        <v>-2.0736259999999999E-2</v>
      </c>
      <c r="R4154">
        <v>-0.1289034</v>
      </c>
      <c r="S4154">
        <v>-2.9775390000000002</v>
      </c>
      <c r="T4154">
        <v>-0.18118480000000001</v>
      </c>
      <c r="U4154">
        <v>-0.34207149999999997</v>
      </c>
      <c r="V4154">
        <v>-0.13531009999999999</v>
      </c>
      <c r="W4154">
        <v>-6.8294019999999896E-3</v>
      </c>
      <c r="X4154">
        <v>0.99077979999999999</v>
      </c>
      <c r="Y4154">
        <v>-0.12027839999999999</v>
      </c>
      <c r="Z4154">
        <v>-4.7970419999999996E-3</v>
      </c>
      <c r="AA4154">
        <v>0.99272859999999996</v>
      </c>
      <c r="AB4154">
        <v>38</v>
      </c>
      <c r="AC4154">
        <v>-18.012799999999899</v>
      </c>
      <c r="AD4154">
        <v>-1.10959908394199</v>
      </c>
      <c r="AE4154">
        <v>-2.09630000000001</v>
      </c>
      <c r="AF4154">
        <v>-2.2045076078883499</v>
      </c>
      <c r="AG4154">
        <v>-1.10959908394199</v>
      </c>
      <c r="AH4154">
        <v>17.931729516372201</v>
      </c>
      <c r="AI4154">
        <v>93.514503450746503</v>
      </c>
      <c r="AJ4154">
        <v>97.008713071902207</v>
      </c>
      <c r="AK4154">
        <v>18.100773115219599</v>
      </c>
      <c r="AL4154">
        <v>90.391298938117302</v>
      </c>
      <c r="AM4154">
        <v>97.776734028298705</v>
      </c>
      <c r="AN4154">
        <v>1.00000003799086</v>
      </c>
    </row>
    <row r="4155" spans="1:40" x14ac:dyDescent="0.25">
      <c r="A4155" t="str">
        <f>"20190305135912752"</f>
        <v>20190305135912752</v>
      </c>
      <c r="B4155" t="str">
        <f>"1551765552743324"</f>
        <v>1551765552743324</v>
      </c>
      <c r="C4155" t="s">
        <v>40</v>
      </c>
      <c r="D4155">
        <v>4.2887250000000003</v>
      </c>
      <c r="E4155">
        <v>0.5451587</v>
      </c>
      <c r="F4155" t="s">
        <v>42</v>
      </c>
      <c r="G4155">
        <v>-367.99919999999997</v>
      </c>
      <c r="H4155" s="1">
        <v>-8.9647319999999904E-7</v>
      </c>
      <c r="I4155">
        <v>139.8261</v>
      </c>
      <c r="J4155">
        <v>-349.77890000000002</v>
      </c>
      <c r="K4155">
        <v>1.1095950000000001</v>
      </c>
      <c r="L4155">
        <v>141.88679999999999</v>
      </c>
      <c r="M4155">
        <v>-0.99988049999999995</v>
      </c>
      <c r="N4155">
        <v>-1.409931E-2</v>
      </c>
      <c r="O4155">
        <v>6.3405980000000002E-3</v>
      </c>
      <c r="P4155">
        <v>-0.99129060000000002</v>
      </c>
      <c r="Q4155">
        <v>-2.034799E-2</v>
      </c>
      <c r="R4155">
        <v>-0.13011110000000001</v>
      </c>
      <c r="S4155">
        <v>-2.9789430000000001</v>
      </c>
      <c r="T4155">
        <v>-0.1789355</v>
      </c>
      <c r="U4155">
        <v>-0.33206180000000002</v>
      </c>
      <c r="V4155">
        <v>-0.13639179999999901</v>
      </c>
      <c r="W4155">
        <v>-6.4441169999999897E-3</v>
      </c>
      <c r="X4155">
        <v>0.99063400000000001</v>
      </c>
      <c r="Y4155">
        <v>-0.11681950000000001</v>
      </c>
      <c r="Z4155">
        <v>-4.6118799999999996E-3</v>
      </c>
      <c r="AA4155">
        <v>0.99314250000000004</v>
      </c>
      <c r="AB4155">
        <v>38</v>
      </c>
      <c r="AC4155">
        <v>-18.220299999999899</v>
      </c>
      <c r="AD4155">
        <v>-1.1095958964732</v>
      </c>
      <c r="AE4155">
        <v>-2.06069999999999</v>
      </c>
      <c r="AF4155">
        <v>-2.1682578500410798</v>
      </c>
      <c r="AG4155">
        <v>-1.1095958964732</v>
      </c>
      <c r="AH4155">
        <v>18.140439024885801</v>
      </c>
      <c r="AI4155">
        <v>93.475571384606994</v>
      </c>
      <c r="AJ4155">
        <v>96.816010871432397</v>
      </c>
      <c r="AK4155">
        <v>18.303225758683499</v>
      </c>
      <c r="AL4155">
        <v>90.369223267475604</v>
      </c>
      <c r="AM4155">
        <v>97.839272545267406</v>
      </c>
      <c r="AN4155">
        <v>0.99999998585357397</v>
      </c>
    </row>
    <row r="4156" spans="1:40" x14ac:dyDescent="0.25">
      <c r="A4156" t="str">
        <f>"20190305135912765"</f>
        <v>20190305135912765</v>
      </c>
      <c r="B4156" t="str">
        <f>"1551765552762844"</f>
        <v>1551765552762844</v>
      </c>
      <c r="C4156" t="s">
        <v>40</v>
      </c>
      <c r="D4156">
        <v>4.2866499999999998</v>
      </c>
      <c r="E4156">
        <v>0.54690680000000003</v>
      </c>
      <c r="F4156" t="s">
        <v>42</v>
      </c>
      <c r="G4156">
        <v>-367.47890000000001</v>
      </c>
      <c r="H4156" s="1">
        <v>-1.633686E-6</v>
      </c>
      <c r="I4156">
        <v>141.7578</v>
      </c>
      <c r="J4156">
        <v>-350.0127</v>
      </c>
      <c r="K4156">
        <v>1.109594</v>
      </c>
      <c r="L4156">
        <v>141.88820000000001</v>
      </c>
      <c r="M4156">
        <v>-0.99988129999999997</v>
      </c>
      <c r="N4156">
        <v>-1.4098090000000001E-2</v>
      </c>
      <c r="O4156">
        <v>6.222989E-3</v>
      </c>
      <c r="P4156">
        <v>-0.99118660000000003</v>
      </c>
      <c r="Q4156">
        <v>-2.0563330000000001E-2</v>
      </c>
      <c r="R4156">
        <v>-0.1308665</v>
      </c>
      <c r="S4156">
        <v>-3.0196230000000002</v>
      </c>
      <c r="T4156">
        <v>-0.1892982</v>
      </c>
      <c r="U4156">
        <v>-2.1987920000000001E-2</v>
      </c>
      <c r="V4156">
        <v>-0.1370297</v>
      </c>
      <c r="W4156">
        <v>-6.6615779999999996E-3</v>
      </c>
      <c r="X4156">
        <v>0.9905446</v>
      </c>
      <c r="Y4156">
        <v>-1.3465059999999999E-2</v>
      </c>
      <c r="Z4156">
        <v>-8.1873320000000005E-4</v>
      </c>
      <c r="AA4156">
        <v>0.99990900000000005</v>
      </c>
      <c r="AB4156">
        <v>38</v>
      </c>
      <c r="AC4156">
        <v>-17.466200000000001</v>
      </c>
      <c r="AD4156">
        <v>-1.109595633686</v>
      </c>
      <c r="AE4156">
        <v>-0.13040000000000801</v>
      </c>
      <c r="AF4156">
        <v>-0.23813920778414399</v>
      </c>
      <c r="AG4156">
        <v>-1.109595633686</v>
      </c>
      <c r="AH4156">
        <v>17.3948514654845</v>
      </c>
      <c r="AI4156">
        <v>93.649539344553801</v>
      </c>
      <c r="AJ4156">
        <v>90.784342381277398</v>
      </c>
      <c r="AK4156">
        <v>17.431832097024301</v>
      </c>
      <c r="AL4156">
        <v>90.381683104419693</v>
      </c>
      <c r="AM4156">
        <v>97.876179423265995</v>
      </c>
      <c r="AN4156">
        <v>1.0000000599463399</v>
      </c>
    </row>
    <row r="4157" spans="1:40" x14ac:dyDescent="0.25">
      <c r="A4157" t="str">
        <f>"20190305135912784"</f>
        <v>20190305135912784</v>
      </c>
      <c r="B4157" t="str">
        <f>"1551765552772604"</f>
        <v>1551765552772604</v>
      </c>
      <c r="C4157" t="s">
        <v>40</v>
      </c>
      <c r="D4157">
        <v>4.2757059999999996</v>
      </c>
      <c r="E4157">
        <v>0.54748359999999996</v>
      </c>
      <c r="F4157" t="s">
        <v>42</v>
      </c>
      <c r="G4157">
        <v>-370.79360000000003</v>
      </c>
      <c r="H4157" s="1">
        <v>-4.3935000000000004E-6</v>
      </c>
      <c r="I4157">
        <v>141.80099999999999</v>
      </c>
      <c r="J4157">
        <v>-350.33550000000002</v>
      </c>
      <c r="K4157">
        <v>1.1095919999999999</v>
      </c>
      <c r="L4157">
        <v>141.88999999999999</v>
      </c>
      <c r="M4157">
        <v>-0.9998823</v>
      </c>
      <c r="N4157">
        <v>-1.40964E-2</v>
      </c>
      <c r="O4157">
        <v>6.0603879999999999E-3</v>
      </c>
      <c r="P4157">
        <v>-0.99112420000000001</v>
      </c>
      <c r="Q4157">
        <v>-2.072833E-2</v>
      </c>
      <c r="R4157">
        <v>-0.13131399999999999</v>
      </c>
      <c r="S4157">
        <v>-3.0216669999999999</v>
      </c>
      <c r="T4157">
        <v>-0.1613426</v>
      </c>
      <c r="U4157">
        <v>-1.266479E-2</v>
      </c>
      <c r="V4157">
        <v>-0.13731579999999999</v>
      </c>
      <c r="W4157">
        <v>-6.8282250000000003E-3</v>
      </c>
      <c r="X4157">
        <v>0.99050380000000005</v>
      </c>
      <c r="Y4157">
        <v>-1.022905E-2</v>
      </c>
      <c r="Z4157">
        <v>-5.8303550000000004E-4</v>
      </c>
      <c r="AA4157">
        <v>0.99994749999999999</v>
      </c>
      <c r="AB4157">
        <v>38</v>
      </c>
      <c r="AC4157">
        <v>-20.458100000000002</v>
      </c>
      <c r="AD4157">
        <v>-1.1095963934999999</v>
      </c>
      <c r="AE4157">
        <v>-8.89999999999702E-2</v>
      </c>
      <c r="AF4157">
        <v>-0.21236998747934899</v>
      </c>
      <c r="AG4157">
        <v>-1.1095963934999999</v>
      </c>
      <c r="AH4157">
        <v>20.397183387597501</v>
      </c>
      <c r="AI4157">
        <v>93.113623679061305</v>
      </c>
      <c r="AJ4157">
        <v>90.596526691527004</v>
      </c>
      <c r="AK4157">
        <v>20.428445739099601</v>
      </c>
      <c r="AL4157">
        <v>90.391231508135803</v>
      </c>
      <c r="AM4157">
        <v>97.892737832132397</v>
      </c>
      <c r="AN4157">
        <v>1.0000000157003599</v>
      </c>
    </row>
    <row r="4158" spans="1:40" x14ac:dyDescent="0.25">
      <c r="A4158" t="str">
        <f>"20190305135912806"</f>
        <v>20190305135912806</v>
      </c>
      <c r="B4158" t="str">
        <f>"1551765552802861"</f>
        <v>1551765552802861</v>
      </c>
      <c r="C4158" t="s">
        <v>40</v>
      </c>
      <c r="D4158">
        <v>4.3567179999999999</v>
      </c>
      <c r="E4158">
        <v>0.54820279999999999</v>
      </c>
      <c r="F4158" t="s">
        <v>42</v>
      </c>
      <c r="G4158">
        <v>-373.59050000000002</v>
      </c>
      <c r="H4158" s="1">
        <v>-3.3146610000000002E-6</v>
      </c>
      <c r="I4158">
        <v>141.80609999999999</v>
      </c>
      <c r="J4158">
        <v>-350.70940000000002</v>
      </c>
      <c r="K4158">
        <v>1.1095889999999999</v>
      </c>
      <c r="L4158">
        <v>141.8921</v>
      </c>
      <c r="M4158">
        <v>-0.99988350000000004</v>
      </c>
      <c r="N4158">
        <v>-1.4094399999999899E-2</v>
      </c>
      <c r="O4158">
        <v>5.8720339999999999E-3</v>
      </c>
      <c r="P4158">
        <v>-0.99107290000000003</v>
      </c>
      <c r="Q4158">
        <v>-2.1298830000000001E-2</v>
      </c>
      <c r="R4158">
        <v>-0.1316097</v>
      </c>
      <c r="S4158">
        <v>-3.0224000000000002</v>
      </c>
      <c r="T4158">
        <v>-0.14421199999999901</v>
      </c>
      <c r="U4158">
        <v>-1.089478E-2</v>
      </c>
      <c r="V4158">
        <v>-0.1374243</v>
      </c>
      <c r="W4158">
        <v>-7.4004630000000004E-3</v>
      </c>
      <c r="X4158">
        <v>0.99048460000000005</v>
      </c>
      <c r="Y4158">
        <v>-9.4599100000000002E-3</v>
      </c>
      <c r="Z4158">
        <v>-4.8956269999999896E-4</v>
      </c>
      <c r="AA4158">
        <v>0.99995509999999999</v>
      </c>
      <c r="AB4158">
        <v>38</v>
      </c>
      <c r="AC4158">
        <v>-22.8811</v>
      </c>
      <c r="AD4158">
        <v>-1.1095923146609901</v>
      </c>
      <c r="AE4158">
        <v>-8.6000000000012705E-2</v>
      </c>
      <c r="AF4158">
        <v>-0.21985344012168001</v>
      </c>
      <c r="AG4158">
        <v>-1.1095923146609901</v>
      </c>
      <c r="AH4158">
        <v>22.8265211150479</v>
      </c>
      <c r="AI4158">
        <v>92.782816160989398</v>
      </c>
      <c r="AJ4158">
        <v>90.551826740299504</v>
      </c>
      <c r="AK4158">
        <v>22.8545312105853</v>
      </c>
      <c r="AL4158">
        <v>90.424019177810194</v>
      </c>
      <c r="AM4158">
        <v>97.899046768345599</v>
      </c>
      <c r="AN4158">
        <v>0.99999997396013196</v>
      </c>
    </row>
    <row r="4159" spans="1:40" x14ac:dyDescent="0.25">
      <c r="A4159" t="str">
        <f>"20190305135912830"</f>
        <v>20190305135912830</v>
      </c>
      <c r="B4159" t="str">
        <f>"1551765552822887"</f>
        <v>1551765552822887</v>
      </c>
      <c r="C4159" t="s">
        <v>40</v>
      </c>
      <c r="D4159">
        <v>4.3197799999999997</v>
      </c>
      <c r="E4159">
        <v>0.54799519999999902</v>
      </c>
      <c r="F4159" t="s">
        <v>42</v>
      </c>
      <c r="G4159">
        <v>-377.70069999999998</v>
      </c>
      <c r="H4159" s="1">
        <v>-1.5557579999999999E-6</v>
      </c>
      <c r="I4159">
        <v>141.82249999999999</v>
      </c>
      <c r="J4159">
        <v>-351.1028</v>
      </c>
      <c r="K4159">
        <v>1.1095889999999999</v>
      </c>
      <c r="L4159">
        <v>141.89420000000001</v>
      </c>
      <c r="M4159">
        <v>-0.99988469999999996</v>
      </c>
      <c r="N4159">
        <v>-1.409228E-2</v>
      </c>
      <c r="O4159">
        <v>5.6742509999999999E-3</v>
      </c>
      <c r="P4159">
        <v>-0.99106649999999996</v>
      </c>
      <c r="Q4159">
        <v>-2.1374850000000001E-2</v>
      </c>
      <c r="R4159">
        <v>-0.13164629999999999</v>
      </c>
      <c r="S4159">
        <v>-3.0233150000000002</v>
      </c>
      <c r="T4159">
        <v>-0.1242862</v>
      </c>
      <c r="U4159">
        <v>-7.7819819999999998E-3</v>
      </c>
      <c r="V4159">
        <v>-0.1372651</v>
      </c>
      <c r="W4159">
        <v>-7.477839E-3</v>
      </c>
      <c r="X4159">
        <v>0.99050609999999994</v>
      </c>
      <c r="Y4159">
        <v>-8.2373210000000006E-3</v>
      </c>
      <c r="Z4159">
        <v>-3.8054020000000003E-4</v>
      </c>
      <c r="AA4159">
        <v>0.99996600000000002</v>
      </c>
      <c r="AB4159">
        <v>38</v>
      </c>
      <c r="AC4159">
        <v>-26.5978999999999</v>
      </c>
      <c r="AD4159">
        <v>-1.1095905557579999</v>
      </c>
      <c r="AE4159">
        <v>-7.1700000000021094E-2</v>
      </c>
      <c r="AF4159">
        <v>-0.22225019403100901</v>
      </c>
      <c r="AG4159">
        <v>-1.1095905557579999</v>
      </c>
      <c r="AH4159">
        <v>26.550858005788701</v>
      </c>
      <c r="AI4159">
        <v>92.392979544775201</v>
      </c>
      <c r="AJ4159">
        <v>90.479596580392993</v>
      </c>
      <c r="AK4159">
        <v>26.574962788190799</v>
      </c>
      <c r="AL4159">
        <v>90.428452616274996</v>
      </c>
      <c r="AM4159">
        <v>97.889842277595406</v>
      </c>
      <c r="AN4159">
        <v>0.99999997994566403</v>
      </c>
    </row>
    <row r="4160" spans="1:40" x14ac:dyDescent="0.25">
      <c r="A4160" t="str">
        <f>"20190305135912852"</f>
        <v>20190305135912852</v>
      </c>
      <c r="B4160" t="str">
        <f>"1551765552843383"</f>
        <v>1551765552843383</v>
      </c>
      <c r="C4160" t="s">
        <v>40</v>
      </c>
      <c r="D4160">
        <v>4.3090809999999999</v>
      </c>
      <c r="E4160">
        <v>0.54814449999999904</v>
      </c>
      <c r="F4160" t="s">
        <v>42</v>
      </c>
      <c r="G4160">
        <v>-379.52210000000002</v>
      </c>
      <c r="H4160" s="1">
        <v>-7.6831970000000001E-7</v>
      </c>
      <c r="I4160">
        <v>141.7997</v>
      </c>
      <c r="J4160">
        <v>-351.46980000000002</v>
      </c>
      <c r="K4160">
        <v>1.1095930000000001</v>
      </c>
      <c r="L4160">
        <v>141.89609999999999</v>
      </c>
      <c r="M4160">
        <v>-0.99988569999999999</v>
      </c>
      <c r="N4160">
        <v>-1.4090200000000001E-2</v>
      </c>
      <c r="O4160">
        <v>5.4896950000000002E-3</v>
      </c>
      <c r="P4160">
        <v>-0.99106590000000006</v>
      </c>
      <c r="Q4160">
        <v>-2.1192030000000001E-2</v>
      </c>
      <c r="R4160">
        <v>-0.13167970000000001</v>
      </c>
      <c r="S4160">
        <v>-3.0231629999999998</v>
      </c>
      <c r="T4160">
        <v>-0.11803520000000001</v>
      </c>
      <c r="U4160">
        <v>-1.004028E-2</v>
      </c>
      <c r="V4160">
        <v>-0.13711599999999999</v>
      </c>
      <c r="W4160">
        <v>-7.29640699999999E-3</v>
      </c>
      <c r="X4160">
        <v>0.99052810000000002</v>
      </c>
      <c r="Y4160">
        <v>-8.8004260000000001E-3</v>
      </c>
      <c r="Z4160">
        <v>-3.7068870000000001E-4</v>
      </c>
      <c r="AA4160">
        <v>0.99996119999999999</v>
      </c>
      <c r="AB4160">
        <v>38</v>
      </c>
      <c r="AC4160">
        <v>-28.052299999999999</v>
      </c>
      <c r="AD4160">
        <v>-1.1095937683196999</v>
      </c>
      <c r="AE4160">
        <v>-9.6399999999988495E-2</v>
      </c>
      <c r="AF4160">
        <v>-0.25002123339294802</v>
      </c>
      <c r="AG4160">
        <v>-1.1095937683196999</v>
      </c>
      <c r="AH4160">
        <v>28.007529125354399</v>
      </c>
      <c r="AI4160">
        <v>92.268649984164995</v>
      </c>
      <c r="AJ4160">
        <v>90.511461789142103</v>
      </c>
      <c r="AK4160">
        <v>28.030615345643401</v>
      </c>
      <c r="AL4160">
        <v>90.418057046209</v>
      </c>
      <c r="AM4160">
        <v>97.881207086022499</v>
      </c>
      <c r="AN4160">
        <v>0.99999997595035905</v>
      </c>
    </row>
    <row r="4161" spans="1:40" x14ac:dyDescent="0.25">
      <c r="A4161" t="str">
        <f>"20190305135912874"</f>
        <v>20190305135912874</v>
      </c>
      <c r="B4161" t="str">
        <f>"1551765552862903"</f>
        <v>1551765552862903</v>
      </c>
      <c r="C4161" t="s">
        <v>40</v>
      </c>
      <c r="D4161">
        <v>4.2993759999999996</v>
      </c>
      <c r="E4161">
        <v>0.5486065</v>
      </c>
      <c r="F4161" t="s">
        <v>42</v>
      </c>
      <c r="G4161">
        <v>-381.28129999999999</v>
      </c>
      <c r="H4161" s="1">
        <v>-4.2281229999999998E-6</v>
      </c>
      <c r="I4161">
        <v>141.80420000000001</v>
      </c>
      <c r="J4161">
        <v>-351.85180000000003</v>
      </c>
      <c r="K4161">
        <v>1.1095950000000001</v>
      </c>
      <c r="L4161">
        <v>141.898</v>
      </c>
      <c r="M4161">
        <v>-0.99988679999999996</v>
      </c>
      <c r="N4161">
        <v>-1.408798E-2</v>
      </c>
      <c r="O4161">
        <v>5.2988899999999997E-3</v>
      </c>
      <c r="P4161">
        <v>-0.99109800000000003</v>
      </c>
      <c r="Q4161">
        <v>-2.0657809999999999E-2</v>
      </c>
      <c r="R4161">
        <v>-0.131521</v>
      </c>
      <c r="S4161">
        <v>-3.0234070000000002</v>
      </c>
      <c r="T4161">
        <v>-0.1125331</v>
      </c>
      <c r="U4161">
        <v>-9.3078610000000006E-3</v>
      </c>
      <c r="V4161">
        <v>-0.13676839999999901</v>
      </c>
      <c r="W4161">
        <v>-6.7630199999999998E-3</v>
      </c>
      <c r="X4161">
        <v>0.99058000000000002</v>
      </c>
      <c r="Y4161">
        <v>-8.3685269999999902E-3</v>
      </c>
      <c r="Z4161">
        <v>-3.371863E-4</v>
      </c>
      <c r="AA4161">
        <v>0.99996499999999999</v>
      </c>
      <c r="AB4161">
        <v>38</v>
      </c>
      <c r="AC4161">
        <v>-29.429499999999901</v>
      </c>
      <c r="AD4161">
        <v>-1.109599228123</v>
      </c>
      <c r="AE4161">
        <v>-9.3799999999987393E-2</v>
      </c>
      <c r="AF4161">
        <v>-0.24940329170213399</v>
      </c>
      <c r="AG4161">
        <v>-1.109599228123</v>
      </c>
      <c r="AH4161">
        <v>29.386814841707501</v>
      </c>
      <c r="AI4161">
        <v>92.162292157531695</v>
      </c>
      <c r="AJ4161">
        <v>90.486252525735907</v>
      </c>
      <c r="AK4161">
        <v>29.408813287682399</v>
      </c>
      <c r="AL4161">
        <v>90.387495443129396</v>
      </c>
      <c r="AM4161">
        <v>97.861070983733597</v>
      </c>
      <c r="AN4161">
        <v>1.0000000350390299</v>
      </c>
    </row>
    <row r="4162" spans="1:40" x14ac:dyDescent="0.25">
      <c r="A4162" t="str">
        <f>"20190305135912897"</f>
        <v>20190305135912897</v>
      </c>
      <c r="B4162" t="str">
        <f>"1551765552893159"</f>
        <v>1551765552893159</v>
      </c>
      <c r="C4162" t="s">
        <v>40</v>
      </c>
      <c r="D4162">
        <v>4.3469699999999998</v>
      </c>
      <c r="E4162">
        <v>0.54861709999999997</v>
      </c>
      <c r="F4162" t="s">
        <v>42</v>
      </c>
      <c r="G4162">
        <v>-382.9898</v>
      </c>
      <c r="H4162" s="1">
        <v>-3.582086E-6</v>
      </c>
      <c r="I4162">
        <v>141.84280000000001</v>
      </c>
      <c r="J4162">
        <v>-352.22579999999999</v>
      </c>
      <c r="K4162">
        <v>1.109594</v>
      </c>
      <c r="L4162">
        <v>141.8998</v>
      </c>
      <c r="M4162">
        <v>-0.99988779999999999</v>
      </c>
      <c r="N4162">
        <v>-1.408586E-2</v>
      </c>
      <c r="O4162">
        <v>5.1160420000000003E-3</v>
      </c>
      <c r="P4162">
        <v>-0.99111159999999998</v>
      </c>
      <c r="Q4162">
        <v>-2.0806959999999999E-2</v>
      </c>
      <c r="R4162">
        <v>-0.13139790000000001</v>
      </c>
      <c r="S4162">
        <v>-3.0239560000000001</v>
      </c>
      <c r="T4162">
        <v>-0.1077583</v>
      </c>
      <c r="U4162">
        <v>-5.3558349999999998E-3</v>
      </c>
      <c r="V4162">
        <v>-0.1364641</v>
      </c>
      <c r="W4162">
        <v>-6.9125559999999898E-3</v>
      </c>
      <c r="X4162">
        <v>0.99062090000000003</v>
      </c>
      <c r="Y4162">
        <v>-6.8803689999999999E-3</v>
      </c>
      <c r="Z4162">
        <v>-2.8123079999999999E-4</v>
      </c>
      <c r="AA4162">
        <v>0.99997630000000004</v>
      </c>
      <c r="AB4162">
        <v>38</v>
      </c>
      <c r="AC4162">
        <v>-30.763999999999999</v>
      </c>
      <c r="AD4162">
        <v>-1.109597582086</v>
      </c>
      <c r="AE4162">
        <v>-5.6999999999987901E-2</v>
      </c>
      <c r="AF4162">
        <v>-0.21412621391630299</v>
      </c>
      <c r="AG4162">
        <v>-1.109597582086</v>
      </c>
      <c r="AH4162">
        <v>30.723337678154301</v>
      </c>
      <c r="AI4162">
        <v>92.068333110184</v>
      </c>
      <c r="AJ4162">
        <v>90.399316305781696</v>
      </c>
      <c r="AK4162">
        <v>30.744113825504201</v>
      </c>
      <c r="AL4162">
        <v>90.396063438397903</v>
      </c>
      <c r="AM4162">
        <v>97.843478791739201</v>
      </c>
      <c r="AN4162">
        <v>1.0000000007680301</v>
      </c>
    </row>
    <row r="4163" spans="1:40" x14ac:dyDescent="0.25">
      <c r="A4163" t="str">
        <f>"20190305135912920"</f>
        <v>20190305135912920</v>
      </c>
      <c r="B4163" t="str">
        <f>"1551765552913191"</f>
        <v>1551765552913191</v>
      </c>
      <c r="C4163" t="s">
        <v>40</v>
      </c>
      <c r="D4163">
        <v>4.3518970000000001</v>
      </c>
      <c r="E4163">
        <v>0.548674</v>
      </c>
      <c r="F4163" t="s">
        <v>42</v>
      </c>
      <c r="G4163">
        <v>-384.83319999999998</v>
      </c>
      <c r="H4163" s="1">
        <v>-2.7910250000000001E-6</v>
      </c>
      <c r="I4163">
        <v>141.84180000000001</v>
      </c>
      <c r="J4163">
        <v>-352.60289999999998</v>
      </c>
      <c r="K4163">
        <v>1.1095820000000001</v>
      </c>
      <c r="L4163">
        <v>141.9015</v>
      </c>
      <c r="M4163">
        <v>-0.99988880000000002</v>
      </c>
      <c r="N4163">
        <v>-1.4083729999999999E-2</v>
      </c>
      <c r="O4163">
        <v>4.9394319999999997E-3</v>
      </c>
      <c r="P4163">
        <v>-0.99106799999999995</v>
      </c>
      <c r="Q4163">
        <v>-2.1383869999999999E-2</v>
      </c>
      <c r="R4163">
        <v>-0.13163339999999901</v>
      </c>
      <c r="S4163">
        <v>-3.0240779999999998</v>
      </c>
      <c r="T4163">
        <v>-0.1029066</v>
      </c>
      <c r="U4163">
        <v>-5.3710939999999999E-3</v>
      </c>
      <c r="V4163">
        <v>-0.13652400000000001</v>
      </c>
      <c r="W4163">
        <v>-7.4900569999999996E-3</v>
      </c>
      <c r="X4163">
        <v>0.9906085</v>
      </c>
      <c r="Y4163">
        <v>-6.7095260000000004E-3</v>
      </c>
      <c r="Z4163">
        <v>-2.5987349999999999E-4</v>
      </c>
      <c r="AA4163">
        <v>0.99997749999999996</v>
      </c>
      <c r="AB4163">
        <v>38</v>
      </c>
      <c r="AC4163">
        <v>-32.2303</v>
      </c>
      <c r="AD4163">
        <v>-1.1095847910250001</v>
      </c>
      <c r="AE4163">
        <v>-5.9699999999992301E-2</v>
      </c>
      <c r="AF4163">
        <v>-0.218655259302411</v>
      </c>
      <c r="AG4163">
        <v>-1.1095847910250001</v>
      </c>
      <c r="AH4163">
        <v>32.191458586131901</v>
      </c>
      <c r="AI4163">
        <v>91.974060967089201</v>
      </c>
      <c r="AJ4163">
        <v>90.389166301194393</v>
      </c>
      <c r="AK4163">
        <v>32.211317800325098</v>
      </c>
      <c r="AL4163">
        <v>90.429152644847903</v>
      </c>
      <c r="AM4163">
        <v>97.846975754488099</v>
      </c>
      <c r="AN4163">
        <v>1.0000000519010499</v>
      </c>
    </row>
    <row r="4164" spans="1:40" x14ac:dyDescent="0.25">
      <c r="A4164" t="str">
        <f>"20190305135912942"</f>
        <v>20190305135912942</v>
      </c>
      <c r="B4164" t="str">
        <f>"1551765552932707"</f>
        <v>1551765552932707</v>
      </c>
      <c r="C4164" t="s">
        <v>40</v>
      </c>
      <c r="D4164">
        <v>4.28139</v>
      </c>
      <c r="E4164">
        <v>0.54879350000000005</v>
      </c>
      <c r="F4164" t="s">
        <v>42</v>
      </c>
      <c r="G4164">
        <v>-385.14929999999998</v>
      </c>
      <c r="H4164" s="1">
        <v>-2.6548590000000001E-6</v>
      </c>
      <c r="I4164">
        <v>141.83969999999999</v>
      </c>
      <c r="J4164">
        <v>-352.995</v>
      </c>
      <c r="K4164">
        <v>1.109572</v>
      </c>
      <c r="L4164">
        <v>141.9033</v>
      </c>
      <c r="M4164">
        <v>-0.99988960000000005</v>
      </c>
      <c r="N4164">
        <v>-1.408147E-2</v>
      </c>
      <c r="O4164">
        <v>4.766691E-3</v>
      </c>
      <c r="P4164">
        <v>-0.99094009999999999</v>
      </c>
      <c r="Q4164">
        <v>-2.2478379999999999E-2</v>
      </c>
      <c r="R4164">
        <v>-0.1324109</v>
      </c>
      <c r="S4164">
        <v>-3.0240480000000001</v>
      </c>
      <c r="T4164">
        <v>-0.1030971</v>
      </c>
      <c r="U4164">
        <v>-5.7373049999999998E-3</v>
      </c>
      <c r="V4164">
        <v>-0.137129799999999</v>
      </c>
      <c r="W4164">
        <v>-8.5856879999999993E-3</v>
      </c>
      <c r="X4164">
        <v>0.9905159</v>
      </c>
      <c r="Y4164">
        <v>-6.6579369999999896E-3</v>
      </c>
      <c r="Z4164">
        <v>-2.5570429999999998E-4</v>
      </c>
      <c r="AA4164">
        <v>0.99997780000000003</v>
      </c>
      <c r="AB4164">
        <v>38</v>
      </c>
      <c r="AC4164">
        <v>-32.1542999999999</v>
      </c>
      <c r="AD4164">
        <v>-1.109574654859</v>
      </c>
      <c r="AE4164">
        <v>-6.3600000000008095E-2</v>
      </c>
      <c r="AF4164">
        <v>-0.216626115716505</v>
      </c>
      <c r="AG4164">
        <v>-1.109574654859</v>
      </c>
      <c r="AH4164">
        <v>32.115388926475603</v>
      </c>
      <c r="AI4164">
        <v>91.978715654606901</v>
      </c>
      <c r="AJ4164">
        <v>90.3864681183952</v>
      </c>
      <c r="AK4164">
        <v>32.1352810581689</v>
      </c>
      <c r="AL4164">
        <v>90.491929719548594</v>
      </c>
      <c r="AM4164">
        <v>97.882086179574998</v>
      </c>
      <c r="AN4164">
        <v>1.0000000221196399</v>
      </c>
    </row>
    <row r="4165" spans="1:40" x14ac:dyDescent="0.25">
      <c r="A4165" t="str">
        <f>"20190305135912962"</f>
        <v>20190305135912962</v>
      </c>
      <c r="B4165" t="str">
        <f>"1551765552953202"</f>
        <v>1551765552953202</v>
      </c>
      <c r="C4165" t="s">
        <v>40</v>
      </c>
      <c r="D4165">
        <v>4.3166180000000001</v>
      </c>
      <c r="E4165">
        <v>0.54883800000000005</v>
      </c>
      <c r="F4165" t="s">
        <v>42</v>
      </c>
      <c r="G4165">
        <v>-384.94069999999999</v>
      </c>
      <c r="H4165" s="1">
        <v>-2.7410250000000002E-6</v>
      </c>
      <c r="I4165">
        <v>141.8271</v>
      </c>
      <c r="J4165">
        <v>-353.34050000000002</v>
      </c>
      <c r="K4165">
        <v>1.1095600000000001</v>
      </c>
      <c r="L4165">
        <v>141.90479999999999</v>
      </c>
      <c r="M4165">
        <v>-0.99989019999999995</v>
      </c>
      <c r="N4165">
        <v>-1.407946E-2</v>
      </c>
      <c r="O4165">
        <v>4.6229130000000002E-3</v>
      </c>
      <c r="P4165">
        <v>-0.99085250000000002</v>
      </c>
      <c r="Q4165">
        <v>-2.2728930000000001E-2</v>
      </c>
      <c r="R4165">
        <v>-0.13302159999999999</v>
      </c>
      <c r="S4165">
        <v>-3.0241090000000002</v>
      </c>
      <c r="T4165">
        <v>-0.1050372</v>
      </c>
      <c r="U4165">
        <v>-7.2021480000000002E-3</v>
      </c>
      <c r="V4165">
        <v>-0.137598</v>
      </c>
      <c r="W4165">
        <v>-8.8366130000000001E-3</v>
      </c>
      <c r="X4165">
        <v>0.99044869999999996</v>
      </c>
      <c r="Y4165">
        <v>-6.9979860000000003E-3</v>
      </c>
      <c r="Z4165">
        <v>-2.6622240000000001E-4</v>
      </c>
      <c r="AA4165">
        <v>0.99997550000000002</v>
      </c>
      <c r="AB4165">
        <v>38</v>
      </c>
      <c r="AC4165">
        <v>-31.600199999999901</v>
      </c>
      <c r="AD4165">
        <v>-1.109562741025</v>
      </c>
      <c r="AE4165">
        <v>-7.7699999999992997E-2</v>
      </c>
      <c r="AF4165">
        <v>-0.22352304782794</v>
      </c>
      <c r="AG4165">
        <v>-1.109562741025</v>
      </c>
      <c r="AH4165">
        <v>31.560592546119601</v>
      </c>
      <c r="AI4165">
        <v>92.013444368056298</v>
      </c>
      <c r="AJ4165">
        <v>90.405781771109801</v>
      </c>
      <c r="AK4165">
        <v>31.580881778243</v>
      </c>
      <c r="AL4165">
        <v>90.5063072390424</v>
      </c>
      <c r="AM4165">
        <v>97.909187690267899</v>
      </c>
      <c r="AN4165">
        <v>0.99999996133250002</v>
      </c>
    </row>
    <row r="4166" spans="1:40" x14ac:dyDescent="0.25">
      <c r="A4166" t="str">
        <f>"20190305135912985"</f>
        <v>20190305135912985</v>
      </c>
      <c r="B4166" t="str">
        <f>"1551765552983459"</f>
        <v>1551765552983459</v>
      </c>
      <c r="C4166" t="s">
        <v>40</v>
      </c>
      <c r="D4166">
        <v>4.3329700000000004</v>
      </c>
      <c r="E4166">
        <v>0.54893139999999996</v>
      </c>
      <c r="F4166" t="s">
        <v>42</v>
      </c>
      <c r="G4166">
        <v>-385.90750000000003</v>
      </c>
      <c r="H4166" s="1">
        <v>-2.3213819999999998E-6</v>
      </c>
      <c r="I4166">
        <v>141.80869999999999</v>
      </c>
      <c r="J4166">
        <v>-353.71210000000002</v>
      </c>
      <c r="K4166">
        <v>1.1095539999999999</v>
      </c>
      <c r="L4166">
        <v>141.90639999999999</v>
      </c>
      <c r="M4166">
        <v>-0.99989099999999997</v>
      </c>
      <c r="N4166">
        <v>-1.4077289999999999E-2</v>
      </c>
      <c r="O4166">
        <v>4.4813179999999998E-3</v>
      </c>
      <c r="P4166">
        <v>-0.99074490000000004</v>
      </c>
      <c r="Q4166">
        <v>-2.254811E-2</v>
      </c>
      <c r="R4166">
        <v>-0.13385169999999999</v>
      </c>
      <c r="S4166">
        <v>-3.0241389999999999</v>
      </c>
      <c r="T4166">
        <v>-0.1030331</v>
      </c>
      <c r="U4166">
        <v>-8.9111329999999999E-3</v>
      </c>
      <c r="V4166">
        <v>-0.13828770000000001</v>
      </c>
      <c r="W4166">
        <v>-8.6560439999999999E-3</v>
      </c>
      <c r="X4166">
        <v>0.99035430000000002</v>
      </c>
      <c r="Y4166">
        <v>-7.4213869999999998E-3</v>
      </c>
      <c r="Z4166">
        <v>-2.6820540000000001E-4</v>
      </c>
      <c r="AA4166">
        <v>0.99997239999999998</v>
      </c>
      <c r="AB4166">
        <v>38</v>
      </c>
      <c r="AC4166">
        <v>-32.195399999999999</v>
      </c>
      <c r="AD4166">
        <v>-1.1095563213820001</v>
      </c>
      <c r="AE4166">
        <v>-9.7700000000003201E-2</v>
      </c>
      <c r="AF4166">
        <v>-0.241704051060183</v>
      </c>
      <c r="AG4166">
        <v>-1.1095563213820001</v>
      </c>
      <c r="AH4166">
        <v>32.156446551110697</v>
      </c>
      <c r="AI4166">
        <v>91.976147732240506</v>
      </c>
      <c r="AJ4166">
        <v>90.430655831268595</v>
      </c>
      <c r="AK4166">
        <v>32.176491276599101</v>
      </c>
      <c r="AL4166">
        <v>90.495960968557696</v>
      </c>
      <c r="AM4166">
        <v>97.949074436179103</v>
      </c>
      <c r="AN4166">
        <v>1.0000000272987499</v>
      </c>
    </row>
    <row r="4167" spans="1:40" x14ac:dyDescent="0.25">
      <c r="A4167" t="str">
        <f>"20190305135913008"</f>
        <v>20190305135913008</v>
      </c>
      <c r="B4167" t="str">
        <f>"1551765553002982"</f>
        <v>1551765553002982</v>
      </c>
      <c r="C4167" t="s">
        <v>40</v>
      </c>
      <c r="D4167">
        <v>4.293984</v>
      </c>
      <c r="E4167">
        <v>0.54897220000000002</v>
      </c>
      <c r="F4167" t="s">
        <v>42</v>
      </c>
      <c r="G4167">
        <v>-387.21780000000001</v>
      </c>
      <c r="H4167" s="1">
        <v>-1.7531500000000001E-6</v>
      </c>
      <c r="I4167">
        <v>141.78579999999999</v>
      </c>
      <c r="J4167">
        <v>-354.09949999999998</v>
      </c>
      <c r="K4167">
        <v>1.109542</v>
      </c>
      <c r="L4167">
        <v>141.90790000000001</v>
      </c>
      <c r="M4167">
        <v>-0.99989159999999999</v>
      </c>
      <c r="N4167">
        <v>-1.4074980000000001E-2</v>
      </c>
      <c r="O4167">
        <v>4.3515749999999999E-3</v>
      </c>
      <c r="P4167">
        <v>-0.99066019999999999</v>
      </c>
      <c r="Q4167">
        <v>-2.1891620000000001E-2</v>
      </c>
      <c r="R4167">
        <v>-0.1345874</v>
      </c>
      <c r="S4167">
        <v>-3.024292</v>
      </c>
      <c r="T4167">
        <v>-0.10015110000000001</v>
      </c>
      <c r="U4167">
        <v>-1.087952E-2</v>
      </c>
      <c r="V4167">
        <v>-0.13889479999999901</v>
      </c>
      <c r="W4167">
        <v>-7.9986509999999903E-3</v>
      </c>
      <c r="X4167">
        <v>0.99027480000000001</v>
      </c>
      <c r="Y4167">
        <v>-7.9423040000000007E-3</v>
      </c>
      <c r="Z4167">
        <v>-2.7021219999999999E-4</v>
      </c>
      <c r="AA4167">
        <v>0.99996839999999998</v>
      </c>
      <c r="AB4167">
        <v>38</v>
      </c>
      <c r="AC4167">
        <v>-33.118299999999998</v>
      </c>
      <c r="AD4167">
        <v>-1.1095437531499901</v>
      </c>
      <c r="AE4167">
        <v>-0.122100000000017</v>
      </c>
      <c r="AF4167">
        <v>-0.26593138818468898</v>
      </c>
      <c r="AG4167">
        <v>-1.1095437531499901</v>
      </c>
      <c r="AH4167">
        <v>33.080325697180498</v>
      </c>
      <c r="AI4167">
        <v>91.920969574117294</v>
      </c>
      <c r="AJ4167">
        <v>90.460588511462007</v>
      </c>
      <c r="AK4167">
        <v>33.0999963002252</v>
      </c>
      <c r="AL4167">
        <v>90.458293848558696</v>
      </c>
      <c r="AM4167">
        <v>97.984155526841505</v>
      </c>
      <c r="AN4167">
        <v>0.99999996169994898</v>
      </c>
    </row>
    <row r="4168" spans="1:40" x14ac:dyDescent="0.25">
      <c r="A4168" t="str">
        <f>"20190305135913031"</f>
        <v>20190305135913031</v>
      </c>
      <c r="B4168" t="str">
        <f>"1551765553023008"</f>
        <v>1551765553023008</v>
      </c>
      <c r="C4168" t="s">
        <v>40</v>
      </c>
      <c r="D4168">
        <v>4.3141780000000001</v>
      </c>
      <c r="E4168">
        <v>0.5489752</v>
      </c>
      <c r="F4168" t="s">
        <v>42</v>
      </c>
      <c r="G4168">
        <v>-388.65609999999998</v>
      </c>
      <c r="H4168" s="1">
        <v>-1.1297829999999999E-6</v>
      </c>
      <c r="I4168">
        <v>141.7619</v>
      </c>
      <c r="J4168">
        <v>-354.48840000000001</v>
      </c>
      <c r="K4168">
        <v>1.109534</v>
      </c>
      <c r="L4168">
        <v>141.90950000000001</v>
      </c>
      <c r="M4168">
        <v>-0.99989209999999995</v>
      </c>
      <c r="N4168">
        <v>-1.4072629999999999E-2</v>
      </c>
      <c r="O4168">
        <v>4.2379399999999999E-3</v>
      </c>
      <c r="P4168">
        <v>-0.99047660000000004</v>
      </c>
      <c r="Q4168">
        <v>-2.2455679999999999E-2</v>
      </c>
      <c r="R4168">
        <v>-0.13583729999999999</v>
      </c>
      <c r="S4168">
        <v>-3.0244450000000001</v>
      </c>
      <c r="T4168">
        <v>-9.7108959999999994E-2</v>
      </c>
      <c r="U4168">
        <v>-1.2771609999999999E-2</v>
      </c>
      <c r="V4168">
        <v>-0.14003199999999999</v>
      </c>
      <c r="W4168">
        <v>-8.5629680000000007E-3</v>
      </c>
      <c r="X4168">
        <v>0.99010989999999999</v>
      </c>
      <c r="Y4168">
        <v>-8.4540840000000006E-3</v>
      </c>
      <c r="Z4168">
        <v>-2.716005E-4</v>
      </c>
      <c r="AA4168">
        <v>0.99996419999999997</v>
      </c>
      <c r="AB4168">
        <v>38</v>
      </c>
      <c r="AC4168">
        <v>-34.167699999999897</v>
      </c>
      <c r="AD4168">
        <v>-1.1095351297830001</v>
      </c>
      <c r="AE4168">
        <v>-0.147600000000011</v>
      </c>
      <c r="AF4168">
        <v>-0.29210563925212601</v>
      </c>
      <c r="AG4168">
        <v>-1.1095351297830001</v>
      </c>
      <c r="AH4168">
        <v>34.130776960341102</v>
      </c>
      <c r="AI4168">
        <v>91.861867216618506</v>
      </c>
      <c r="AJ4168">
        <v>90.490349566604806</v>
      </c>
      <c r="AK4168">
        <v>34.150056073530202</v>
      </c>
      <c r="AL4168">
        <v>90.490627947113893</v>
      </c>
      <c r="AM4168">
        <v>98.049995453454997</v>
      </c>
      <c r="AN4168">
        <v>0.99999994976148798</v>
      </c>
    </row>
    <row r="4169" spans="1:40" x14ac:dyDescent="0.25">
      <c r="A4169" t="str">
        <f>"20190305135913053"</f>
        <v>20190305135913053</v>
      </c>
      <c r="B4169" t="str">
        <f>"1551765553043503"</f>
        <v>1551765553043503</v>
      </c>
      <c r="C4169" t="s">
        <v>40</v>
      </c>
      <c r="D4169">
        <v>4.3051899999999996</v>
      </c>
      <c r="E4169">
        <v>0.54909490000000005</v>
      </c>
      <c r="F4169" t="s">
        <v>42</v>
      </c>
      <c r="G4169">
        <v>-388.57510000000002</v>
      </c>
      <c r="H4169" s="1">
        <v>-1.1539080000000001E-6</v>
      </c>
      <c r="I4169">
        <v>141.72200000000001</v>
      </c>
      <c r="J4169">
        <v>-354.84730000000002</v>
      </c>
      <c r="K4169">
        <v>1.109518</v>
      </c>
      <c r="L4169">
        <v>141.9109</v>
      </c>
      <c r="M4169">
        <v>-0.99989260000000002</v>
      </c>
      <c r="N4169">
        <v>-1.407047E-2</v>
      </c>
      <c r="O4169">
        <v>4.1439329999999998E-3</v>
      </c>
      <c r="P4169">
        <v>-0.99036539999999995</v>
      </c>
      <c r="Q4169">
        <v>-2.2850769999999999E-2</v>
      </c>
      <c r="R4169">
        <v>-0.13658199999999901</v>
      </c>
      <c r="S4169">
        <v>-3.0242610000000001</v>
      </c>
      <c r="T4169">
        <v>-9.8441239999999999E-2</v>
      </c>
      <c r="U4169">
        <v>-1.663208E-2</v>
      </c>
      <c r="V4169">
        <v>-0.14068259999999999</v>
      </c>
      <c r="W4169">
        <v>-8.9576859999999994E-3</v>
      </c>
      <c r="X4169">
        <v>0.99001430000000001</v>
      </c>
      <c r="Y4169">
        <v>-9.6356830000000008E-3</v>
      </c>
      <c r="Z4169">
        <v>-3.0114909999999999E-4</v>
      </c>
      <c r="AA4169">
        <v>0.99995350000000005</v>
      </c>
      <c r="AB4169">
        <v>38</v>
      </c>
      <c r="AC4169">
        <v>-33.727800000000002</v>
      </c>
      <c r="AD4169">
        <v>-1.109519153908</v>
      </c>
      <c r="AE4169">
        <v>-0.18889999999998899</v>
      </c>
      <c r="AF4169">
        <v>-0.32832264502859898</v>
      </c>
      <c r="AG4169">
        <v>-1.109519153908</v>
      </c>
      <c r="AH4169">
        <v>33.690270189533599</v>
      </c>
      <c r="AI4169">
        <v>91.886146406756197</v>
      </c>
      <c r="AJ4169">
        <v>90.558348338817197</v>
      </c>
      <c r="AK4169">
        <v>33.710133994926601</v>
      </c>
      <c r="AL4169">
        <v>90.513244427906201</v>
      </c>
      <c r="AM4169">
        <v>98.087673334767601</v>
      </c>
      <c r="AN4169">
        <v>1.0000000741428501</v>
      </c>
    </row>
    <row r="4170" spans="1:40" x14ac:dyDescent="0.25">
      <c r="A4170" t="str">
        <f>"20190305135913075"</f>
        <v>20190305135913075</v>
      </c>
      <c r="B4170" t="str">
        <f>"1551765553063024"</f>
        <v>1551765553063024</v>
      </c>
      <c r="C4170" t="s">
        <v>40</v>
      </c>
      <c r="D4170">
        <v>4.2840189999999998</v>
      </c>
      <c r="E4170">
        <v>0.5491779</v>
      </c>
      <c r="F4170" t="s">
        <v>42</v>
      </c>
      <c r="G4170">
        <v>-388.5052</v>
      </c>
      <c r="H4170" s="1">
        <v>-1.180709E-6</v>
      </c>
      <c r="I4170">
        <v>141.71010000000001</v>
      </c>
      <c r="J4170">
        <v>-355.21850000000001</v>
      </c>
      <c r="K4170">
        <v>1.1095079999999999</v>
      </c>
      <c r="L4170">
        <v>141.91239999999999</v>
      </c>
      <c r="M4170">
        <v>-0.99989280000000003</v>
      </c>
      <c r="N4170">
        <v>-1.4068219999999999E-2</v>
      </c>
      <c r="O4170">
        <v>4.0551340000000002E-3</v>
      </c>
      <c r="P4170">
        <v>-0.99025030000000003</v>
      </c>
      <c r="Q4170">
        <v>-2.379409E-2</v>
      </c>
      <c r="R4170">
        <v>-0.1372524</v>
      </c>
      <c r="S4170">
        <v>-3.0244140000000002</v>
      </c>
      <c r="T4170">
        <v>-9.9698540000000002E-2</v>
      </c>
      <c r="U4170">
        <v>-1.8035889999999999E-2</v>
      </c>
      <c r="V4170">
        <v>-0.14126529999999901</v>
      </c>
      <c r="W4170">
        <v>-9.9014229999999995E-3</v>
      </c>
      <c r="X4170">
        <v>0.98992230000000003</v>
      </c>
      <c r="Y4170">
        <v>-1.001026E-2</v>
      </c>
      <c r="Z4170">
        <v>-3.1198690000000003E-4</v>
      </c>
      <c r="AA4170">
        <v>0.99994989999999995</v>
      </c>
      <c r="AB4170">
        <v>37</v>
      </c>
      <c r="AC4170">
        <v>-33.286700000000003</v>
      </c>
      <c r="AD4170">
        <v>-1.1095091807089901</v>
      </c>
      <c r="AE4170">
        <v>-0.202299999999979</v>
      </c>
      <c r="AF4170">
        <v>-0.336919417670488</v>
      </c>
      <c r="AG4170">
        <v>-1.1095091807089901</v>
      </c>
      <c r="AH4170">
        <v>33.248667387410798</v>
      </c>
      <c r="AI4170">
        <v>91.911154876108796</v>
      </c>
      <c r="AJ4170">
        <v>90.580576651198498</v>
      </c>
      <c r="AK4170">
        <v>33.268880479432298</v>
      </c>
      <c r="AL4170">
        <v>90.567318995550806</v>
      </c>
      <c r="AM4170">
        <v>98.121470778900303</v>
      </c>
      <c r="AN4170">
        <v>1.0000000415993999</v>
      </c>
    </row>
    <row r="4171" spans="1:40" x14ac:dyDescent="0.25">
      <c r="A4171" t="str">
        <f>"20190305135913098"</f>
        <v>20190305135913098</v>
      </c>
      <c r="B4171" t="str">
        <f>"1551765553093281"</f>
        <v>1551765553093281</v>
      </c>
      <c r="C4171" t="s">
        <v>40</v>
      </c>
      <c r="D4171">
        <v>4.2858689999999999</v>
      </c>
      <c r="E4171">
        <v>0.54927130000000002</v>
      </c>
      <c r="F4171" t="s">
        <v>42</v>
      </c>
      <c r="G4171">
        <v>-388.35739999999998</v>
      </c>
      <c r="H4171" s="1">
        <v>-1.240835E-6</v>
      </c>
      <c r="I4171">
        <v>141.6978</v>
      </c>
      <c r="J4171">
        <v>-355.6</v>
      </c>
      <c r="K4171">
        <v>1.109507</v>
      </c>
      <c r="L4171">
        <v>141.91380000000001</v>
      </c>
      <c r="M4171">
        <v>-0.99989320000000004</v>
      </c>
      <c r="N4171">
        <v>-1.4065920000000001E-2</v>
      </c>
      <c r="O4171">
        <v>3.9701650000000003E-3</v>
      </c>
      <c r="P4171">
        <v>-0.99009930000000002</v>
      </c>
      <c r="Q4171">
        <v>-2.3848830000000001E-2</v>
      </c>
      <c r="R4171">
        <v>-0.13832800000000001</v>
      </c>
      <c r="S4171">
        <v>-3.024384</v>
      </c>
      <c r="T4171">
        <v>-0.1012583</v>
      </c>
      <c r="U4171">
        <v>-1.9577029999999999E-2</v>
      </c>
      <c r="V4171">
        <v>-0.14225639999999901</v>
      </c>
      <c r="W4171">
        <v>-9.9581670000000004E-3</v>
      </c>
      <c r="X4171">
        <v>0.98977979999999999</v>
      </c>
      <c r="Y4171">
        <v>-1.0434300000000001E-2</v>
      </c>
      <c r="Z4171">
        <v>-3.2508850000000002E-4</v>
      </c>
      <c r="AA4171">
        <v>0.99994550000000004</v>
      </c>
      <c r="AB4171">
        <v>37</v>
      </c>
      <c r="AC4171">
        <v>-32.757399999999897</v>
      </c>
      <c r="AD4171">
        <v>-1.1095082408349899</v>
      </c>
      <c r="AE4171">
        <v>-0.21600000000000799</v>
      </c>
      <c r="AF4171">
        <v>-0.345666911453684</v>
      </c>
      <c r="AG4171">
        <v>-1.1095082408349899</v>
      </c>
      <c r="AH4171">
        <v>32.718750558167002</v>
      </c>
      <c r="AI4171">
        <v>91.942074347997007</v>
      </c>
      <c r="AJ4171">
        <v>90.605295679120005</v>
      </c>
      <c r="AK4171">
        <v>32.739381977027399</v>
      </c>
      <c r="AL4171">
        <v>90.570570342370104</v>
      </c>
      <c r="AM4171">
        <v>98.178843398115006</v>
      </c>
      <c r="AN4171">
        <v>1.0000000504594899</v>
      </c>
    </row>
    <row r="4172" spans="1:40" x14ac:dyDescent="0.25">
      <c r="A4172" t="str">
        <f>"20190305135913121"</f>
        <v>20190305135913121</v>
      </c>
      <c r="B4172" t="str">
        <f>"1551765553113312"</f>
        <v>1551765553113312</v>
      </c>
      <c r="C4172" t="s">
        <v>40</v>
      </c>
      <c r="D4172">
        <v>4.2510079999999997</v>
      </c>
      <c r="E4172">
        <v>0.54942279999999999</v>
      </c>
      <c r="F4172" t="s">
        <v>42</v>
      </c>
      <c r="G4172">
        <v>-389.22620000000001</v>
      </c>
      <c r="H4172" s="1">
        <v>-8.5982619999999997E-7</v>
      </c>
      <c r="I4172">
        <v>141.66659999999999</v>
      </c>
      <c r="J4172">
        <v>-355.9787</v>
      </c>
      <c r="K4172">
        <v>1.1095090000000001</v>
      </c>
      <c r="L4172">
        <v>141.9152</v>
      </c>
      <c r="M4172">
        <v>-0.99989360000000005</v>
      </c>
      <c r="N4172">
        <v>-1.4063600000000001E-2</v>
      </c>
      <c r="O4172">
        <v>3.889984E-3</v>
      </c>
      <c r="P4172">
        <v>-0.98994479999999996</v>
      </c>
      <c r="Q4172">
        <v>-2.288633E-2</v>
      </c>
      <c r="R4172">
        <v>-0.13959079999999999</v>
      </c>
      <c r="S4172">
        <v>-3.0244749999999998</v>
      </c>
      <c r="T4172">
        <v>-9.9793789999999993E-2</v>
      </c>
      <c r="U4172">
        <v>-2.2232060000000001E-2</v>
      </c>
      <c r="V4172">
        <v>-0.14343939999999999</v>
      </c>
      <c r="W4172">
        <v>-8.9986700000000003E-3</v>
      </c>
      <c r="X4172">
        <v>0.9896182</v>
      </c>
      <c r="Y4172">
        <v>-1.123131E-2</v>
      </c>
      <c r="Z4172">
        <v>-3.3786459999999999E-4</v>
      </c>
      <c r="AA4172">
        <v>0.99993690000000002</v>
      </c>
      <c r="AB4172">
        <v>37</v>
      </c>
      <c r="AC4172">
        <v>-33.247500000000002</v>
      </c>
      <c r="AD4172">
        <v>-1.1095098598262001</v>
      </c>
      <c r="AE4172">
        <v>-0.24860000000001001</v>
      </c>
      <c r="AF4172">
        <v>-0.377522744882406</v>
      </c>
      <c r="AG4172">
        <v>-1.1095098598262001</v>
      </c>
      <c r="AH4172">
        <v>33.209300156883401</v>
      </c>
      <c r="AI4172">
        <v>91.913394524010798</v>
      </c>
      <c r="AJ4172">
        <v>90.651309366547807</v>
      </c>
      <c r="AK4172">
        <v>33.229973705405399</v>
      </c>
      <c r="AL4172">
        <v>90.515592765858997</v>
      </c>
      <c r="AM4172">
        <v>98.247254896577402</v>
      </c>
      <c r="AN4172">
        <v>1.00000000965268</v>
      </c>
    </row>
    <row r="4173" spans="1:40" x14ac:dyDescent="0.25">
      <c r="A4173" t="str">
        <f>"20190305135913141"</f>
        <v>20190305135913141</v>
      </c>
      <c r="B4173" t="str">
        <f>"1551765553132832"</f>
        <v>1551765553132832</v>
      </c>
      <c r="C4173" t="s">
        <v>40</v>
      </c>
      <c r="D4173">
        <v>4.268294</v>
      </c>
      <c r="E4173">
        <v>0.54950049999999995</v>
      </c>
      <c r="F4173" t="s">
        <v>42</v>
      </c>
      <c r="G4173">
        <v>-390.84980000000002</v>
      </c>
      <c r="H4173" s="1">
        <v>-4.3438760000000002E-6</v>
      </c>
      <c r="I4173">
        <v>141.62889999999999</v>
      </c>
      <c r="J4173">
        <v>-356.33980000000003</v>
      </c>
      <c r="K4173">
        <v>1.1095109999999999</v>
      </c>
      <c r="L4173">
        <v>141.91650000000001</v>
      </c>
      <c r="M4173">
        <v>-0.9998939</v>
      </c>
      <c r="N4173">
        <v>-1.406143E-2</v>
      </c>
      <c r="O4173">
        <v>3.8143650000000001E-3</v>
      </c>
      <c r="P4173">
        <v>-0.98985540000000005</v>
      </c>
      <c r="Q4173">
        <v>-2.231669E-2</v>
      </c>
      <c r="R4173">
        <v>-0.14031450000000001</v>
      </c>
      <c r="S4173">
        <v>-3.0247190000000002</v>
      </c>
      <c r="T4173">
        <v>-9.6239450000000004E-2</v>
      </c>
      <c r="U4173">
        <v>-2.4826049999999999E-2</v>
      </c>
      <c r="V4173">
        <v>-0.14408799999999999</v>
      </c>
      <c r="W4173">
        <v>-8.4312989999999997E-3</v>
      </c>
      <c r="X4173">
        <v>0.98952899999999999</v>
      </c>
      <c r="Y4173">
        <v>-1.201263E-2</v>
      </c>
      <c r="Z4173">
        <v>-3.432512E-4</v>
      </c>
      <c r="AA4173">
        <v>0.99992780000000003</v>
      </c>
      <c r="AB4173">
        <v>37</v>
      </c>
      <c r="AC4173">
        <v>-34.509999999999899</v>
      </c>
      <c r="AD4173">
        <v>-1.1095153438759999</v>
      </c>
      <c r="AE4173">
        <v>-0.287600000000026</v>
      </c>
      <c r="AF4173">
        <v>-0.41881177554545901</v>
      </c>
      <c r="AG4173">
        <v>-1.1095153438759999</v>
      </c>
      <c r="AH4173">
        <v>34.473020954280202</v>
      </c>
      <c r="AI4173">
        <v>91.843294318817598</v>
      </c>
      <c r="AJ4173">
        <v>90.696050592573201</v>
      </c>
      <c r="AK4173">
        <v>34.493413883172998</v>
      </c>
      <c r="AL4173">
        <v>90.483083552688399</v>
      </c>
      <c r="AM4173">
        <v>98.284767070913901</v>
      </c>
      <c r="AN4173">
        <v>1.00000004019391</v>
      </c>
    </row>
    <row r="4174" spans="1:40" x14ac:dyDescent="0.25">
      <c r="A4174" t="str">
        <f>"20190305135913164"</f>
        <v>20190305135913164</v>
      </c>
      <c r="B4174" t="str">
        <f>"1551765553153328"</f>
        <v>1551765553153328</v>
      </c>
      <c r="C4174" t="s">
        <v>40</v>
      </c>
      <c r="D4174">
        <v>4.2719870000000002</v>
      </c>
      <c r="E4174">
        <v>0.54957069999999997</v>
      </c>
      <c r="F4174" t="s">
        <v>42</v>
      </c>
      <c r="G4174">
        <v>-391.92340000000002</v>
      </c>
      <c r="H4174" s="1">
        <v>-3.9742510000000003E-6</v>
      </c>
      <c r="I4174">
        <v>141.60480000000001</v>
      </c>
      <c r="J4174">
        <v>-356.70100000000002</v>
      </c>
      <c r="K4174">
        <v>1.1095060000000001</v>
      </c>
      <c r="L4174">
        <v>141.9178</v>
      </c>
      <c r="M4174">
        <v>-0.99989439999999996</v>
      </c>
      <c r="N4174">
        <v>-1.4059260000000001E-2</v>
      </c>
      <c r="O4174">
        <v>3.7380820000000002E-3</v>
      </c>
      <c r="P4174">
        <v>-0.98970290000000005</v>
      </c>
      <c r="Q4174">
        <v>-2.2323800000000001E-2</v>
      </c>
      <c r="R4174">
        <v>-0.14138680000000001</v>
      </c>
      <c r="S4174">
        <v>-3.0248409999999999</v>
      </c>
      <c r="T4174">
        <v>-9.4316360000000002E-2</v>
      </c>
      <c r="U4174">
        <v>-2.6489260000000001E-2</v>
      </c>
      <c r="V4174">
        <v>-0.1450844</v>
      </c>
      <c r="W4174">
        <v>-8.4417469999999994E-3</v>
      </c>
      <c r="X4174">
        <v>0.98938329999999997</v>
      </c>
      <c r="Y4174">
        <v>-1.2485799999999899E-2</v>
      </c>
      <c r="Z4174">
        <v>-3.463901E-4</v>
      </c>
      <c r="AA4174">
        <v>0.99992199999999998</v>
      </c>
      <c r="AB4174">
        <v>37</v>
      </c>
      <c r="AC4174">
        <v>-35.2224</v>
      </c>
      <c r="AD4174">
        <v>-1.109509974251</v>
      </c>
      <c r="AE4174">
        <v>-0.31299999999998801</v>
      </c>
      <c r="AF4174">
        <v>-0.44423425711082598</v>
      </c>
      <c r="AG4174">
        <v>-1.109509974251</v>
      </c>
      <c r="AH4174">
        <v>35.186072830499398</v>
      </c>
      <c r="AI4174">
        <v>91.805945250433098</v>
      </c>
      <c r="AJ4174">
        <v>90.7233372115235</v>
      </c>
      <c r="AK4174">
        <v>35.206364164613198</v>
      </c>
      <c r="AL4174">
        <v>90.483682205074899</v>
      </c>
      <c r="AM4174">
        <v>98.342465759613802</v>
      </c>
      <c r="AN4174">
        <v>1.00000003026733</v>
      </c>
    </row>
    <row r="4175" spans="1:40" x14ac:dyDescent="0.25">
      <c r="A4175" t="str">
        <f>"20190305135913187"</f>
        <v>20190305135913187</v>
      </c>
      <c r="B4175" t="str">
        <f>"1551765553183584"</f>
        <v>1551765553183584</v>
      </c>
      <c r="C4175" t="s">
        <v>40</v>
      </c>
      <c r="D4175">
        <v>4.2774320000000001</v>
      </c>
      <c r="E4175">
        <v>0.54971639999999999</v>
      </c>
      <c r="F4175" t="s">
        <v>42</v>
      </c>
      <c r="G4175">
        <v>-392.34649999999999</v>
      </c>
      <c r="H4175" s="1">
        <v>-3.7863180000000001E-6</v>
      </c>
      <c r="I4175">
        <v>141.57299999999901</v>
      </c>
      <c r="J4175">
        <v>-357.0813</v>
      </c>
      <c r="K4175">
        <v>1.1095060000000001</v>
      </c>
      <c r="L4175">
        <v>141.91919999999999</v>
      </c>
      <c r="M4175">
        <v>-0.99989459999999997</v>
      </c>
      <c r="N4175">
        <v>-1.405694E-2</v>
      </c>
      <c r="O4175">
        <v>3.656E-3</v>
      </c>
      <c r="P4175">
        <v>-0.98951460000000002</v>
      </c>
      <c r="Q4175">
        <v>-2.2342910000000001E-2</v>
      </c>
      <c r="R4175">
        <v>-0.14269509999999999</v>
      </c>
      <c r="S4175">
        <v>-3.0248719999999998</v>
      </c>
      <c r="T4175">
        <v>-9.4152929999999996E-2</v>
      </c>
      <c r="U4175">
        <v>-2.9251099999999901E-2</v>
      </c>
      <c r="V4175">
        <v>-0.14631089999999999</v>
      </c>
      <c r="W4175">
        <v>-8.4652709999999999E-3</v>
      </c>
      <c r="X4175">
        <v>0.98920240000000004</v>
      </c>
      <c r="Y4175">
        <v>-1.331597E-2</v>
      </c>
      <c r="Z4175">
        <v>-3.6319489999999999E-4</v>
      </c>
      <c r="AA4175">
        <v>0.9999112</v>
      </c>
      <c r="AB4175">
        <v>37</v>
      </c>
      <c r="AC4175">
        <v>-35.265199999999901</v>
      </c>
      <c r="AD4175">
        <v>-1.1095097863179999</v>
      </c>
      <c r="AE4175">
        <v>-0.34620000000001</v>
      </c>
      <c r="AF4175">
        <v>-0.47467017851144899</v>
      </c>
      <c r="AG4175">
        <v>-1.1095097863179999</v>
      </c>
      <c r="AH4175">
        <v>35.228830524911203</v>
      </c>
      <c r="AI4175">
        <v>91.803734535982201</v>
      </c>
      <c r="AJ4175">
        <v>90.771951604677497</v>
      </c>
      <c r="AK4175">
        <v>35.249493952356502</v>
      </c>
      <c r="AL4175">
        <v>90.4850301111493</v>
      </c>
      <c r="AM4175">
        <v>98.413501829622504</v>
      </c>
      <c r="AN4175">
        <v>0.99999996421883597</v>
      </c>
    </row>
    <row r="4176" spans="1:40" x14ac:dyDescent="0.25">
      <c r="A4176" t="str">
        <f>"20190305135913209"</f>
        <v>20190305135913209</v>
      </c>
      <c r="B4176" t="str">
        <f>"1551765553203108"</f>
        <v>1551765553203108</v>
      </c>
      <c r="C4176" t="s">
        <v>40</v>
      </c>
      <c r="D4176">
        <v>4.2475059999999996</v>
      </c>
      <c r="E4176">
        <v>0.54981219999999997</v>
      </c>
      <c r="F4176" t="s">
        <v>42</v>
      </c>
      <c r="G4176">
        <v>-392.74810000000002</v>
      </c>
      <c r="H4176" s="1">
        <v>-3.605413E-6</v>
      </c>
      <c r="I4176">
        <v>141.54069999999999</v>
      </c>
      <c r="J4176">
        <v>-357.4667</v>
      </c>
      <c r="K4176">
        <v>1.10951</v>
      </c>
      <c r="L4176">
        <v>141.9205</v>
      </c>
      <c r="M4176">
        <v>-0.99989490000000003</v>
      </c>
      <c r="N4176">
        <v>-1.40546E-2</v>
      </c>
      <c r="O4176">
        <v>3.5630649999999998E-3</v>
      </c>
      <c r="P4176">
        <v>-0.98940839999999997</v>
      </c>
      <c r="Q4176">
        <v>-2.2479590000000001E-2</v>
      </c>
      <c r="R4176">
        <v>-0.1434078</v>
      </c>
      <c r="S4176">
        <v>-3.025055</v>
      </c>
      <c r="T4176">
        <v>-9.4102140000000001E-2</v>
      </c>
      <c r="U4176">
        <v>-3.2089230000000003E-2</v>
      </c>
      <c r="V4176">
        <v>-0.1469309</v>
      </c>
      <c r="W4176">
        <v>-8.6063709999999998E-3</v>
      </c>
      <c r="X4176">
        <v>0.98910929999999997</v>
      </c>
      <c r="Y4176">
        <v>-1.415991E-2</v>
      </c>
      <c r="Z4176">
        <v>-3.8046649999999999E-4</v>
      </c>
      <c r="AA4176">
        <v>0.99989969999999995</v>
      </c>
      <c r="AB4176">
        <v>37</v>
      </c>
      <c r="AC4176">
        <v>-35.281399999999998</v>
      </c>
      <c r="AD4176">
        <v>-1.1095136054129999</v>
      </c>
      <c r="AE4176">
        <v>-0.37980000000001701</v>
      </c>
      <c r="AF4176">
        <v>-0.50502054402788099</v>
      </c>
      <c r="AG4176">
        <v>-1.1095136054129999</v>
      </c>
      <c r="AH4176">
        <v>35.244971192840197</v>
      </c>
      <c r="AI4176">
        <v>91.802893841503504</v>
      </c>
      <c r="AJ4176">
        <v>90.820927488099997</v>
      </c>
      <c r="AK4176">
        <v>35.266046852101503</v>
      </c>
      <c r="AL4176">
        <v>90.493114831121503</v>
      </c>
      <c r="AM4176">
        <v>98.449424724436895</v>
      </c>
      <c r="AN4176">
        <v>0.99999998317154404</v>
      </c>
    </row>
    <row r="4177" spans="1:40" x14ac:dyDescent="0.25">
      <c r="A4177" t="str">
        <f>"20190305135913230"</f>
        <v>20190305135913230</v>
      </c>
      <c r="B4177" t="str">
        <f>"1551765553223135"</f>
        <v>1551765553223135</v>
      </c>
      <c r="C4177" t="s">
        <v>40</v>
      </c>
      <c r="D4177">
        <v>4.2741530000000001</v>
      </c>
      <c r="E4177">
        <v>0.5498999</v>
      </c>
      <c r="F4177" t="s">
        <v>42</v>
      </c>
      <c r="G4177">
        <v>-393.05950000000001</v>
      </c>
      <c r="H4177" s="1">
        <v>-3.467591E-6</v>
      </c>
      <c r="I4177">
        <v>141.5247</v>
      </c>
      <c r="J4177">
        <v>-357.82889999999998</v>
      </c>
      <c r="K4177">
        <v>1.1095189999999999</v>
      </c>
      <c r="L4177">
        <v>141.92169999999999</v>
      </c>
      <c r="M4177">
        <v>-0.99989530000000004</v>
      </c>
      <c r="N4177">
        <v>-1.4052429999999999E-2</v>
      </c>
      <c r="O4177">
        <v>3.4577919999999999E-3</v>
      </c>
      <c r="P4177">
        <v>-0.98938099999999995</v>
      </c>
      <c r="Q4177">
        <v>-2.1898279999999999E-2</v>
      </c>
      <c r="R4177">
        <v>-0.14368649999999999</v>
      </c>
      <c r="S4177">
        <v>-3.0251160000000001</v>
      </c>
      <c r="T4177">
        <v>-9.4300389999999998E-2</v>
      </c>
      <c r="U4177">
        <v>-3.363037E-2</v>
      </c>
      <c r="V4177">
        <v>-0.14710570000000001</v>
      </c>
      <c r="W4177">
        <v>-8.0306070000000004E-3</v>
      </c>
      <c r="X4177">
        <v>0.98908819999999997</v>
      </c>
      <c r="Y4177">
        <v>-1.456345E-2</v>
      </c>
      <c r="Z4177">
        <v>-3.8847179999999999E-4</v>
      </c>
      <c r="AA4177">
        <v>0.99989380000000005</v>
      </c>
      <c r="AB4177">
        <v>37</v>
      </c>
      <c r="AC4177">
        <v>-35.230600000000003</v>
      </c>
      <c r="AD4177">
        <v>-1.109522467591</v>
      </c>
      <c r="AE4177">
        <v>-0.39699999999999103</v>
      </c>
      <c r="AF4177">
        <v>-0.518315730681009</v>
      </c>
      <c r="AG4177">
        <v>-1.109522467591</v>
      </c>
      <c r="AH4177">
        <v>35.194114728939603</v>
      </c>
      <c r="AI4177">
        <v>91.805501318331196</v>
      </c>
      <c r="AJ4177">
        <v>90.843753487478693</v>
      </c>
      <c r="AK4177">
        <v>35.215414279211899</v>
      </c>
      <c r="AL4177">
        <v>90.460124823390203</v>
      </c>
      <c r="AM4177">
        <v>98.459509282479502</v>
      </c>
      <c r="AN4177">
        <v>1.0000000225002501</v>
      </c>
    </row>
    <row r="4178" spans="1:40" x14ac:dyDescent="0.25">
      <c r="A4178" t="str">
        <f>"20190305135913253"</f>
        <v>20190305135913253</v>
      </c>
      <c r="B4178" t="str">
        <f>"1551765553243627"</f>
        <v>1551765553243627</v>
      </c>
      <c r="C4178" t="s">
        <v>40</v>
      </c>
      <c r="D4178">
        <v>4.2484769999999896</v>
      </c>
      <c r="E4178">
        <v>0.54996259999999997</v>
      </c>
      <c r="F4178" t="s">
        <v>42</v>
      </c>
      <c r="G4178">
        <v>-394.30399999999997</v>
      </c>
      <c r="H4178" s="1">
        <v>-2.9309339999999998E-6</v>
      </c>
      <c r="I4178">
        <v>141.51429999999999</v>
      </c>
      <c r="J4178">
        <v>-358.19110000000001</v>
      </c>
      <c r="K4178">
        <v>1.1095379999999999</v>
      </c>
      <c r="L4178">
        <v>141.9228</v>
      </c>
      <c r="M4178">
        <v>-0.9998958</v>
      </c>
      <c r="N4178">
        <v>-1.4050299999999899E-2</v>
      </c>
      <c r="O4178">
        <v>3.325363E-3</v>
      </c>
      <c r="P4178">
        <v>-0.98936460000000004</v>
      </c>
      <c r="Q4178">
        <v>-2.241139E-2</v>
      </c>
      <c r="R4178">
        <v>-0.14372070000000001</v>
      </c>
      <c r="S4178">
        <v>-3.0252690000000002</v>
      </c>
      <c r="T4178">
        <v>-9.2024560000000005E-2</v>
      </c>
      <c r="U4178">
        <v>-3.3782960000000001E-2</v>
      </c>
      <c r="V4178">
        <v>-0.1470079</v>
      </c>
      <c r="W4178">
        <v>-8.5520370000000002E-3</v>
      </c>
      <c r="X4178">
        <v>0.98909840000000004</v>
      </c>
      <c r="Y4178">
        <v>-1.448142E-2</v>
      </c>
      <c r="Z4178">
        <v>-3.7638100000000001E-4</v>
      </c>
      <c r="AA4178">
        <v>0.99989510000000004</v>
      </c>
      <c r="AB4178">
        <v>37</v>
      </c>
      <c r="AC4178">
        <v>-36.112900000000003</v>
      </c>
      <c r="AD4178">
        <v>-1.1095409309340001</v>
      </c>
      <c r="AE4178">
        <v>-0.40850000000000303</v>
      </c>
      <c r="AF4178">
        <v>-0.52809964205374504</v>
      </c>
      <c r="AG4178">
        <v>-1.1095409309340001</v>
      </c>
      <c r="AH4178">
        <v>36.077289931288099</v>
      </c>
      <c r="AI4178">
        <v>91.761362277770999</v>
      </c>
      <c r="AJ4178">
        <v>90.838636157428098</v>
      </c>
      <c r="AK4178">
        <v>36.098210746456303</v>
      </c>
      <c r="AL4178">
        <v>90.490001573668707</v>
      </c>
      <c r="AM4178">
        <v>98.453880541823494</v>
      </c>
      <c r="AN4178">
        <v>1.0000000524409001</v>
      </c>
    </row>
    <row r="4179" spans="1:40" x14ac:dyDescent="0.25">
      <c r="A4179" t="str">
        <f>"20190305135913276"</f>
        <v>20190305135913276</v>
      </c>
      <c r="B4179" t="str">
        <f>"1551765553272908"</f>
        <v>1551765553272908</v>
      </c>
      <c r="C4179" t="s">
        <v>40</v>
      </c>
      <c r="D4179">
        <v>4.2229029999999996</v>
      </c>
      <c r="E4179">
        <v>0.55007669999999997</v>
      </c>
      <c r="F4179" t="s">
        <v>42</v>
      </c>
      <c r="G4179">
        <v>-394.24860000000001</v>
      </c>
      <c r="H4179" s="1">
        <v>-2.9573559999999999E-6</v>
      </c>
      <c r="I4179">
        <v>141.52430000000001</v>
      </c>
      <c r="J4179">
        <v>-358.56709999999998</v>
      </c>
      <c r="K4179">
        <v>1.109569</v>
      </c>
      <c r="L4179">
        <v>141.9239</v>
      </c>
      <c r="M4179">
        <v>-0.99989629999999996</v>
      </c>
      <c r="N4179">
        <v>-1.4048150000000001E-2</v>
      </c>
      <c r="O4179">
        <v>3.1518800000000001E-3</v>
      </c>
      <c r="P4179">
        <v>-0.98926000000000003</v>
      </c>
      <c r="Q4179">
        <v>-2.291193E-2</v>
      </c>
      <c r="R4179">
        <v>-0.14435999999999999</v>
      </c>
      <c r="S4179">
        <v>-3.0253299999999999</v>
      </c>
      <c r="T4179">
        <v>-9.3093990000000001E-2</v>
      </c>
      <c r="U4179">
        <v>-3.3432009999999998E-2</v>
      </c>
      <c r="V4179">
        <v>-0.14747449999999901</v>
      </c>
      <c r="W4179">
        <v>-9.0656720000000003E-3</v>
      </c>
      <c r="X4179">
        <v>0.98902429999999997</v>
      </c>
      <c r="Y4179">
        <v>-1.419174E-2</v>
      </c>
      <c r="Z4179">
        <v>-3.7070810000000001E-4</v>
      </c>
      <c r="AA4179">
        <v>0.99989919999999999</v>
      </c>
      <c r="AB4179">
        <v>37</v>
      </c>
      <c r="AC4179">
        <v>-35.6815</v>
      </c>
      <c r="AD4179">
        <v>-1.1095719573559999</v>
      </c>
      <c r="AE4179">
        <v>-0.39959999999999202</v>
      </c>
      <c r="AF4179">
        <v>-0.51157829365401297</v>
      </c>
      <c r="AG4179">
        <v>-1.1095719573559999</v>
      </c>
      <c r="AH4179">
        <v>35.645598279562499</v>
      </c>
      <c r="AI4179">
        <v>91.782737059368699</v>
      </c>
      <c r="AJ4179">
        <v>90.822240790630701</v>
      </c>
      <c r="AK4179">
        <v>35.666532477758999</v>
      </c>
      <c r="AL4179">
        <v>90.519431864307194</v>
      </c>
      <c r="AM4179">
        <v>98.480949548231294</v>
      </c>
      <c r="AN4179">
        <v>0.99999999027477504</v>
      </c>
    </row>
    <row r="4180" spans="1:40" x14ac:dyDescent="0.25">
      <c r="A4180" t="str">
        <f>"20190305135913300"</f>
        <v>20190305135913300</v>
      </c>
      <c r="B4180" t="str">
        <f>"1551765553293403"</f>
        <v>1551765553293403</v>
      </c>
      <c r="C4180" t="s">
        <v>40</v>
      </c>
      <c r="D4180">
        <v>4.233746</v>
      </c>
      <c r="E4180">
        <v>0.55016609999999999</v>
      </c>
      <c r="F4180" t="s">
        <v>42</v>
      </c>
      <c r="G4180">
        <v>-394.38299999999998</v>
      </c>
      <c r="H4180" s="1">
        <v>-2.8975549999999998E-6</v>
      </c>
      <c r="I4180">
        <v>141.5163</v>
      </c>
      <c r="J4180">
        <v>-358.9511</v>
      </c>
      <c r="K4180">
        <v>1.109602</v>
      </c>
      <c r="L4180">
        <v>141.92490000000001</v>
      </c>
      <c r="M4180">
        <v>-0.99989700000000004</v>
      </c>
      <c r="N4180">
        <v>-1.4045780000000001E-2</v>
      </c>
      <c r="O4180">
        <v>2.9330519999999998E-3</v>
      </c>
      <c r="P4180">
        <v>-0.98910399999999998</v>
      </c>
      <c r="Q4180">
        <v>-2.2801289999999998E-2</v>
      </c>
      <c r="R4180">
        <v>-0.1454416</v>
      </c>
      <c r="S4180">
        <v>-3.02536</v>
      </c>
      <c r="T4180">
        <v>-9.3725199999999995E-2</v>
      </c>
      <c r="U4180">
        <v>-3.4423830000000002E-2</v>
      </c>
      <c r="V4180">
        <v>-0.1483391</v>
      </c>
      <c r="W4180">
        <v>-8.9714689999999993E-3</v>
      </c>
      <c r="X4180">
        <v>0.98889579999999999</v>
      </c>
      <c r="Y4180">
        <v>-1.43004E-2</v>
      </c>
      <c r="Z4180">
        <v>-3.7157409999999998E-4</v>
      </c>
      <c r="AA4180">
        <v>0.9998977</v>
      </c>
      <c r="AB4180">
        <v>37</v>
      </c>
      <c r="AC4180">
        <v>-35.431899999999999</v>
      </c>
      <c r="AD4180">
        <v>-1.1096048975549999</v>
      </c>
      <c r="AE4180">
        <v>-0.40860000000000601</v>
      </c>
      <c r="AF4180">
        <v>-0.51203001078430999</v>
      </c>
      <c r="AG4180">
        <v>-1.1096048975549999</v>
      </c>
      <c r="AH4180">
        <v>35.395839982232701</v>
      </c>
      <c r="AI4180">
        <v>91.795358428869505</v>
      </c>
      <c r="AJ4180">
        <v>90.828772887102403</v>
      </c>
      <c r="AK4180">
        <v>35.416929367301798</v>
      </c>
      <c r="AL4180">
        <v>90.514034236496997</v>
      </c>
      <c r="AM4180">
        <v>98.531033631439399</v>
      </c>
      <c r="AN4180">
        <v>0.99999993955123201</v>
      </c>
    </row>
    <row r="4181" spans="1:40" x14ac:dyDescent="0.25">
      <c r="A4181" t="str">
        <f>"20190305135913321"</f>
        <v>20190305135913321</v>
      </c>
      <c r="B4181" t="str">
        <f>"1551765553312927"</f>
        <v>1551765553312927</v>
      </c>
      <c r="C4181" t="s">
        <v>40</v>
      </c>
      <c r="D4181">
        <v>4.2854380000000001</v>
      </c>
      <c r="E4181">
        <v>0.55031470000000005</v>
      </c>
      <c r="F4181" t="s">
        <v>42</v>
      </c>
      <c r="G4181">
        <v>-395.15499999999997</v>
      </c>
      <c r="H4181" s="1">
        <v>-2.5566409999999999E-6</v>
      </c>
      <c r="I4181">
        <v>141.47970000000001</v>
      </c>
      <c r="J4181">
        <v>-359.3186</v>
      </c>
      <c r="K4181">
        <v>1.10964</v>
      </c>
      <c r="L4181">
        <v>141.92570000000001</v>
      </c>
      <c r="M4181">
        <v>-0.99989799999999995</v>
      </c>
      <c r="N4181">
        <v>-1.4043720000000001E-2</v>
      </c>
      <c r="O4181">
        <v>2.6838439999999999E-3</v>
      </c>
      <c r="P4181">
        <v>-0.98897239999999997</v>
      </c>
      <c r="Q4181">
        <v>-2.1990160000000002E-2</v>
      </c>
      <c r="R4181">
        <v>-0.14645929999999999</v>
      </c>
      <c r="S4181">
        <v>-3.025452</v>
      </c>
      <c r="T4181">
        <v>-9.2726589999999998E-2</v>
      </c>
      <c r="U4181">
        <v>-3.720093E-2</v>
      </c>
      <c r="V4181">
        <v>-0.14910960000000001</v>
      </c>
      <c r="W4181">
        <v>-8.1757489999999995E-3</v>
      </c>
      <c r="X4181">
        <v>0.98878690000000002</v>
      </c>
      <c r="Y4181">
        <v>-1.496831E-2</v>
      </c>
      <c r="Z4181">
        <v>-3.7901649999999999E-4</v>
      </c>
      <c r="AA4181">
        <v>0.99988790000000005</v>
      </c>
      <c r="AB4181">
        <v>37</v>
      </c>
      <c r="AC4181">
        <v>-35.836399999999898</v>
      </c>
      <c r="AD4181">
        <v>-1.109642556641</v>
      </c>
      <c r="AE4181">
        <v>-0.44599999999999801</v>
      </c>
      <c r="AF4181">
        <v>-0.54166790719991098</v>
      </c>
      <c r="AG4181">
        <v>-1.109642556641</v>
      </c>
      <c r="AH4181">
        <v>35.800754184880503</v>
      </c>
      <c r="AI4181">
        <v>91.775108377404294</v>
      </c>
      <c r="AJ4181">
        <v>90.866822999210996</v>
      </c>
      <c r="AK4181">
        <v>35.822042249590297</v>
      </c>
      <c r="AL4181">
        <v>90.468441119269201</v>
      </c>
      <c r="AM4181">
        <v>98.575618672932293</v>
      </c>
      <c r="AN4181">
        <v>1.0000000246477401</v>
      </c>
    </row>
    <row r="4182" spans="1:40" x14ac:dyDescent="0.25">
      <c r="A4182" t="str">
        <f>"20190305135913335"</f>
        <v>20190305135913335</v>
      </c>
      <c r="B4182" t="str">
        <f>"1551765553333419"</f>
        <v>1551765553333419</v>
      </c>
      <c r="C4182" t="s">
        <v>40</v>
      </c>
      <c r="D4182">
        <v>4.2848819999999996</v>
      </c>
      <c r="E4182">
        <v>0.55044530000000003</v>
      </c>
      <c r="F4182" t="s">
        <v>42</v>
      </c>
      <c r="G4182">
        <v>-396.60980000000001</v>
      </c>
      <c r="H4182" s="1">
        <v>-1.9231019999999999E-6</v>
      </c>
      <c r="I4182">
        <v>141.4442</v>
      </c>
      <c r="J4182">
        <v>-359.5634</v>
      </c>
      <c r="K4182">
        <v>1.1096629999999901</v>
      </c>
      <c r="L4182">
        <v>141.92619999999999</v>
      </c>
      <c r="M4182">
        <v>-0.99989830000000002</v>
      </c>
      <c r="N4182">
        <v>-1.404245E-2</v>
      </c>
      <c r="O4182">
        <v>2.5015480000000001E-3</v>
      </c>
      <c r="P4182">
        <v>-0.98890069999999997</v>
      </c>
      <c r="Q4182">
        <v>-2.1497849999999999E-2</v>
      </c>
      <c r="R4182">
        <v>-0.14701600000000001</v>
      </c>
      <c r="S4182">
        <v>-3.025665</v>
      </c>
      <c r="T4182">
        <v>-9.0032219999999996E-2</v>
      </c>
      <c r="U4182">
        <v>-3.90625E-2</v>
      </c>
      <c r="V4182">
        <v>-0.14948499999999901</v>
      </c>
      <c r="W4182">
        <v>-7.6926090000000004E-3</v>
      </c>
      <c r="X4182">
        <v>0.98873409999999995</v>
      </c>
      <c r="Y4182">
        <v>-1.5400509999999999E-2</v>
      </c>
      <c r="Z4182">
        <v>-3.7653870000000001E-4</v>
      </c>
      <c r="AA4182">
        <v>0.99988129999999997</v>
      </c>
      <c r="AB4182">
        <v>37</v>
      </c>
      <c r="AC4182">
        <v>-37.046399999999998</v>
      </c>
      <c r="AD4182">
        <v>-1.1096649231019999</v>
      </c>
      <c r="AE4182">
        <v>-0.48199999999999898</v>
      </c>
      <c r="AF4182">
        <v>-0.57416591784628701</v>
      </c>
      <c r="AG4182">
        <v>-1.1096649231019999</v>
      </c>
      <c r="AH4182">
        <v>37.011876577561203</v>
      </c>
      <c r="AI4182">
        <v>91.717082215091295</v>
      </c>
      <c r="AJ4182">
        <v>90.888759185000296</v>
      </c>
      <c r="AK4182">
        <v>37.0329587062039</v>
      </c>
      <c r="AL4182">
        <v>90.440758362632096</v>
      </c>
      <c r="AM4182">
        <v>98.597338784643696</v>
      </c>
      <c r="AN4182">
        <v>1.0000000309805099</v>
      </c>
    </row>
    <row r="4183" spans="1:40" x14ac:dyDescent="0.25">
      <c r="A4183" t="str">
        <f>"20190305135913348"</f>
        <v>20190305135913348</v>
      </c>
      <c r="B4183" t="str">
        <f>"1551765553343180"</f>
        <v>1551765553343180</v>
      </c>
      <c r="C4183" t="s">
        <v>40</v>
      </c>
      <c r="D4183">
        <v>4.2207949999999999</v>
      </c>
      <c r="E4183">
        <v>0.55044530000000003</v>
      </c>
      <c r="F4183" t="s">
        <v>42</v>
      </c>
      <c r="G4183">
        <v>-398.05579999999998</v>
      </c>
      <c r="H4183" s="1">
        <v>-1.2959970000000001E-6</v>
      </c>
      <c r="I4183">
        <v>141.4188</v>
      </c>
      <c r="J4183">
        <v>-359.76440000000002</v>
      </c>
      <c r="K4183">
        <v>1.1096809999999999</v>
      </c>
      <c r="L4183">
        <v>141.92660000000001</v>
      </c>
      <c r="M4183">
        <v>-0.99989859999999997</v>
      </c>
      <c r="N4183">
        <v>-1.4041379999999999E-2</v>
      </c>
      <c r="O4183">
        <v>2.341531E-3</v>
      </c>
      <c r="P4183">
        <v>-0.98881640000000004</v>
      </c>
      <c r="Q4183">
        <v>-2.1210070000000001E-2</v>
      </c>
      <c r="R4183">
        <v>-0.14762169999999999</v>
      </c>
      <c r="S4183">
        <v>-3.0258790000000002</v>
      </c>
      <c r="T4183">
        <v>-8.7230440000000006E-2</v>
      </c>
      <c r="U4183">
        <v>-3.988647E-2</v>
      </c>
      <c r="V4183">
        <v>-0.1499327</v>
      </c>
      <c r="W4183">
        <v>-7.4118049999999996E-3</v>
      </c>
      <c r="X4183">
        <v>0.9886684</v>
      </c>
      <c r="Y4183">
        <v>-1.551232E-2</v>
      </c>
      <c r="Z4183">
        <v>-3.671007E-4</v>
      </c>
      <c r="AA4183">
        <v>0.99987959999999998</v>
      </c>
      <c r="AB4183">
        <v>37</v>
      </c>
      <c r="AC4183">
        <v>-38.291399999999904</v>
      </c>
      <c r="AD4183">
        <v>-1.1096822959970001</v>
      </c>
      <c r="AE4183">
        <v>-0.50780000000000303</v>
      </c>
      <c r="AF4183">
        <v>-0.59696668806235198</v>
      </c>
      <c r="AG4183">
        <v>-1.1096822959970001</v>
      </c>
      <c r="AH4183">
        <v>38.257981055903699</v>
      </c>
      <c r="AI4183">
        <v>91.661210474944298</v>
      </c>
      <c r="AJ4183">
        <v>90.893954549439897</v>
      </c>
      <c r="AK4183">
        <v>38.278726186990497</v>
      </c>
      <c r="AL4183">
        <v>90.424669042975594</v>
      </c>
      <c r="AM4183">
        <v>98.623265311118899</v>
      </c>
      <c r="AN4183">
        <v>0.99999997727060297</v>
      </c>
    </row>
    <row r="4184" spans="1:40" x14ac:dyDescent="0.25">
      <c r="A4184" t="str">
        <f>"20190305135913361"</f>
        <v>20190305135913361</v>
      </c>
      <c r="B4184" t="str">
        <f>"1551765553352940"</f>
        <v>1551765553352940</v>
      </c>
      <c r="C4184" t="s">
        <v>40</v>
      </c>
      <c r="D4184">
        <v>4.2574690000000004</v>
      </c>
      <c r="E4184">
        <v>0.55058699999999905</v>
      </c>
      <c r="F4184" t="s">
        <v>42</v>
      </c>
      <c r="G4184">
        <v>-398.55290000000002</v>
      </c>
      <c r="H4184" s="1">
        <v>-1.0753929999999999E-6</v>
      </c>
      <c r="I4184">
        <v>141.3912</v>
      </c>
      <c r="J4184">
        <v>-359.99</v>
      </c>
      <c r="K4184">
        <v>1.1096969999999999</v>
      </c>
      <c r="L4184">
        <v>141.92689999999999</v>
      </c>
      <c r="M4184">
        <v>-0.99989919999999999</v>
      </c>
      <c r="N4184">
        <v>-1.4040159999999999E-2</v>
      </c>
      <c r="O4184">
        <v>2.1568970000000001E-3</v>
      </c>
      <c r="P4184">
        <v>-0.98875539999999995</v>
      </c>
      <c r="Q4184">
        <v>-2.1048799999999999E-2</v>
      </c>
      <c r="R4184">
        <v>-0.14805470000000001</v>
      </c>
      <c r="S4184">
        <v>-3.0258479999999999</v>
      </c>
      <c r="T4184">
        <v>-8.6565020000000006E-2</v>
      </c>
      <c r="U4184">
        <v>-4.1763309999999998E-2</v>
      </c>
      <c r="V4184">
        <v>-0.15018280000000001</v>
      </c>
      <c r="W4184">
        <v>-7.2571950000000001E-3</v>
      </c>
      <c r="X4184">
        <v>0.98863160000000005</v>
      </c>
      <c r="Y4184">
        <v>-1.594779E-2</v>
      </c>
      <c r="Z4184">
        <v>-3.7147370000000001E-4</v>
      </c>
      <c r="AA4184">
        <v>0.99987269999999995</v>
      </c>
      <c r="AB4184">
        <v>37</v>
      </c>
      <c r="AC4184">
        <v>-38.562899999999999</v>
      </c>
      <c r="AD4184">
        <v>-1.1096980753929999</v>
      </c>
      <c r="AE4184">
        <v>-0.53569999999999096</v>
      </c>
      <c r="AF4184">
        <v>-0.61837118879658404</v>
      </c>
      <c r="AG4184">
        <v>-1.1096980753929999</v>
      </c>
      <c r="AH4184">
        <v>38.529755300622597</v>
      </c>
      <c r="AI4184">
        <v>91.649511246645801</v>
      </c>
      <c r="AJ4184">
        <v>90.919471652553298</v>
      </c>
      <c r="AK4184">
        <v>38.550692033626603</v>
      </c>
      <c r="AL4184">
        <v>90.415810298552003</v>
      </c>
      <c r="AM4184">
        <v>98.637749518123201</v>
      </c>
      <c r="AN4184">
        <v>0.99999999040683396</v>
      </c>
    </row>
    <row r="4185" spans="1:40" x14ac:dyDescent="0.25">
      <c r="A4185" t="str">
        <f>"20190305135913376"</f>
        <v>20190305135913376</v>
      </c>
      <c r="B4185" t="str">
        <f>"1551765553373436"</f>
        <v>1551765553373436</v>
      </c>
      <c r="C4185" t="s">
        <v>40</v>
      </c>
      <c r="D4185">
        <v>4.2509569999999997</v>
      </c>
      <c r="E4185">
        <v>0.55070229999999998</v>
      </c>
      <c r="F4185" t="s">
        <v>42</v>
      </c>
      <c r="G4185">
        <v>-398.72489999999999</v>
      </c>
      <c r="H4185" s="1">
        <v>-1.0015160000000001E-6</v>
      </c>
      <c r="I4185">
        <v>141.39089999999999</v>
      </c>
      <c r="J4185">
        <v>-360.22930000000002</v>
      </c>
      <c r="K4185">
        <v>1.1097129999999999</v>
      </c>
      <c r="L4185">
        <v>141.9273</v>
      </c>
      <c r="M4185">
        <v>-0.9998996</v>
      </c>
      <c r="N4185">
        <v>-1.403885E-2</v>
      </c>
      <c r="O4185">
        <v>1.953818E-3</v>
      </c>
      <c r="P4185">
        <v>-0.98855570000000004</v>
      </c>
      <c r="Q4185">
        <v>-2.0626619999999998E-2</v>
      </c>
      <c r="R4185">
        <v>-0.1494402</v>
      </c>
      <c r="S4185">
        <v>-3.02597</v>
      </c>
      <c r="T4185">
        <v>-8.6689589999999997E-2</v>
      </c>
      <c r="U4185">
        <v>-4.1870119999999997E-2</v>
      </c>
      <c r="V4185">
        <v>-0.1513678</v>
      </c>
      <c r="W4185">
        <v>-6.8436729999999998E-3</v>
      </c>
      <c r="X4185">
        <v>0.98845380000000005</v>
      </c>
      <c r="Y4185">
        <v>-1.5779540000000002E-2</v>
      </c>
      <c r="Z4185">
        <v>-3.6531470000000001E-4</v>
      </c>
      <c r="AA4185">
        <v>0.99987539999999997</v>
      </c>
      <c r="AB4185">
        <v>37</v>
      </c>
      <c r="AC4185">
        <v>-38.495599999999897</v>
      </c>
      <c r="AD4185">
        <v>-1.1097140015160001</v>
      </c>
      <c r="AE4185">
        <v>-0.53640000000001398</v>
      </c>
      <c r="AF4185">
        <v>-0.61111204648173201</v>
      </c>
      <c r="AG4185">
        <v>-1.1097140015160001</v>
      </c>
      <c r="AH4185">
        <v>38.462522305468397</v>
      </c>
      <c r="AI4185">
        <v>91.652420954923798</v>
      </c>
      <c r="AJ4185">
        <v>90.910267789086802</v>
      </c>
      <c r="AK4185">
        <v>38.483380116579802</v>
      </c>
      <c r="AL4185">
        <v>90.392116647715497</v>
      </c>
      <c r="AM4185">
        <v>98.706406528508296</v>
      </c>
      <c r="AN4185">
        <v>0.99999998073570495</v>
      </c>
    </row>
    <row r="4186" spans="1:40" x14ac:dyDescent="0.25">
      <c r="A4186" t="str">
        <f>"20190305135913392"</f>
        <v>20190305135913392</v>
      </c>
      <c r="B4186" t="str">
        <f>"1551765553383196"</f>
        <v>1551765553383196</v>
      </c>
      <c r="C4186" t="s">
        <v>40</v>
      </c>
      <c r="D4186">
        <v>4.2283359999999997</v>
      </c>
      <c r="E4186">
        <v>0.55076000000000003</v>
      </c>
      <c r="F4186" t="s">
        <v>42</v>
      </c>
      <c r="G4186">
        <v>-399.32130000000001</v>
      </c>
      <c r="H4186" s="1">
        <v>-7.3308409999999899E-7</v>
      </c>
      <c r="I4186">
        <v>141.34350000000001</v>
      </c>
      <c r="J4186">
        <v>-360.49889999999999</v>
      </c>
      <c r="K4186">
        <v>1.10972</v>
      </c>
      <c r="L4186">
        <v>141.92760000000001</v>
      </c>
      <c r="M4186">
        <v>-0.99990000000000001</v>
      </c>
      <c r="N4186">
        <v>-1.403736E-2</v>
      </c>
      <c r="O4186">
        <v>1.7183470000000001E-3</v>
      </c>
      <c r="P4186">
        <v>-0.98843199999999998</v>
      </c>
      <c r="Q4186">
        <v>-2.0512720000000002E-2</v>
      </c>
      <c r="R4186">
        <v>-0.15027079999999901</v>
      </c>
      <c r="S4186">
        <v>-3.026062</v>
      </c>
      <c r="T4186">
        <v>-8.5901499999999895E-2</v>
      </c>
      <c r="U4186">
        <v>-4.5181270000000003E-2</v>
      </c>
      <c r="V4186">
        <v>-0.15196499999999999</v>
      </c>
      <c r="W4186">
        <v>-6.7365119999999896E-3</v>
      </c>
      <c r="X4186">
        <v>0.98836290000000004</v>
      </c>
      <c r="Y4186">
        <v>-1.6637160000000002E-2</v>
      </c>
      <c r="Z4186">
        <v>-3.7754740000000002E-4</v>
      </c>
      <c r="AA4186">
        <v>0.99986149999999996</v>
      </c>
      <c r="AB4186">
        <v>37</v>
      </c>
      <c r="AC4186">
        <v>-38.822400000000002</v>
      </c>
      <c r="AD4186">
        <v>-1.1097207330840999</v>
      </c>
      <c r="AE4186">
        <v>-0.58410000000000595</v>
      </c>
      <c r="AF4186">
        <v>-0.65028485311985895</v>
      </c>
      <c r="AG4186">
        <v>-1.1097207330840999</v>
      </c>
      <c r="AH4186">
        <v>38.789651953089297</v>
      </c>
      <c r="AI4186">
        <v>91.638479536462199</v>
      </c>
      <c r="AJ4186">
        <v>90.960438824142003</v>
      </c>
      <c r="AK4186">
        <v>38.8109707317073</v>
      </c>
      <c r="AL4186">
        <v>90.385976632548804</v>
      </c>
      <c r="AM4186">
        <v>98.741018442252894</v>
      </c>
      <c r="AN4186">
        <v>0.99999998195766804</v>
      </c>
    </row>
    <row r="4187" spans="1:40" x14ac:dyDescent="0.25">
      <c r="A4187" t="str">
        <f>"20190305135913407"</f>
        <v>20190305135913407</v>
      </c>
      <c r="B4187" t="str">
        <f>"1551765553402717"</f>
        <v>1551765553402717</v>
      </c>
      <c r="C4187" t="s">
        <v>40</v>
      </c>
      <c r="D4187">
        <v>4.2501620000000004</v>
      </c>
      <c r="E4187">
        <v>0.55092549999999996</v>
      </c>
      <c r="F4187" t="s">
        <v>79</v>
      </c>
      <c r="G4187">
        <v>-400.1191</v>
      </c>
      <c r="H4187" s="1">
        <v>-6.1140689999999998E-6</v>
      </c>
      <c r="I4187">
        <v>141.30789999999999</v>
      </c>
      <c r="J4187">
        <v>-360.73450000000003</v>
      </c>
      <c r="K4187">
        <v>1.109731</v>
      </c>
      <c r="L4187">
        <v>141.92779999999999</v>
      </c>
      <c r="M4187">
        <v>-0.99990049999999997</v>
      </c>
      <c r="N4187">
        <v>-1.4036079999999999E-2</v>
      </c>
      <c r="O4187">
        <v>1.5102189999999999E-3</v>
      </c>
      <c r="P4187">
        <v>-0.98829809999999996</v>
      </c>
      <c r="Q4187">
        <v>-2.0550390000000002E-2</v>
      </c>
      <c r="R4187">
        <v>-0.15114439999999901</v>
      </c>
      <c r="S4187">
        <v>-3.0261840000000002</v>
      </c>
      <c r="T4187">
        <v>-8.4760669999999996E-2</v>
      </c>
      <c r="U4187">
        <v>-4.7332760000000001E-2</v>
      </c>
      <c r="V4187">
        <v>-0.15263280000000001</v>
      </c>
      <c r="W4187">
        <v>-6.7799829999999998E-3</v>
      </c>
      <c r="X4187">
        <v>0.98825969999999996</v>
      </c>
      <c r="Y4187">
        <v>-1.7139089999999999E-2</v>
      </c>
      <c r="Z4187">
        <v>-3.8138879999999998E-4</v>
      </c>
      <c r="AA4187">
        <v>0.99985299999999999</v>
      </c>
      <c r="AB4187">
        <v>37</v>
      </c>
      <c r="AC4187">
        <v>-39.384599999999899</v>
      </c>
      <c r="AD4187">
        <v>-1.109737114069</v>
      </c>
      <c r="AE4187">
        <v>-0.61990000000000101</v>
      </c>
      <c r="AF4187">
        <v>-0.67884568626767094</v>
      </c>
      <c r="AG4187">
        <v>-1.109737114069</v>
      </c>
      <c r="AH4187">
        <v>39.352383132420599</v>
      </c>
      <c r="AI4187">
        <v>91.615072595133697</v>
      </c>
      <c r="AJ4187">
        <v>90.988279038411207</v>
      </c>
      <c r="AK4187">
        <v>39.3738797444312</v>
      </c>
      <c r="AL4187">
        <v>90.388467392261106</v>
      </c>
      <c r="AM4187">
        <v>98.779735633763806</v>
      </c>
      <c r="AN4187">
        <v>0.99999998722470496</v>
      </c>
    </row>
    <row r="4188" spans="1:40" x14ac:dyDescent="0.25">
      <c r="A4188" t="str">
        <f>"20190305135913422"</f>
        <v>20190305135913422</v>
      </c>
      <c r="B4188" t="str">
        <f>"1551765553413452"</f>
        <v>1551765553413452</v>
      </c>
      <c r="C4188" t="s">
        <v>40</v>
      </c>
      <c r="D4188">
        <v>4.1989669999999997</v>
      </c>
      <c r="E4188">
        <v>0.55096809999999996</v>
      </c>
      <c r="F4188" t="s">
        <v>79</v>
      </c>
      <c r="G4188">
        <v>-400.93090000000001</v>
      </c>
      <c r="H4188" s="1">
        <v>-6.4621439999999999E-6</v>
      </c>
      <c r="I4188">
        <v>141.27879999999999</v>
      </c>
      <c r="J4188">
        <v>-360.98559999999998</v>
      </c>
      <c r="K4188">
        <v>1.1097410000000001</v>
      </c>
      <c r="L4188">
        <v>141.928</v>
      </c>
      <c r="M4188">
        <v>-0.99990080000000003</v>
      </c>
      <c r="N4188">
        <v>-1.4034720000000001E-2</v>
      </c>
      <c r="O4188">
        <v>1.2875600000000001E-3</v>
      </c>
      <c r="P4188">
        <v>-0.98807199999999995</v>
      </c>
      <c r="Q4188">
        <v>-2.0044550000000001E-2</v>
      </c>
      <c r="R4188">
        <v>-0.1526827</v>
      </c>
      <c r="S4188">
        <v>-3.0262760000000002</v>
      </c>
      <c r="T4188">
        <v>-8.3549020000000002E-2</v>
      </c>
      <c r="U4188">
        <v>-4.8858640000000002E-2</v>
      </c>
      <c r="V4188">
        <v>-0.15395120000000001</v>
      </c>
      <c r="W4188">
        <v>-6.281549E-3</v>
      </c>
      <c r="X4188">
        <v>0.98805849999999995</v>
      </c>
      <c r="Y4188">
        <v>-1.7420089999999999E-2</v>
      </c>
      <c r="Z4188">
        <v>-3.8016580000000002E-4</v>
      </c>
      <c r="AA4188">
        <v>0.99984819999999996</v>
      </c>
      <c r="AB4188">
        <v>37</v>
      </c>
      <c r="AC4188">
        <v>-39.945300000000003</v>
      </c>
      <c r="AD4188">
        <v>-1.109747462144</v>
      </c>
      <c r="AE4188">
        <v>-0.64920000000000699</v>
      </c>
      <c r="AF4188">
        <v>-0.70009628537889401</v>
      </c>
      <c r="AG4188">
        <v>-1.109747462144</v>
      </c>
      <c r="AH4188">
        <v>39.913632845994698</v>
      </c>
      <c r="AI4188">
        <v>91.592380677989397</v>
      </c>
      <c r="AJ4188">
        <v>91.004880954411803</v>
      </c>
      <c r="AK4188">
        <v>39.935194518161502</v>
      </c>
      <c r="AL4188">
        <v>90.359908608135697</v>
      </c>
      <c r="AM4188">
        <v>98.856150365544096</v>
      </c>
      <c r="AN4188">
        <v>1.0000000146307599</v>
      </c>
    </row>
    <row r="4189" spans="1:40" x14ac:dyDescent="0.25">
      <c r="A4189" t="str">
        <f>"20190305135913442"</f>
        <v>20190305135913442</v>
      </c>
      <c r="B4189" t="str">
        <f>"1551765553432972"</f>
        <v>1551765553432972</v>
      </c>
      <c r="C4189" t="s">
        <v>40</v>
      </c>
      <c r="D4189">
        <v>4.4078429999999997</v>
      </c>
      <c r="E4189">
        <v>0.55103539999999995</v>
      </c>
      <c r="F4189" t="s">
        <v>79</v>
      </c>
      <c r="G4189">
        <v>-401.26870000000002</v>
      </c>
      <c r="H4189" s="1">
        <v>-6.5884840000000001E-6</v>
      </c>
      <c r="I4189">
        <v>141.2218</v>
      </c>
      <c r="J4189">
        <v>-361.32979999999998</v>
      </c>
      <c r="K4189">
        <v>1.1097459999999999</v>
      </c>
      <c r="L4189">
        <v>141.9281</v>
      </c>
      <c r="M4189">
        <v>-0.99990109999999999</v>
      </c>
      <c r="N4189">
        <v>-1.403284E-2</v>
      </c>
      <c r="O4189">
        <v>9.8181419999999998E-4</v>
      </c>
      <c r="P4189">
        <v>-0.98775550000000001</v>
      </c>
      <c r="Q4189">
        <v>-2.0321619999999999E-2</v>
      </c>
      <c r="R4189">
        <v>-0.15468080000000001</v>
      </c>
      <c r="S4189">
        <v>-3.0263059999999999</v>
      </c>
      <c r="T4189">
        <v>-8.3370799999999995E-2</v>
      </c>
      <c r="U4189">
        <v>-5.3054810000000001E-2</v>
      </c>
      <c r="V4189">
        <v>-0.15564629999999999</v>
      </c>
      <c r="W4189">
        <v>-6.5679819999999896E-3</v>
      </c>
      <c r="X4189">
        <v>0.98779099999999997</v>
      </c>
      <c r="Y4189">
        <v>-1.849959E-2</v>
      </c>
      <c r="Z4189">
        <v>-3.97871E-4</v>
      </c>
      <c r="AA4189">
        <v>0.99982879999999996</v>
      </c>
      <c r="AB4189">
        <v>37</v>
      </c>
      <c r="AC4189">
        <v>-39.938899999999997</v>
      </c>
      <c r="AD4189">
        <v>-1.1097525884839901</v>
      </c>
      <c r="AE4189">
        <v>-0.70629999999999804</v>
      </c>
      <c r="AF4189">
        <v>-0.74494112680909697</v>
      </c>
      <c r="AG4189">
        <v>-1.1097525884839901</v>
      </c>
      <c r="AH4189">
        <v>39.907385315648199</v>
      </c>
      <c r="AI4189">
        <v>91.592604740118702</v>
      </c>
      <c r="AJ4189">
        <v>91.069401710329998</v>
      </c>
      <c r="AK4189">
        <v>39.929761968006602</v>
      </c>
      <c r="AL4189">
        <v>90.376320360069002</v>
      </c>
      <c r="AM4189">
        <v>98.954476318860301</v>
      </c>
      <c r="AN4189">
        <v>0.99999998438612103</v>
      </c>
    </row>
    <row r="4190" spans="1:40" x14ac:dyDescent="0.25">
      <c r="A4190" t="str">
        <f>"20190305135913460"</f>
        <v>20190305135913460</v>
      </c>
      <c r="B4190" t="str">
        <f>"1551765553453468"</f>
        <v>1551765553453468</v>
      </c>
      <c r="C4190" t="s">
        <v>40</v>
      </c>
      <c r="D4190">
        <v>4.1252630000000003</v>
      </c>
      <c r="E4190">
        <v>0.5134611</v>
      </c>
      <c r="F4190" t="s">
        <v>79</v>
      </c>
      <c r="G4190">
        <v>-401.20659999999998</v>
      </c>
      <c r="H4190" s="1">
        <v>-6.5338339999999997E-6</v>
      </c>
      <c r="I4190">
        <v>141.1558</v>
      </c>
      <c r="J4190">
        <v>-361.60140000000001</v>
      </c>
      <c r="K4190">
        <v>1.10975</v>
      </c>
      <c r="L4190">
        <v>141.9282</v>
      </c>
      <c r="M4190">
        <v>-0.99990129999999999</v>
      </c>
      <c r="N4190">
        <v>-1.403126E-2</v>
      </c>
      <c r="O4190">
        <v>7.4166919999999999E-4</v>
      </c>
      <c r="P4190">
        <v>-0.98757439999999996</v>
      </c>
      <c r="Q4190">
        <v>-2.0428140000000001E-2</v>
      </c>
      <c r="R4190">
        <v>-0.15581889999999901</v>
      </c>
      <c r="S4190">
        <v>-3.0262760000000002</v>
      </c>
      <c r="T4190">
        <v>-8.4219810000000006E-2</v>
      </c>
      <c r="U4190">
        <v>-5.8609010000000003E-2</v>
      </c>
      <c r="V4190">
        <v>-0.15654670000000001</v>
      </c>
      <c r="W4190">
        <v>-6.6804159999999998E-3</v>
      </c>
      <c r="X4190">
        <v>0.98764799999999997</v>
      </c>
      <c r="Y4190">
        <v>-2.0092909999999999E-2</v>
      </c>
      <c r="Z4190">
        <v>-4.3076269999999997E-4</v>
      </c>
      <c r="AA4190">
        <v>0.99979799999999996</v>
      </c>
      <c r="AB4190">
        <v>37</v>
      </c>
      <c r="AC4190">
        <v>-39.605199999999897</v>
      </c>
      <c r="AD4190">
        <v>-1.1097565338339901</v>
      </c>
      <c r="AE4190">
        <v>-0.77240000000000397</v>
      </c>
      <c r="AF4190">
        <v>-0.80114785621774198</v>
      </c>
      <c r="AG4190">
        <v>-1.1097565338339901</v>
      </c>
      <c r="AH4190">
        <v>39.573556935349004</v>
      </c>
      <c r="AI4190">
        <v>91.605988829736106</v>
      </c>
      <c r="AJ4190">
        <v>91.159767408654801</v>
      </c>
      <c r="AK4190">
        <v>39.597219674709699</v>
      </c>
      <c r="AL4190">
        <v>90.382762475979504</v>
      </c>
      <c r="AM4190">
        <v>99.006713142013297</v>
      </c>
      <c r="AN4190">
        <v>1.00000003457141</v>
      </c>
    </row>
    <row r="4191" spans="1:40" x14ac:dyDescent="0.25">
      <c r="A4191" t="str">
        <f>"20190305135913473"</f>
        <v>20190305135913473</v>
      </c>
      <c r="B4191" t="str">
        <f>"1551765553463228"</f>
        <v>1551765553463228</v>
      </c>
      <c r="C4191" t="s">
        <v>40</v>
      </c>
      <c r="D4191">
        <v>4.2038630000000001</v>
      </c>
      <c r="E4191">
        <v>0.5098973</v>
      </c>
      <c r="F4191" t="s">
        <v>42</v>
      </c>
      <c r="G4191">
        <v>-383.48320000000001</v>
      </c>
      <c r="H4191" s="1">
        <v>-2.8285800000000002E-6</v>
      </c>
      <c r="I4191">
        <v>139.33109999999999</v>
      </c>
      <c r="J4191">
        <v>-361.84820000000002</v>
      </c>
      <c r="K4191">
        <v>1.1097520000000001</v>
      </c>
      <c r="L4191">
        <v>141.9281</v>
      </c>
      <c r="M4191">
        <v>-0.9999015</v>
      </c>
      <c r="N4191">
        <v>-1.402981E-2</v>
      </c>
      <c r="O4191">
        <v>5.2437220000000001E-4</v>
      </c>
      <c r="P4191">
        <v>-0.98738859999999995</v>
      </c>
      <c r="Q4191">
        <v>-2.0683920000000001E-2</v>
      </c>
      <c r="R4191">
        <v>-0.15695919999999999</v>
      </c>
      <c r="S4191">
        <v>-2.978882</v>
      </c>
      <c r="T4191">
        <v>-0.15107679999999901</v>
      </c>
      <c r="U4191">
        <v>-0.35354609999999997</v>
      </c>
      <c r="V4191">
        <v>-0.15747230000000001</v>
      </c>
      <c r="W4191">
        <v>-6.9416699999999996E-3</v>
      </c>
      <c r="X4191">
        <v>0.98749900000000002</v>
      </c>
      <c r="Y4191">
        <v>-0.1181857</v>
      </c>
      <c r="Z4191">
        <v>-3.8364010000000001E-3</v>
      </c>
      <c r="AA4191">
        <v>0.99298410000000004</v>
      </c>
      <c r="AB4191">
        <v>37</v>
      </c>
      <c r="AC4191">
        <v>-21.634999999999899</v>
      </c>
      <c r="AD4191">
        <v>-1.1097548285799901</v>
      </c>
      <c r="AE4191">
        <v>-2.597</v>
      </c>
      <c r="AF4191">
        <v>-2.6015976709572501</v>
      </c>
      <c r="AG4191">
        <v>-1.1097548285799901</v>
      </c>
      <c r="AH4191">
        <v>21.577668131415901</v>
      </c>
      <c r="AI4191">
        <v>92.9230365040696</v>
      </c>
      <c r="AJ4191">
        <v>96.874909232056893</v>
      </c>
      <c r="AK4191">
        <v>21.762252369885999</v>
      </c>
      <c r="AL4191">
        <v>90.397731590625597</v>
      </c>
      <c r="AM4191">
        <v>99.060430001775501</v>
      </c>
      <c r="AN4191">
        <v>0.99999999352533897</v>
      </c>
    </row>
    <row r="4192" spans="1:40" x14ac:dyDescent="0.25">
      <c r="A4192" t="str">
        <f>"20190305135913489"</f>
        <v>20190305135913489</v>
      </c>
      <c r="B4192" t="str">
        <f>"1551765553482748"</f>
        <v>1551765553482748</v>
      </c>
      <c r="C4192" t="s">
        <v>40</v>
      </c>
      <c r="D4192">
        <v>4.0987359999999997</v>
      </c>
      <c r="E4192">
        <v>0.5079591</v>
      </c>
      <c r="F4192" t="s">
        <v>42</v>
      </c>
      <c r="G4192">
        <v>-382.52350000000001</v>
      </c>
      <c r="H4192" s="1">
        <v>-3.2536430000000002E-6</v>
      </c>
      <c r="I4192">
        <v>139.25569999999999</v>
      </c>
      <c r="J4192">
        <v>-362.09030000000001</v>
      </c>
      <c r="K4192">
        <v>1.1097440000000001</v>
      </c>
      <c r="L4192">
        <v>141.9281</v>
      </c>
      <c r="M4192">
        <v>-0.9999017</v>
      </c>
      <c r="N4192">
        <v>-1.402841E-2</v>
      </c>
      <c r="O4192">
        <v>3.121523E-4</v>
      </c>
      <c r="P4192">
        <v>-0.9871432</v>
      </c>
      <c r="Q4192">
        <v>-2.0985050000000002E-2</v>
      </c>
      <c r="R4192">
        <v>-0.15845490000000001</v>
      </c>
      <c r="S4192">
        <v>-2.973846</v>
      </c>
      <c r="T4192">
        <v>-0.15962299999999999</v>
      </c>
      <c r="U4192">
        <v>-0.38438420000000001</v>
      </c>
      <c r="V4192">
        <v>-0.15875819999999999</v>
      </c>
      <c r="W4192">
        <v>-7.24908699999999E-3</v>
      </c>
      <c r="X4192">
        <v>0.98729089999999997</v>
      </c>
      <c r="Y4192">
        <v>-0.1282681</v>
      </c>
      <c r="Z4192">
        <v>-4.3423300000000001E-3</v>
      </c>
      <c r="AA4192">
        <v>0.99173</v>
      </c>
      <c r="AB4192">
        <v>37</v>
      </c>
      <c r="AC4192">
        <v>-20.433199999999999</v>
      </c>
      <c r="AD4192">
        <v>-1.109747253643</v>
      </c>
      <c r="AE4192">
        <v>-2.6724000000000099</v>
      </c>
      <c r="AF4192">
        <v>-2.6710325676852902</v>
      </c>
      <c r="AG4192">
        <v>-1.109747253643</v>
      </c>
      <c r="AH4192">
        <v>20.373280650871401</v>
      </c>
      <c r="AI4192">
        <v>93.091457646069202</v>
      </c>
      <c r="AJ4192">
        <v>97.469145285994799</v>
      </c>
      <c r="AK4192">
        <v>20.577573190825401</v>
      </c>
      <c r="AL4192">
        <v>90.415345720571494</v>
      </c>
      <c r="AM4192">
        <v>99.135066974353904</v>
      </c>
      <c r="AN4192">
        <v>1.0000000182761899</v>
      </c>
    </row>
    <row r="4193" spans="1:40" x14ac:dyDescent="0.25">
      <c r="A4193" t="str">
        <f>"20190305135913513"</f>
        <v>20190305135913513</v>
      </c>
      <c r="B4193" t="str">
        <f>"1551765553503244"</f>
        <v>1551765553503244</v>
      </c>
      <c r="C4193" t="s">
        <v>40</v>
      </c>
      <c r="D4193">
        <v>4.1048989999999996</v>
      </c>
      <c r="E4193">
        <v>0.50753149999999903</v>
      </c>
      <c r="F4193" t="s">
        <v>42</v>
      </c>
      <c r="G4193">
        <v>-381.96170000000001</v>
      </c>
      <c r="H4193" s="1">
        <v>-3.4998899999999999E-6</v>
      </c>
      <c r="I4193">
        <v>139.2261</v>
      </c>
      <c r="J4193">
        <v>-362.47430000000003</v>
      </c>
      <c r="K4193">
        <v>1.1097459999999999</v>
      </c>
      <c r="L4193">
        <v>141.92779999999999</v>
      </c>
      <c r="M4193">
        <v>-0.99990179999999995</v>
      </c>
      <c r="N4193">
        <v>-1.4026210000000001E-2</v>
      </c>
      <c r="O4193" s="1">
        <v>-2.380301E-5</v>
      </c>
      <c r="P4193">
        <v>-0.98679220000000001</v>
      </c>
      <c r="Q4193">
        <v>-2.1948019999999999E-2</v>
      </c>
      <c r="R4193">
        <v>-0.1604999</v>
      </c>
      <c r="S4193">
        <v>-2.9707029999999999</v>
      </c>
      <c r="T4193">
        <v>-0.1659032</v>
      </c>
      <c r="U4193">
        <v>-0.40391539999999998</v>
      </c>
      <c r="V4193">
        <v>-0.160469899999999</v>
      </c>
      <c r="W4193">
        <v>-8.2207479999999999E-3</v>
      </c>
      <c r="X4193">
        <v>0.98700650000000001</v>
      </c>
      <c r="Y4193">
        <v>-0.134444799999999</v>
      </c>
      <c r="Z4193">
        <v>-4.6812269999999996E-3</v>
      </c>
      <c r="AA4193">
        <v>0.99090999999999996</v>
      </c>
      <c r="AB4193">
        <v>37</v>
      </c>
      <c r="AC4193">
        <v>-19.487399999999901</v>
      </c>
      <c r="AD4193">
        <v>-1.1097494998899999</v>
      </c>
      <c r="AE4193">
        <v>-2.7016999999999798</v>
      </c>
      <c r="AF4193">
        <v>-2.6926685413104798</v>
      </c>
      <c r="AG4193">
        <v>-1.1097494998899999</v>
      </c>
      <c r="AH4193">
        <v>19.4256556081212</v>
      </c>
      <c r="AI4193">
        <v>93.238741894579306</v>
      </c>
      <c r="AJ4193">
        <v>97.891712289190593</v>
      </c>
      <c r="AK4193">
        <v>19.642762118174701</v>
      </c>
      <c r="AL4193">
        <v>90.471019470117696</v>
      </c>
      <c r="AM4193">
        <v>99.234486710031604</v>
      </c>
      <c r="AN4193">
        <v>1.0000000002729601</v>
      </c>
    </row>
    <row r="4194" spans="1:40" x14ac:dyDescent="0.25">
      <c r="A4194" t="str">
        <f>"20190305135913533"</f>
        <v>20190305135913533</v>
      </c>
      <c r="B4194" t="str">
        <f>"1551765553522764"</f>
        <v>1551765553522764</v>
      </c>
      <c r="C4194" t="s">
        <v>40</v>
      </c>
      <c r="D4194">
        <v>4.0844719999999999</v>
      </c>
      <c r="E4194">
        <v>0.5074322</v>
      </c>
      <c r="F4194" t="s">
        <v>42</v>
      </c>
      <c r="G4194">
        <v>-381.51229999999998</v>
      </c>
      <c r="H4194" s="1">
        <v>-3.6831669999999999E-6</v>
      </c>
      <c r="I4194">
        <v>139.2799</v>
      </c>
      <c r="J4194">
        <v>-362.81169999999997</v>
      </c>
      <c r="K4194">
        <v>1.1097520000000001</v>
      </c>
      <c r="L4194">
        <v>141.92760000000001</v>
      </c>
      <c r="M4194">
        <v>-0.99990179999999995</v>
      </c>
      <c r="N4194">
        <v>-1.402427E-2</v>
      </c>
      <c r="O4194">
        <v>-3.1855099999999998E-4</v>
      </c>
      <c r="P4194">
        <v>-0.98646560000000005</v>
      </c>
      <c r="Q4194">
        <v>-2.2006660000000001E-2</v>
      </c>
      <c r="R4194">
        <v>-0.16248660000000001</v>
      </c>
      <c r="S4194">
        <v>-2.969147</v>
      </c>
      <c r="T4194">
        <v>-0.17307629999999999</v>
      </c>
      <c r="U4194">
        <v>-0.41296389999999999</v>
      </c>
      <c r="V4194">
        <v>-0.16216630000000001</v>
      </c>
      <c r="W4194">
        <v>-8.2871360000000005E-3</v>
      </c>
      <c r="X4194">
        <v>0.98672870000000001</v>
      </c>
      <c r="Y4194">
        <v>-0.13715939999999999</v>
      </c>
      <c r="Z4194">
        <v>-4.9285559999999997E-3</v>
      </c>
      <c r="AA4194">
        <v>0.99053670000000005</v>
      </c>
      <c r="AB4194">
        <v>37</v>
      </c>
      <c r="AC4194">
        <v>-18.700600000000001</v>
      </c>
      <c r="AD4194">
        <v>-1.1097556831669999</v>
      </c>
      <c r="AE4194">
        <v>-2.6477000000000102</v>
      </c>
      <c r="AF4194">
        <v>-2.6326531550144199</v>
      </c>
      <c r="AG4194">
        <v>-1.1097556831669999</v>
      </c>
      <c r="AH4194">
        <v>18.637099419454898</v>
      </c>
      <c r="AI4194">
        <v>93.374262761183004</v>
      </c>
      <c r="AJ4194">
        <v>98.040332157171093</v>
      </c>
      <c r="AK4194">
        <v>18.854810926699201</v>
      </c>
      <c r="AL4194">
        <v>90.4748233252338</v>
      </c>
      <c r="AM4194">
        <v>99.332981262210893</v>
      </c>
      <c r="AN4194">
        <v>1.0000000564412199</v>
      </c>
    </row>
    <row r="4195" spans="1:40" x14ac:dyDescent="0.25">
      <c r="A4195" t="str">
        <f>"20190305135913551"</f>
        <v>20190305135913551</v>
      </c>
      <c r="B4195" t="str">
        <f>"1551765553543260"</f>
        <v>1551765553543260</v>
      </c>
      <c r="C4195" t="s">
        <v>40</v>
      </c>
      <c r="D4195">
        <v>4.0928649999999998</v>
      </c>
      <c r="E4195">
        <v>0.50757099999999999</v>
      </c>
      <c r="F4195" t="s">
        <v>42</v>
      </c>
      <c r="G4195">
        <v>-381.50420000000003</v>
      </c>
      <c r="H4195" s="1">
        <v>-3.6854549999999999E-6</v>
      </c>
      <c r="I4195">
        <v>139.28649999999999</v>
      </c>
      <c r="J4195">
        <v>-363.096</v>
      </c>
      <c r="K4195">
        <v>1.1097539999999999</v>
      </c>
      <c r="L4195">
        <v>141.9272</v>
      </c>
      <c r="M4195">
        <v>-0.99990159999999995</v>
      </c>
      <c r="N4195">
        <v>-1.402261E-2</v>
      </c>
      <c r="O4195">
        <v>-5.6638089999999999E-4</v>
      </c>
      <c r="P4195">
        <v>-0.98627569999999998</v>
      </c>
      <c r="Q4195">
        <v>-2.2027479999999999E-2</v>
      </c>
      <c r="R4195">
        <v>-0.16363150000000001</v>
      </c>
      <c r="S4195">
        <v>-2.96814</v>
      </c>
      <c r="T4195">
        <v>-0.1762164</v>
      </c>
      <c r="U4195">
        <v>-0.41935729999999999</v>
      </c>
      <c r="V4195">
        <v>-0.1630672</v>
      </c>
      <c r="W4195">
        <v>-8.3127369999999902E-3</v>
      </c>
      <c r="X4195">
        <v>0.98658000000000001</v>
      </c>
      <c r="Y4195">
        <v>-0.13903879999999999</v>
      </c>
      <c r="Z4195">
        <v>-5.0585860000000003E-3</v>
      </c>
      <c r="AA4195">
        <v>0.99027399999999999</v>
      </c>
      <c r="AB4195">
        <v>37</v>
      </c>
      <c r="AC4195">
        <v>-18.408200000000001</v>
      </c>
      <c r="AD4195">
        <v>-1.109757685455</v>
      </c>
      <c r="AE4195">
        <v>-2.6406999999999998</v>
      </c>
      <c r="AF4195">
        <v>-2.6209390075896501</v>
      </c>
      <c r="AG4195">
        <v>-1.109757685455</v>
      </c>
      <c r="AH4195">
        <v>18.344366253755201</v>
      </c>
      <c r="AI4195">
        <v>93.427217566809404</v>
      </c>
      <c r="AJ4195">
        <v>98.131067315158205</v>
      </c>
      <c r="AK4195">
        <v>18.563853496885901</v>
      </c>
      <c r="AL4195">
        <v>90.476290205684094</v>
      </c>
      <c r="AM4195">
        <v>99.385299238486198</v>
      </c>
      <c r="AN4195">
        <v>1.0000000548561301</v>
      </c>
    </row>
    <row r="4196" spans="1:40" x14ac:dyDescent="0.25">
      <c r="A4196" t="str">
        <f>"20190305135913566"</f>
        <v>20190305135913566</v>
      </c>
      <c r="B4196" t="str">
        <f>"1551765553562780"</f>
        <v>1551765553562780</v>
      </c>
      <c r="C4196" t="s">
        <v>40</v>
      </c>
      <c r="D4196">
        <v>4.1043099999999999</v>
      </c>
      <c r="E4196">
        <v>0.50776719999999997</v>
      </c>
      <c r="F4196" t="s">
        <v>42</v>
      </c>
      <c r="G4196">
        <v>-381.61149999999998</v>
      </c>
      <c r="H4196" s="1">
        <v>-3.637605E-6</v>
      </c>
      <c r="I4196">
        <v>139.29679999999999</v>
      </c>
      <c r="J4196">
        <v>-363.36180000000002</v>
      </c>
      <c r="K4196">
        <v>1.1097589999999999</v>
      </c>
      <c r="L4196">
        <v>141.92679999999999</v>
      </c>
      <c r="M4196">
        <v>-0.99990140000000005</v>
      </c>
      <c r="N4196">
        <v>-1.402105E-2</v>
      </c>
      <c r="O4196">
        <v>-7.9822970000000004E-4</v>
      </c>
      <c r="P4196">
        <v>-0.98600310000000002</v>
      </c>
      <c r="Q4196">
        <v>-2.2080289999999999E-2</v>
      </c>
      <c r="R4196">
        <v>-0.16525860000000001</v>
      </c>
      <c r="S4196">
        <v>-2.9678650000000002</v>
      </c>
      <c r="T4196">
        <v>-0.1778845</v>
      </c>
      <c r="U4196">
        <v>-0.42161559999999998</v>
      </c>
      <c r="V4196">
        <v>-0.1644651</v>
      </c>
      <c r="W4196">
        <v>-8.3715790000000005E-3</v>
      </c>
      <c r="X4196">
        <v>0.98634739999999999</v>
      </c>
      <c r="Y4196">
        <v>-0.1395546</v>
      </c>
      <c r="Z4196">
        <v>-5.1055839999999998E-3</v>
      </c>
      <c r="AA4196">
        <v>0.9902012</v>
      </c>
      <c r="AB4196">
        <v>37</v>
      </c>
      <c r="AC4196">
        <v>-18.249699999999901</v>
      </c>
      <c r="AD4196">
        <v>-1.109762637605</v>
      </c>
      <c r="AE4196">
        <v>-2.6299999999999901</v>
      </c>
      <c r="AF4196">
        <v>-2.6059897928289999</v>
      </c>
      <c r="AG4196">
        <v>-1.109762637605</v>
      </c>
      <c r="AH4196">
        <v>18.185913263719701</v>
      </c>
      <c r="AI4196">
        <v>93.456817573848795</v>
      </c>
      <c r="AJ4196">
        <v>98.154807949917199</v>
      </c>
      <c r="AK4196">
        <v>18.405167675076701</v>
      </c>
      <c r="AL4196">
        <v>90.479661736369394</v>
      </c>
      <c r="AM4196">
        <v>99.466497018182906</v>
      </c>
      <c r="AN4196">
        <v>1.00000002296986</v>
      </c>
    </row>
    <row r="4197" spans="1:40" x14ac:dyDescent="0.25">
      <c r="A4197" t="str">
        <f>"20190305135913581"</f>
        <v>20190305135913581</v>
      </c>
      <c r="B4197" t="str">
        <f>"1551765553573516"</f>
        <v>1551765553573516</v>
      </c>
      <c r="C4197" t="s">
        <v>40</v>
      </c>
      <c r="D4197">
        <v>4.0841779999999996</v>
      </c>
      <c r="E4197">
        <v>0.50788789999999995</v>
      </c>
      <c r="F4197" t="s">
        <v>42</v>
      </c>
      <c r="G4197">
        <v>-381.86380000000003</v>
      </c>
      <c r="H4197" s="1">
        <v>-3.5328840000000001E-6</v>
      </c>
      <c r="I4197">
        <v>139.27699999999999</v>
      </c>
      <c r="J4197">
        <v>-363.59390000000002</v>
      </c>
      <c r="K4197">
        <v>1.1097600000000001</v>
      </c>
      <c r="L4197">
        <v>141.9265</v>
      </c>
      <c r="M4197">
        <v>-0.99990140000000005</v>
      </c>
      <c r="N4197">
        <v>-1.401969E-2</v>
      </c>
      <c r="O4197">
        <v>-1.0011079999999999E-3</v>
      </c>
      <c r="P4197">
        <v>-0.98582289999999995</v>
      </c>
      <c r="Q4197">
        <v>-2.1854229999999999E-2</v>
      </c>
      <c r="R4197">
        <v>-0.1663606</v>
      </c>
      <c r="S4197">
        <v>-2.9673769999999999</v>
      </c>
      <c r="T4197">
        <v>-0.17798539999999999</v>
      </c>
      <c r="U4197">
        <v>-0.42497249999999998</v>
      </c>
      <c r="V4197">
        <v>-0.1653674</v>
      </c>
      <c r="W4197">
        <v>-8.1496659999999999E-3</v>
      </c>
      <c r="X4197">
        <v>0.98619840000000003</v>
      </c>
      <c r="Y4197">
        <v>-0.14047200000000001</v>
      </c>
      <c r="Z4197">
        <v>-5.1327930000000001E-3</v>
      </c>
      <c r="AA4197">
        <v>0.99007140000000005</v>
      </c>
      <c r="AB4197">
        <v>37</v>
      </c>
      <c r="AC4197">
        <v>-18.2699</v>
      </c>
      <c r="AD4197">
        <v>-1.1097635328839901</v>
      </c>
      <c r="AE4197">
        <v>-2.6494999999999802</v>
      </c>
      <c r="AF4197">
        <v>-2.6217326311644098</v>
      </c>
      <c r="AG4197">
        <v>-1.1097635328839901</v>
      </c>
      <c r="AH4197">
        <v>18.206750165446799</v>
      </c>
      <c r="AI4197">
        <v>93.452534074887694</v>
      </c>
      <c r="AJ4197">
        <v>98.194141886115702</v>
      </c>
      <c r="AK4197">
        <v>18.427989816451198</v>
      </c>
      <c r="AL4197">
        <v>90.466946616950295</v>
      </c>
      <c r="AM4197">
        <v>99.518896818778799</v>
      </c>
      <c r="AN4197">
        <v>1.0000000391006101</v>
      </c>
    </row>
    <row r="4198" spans="1:40" x14ac:dyDescent="0.25">
      <c r="A4198" t="str">
        <f>"20190305135913594"</f>
        <v>20190305135913594</v>
      </c>
      <c r="B4198" t="str">
        <f>"1551765553583276"</f>
        <v>1551765553583276</v>
      </c>
      <c r="C4198" t="s">
        <v>40</v>
      </c>
      <c r="D4198">
        <v>4.1807349999999897</v>
      </c>
      <c r="E4198">
        <v>0.50805639999999996</v>
      </c>
      <c r="F4198" t="s">
        <v>42</v>
      </c>
      <c r="G4198">
        <v>-382.13310000000001</v>
      </c>
      <c r="H4198" s="1">
        <v>-3.4209710000000002E-6</v>
      </c>
      <c r="I4198">
        <v>139.25659999999999</v>
      </c>
      <c r="J4198">
        <v>-363.82010000000002</v>
      </c>
      <c r="K4198">
        <v>1.109761</v>
      </c>
      <c r="L4198">
        <v>141.92599999999999</v>
      </c>
      <c r="M4198">
        <v>-0.99990109999999999</v>
      </c>
      <c r="N4198">
        <v>-1.4018360000000001E-2</v>
      </c>
      <c r="O4198">
        <v>-1.1986200000000001E-3</v>
      </c>
      <c r="P4198">
        <v>-0.98565380000000002</v>
      </c>
      <c r="Q4198">
        <v>-2.1904139999999999E-2</v>
      </c>
      <c r="R4198">
        <v>-0.167353</v>
      </c>
      <c r="S4198">
        <v>-2.9671020000000001</v>
      </c>
      <c r="T4198">
        <v>-0.177612299999999</v>
      </c>
      <c r="U4198">
        <v>-0.42727660000000001</v>
      </c>
      <c r="V4198">
        <v>-0.16616529999999999</v>
      </c>
      <c r="W4198">
        <v>-8.2034180000000005E-3</v>
      </c>
      <c r="X4198">
        <v>0.98606380000000005</v>
      </c>
      <c r="Y4198">
        <v>-0.14104269999999999</v>
      </c>
      <c r="Z4198">
        <v>-5.1362630000000003E-3</v>
      </c>
      <c r="AA4198">
        <v>0.98999020000000004</v>
      </c>
      <c r="AB4198">
        <v>37</v>
      </c>
      <c r="AC4198">
        <v>-18.312999999999899</v>
      </c>
      <c r="AD4198">
        <v>-1.109764420971</v>
      </c>
      <c r="AE4198">
        <v>-2.66940000000002</v>
      </c>
      <c r="AF4198">
        <v>-2.63795967253365</v>
      </c>
      <c r="AG4198">
        <v>-1.109764420971</v>
      </c>
      <c r="AH4198">
        <v>18.250558966126398</v>
      </c>
      <c r="AI4198">
        <v>93.444005406753405</v>
      </c>
      <c r="AJ4198">
        <v>98.224645644321797</v>
      </c>
      <c r="AK4198">
        <v>18.473584137357399</v>
      </c>
      <c r="AL4198">
        <v>90.470026496048803</v>
      </c>
      <c r="AM4198">
        <v>99.565260580981899</v>
      </c>
      <c r="AN4198">
        <v>1.0000000103307001</v>
      </c>
    </row>
    <row r="4199" spans="1:40" x14ac:dyDescent="0.25">
      <c r="A4199" t="str">
        <f>"20190305135913609"</f>
        <v>20190305135913609</v>
      </c>
      <c r="B4199" t="str">
        <f>"1551765553602796"</f>
        <v>1551765553602796</v>
      </c>
      <c r="C4199" t="s">
        <v>40</v>
      </c>
      <c r="D4199">
        <v>4.0875909999999998</v>
      </c>
      <c r="E4199">
        <v>0.50829040000000003</v>
      </c>
      <c r="F4199" t="s">
        <v>42</v>
      </c>
      <c r="G4199">
        <v>-382.23239999999998</v>
      </c>
      <c r="H4199" s="1">
        <v>-3.377E-6</v>
      </c>
      <c r="I4199">
        <v>139.26429999999999</v>
      </c>
      <c r="J4199">
        <v>-364.05880000000002</v>
      </c>
      <c r="K4199">
        <v>1.109761</v>
      </c>
      <c r="L4199">
        <v>141.9255</v>
      </c>
      <c r="M4199">
        <v>-0.99990089999999998</v>
      </c>
      <c r="N4199">
        <v>-1.401694E-2</v>
      </c>
      <c r="O4199">
        <v>-1.4074529999999999E-3</v>
      </c>
      <c r="P4199">
        <v>-0.98547859999999998</v>
      </c>
      <c r="Q4199">
        <v>-2.2041129999999999E-2</v>
      </c>
      <c r="R4199">
        <v>-0.16836370000000001</v>
      </c>
      <c r="S4199">
        <v>-2.9668580000000002</v>
      </c>
      <c r="T4199">
        <v>-0.1788217</v>
      </c>
      <c r="U4199">
        <v>-0.4288788</v>
      </c>
      <c r="V4199">
        <v>-0.16697049999999999</v>
      </c>
      <c r="W4199">
        <v>-8.3443079999999999E-3</v>
      </c>
      <c r="X4199">
        <v>0.98592659999999999</v>
      </c>
      <c r="Y4199">
        <v>-0.14136689999999999</v>
      </c>
      <c r="Z4199">
        <v>-5.1668240000000004E-3</v>
      </c>
      <c r="AA4199">
        <v>0.98994380000000004</v>
      </c>
      <c r="AB4199">
        <v>37</v>
      </c>
      <c r="AC4199">
        <v>-18.173599999999901</v>
      </c>
      <c r="AD4199">
        <v>-1.1097643770000001</v>
      </c>
      <c r="AE4199">
        <v>-2.6612</v>
      </c>
      <c r="AF4199">
        <v>-2.6260297486580502</v>
      </c>
      <c r="AG4199">
        <v>-1.1097643770000001</v>
      </c>
      <c r="AH4199">
        <v>18.1112108620929</v>
      </c>
      <c r="AI4199">
        <v>93.470216451104903</v>
      </c>
      <c r="AJ4199">
        <v>98.250090319454898</v>
      </c>
      <c r="AK4199">
        <v>18.334218502692998</v>
      </c>
      <c r="AL4199">
        <v>90.478099171016396</v>
      </c>
      <c r="AM4199">
        <v>99.612061632387807</v>
      </c>
      <c r="AN4199">
        <v>1.0000000179669</v>
      </c>
    </row>
    <row r="4200" spans="1:40" x14ac:dyDescent="0.25">
      <c r="A4200" t="str">
        <f>"20190305135913623"</f>
        <v>20190305135913623</v>
      </c>
      <c r="B4200" t="str">
        <f>"1551765553613533"</f>
        <v>1551765553613533</v>
      </c>
      <c r="C4200" t="s">
        <v>40</v>
      </c>
      <c r="D4200">
        <v>4.0805680000000004</v>
      </c>
      <c r="E4200">
        <v>0.50839440000000002</v>
      </c>
      <c r="F4200" t="s">
        <v>42</v>
      </c>
      <c r="G4200">
        <v>-382.3501</v>
      </c>
      <c r="H4200" s="1">
        <v>-3.3247140000000001E-6</v>
      </c>
      <c r="I4200">
        <v>139.27430000000001</v>
      </c>
      <c r="J4200">
        <v>-364.28</v>
      </c>
      <c r="K4200">
        <v>1.109761</v>
      </c>
      <c r="L4200">
        <v>141.92500000000001</v>
      </c>
      <c r="M4200">
        <v>-0.99990060000000003</v>
      </c>
      <c r="N4200">
        <v>-1.4015629999999999E-2</v>
      </c>
      <c r="O4200">
        <v>-1.600789E-3</v>
      </c>
      <c r="P4200">
        <v>-0.9853035</v>
      </c>
      <c r="Q4200">
        <v>-2.1452590000000001E-2</v>
      </c>
      <c r="R4200">
        <v>-0.169461</v>
      </c>
      <c r="S4200">
        <v>-2.966736</v>
      </c>
      <c r="T4200">
        <v>-0.17999699999999999</v>
      </c>
      <c r="U4200">
        <v>-0.42999270000000001</v>
      </c>
      <c r="V4200">
        <v>-0.1678781</v>
      </c>
      <c r="W4200">
        <v>-7.7597090000000001E-3</v>
      </c>
      <c r="X4200">
        <v>0.98577720000000002</v>
      </c>
      <c r="Y4200">
        <v>-0.14154140000000001</v>
      </c>
      <c r="Z4200">
        <v>-5.191584E-3</v>
      </c>
      <c r="AA4200">
        <v>0.98991870000000004</v>
      </c>
      <c r="AB4200">
        <v>37</v>
      </c>
      <c r="AC4200">
        <v>-18.0701</v>
      </c>
      <c r="AD4200">
        <v>-1.1097643247139899</v>
      </c>
      <c r="AE4200">
        <v>-2.6507000000000001</v>
      </c>
      <c r="AF4200">
        <v>-2.6121226635685799</v>
      </c>
      <c r="AG4200">
        <v>-1.1097643247139899</v>
      </c>
      <c r="AH4200">
        <v>18.0078305495039</v>
      </c>
      <c r="AI4200">
        <v>93.490059461293797</v>
      </c>
      <c r="AJ4200">
        <v>98.253463619926507</v>
      </c>
      <c r="AK4200">
        <v>18.2301048479043</v>
      </c>
      <c r="AL4200">
        <v>90.444603047275294</v>
      </c>
      <c r="AM4200">
        <v>99.664764136644195</v>
      </c>
      <c r="AN4200">
        <v>0.99999997879160696</v>
      </c>
    </row>
    <row r="4201" spans="1:40" x14ac:dyDescent="0.25">
      <c r="A4201" t="str">
        <f>"20190305135913643"</f>
        <v>20190305135913643</v>
      </c>
      <c r="B4201" t="str">
        <f>"1551765553633055"</f>
        <v>1551765553633055</v>
      </c>
      <c r="C4201" t="s">
        <v>40</v>
      </c>
      <c r="D4201">
        <v>4.0842210000000003</v>
      </c>
      <c r="E4201">
        <v>0.50846579999999997</v>
      </c>
      <c r="F4201" t="s">
        <v>42</v>
      </c>
      <c r="G4201">
        <v>-382.7747</v>
      </c>
      <c r="H4201" s="1">
        <v>-3.1507289999999999E-6</v>
      </c>
      <c r="I4201">
        <v>139.22839999999999</v>
      </c>
      <c r="J4201">
        <v>-364.63209999999998</v>
      </c>
      <c r="K4201">
        <v>1.1097680000000001</v>
      </c>
      <c r="L4201">
        <v>141.92420000000001</v>
      </c>
      <c r="M4201">
        <v>-0.99990000000000001</v>
      </c>
      <c r="N4201">
        <v>-1.401354E-2</v>
      </c>
      <c r="O4201">
        <v>-1.908554E-3</v>
      </c>
      <c r="P4201">
        <v>-0.98516519999999996</v>
      </c>
      <c r="Q4201">
        <v>-2.1281339999999999E-2</v>
      </c>
      <c r="R4201">
        <v>-0.17028489999999999</v>
      </c>
      <c r="S4201">
        <v>-2.9664609999999998</v>
      </c>
      <c r="T4201">
        <v>-0.1780013</v>
      </c>
      <c r="U4201">
        <v>-0.43251040000000002</v>
      </c>
      <c r="V4201">
        <v>-0.16839860000000001</v>
      </c>
      <c r="W4201">
        <v>-7.592026E-3</v>
      </c>
      <c r="X4201">
        <v>0.98568979999999995</v>
      </c>
      <c r="Y4201">
        <v>-0.14207790000000001</v>
      </c>
      <c r="Z4201">
        <v>-5.1511480000000004E-3</v>
      </c>
      <c r="AA4201">
        <v>0.98984209999999995</v>
      </c>
      <c r="AB4201">
        <v>37</v>
      </c>
      <c r="AC4201">
        <v>-18.142600000000002</v>
      </c>
      <c r="AD4201">
        <v>-1.109771150729</v>
      </c>
      <c r="AE4201">
        <v>-2.6958000000000202</v>
      </c>
      <c r="AF4201">
        <v>-2.6514589310571601</v>
      </c>
      <c r="AG4201">
        <v>-1.109771150729</v>
      </c>
      <c r="AH4201">
        <v>18.081518583012102</v>
      </c>
      <c r="AI4201">
        <v>93.475108171762699</v>
      </c>
      <c r="AJ4201">
        <v>98.342349477466598</v>
      </c>
      <c r="AK4201">
        <v>18.308553758773101</v>
      </c>
      <c r="AL4201">
        <v>90.434995202849706</v>
      </c>
      <c r="AM4201">
        <v>99.695004888410296</v>
      </c>
      <c r="AN4201">
        <v>1.0000000545823899</v>
      </c>
    </row>
    <row r="4202" spans="1:40" x14ac:dyDescent="0.25">
      <c r="A4202" t="str">
        <f>"20190305135913658"</f>
        <v>20190305135913658</v>
      </c>
      <c r="B4202" t="str">
        <f>"1551765553653548"</f>
        <v>1551765553653548</v>
      </c>
      <c r="C4202" t="s">
        <v>40</v>
      </c>
      <c r="D4202">
        <v>4.602163</v>
      </c>
      <c r="E4202">
        <v>0.50878760000000001</v>
      </c>
      <c r="F4202" t="s">
        <v>42</v>
      </c>
      <c r="G4202">
        <v>-383.12900000000002</v>
      </c>
      <c r="H4202" s="1">
        <v>-3.0009969999999999E-6</v>
      </c>
      <c r="I4202">
        <v>139.2157</v>
      </c>
      <c r="J4202">
        <v>-364.86700000000002</v>
      </c>
      <c r="K4202">
        <v>1.109769</v>
      </c>
      <c r="L4202">
        <v>141.92349999999999</v>
      </c>
      <c r="M4202">
        <v>-0.99989969999999995</v>
      </c>
      <c r="N4202">
        <v>-1.4012149999999999E-2</v>
      </c>
      <c r="O4202">
        <v>-2.1136929999999998E-3</v>
      </c>
      <c r="P4202">
        <v>-0.98504700000000001</v>
      </c>
      <c r="Q4202">
        <v>-2.0819339999999999E-2</v>
      </c>
      <c r="R4202">
        <v>-0.171023799999999</v>
      </c>
      <c r="S4202">
        <v>-2.9662480000000002</v>
      </c>
      <c r="T4202">
        <v>-0.1779693</v>
      </c>
      <c r="U4202">
        <v>-0.4343262</v>
      </c>
      <c r="V4202">
        <v>-0.1689359</v>
      </c>
      <c r="W4202">
        <v>-7.1329920000000003E-3</v>
      </c>
      <c r="X4202">
        <v>0.98560119999999896</v>
      </c>
      <c r="Y4202">
        <v>-0.14247770000000001</v>
      </c>
      <c r="Z4202">
        <v>-5.1558259999999996E-3</v>
      </c>
      <c r="AA4202">
        <v>0.98978460000000001</v>
      </c>
      <c r="AB4202">
        <v>37</v>
      </c>
      <c r="AC4202">
        <v>-18.262</v>
      </c>
      <c r="AD4202">
        <v>-1.109772000997</v>
      </c>
      <c r="AE4202">
        <v>-2.70779999999999</v>
      </c>
      <c r="AF4202">
        <v>-2.6595795550211601</v>
      </c>
      <c r="AG4202">
        <v>-1.109772000997</v>
      </c>
      <c r="AH4202">
        <v>18.201910906281501</v>
      </c>
      <c r="AI4202">
        <v>93.452439787814697</v>
      </c>
      <c r="AJ4202">
        <v>98.312969204076794</v>
      </c>
      <c r="AK4202">
        <v>18.428633100257102</v>
      </c>
      <c r="AL4202">
        <v>90.408693814226496</v>
      </c>
      <c r="AM4202">
        <v>99.726205924257499</v>
      </c>
      <c r="AN4202">
        <v>0.99999997166256005</v>
      </c>
    </row>
    <row r="4203" spans="1:40" x14ac:dyDescent="0.25">
      <c r="A4203" t="str">
        <f>"20190305135913672"</f>
        <v>20190305135913672</v>
      </c>
      <c r="B4203" t="str">
        <f>"1551765553663308"</f>
        <v>1551765553663308</v>
      </c>
      <c r="C4203" t="s">
        <v>40</v>
      </c>
      <c r="D4203">
        <v>4.0382759999999998</v>
      </c>
      <c r="E4203">
        <v>0.55378240000000001</v>
      </c>
      <c r="F4203" t="s">
        <v>42</v>
      </c>
      <c r="G4203">
        <v>-383.56990000000002</v>
      </c>
      <c r="H4203" s="1">
        <v>-2.8170700000000001E-6</v>
      </c>
      <c r="I4203">
        <v>139.18629999999999</v>
      </c>
      <c r="J4203">
        <v>-365.09570000000002</v>
      </c>
      <c r="K4203">
        <v>1.109772</v>
      </c>
      <c r="L4203">
        <v>141.9229</v>
      </c>
      <c r="M4203">
        <v>-0.99989930000000005</v>
      </c>
      <c r="N4203">
        <v>-1.40108E-2</v>
      </c>
      <c r="O4203">
        <v>-2.3138249999999998E-3</v>
      </c>
      <c r="P4203">
        <v>-0.98493339999999996</v>
      </c>
      <c r="Q4203">
        <v>-2.0598390000000001E-2</v>
      </c>
      <c r="R4203">
        <v>-0.17170439999999901</v>
      </c>
      <c r="S4203">
        <v>-2.9664609999999998</v>
      </c>
      <c r="T4203">
        <v>-0.1760216</v>
      </c>
      <c r="U4203">
        <v>-0.4341431</v>
      </c>
      <c r="V4203">
        <v>-0.16941929999999999</v>
      </c>
      <c r="W4203">
        <v>-6.9148389999999999E-3</v>
      </c>
      <c r="X4203">
        <v>0.98551979999999995</v>
      </c>
      <c r="Y4203">
        <v>-0.14221639999999999</v>
      </c>
      <c r="Z4203">
        <v>-5.0918379999999996E-3</v>
      </c>
      <c r="AA4203">
        <v>0.98982250000000005</v>
      </c>
      <c r="AB4203">
        <v>37</v>
      </c>
      <c r="AC4203">
        <v>-18.4742</v>
      </c>
      <c r="AD4203">
        <v>-1.1097748170699999</v>
      </c>
      <c r="AE4203">
        <v>-2.7366000000000001</v>
      </c>
      <c r="AF4203">
        <v>-2.6843636197029999</v>
      </c>
      <c r="AG4203">
        <v>-1.1097748170699999</v>
      </c>
      <c r="AH4203">
        <v>18.415456075739002</v>
      </c>
      <c r="AI4203">
        <v>93.412678738325496</v>
      </c>
      <c r="AJ4203">
        <v>98.293416861375405</v>
      </c>
      <c r="AK4203">
        <v>18.643133606367201</v>
      </c>
      <c r="AL4203">
        <v>90.396194249994295</v>
      </c>
      <c r="AM4203">
        <v>99.754293187932802</v>
      </c>
      <c r="AN4203">
        <v>0.99999999520146199</v>
      </c>
    </row>
    <row r="4204" spans="1:40" x14ac:dyDescent="0.25">
      <c r="A4204" t="str">
        <f>"20190305135913687"</f>
        <v>20190305135913687</v>
      </c>
      <c r="B4204" t="str">
        <f>"1551765553682828"</f>
        <v>1551765553682828</v>
      </c>
      <c r="C4204" t="s">
        <v>40</v>
      </c>
      <c r="D4204">
        <v>4.1739240000000004</v>
      </c>
      <c r="E4204">
        <v>0.58203459999999996</v>
      </c>
      <c r="F4204" t="s">
        <v>42</v>
      </c>
      <c r="G4204">
        <v>-384.71809999999999</v>
      </c>
      <c r="H4204" s="1">
        <v>-2.7208849999999999E-6</v>
      </c>
      <c r="I4204">
        <v>141.39259999999999</v>
      </c>
      <c r="J4204">
        <v>-365.33510000000001</v>
      </c>
      <c r="K4204">
        <v>1.1097760000000001</v>
      </c>
      <c r="L4204">
        <v>141.9221</v>
      </c>
      <c r="M4204">
        <v>-0.99989870000000003</v>
      </c>
      <c r="N4204">
        <v>-1.400938E-2</v>
      </c>
      <c r="O4204">
        <v>-2.5240979999999998E-3</v>
      </c>
      <c r="P4204">
        <v>-0.98488569999999998</v>
      </c>
      <c r="Q4204">
        <v>-2.023873E-2</v>
      </c>
      <c r="R4204">
        <v>-0.1720187</v>
      </c>
      <c r="S4204">
        <v>-3.0280149999999999</v>
      </c>
      <c r="T4204">
        <v>-0.17125499999999999</v>
      </c>
      <c r="U4204">
        <v>-8.1817630000000002E-2</v>
      </c>
      <c r="V4204">
        <v>-0.16952729999999999</v>
      </c>
      <c r="W4204">
        <v>-6.5570510000000004E-3</v>
      </c>
      <c r="X4204">
        <v>0.98550369999999998</v>
      </c>
      <c r="Y4204">
        <v>-2.4440409999999999E-2</v>
      </c>
      <c r="Z4204">
        <v>-7.5458820000000001E-4</v>
      </c>
      <c r="AA4204">
        <v>0.99970099999999995</v>
      </c>
      <c r="AB4204">
        <v>37</v>
      </c>
      <c r="AC4204">
        <v>-19.3829999999999</v>
      </c>
      <c r="AD4204">
        <v>-1.1097787208849901</v>
      </c>
      <c r="AE4204">
        <v>-0.52950000000001296</v>
      </c>
      <c r="AF4204">
        <v>-0.47899985116267202</v>
      </c>
      <c r="AG4204">
        <v>-1.1097787208849901</v>
      </c>
      <c r="AH4204">
        <v>19.320984740569699</v>
      </c>
      <c r="AI4204">
        <v>93.286394568510303</v>
      </c>
      <c r="AJ4204">
        <v>91.420168254733497</v>
      </c>
      <c r="AK4204">
        <v>19.358757734216098</v>
      </c>
      <c r="AL4204">
        <v>90.375694032448607</v>
      </c>
      <c r="AM4204">
        <v>99.760548096237201</v>
      </c>
      <c r="AN4204">
        <v>1.00000002153839</v>
      </c>
    </row>
    <row r="4205" spans="1:40" x14ac:dyDescent="0.25">
      <c r="A4205" t="str">
        <f>"20190305135913703"</f>
        <v>20190305135913703</v>
      </c>
      <c r="B4205" t="str">
        <f>"1551765553693564"</f>
        <v>1551765553693564</v>
      </c>
      <c r="C4205" t="s">
        <v>40</v>
      </c>
      <c r="D4205">
        <v>4.1265619999999998</v>
      </c>
      <c r="E4205">
        <v>0.58971949999999995</v>
      </c>
      <c r="F4205" t="s">
        <v>41</v>
      </c>
      <c r="G4205">
        <v>-366.25259999999997</v>
      </c>
      <c r="H4205">
        <v>1.051277</v>
      </c>
      <c r="I4205">
        <v>141.9649</v>
      </c>
      <c r="J4205">
        <v>-365.5917</v>
      </c>
      <c r="K4205">
        <v>1.1097779999999999</v>
      </c>
      <c r="L4205">
        <v>141.9212</v>
      </c>
      <c r="M4205">
        <v>-0.99989830000000002</v>
      </c>
      <c r="N4205">
        <v>-1.400787E-2</v>
      </c>
      <c r="O4205">
        <v>-2.752029E-3</v>
      </c>
      <c r="P4205">
        <v>-0.98484879999999997</v>
      </c>
      <c r="Q4205">
        <v>-1.9668379999999999E-2</v>
      </c>
      <c r="R4205">
        <v>-0.17229639999999999</v>
      </c>
      <c r="S4205">
        <v>-3.0668329999999999</v>
      </c>
      <c r="T4205">
        <v>-0.19561310000000001</v>
      </c>
      <c r="U4205">
        <v>0.14208979999999999</v>
      </c>
      <c r="V4205">
        <v>-0.16958099999999901</v>
      </c>
      <c r="W4205">
        <v>-5.988826E-3</v>
      </c>
      <c r="X4205">
        <v>0.98549810000000004</v>
      </c>
      <c r="Y4205">
        <v>4.8906230000000002E-2</v>
      </c>
      <c r="Z4205">
        <v>2.0372120000000001E-3</v>
      </c>
      <c r="AA4205">
        <v>0.9988013</v>
      </c>
      <c r="AB4205">
        <v>37</v>
      </c>
      <c r="AC4205">
        <v>-0.66089999999996896</v>
      </c>
      <c r="AD4205">
        <v>-5.8501000000000102E-2</v>
      </c>
      <c r="AE4205">
        <v>4.3700000000001099E-2</v>
      </c>
      <c r="AF4205">
        <v>4.5166476630708101E-2</v>
      </c>
      <c r="AG4205">
        <v>-5.8501000000000102E-2</v>
      </c>
      <c r="AH4205">
        <v>0.65566228032655804</v>
      </c>
      <c r="AI4205">
        <v>95.086682192170997</v>
      </c>
      <c r="AJ4205">
        <v>86.059302588549897</v>
      </c>
      <c r="AK4205">
        <v>0.65981467356770296</v>
      </c>
      <c r="AL4205">
        <v>90.343136490341394</v>
      </c>
      <c r="AM4205">
        <v>99.763634793046805</v>
      </c>
      <c r="AN4205">
        <v>1.0000000433507299</v>
      </c>
    </row>
    <row r="4206" spans="1:40" x14ac:dyDescent="0.25">
      <c r="A4206" t="str">
        <f>"20190305135913723"</f>
        <v>20190305135913723</v>
      </c>
      <c r="B4206" t="str">
        <f>"1551765553713084"</f>
        <v>1551765553713084</v>
      </c>
      <c r="C4206" t="s">
        <v>40</v>
      </c>
      <c r="D4206">
        <v>4.1175709999999999</v>
      </c>
      <c r="E4206">
        <v>0.59631140000000005</v>
      </c>
      <c r="F4206" t="s">
        <v>41</v>
      </c>
      <c r="G4206">
        <v>-366.5718</v>
      </c>
      <c r="H4206">
        <v>1.0443100000000001</v>
      </c>
      <c r="I4206">
        <v>141.98589999999999</v>
      </c>
      <c r="J4206">
        <v>-365.92930000000001</v>
      </c>
      <c r="K4206">
        <v>1.1097900000000001</v>
      </c>
      <c r="L4206">
        <v>141.91999999999999</v>
      </c>
      <c r="M4206">
        <v>-0.99989729999999999</v>
      </c>
      <c r="N4206">
        <v>-1.400587E-2</v>
      </c>
      <c r="O4206">
        <v>-3.060601E-3</v>
      </c>
      <c r="P4206">
        <v>-0.98480749999999995</v>
      </c>
      <c r="Q4206">
        <v>-1.8997460000000001E-2</v>
      </c>
      <c r="R4206">
        <v>-0.17260809999999999</v>
      </c>
      <c r="S4206">
        <v>-3.0775450000000002</v>
      </c>
      <c r="T4206">
        <v>-0.2055987</v>
      </c>
      <c r="U4206">
        <v>0.20285030000000001</v>
      </c>
      <c r="V4206">
        <v>-0.1695892</v>
      </c>
      <c r="W4206">
        <v>-5.3218129999999999E-3</v>
      </c>
      <c r="X4206">
        <v>0.9855005</v>
      </c>
      <c r="Y4206">
        <v>6.8635580000000002E-2</v>
      </c>
      <c r="Z4206">
        <v>2.930691E-3</v>
      </c>
      <c r="AA4206">
        <v>0.99763749999999995</v>
      </c>
      <c r="AB4206">
        <v>37</v>
      </c>
      <c r="AC4206">
        <v>-0.64249999999998397</v>
      </c>
      <c r="AD4206">
        <v>-6.5479999999999899E-2</v>
      </c>
      <c r="AE4206">
        <v>6.5899999999999098E-2</v>
      </c>
      <c r="AF4206">
        <v>6.7175858955660195E-2</v>
      </c>
      <c r="AG4206">
        <v>-6.5479999999999899E-2</v>
      </c>
      <c r="AH4206">
        <v>0.635760665973647</v>
      </c>
      <c r="AI4206">
        <v>95.848101536882695</v>
      </c>
      <c r="AJ4206">
        <v>83.968383154119195</v>
      </c>
      <c r="AK4206">
        <v>0.64264442020894097</v>
      </c>
      <c r="AL4206">
        <v>90.304918855347097</v>
      </c>
      <c r="AM4206">
        <v>99.764074500097607</v>
      </c>
      <c r="AN4206">
        <v>1.00000002697524</v>
      </c>
    </row>
    <row r="4207" spans="1:40" x14ac:dyDescent="0.25">
      <c r="A4207" t="str">
        <f>"20190305135913745"</f>
        <v>20190305135913745</v>
      </c>
      <c r="B4207" t="str">
        <f>"1551765553733580"</f>
        <v>1551765553733580</v>
      </c>
      <c r="C4207" t="s">
        <v>40</v>
      </c>
      <c r="D4207">
        <v>4.085413</v>
      </c>
      <c r="E4207">
        <v>0.59955380000000003</v>
      </c>
      <c r="F4207" t="s">
        <v>41</v>
      </c>
      <c r="G4207">
        <v>-366.89490000000001</v>
      </c>
      <c r="H4207">
        <v>1.0379929999999999</v>
      </c>
      <c r="I4207">
        <v>142.00040000000001</v>
      </c>
      <c r="J4207">
        <v>-366.27850000000001</v>
      </c>
      <c r="K4207">
        <v>1.1098059999999901</v>
      </c>
      <c r="L4207">
        <v>141.9186</v>
      </c>
      <c r="M4207">
        <v>-0.99989629999999996</v>
      </c>
      <c r="N4207">
        <v>-1.400383E-2</v>
      </c>
      <c r="O4207">
        <v>-3.3950149999999999E-3</v>
      </c>
      <c r="P4207">
        <v>-0.9848228</v>
      </c>
      <c r="Q4207">
        <v>-1.8422129999999998E-2</v>
      </c>
      <c r="R4207">
        <v>-0.17258299999999999</v>
      </c>
      <c r="S4207">
        <v>-3.0867309999999999</v>
      </c>
      <c r="T4207">
        <v>-0.22963610000000001</v>
      </c>
      <c r="U4207">
        <v>0.25613399999999997</v>
      </c>
      <c r="V4207">
        <v>-0.16923479999999999</v>
      </c>
      <c r="W4207">
        <v>-4.7514719999999996E-3</v>
      </c>
      <c r="X4207">
        <v>0.98556429999999995</v>
      </c>
      <c r="Y4207">
        <v>8.5791770000000003E-2</v>
      </c>
      <c r="Z4207">
        <v>3.9885110000000001E-3</v>
      </c>
      <c r="AA4207">
        <v>0.99630510000000005</v>
      </c>
      <c r="AB4207">
        <v>37</v>
      </c>
      <c r="AC4207">
        <v>-0.61639999999999795</v>
      </c>
      <c r="AD4207">
        <v>-7.1812999999999905E-2</v>
      </c>
      <c r="AE4207">
        <v>8.1800000000015402E-2</v>
      </c>
      <c r="AF4207">
        <v>8.2788170675269293E-2</v>
      </c>
      <c r="AG4207">
        <v>-7.1812999999999905E-2</v>
      </c>
      <c r="AH4207">
        <v>0.60800892721733701</v>
      </c>
      <c r="AI4207">
        <v>96.675065697975697</v>
      </c>
      <c r="AJ4207">
        <v>82.2461338167668</v>
      </c>
      <c r="AK4207">
        <v>0.61780728690161502</v>
      </c>
      <c r="AL4207">
        <v>90.2722403187053</v>
      </c>
      <c r="AM4207">
        <v>99.743442843762907</v>
      </c>
      <c r="AN4207">
        <v>0.99999999172584797</v>
      </c>
    </row>
    <row r="4208" spans="1:40" x14ac:dyDescent="0.25">
      <c r="A4208" t="str">
        <f>"20190305135913759"</f>
        <v>20190305135913759</v>
      </c>
      <c r="B4208" t="str">
        <f>"1551765553753099"</f>
        <v>1551765553753099</v>
      </c>
      <c r="C4208" t="s">
        <v>40</v>
      </c>
      <c r="D4208">
        <v>4.1256029999999999</v>
      </c>
      <c r="E4208">
        <v>0.60188980000000003</v>
      </c>
      <c r="F4208" t="s">
        <v>41</v>
      </c>
      <c r="G4208">
        <v>-367.21949999999998</v>
      </c>
      <c r="H4208">
        <v>1.0355289999999999</v>
      </c>
      <c r="I4208">
        <v>142.00479999999999</v>
      </c>
      <c r="J4208">
        <v>-366.51240000000001</v>
      </c>
      <c r="K4208">
        <v>1.1098239999999999</v>
      </c>
      <c r="L4208">
        <v>141.91759999999999</v>
      </c>
      <c r="M4208">
        <v>-0.99989550000000005</v>
      </c>
      <c r="N4208">
        <v>-1.400245E-2</v>
      </c>
      <c r="O4208">
        <v>-3.6283359999999998E-3</v>
      </c>
      <c r="P4208">
        <v>-0.98482950000000002</v>
      </c>
      <c r="Q4208">
        <v>-1.80155E-2</v>
      </c>
      <c r="R4208">
        <v>-0.1725874</v>
      </c>
      <c r="S4208">
        <v>-3.0912169999999999</v>
      </c>
      <c r="T4208">
        <v>-0.2439721</v>
      </c>
      <c r="U4208">
        <v>0.28295900000000002</v>
      </c>
      <c r="V4208">
        <v>-0.16900960000000001</v>
      </c>
      <c r="W4208">
        <v>-4.3492629999999999E-3</v>
      </c>
      <c r="X4208">
        <v>0.98560479999999995</v>
      </c>
      <c r="Y4208">
        <v>9.4417379999999995E-2</v>
      </c>
      <c r="Z4208">
        <v>4.6107539999999999E-3</v>
      </c>
      <c r="AA4208">
        <v>0.99552200000000002</v>
      </c>
      <c r="AB4208">
        <v>36</v>
      </c>
      <c r="AC4208">
        <v>-0.70709999999996798</v>
      </c>
      <c r="AD4208">
        <v>-7.4294999999999695E-2</v>
      </c>
      <c r="AE4208">
        <v>8.7199999999995698E-2</v>
      </c>
      <c r="AF4208">
        <v>8.8799637030205103E-2</v>
      </c>
      <c r="AG4208">
        <v>-7.4294999999999695E-2</v>
      </c>
      <c r="AH4208">
        <v>0.69917585429012996</v>
      </c>
      <c r="AI4208">
        <v>96.017555305908203</v>
      </c>
      <c r="AJ4208">
        <v>82.761835884964796</v>
      </c>
      <c r="AK4208">
        <v>0.70869739507354501</v>
      </c>
      <c r="AL4208">
        <v>90.249195201677296</v>
      </c>
      <c r="AM4208">
        <v>99.730333120066106</v>
      </c>
      <c r="AN4208">
        <v>0.99999999138192097</v>
      </c>
    </row>
    <row r="4209" spans="1:40" x14ac:dyDescent="0.25">
      <c r="A4209" t="str">
        <f>"20190305135913772"</f>
        <v>20190305135913772</v>
      </c>
      <c r="B4209" t="str">
        <f>"1551765553762860"</f>
        <v>1551765553762860</v>
      </c>
      <c r="C4209" t="s">
        <v>40</v>
      </c>
      <c r="D4209">
        <v>4.0528009999999997</v>
      </c>
      <c r="E4209">
        <v>0.60279019999999905</v>
      </c>
      <c r="F4209" t="s">
        <v>41</v>
      </c>
      <c r="G4209">
        <v>-367.54070000000002</v>
      </c>
      <c r="H4209">
        <v>1.0263359999999999</v>
      </c>
      <c r="I4209">
        <v>142.01849999999999</v>
      </c>
      <c r="J4209">
        <v>-366.74040000000002</v>
      </c>
      <c r="K4209">
        <v>1.1098380000000001</v>
      </c>
      <c r="L4209">
        <v>141.91650000000001</v>
      </c>
      <c r="M4209">
        <v>-0.99989439999999996</v>
      </c>
      <c r="N4209">
        <v>-1.4001059999999999E-2</v>
      </c>
      <c r="O4209">
        <v>-3.8722159999999999E-3</v>
      </c>
      <c r="P4209">
        <v>-0.98486260000000003</v>
      </c>
      <c r="Q4209">
        <v>-1.7626200000000002E-2</v>
      </c>
      <c r="R4209">
        <v>-0.17243800000000001</v>
      </c>
      <c r="S4209">
        <v>-3.0945429999999998</v>
      </c>
      <c r="T4209">
        <v>-0.25143349999999998</v>
      </c>
      <c r="U4209">
        <v>0.30204769999999997</v>
      </c>
      <c r="V4209">
        <v>-0.16861979999999999</v>
      </c>
      <c r="W4209">
        <v>-3.9654520000000004E-3</v>
      </c>
      <c r="X4209">
        <v>0.98567320000000003</v>
      </c>
      <c r="Y4209">
        <v>0.1006041</v>
      </c>
      <c r="Z4209">
        <v>5.0374209999999899E-3</v>
      </c>
      <c r="AA4209">
        <v>0.99491379999999996</v>
      </c>
      <c r="AB4209">
        <v>36</v>
      </c>
      <c r="AC4209">
        <v>-0.80029999999999202</v>
      </c>
      <c r="AD4209">
        <v>-8.3501999999999701E-2</v>
      </c>
      <c r="AE4209">
        <v>0.101999999999975</v>
      </c>
      <c r="AF4209">
        <v>0.103984541146832</v>
      </c>
      <c r="AG4209">
        <v>-8.3501999999999701E-2</v>
      </c>
      <c r="AH4209">
        <v>0.79142091198594799</v>
      </c>
      <c r="AI4209">
        <v>95.971983227404294</v>
      </c>
      <c r="AJ4209">
        <v>82.514802236226899</v>
      </c>
      <c r="AK4209">
        <v>0.80257861218088</v>
      </c>
      <c r="AL4209">
        <v>90.227204256767706</v>
      </c>
      <c r="AM4209">
        <v>99.707657978863594</v>
      </c>
      <c r="AN4209">
        <v>1.00000000947992</v>
      </c>
    </row>
    <row r="4210" spans="1:40" x14ac:dyDescent="0.25">
      <c r="A4210" t="str">
        <f>"20190305135913787"</f>
        <v>20190305135913787</v>
      </c>
      <c r="B4210" t="str">
        <f>"1551765553783357"</f>
        <v>1551765553783357</v>
      </c>
      <c r="C4210" t="s">
        <v>40</v>
      </c>
      <c r="D4210">
        <v>4.0870939999999996</v>
      </c>
      <c r="E4210">
        <v>0.60434319999999997</v>
      </c>
      <c r="F4210" t="s">
        <v>41</v>
      </c>
      <c r="G4210">
        <v>-367.5496</v>
      </c>
      <c r="H4210">
        <v>1.04406</v>
      </c>
      <c r="I4210">
        <v>141.99809999999999</v>
      </c>
      <c r="J4210">
        <v>-366.96010000000001</v>
      </c>
      <c r="K4210">
        <v>1.109856</v>
      </c>
      <c r="L4210">
        <v>141.91550000000001</v>
      </c>
      <c r="M4210">
        <v>-0.9998937</v>
      </c>
      <c r="N4210">
        <v>-1.399979E-2</v>
      </c>
      <c r="O4210">
        <v>-4.1229459999999997E-3</v>
      </c>
      <c r="P4210">
        <v>-0.98485239999999996</v>
      </c>
      <c r="Q4210">
        <v>-1.7294790000000001E-2</v>
      </c>
      <c r="R4210">
        <v>-0.172530399999999</v>
      </c>
      <c r="S4210">
        <v>-3.0958559999999999</v>
      </c>
      <c r="T4210">
        <v>-0.2519306</v>
      </c>
      <c r="U4210">
        <v>0.3097992</v>
      </c>
      <c r="V4210">
        <v>-0.1684649</v>
      </c>
      <c r="W4210">
        <v>-3.6414189999999999E-3</v>
      </c>
      <c r="X4210">
        <v>0.98570089999999999</v>
      </c>
      <c r="Y4210">
        <v>0.1032676</v>
      </c>
      <c r="Z4210">
        <v>5.1871909999999999E-3</v>
      </c>
      <c r="AA4210">
        <v>0.99464010000000003</v>
      </c>
      <c r="AB4210">
        <v>36</v>
      </c>
      <c r="AC4210">
        <v>-0.58949999999998604</v>
      </c>
      <c r="AD4210">
        <v>-6.5795999999999896E-2</v>
      </c>
      <c r="AE4210">
        <v>8.2599999999985102E-2</v>
      </c>
      <c r="AF4210">
        <v>8.4003685309610804E-2</v>
      </c>
      <c r="AG4210">
        <v>-6.5795999999999896E-2</v>
      </c>
      <c r="AH4210">
        <v>0.58204320489046402</v>
      </c>
      <c r="AI4210">
        <v>96.383925466354</v>
      </c>
      <c r="AJ4210">
        <v>81.787465751305206</v>
      </c>
      <c r="AK4210">
        <v>0.59174320876606501</v>
      </c>
      <c r="AL4210">
        <v>90.208638406786605</v>
      </c>
      <c r="AM4210">
        <v>99.698642268461697</v>
      </c>
      <c r="AN4210">
        <v>0.99999997336257596</v>
      </c>
    </row>
    <row r="4211" spans="1:40" x14ac:dyDescent="0.25">
      <c r="A4211" t="str">
        <f>"20190305135913807"</f>
        <v>20190305135913807</v>
      </c>
      <c r="B4211" t="str">
        <f>"1551765553802876"</f>
        <v>1551765553802876</v>
      </c>
      <c r="C4211" t="s">
        <v>40</v>
      </c>
      <c r="D4211">
        <v>4.0822629999999904</v>
      </c>
      <c r="E4211">
        <v>0.60563420000000001</v>
      </c>
      <c r="F4211" t="s">
        <v>41</v>
      </c>
      <c r="G4211">
        <v>-367.87</v>
      </c>
      <c r="H4211">
        <v>1.0345139999999999</v>
      </c>
      <c r="I4211">
        <v>142.0104</v>
      </c>
      <c r="J4211">
        <v>-367.29939999999999</v>
      </c>
      <c r="K4211">
        <v>1.109891</v>
      </c>
      <c r="L4211">
        <v>141.91370000000001</v>
      </c>
      <c r="M4211">
        <v>-0.99989170000000005</v>
      </c>
      <c r="N4211">
        <v>-1.399794E-2</v>
      </c>
      <c r="O4211">
        <v>-4.5471890000000001E-3</v>
      </c>
      <c r="P4211">
        <v>-0.98484059999999995</v>
      </c>
      <c r="Q4211">
        <v>-1.7082730000000001E-2</v>
      </c>
      <c r="R4211">
        <v>-0.1726202</v>
      </c>
      <c r="S4211">
        <v>-3.0980219999999998</v>
      </c>
      <c r="T4211">
        <v>-0.25668609999999997</v>
      </c>
      <c r="U4211">
        <v>0.32209779999999999</v>
      </c>
      <c r="V4211">
        <v>-0.16813649999999999</v>
      </c>
      <c r="W4211">
        <v>-3.443761E-3</v>
      </c>
      <c r="X4211">
        <v>0.98575769999999996</v>
      </c>
      <c r="Y4211">
        <v>0.1074962</v>
      </c>
      <c r="Z4211">
        <v>5.501433E-3</v>
      </c>
      <c r="AA4211">
        <v>0.99419029999999997</v>
      </c>
      <c r="AB4211">
        <v>36</v>
      </c>
      <c r="AC4211">
        <v>-0.57060000000001299</v>
      </c>
      <c r="AD4211">
        <v>-7.5377E-2</v>
      </c>
      <c r="AE4211">
        <v>9.6699999999998398E-2</v>
      </c>
      <c r="AF4211">
        <v>9.7637599635376798E-2</v>
      </c>
      <c r="AG4211">
        <v>-7.5377E-2</v>
      </c>
      <c r="AH4211">
        <v>0.56064383163694598</v>
      </c>
      <c r="AI4211">
        <v>97.545113828956602</v>
      </c>
      <c r="AJ4211">
        <v>80.120869117957696</v>
      </c>
      <c r="AK4211">
        <v>0.57405252280964103</v>
      </c>
      <c r="AL4211">
        <v>90.197313362415997</v>
      </c>
      <c r="AM4211">
        <v>99.679546892338607</v>
      </c>
      <c r="AN4211">
        <v>0.99999999261568195</v>
      </c>
    </row>
    <row r="4212" spans="1:40" x14ac:dyDescent="0.25">
      <c r="A4212" t="str">
        <f>"20190305135913823"</f>
        <v>20190305135913823</v>
      </c>
      <c r="B4212" t="str">
        <f>"1551765553813612"</f>
        <v>1551765553813612</v>
      </c>
      <c r="C4212" t="s">
        <v>40</v>
      </c>
      <c r="D4212">
        <v>4.042503</v>
      </c>
      <c r="E4212">
        <v>0.60629549999999999</v>
      </c>
      <c r="F4212" t="s">
        <v>41</v>
      </c>
      <c r="G4212">
        <v>-368.19529999999997</v>
      </c>
      <c r="H4212">
        <v>1.0350919999999999</v>
      </c>
      <c r="I4212">
        <v>142.0103</v>
      </c>
      <c r="J4212">
        <v>-367.54750000000001</v>
      </c>
      <c r="K4212">
        <v>1.109923</v>
      </c>
      <c r="L4212">
        <v>141.91220000000001</v>
      </c>
      <c r="M4212">
        <v>-0.99989019999999995</v>
      </c>
      <c r="N4212">
        <v>-1.3996659999999999E-2</v>
      </c>
      <c r="O4212">
        <v>-4.890452E-3</v>
      </c>
      <c r="P4212">
        <v>-0.98484830000000001</v>
      </c>
      <c r="Q4212">
        <v>-1.695149E-2</v>
      </c>
      <c r="R4212">
        <v>-0.17258860000000001</v>
      </c>
      <c r="S4212">
        <v>-3.099945</v>
      </c>
      <c r="T4212">
        <v>-0.25901380000000002</v>
      </c>
      <c r="U4212">
        <v>0.33236690000000002</v>
      </c>
      <c r="V4212">
        <v>-0.1677661</v>
      </c>
      <c r="W4212">
        <v>-3.3251180000000002E-3</v>
      </c>
      <c r="X4212">
        <v>0.98582119999999995</v>
      </c>
      <c r="Y4212">
        <v>0.1110088</v>
      </c>
      <c r="Z4212">
        <v>5.735721E-3</v>
      </c>
      <c r="AA4212">
        <v>0.99380279999999999</v>
      </c>
      <c r="AB4212">
        <v>36</v>
      </c>
      <c r="AC4212">
        <v>-0.64779999999996096</v>
      </c>
      <c r="AD4212">
        <v>-7.4830999999999995E-2</v>
      </c>
      <c r="AE4212">
        <v>9.8099999999988002E-2</v>
      </c>
      <c r="AF4212">
        <v>9.9963181644696003E-2</v>
      </c>
      <c r="AG4212">
        <v>-7.4830999999999995E-2</v>
      </c>
      <c r="AH4212">
        <v>0.63897718529020797</v>
      </c>
      <c r="AI4212">
        <v>96.5999622853235</v>
      </c>
      <c r="AJ4212">
        <v>81.108575167522403</v>
      </c>
      <c r="AK4212">
        <v>0.65106386750220402</v>
      </c>
      <c r="AL4212">
        <v>90.190515582750905</v>
      </c>
      <c r="AM4212">
        <v>99.658014814957198</v>
      </c>
      <c r="AN4212">
        <v>0.99999997954418096</v>
      </c>
    </row>
    <row r="4213" spans="1:40" x14ac:dyDescent="0.25">
      <c r="A4213" t="str">
        <f>"20190305135913838"</f>
        <v>20190305135913838</v>
      </c>
      <c r="B4213" t="str">
        <f>"1551765553833132"</f>
        <v>1551765553833132</v>
      </c>
      <c r="C4213" t="s">
        <v>40</v>
      </c>
      <c r="D4213">
        <v>4.0425519999999997</v>
      </c>
      <c r="E4213">
        <v>0.60716610000000004</v>
      </c>
      <c r="F4213" t="s">
        <v>41</v>
      </c>
      <c r="G4213">
        <v>-368.51710000000003</v>
      </c>
      <c r="H4213">
        <v>1.0287280000000001</v>
      </c>
      <c r="I4213">
        <v>142.018</v>
      </c>
      <c r="J4213">
        <v>-367.78870000000001</v>
      </c>
      <c r="K4213">
        <v>1.1099559999999999</v>
      </c>
      <c r="L4213">
        <v>141.91069999999999</v>
      </c>
      <c r="M4213">
        <v>-0.99988840000000001</v>
      </c>
      <c r="N4213">
        <v>-1.3995469999999999E-2</v>
      </c>
      <c r="O4213">
        <v>-5.2511789999999999E-3</v>
      </c>
      <c r="P4213">
        <v>-0.98479740000000004</v>
      </c>
      <c r="Q4213">
        <v>-1.6903419999999999E-2</v>
      </c>
      <c r="R4213">
        <v>-0.17288299999999901</v>
      </c>
      <c r="S4213">
        <v>-3.1009220000000002</v>
      </c>
      <c r="T4213">
        <v>-0.2596986</v>
      </c>
      <c r="U4213">
        <v>0.337860099999999</v>
      </c>
      <c r="V4213">
        <v>-0.16770550000000001</v>
      </c>
      <c r="W4213">
        <v>-3.2918840000000001E-3</v>
      </c>
      <c r="X4213">
        <v>0.98583160000000003</v>
      </c>
      <c r="Y4213">
        <v>0.113063</v>
      </c>
      <c r="Z4213">
        <v>5.8720439999999999E-3</v>
      </c>
      <c r="AA4213">
        <v>0.99357039999999996</v>
      </c>
      <c r="AB4213">
        <v>36</v>
      </c>
      <c r="AC4213">
        <v>-0.72840000000002103</v>
      </c>
      <c r="AD4213">
        <v>-8.12279999999998E-2</v>
      </c>
      <c r="AE4213">
        <v>0.107300000000009</v>
      </c>
      <c r="AF4213">
        <v>0.109787561173288</v>
      </c>
      <c r="AG4213">
        <v>-8.12279999999998E-2</v>
      </c>
      <c r="AH4213">
        <v>0.71907415381802697</v>
      </c>
      <c r="AI4213">
        <v>96.371701460185506</v>
      </c>
      <c r="AJ4213">
        <v>81.319172969952007</v>
      </c>
      <c r="AK4213">
        <v>0.73192823094992698</v>
      </c>
      <c r="AL4213">
        <v>90.1886114085315</v>
      </c>
      <c r="AM4213">
        <v>99.654491914675702</v>
      </c>
      <c r="AN4213">
        <v>0.99999995739453895</v>
      </c>
    </row>
    <row r="4214" spans="1:40" x14ac:dyDescent="0.25">
      <c r="A4214" t="str">
        <f>"20190305135913850"</f>
        <v>20190305135913850</v>
      </c>
      <c r="B4214" t="str">
        <f>"1551765553842894"</f>
        <v>1551765553842894</v>
      </c>
      <c r="C4214" t="s">
        <v>40</v>
      </c>
      <c r="D4214">
        <v>4.0933419999999998</v>
      </c>
      <c r="E4214">
        <v>0.60764859999999998</v>
      </c>
      <c r="F4214" t="s">
        <v>41</v>
      </c>
      <c r="G4214">
        <v>-368.52820000000003</v>
      </c>
      <c r="H4214">
        <v>1.048001</v>
      </c>
      <c r="I4214">
        <v>141.99279999999999</v>
      </c>
      <c r="J4214">
        <v>-368.00380000000001</v>
      </c>
      <c r="K4214">
        <v>1.1099810000000001</v>
      </c>
      <c r="L4214">
        <v>141.9092</v>
      </c>
      <c r="M4214">
        <v>-0.99988650000000001</v>
      </c>
      <c r="N4214">
        <v>-1.39945E-2</v>
      </c>
      <c r="O4214">
        <v>-5.606649E-3</v>
      </c>
      <c r="P4214">
        <v>-0.98477959999999998</v>
      </c>
      <c r="Q4214">
        <v>-1.6918140000000002E-2</v>
      </c>
      <c r="R4214">
        <v>-0.17298329999999901</v>
      </c>
      <c r="S4214">
        <v>-3.1022029999999998</v>
      </c>
      <c r="T4214">
        <v>-0.25995119999999999</v>
      </c>
      <c r="U4214">
        <v>0.34379579999999998</v>
      </c>
      <c r="V4214">
        <v>-0.16745489999999999</v>
      </c>
      <c r="W4214">
        <v>-3.3201289999999998E-3</v>
      </c>
      <c r="X4214">
        <v>0.98587420000000003</v>
      </c>
      <c r="Y4214">
        <v>0.11524</v>
      </c>
      <c r="Z4214">
        <v>6.0052159999999999E-3</v>
      </c>
      <c r="AA4214">
        <v>0.99331950000000002</v>
      </c>
      <c r="AB4214">
        <v>36</v>
      </c>
      <c r="AC4214">
        <v>-0.52440000000001397</v>
      </c>
      <c r="AD4214">
        <v>-6.1979999999999903E-2</v>
      </c>
      <c r="AE4214">
        <v>8.3599999999989905E-2</v>
      </c>
      <c r="AF4214">
        <v>8.5376008128264999E-2</v>
      </c>
      <c r="AG4214">
        <v>-6.1979999999999903E-2</v>
      </c>
      <c r="AH4214">
        <v>0.51688143076947402</v>
      </c>
      <c r="AI4214">
        <v>96.747209318798298</v>
      </c>
      <c r="AJ4214">
        <v>80.620841448959794</v>
      </c>
      <c r="AK4214">
        <v>0.52753862099207105</v>
      </c>
      <c r="AL4214">
        <v>90.190229718643295</v>
      </c>
      <c r="AM4214">
        <v>99.639927531965299</v>
      </c>
      <c r="AN4214">
        <v>1.0000000525081101</v>
      </c>
    </row>
    <row r="4215" spans="1:40" x14ac:dyDescent="0.25">
      <c r="A4215" t="str">
        <f>"20190305135913864"</f>
        <v>20190305135913864</v>
      </c>
      <c r="B4215" t="str">
        <f>"1551765553853629"</f>
        <v>1551765553853629</v>
      </c>
      <c r="C4215" t="s">
        <v>40</v>
      </c>
      <c r="D4215">
        <v>4.0828009999999999</v>
      </c>
      <c r="E4215">
        <v>0.60808580000000001</v>
      </c>
      <c r="F4215" t="s">
        <v>41</v>
      </c>
      <c r="G4215">
        <v>-368.84649999999999</v>
      </c>
      <c r="H4215">
        <v>1.039172</v>
      </c>
      <c r="I4215">
        <v>142.00399999999999</v>
      </c>
      <c r="J4215">
        <v>-368.21559999999999</v>
      </c>
      <c r="K4215">
        <v>1.1100099999999999</v>
      </c>
      <c r="L4215">
        <v>141.90770000000001</v>
      </c>
      <c r="M4215">
        <v>-0.9998842</v>
      </c>
      <c r="N4215">
        <v>-1.3993490000000001E-2</v>
      </c>
      <c r="O4215">
        <v>-5.9719959999999898E-3</v>
      </c>
      <c r="P4215">
        <v>-0.98471089999999994</v>
      </c>
      <c r="Q4215">
        <v>-1.7039099999999901E-2</v>
      </c>
      <c r="R4215">
        <v>-0.1733624</v>
      </c>
      <c r="S4215">
        <v>-3.102875</v>
      </c>
      <c r="T4215">
        <v>-0.26097789999999998</v>
      </c>
      <c r="U4215">
        <v>0.34747309999999998</v>
      </c>
      <c r="V4215">
        <v>-0.1674736</v>
      </c>
      <c r="W4215">
        <v>-3.4551949999999999E-3</v>
      </c>
      <c r="X4215">
        <v>0.98587049999999998</v>
      </c>
      <c r="Y4215">
        <v>0.1167319</v>
      </c>
      <c r="Z4215">
        <v>6.1229269999999898E-3</v>
      </c>
      <c r="AA4215">
        <v>0.99314460000000004</v>
      </c>
      <c r="AB4215">
        <v>36</v>
      </c>
      <c r="AC4215">
        <v>-0.63089999999999602</v>
      </c>
      <c r="AD4215">
        <v>-7.0837999999999901E-2</v>
      </c>
      <c r="AE4215">
        <v>9.6299999999985106E-2</v>
      </c>
      <c r="AF4215">
        <v>9.8848573866152797E-2</v>
      </c>
      <c r="AG4215">
        <v>-7.0837999999999901E-2</v>
      </c>
      <c r="AH4215">
        <v>0.62264265838574195</v>
      </c>
      <c r="AI4215">
        <v>96.411020936841297</v>
      </c>
      <c r="AJ4215">
        <v>80.979205003116505</v>
      </c>
      <c r="AK4215">
        <v>0.63440755263555604</v>
      </c>
      <c r="AL4215">
        <v>90.197968486003305</v>
      </c>
      <c r="AM4215">
        <v>99.641019340203698</v>
      </c>
      <c r="AN4215">
        <v>0.99999999391984895</v>
      </c>
    </row>
    <row r="4216" spans="1:40" x14ac:dyDescent="0.25">
      <c r="A4216" t="str">
        <f>"20190305135913880"</f>
        <v>20190305135913880</v>
      </c>
      <c r="B4216" t="str">
        <f>"1551765553873152"</f>
        <v>1551765553873152</v>
      </c>
      <c r="C4216" t="s">
        <v>40</v>
      </c>
      <c r="D4216">
        <v>4.0442859999999996</v>
      </c>
      <c r="E4216">
        <v>0.60882069999999999</v>
      </c>
      <c r="F4216" t="s">
        <v>41</v>
      </c>
      <c r="G4216">
        <v>-369.16640000000001</v>
      </c>
      <c r="H4216">
        <v>1.029849</v>
      </c>
      <c r="I4216">
        <v>142.01499999999999</v>
      </c>
      <c r="J4216">
        <v>-368.4812</v>
      </c>
      <c r="K4216">
        <v>1.110042</v>
      </c>
      <c r="L4216">
        <v>141.9057</v>
      </c>
      <c r="M4216">
        <v>-0.99988129999999997</v>
      </c>
      <c r="N4216">
        <v>-1.399218E-2</v>
      </c>
      <c r="O4216">
        <v>-6.4558339999999997E-3</v>
      </c>
      <c r="P4216">
        <v>-0.98459799999999997</v>
      </c>
      <c r="Q4216">
        <v>-1.7553679999999999E-2</v>
      </c>
      <c r="R4216">
        <v>-0.17395050000000001</v>
      </c>
      <c r="S4216">
        <v>-3.1036380000000001</v>
      </c>
      <c r="T4216">
        <v>-0.26165129999999998</v>
      </c>
      <c r="U4216">
        <v>0.34973140000000003</v>
      </c>
      <c r="V4216">
        <v>-0.1675847</v>
      </c>
      <c r="W4216">
        <v>-3.9872509999999998E-3</v>
      </c>
      <c r="X4216">
        <v>0.98584959999999999</v>
      </c>
      <c r="Y4216">
        <v>0.117891</v>
      </c>
      <c r="Z4216">
        <v>6.2258449999999998E-3</v>
      </c>
      <c r="AA4216">
        <v>0.99300699999999997</v>
      </c>
      <c r="AB4216">
        <v>36</v>
      </c>
      <c r="AC4216">
        <v>-0.68520000000000802</v>
      </c>
      <c r="AD4216">
        <v>-8.0192999999999903E-2</v>
      </c>
      <c r="AE4216">
        <v>0.10929999999999</v>
      </c>
      <c r="AF4216">
        <v>0.11222267582767401</v>
      </c>
      <c r="AG4216">
        <v>-8.0192999999999903E-2</v>
      </c>
      <c r="AH4216">
        <v>0.67545758973473302</v>
      </c>
      <c r="AI4216">
        <v>96.679965344176594</v>
      </c>
      <c r="AJ4216">
        <v>80.566862883329307</v>
      </c>
      <c r="AK4216">
        <v>0.68939669403702397</v>
      </c>
      <c r="AL4216">
        <v>90.228453263643999</v>
      </c>
      <c r="AM4216">
        <v>99.647495596007701</v>
      </c>
      <c r="AN4216">
        <v>0.99999998183239303</v>
      </c>
    </row>
    <row r="4217" spans="1:40" x14ac:dyDescent="0.25">
      <c r="A4217" t="str">
        <f>"20190305135913894"</f>
        <v>20190305135913894</v>
      </c>
      <c r="B4217" t="str">
        <f>"1551765553882909"</f>
        <v>1551765553882909</v>
      </c>
      <c r="C4217" t="s">
        <v>40</v>
      </c>
      <c r="D4217">
        <v>4.0681640000000003</v>
      </c>
      <c r="E4217">
        <v>0.6092012</v>
      </c>
      <c r="F4217" t="s">
        <v>41</v>
      </c>
      <c r="G4217">
        <v>-369.48779999999999</v>
      </c>
      <c r="H4217">
        <v>1.02432099999999</v>
      </c>
      <c r="I4217">
        <v>142.02099999999999</v>
      </c>
      <c r="J4217">
        <v>-368.70760000000001</v>
      </c>
      <c r="K4217">
        <v>1.11007099999999</v>
      </c>
      <c r="L4217">
        <v>141.90379999999999</v>
      </c>
      <c r="M4217">
        <v>-0.99987839999999995</v>
      </c>
      <c r="N4217">
        <v>-1.3991109999999999E-2</v>
      </c>
      <c r="O4217">
        <v>-6.8915749999999996E-3</v>
      </c>
      <c r="P4217">
        <v>-0.98447450000000003</v>
      </c>
      <c r="Q4217">
        <v>-1.8307339999999998E-2</v>
      </c>
      <c r="R4217">
        <v>-0.174571799999999</v>
      </c>
      <c r="S4217">
        <v>-3.104797</v>
      </c>
      <c r="T4217">
        <v>-0.26462950000000002</v>
      </c>
      <c r="U4217">
        <v>0.35418699999999997</v>
      </c>
      <c r="V4217">
        <v>-0.16777590000000001</v>
      </c>
      <c r="W4217">
        <v>-4.7545030000000002E-3</v>
      </c>
      <c r="X4217">
        <v>0.98581370000000001</v>
      </c>
      <c r="Y4217">
        <v>0.1196704</v>
      </c>
      <c r="Z4217">
        <v>6.4044899999999997E-3</v>
      </c>
      <c r="AA4217">
        <v>0.99279300000000004</v>
      </c>
      <c r="AB4217">
        <v>36</v>
      </c>
      <c r="AC4217">
        <v>-0.78019999999997902</v>
      </c>
      <c r="AD4217">
        <v>-8.5749999999999896E-2</v>
      </c>
      <c r="AE4217">
        <v>0.11720000000002501</v>
      </c>
      <c r="AF4217">
        <v>0.121143464846587</v>
      </c>
      <c r="AG4217">
        <v>-8.5749999999999896E-2</v>
      </c>
      <c r="AH4217">
        <v>0.77027434036119902</v>
      </c>
      <c r="AI4217">
        <v>96.275725185791799</v>
      </c>
      <c r="AJ4217">
        <v>81.062125227383007</v>
      </c>
      <c r="AK4217">
        <v>0.78444334466799803</v>
      </c>
      <c r="AL4217">
        <v>90.272413980692505</v>
      </c>
      <c r="AM4217">
        <v>99.658640454930605</v>
      </c>
      <c r="AN4217">
        <v>1.0000000045136299</v>
      </c>
    </row>
    <row r="4218" spans="1:40" x14ac:dyDescent="0.25">
      <c r="A4218" t="str">
        <f>"20190305135913914"</f>
        <v>20190305135913914</v>
      </c>
      <c r="B4218" t="str">
        <f>"1551765553903405"</f>
        <v>1551765553903405</v>
      </c>
      <c r="C4218" t="s">
        <v>40</v>
      </c>
      <c r="D4218">
        <v>4.0509820000000003</v>
      </c>
      <c r="E4218">
        <v>0.60989740000000003</v>
      </c>
      <c r="F4218" t="s">
        <v>41</v>
      </c>
      <c r="G4218">
        <v>-369.49610000000001</v>
      </c>
      <c r="H4218">
        <v>1.042268</v>
      </c>
      <c r="I4218">
        <v>141.99449999999999</v>
      </c>
      <c r="J4218">
        <v>-369.01499999999999</v>
      </c>
      <c r="K4218">
        <v>1.110104</v>
      </c>
      <c r="L4218">
        <v>141.90110000000001</v>
      </c>
      <c r="M4218">
        <v>-0.99987400000000004</v>
      </c>
      <c r="N4218">
        <v>-1.3989400000000001E-2</v>
      </c>
      <c r="O4218">
        <v>-7.5060609999999996E-3</v>
      </c>
      <c r="P4218">
        <v>-0.98423020000000006</v>
      </c>
      <c r="Q4218">
        <v>-1.8779110000000002E-2</v>
      </c>
      <c r="R4218">
        <v>-0.1758922</v>
      </c>
      <c r="S4218">
        <v>-3.1053769999999998</v>
      </c>
      <c r="T4218">
        <v>-0.26725670000000001</v>
      </c>
      <c r="U4218">
        <v>0.35549930000000002</v>
      </c>
      <c r="V4218">
        <v>-0.1684909</v>
      </c>
      <c r="W4218">
        <v>-5.2438709999999998E-3</v>
      </c>
      <c r="X4218">
        <v>0.98568929999999999</v>
      </c>
      <c r="Y4218">
        <v>0.1206585</v>
      </c>
      <c r="Z4218">
        <v>6.5525610000000001E-3</v>
      </c>
      <c r="AA4218">
        <v>0.99267240000000001</v>
      </c>
      <c r="AB4218">
        <v>36</v>
      </c>
      <c r="AC4218">
        <v>-0.48110000000002601</v>
      </c>
      <c r="AD4218">
        <v>-6.7835999999999994E-2</v>
      </c>
      <c r="AE4218">
        <v>9.3399999999974101E-2</v>
      </c>
      <c r="AF4218">
        <v>9.5185194982017496E-2</v>
      </c>
      <c r="AG4218">
        <v>-6.7835999999999994E-2</v>
      </c>
      <c r="AH4218">
        <v>0.47135443472445798</v>
      </c>
      <c r="AI4218">
        <v>98.029703408661604</v>
      </c>
      <c r="AJ4218">
        <v>78.583242807751603</v>
      </c>
      <c r="AK4218">
        <v>0.48563046380368102</v>
      </c>
      <c r="AL4218">
        <v>90.300453041934503</v>
      </c>
      <c r="AM4218">
        <v>99.700222656688794</v>
      </c>
      <c r="AN4218">
        <v>1.00000003885018</v>
      </c>
    </row>
    <row r="4219" spans="1:40" x14ac:dyDescent="0.25">
      <c r="A4219" t="str">
        <f>"20190305135913935"</f>
        <v>20190305135913935</v>
      </c>
      <c r="B4219" t="str">
        <f>"1551765553922924"</f>
        <v>1551765553922924</v>
      </c>
      <c r="C4219" t="s">
        <v>40</v>
      </c>
      <c r="D4219">
        <v>4.0566779999999998</v>
      </c>
      <c r="E4219">
        <v>0.61049449999999905</v>
      </c>
      <c r="F4219" t="s">
        <v>41</v>
      </c>
      <c r="G4219">
        <v>-369.81900000000002</v>
      </c>
      <c r="H4219">
        <v>1.0406070000000001</v>
      </c>
      <c r="I4219">
        <v>141.994</v>
      </c>
      <c r="J4219">
        <v>-369.35759999999999</v>
      </c>
      <c r="K4219">
        <v>1.1101399999999999</v>
      </c>
      <c r="L4219">
        <v>141.89779999999999</v>
      </c>
      <c r="M4219">
        <v>-0.99986850000000005</v>
      </c>
      <c r="N4219">
        <v>-1.3987579999999999E-2</v>
      </c>
      <c r="O4219">
        <v>-8.2136669999999991E-3</v>
      </c>
      <c r="P4219">
        <v>-0.98391050000000002</v>
      </c>
      <c r="Q4219">
        <v>-1.873737E-2</v>
      </c>
      <c r="R4219">
        <v>-0.17767659999999999</v>
      </c>
      <c r="S4219">
        <v>-3.1068120000000001</v>
      </c>
      <c r="T4219">
        <v>-0.26874330000000002</v>
      </c>
      <c r="U4219">
        <v>0.35743709999999901</v>
      </c>
      <c r="V4219">
        <v>-0.16958029999999999</v>
      </c>
      <c r="W4219">
        <v>-5.219179E-3</v>
      </c>
      <c r="X4219">
        <v>0.98550249999999995</v>
      </c>
      <c r="Y4219">
        <v>0.121908</v>
      </c>
      <c r="Z4219">
        <v>6.6954390000000001E-3</v>
      </c>
      <c r="AA4219">
        <v>0.99251880000000003</v>
      </c>
      <c r="AB4219">
        <v>36</v>
      </c>
      <c r="AC4219">
        <v>-0.46140000000002601</v>
      </c>
      <c r="AD4219">
        <v>-6.9532999999999803E-2</v>
      </c>
      <c r="AE4219">
        <v>9.6200000000010194E-2</v>
      </c>
      <c r="AF4219">
        <v>9.7857110139748404E-2</v>
      </c>
      <c r="AG4219">
        <v>-6.9532999999999803E-2</v>
      </c>
      <c r="AH4219">
        <v>0.450783178271353</v>
      </c>
      <c r="AI4219">
        <v>98.572140190910503</v>
      </c>
      <c r="AJ4219">
        <v>77.7521256507316</v>
      </c>
      <c r="AK4219">
        <v>0.46649365044588298</v>
      </c>
      <c r="AL4219">
        <v>90.299038302486395</v>
      </c>
      <c r="AM4219">
        <v>99.763552513420095</v>
      </c>
      <c r="AN4219">
        <v>0.99999994774188505</v>
      </c>
    </row>
    <row r="4220" spans="1:40" x14ac:dyDescent="0.25">
      <c r="A4220" t="str">
        <f>"20190305135913950"</f>
        <v>20190305135913950</v>
      </c>
      <c r="B4220" t="str">
        <f>"1551765553943421"</f>
        <v>1551765553943421</v>
      </c>
      <c r="C4220" t="s">
        <v>40</v>
      </c>
      <c r="D4220">
        <v>4.057976</v>
      </c>
      <c r="E4220">
        <v>0.61104539999999996</v>
      </c>
      <c r="F4220" t="s">
        <v>41</v>
      </c>
      <c r="G4220">
        <v>-370.14319999999998</v>
      </c>
      <c r="H4220">
        <v>1.042225</v>
      </c>
      <c r="I4220">
        <v>141.98859999999999</v>
      </c>
      <c r="J4220">
        <v>-369.6035</v>
      </c>
      <c r="K4220">
        <v>1.1101559999999999</v>
      </c>
      <c r="L4220">
        <v>141.89529999999999</v>
      </c>
      <c r="M4220">
        <v>-0.99986419999999998</v>
      </c>
      <c r="N4220">
        <v>-1.398635E-2</v>
      </c>
      <c r="O4220">
        <v>-8.7256130000000001E-3</v>
      </c>
      <c r="P4220">
        <v>-0.98375619999999997</v>
      </c>
      <c r="Q4220">
        <v>-1.848052E-2</v>
      </c>
      <c r="R4220">
        <v>-0.1785561</v>
      </c>
      <c r="S4220">
        <v>-3.1084290000000001</v>
      </c>
      <c r="T4220">
        <v>-0.2690883</v>
      </c>
      <c r="U4220">
        <v>0.3568115</v>
      </c>
      <c r="V4220">
        <v>-0.169957</v>
      </c>
      <c r="W4220">
        <v>-4.9697059999999999E-3</v>
      </c>
      <c r="X4220">
        <v>0.98543890000000001</v>
      </c>
      <c r="Y4220">
        <v>0.1221571</v>
      </c>
      <c r="Z4220">
        <v>6.7494310000000002E-3</v>
      </c>
      <c r="AA4220">
        <v>0.99248780000000003</v>
      </c>
      <c r="AB4220">
        <v>36</v>
      </c>
      <c r="AC4220">
        <v>-0.53969999999998197</v>
      </c>
      <c r="AD4220">
        <v>-6.7930999999999894E-2</v>
      </c>
      <c r="AE4220">
        <v>9.3299999999999203E-2</v>
      </c>
      <c r="AF4220">
        <v>9.6521329178027498E-2</v>
      </c>
      <c r="AG4220">
        <v>-6.7930999999999894E-2</v>
      </c>
      <c r="AH4220">
        <v>0.53070146667352502</v>
      </c>
      <c r="AI4220">
        <v>97.177833013593101</v>
      </c>
      <c r="AJ4220">
        <v>79.692002302528195</v>
      </c>
      <c r="AK4220">
        <v>0.54366812898745798</v>
      </c>
      <c r="AL4220">
        <v>90.284744364790598</v>
      </c>
      <c r="AM4220">
        <v>99.785441453098102</v>
      </c>
      <c r="AN4220">
        <v>0.999999952729967</v>
      </c>
    </row>
    <row r="4221" spans="1:40" x14ac:dyDescent="0.25">
      <c r="A4221" t="str">
        <f>"20190305135913969"</f>
        <v>20190305135913969</v>
      </c>
      <c r="B4221" t="str">
        <f>"1551765553962944"</f>
        <v>1551765553962944</v>
      </c>
      <c r="C4221" t="s">
        <v>40</v>
      </c>
      <c r="D4221">
        <v>4.0583179999999999</v>
      </c>
      <c r="E4221">
        <v>0.61164229999999997</v>
      </c>
      <c r="F4221" t="s">
        <v>41</v>
      </c>
      <c r="G4221">
        <v>-370.46359999999999</v>
      </c>
      <c r="H4221">
        <v>1.0361370000000001</v>
      </c>
      <c r="I4221">
        <v>141.99459999999999</v>
      </c>
      <c r="J4221">
        <v>-369.91140000000001</v>
      </c>
      <c r="K4221">
        <v>1.110169</v>
      </c>
      <c r="L4221">
        <v>141.892</v>
      </c>
      <c r="M4221">
        <v>-0.99985849999999998</v>
      </c>
      <c r="N4221">
        <v>-1.3984740000000001E-2</v>
      </c>
      <c r="O4221">
        <v>-9.3571060000000005E-3</v>
      </c>
      <c r="P4221">
        <v>-0.98346409999999995</v>
      </c>
      <c r="Q4221">
        <v>-1.7536380000000001E-2</v>
      </c>
      <c r="R4221">
        <v>-0.18025269999999999</v>
      </c>
      <c r="S4221">
        <v>-3.1095890000000002</v>
      </c>
      <c r="T4221">
        <v>-0.26764189999999999</v>
      </c>
      <c r="U4221">
        <v>0.35848999999999998</v>
      </c>
      <c r="V4221">
        <v>-0.1710351</v>
      </c>
      <c r="W4221">
        <v>-4.0331539999999997E-3</v>
      </c>
      <c r="X4221">
        <v>0.98525669999999999</v>
      </c>
      <c r="Y4221">
        <v>0.1232702</v>
      </c>
      <c r="Z4221">
        <v>6.8155459999999996E-3</v>
      </c>
      <c r="AA4221">
        <v>0.9923497</v>
      </c>
      <c r="AB4221">
        <v>36</v>
      </c>
      <c r="AC4221">
        <v>-0.55219999999997005</v>
      </c>
      <c r="AD4221">
        <v>-7.4031999999999806E-2</v>
      </c>
      <c r="AE4221">
        <v>0.102599999999995</v>
      </c>
      <c r="AF4221">
        <v>0.105922678525935</v>
      </c>
      <c r="AG4221">
        <v>-7.4031999999999806E-2</v>
      </c>
      <c r="AH4221">
        <v>0.54180227605600595</v>
      </c>
      <c r="AI4221">
        <v>97.637886817026896</v>
      </c>
      <c r="AJ4221">
        <v>78.938161157319698</v>
      </c>
      <c r="AK4221">
        <v>0.55700094900240205</v>
      </c>
      <c r="AL4221">
        <v>90.231083324573206</v>
      </c>
      <c r="AM4221">
        <v>99.848088113419706</v>
      </c>
      <c r="AN4221">
        <v>1.0000000183290401</v>
      </c>
    </row>
    <row r="4222" spans="1:40" x14ac:dyDescent="0.25">
      <c r="A4222" t="str">
        <f>"20190305135913983"</f>
        <v>20190305135913983</v>
      </c>
      <c r="B4222" t="str">
        <f>"1551765553973677"</f>
        <v>1551765553973677</v>
      </c>
      <c r="C4222" t="s">
        <v>40</v>
      </c>
      <c r="D4222">
        <v>3.9767199999999998</v>
      </c>
      <c r="E4222">
        <v>0.61184289999999997</v>
      </c>
      <c r="F4222" t="s">
        <v>41</v>
      </c>
      <c r="G4222">
        <v>-370.78640000000001</v>
      </c>
      <c r="H4222">
        <v>1.035793</v>
      </c>
      <c r="I4222">
        <v>141.9931</v>
      </c>
      <c r="J4222">
        <v>-370.1379</v>
      </c>
      <c r="K4222">
        <v>1.1101650000000001</v>
      </c>
      <c r="L4222">
        <v>141.8895</v>
      </c>
      <c r="M4222">
        <v>-0.99985409999999997</v>
      </c>
      <c r="N4222">
        <v>-1.3983509999999999E-2</v>
      </c>
      <c r="O4222">
        <v>-9.8077249999999998E-3</v>
      </c>
      <c r="P4222">
        <v>-0.98328009999999999</v>
      </c>
      <c r="Q4222">
        <v>-1.700759E-2</v>
      </c>
      <c r="R4222">
        <v>-0.1813034</v>
      </c>
      <c r="S4222">
        <v>-3.1113590000000002</v>
      </c>
      <c r="T4222">
        <v>-0.26461770000000001</v>
      </c>
      <c r="U4222">
        <v>0.35787960000000002</v>
      </c>
      <c r="V4222">
        <v>-0.17164470000000001</v>
      </c>
      <c r="W4222">
        <v>-3.5062019999999999E-3</v>
      </c>
      <c r="X4222">
        <v>0.98515269999999999</v>
      </c>
      <c r="Y4222">
        <v>0.1234712</v>
      </c>
      <c r="Z4222">
        <v>6.7854469999999896E-3</v>
      </c>
      <c r="AA4222">
        <v>0.99232489999999995</v>
      </c>
      <c r="AB4222">
        <v>36</v>
      </c>
      <c r="AC4222">
        <v>-0.64850000000001196</v>
      </c>
      <c r="AD4222">
        <v>-7.4372000000000105E-2</v>
      </c>
      <c r="AE4222">
        <v>0.1036</v>
      </c>
      <c r="AF4222">
        <v>0.108563629070606</v>
      </c>
      <c r="AG4222">
        <v>-7.4372000000000105E-2</v>
      </c>
      <c r="AH4222">
        <v>0.63925424465312097</v>
      </c>
      <c r="AI4222">
        <v>96.543203582380599</v>
      </c>
      <c r="AJ4222">
        <v>80.361501730837901</v>
      </c>
      <c r="AK4222">
        <v>0.65265859777376201</v>
      </c>
      <c r="AL4222">
        <v>90.200890984430899</v>
      </c>
      <c r="AM4222">
        <v>99.883520338079293</v>
      </c>
      <c r="AN4222">
        <v>1.00000001940392</v>
      </c>
    </row>
    <row r="4223" spans="1:40" x14ac:dyDescent="0.25">
      <c r="A4223" t="str">
        <f>"20190305135914002"</f>
        <v>20190305135914002</v>
      </c>
      <c r="B4223" t="str">
        <f>"1551765553993201"</f>
        <v>1551765553993201</v>
      </c>
      <c r="C4223" t="s">
        <v>40</v>
      </c>
      <c r="D4223">
        <v>4.0043280000000001</v>
      </c>
      <c r="E4223">
        <v>0.6121432</v>
      </c>
      <c r="F4223" t="s">
        <v>41</v>
      </c>
      <c r="G4223">
        <v>-371.10599999999999</v>
      </c>
      <c r="H4223">
        <v>1.0290649999999999</v>
      </c>
      <c r="I4223">
        <v>142.00059999999999</v>
      </c>
      <c r="J4223">
        <v>-370.4529</v>
      </c>
      <c r="K4223">
        <v>1.1101540000000001</v>
      </c>
      <c r="L4223">
        <v>141.88579999999999</v>
      </c>
      <c r="M4223">
        <v>-0.99984810000000002</v>
      </c>
      <c r="N4223">
        <v>-1.3981749999999999E-2</v>
      </c>
      <c r="O4223">
        <v>-1.0402929999999999E-2</v>
      </c>
      <c r="P4223">
        <v>-0.98290719999999998</v>
      </c>
      <c r="Q4223">
        <v>-1.691834E-2</v>
      </c>
      <c r="R4223">
        <v>-0.18332290000000001</v>
      </c>
      <c r="S4223">
        <v>-3.1120909999999999</v>
      </c>
      <c r="T4223">
        <v>-0.2608203</v>
      </c>
      <c r="U4223">
        <v>0.35595700000000002</v>
      </c>
      <c r="V4223">
        <v>-0.1730815</v>
      </c>
      <c r="W4223">
        <v>-3.417238E-3</v>
      </c>
      <c r="X4223">
        <v>0.98490149999999999</v>
      </c>
      <c r="Y4223">
        <v>0.1234436</v>
      </c>
      <c r="Z4223">
        <v>6.7375259999999998E-3</v>
      </c>
      <c r="AA4223">
        <v>0.99232869999999995</v>
      </c>
      <c r="AB4223">
        <v>36</v>
      </c>
      <c r="AC4223">
        <v>-0.65309999999999402</v>
      </c>
      <c r="AD4223">
        <v>-8.1089000000000105E-2</v>
      </c>
      <c r="AE4223">
        <v>0.114800000000002</v>
      </c>
      <c r="AF4223">
        <v>0.119797192060797</v>
      </c>
      <c r="AG4223">
        <v>-8.1089000000000105E-2</v>
      </c>
      <c r="AH4223">
        <v>0.642266018550261</v>
      </c>
      <c r="AI4223">
        <v>97.075027276776694</v>
      </c>
      <c r="AJ4223">
        <v>79.4344477138103</v>
      </c>
      <c r="AK4223">
        <v>0.65835585493793203</v>
      </c>
      <c r="AL4223">
        <v>90.195793710950994</v>
      </c>
      <c r="AM4223">
        <v>99.967092112759602</v>
      </c>
      <c r="AN4223">
        <v>0.99999992393002102</v>
      </c>
    </row>
    <row r="4224" spans="1:40" x14ac:dyDescent="0.25">
      <c r="A4224" t="str">
        <f>"20190305135914024"</f>
        <v>20190305135914024</v>
      </c>
      <c r="B4224" t="str">
        <f>"1551765554013693"</f>
        <v>1551765554013693</v>
      </c>
      <c r="C4224" t="s">
        <v>40</v>
      </c>
      <c r="D4224">
        <v>4.018421</v>
      </c>
      <c r="E4224">
        <v>0.61275550000000001</v>
      </c>
      <c r="F4224" t="s">
        <v>41</v>
      </c>
      <c r="G4224">
        <v>-371.42869999999999</v>
      </c>
      <c r="H4224">
        <v>1.029649</v>
      </c>
      <c r="I4224">
        <v>141.99629999999999</v>
      </c>
      <c r="J4224">
        <v>-370.7971</v>
      </c>
      <c r="K4224">
        <v>1.1101240000000001</v>
      </c>
      <c r="L4224">
        <v>141.88159999999999</v>
      </c>
      <c r="M4224">
        <v>-0.99984200000000001</v>
      </c>
      <c r="N4224">
        <v>-1.39796E-2</v>
      </c>
      <c r="O4224">
        <v>-1.100011E-2</v>
      </c>
      <c r="P4224">
        <v>-0.98246889999999998</v>
      </c>
      <c r="Q4224">
        <v>-1.7170620000000001E-2</v>
      </c>
      <c r="R4224">
        <v>-0.18563560000000001</v>
      </c>
      <c r="S4224">
        <v>-3.1132810000000002</v>
      </c>
      <c r="T4224">
        <v>-0.2569304</v>
      </c>
      <c r="U4224">
        <v>0.3517303</v>
      </c>
      <c r="V4224">
        <v>-0.17481079999999999</v>
      </c>
      <c r="W4224">
        <v>-3.6649019999999998E-3</v>
      </c>
      <c r="X4224">
        <v>0.9845952</v>
      </c>
      <c r="Y4224">
        <v>0.12267989999999999</v>
      </c>
      <c r="Z4224">
        <v>6.6501059999999898E-3</v>
      </c>
      <c r="AA4224">
        <v>0.99242399999999997</v>
      </c>
      <c r="AB4224">
        <v>36</v>
      </c>
      <c r="AC4224">
        <v>-0.63159999999999095</v>
      </c>
      <c r="AD4224">
        <v>-8.0474999999999797E-2</v>
      </c>
      <c r="AE4224">
        <v>0.114699999999999</v>
      </c>
      <c r="AF4224">
        <v>0.11975925186215799</v>
      </c>
      <c r="AG4224">
        <v>-8.0474999999999797E-2</v>
      </c>
      <c r="AH4224">
        <v>0.62054733035337895</v>
      </c>
      <c r="AI4224">
        <v>97.256665999924294</v>
      </c>
      <c r="AJ4224">
        <v>79.076794362080506</v>
      </c>
      <c r="AK4224">
        <v>0.63710085013307705</v>
      </c>
      <c r="AL4224">
        <v>90.209983891704695</v>
      </c>
      <c r="AM4224">
        <v>100.067716573716</v>
      </c>
      <c r="AN4224">
        <v>0.99999997758317405</v>
      </c>
    </row>
    <row r="4225" spans="1:40" x14ac:dyDescent="0.25">
      <c r="A4225" t="str">
        <f>"20190305135914047"</f>
        <v>20190305135914047</v>
      </c>
      <c r="B4225" t="str">
        <f>"1551765554042973"</f>
        <v>1551765554042973</v>
      </c>
      <c r="C4225" t="s">
        <v>40</v>
      </c>
      <c r="D4225">
        <v>4.0423429999999998</v>
      </c>
      <c r="E4225">
        <v>0.62627359999999999</v>
      </c>
      <c r="F4225" t="s">
        <v>41</v>
      </c>
      <c r="G4225">
        <v>-371.75150000000002</v>
      </c>
      <c r="H4225">
        <v>1.030959</v>
      </c>
      <c r="I4225">
        <v>141.98869999999999</v>
      </c>
      <c r="J4225">
        <v>-371.16849999999999</v>
      </c>
      <c r="K4225">
        <v>1.110066</v>
      </c>
      <c r="L4225">
        <v>141.87690000000001</v>
      </c>
      <c r="M4225">
        <v>-0.99983560000000005</v>
      </c>
      <c r="N4225">
        <v>-1.397721E-2</v>
      </c>
      <c r="O4225">
        <v>-1.156886E-2</v>
      </c>
      <c r="P4225">
        <v>-0.98198059999999998</v>
      </c>
      <c r="Q4225">
        <v>-1.80296E-2</v>
      </c>
      <c r="R4225">
        <v>-0.1881217</v>
      </c>
      <c r="S4225">
        <v>-3.1150509999999998</v>
      </c>
      <c r="T4225">
        <v>-0.25838480000000003</v>
      </c>
      <c r="U4225">
        <v>0.3495026</v>
      </c>
      <c r="V4225">
        <v>-0.17674129999999999</v>
      </c>
      <c r="W4225">
        <v>-4.513446E-3</v>
      </c>
      <c r="X4225">
        <v>0.98424699999999998</v>
      </c>
      <c r="Y4225">
        <v>0.12247520000000001</v>
      </c>
      <c r="Z4225">
        <v>6.7095150000000001E-3</v>
      </c>
      <c r="AA4225">
        <v>0.99244889999999997</v>
      </c>
      <c r="AB4225">
        <v>36</v>
      </c>
      <c r="AC4225">
        <v>-0.58300000000002605</v>
      </c>
      <c r="AD4225">
        <v>-7.9106999999999997E-2</v>
      </c>
      <c r="AE4225">
        <v>0.11179999999998801</v>
      </c>
      <c r="AF4225">
        <v>0.116469485999107</v>
      </c>
      <c r="AG4225">
        <v>-7.9106999999999997E-2</v>
      </c>
      <c r="AH4225">
        <v>0.57151809828255296</v>
      </c>
      <c r="AI4225">
        <v>97.723776035164093</v>
      </c>
      <c r="AJ4225">
        <v>78.481439500793201</v>
      </c>
      <c r="AK4225">
        <v>0.58860512678909105</v>
      </c>
      <c r="AL4225">
        <v>90.258602282889299</v>
      </c>
      <c r="AM4225">
        <v>100.18011167588701</v>
      </c>
      <c r="AN4225">
        <v>1.00000000766474</v>
      </c>
    </row>
    <row r="4226" spans="1:40" x14ac:dyDescent="0.25">
      <c r="A4226" t="str">
        <f>"20190305135914063"</f>
        <v>20190305135914063</v>
      </c>
      <c r="B4226" t="str">
        <f>"1551765554053710"</f>
        <v>1551765554053710</v>
      </c>
      <c r="C4226" t="s">
        <v>40</v>
      </c>
      <c r="D4226">
        <v>4.0281580000000003</v>
      </c>
      <c r="E4226">
        <v>0.62708249999999999</v>
      </c>
      <c r="F4226" t="s">
        <v>41</v>
      </c>
      <c r="G4226">
        <v>-372.07310000000001</v>
      </c>
      <c r="H4226">
        <v>1.028564</v>
      </c>
      <c r="I4226">
        <v>142.00710000000001</v>
      </c>
      <c r="J4226">
        <v>-371.42669999999998</v>
      </c>
      <c r="K4226">
        <v>1.110025</v>
      </c>
      <c r="L4226">
        <v>141.87350000000001</v>
      </c>
      <c r="M4226">
        <v>-0.99983160000000004</v>
      </c>
      <c r="N4226">
        <v>-1.3975599999999999E-2</v>
      </c>
      <c r="O4226">
        <v>-1.1913190000000001E-2</v>
      </c>
      <c r="P4226">
        <v>-0.98175869999999998</v>
      </c>
      <c r="Q4226">
        <v>-1.8557210000000001E-2</v>
      </c>
      <c r="R4226">
        <v>-0.18922369999999999</v>
      </c>
      <c r="S4226">
        <v>-3.1361690000000002</v>
      </c>
      <c r="T4226">
        <v>-0.28272190000000003</v>
      </c>
      <c r="U4226">
        <v>0.45014949999999998</v>
      </c>
      <c r="V4226">
        <v>-0.17750729999999901</v>
      </c>
      <c r="W4226">
        <v>-5.0281040000000003E-3</v>
      </c>
      <c r="X4226">
        <v>0.9841067</v>
      </c>
      <c r="Y4226">
        <v>0.15312339999999999</v>
      </c>
      <c r="Z4226">
        <v>8.8322519999999901E-3</v>
      </c>
      <c r="AA4226">
        <v>0.98816760000000003</v>
      </c>
      <c r="AB4226">
        <v>36</v>
      </c>
      <c r="AC4226">
        <v>-0.64640000000002795</v>
      </c>
      <c r="AD4226">
        <v>-8.1461000000000006E-2</v>
      </c>
      <c r="AE4226">
        <v>0.133600000000001</v>
      </c>
      <c r="AF4226">
        <v>0.139172214236642</v>
      </c>
      <c r="AG4226">
        <v>-8.1461000000000006E-2</v>
      </c>
      <c r="AH4226">
        <v>0.63508928360469996</v>
      </c>
      <c r="AI4226">
        <v>97.141594834586797</v>
      </c>
      <c r="AJ4226">
        <v>77.639697257521902</v>
      </c>
      <c r="AK4226">
        <v>0.65524285412819305</v>
      </c>
      <c r="AL4226">
        <v>90.288090334731507</v>
      </c>
      <c r="AM4226">
        <v>100.22473063861101</v>
      </c>
      <c r="AN4226">
        <v>1.000000060184</v>
      </c>
    </row>
    <row r="4227" spans="1:40" x14ac:dyDescent="0.25">
      <c r="A4227" t="str">
        <f>"20190305135914081"</f>
        <v>20190305135914081</v>
      </c>
      <c r="B4227" t="str">
        <f>"1551765554073229"</f>
        <v>1551765554073229</v>
      </c>
      <c r="C4227" t="s">
        <v>40</v>
      </c>
      <c r="D4227">
        <v>4.1627179999999999</v>
      </c>
      <c r="E4227">
        <v>0.58655709999999905</v>
      </c>
      <c r="F4227" t="s">
        <v>41</v>
      </c>
      <c r="G4227">
        <v>-372.39170000000001</v>
      </c>
      <c r="H4227">
        <v>1.0212570000000001</v>
      </c>
      <c r="I4227">
        <v>142.01329999999999</v>
      </c>
      <c r="J4227">
        <v>-371.71570000000003</v>
      </c>
      <c r="K4227">
        <v>1.109974</v>
      </c>
      <c r="L4227">
        <v>141.86969999999999</v>
      </c>
      <c r="M4227">
        <v>-0.99982740000000003</v>
      </c>
      <c r="N4227">
        <v>-1.397371E-2</v>
      </c>
      <c r="O4227">
        <v>-1.223869E-2</v>
      </c>
      <c r="P4227">
        <v>-0.98127260000000005</v>
      </c>
      <c r="Q4227">
        <v>-1.8901009999999999E-2</v>
      </c>
      <c r="R4227">
        <v>-0.19169359999999999</v>
      </c>
      <c r="S4227">
        <v>-3.1376949999999999</v>
      </c>
      <c r="T4227">
        <v>-0.28872730000000002</v>
      </c>
      <c r="U4227">
        <v>0.45350649999999998</v>
      </c>
      <c r="V4227">
        <v>-0.179662299999999</v>
      </c>
      <c r="W4227">
        <v>-5.3586650000000003E-3</v>
      </c>
      <c r="X4227">
        <v>0.98371370000000002</v>
      </c>
      <c r="Y4227">
        <v>0.15437709999999999</v>
      </c>
      <c r="Z4227">
        <v>9.0866980000000007E-3</v>
      </c>
      <c r="AA4227">
        <v>0.98797020000000002</v>
      </c>
      <c r="AB4227">
        <v>36</v>
      </c>
      <c r="AC4227">
        <v>-0.67599999999998694</v>
      </c>
      <c r="AD4227">
        <v>-8.8716999999999893E-2</v>
      </c>
      <c r="AE4227">
        <v>0.14359999999999201</v>
      </c>
      <c r="AF4227">
        <v>0.14940130097628901</v>
      </c>
      <c r="AG4227">
        <v>-8.8716999999999893E-2</v>
      </c>
      <c r="AH4227">
        <v>0.663261294468803</v>
      </c>
      <c r="AI4227">
        <v>97.434478045076503</v>
      </c>
      <c r="AJ4227">
        <v>77.305844198963001</v>
      </c>
      <c r="AK4227">
        <v>0.685643493050754</v>
      </c>
      <c r="AL4227">
        <v>90.307030372960995</v>
      </c>
      <c r="AM4227">
        <v>100.350241121849</v>
      </c>
      <c r="AN4227">
        <v>0.99999995044977896</v>
      </c>
    </row>
    <row r="4228" spans="1:40" x14ac:dyDescent="0.25">
      <c r="A4228" t="str">
        <f>"20190305135914103"</f>
        <v>20190305135914103</v>
      </c>
      <c r="B4228" t="str">
        <f>"1551765554092749"</f>
        <v>1551765554092749</v>
      </c>
      <c r="C4228" t="s">
        <v>40</v>
      </c>
      <c r="D4228">
        <v>4.1151419999999996</v>
      </c>
      <c r="E4228">
        <v>0.56829839999999998</v>
      </c>
      <c r="F4228" t="s">
        <v>41</v>
      </c>
      <c r="G4228">
        <v>-372.70650000000001</v>
      </c>
      <c r="H4228">
        <v>1.0124979999999999</v>
      </c>
      <c r="I4228">
        <v>141.91130000000001</v>
      </c>
      <c r="J4228">
        <v>-372.07409999999999</v>
      </c>
      <c r="K4228">
        <v>1.1099000000000001</v>
      </c>
      <c r="L4228">
        <v>141.86500000000001</v>
      </c>
      <c r="M4228">
        <v>-0.99982389999999999</v>
      </c>
      <c r="N4228">
        <v>-1.397141E-2</v>
      </c>
      <c r="O4228">
        <v>-1.254458E-2</v>
      </c>
      <c r="P4228">
        <v>-0.98081419999999997</v>
      </c>
      <c r="Q4228">
        <v>-1.8581440000000001E-2</v>
      </c>
      <c r="R4228">
        <v>-0.19405810000000001</v>
      </c>
      <c r="S4228">
        <v>-3.0765690000000001</v>
      </c>
      <c r="T4228">
        <v>-0.30267490000000002</v>
      </c>
      <c r="U4228">
        <v>0.1285095</v>
      </c>
      <c r="V4228">
        <v>-0.18173320000000001</v>
      </c>
      <c r="W4228">
        <v>-5.0152599999999997E-3</v>
      </c>
      <c r="X4228">
        <v>0.98333510000000002</v>
      </c>
      <c r="Y4228">
        <v>5.3924039999999999E-2</v>
      </c>
      <c r="Z4228">
        <v>4.0787920000000004E-3</v>
      </c>
      <c r="AA4228">
        <v>0.99853670000000005</v>
      </c>
      <c r="AB4228">
        <v>36</v>
      </c>
      <c r="AC4228">
        <v>-0.63240000000001795</v>
      </c>
      <c r="AD4228">
        <v>-9.7402000000000197E-2</v>
      </c>
      <c r="AE4228">
        <v>4.6300000000002201E-2</v>
      </c>
      <c r="AF4228">
        <v>5.2980223104152201E-2</v>
      </c>
      <c r="AG4228">
        <v>-9.7402000000000197E-2</v>
      </c>
      <c r="AH4228">
        <v>0.61720603428063603</v>
      </c>
      <c r="AI4228">
        <v>98.935627746527999</v>
      </c>
      <c r="AJ4228">
        <v>85.093825715672594</v>
      </c>
      <c r="AK4228">
        <v>0.62708639149370504</v>
      </c>
      <c r="AL4228">
        <v>90.287354431818102</v>
      </c>
      <c r="AM4228">
        <v>100.470863129352</v>
      </c>
      <c r="AN4228">
        <v>1.0000000138535501</v>
      </c>
    </row>
    <row r="4229" spans="1:40" x14ac:dyDescent="0.25">
      <c r="A4229" t="str">
        <f>"20190305135914125"</f>
        <v>20190305135914125</v>
      </c>
      <c r="B4229" t="str">
        <f>"1551765554113244"</f>
        <v>1551765554113244</v>
      </c>
      <c r="C4229" t="s">
        <v>40</v>
      </c>
      <c r="D4229">
        <v>4.039256</v>
      </c>
      <c r="E4229">
        <v>0.56432539999999998</v>
      </c>
      <c r="F4229" t="s">
        <v>41</v>
      </c>
      <c r="G4229">
        <v>-373.0342</v>
      </c>
      <c r="H4229">
        <v>1.0254190000000001</v>
      </c>
      <c r="I4229">
        <v>141.8571</v>
      </c>
      <c r="J4229">
        <v>-372.42180000000002</v>
      </c>
      <c r="K4229">
        <v>1.109828</v>
      </c>
      <c r="L4229">
        <v>141.8604</v>
      </c>
      <c r="M4229">
        <v>-0.99982119999999997</v>
      </c>
      <c r="N4229">
        <v>-1.3969260000000001E-2</v>
      </c>
      <c r="O4229">
        <v>-1.275009E-2</v>
      </c>
      <c r="P4229">
        <v>-0.98041730000000005</v>
      </c>
      <c r="Q4229">
        <v>-1.8509629999999999E-2</v>
      </c>
      <c r="R4229">
        <v>-0.1960605</v>
      </c>
      <c r="S4229">
        <v>-3.048584</v>
      </c>
      <c r="T4229">
        <v>-0.26833770000000001</v>
      </c>
      <c r="U4229">
        <v>-2.5390630000000001E-2</v>
      </c>
      <c r="V4229">
        <v>-0.18353910000000001</v>
      </c>
      <c r="W4229">
        <v>-4.9170350000000002E-3</v>
      </c>
      <c r="X4229">
        <v>0.98300010000000004</v>
      </c>
      <c r="Y4229">
        <v>4.3687350000000003E-3</v>
      </c>
      <c r="Z4229">
        <v>1.164694E-3</v>
      </c>
      <c r="AA4229">
        <v>0.99998980000000004</v>
      </c>
      <c r="AB4229">
        <v>36</v>
      </c>
      <c r="AC4229">
        <v>-0.61239999999997896</v>
      </c>
      <c r="AD4229">
        <v>-8.4408999999999901E-2</v>
      </c>
      <c r="AE4229">
        <v>-3.2999999999958601E-3</v>
      </c>
      <c r="AF4229">
        <v>4.4251190031555599E-3</v>
      </c>
      <c r="AG4229">
        <v>-8.4408999999999901E-2</v>
      </c>
      <c r="AH4229">
        <v>0.60097531224048195</v>
      </c>
      <c r="AI4229">
        <v>97.994870986236407</v>
      </c>
      <c r="AJ4229">
        <v>89.578125664023403</v>
      </c>
      <c r="AK4229">
        <v>0.60689025933996998</v>
      </c>
      <c r="AL4229">
        <v>90.281726491966594</v>
      </c>
      <c r="AM4229">
        <v>100.57610011029401</v>
      </c>
      <c r="AN4229">
        <v>0.99999998753100505</v>
      </c>
    </row>
    <row r="4230" spans="1:40" x14ac:dyDescent="0.25">
      <c r="A4230" t="str">
        <f>"20190305135914147"</f>
        <v>20190305135914147</v>
      </c>
      <c r="B4230" t="str">
        <f>"1551765554143501"</f>
        <v>1551765554143501</v>
      </c>
      <c r="C4230" t="s">
        <v>40</v>
      </c>
      <c r="D4230">
        <v>4.0035100000000003</v>
      </c>
      <c r="E4230">
        <v>0.5635173</v>
      </c>
      <c r="F4230" t="s">
        <v>41</v>
      </c>
      <c r="G4230">
        <v>-373.36009999999999</v>
      </c>
      <c r="H4230">
        <v>1.031677</v>
      </c>
      <c r="I4230">
        <v>141.8409</v>
      </c>
      <c r="J4230">
        <v>-372.77839999999998</v>
      </c>
      <c r="K4230">
        <v>1.1097509999999999</v>
      </c>
      <c r="L4230">
        <v>141.85560000000001</v>
      </c>
      <c r="M4230">
        <v>-0.99981949999999997</v>
      </c>
      <c r="N4230">
        <v>-1.396709E-2</v>
      </c>
      <c r="O4230">
        <v>-1.2879E-2</v>
      </c>
      <c r="P4230">
        <v>-0.98004749999999996</v>
      </c>
      <c r="Q4230">
        <v>-1.8625139999999998E-2</v>
      </c>
      <c r="R4230">
        <v>-0.19788800000000001</v>
      </c>
      <c r="S4230">
        <v>-3.042297</v>
      </c>
      <c r="T4230">
        <v>-0.2534999</v>
      </c>
      <c r="U4230">
        <v>-6.4193730000000004E-2</v>
      </c>
      <c r="V4230">
        <v>-0.18524589999999999</v>
      </c>
      <c r="W4230">
        <v>-5.0058180000000004E-3</v>
      </c>
      <c r="X4230">
        <v>0.98267939999999998</v>
      </c>
      <c r="Y4230">
        <v>-8.2142369999999992E-3</v>
      </c>
      <c r="Z4230">
        <v>4.9240320000000005E-4</v>
      </c>
      <c r="AA4230">
        <v>0.99996609999999997</v>
      </c>
      <c r="AB4230">
        <v>36</v>
      </c>
      <c r="AC4230">
        <v>-0.58170000000001199</v>
      </c>
      <c r="AD4230">
        <v>-7.8073999999999893E-2</v>
      </c>
      <c r="AE4230">
        <v>-1.47000000000048E-2</v>
      </c>
      <c r="AF4230">
        <v>-7.0788961632833299E-3</v>
      </c>
      <c r="AG4230">
        <v>-7.8073999999999893E-2</v>
      </c>
      <c r="AH4230">
        <v>0.57155161714639902</v>
      </c>
      <c r="AI4230">
        <v>97.777876608610697</v>
      </c>
      <c r="AJ4230">
        <v>90.709594942160294</v>
      </c>
      <c r="AK4230">
        <v>0.57690286124230195</v>
      </c>
      <c r="AL4230">
        <v>90.286813455900997</v>
      </c>
      <c r="AM4230">
        <v>100.675605076973</v>
      </c>
      <c r="AN4230">
        <v>0.99999995243250805</v>
      </c>
    </row>
    <row r="4231" spans="1:40" x14ac:dyDescent="0.25">
      <c r="A4231" t="str">
        <f>"20190305135914169"</f>
        <v>20190305135914169</v>
      </c>
      <c r="B4231" t="str">
        <f>"1551765554163024"</f>
        <v>1551765554163024</v>
      </c>
      <c r="C4231" t="s">
        <v>40</v>
      </c>
      <c r="D4231">
        <v>3.9867849999999998</v>
      </c>
      <c r="E4231">
        <v>0.56333909999999998</v>
      </c>
      <c r="F4231" t="s">
        <v>41</v>
      </c>
      <c r="G4231">
        <v>-373.68560000000002</v>
      </c>
      <c r="H4231">
        <v>1.0355840000000001</v>
      </c>
      <c r="I4231">
        <v>141.8329</v>
      </c>
      <c r="J4231">
        <v>-373.14229999999998</v>
      </c>
      <c r="K4231">
        <v>1.1096809999999999</v>
      </c>
      <c r="L4231">
        <v>141.85079999999999</v>
      </c>
      <c r="M4231">
        <v>-0.99981869999999995</v>
      </c>
      <c r="N4231">
        <v>-1.3964849999999999E-2</v>
      </c>
      <c r="O4231">
        <v>-1.2947180000000001E-2</v>
      </c>
      <c r="P4231">
        <v>-0.97970570000000001</v>
      </c>
      <c r="Q4231">
        <v>-1.830743E-2</v>
      </c>
      <c r="R4231">
        <v>-0.19960359999999999</v>
      </c>
      <c r="S4231">
        <v>-3.0408629999999999</v>
      </c>
      <c r="T4231">
        <v>-0.2486961</v>
      </c>
      <c r="U4231">
        <v>-7.6690670000000002E-2</v>
      </c>
      <c r="V4231">
        <v>-0.1868995</v>
      </c>
      <c r="W4231">
        <v>-4.6651359999999899E-3</v>
      </c>
      <c r="X4231">
        <v>0.98236789999999996</v>
      </c>
      <c r="Y4231">
        <v>-1.224741E-2</v>
      </c>
      <c r="Z4231">
        <v>2.9072439999999999E-4</v>
      </c>
      <c r="AA4231">
        <v>0.99992499999999995</v>
      </c>
      <c r="AB4231">
        <v>36</v>
      </c>
      <c r="AC4231">
        <v>-0.54330000000004397</v>
      </c>
      <c r="AD4231">
        <v>-7.4096999999999802E-2</v>
      </c>
      <c r="AE4231">
        <v>-1.78999999999973E-2</v>
      </c>
      <c r="AF4231">
        <v>-1.0665444527394799E-2</v>
      </c>
      <c r="AG4231">
        <v>-7.4096999999999802E-2</v>
      </c>
      <c r="AH4231">
        <v>0.53357234237968298</v>
      </c>
      <c r="AI4231">
        <v>97.904521782852598</v>
      </c>
      <c r="AJ4231">
        <v>91.145118557809297</v>
      </c>
      <c r="AK4231">
        <v>0.53879825692786698</v>
      </c>
      <c r="AL4231">
        <v>90.267293589566705</v>
      </c>
      <c r="AM4231">
        <v>100.772016864172</v>
      </c>
      <c r="AN4231">
        <v>0.999999938772277</v>
      </c>
    </row>
    <row r="4232" spans="1:40" x14ac:dyDescent="0.25">
      <c r="A4232" t="str">
        <f>"20190305135914184"</f>
        <v>20190305135914184</v>
      </c>
      <c r="B4232" t="str">
        <f>"1551765554173757"</f>
        <v>1551765554173757</v>
      </c>
      <c r="C4232" t="s">
        <v>40</v>
      </c>
      <c r="D4232">
        <v>4.0192459999999999</v>
      </c>
      <c r="E4232">
        <v>0.56340409999999996</v>
      </c>
      <c r="F4232" t="s">
        <v>42</v>
      </c>
      <c r="G4232">
        <v>-386.6918</v>
      </c>
      <c r="H4232" s="1">
        <v>-1.8971030000000001E-6</v>
      </c>
      <c r="I4232">
        <v>141.4787</v>
      </c>
      <c r="J4232">
        <v>-373.36919999999998</v>
      </c>
      <c r="K4232">
        <v>1.10965</v>
      </c>
      <c r="L4232">
        <v>141.84780000000001</v>
      </c>
      <c r="M4232">
        <v>-0.9998184</v>
      </c>
      <c r="N4232">
        <v>-1.3963440000000001E-2</v>
      </c>
      <c r="O4232">
        <v>-1.296696E-2</v>
      </c>
      <c r="P4232">
        <v>-0.97951869999999996</v>
      </c>
      <c r="Q4232">
        <v>-1.826757E-2</v>
      </c>
      <c r="R4232">
        <v>-0.20052320000000001</v>
      </c>
      <c r="S4232">
        <v>-3.0404659999999999</v>
      </c>
      <c r="T4232">
        <v>-0.24901090000000001</v>
      </c>
      <c r="U4232">
        <v>-8.3465579999999998E-2</v>
      </c>
      <c r="V4232">
        <v>-0.18780269999999999</v>
      </c>
      <c r="W4232">
        <v>-4.6137519999999996E-3</v>
      </c>
      <c r="X4232">
        <v>0.98219599999999996</v>
      </c>
      <c r="Y4232">
        <v>-1.4448819999999999E-2</v>
      </c>
      <c r="Z4232">
        <v>1.8746729999999999E-4</v>
      </c>
      <c r="AA4232">
        <v>0.9998956</v>
      </c>
      <c r="AB4232">
        <v>36</v>
      </c>
      <c r="AC4232">
        <v>-13.3226</v>
      </c>
      <c r="AD4232">
        <v>-1.1096518971030001</v>
      </c>
      <c r="AE4232">
        <v>-0.36910000000000298</v>
      </c>
      <c r="AF4232">
        <v>-0.19494710754787301</v>
      </c>
      <c r="AG4232">
        <v>-1.1096518971030001</v>
      </c>
      <c r="AH4232">
        <v>13.2345237462889</v>
      </c>
      <c r="AI4232">
        <v>94.792251143442698</v>
      </c>
      <c r="AJ4232">
        <v>90.843916936631501</v>
      </c>
      <c r="AK4232">
        <v>13.282392499040601</v>
      </c>
      <c r="AL4232">
        <v>90.264349438889795</v>
      </c>
      <c r="AM4232">
        <v>100.824695900527</v>
      </c>
      <c r="AN4232">
        <v>1.0000000616253999</v>
      </c>
    </row>
    <row r="4233" spans="1:40" x14ac:dyDescent="0.25">
      <c r="A4233" t="str">
        <f>"20190305135914203"</f>
        <v>20190305135914203</v>
      </c>
      <c r="B4233" t="str">
        <f>"1551765554193276"</f>
        <v>1551765554193276</v>
      </c>
      <c r="C4233" t="s">
        <v>40</v>
      </c>
      <c r="D4233">
        <v>4.0029009999999996</v>
      </c>
      <c r="E4233">
        <v>0.56353520000000001</v>
      </c>
      <c r="F4233" t="s">
        <v>42</v>
      </c>
      <c r="G4233">
        <v>-387.63920000000002</v>
      </c>
      <c r="H4233" s="1">
        <v>-1.480314E-6</v>
      </c>
      <c r="I4233">
        <v>141.43979999999999</v>
      </c>
      <c r="J4233">
        <v>-373.67309999999998</v>
      </c>
      <c r="K4233">
        <v>1.109612</v>
      </c>
      <c r="L4233">
        <v>141.84379999999999</v>
      </c>
      <c r="M4233">
        <v>-0.99981830000000005</v>
      </c>
      <c r="N4233">
        <v>-1.396152E-2</v>
      </c>
      <c r="O4233">
        <v>-1.297382E-2</v>
      </c>
      <c r="P4233">
        <v>-0.97921009999999997</v>
      </c>
      <c r="Q4233">
        <v>-1.8250079999999998E-2</v>
      </c>
      <c r="R4233">
        <v>-0.20202580000000001</v>
      </c>
      <c r="S4233">
        <v>-3.040527</v>
      </c>
      <c r="T4233">
        <v>-0.23643529999999999</v>
      </c>
      <c r="U4233">
        <v>-8.6898799999999998E-2</v>
      </c>
      <c r="V4233">
        <v>-0.18930259999999999</v>
      </c>
      <c r="W4233">
        <v>-4.5857420000000003E-3</v>
      </c>
      <c r="X4233">
        <v>0.98190809999999995</v>
      </c>
      <c r="Y4233">
        <v>-1.556724E-2</v>
      </c>
      <c r="Z4233">
        <v>1.130523E-4</v>
      </c>
      <c r="AA4233">
        <v>0.99987879999999996</v>
      </c>
      <c r="AB4233">
        <v>36</v>
      </c>
      <c r="AC4233">
        <v>-13.966100000000001</v>
      </c>
      <c r="AD4233">
        <v>-1.1096134803139901</v>
      </c>
      <c r="AE4233">
        <v>-0.40399999999999597</v>
      </c>
      <c r="AF4233">
        <v>-0.22135851967373801</v>
      </c>
      <c r="AG4233">
        <v>-1.1096134803139901</v>
      </c>
      <c r="AH4233">
        <v>13.882607240523001</v>
      </c>
      <c r="AI4233">
        <v>94.5692620621884</v>
      </c>
      <c r="AJ4233">
        <v>90.913505224945695</v>
      </c>
      <c r="AK4233">
        <v>13.9286404743804</v>
      </c>
      <c r="AL4233">
        <v>90.262744580759303</v>
      </c>
      <c r="AM4233">
        <v>100.912203571329</v>
      </c>
      <c r="AN4233">
        <v>1.00000001012103</v>
      </c>
    </row>
    <row r="4234" spans="1:40" x14ac:dyDescent="0.25">
      <c r="A4234" t="str">
        <f>"20190305135914216"</f>
        <v>20190305135914216</v>
      </c>
      <c r="B4234" t="str">
        <f>"1551765554212797"</f>
        <v>1551765554212797</v>
      </c>
      <c r="C4234" t="s">
        <v>40</v>
      </c>
      <c r="D4234">
        <v>4.0173800000000002</v>
      </c>
      <c r="E4234">
        <v>0.56380750000000002</v>
      </c>
      <c r="F4234" t="s">
        <v>42</v>
      </c>
      <c r="G4234">
        <v>-388.49590000000001</v>
      </c>
      <c r="H4234" s="1">
        <v>-1.101647E-6</v>
      </c>
      <c r="I4234">
        <v>141.39789999999999</v>
      </c>
      <c r="J4234">
        <v>-373.89120000000003</v>
      </c>
      <c r="K4234">
        <v>1.1095889999999999</v>
      </c>
      <c r="L4234">
        <v>141.8409</v>
      </c>
      <c r="M4234">
        <v>-0.9998184</v>
      </c>
      <c r="N4234">
        <v>-1.3960139999999999E-2</v>
      </c>
      <c r="O4234">
        <v>-1.2970229999999999E-2</v>
      </c>
      <c r="P4234">
        <v>-0.97903039999999997</v>
      </c>
      <c r="Q4234">
        <v>-1.8568089999999999E-2</v>
      </c>
      <c r="R4234">
        <v>-0.2028663</v>
      </c>
      <c r="S4234">
        <v>-3.0405880000000001</v>
      </c>
      <c r="T4234">
        <v>-0.22761509999999999</v>
      </c>
      <c r="U4234">
        <v>-9.144592E-2</v>
      </c>
      <c r="V4234">
        <v>-0.19014919999999999</v>
      </c>
      <c r="W4234">
        <v>-4.8979560000000002E-3</v>
      </c>
      <c r="X4234">
        <v>0.98174300000000003</v>
      </c>
      <c r="Y4234">
        <v>-1.7060700000000002E-2</v>
      </c>
      <c r="Z4234" s="1">
        <v>3.1601989999999999E-5</v>
      </c>
      <c r="AA4234">
        <v>0.99985440000000003</v>
      </c>
      <c r="AB4234">
        <v>36</v>
      </c>
      <c r="AC4234">
        <v>-14.6046999999999</v>
      </c>
      <c r="AD4234">
        <v>-1.109590101647</v>
      </c>
      <c r="AE4234">
        <v>-0.443000000000012</v>
      </c>
      <c r="AF4234">
        <v>-0.25206432153675801</v>
      </c>
      <c r="AG4234">
        <v>-1.109590101647</v>
      </c>
      <c r="AH4234">
        <v>14.5254511815446</v>
      </c>
      <c r="AI4234">
        <v>94.367649950125795</v>
      </c>
      <c r="AJ4234">
        <v>90.994170313719295</v>
      </c>
      <c r="AK4234">
        <v>14.5699505367486</v>
      </c>
      <c r="AL4234">
        <v>90.280633325424802</v>
      </c>
      <c r="AM4234">
        <v>100.96162443323</v>
      </c>
      <c r="AN4234">
        <v>1.0000000131413</v>
      </c>
    </row>
    <row r="4235" spans="1:40" x14ac:dyDescent="0.25">
      <c r="A4235" t="str">
        <f>"20190305135914230"</f>
        <v>20190305135914230</v>
      </c>
      <c r="B4235" t="str">
        <f>"1551765554223533"</f>
        <v>1551765554223533</v>
      </c>
      <c r="C4235" t="s">
        <v>40</v>
      </c>
      <c r="D4235">
        <v>4.0183200000000001</v>
      </c>
      <c r="E4235">
        <v>0.56385569999999996</v>
      </c>
      <c r="F4235" t="s">
        <v>42</v>
      </c>
      <c r="G4235">
        <v>-388.416</v>
      </c>
      <c r="H4235" s="1">
        <v>-1.137534E-6</v>
      </c>
      <c r="I4235">
        <v>141.404</v>
      </c>
      <c r="J4235">
        <v>-374.10489999999999</v>
      </c>
      <c r="K4235">
        <v>1.1095710000000001</v>
      </c>
      <c r="L4235">
        <v>141.8381</v>
      </c>
      <c r="M4235">
        <v>-0.9998186</v>
      </c>
      <c r="N4235">
        <v>-1.3958770000000001E-2</v>
      </c>
      <c r="O4235">
        <v>-1.2962080000000001E-2</v>
      </c>
      <c r="P4235">
        <v>-0.97884919999999997</v>
      </c>
      <c r="Q4235">
        <v>-1.8823820000000002E-2</v>
      </c>
      <c r="R4235">
        <v>-0.2037156</v>
      </c>
      <c r="S4235">
        <v>-3.0408940000000002</v>
      </c>
      <c r="T4235">
        <v>-0.23230329999999999</v>
      </c>
      <c r="U4235">
        <v>-9.144592E-2</v>
      </c>
      <c r="V4235">
        <v>-0.19100839999999999</v>
      </c>
      <c r="W4235">
        <v>-5.15016E-3</v>
      </c>
      <c r="X4235">
        <v>0.98157490000000003</v>
      </c>
      <c r="Y4235">
        <v>-1.7064869999999999E-2</v>
      </c>
      <c r="Z4235" s="1">
        <v>3.7716699999999998E-5</v>
      </c>
      <c r="AA4235">
        <v>0.99985440000000003</v>
      </c>
      <c r="AB4235">
        <v>36</v>
      </c>
      <c r="AC4235">
        <v>-14.3111</v>
      </c>
      <c r="AD4235">
        <v>-1.109572137534</v>
      </c>
      <c r="AE4235">
        <v>-0.43409999999999999</v>
      </c>
      <c r="AF4235">
        <v>-0.24706005904213901</v>
      </c>
      <c r="AG4235">
        <v>-1.109572137534</v>
      </c>
      <c r="AH4235">
        <v>14.2300629742544</v>
      </c>
      <c r="AI4235">
        <v>94.457879488366999</v>
      </c>
      <c r="AJ4235">
        <v>90.994660152845498</v>
      </c>
      <c r="AK4235">
        <v>14.2753942590883</v>
      </c>
      <c r="AL4235">
        <v>90.295083733744306</v>
      </c>
      <c r="AM4235">
        <v>101.011786880827</v>
      </c>
      <c r="AN4235">
        <v>1.00000000866429</v>
      </c>
    </row>
    <row r="4236" spans="1:40" x14ac:dyDescent="0.25">
      <c r="A4236" t="str">
        <f>"20190305135914243"</f>
        <v>20190305135914243</v>
      </c>
      <c r="B4236" t="str">
        <f>"1551765554233293"</f>
        <v>1551765554233293</v>
      </c>
      <c r="C4236" t="s">
        <v>40</v>
      </c>
      <c r="D4236">
        <v>4.017334</v>
      </c>
      <c r="E4236">
        <v>0.56393749999999998</v>
      </c>
      <c r="F4236" t="s">
        <v>42</v>
      </c>
      <c r="G4236">
        <v>-388.4631</v>
      </c>
      <c r="H4236" s="1">
        <v>-1.1154580000000001E-6</v>
      </c>
      <c r="I4236">
        <v>141.39699999999999</v>
      </c>
      <c r="J4236">
        <v>-374.31810000000002</v>
      </c>
      <c r="K4236">
        <v>1.1095549999999901</v>
      </c>
      <c r="L4236">
        <v>141.83529999999999</v>
      </c>
      <c r="M4236">
        <v>-0.99981880000000001</v>
      </c>
      <c r="N4236">
        <v>-1.395741E-2</v>
      </c>
      <c r="O4236">
        <v>-1.2953610000000001E-2</v>
      </c>
      <c r="P4236">
        <v>-0.97862930000000004</v>
      </c>
      <c r="Q4236">
        <v>-1.9188139999999999E-2</v>
      </c>
      <c r="R4236">
        <v>-0.20473469999999999</v>
      </c>
      <c r="S4236">
        <v>-3.0408330000000001</v>
      </c>
      <c r="T4236">
        <v>-0.2349889</v>
      </c>
      <c r="U4236">
        <v>-9.3399049999999997E-2</v>
      </c>
      <c r="V4236">
        <v>-0.1920395</v>
      </c>
      <c r="W4236">
        <v>-5.5123530000000002E-3</v>
      </c>
      <c r="X4236">
        <v>0.98137169999999896</v>
      </c>
      <c r="Y4236">
        <v>-1.7712720000000001E-2</v>
      </c>
      <c r="Z4236" s="1">
        <v>1.1588619999999999E-5</v>
      </c>
      <c r="AA4236">
        <v>0.99984309999999998</v>
      </c>
      <c r="AB4236">
        <v>36</v>
      </c>
      <c r="AC4236">
        <v>-14.1449999999999</v>
      </c>
      <c r="AD4236">
        <v>-1.10955611545799</v>
      </c>
      <c r="AE4236">
        <v>-0.43829999999996899</v>
      </c>
      <c r="AF4236">
        <v>-0.25345852234772198</v>
      </c>
      <c r="AG4236">
        <v>-1.10955611545799</v>
      </c>
      <c r="AH4236">
        <v>14.0630430598769</v>
      </c>
      <c r="AI4236">
        <v>94.510488952510102</v>
      </c>
      <c r="AJ4236">
        <v>91.032531256227202</v>
      </c>
      <c r="AK4236">
        <v>14.1090232156536</v>
      </c>
      <c r="AL4236">
        <v>90.315836166472195</v>
      </c>
      <c r="AM4236">
        <v>101.072001587614</v>
      </c>
      <c r="AN4236">
        <v>0.99999998457836803</v>
      </c>
    </row>
    <row r="4237" spans="1:40" x14ac:dyDescent="0.25">
      <c r="A4237" t="str">
        <f>"20190305135914259"</f>
        <v>20190305135914259</v>
      </c>
      <c r="B4237" t="str">
        <f>"1551765554252815"</f>
        <v>1551765554252815</v>
      </c>
      <c r="C4237" t="s">
        <v>40</v>
      </c>
      <c r="D4237">
        <v>3.9779339999999999</v>
      </c>
      <c r="E4237">
        <v>0.564141</v>
      </c>
      <c r="F4237" t="s">
        <v>42</v>
      </c>
      <c r="G4237">
        <v>-388.4984</v>
      </c>
      <c r="H4237" s="1">
        <v>-1.0982799999999901E-6</v>
      </c>
      <c r="I4237">
        <v>141.38939999999999</v>
      </c>
      <c r="J4237">
        <v>-374.58300000000003</v>
      </c>
      <c r="K4237">
        <v>1.1095410000000001</v>
      </c>
      <c r="L4237">
        <v>141.83189999999999</v>
      </c>
      <c r="M4237">
        <v>-0.99981889999999995</v>
      </c>
      <c r="N4237">
        <v>-1.395571E-2</v>
      </c>
      <c r="O4237">
        <v>-1.2942739999999999E-2</v>
      </c>
      <c r="P4237">
        <v>-0.97823649999999995</v>
      </c>
      <c r="Q4237">
        <v>-1.9320759999999999E-2</v>
      </c>
      <c r="R4237">
        <v>-0.2065922</v>
      </c>
      <c r="S4237">
        <v>-3.0408330000000001</v>
      </c>
      <c r="T4237">
        <v>-0.2379346</v>
      </c>
      <c r="U4237">
        <v>-9.5611570000000007E-2</v>
      </c>
      <c r="V4237">
        <v>-0.19391220000000001</v>
      </c>
      <c r="W4237">
        <v>-5.6453329999999998E-3</v>
      </c>
      <c r="X4237">
        <v>0.98100259999999995</v>
      </c>
      <c r="Y4237">
        <v>-1.844705E-2</v>
      </c>
      <c r="Z4237" s="1">
        <v>-1.893862E-5</v>
      </c>
      <c r="AA4237">
        <v>0.99982979999999999</v>
      </c>
      <c r="AB4237">
        <v>36</v>
      </c>
      <c r="AC4237">
        <v>-13.915399999999901</v>
      </c>
      <c r="AD4237">
        <v>-1.1095420982799999</v>
      </c>
      <c r="AE4237">
        <v>-0.44249999999999501</v>
      </c>
      <c r="AF4237">
        <v>-0.260686316595867</v>
      </c>
      <c r="AG4237">
        <v>-1.1095420982799999</v>
      </c>
      <c r="AH4237">
        <v>13.832111129551601</v>
      </c>
      <c r="AI4237">
        <v>94.5853476539518</v>
      </c>
      <c r="AJ4237">
        <v>91.079694745089199</v>
      </c>
      <c r="AK4237">
        <v>13.8789891319138</v>
      </c>
      <c r="AL4237">
        <v>90.323455487121095</v>
      </c>
      <c r="AM4237">
        <v>101.18136532214299</v>
      </c>
      <c r="AN4237">
        <v>0.99999995615013904</v>
      </c>
    </row>
    <row r="4238" spans="1:40" x14ac:dyDescent="0.25">
      <c r="A4238" t="str">
        <f>"20190305135914272"</f>
        <v>20190305135914272</v>
      </c>
      <c r="B4238" t="str">
        <f>"1551765554263550"</f>
        <v>1551765554263550</v>
      </c>
      <c r="C4238" t="s">
        <v>40</v>
      </c>
      <c r="D4238">
        <v>4.0071659999999998</v>
      </c>
      <c r="E4238">
        <v>0.56427430000000001</v>
      </c>
      <c r="F4238" t="s">
        <v>41</v>
      </c>
      <c r="G4238">
        <v>-375.60149999999999</v>
      </c>
      <c r="H4238">
        <v>1.0293669999999999</v>
      </c>
      <c r="I4238">
        <v>141.7987</v>
      </c>
      <c r="J4238">
        <v>-374.79250000000002</v>
      </c>
      <c r="K4238">
        <v>1.1095349999999999</v>
      </c>
      <c r="L4238">
        <v>141.82910000000001</v>
      </c>
      <c r="M4238">
        <v>-0.99981900000000001</v>
      </c>
      <c r="N4238">
        <v>-1.3954370000000001E-2</v>
      </c>
      <c r="O4238">
        <v>-1.293615E-2</v>
      </c>
      <c r="P4238">
        <v>-0.97801490000000002</v>
      </c>
      <c r="Q4238">
        <v>-1.9371679999999999E-2</v>
      </c>
      <c r="R4238">
        <v>-0.2076335</v>
      </c>
      <c r="S4238">
        <v>-3.040985</v>
      </c>
      <c r="T4238">
        <v>-0.23945459999999999</v>
      </c>
      <c r="U4238">
        <v>-9.9411009999999994E-2</v>
      </c>
      <c r="V4238">
        <v>-0.19496269999999999</v>
      </c>
      <c r="W4238">
        <v>-5.6964090000000004E-3</v>
      </c>
      <c r="X4238">
        <v>0.9807941</v>
      </c>
      <c r="Y4238">
        <v>-1.9695049999999999E-2</v>
      </c>
      <c r="Z4238" s="1">
        <v>-7.5279389999999996E-5</v>
      </c>
      <c r="AA4238">
        <v>0.99980599999999997</v>
      </c>
      <c r="AB4238">
        <v>36</v>
      </c>
      <c r="AC4238">
        <v>-0.80899999999996897</v>
      </c>
      <c r="AD4238">
        <v>-8.0168000000000003E-2</v>
      </c>
      <c r="AE4238">
        <v>-3.0400000000014402E-2</v>
      </c>
      <c r="AF4238">
        <v>-1.9737545344452701E-2</v>
      </c>
      <c r="AG4238">
        <v>-8.0168000000000003E-2</v>
      </c>
      <c r="AH4238">
        <v>0.80146640463232099</v>
      </c>
      <c r="AI4238">
        <v>95.710385076468697</v>
      </c>
      <c r="AJ4238">
        <v>91.410726020386605</v>
      </c>
      <c r="AK4238">
        <v>0.80570768686570404</v>
      </c>
      <c r="AL4238">
        <v>90.326381964114404</v>
      </c>
      <c r="AM4238">
        <v>101.24272959679401</v>
      </c>
      <c r="AN4238">
        <v>0.99999998503079701</v>
      </c>
    </row>
    <row r="4239" spans="1:40" x14ac:dyDescent="0.25">
      <c r="A4239" t="str">
        <f>"20190305135914292"</f>
        <v>20190305135914292</v>
      </c>
      <c r="B4239" t="str">
        <f>"1551765554283069"</f>
        <v>1551765554283069</v>
      </c>
      <c r="C4239" t="s">
        <v>40</v>
      </c>
      <c r="D4239">
        <v>3.9608949999999998</v>
      </c>
      <c r="E4239">
        <v>0.56453759999999997</v>
      </c>
      <c r="F4239" t="s">
        <v>42</v>
      </c>
      <c r="G4239">
        <v>-388.815</v>
      </c>
      <c r="H4239" s="1">
        <v>-9.5533580000000004E-7</v>
      </c>
      <c r="I4239">
        <v>141.36250000000001</v>
      </c>
      <c r="J4239">
        <v>-375.10120000000001</v>
      </c>
      <c r="K4239">
        <v>1.1095349999999999</v>
      </c>
      <c r="L4239">
        <v>141.82509999999999</v>
      </c>
      <c r="M4239">
        <v>-0.99981909999999896</v>
      </c>
      <c r="N4239">
        <v>-1.39524E-2</v>
      </c>
      <c r="O4239">
        <v>-1.292892E-2</v>
      </c>
      <c r="P4239">
        <v>-0.97755320000000001</v>
      </c>
      <c r="Q4239">
        <v>-1.86378E-2</v>
      </c>
      <c r="R4239">
        <v>-0.20986299999999999</v>
      </c>
      <c r="S4239">
        <v>-3.0411990000000002</v>
      </c>
      <c r="T4239">
        <v>-0.24063770000000001</v>
      </c>
      <c r="U4239">
        <v>-0.1011963</v>
      </c>
      <c r="V4239">
        <v>-0.1972054</v>
      </c>
      <c r="W4239">
        <v>-4.9656099999999996E-3</v>
      </c>
      <c r="X4239">
        <v>0.98034960000000004</v>
      </c>
      <c r="Y4239">
        <v>-2.0283760000000001E-2</v>
      </c>
      <c r="Z4239">
        <v>-1.018933E-4</v>
      </c>
      <c r="AA4239">
        <v>0.99979419999999997</v>
      </c>
      <c r="AB4239">
        <v>36</v>
      </c>
      <c r="AC4239">
        <v>-13.7137999999999</v>
      </c>
      <c r="AD4239">
        <v>-1.1095359553358</v>
      </c>
      <c r="AE4239">
        <v>-0.46259999999998003</v>
      </c>
      <c r="AF4239">
        <v>-0.28338654707878103</v>
      </c>
      <c r="AG4239">
        <v>-1.1095359553358</v>
      </c>
      <c r="AH4239">
        <v>13.629519439969499</v>
      </c>
      <c r="AI4239">
        <v>94.653003760641695</v>
      </c>
      <c r="AJ4239">
        <v>91.1911288582629</v>
      </c>
      <c r="AK4239">
        <v>13.6775428398435</v>
      </c>
      <c r="AL4239">
        <v>90.284509669859403</v>
      </c>
      <c r="AM4239">
        <v>101.373728100036</v>
      </c>
      <c r="AN4239">
        <v>0.99999998264599599</v>
      </c>
    </row>
    <row r="4240" spans="1:40" x14ac:dyDescent="0.25">
      <c r="A4240" t="str">
        <f>"20190305135914315"</f>
        <v>20190305135914315</v>
      </c>
      <c r="B4240" t="str">
        <f>"1551765554303564"</f>
        <v>1551765554303564</v>
      </c>
      <c r="C4240" t="s">
        <v>40</v>
      </c>
      <c r="D4240">
        <v>4.0469429999999997</v>
      </c>
      <c r="E4240">
        <v>0.56471199999999999</v>
      </c>
      <c r="F4240" t="s">
        <v>42</v>
      </c>
      <c r="G4240">
        <v>-389.2373</v>
      </c>
      <c r="H4240" s="1">
        <v>-7.6637529999999996E-7</v>
      </c>
      <c r="I4240">
        <v>141.33330000000001</v>
      </c>
      <c r="J4240">
        <v>-375.45670000000001</v>
      </c>
      <c r="K4240">
        <v>1.1095250000000001</v>
      </c>
      <c r="L4240">
        <v>141.82050000000001</v>
      </c>
      <c r="M4240">
        <v>-0.99981920000000002</v>
      </c>
      <c r="N4240">
        <v>-1.395016E-2</v>
      </c>
      <c r="O4240">
        <v>-1.2924339999999999E-2</v>
      </c>
      <c r="P4240">
        <v>-0.97717140000000002</v>
      </c>
      <c r="Q4240">
        <v>-1.7790759999999999E-2</v>
      </c>
      <c r="R4240">
        <v>-0.21170639999999999</v>
      </c>
      <c r="S4240">
        <v>-3.041687</v>
      </c>
      <c r="T4240">
        <v>-0.2387418</v>
      </c>
      <c r="U4240">
        <v>-0.1058197</v>
      </c>
      <c r="V4240">
        <v>-0.1990584</v>
      </c>
      <c r="W4240">
        <v>-4.1215100000000001E-3</v>
      </c>
      <c r="X4240">
        <v>0.97997900000000004</v>
      </c>
      <c r="Y4240">
        <v>-2.1796030000000001E-2</v>
      </c>
      <c r="Z4240">
        <v>-1.7371840000000001E-4</v>
      </c>
      <c r="AA4240">
        <v>0.99976240000000005</v>
      </c>
      <c r="AB4240">
        <v>36</v>
      </c>
      <c r="AC4240">
        <v>-13.7805999999999</v>
      </c>
      <c r="AD4240">
        <v>-1.1095257663753</v>
      </c>
      <c r="AE4240">
        <v>-0.48720000000000102</v>
      </c>
      <c r="AF4240">
        <v>-0.30704887290539801</v>
      </c>
      <c r="AG4240">
        <v>-1.1095257663753</v>
      </c>
      <c r="AH4240">
        <v>13.6970665572955</v>
      </c>
      <c r="AI4240">
        <v>94.629953374843097</v>
      </c>
      <c r="AJ4240">
        <v>91.284191648884402</v>
      </c>
      <c r="AK4240">
        <v>13.7453613525285</v>
      </c>
      <c r="AL4240">
        <v>90.236145788060995</v>
      </c>
      <c r="AM4240">
        <v>101.482000654527</v>
      </c>
      <c r="AN4240">
        <v>1.0000000369481099</v>
      </c>
    </row>
    <row r="4241" spans="1:40" x14ac:dyDescent="0.25">
      <c r="A4241" t="str">
        <f>"20190305135914331"</f>
        <v>20190305135914331</v>
      </c>
      <c r="B4241" t="str">
        <f>"1551765554323085"</f>
        <v>1551765554323085</v>
      </c>
      <c r="C4241" t="s">
        <v>40</v>
      </c>
      <c r="D4241">
        <v>3.9632640000000001</v>
      </c>
      <c r="E4241">
        <v>0.52700669999999905</v>
      </c>
      <c r="F4241" t="s">
        <v>42</v>
      </c>
      <c r="G4241">
        <v>-389.82350000000002</v>
      </c>
      <c r="H4241" s="1">
        <v>-5.0608229999999997E-7</v>
      </c>
      <c r="I4241">
        <v>141.30000000000001</v>
      </c>
      <c r="J4241">
        <v>-375.72280000000001</v>
      </c>
      <c r="K4241">
        <v>1.109523</v>
      </c>
      <c r="L4241">
        <v>141.81710000000001</v>
      </c>
      <c r="M4241">
        <v>-0.99981929999999997</v>
      </c>
      <c r="N4241">
        <v>-1.3948510000000001E-2</v>
      </c>
      <c r="O4241">
        <v>-1.292306E-2</v>
      </c>
      <c r="P4241">
        <v>-0.97694559999999997</v>
      </c>
      <c r="Q4241">
        <v>-1.765473E-2</v>
      </c>
      <c r="R4241">
        <v>-0.2127578</v>
      </c>
      <c r="S4241">
        <v>-3.0419309999999999</v>
      </c>
      <c r="T4241">
        <v>-0.23492479999999999</v>
      </c>
      <c r="U4241">
        <v>-0.1101837</v>
      </c>
      <c r="V4241">
        <v>-0.2001136</v>
      </c>
      <c r="W4241">
        <v>-3.9877710000000002E-3</v>
      </c>
      <c r="X4241">
        <v>0.97976459999999999</v>
      </c>
      <c r="Y4241">
        <v>-2.3223250000000001E-2</v>
      </c>
      <c r="Z4241">
        <v>-2.4129420000000001E-4</v>
      </c>
      <c r="AA4241">
        <v>0.99973029999999996</v>
      </c>
      <c r="AB4241">
        <v>36</v>
      </c>
      <c r="AC4241">
        <v>-14.1007</v>
      </c>
      <c r="AD4241">
        <v>-1.1095235060823001</v>
      </c>
      <c r="AE4241">
        <v>-0.517099999999999</v>
      </c>
      <c r="AF4241">
        <v>-0.33275742641473499</v>
      </c>
      <c r="AG4241">
        <v>-1.1095235060823001</v>
      </c>
      <c r="AH4241">
        <v>14.0195209914132</v>
      </c>
      <c r="AI4241">
        <v>94.523763714205899</v>
      </c>
      <c r="AJ4241">
        <v>91.3596767725398</v>
      </c>
      <c r="AK4241">
        <v>14.067293227343299</v>
      </c>
      <c r="AL4241">
        <v>90.228483050492798</v>
      </c>
      <c r="AM4241">
        <v>101.543695020877</v>
      </c>
      <c r="AN4241">
        <v>1.0000000133178299</v>
      </c>
    </row>
    <row r="4242" spans="1:40" x14ac:dyDescent="0.25">
      <c r="A4242" t="str">
        <f>"20190305135914349"</f>
        <v>20190305135914349</v>
      </c>
      <c r="B4242" t="str">
        <f>"1551765554343581"</f>
        <v>1551765554343581</v>
      </c>
      <c r="C4242" t="s">
        <v>40</v>
      </c>
      <c r="D4242">
        <v>4.0202260000000001</v>
      </c>
      <c r="E4242">
        <v>0.51472309999999999</v>
      </c>
      <c r="F4242" t="s">
        <v>79</v>
      </c>
      <c r="G4242">
        <v>-408.76490000000001</v>
      </c>
      <c r="H4242" s="1">
        <v>-8.8486679999999996E-6</v>
      </c>
      <c r="I4242">
        <v>137.1318</v>
      </c>
      <c r="J4242">
        <v>-376.0034</v>
      </c>
      <c r="K4242">
        <v>1.109526</v>
      </c>
      <c r="L4242">
        <v>141.8134</v>
      </c>
      <c r="M4242">
        <v>-0.99981920000000002</v>
      </c>
      <c r="N4242">
        <v>-1.3946760000000001E-2</v>
      </c>
      <c r="O4242">
        <v>-1.2922390000000001E-2</v>
      </c>
      <c r="P4242">
        <v>-0.97648780000000002</v>
      </c>
      <c r="Q4242">
        <v>-1.7389780000000001E-2</v>
      </c>
      <c r="R4242">
        <v>-0.21487020000000001</v>
      </c>
      <c r="S4242">
        <v>-2.97702</v>
      </c>
      <c r="T4242">
        <v>-9.9966410000000006E-2</v>
      </c>
      <c r="U4242">
        <v>-0.42213440000000002</v>
      </c>
      <c r="V4242">
        <v>-0.20223289999999999</v>
      </c>
      <c r="W4242">
        <v>-3.7287510000000002E-3</v>
      </c>
      <c r="X4242">
        <v>0.97933040000000005</v>
      </c>
      <c r="Y4242">
        <v>-0.12748809999999999</v>
      </c>
      <c r="Z4242">
        <v>-2.7708960000000001E-3</v>
      </c>
      <c r="AA4242">
        <v>0.99183619999999995</v>
      </c>
      <c r="AB4242">
        <v>36</v>
      </c>
      <c r="AC4242">
        <v>-32.761499999999998</v>
      </c>
      <c r="AD4242">
        <v>-1.1095348486679999</v>
      </c>
      <c r="AE4242">
        <v>-4.6816000000000004</v>
      </c>
      <c r="AF4242">
        <v>-4.2530304426680603</v>
      </c>
      <c r="AG4242">
        <v>-1.1095348486679999</v>
      </c>
      <c r="AH4242">
        <v>32.782419110488199</v>
      </c>
      <c r="AI4242">
        <v>91.922361875835705</v>
      </c>
      <c r="AJ4242">
        <v>97.391986247163601</v>
      </c>
      <c r="AK4242">
        <v>33.075766631514</v>
      </c>
      <c r="AL4242">
        <v>90.213642181485497</v>
      </c>
      <c r="AM4242">
        <v>101.667645172383</v>
      </c>
      <c r="AN4242">
        <v>1.00000004089529</v>
      </c>
    </row>
    <row r="4243" spans="1:40" x14ac:dyDescent="0.25">
      <c r="A4243" t="str">
        <f>"20190305135914363"</f>
        <v>20190305135914363</v>
      </c>
      <c r="B4243" t="str">
        <f>"1551765554353341"</f>
        <v>1551765554353341</v>
      </c>
      <c r="C4243" t="s">
        <v>40</v>
      </c>
      <c r="D4243">
        <v>3.9759220000000002</v>
      </c>
      <c r="E4243">
        <v>0.51295519999999994</v>
      </c>
      <c r="F4243" t="s">
        <v>79</v>
      </c>
      <c r="G4243">
        <v>-408.6893</v>
      </c>
      <c r="H4243" s="1">
        <v>-8.3114869999999994E-6</v>
      </c>
      <c r="I4243">
        <v>136.01050000000001</v>
      </c>
      <c r="J4243">
        <v>-376.23309999999998</v>
      </c>
      <c r="K4243">
        <v>1.109524</v>
      </c>
      <c r="L4243">
        <v>141.81039999999999</v>
      </c>
      <c r="M4243">
        <v>-0.99981929999999997</v>
      </c>
      <c r="N4243">
        <v>-1.3945340000000001E-2</v>
      </c>
      <c r="O4243">
        <v>-1.2922339999999999E-2</v>
      </c>
      <c r="P4243">
        <v>-0.97624789999999995</v>
      </c>
      <c r="Q4243">
        <v>-1.7402190000000001E-2</v>
      </c>
      <c r="R4243">
        <v>-0.21595739999999999</v>
      </c>
      <c r="S4243">
        <v>-2.954987</v>
      </c>
      <c r="T4243">
        <v>-0.10030790000000001</v>
      </c>
      <c r="U4243">
        <v>-0.52461239999999998</v>
      </c>
      <c r="V4243">
        <v>-0.2033227</v>
      </c>
      <c r="W4243">
        <v>-3.744594E-3</v>
      </c>
      <c r="X4243">
        <v>0.97910459999999999</v>
      </c>
      <c r="Y4243">
        <v>-0.161936</v>
      </c>
      <c r="Z4243">
        <v>-3.6086339999999999E-3</v>
      </c>
      <c r="AA4243">
        <v>0.98679470000000002</v>
      </c>
      <c r="AB4243">
        <v>36</v>
      </c>
      <c r="AC4243">
        <v>-32.456200000000003</v>
      </c>
      <c r="AD4243">
        <v>-1.1095323114869999</v>
      </c>
      <c r="AE4243">
        <v>-5.7998999999999796</v>
      </c>
      <c r="AF4243">
        <v>-5.3738789687820399</v>
      </c>
      <c r="AG4243">
        <v>-1.1095323114869999</v>
      </c>
      <c r="AH4243">
        <v>32.491648704759903</v>
      </c>
      <c r="AI4243">
        <v>91.929596009989396</v>
      </c>
      <c r="AJ4243">
        <v>99.391283081339694</v>
      </c>
      <c r="AK4243">
        <v>32.951735503230701</v>
      </c>
      <c r="AL4243">
        <v>90.214549937879099</v>
      </c>
      <c r="AM4243">
        <v>101.73141275112999</v>
      </c>
      <c r="AN4243">
        <v>0.99999998003033697</v>
      </c>
    </row>
    <row r="4244" spans="1:40" x14ac:dyDescent="0.25">
      <c r="A4244" t="str">
        <f>"20190305135914382"</f>
        <v>20190305135914382</v>
      </c>
      <c r="B4244" t="str">
        <f>"1551765554372861"</f>
        <v>1551765554372861</v>
      </c>
      <c r="C4244" t="s">
        <v>40</v>
      </c>
      <c r="D4244">
        <v>3.8884080000000001</v>
      </c>
      <c r="E4244">
        <v>0.51324420000000004</v>
      </c>
      <c r="F4244" t="s">
        <v>79</v>
      </c>
      <c r="G4244">
        <v>-404.74829999999997</v>
      </c>
      <c r="H4244" s="1">
        <v>-6.0590090000000004E-6</v>
      </c>
      <c r="I4244">
        <v>136.5907</v>
      </c>
      <c r="J4244">
        <v>-376.53280000000001</v>
      </c>
      <c r="K4244">
        <v>1.109524</v>
      </c>
      <c r="L4244">
        <v>141.8065</v>
      </c>
      <c r="M4244">
        <v>-0.99981929999999997</v>
      </c>
      <c r="N4244">
        <v>-1.3943499999999999E-2</v>
      </c>
      <c r="O4244">
        <v>-1.292253E-2</v>
      </c>
      <c r="P4244">
        <v>-0.97567139999999997</v>
      </c>
      <c r="Q4244">
        <v>-1.7337200000000001E-2</v>
      </c>
      <c r="R4244">
        <v>-0.21855189999999999</v>
      </c>
      <c r="S4244">
        <v>-2.9514770000000001</v>
      </c>
      <c r="T4244">
        <v>-0.1148424</v>
      </c>
      <c r="U4244">
        <v>-0.54026790000000002</v>
      </c>
      <c r="V4244">
        <v>-0.20592440000000001</v>
      </c>
      <c r="W4244">
        <v>-3.6879629999999998E-3</v>
      </c>
      <c r="X4244">
        <v>0.97856089999999996</v>
      </c>
      <c r="Y4244">
        <v>-0.16716710000000001</v>
      </c>
      <c r="Z4244">
        <v>-4.0803430000000002E-3</v>
      </c>
      <c r="AA4244">
        <v>0.98592009999999997</v>
      </c>
      <c r="AB4244">
        <v>36</v>
      </c>
      <c r="AC4244">
        <v>-28.215499999999899</v>
      </c>
      <c r="AD4244">
        <v>-1.109530059009</v>
      </c>
      <c r="AE4244">
        <v>-5.2157999999999998</v>
      </c>
      <c r="AF4244">
        <v>-4.8434711759539404</v>
      </c>
      <c r="AG4244">
        <v>-1.109530059009</v>
      </c>
      <c r="AH4244">
        <v>28.238328458507901</v>
      </c>
      <c r="AI4244">
        <v>92.217734522141498</v>
      </c>
      <c r="AJ4244">
        <v>99.732732592184405</v>
      </c>
      <c r="AK4244">
        <v>28.672172295009599</v>
      </c>
      <c r="AL4244">
        <v>90.211305205034705</v>
      </c>
      <c r="AM4244">
        <v>101.88370052258399</v>
      </c>
      <c r="AN4244">
        <v>0.99999994729762798</v>
      </c>
    </row>
    <row r="4245" spans="1:40" x14ac:dyDescent="0.25">
      <c r="A4245" t="str">
        <f>"20190305135914396"</f>
        <v>20190305135914396</v>
      </c>
      <c r="B4245" t="str">
        <f>"1551765554383598"</f>
        <v>1551765554383598</v>
      </c>
      <c r="C4245" t="s">
        <v>40</v>
      </c>
      <c r="D4245">
        <v>3.944823</v>
      </c>
      <c r="E4245">
        <v>0.51297570000000003</v>
      </c>
      <c r="F4245" t="s">
        <v>79</v>
      </c>
      <c r="G4245">
        <v>-400.96629999999999</v>
      </c>
      <c r="H4245" s="1">
        <v>-4.6956460000000004E-6</v>
      </c>
      <c r="I4245">
        <v>137.303</v>
      </c>
      <c r="J4245">
        <v>-376.76119999999997</v>
      </c>
      <c r="K4245">
        <v>1.1095219999999999</v>
      </c>
      <c r="L4245">
        <v>141.80359999999999</v>
      </c>
      <c r="M4245">
        <v>-0.99981929999999997</v>
      </c>
      <c r="N4245">
        <v>-1.3942110000000001E-2</v>
      </c>
      <c r="O4245">
        <v>-1.292286E-2</v>
      </c>
      <c r="P4245">
        <v>-0.97543190000000002</v>
      </c>
      <c r="Q4245">
        <v>-1.736948E-2</v>
      </c>
      <c r="R4245">
        <v>-0.21961629999999999</v>
      </c>
      <c r="S4245">
        <v>-2.9505919999999999</v>
      </c>
      <c r="T4245">
        <v>-0.13398689999999999</v>
      </c>
      <c r="U4245">
        <v>-0.54385380000000005</v>
      </c>
      <c r="V4245">
        <v>-0.20699190000000001</v>
      </c>
      <c r="W4245">
        <v>-3.7242059999999999E-3</v>
      </c>
      <c r="X4245">
        <v>0.97833559999999997</v>
      </c>
      <c r="Y4245">
        <v>-0.16832710000000001</v>
      </c>
      <c r="Z4245">
        <v>-4.5693239999999996E-3</v>
      </c>
      <c r="AA4245">
        <v>0.98572059999999995</v>
      </c>
      <c r="AB4245">
        <v>36</v>
      </c>
      <c r="AC4245">
        <v>-24.205100000000002</v>
      </c>
      <c r="AD4245">
        <v>-1.1095266956459999</v>
      </c>
      <c r="AE4245">
        <v>-4.5005999999999897</v>
      </c>
      <c r="AF4245">
        <v>-4.1789074030649704</v>
      </c>
      <c r="AG4245">
        <v>-1.1095266956459999</v>
      </c>
      <c r="AH4245">
        <v>24.212070970478798</v>
      </c>
      <c r="AI4245">
        <v>92.585587844263202</v>
      </c>
      <c r="AJ4245">
        <v>99.792546874564707</v>
      </c>
      <c r="AK4245">
        <v>24.595094983578399</v>
      </c>
      <c r="AL4245">
        <v>90.213381772417193</v>
      </c>
      <c r="AM4245">
        <v>101.94621157900799</v>
      </c>
      <c r="AN4245">
        <v>1.0000000313016399</v>
      </c>
    </row>
    <row r="4246" spans="1:40" x14ac:dyDescent="0.25">
      <c r="A4246" t="str">
        <f>"20190305135914411"</f>
        <v>20190305135914411</v>
      </c>
      <c r="B4246" t="str">
        <f>"1551765554403117"</f>
        <v>1551765554403117</v>
      </c>
      <c r="C4246" t="s">
        <v>40</v>
      </c>
      <c r="D4246">
        <v>3.9436680000000002</v>
      </c>
      <c r="E4246">
        <v>0.51259460000000001</v>
      </c>
      <c r="F4246" t="s">
        <v>79</v>
      </c>
      <c r="G4246">
        <v>-400.0016</v>
      </c>
      <c r="H4246" s="1">
        <v>-4.240651E-6</v>
      </c>
      <c r="I4246">
        <v>137.4821</v>
      </c>
      <c r="J4246">
        <v>-376.99579999999997</v>
      </c>
      <c r="K4246">
        <v>1.109521</v>
      </c>
      <c r="L4246">
        <v>141.8006</v>
      </c>
      <c r="M4246">
        <v>-0.99981929999999997</v>
      </c>
      <c r="N4246">
        <v>-1.39407E-2</v>
      </c>
      <c r="O4246">
        <v>-1.2922960000000001E-2</v>
      </c>
      <c r="P4246">
        <v>-0.97517659999999995</v>
      </c>
      <c r="Q4246">
        <v>-1.7185240000000001E-2</v>
      </c>
      <c r="R4246">
        <v>-0.2207607</v>
      </c>
      <c r="S4246">
        <v>-2.949554</v>
      </c>
      <c r="T4246">
        <v>-0.14081569999999999</v>
      </c>
      <c r="U4246">
        <v>-0.54846189999999995</v>
      </c>
      <c r="V4246">
        <v>-0.20813899999999999</v>
      </c>
      <c r="W4246">
        <v>-3.5442989999999999E-3</v>
      </c>
      <c r="X4246">
        <v>0.97809279999999998</v>
      </c>
      <c r="Y4246">
        <v>-0.16985610000000001</v>
      </c>
      <c r="Z4246">
        <v>-4.7802570000000004E-3</v>
      </c>
      <c r="AA4246">
        <v>0.98545729999999998</v>
      </c>
      <c r="AB4246">
        <v>36</v>
      </c>
      <c r="AC4246">
        <v>-23.005800000000001</v>
      </c>
      <c r="AD4246">
        <v>-1.1095252406510001</v>
      </c>
      <c r="AE4246">
        <v>-4.3185000000000002</v>
      </c>
      <c r="AF4246">
        <v>-4.0117937737081499</v>
      </c>
      <c r="AG4246">
        <v>-1.1095252406510001</v>
      </c>
      <c r="AH4246">
        <v>23.0079978912412</v>
      </c>
      <c r="AI4246">
        <v>92.719887796342405</v>
      </c>
      <c r="AJ4246">
        <v>99.890950201297301</v>
      </c>
      <c r="AK4246">
        <v>23.381477765653901</v>
      </c>
      <c r="AL4246">
        <v>90.203073806232197</v>
      </c>
      <c r="AM4246">
        <v>102.013392150651</v>
      </c>
      <c r="AN4246">
        <v>0.99999996539411995</v>
      </c>
    </row>
    <row r="4247" spans="1:40" x14ac:dyDescent="0.25">
      <c r="A4247" t="str">
        <f>"20190305135914426"</f>
        <v>20190305135914426</v>
      </c>
      <c r="B4247" t="str">
        <f>"1551765554412877"</f>
        <v>1551765554412877</v>
      </c>
      <c r="C4247" t="s">
        <v>40</v>
      </c>
      <c r="D4247">
        <v>3.9565589999999999</v>
      </c>
      <c r="E4247">
        <v>0.5124069</v>
      </c>
      <c r="F4247" t="s">
        <v>42</v>
      </c>
      <c r="G4247">
        <v>-398.94650000000001</v>
      </c>
      <c r="H4247" s="1">
        <v>-8.6105889999999999E-7</v>
      </c>
      <c r="I4247">
        <v>137.67500000000001</v>
      </c>
      <c r="J4247">
        <v>-377.22609999999997</v>
      </c>
      <c r="K4247">
        <v>1.1095200000000001</v>
      </c>
      <c r="L4247">
        <v>141.79759999999999</v>
      </c>
      <c r="M4247">
        <v>-0.99981949999999997</v>
      </c>
      <c r="N4247">
        <v>-1.393933E-2</v>
      </c>
      <c r="O4247">
        <v>-1.292306E-2</v>
      </c>
      <c r="P4247">
        <v>-0.97463390000000005</v>
      </c>
      <c r="Q4247">
        <v>-1.759113E-2</v>
      </c>
      <c r="R4247">
        <v>-0.22311339999999999</v>
      </c>
      <c r="S4247">
        <v>-2.9483030000000001</v>
      </c>
      <c r="T4247">
        <v>-0.1490253</v>
      </c>
      <c r="U4247">
        <v>-0.55410769999999998</v>
      </c>
      <c r="V4247">
        <v>-0.21049850000000001</v>
      </c>
      <c r="W4247">
        <v>-3.9582899999999997E-3</v>
      </c>
      <c r="X4247">
        <v>0.97758619999999996</v>
      </c>
      <c r="Y4247">
        <v>-0.17172660000000001</v>
      </c>
      <c r="Z4247">
        <v>-5.039623E-3</v>
      </c>
      <c r="AA4247">
        <v>0.98513170000000005</v>
      </c>
      <c r="AB4247">
        <v>36</v>
      </c>
      <c r="AC4247">
        <v>-21.720400000000001</v>
      </c>
      <c r="AD4247">
        <v>-1.10952086105889</v>
      </c>
      <c r="AE4247">
        <v>-4.1225999999999701</v>
      </c>
      <c r="AF4247">
        <v>-3.8318833024380599</v>
      </c>
      <c r="AG4247">
        <v>-1.10952086105889</v>
      </c>
      <c r="AH4247">
        <v>21.717170042284501</v>
      </c>
      <c r="AI4247">
        <v>92.880258892629499</v>
      </c>
      <c r="AJ4247">
        <v>100.00655089916199</v>
      </c>
      <c r="AK4247">
        <v>22.0805308095192</v>
      </c>
      <c r="AL4247">
        <v>90.226793895958195</v>
      </c>
      <c r="AM4247">
        <v>102.151663458916</v>
      </c>
      <c r="AN4247">
        <v>1.0000000324962</v>
      </c>
    </row>
    <row r="4248" spans="1:40" x14ac:dyDescent="0.25">
      <c r="A4248" t="str">
        <f>"20190305135914441"</f>
        <v>20190305135914441</v>
      </c>
      <c r="B4248" t="str">
        <f>"1551765554433373"</f>
        <v>1551765554433373</v>
      </c>
      <c r="C4248" t="s">
        <v>40</v>
      </c>
      <c r="D4248">
        <v>3.9487860000000001</v>
      </c>
      <c r="E4248">
        <v>0.51195230000000003</v>
      </c>
      <c r="F4248" t="s">
        <v>42</v>
      </c>
      <c r="G4248">
        <v>-398.53550000000001</v>
      </c>
      <c r="H4248" s="1">
        <v>-9.8627310000000003E-7</v>
      </c>
      <c r="I4248">
        <v>137.73009999999999</v>
      </c>
      <c r="J4248">
        <v>-377.47089999999997</v>
      </c>
      <c r="K4248">
        <v>1.109521</v>
      </c>
      <c r="L4248">
        <v>141.7944</v>
      </c>
      <c r="M4248">
        <v>-0.99981949999999997</v>
      </c>
      <c r="N4248">
        <v>-1.393786E-2</v>
      </c>
      <c r="O4248">
        <v>-1.2923280000000001E-2</v>
      </c>
      <c r="P4248">
        <v>-0.97431270000000003</v>
      </c>
      <c r="Q4248">
        <v>-1.7915440000000001E-2</v>
      </c>
      <c r="R4248">
        <v>-0.22448599999999999</v>
      </c>
      <c r="S4248">
        <v>-2.9465940000000002</v>
      </c>
      <c r="T4248">
        <v>-0.15342149999999999</v>
      </c>
      <c r="U4248">
        <v>-0.56242369999999997</v>
      </c>
      <c r="V4248">
        <v>-0.21187500000000001</v>
      </c>
      <c r="W4248">
        <v>-4.2879479999999998E-3</v>
      </c>
      <c r="X4248">
        <v>0.97728740000000003</v>
      </c>
      <c r="Y4248">
        <v>-0.17449489999999901</v>
      </c>
      <c r="Z4248">
        <v>-5.2394269999999996E-3</v>
      </c>
      <c r="AA4248">
        <v>0.98464410000000002</v>
      </c>
      <c r="AB4248">
        <v>36</v>
      </c>
      <c r="AC4248">
        <v>-21.064599999999999</v>
      </c>
      <c r="AD4248">
        <v>-1.1095219862731001</v>
      </c>
      <c r="AE4248">
        <v>-4.0643000000000002</v>
      </c>
      <c r="AF4248">
        <v>-3.7815953891543601</v>
      </c>
      <c r="AG4248">
        <v>-1.1095219862731001</v>
      </c>
      <c r="AH4248">
        <v>21.05904103049</v>
      </c>
      <c r="AI4248">
        <v>92.968517114598995</v>
      </c>
      <c r="AJ4248">
        <v>100.180169595205</v>
      </c>
      <c r="AK4248">
        <v>21.424628628033599</v>
      </c>
      <c r="AL4248">
        <v>90.245682068146195</v>
      </c>
      <c r="AM4248">
        <v>102.232368501434</v>
      </c>
      <c r="AN4248">
        <v>1.0000000321608999</v>
      </c>
    </row>
    <row r="4249" spans="1:40" x14ac:dyDescent="0.25">
      <c r="A4249" t="str">
        <f>"20190305135914460"</f>
        <v>20190305135914460</v>
      </c>
      <c r="B4249" t="str">
        <f>"1551765554452896"</f>
        <v>1551765554452896</v>
      </c>
      <c r="C4249" t="s">
        <v>40</v>
      </c>
      <c r="D4249">
        <v>3.9802879999999998</v>
      </c>
      <c r="E4249">
        <v>0.5116309</v>
      </c>
      <c r="F4249" t="s">
        <v>42</v>
      </c>
      <c r="G4249">
        <v>-397.62610000000001</v>
      </c>
      <c r="H4249" s="1">
        <v>-1.3056250000000001E-6</v>
      </c>
      <c r="I4249">
        <v>137.89709999999999</v>
      </c>
      <c r="J4249">
        <v>-377.76920000000001</v>
      </c>
      <c r="K4249">
        <v>1.109515</v>
      </c>
      <c r="L4249">
        <v>141.79050000000001</v>
      </c>
      <c r="M4249">
        <v>-0.99981929999999997</v>
      </c>
      <c r="N4249">
        <v>-1.393608E-2</v>
      </c>
      <c r="O4249">
        <v>-1.292362E-2</v>
      </c>
      <c r="P4249">
        <v>-0.97367599999999999</v>
      </c>
      <c r="Q4249">
        <v>-1.84466E-2</v>
      </c>
      <c r="R4249">
        <v>-0.22718920000000001</v>
      </c>
      <c r="S4249">
        <v>-2.9449160000000001</v>
      </c>
      <c r="T4249">
        <v>-0.16211439999999999</v>
      </c>
      <c r="U4249">
        <v>-0.56942749999999998</v>
      </c>
      <c r="V4249">
        <v>-0.21458530000000001</v>
      </c>
      <c r="W4249">
        <v>-4.8288360000000004E-3</v>
      </c>
      <c r="X4249">
        <v>0.97669329999999999</v>
      </c>
      <c r="Y4249">
        <v>-0.1768226</v>
      </c>
      <c r="Z4249">
        <v>-5.5376180000000002E-3</v>
      </c>
      <c r="AA4249">
        <v>0.98422719999999997</v>
      </c>
      <c r="AB4249">
        <v>35</v>
      </c>
      <c r="AC4249">
        <v>-19.8569</v>
      </c>
      <c r="AD4249">
        <v>-1.1095163056249999</v>
      </c>
      <c r="AE4249">
        <v>-3.89340000000001</v>
      </c>
      <c r="AF4249">
        <v>-3.62552667023308</v>
      </c>
      <c r="AG4249">
        <v>-1.1095163056249999</v>
      </c>
      <c r="AH4249">
        <v>19.845896391132801</v>
      </c>
      <c r="AI4249">
        <v>93.147890913568801</v>
      </c>
      <c r="AJ4249">
        <v>100.352856443056</v>
      </c>
      <c r="AK4249">
        <v>20.204827978396601</v>
      </c>
      <c r="AL4249">
        <v>90.276673002021496</v>
      </c>
      <c r="AM4249">
        <v>102.391345860217</v>
      </c>
      <c r="AN4249">
        <v>0.999999985449047</v>
      </c>
    </row>
    <row r="4250" spans="1:40" x14ac:dyDescent="0.25">
      <c r="A4250" t="str">
        <f>"20190305135914474"</f>
        <v>20190305135914474</v>
      </c>
      <c r="B4250" t="str">
        <f>"1551765554463630"</f>
        <v>1551765554463630</v>
      </c>
      <c r="C4250" t="s">
        <v>40</v>
      </c>
      <c r="D4250">
        <v>4.023752</v>
      </c>
      <c r="E4250">
        <v>0.51156299999999999</v>
      </c>
      <c r="F4250" t="s">
        <v>42</v>
      </c>
      <c r="G4250">
        <v>-397.27289999999999</v>
      </c>
      <c r="H4250" s="1">
        <v>-1.4481149999999999E-6</v>
      </c>
      <c r="I4250">
        <v>137.94810000000001</v>
      </c>
      <c r="J4250">
        <v>-377.98970000000003</v>
      </c>
      <c r="K4250">
        <v>1.109515</v>
      </c>
      <c r="L4250">
        <v>141.7877</v>
      </c>
      <c r="M4250">
        <v>-0.99981960000000003</v>
      </c>
      <c r="N4250">
        <v>-1.3934770000000001E-2</v>
      </c>
      <c r="O4250">
        <v>-1.2924079999999999E-2</v>
      </c>
      <c r="P4250">
        <v>-0.97335130000000003</v>
      </c>
      <c r="Q4250">
        <v>-1.8517490000000001E-2</v>
      </c>
      <c r="R4250">
        <v>-0.22857130000000001</v>
      </c>
      <c r="S4250">
        <v>-2.942688</v>
      </c>
      <c r="T4250">
        <v>-0.16740269999999999</v>
      </c>
      <c r="U4250">
        <v>-0.5797272</v>
      </c>
      <c r="V4250">
        <v>-0.21597150000000001</v>
      </c>
      <c r="W4250">
        <v>-4.9050550000000002E-3</v>
      </c>
      <c r="X4250">
        <v>0.97638729999999996</v>
      </c>
      <c r="Y4250">
        <v>-0.1802531</v>
      </c>
      <c r="Z4250">
        <v>-5.7943730000000002E-3</v>
      </c>
      <c r="AA4250">
        <v>0.98360320000000001</v>
      </c>
      <c r="AB4250">
        <v>35</v>
      </c>
      <c r="AC4250">
        <v>-19.283199999999901</v>
      </c>
      <c r="AD4250">
        <v>-1.1095164481149999</v>
      </c>
      <c r="AE4250">
        <v>-3.8395999999999901</v>
      </c>
      <c r="AF4250">
        <v>-3.5786417804424602</v>
      </c>
      <c r="AG4250">
        <v>-1.1095164481149999</v>
      </c>
      <c r="AH4250">
        <v>19.269854963203599</v>
      </c>
      <c r="AI4250">
        <v>93.240050118280607</v>
      </c>
      <c r="AJ4250">
        <v>100.52065333660801</v>
      </c>
      <c r="AK4250">
        <v>19.630716085875999</v>
      </c>
      <c r="AL4250">
        <v>90.281040089668494</v>
      </c>
      <c r="AM4250">
        <v>102.472682349794</v>
      </c>
      <c r="AN4250">
        <v>0.99999995398904495</v>
      </c>
    </row>
    <row r="4251" spans="1:40" x14ac:dyDescent="0.25">
      <c r="A4251" t="str">
        <f>"20190305135914492"</f>
        <v>20190305135914492</v>
      </c>
      <c r="B4251" t="str">
        <f>"1551765554483149"</f>
        <v>1551765554483149</v>
      </c>
      <c r="C4251" t="s">
        <v>40</v>
      </c>
      <c r="D4251">
        <v>3.9607670000000001</v>
      </c>
      <c r="E4251">
        <v>0.51139209999999902</v>
      </c>
      <c r="F4251" t="s">
        <v>42</v>
      </c>
      <c r="G4251">
        <v>-397.2937</v>
      </c>
      <c r="H4251" s="1">
        <v>-1.4380949999999999E-6</v>
      </c>
      <c r="I4251">
        <v>137.95419999999999</v>
      </c>
      <c r="J4251">
        <v>-378.28489999999999</v>
      </c>
      <c r="K4251">
        <v>1.1095109999999999</v>
      </c>
      <c r="L4251">
        <v>141.78389999999999</v>
      </c>
      <c r="M4251">
        <v>-0.99981949999999997</v>
      </c>
      <c r="N4251">
        <v>-1.3933040000000001E-2</v>
      </c>
      <c r="O4251">
        <v>-1.2924420000000001E-2</v>
      </c>
      <c r="P4251">
        <v>-0.97270919999999905</v>
      </c>
      <c r="Q4251">
        <v>-1.9204539999999999E-2</v>
      </c>
      <c r="R4251">
        <v>-0.2312322</v>
      </c>
      <c r="S4251">
        <v>-2.9417420000000001</v>
      </c>
      <c r="T4251">
        <v>-0.16907939999999999</v>
      </c>
      <c r="U4251">
        <v>-0.58416749999999995</v>
      </c>
      <c r="V4251">
        <v>-0.21864</v>
      </c>
      <c r="W4251">
        <v>-5.6018730000000003E-3</v>
      </c>
      <c r="X4251">
        <v>0.97578949999999998</v>
      </c>
      <c r="Y4251">
        <v>-0.18173230000000001</v>
      </c>
      <c r="Z4251">
        <v>-5.8910569999999999E-3</v>
      </c>
      <c r="AA4251">
        <v>0.98333040000000005</v>
      </c>
      <c r="AB4251">
        <v>35</v>
      </c>
      <c r="AC4251">
        <v>-19.008800000000001</v>
      </c>
      <c r="AD4251">
        <v>-1.1095124380949899</v>
      </c>
      <c r="AE4251">
        <v>-3.8296999999999999</v>
      </c>
      <c r="AF4251">
        <v>-3.5719839433020701</v>
      </c>
      <c r="AG4251">
        <v>-1.1095124380949899</v>
      </c>
      <c r="AH4251">
        <v>18.994525867599801</v>
      </c>
      <c r="AI4251">
        <v>93.285514764717107</v>
      </c>
      <c r="AJ4251">
        <v>100.650279253428</v>
      </c>
      <c r="AK4251">
        <v>19.359289761672901</v>
      </c>
      <c r="AL4251">
        <v>90.320965362372107</v>
      </c>
      <c r="AM4251">
        <v>102.629367779706</v>
      </c>
      <c r="AN4251">
        <v>0.99999998944567903</v>
      </c>
    </row>
    <row r="4252" spans="1:40" x14ac:dyDescent="0.25">
      <c r="A4252" t="str">
        <f>"20190305135914516"</f>
        <v>20190305135914516</v>
      </c>
      <c r="B4252" t="str">
        <f>"1551765554503645"</f>
        <v>1551765554503645</v>
      </c>
      <c r="C4252" t="s">
        <v>40</v>
      </c>
      <c r="D4252">
        <v>3.9888560000000002</v>
      </c>
      <c r="E4252">
        <v>0.51131709999999997</v>
      </c>
      <c r="F4252" t="s">
        <v>42</v>
      </c>
      <c r="G4252">
        <v>-397.03230000000002</v>
      </c>
      <c r="H4252" s="1">
        <v>-1.5420849999999901E-6</v>
      </c>
      <c r="I4252">
        <v>138.00020000000001</v>
      </c>
      <c r="J4252">
        <v>-378.65069999999997</v>
      </c>
      <c r="K4252">
        <v>1.1095079999999999</v>
      </c>
      <c r="L4252">
        <v>141.7791</v>
      </c>
      <c r="M4252">
        <v>-0.99981949999999997</v>
      </c>
      <c r="N4252">
        <v>-1.3930909999999999E-2</v>
      </c>
      <c r="O4252">
        <v>-1.292487E-2</v>
      </c>
      <c r="P4252">
        <v>-0.97204349999999995</v>
      </c>
      <c r="Q4252">
        <v>-1.9669780000000001E-2</v>
      </c>
      <c r="R4252">
        <v>-0.2339764</v>
      </c>
      <c r="S4252">
        <v>-2.9396969999999998</v>
      </c>
      <c r="T4252">
        <v>-0.17397760000000001</v>
      </c>
      <c r="U4252">
        <v>-0.59329219999999905</v>
      </c>
      <c r="V4252">
        <v>-0.22139210000000001</v>
      </c>
      <c r="W4252">
        <v>-6.0776119999999996E-3</v>
      </c>
      <c r="X4252">
        <v>0.97516599999999998</v>
      </c>
      <c r="Y4252">
        <v>-0.1847714</v>
      </c>
      <c r="Z4252">
        <v>-6.1315240000000002E-3</v>
      </c>
      <c r="AA4252">
        <v>0.98276240000000004</v>
      </c>
      <c r="AB4252">
        <v>35</v>
      </c>
      <c r="AC4252">
        <v>-18.381599999999999</v>
      </c>
      <c r="AD4252">
        <v>-1.1095095420850001</v>
      </c>
      <c r="AE4252">
        <v>-3.7788999999999899</v>
      </c>
      <c r="AF4252">
        <v>-3.52864682835345</v>
      </c>
      <c r="AG4252">
        <v>-1.1095095420850001</v>
      </c>
      <c r="AH4252">
        <v>18.364715675361399</v>
      </c>
      <c r="AI4252">
        <v>93.395379169379893</v>
      </c>
      <c r="AJ4252">
        <v>100.876412879467</v>
      </c>
      <c r="AK4252">
        <v>18.733529878271501</v>
      </c>
      <c r="AL4252">
        <v>90.348223638795503</v>
      </c>
      <c r="AM4252">
        <v>102.79105029944</v>
      </c>
      <c r="AN4252">
        <v>1.00000006343301</v>
      </c>
    </row>
    <row r="4253" spans="1:40" x14ac:dyDescent="0.25">
      <c r="A4253" t="str">
        <f>"20190305135914540"</f>
        <v>20190305135914540</v>
      </c>
      <c r="B4253" t="str">
        <f>"1551765554532925"</f>
        <v>1551765554532925</v>
      </c>
      <c r="C4253" t="s">
        <v>40</v>
      </c>
      <c r="D4253">
        <v>4.0309239999999997</v>
      </c>
      <c r="E4253">
        <v>0.51155810000000002</v>
      </c>
      <c r="F4253" t="s">
        <v>42</v>
      </c>
      <c r="G4253">
        <v>-397.03089999999997</v>
      </c>
      <c r="H4253" s="1">
        <v>-1.54051799999999E-6</v>
      </c>
      <c r="I4253">
        <v>138.01249999999999</v>
      </c>
      <c r="J4253">
        <v>-379.02280000000002</v>
      </c>
      <c r="K4253">
        <v>1.1095109999999999</v>
      </c>
      <c r="L4253">
        <v>141.77430000000001</v>
      </c>
      <c r="M4253">
        <v>-0.99981949999999997</v>
      </c>
      <c r="N4253">
        <v>-1.392851E-2</v>
      </c>
      <c r="O4253">
        <v>-1.2924969999999999E-2</v>
      </c>
      <c r="P4253">
        <v>-0.97135709999999997</v>
      </c>
      <c r="Q4253">
        <v>-1.968994E-2</v>
      </c>
      <c r="R4253">
        <v>-0.2368073</v>
      </c>
      <c r="S4253">
        <v>-2.9377749999999998</v>
      </c>
      <c r="T4253">
        <v>-0.17733779999999999</v>
      </c>
      <c r="U4253">
        <v>-0.60202029999999995</v>
      </c>
      <c r="V4253">
        <v>-0.22423180000000001</v>
      </c>
      <c r="W4253">
        <v>-6.1088790000000002E-3</v>
      </c>
      <c r="X4253">
        <v>0.97451670000000001</v>
      </c>
      <c r="Y4253">
        <v>-0.1876796</v>
      </c>
      <c r="Z4253">
        <v>-6.3302690000000003E-3</v>
      </c>
      <c r="AA4253">
        <v>0.98220989999999997</v>
      </c>
      <c r="AB4253">
        <v>35</v>
      </c>
      <c r="AC4253">
        <v>-18.008099999999899</v>
      </c>
      <c r="AD4253">
        <v>-1.109512540518</v>
      </c>
      <c r="AE4253">
        <v>-3.76180000000002</v>
      </c>
      <c r="AF4253">
        <v>-3.5159205315365498</v>
      </c>
      <c r="AG4253">
        <v>-1.109512540518</v>
      </c>
      <c r="AH4253">
        <v>17.9897870862136</v>
      </c>
      <c r="AI4253">
        <v>93.463852960229701</v>
      </c>
      <c r="AJ4253">
        <v>101.05848303398299</v>
      </c>
      <c r="AK4253">
        <v>18.363691204900601</v>
      </c>
      <c r="AL4253">
        <v>90.350015158285302</v>
      </c>
      <c r="AM4253">
        <v>102.95795524545601</v>
      </c>
      <c r="AN4253">
        <v>1.00000000855638</v>
      </c>
    </row>
    <row r="4254" spans="1:40" x14ac:dyDescent="0.25">
      <c r="A4254" t="str">
        <f>"20190305135914561"</f>
        <v>20190305135914561</v>
      </c>
      <c r="B4254" t="str">
        <f>"1551765554553421"</f>
        <v>1551765554553421</v>
      </c>
      <c r="C4254" t="s">
        <v>40</v>
      </c>
      <c r="D4254">
        <v>3.9884360000000001</v>
      </c>
      <c r="E4254">
        <v>0.51174430000000004</v>
      </c>
      <c r="F4254" t="s">
        <v>42</v>
      </c>
      <c r="G4254">
        <v>-397.2432</v>
      </c>
      <c r="H4254" s="1">
        <v>-1.4519229999999901E-6</v>
      </c>
      <c r="I4254">
        <v>137.99850000000001</v>
      </c>
      <c r="J4254">
        <v>-379.36779999999999</v>
      </c>
      <c r="K4254">
        <v>1.1095159999999999</v>
      </c>
      <c r="L4254">
        <v>141.7698</v>
      </c>
      <c r="M4254">
        <v>-0.99981960000000003</v>
      </c>
      <c r="N4254">
        <v>-1.3926539999999999E-2</v>
      </c>
      <c r="O4254">
        <v>-1.2925310000000001E-2</v>
      </c>
      <c r="P4254">
        <v>-0.97062550000000003</v>
      </c>
      <c r="Q4254">
        <v>-1.95123E-2</v>
      </c>
      <c r="R4254">
        <v>-0.23980409999999999</v>
      </c>
      <c r="S4254">
        <v>-2.9364620000000001</v>
      </c>
      <c r="T4254">
        <v>-0.178813</v>
      </c>
      <c r="U4254">
        <v>-0.60850519999999997</v>
      </c>
      <c r="V4254">
        <v>-0.22723740000000001</v>
      </c>
      <c r="W4254">
        <v>-5.9425980000000003E-3</v>
      </c>
      <c r="X4254">
        <v>0.9738213</v>
      </c>
      <c r="Y4254">
        <v>-0.18983520000000001</v>
      </c>
      <c r="Z4254">
        <v>-6.451554E-3</v>
      </c>
      <c r="AA4254">
        <v>0.98179479999999997</v>
      </c>
      <c r="AB4254">
        <v>35</v>
      </c>
      <c r="AC4254">
        <v>-17.875399999999999</v>
      </c>
      <c r="AD4254">
        <v>-1.109517451923</v>
      </c>
      <c r="AE4254">
        <v>-3.7712999999999899</v>
      </c>
      <c r="AF4254">
        <v>-3.5269086189673802</v>
      </c>
      <c r="AG4254">
        <v>-1.109517451923</v>
      </c>
      <c r="AH4254">
        <v>17.856792588936798</v>
      </c>
      <c r="AI4254">
        <v>93.488239602673602</v>
      </c>
      <c r="AJ4254">
        <v>101.17272943459</v>
      </c>
      <c r="AK4254">
        <v>18.235546466913899</v>
      </c>
      <c r="AL4254">
        <v>90.340487776059106</v>
      </c>
      <c r="AM4254">
        <v>103.13471587521801</v>
      </c>
      <c r="AN4254">
        <v>1.0000000373817099</v>
      </c>
    </row>
    <row r="4255" spans="1:40" x14ac:dyDescent="0.25">
      <c r="A4255" t="str">
        <f>"20190305135914574"</f>
        <v>20190305135914574</v>
      </c>
      <c r="B4255" t="str">
        <f>"1551765554563183"</f>
        <v>1551765554563183</v>
      </c>
      <c r="C4255" t="s">
        <v>40</v>
      </c>
      <c r="D4255">
        <v>4.0387269999999997</v>
      </c>
      <c r="E4255">
        <v>0.51171140000000004</v>
      </c>
      <c r="F4255" t="s">
        <v>42</v>
      </c>
      <c r="G4255">
        <v>-397.59070000000003</v>
      </c>
      <c r="H4255" s="1">
        <v>-1.312381E-6</v>
      </c>
      <c r="I4255">
        <v>137.94470000000001</v>
      </c>
      <c r="J4255">
        <v>-379.5933</v>
      </c>
      <c r="K4255">
        <v>1.109515</v>
      </c>
      <c r="L4255">
        <v>141.76689999999999</v>
      </c>
      <c r="M4255">
        <v>-0.99981960000000003</v>
      </c>
      <c r="N4255">
        <v>-1.3925420000000001E-2</v>
      </c>
      <c r="O4255">
        <v>-1.2925539999999999E-2</v>
      </c>
      <c r="P4255">
        <v>-0.97016729999999995</v>
      </c>
      <c r="Q4255">
        <v>-1.9588310000000001E-2</v>
      </c>
      <c r="R4255">
        <v>-0.24164430000000001</v>
      </c>
      <c r="S4255">
        <v>-2.9349669999999999</v>
      </c>
      <c r="T4255">
        <v>-0.17869779999999999</v>
      </c>
      <c r="U4255">
        <v>-0.61605829999999995</v>
      </c>
      <c r="V4255">
        <v>-0.22908319999999999</v>
      </c>
      <c r="W4255">
        <v>-6.025608E-3</v>
      </c>
      <c r="X4255">
        <v>0.97338820000000004</v>
      </c>
      <c r="Y4255">
        <v>-0.19234979999999999</v>
      </c>
      <c r="Z4255">
        <v>-6.5431090000000001E-3</v>
      </c>
      <c r="AA4255">
        <v>0.98130459999999997</v>
      </c>
      <c r="AB4255">
        <v>35</v>
      </c>
      <c r="AC4255">
        <v>-17.997399999999999</v>
      </c>
      <c r="AD4255">
        <v>-1.1095163123809999</v>
      </c>
      <c r="AE4255">
        <v>-3.8221999999999801</v>
      </c>
      <c r="AF4255">
        <v>-3.5762268904763101</v>
      </c>
      <c r="AG4255">
        <v>-1.1095163123809999</v>
      </c>
      <c r="AH4255">
        <v>17.979920276497801</v>
      </c>
      <c r="AI4255">
        <v>93.463490446970496</v>
      </c>
      <c r="AJ4255">
        <v>101.249381968129</v>
      </c>
      <c r="AK4255">
        <v>18.365673370960899</v>
      </c>
      <c r="AL4255">
        <v>90.345243995160004</v>
      </c>
      <c r="AM4255">
        <v>103.243346657928</v>
      </c>
      <c r="AN4255">
        <v>1.0000000041866199</v>
      </c>
    </row>
    <row r="4256" spans="1:40" x14ac:dyDescent="0.25">
      <c r="A4256" t="str">
        <f>"20190305135914593"</f>
        <v>20190305135914593</v>
      </c>
      <c r="B4256" t="str">
        <f>"1551765554582701"</f>
        <v>1551765554582701</v>
      </c>
      <c r="C4256" t="s">
        <v>40</v>
      </c>
      <c r="D4256">
        <v>4.1314390000000003</v>
      </c>
      <c r="E4256">
        <v>0.46845150000000002</v>
      </c>
      <c r="F4256" t="s">
        <v>42</v>
      </c>
      <c r="G4256">
        <v>-397.78769999999997</v>
      </c>
      <c r="H4256" s="1">
        <v>-1.2341599999999999E-6</v>
      </c>
      <c r="I4256">
        <v>137.9092</v>
      </c>
      <c r="J4256">
        <v>-379.87200000000001</v>
      </c>
      <c r="K4256">
        <v>1.109521</v>
      </c>
      <c r="L4256">
        <v>141.76329999999999</v>
      </c>
      <c r="M4256">
        <v>-0.99981960000000003</v>
      </c>
      <c r="N4256">
        <v>-1.3923909999999999E-2</v>
      </c>
      <c r="O4256">
        <v>-1.2925529999999999E-2</v>
      </c>
      <c r="P4256">
        <v>-0.96915530000000005</v>
      </c>
      <c r="Q4256">
        <v>-1.995858E-2</v>
      </c>
      <c r="R4256">
        <v>-0.24564230000000001</v>
      </c>
      <c r="S4256">
        <v>-2.9336850000000001</v>
      </c>
      <c r="T4256">
        <v>-0.1789</v>
      </c>
      <c r="U4256">
        <v>-0.62199399999999905</v>
      </c>
      <c r="V4256">
        <v>-0.2330941</v>
      </c>
      <c r="W4256">
        <v>-6.4104499999999998E-3</v>
      </c>
      <c r="X4256">
        <v>0.97243299999999999</v>
      </c>
      <c r="Y4256">
        <v>-0.19433110000000001</v>
      </c>
      <c r="Z4256">
        <v>-6.6236180000000004E-3</v>
      </c>
      <c r="AA4256">
        <v>0.98091360000000005</v>
      </c>
      <c r="AB4256">
        <v>35</v>
      </c>
      <c r="AC4256">
        <v>-17.915700000000001</v>
      </c>
      <c r="AD4256">
        <v>-1.10952223416</v>
      </c>
      <c r="AE4256">
        <v>-3.8540999999999799</v>
      </c>
      <c r="AF4256">
        <v>-3.6089562654743301</v>
      </c>
      <c r="AG4256">
        <v>-1.10952223416</v>
      </c>
      <c r="AH4256">
        <v>17.898413918719701</v>
      </c>
      <c r="AI4256">
        <v>93.477415647275905</v>
      </c>
      <c r="AJ4256">
        <v>101.400009116973</v>
      </c>
      <c r="AK4256">
        <v>18.292316029415801</v>
      </c>
      <c r="AL4256">
        <v>90.367294265083999</v>
      </c>
      <c r="AM4256">
        <v>103.47958600674799</v>
      </c>
      <c r="AN4256">
        <v>0.99999994640650403</v>
      </c>
    </row>
    <row r="4257" spans="1:40" x14ac:dyDescent="0.25">
      <c r="A4257" t="str">
        <f>"20190305135914615"</f>
        <v>20190305135914615</v>
      </c>
      <c r="B4257" t="str">
        <f>"1551765554612957"</f>
        <v>1551765554612957</v>
      </c>
      <c r="C4257" t="s">
        <v>40</v>
      </c>
      <c r="D4257">
        <v>3.8814860000000002</v>
      </c>
      <c r="E4257">
        <v>0.39002029999999999</v>
      </c>
      <c r="F4257" t="s">
        <v>42</v>
      </c>
      <c r="G4257">
        <v>-398.37329999999997</v>
      </c>
      <c r="H4257" s="1">
        <v>-1.6477220000000001E-6</v>
      </c>
      <c r="I4257">
        <v>135.45160000000001</v>
      </c>
      <c r="J4257">
        <v>-380.22800000000001</v>
      </c>
      <c r="K4257">
        <v>1.1095200000000001</v>
      </c>
      <c r="L4257">
        <v>141.7586</v>
      </c>
      <c r="M4257">
        <v>-0.99981960000000003</v>
      </c>
      <c r="N4257">
        <v>-1.3921950000000001E-2</v>
      </c>
      <c r="O4257">
        <v>-1.292563E-2</v>
      </c>
      <c r="P4257">
        <v>-0.96800260000000005</v>
      </c>
      <c r="Q4257">
        <v>-2.081674E-2</v>
      </c>
      <c r="R4257">
        <v>-0.25007590000000002</v>
      </c>
      <c r="S4257">
        <v>-2.845917</v>
      </c>
      <c r="T4257">
        <v>-0.17067019999999999</v>
      </c>
      <c r="U4257">
        <v>-0.97087100000000004</v>
      </c>
      <c r="V4257">
        <v>-0.23754220000000001</v>
      </c>
      <c r="W4257">
        <v>-7.285433E-3</v>
      </c>
      <c r="X4257">
        <v>0.97134989999999999</v>
      </c>
      <c r="Y4257">
        <v>-0.30999959999999999</v>
      </c>
      <c r="Z4257">
        <v>-1.067392E-2</v>
      </c>
      <c r="AA4257">
        <v>0.95067670000000004</v>
      </c>
      <c r="AB4257">
        <v>35</v>
      </c>
      <c r="AC4257">
        <v>-18.145299999999899</v>
      </c>
      <c r="AD4257">
        <v>-1.109521647722</v>
      </c>
      <c r="AE4257">
        <v>-6.30699999999998</v>
      </c>
      <c r="AF4257">
        <v>-6.0517230742810799</v>
      </c>
      <c r="AG4257">
        <v>-1.109521647722</v>
      </c>
      <c r="AH4257">
        <v>18.1647184824735</v>
      </c>
      <c r="AI4257">
        <v>93.316564007728203</v>
      </c>
      <c r="AJ4257">
        <v>108.425912167032</v>
      </c>
      <c r="AK4257">
        <v>19.178409423152502</v>
      </c>
      <c r="AL4257">
        <v>90.417428255026707</v>
      </c>
      <c r="AM4257">
        <v>103.74189612617501</v>
      </c>
      <c r="AN4257">
        <v>1.0000000012724199</v>
      </c>
    </row>
    <row r="4258" spans="1:40" x14ac:dyDescent="0.25">
      <c r="A4258" t="str">
        <f>"20190305135914630"</f>
        <v>20190305135914630</v>
      </c>
      <c r="B4258" t="str">
        <f>"1551765554623694"</f>
        <v>1551765554623694</v>
      </c>
      <c r="C4258" t="s">
        <v>40</v>
      </c>
      <c r="D4258">
        <v>3.7994970000000001</v>
      </c>
      <c r="E4258">
        <v>0.39088800000000001</v>
      </c>
      <c r="F4258" t="s">
        <v>79</v>
      </c>
      <c r="G4258">
        <v>-403.96109999999999</v>
      </c>
      <c r="H4258">
        <v>7.9987269999999999E-2</v>
      </c>
      <c r="I4258">
        <v>127.6246</v>
      </c>
      <c r="J4258">
        <v>-380.4588</v>
      </c>
      <c r="K4258">
        <v>1.1095200000000001</v>
      </c>
      <c r="L4258">
        <v>141.75559999999999</v>
      </c>
      <c r="M4258">
        <v>-0.99981949999999997</v>
      </c>
      <c r="N4258">
        <v>-1.392067E-2</v>
      </c>
      <c r="O4258">
        <v>-1.2925499999999999E-2</v>
      </c>
      <c r="P4258">
        <v>-0.9674507</v>
      </c>
      <c r="Q4258">
        <v>-2.1245969999999999E-2</v>
      </c>
      <c r="R4258">
        <v>-0.25216620000000001</v>
      </c>
      <c r="S4258">
        <v>-2.6837460000000002</v>
      </c>
      <c r="T4258">
        <v>-0.1164196</v>
      </c>
      <c r="U4258">
        <v>-1.598282</v>
      </c>
      <c r="V4258">
        <v>-0.2396394</v>
      </c>
      <c r="W4258">
        <v>-7.7230429999999997E-3</v>
      </c>
      <c r="X4258">
        <v>0.97083120000000001</v>
      </c>
      <c r="Y4258">
        <v>-0.50004139999999997</v>
      </c>
      <c r="Z4258">
        <v>-1.3415399999999999E-2</v>
      </c>
      <c r="AA4258">
        <v>0.86589760000000005</v>
      </c>
      <c r="AB4258">
        <v>35</v>
      </c>
      <c r="AC4258">
        <v>-23.502299999999899</v>
      </c>
      <c r="AD4258">
        <v>-1.0295327299999999</v>
      </c>
      <c r="AE4258">
        <v>-14.130999999999901</v>
      </c>
      <c r="AF4258">
        <v>-13.8065517663637</v>
      </c>
      <c r="AG4258">
        <v>-1.0295327299999999</v>
      </c>
      <c r="AH4258">
        <v>23.649672145356</v>
      </c>
      <c r="AI4258">
        <v>92.153022466463398</v>
      </c>
      <c r="AJ4258">
        <v>120.276153560879</v>
      </c>
      <c r="AK4258">
        <v>27.404156653731398</v>
      </c>
      <c r="AL4258">
        <v>90.442502188569094</v>
      </c>
      <c r="AM4258">
        <v>103.865680890121</v>
      </c>
      <c r="AN4258">
        <v>0.99999995315948798</v>
      </c>
    </row>
    <row r="4259" spans="1:40" x14ac:dyDescent="0.25">
      <c r="A4259" t="str">
        <f>"20190305135914645"</f>
        <v>20190305135914645</v>
      </c>
      <c r="B4259" t="str">
        <f>"1551765554633454"</f>
        <v>1551765554633454</v>
      </c>
      <c r="C4259" t="s">
        <v>40</v>
      </c>
      <c r="D4259">
        <v>3.7616610000000001</v>
      </c>
      <c r="E4259">
        <v>0.39207999999999998</v>
      </c>
      <c r="F4259" t="s">
        <v>79</v>
      </c>
      <c r="G4259">
        <v>-405.3064</v>
      </c>
      <c r="H4259">
        <v>7.9987269999999999E-2</v>
      </c>
      <c r="I4259">
        <v>126.953</v>
      </c>
      <c r="J4259">
        <v>-380.68380000000002</v>
      </c>
      <c r="K4259">
        <v>1.1095189999999999</v>
      </c>
      <c r="L4259">
        <v>141.7527</v>
      </c>
      <c r="M4259">
        <v>-0.99981960000000003</v>
      </c>
      <c r="N4259">
        <v>-1.391942E-2</v>
      </c>
      <c r="O4259">
        <v>-1.2925610000000001E-2</v>
      </c>
      <c r="P4259">
        <v>-0.96689689999999995</v>
      </c>
      <c r="Q4259">
        <v>-2.1282229999999999E-2</v>
      </c>
      <c r="R4259">
        <v>-0.25427889999999997</v>
      </c>
      <c r="S4259">
        <v>-2.682007</v>
      </c>
      <c r="T4259">
        <v>-0.11112569999999999</v>
      </c>
      <c r="U4259">
        <v>-1.5977629999999901</v>
      </c>
      <c r="V4259">
        <v>-0.241759</v>
      </c>
      <c r="W4259">
        <v>-7.7677129999999999E-3</v>
      </c>
      <c r="X4259">
        <v>0.97030519999999998</v>
      </c>
      <c r="Y4259">
        <v>-0.50020070000000005</v>
      </c>
      <c r="Z4259">
        <v>-1.299296E-2</v>
      </c>
      <c r="AA4259">
        <v>0.86581209999999997</v>
      </c>
      <c r="AB4259">
        <v>35</v>
      </c>
      <c r="AC4259">
        <v>-24.622599999999899</v>
      </c>
      <c r="AD4259">
        <v>-1.02953173</v>
      </c>
      <c r="AE4259">
        <v>-14.7997</v>
      </c>
      <c r="AF4259">
        <v>-14.4615974546026</v>
      </c>
      <c r="AG4259">
        <v>-1.02953173</v>
      </c>
      <c r="AH4259">
        <v>24.780031387832398</v>
      </c>
      <c r="AI4259">
        <v>92.055070012744807</v>
      </c>
      <c r="AJ4259">
        <v>120.267785840538</v>
      </c>
      <c r="AK4259">
        <v>28.709714246296599</v>
      </c>
      <c r="AL4259">
        <v>90.4450616620869</v>
      </c>
      <c r="AM4259">
        <v>103.990812412666</v>
      </c>
      <c r="AN4259">
        <v>0.99999996629664401</v>
      </c>
    </row>
    <row r="4260" spans="1:40" x14ac:dyDescent="0.25">
      <c r="A4260" t="str">
        <f>"20190305135914657"</f>
        <v>20190305135914657</v>
      </c>
      <c r="B4260" t="str">
        <f>"1551765554652972"</f>
        <v>1551765554652972</v>
      </c>
      <c r="C4260" t="s">
        <v>40</v>
      </c>
      <c r="D4260">
        <v>3.8275329999999999</v>
      </c>
      <c r="E4260">
        <v>0.39359050000000001</v>
      </c>
      <c r="F4260" t="s">
        <v>79</v>
      </c>
      <c r="G4260">
        <v>-405.73540000000003</v>
      </c>
      <c r="H4260">
        <v>7.9987340000000004E-2</v>
      </c>
      <c r="I4260">
        <v>126.8518</v>
      </c>
      <c r="J4260">
        <v>-380.89370000000002</v>
      </c>
      <c r="K4260">
        <v>1.109524</v>
      </c>
      <c r="L4260">
        <v>141.75</v>
      </c>
      <c r="M4260">
        <v>-0.99981969999999998</v>
      </c>
      <c r="N4260">
        <v>-1.391826E-2</v>
      </c>
      <c r="O4260">
        <v>-1.2925839999999999E-2</v>
      </c>
      <c r="P4260">
        <v>-0.966418</v>
      </c>
      <c r="Q4260">
        <v>-2.1503149999999999E-2</v>
      </c>
      <c r="R4260">
        <v>-0.25607429999999998</v>
      </c>
      <c r="S4260">
        <v>-2.680939</v>
      </c>
      <c r="T4260">
        <v>-0.11017730000000001</v>
      </c>
      <c r="U4260">
        <v>-1.5946499999999999</v>
      </c>
      <c r="V4260">
        <v>-0.24356030000000001</v>
      </c>
      <c r="W4260">
        <v>-7.99598199999999E-3</v>
      </c>
      <c r="X4260">
        <v>0.96985279999999996</v>
      </c>
      <c r="Y4260">
        <v>-0.49961620000000001</v>
      </c>
      <c r="Z4260">
        <v>-1.2904570000000001E-2</v>
      </c>
      <c r="AA4260">
        <v>0.86615069999999905</v>
      </c>
      <c r="AB4260">
        <v>35</v>
      </c>
      <c r="AC4260">
        <v>-24.841699999999999</v>
      </c>
      <c r="AD4260">
        <v>-1.02953666</v>
      </c>
      <c r="AE4260">
        <v>-14.898199999999999</v>
      </c>
      <c r="AF4260">
        <v>-14.557434628579699</v>
      </c>
      <c r="AG4260">
        <v>-1.02953666</v>
      </c>
      <c r="AH4260">
        <v>25.000632749025101</v>
      </c>
      <c r="AI4260">
        <v>92.038127345009201</v>
      </c>
      <c r="AJ4260">
        <v>120.211500666929</v>
      </c>
      <c r="AK4260">
        <v>28.948410777645201</v>
      </c>
      <c r="AL4260">
        <v>90.458140901587797</v>
      </c>
      <c r="AM4260">
        <v>104.09722780989</v>
      </c>
      <c r="AN4260">
        <v>1.00000000456603</v>
      </c>
    </row>
    <row r="4261" spans="1:40" x14ac:dyDescent="0.25">
      <c r="A4261" t="str">
        <f>"20190305135914672"</f>
        <v>20190305135914672</v>
      </c>
      <c r="B4261" t="str">
        <f>"1551765554662733"</f>
        <v>1551765554662733</v>
      </c>
      <c r="C4261" t="s">
        <v>40</v>
      </c>
      <c r="D4261">
        <v>3.8025910000000001</v>
      </c>
      <c r="E4261">
        <v>0.39440160000000002</v>
      </c>
      <c r="F4261" t="s">
        <v>79</v>
      </c>
      <c r="G4261">
        <v>-407.98840000000001</v>
      </c>
      <c r="H4261">
        <v>7.9987879999999997E-2</v>
      </c>
      <c r="I4261">
        <v>125.694</v>
      </c>
      <c r="J4261">
        <v>-381.12290000000002</v>
      </c>
      <c r="K4261">
        <v>1.1095250000000001</v>
      </c>
      <c r="L4261">
        <v>141.74700000000001</v>
      </c>
      <c r="M4261">
        <v>-0.99981960000000003</v>
      </c>
      <c r="N4261">
        <v>-1.3917000000000001E-2</v>
      </c>
      <c r="O4261">
        <v>-1.2925829999999999E-2</v>
      </c>
      <c r="P4261">
        <v>-0.96540300000000001</v>
      </c>
      <c r="Q4261">
        <v>-2.1388999999999998E-2</v>
      </c>
      <c r="R4261">
        <v>-0.25988450000000002</v>
      </c>
      <c r="S4261">
        <v>-2.681</v>
      </c>
      <c r="T4261">
        <v>-0.1018718</v>
      </c>
      <c r="U4261">
        <v>-1.58873</v>
      </c>
      <c r="V4261">
        <v>-0.24738360000000001</v>
      </c>
      <c r="W4261">
        <v>-7.8963190000000006E-3</v>
      </c>
      <c r="X4261">
        <v>0.96888540000000001</v>
      </c>
      <c r="Y4261">
        <v>-0.49824790000000002</v>
      </c>
      <c r="Z4261">
        <v>-1.219454E-2</v>
      </c>
      <c r="AA4261">
        <v>0.86694889999999902</v>
      </c>
      <c r="AB4261">
        <v>35</v>
      </c>
      <c r="AC4261">
        <v>-26.865500000000001</v>
      </c>
      <c r="AD4261">
        <v>-1.0295371200000001</v>
      </c>
      <c r="AE4261">
        <v>-16.053000000000001</v>
      </c>
      <c r="AF4261">
        <v>-15.687389519483</v>
      </c>
      <c r="AG4261">
        <v>-1.0295371200000001</v>
      </c>
      <c r="AH4261">
        <v>27.0415097980108</v>
      </c>
      <c r="AI4261">
        <v>91.886190036016899</v>
      </c>
      <c r="AJ4261">
        <v>120.118986826259</v>
      </c>
      <c r="AK4261">
        <v>31.2793444428325</v>
      </c>
      <c r="AL4261">
        <v>90.452430473180499</v>
      </c>
      <c r="AM4261">
        <v>104.323197657451</v>
      </c>
      <c r="AN4261">
        <v>0.99999995786793405</v>
      </c>
    </row>
    <row r="4262" spans="1:40" x14ac:dyDescent="0.25">
      <c r="A4262" t="str">
        <f>"20190305135914688"</f>
        <v>20190305135914688</v>
      </c>
      <c r="B4262" t="str">
        <f>"1551765554683229"</f>
        <v>1551765554683229</v>
      </c>
      <c r="C4262" t="s">
        <v>40</v>
      </c>
      <c r="D4262">
        <v>3.8346619999999998</v>
      </c>
      <c r="E4262">
        <v>0.39578000000000002</v>
      </c>
      <c r="F4262" t="s">
        <v>79</v>
      </c>
      <c r="G4262">
        <v>-408.30399999999997</v>
      </c>
      <c r="H4262">
        <v>7.9987939999999993E-2</v>
      </c>
      <c r="I4262">
        <v>125.56699999999999</v>
      </c>
      <c r="J4262">
        <v>-381.36040000000003</v>
      </c>
      <c r="K4262">
        <v>1.109532</v>
      </c>
      <c r="L4262">
        <v>141.7439</v>
      </c>
      <c r="M4262">
        <v>-0.99981960000000003</v>
      </c>
      <c r="N4262">
        <v>-1.391562E-2</v>
      </c>
      <c r="O4262">
        <v>-1.292918E-2</v>
      </c>
      <c r="P4262">
        <v>-0.96504409999999896</v>
      </c>
      <c r="Q4262">
        <v>-2.1421590000000001E-2</v>
      </c>
      <c r="R4262">
        <v>-0.26121119999999998</v>
      </c>
      <c r="S4262">
        <v>-2.6764220000000001</v>
      </c>
      <c r="T4262">
        <v>-0.10137450000000001</v>
      </c>
      <c r="U4262">
        <v>-1.5931850000000001</v>
      </c>
      <c r="V4262">
        <v>-0.2487116</v>
      </c>
      <c r="W4262">
        <v>-7.9358409999999904E-3</v>
      </c>
      <c r="X4262">
        <v>0.96854510000000005</v>
      </c>
      <c r="Y4262">
        <v>-0.4999615</v>
      </c>
      <c r="Z4262">
        <v>-1.220721E-2</v>
      </c>
      <c r="AA4262">
        <v>0.8659616</v>
      </c>
      <c r="AB4262">
        <v>35</v>
      </c>
      <c r="AC4262">
        <v>-26.9436</v>
      </c>
      <c r="AD4262">
        <v>-1.0295440600000001</v>
      </c>
      <c r="AE4262">
        <v>-16.1768999999999</v>
      </c>
      <c r="AF4262">
        <v>-15.8101874667739</v>
      </c>
      <c r="AG4262">
        <v>-1.0295440600000001</v>
      </c>
      <c r="AH4262">
        <v>27.121414651809001</v>
      </c>
      <c r="AI4262">
        <v>91.878349155097496</v>
      </c>
      <c r="AJ4262">
        <v>120.239666924312</v>
      </c>
      <c r="AK4262">
        <v>31.410079933380899</v>
      </c>
      <c r="AL4262">
        <v>90.454694957892798</v>
      </c>
      <c r="AM4262">
        <v>104.40174735304799</v>
      </c>
      <c r="AN4262">
        <v>1.0000000241404701</v>
      </c>
    </row>
    <row r="4263" spans="1:40" x14ac:dyDescent="0.25">
      <c r="A4263" t="str">
        <f>"20190305135914702"</f>
        <v>20190305135914702</v>
      </c>
      <c r="B4263" t="str">
        <f>"1551765554692989"</f>
        <v>1551765554692989</v>
      </c>
      <c r="C4263" t="s">
        <v>40</v>
      </c>
      <c r="D4263">
        <v>3.8234270000000001</v>
      </c>
      <c r="E4263">
        <v>0.39615879999999998</v>
      </c>
      <c r="F4263" t="s">
        <v>79</v>
      </c>
      <c r="G4263">
        <v>-407.40280000000001</v>
      </c>
      <c r="H4263">
        <v>7.9987669999999997E-2</v>
      </c>
      <c r="I4263">
        <v>126.321</v>
      </c>
      <c r="J4263">
        <v>-381.59410000000003</v>
      </c>
      <c r="K4263">
        <v>1.109537</v>
      </c>
      <c r="L4263">
        <v>141.74090000000001</v>
      </c>
      <c r="M4263">
        <v>-0.99981949999999997</v>
      </c>
      <c r="N4263">
        <v>-1.391421E-2</v>
      </c>
      <c r="O4263">
        <v>-1.293734E-2</v>
      </c>
      <c r="P4263">
        <v>-0.96456719999999896</v>
      </c>
      <c r="Q4263">
        <v>-2.1366090000000001E-2</v>
      </c>
      <c r="R4263">
        <v>-0.26297039999999999</v>
      </c>
      <c r="S4263">
        <v>-2.6771850000000001</v>
      </c>
      <c r="T4263">
        <v>-0.1058381</v>
      </c>
      <c r="U4263">
        <v>-1.5854950000000001</v>
      </c>
      <c r="V4263">
        <v>-0.25046849999999998</v>
      </c>
      <c r="W4263">
        <v>-7.8900949999999997E-3</v>
      </c>
      <c r="X4263">
        <v>0.96809259999999997</v>
      </c>
      <c r="Y4263">
        <v>-0.49797799999999998</v>
      </c>
      <c r="Z4263">
        <v>-1.252229E-2</v>
      </c>
      <c r="AA4263">
        <v>0.86709919999999996</v>
      </c>
      <c r="AB4263">
        <v>35</v>
      </c>
      <c r="AC4263">
        <v>-25.808699999999899</v>
      </c>
      <c r="AD4263">
        <v>-1.02954933</v>
      </c>
      <c r="AE4263">
        <v>-15.4199</v>
      </c>
      <c r="AF4263">
        <v>-15.067011700753</v>
      </c>
      <c r="AG4263">
        <v>-1.02954933</v>
      </c>
      <c r="AH4263">
        <v>25.9755894980647</v>
      </c>
      <c r="AI4263">
        <v>91.963620597213605</v>
      </c>
      <c r="AJ4263">
        <v>120.11566387796201</v>
      </c>
      <c r="AK4263">
        <v>30.0467313228162</v>
      </c>
      <c r="AL4263">
        <v>90.452073832886796</v>
      </c>
      <c r="AM4263">
        <v>104.505698709668</v>
      </c>
      <c r="AN4263">
        <v>1.00000000263305</v>
      </c>
    </row>
    <row r="4264" spans="1:40" x14ac:dyDescent="0.25">
      <c r="A4264" t="str">
        <f>"20190305135914719"</f>
        <v>20190305135914719</v>
      </c>
      <c r="B4264" t="str">
        <f>"1551765554713485"</f>
        <v>1551765554713485</v>
      </c>
      <c r="C4264" t="s">
        <v>40</v>
      </c>
      <c r="D4264">
        <v>3.8529810000000002</v>
      </c>
      <c r="E4264">
        <v>0.39680130000000002</v>
      </c>
      <c r="F4264" t="s">
        <v>79</v>
      </c>
      <c r="G4264">
        <v>-406.62209999999999</v>
      </c>
      <c r="H4264">
        <v>7.9987450000000002E-2</v>
      </c>
      <c r="I4264">
        <v>126.89100000000001</v>
      </c>
      <c r="J4264">
        <v>-381.84820000000002</v>
      </c>
      <c r="K4264">
        <v>1.10954</v>
      </c>
      <c r="L4264">
        <v>141.73759999999999</v>
      </c>
      <c r="M4264">
        <v>-0.99981920000000002</v>
      </c>
      <c r="N4264">
        <v>-1.39127E-2</v>
      </c>
      <c r="O4264">
        <v>-1.295485E-2</v>
      </c>
      <c r="P4264">
        <v>-0.96380440000000001</v>
      </c>
      <c r="Q4264">
        <v>-2.1798149999999999E-2</v>
      </c>
      <c r="R4264">
        <v>-0.2657178</v>
      </c>
      <c r="S4264">
        <v>-2.675049</v>
      </c>
      <c r="T4264">
        <v>-0.1100402</v>
      </c>
      <c r="U4264">
        <v>-1.587189</v>
      </c>
      <c r="V4264">
        <v>-0.25320819999999999</v>
      </c>
      <c r="W4264">
        <v>-8.33788699999999E-3</v>
      </c>
      <c r="X4264">
        <v>0.96737589999999996</v>
      </c>
      <c r="Y4264">
        <v>-0.49864350000000002</v>
      </c>
      <c r="Z4264">
        <v>-1.288717E-2</v>
      </c>
      <c r="AA4264">
        <v>0.86671139999999902</v>
      </c>
      <c r="AB4264">
        <v>35</v>
      </c>
      <c r="AC4264">
        <v>-24.773899999999902</v>
      </c>
      <c r="AD4264">
        <v>-1.02955255</v>
      </c>
      <c r="AE4264">
        <v>-14.846599999999899</v>
      </c>
      <c r="AF4264">
        <v>-14.5059478791147</v>
      </c>
      <c r="AG4264">
        <v>-1.02955255</v>
      </c>
      <c r="AH4264">
        <v>24.932492974164099</v>
      </c>
      <c r="AI4264">
        <v>92.044144854851794</v>
      </c>
      <c r="AJ4264">
        <v>120.19122833717999</v>
      </c>
      <c r="AK4264">
        <v>28.863674544859101</v>
      </c>
      <c r="AL4264">
        <v>90.477731259904402</v>
      </c>
      <c r="AM4264">
        <v>104.667959462026</v>
      </c>
      <c r="AN4264">
        <v>1.0000000224038299</v>
      </c>
    </row>
    <row r="4265" spans="1:40" x14ac:dyDescent="0.25">
      <c r="A4265" t="str">
        <f>"20190305135914740"</f>
        <v>20190305135914740</v>
      </c>
      <c r="B4265" t="str">
        <f>"1551765554733512"</f>
        <v>1551765554733512</v>
      </c>
      <c r="C4265" t="s">
        <v>40</v>
      </c>
      <c r="D4265">
        <v>3.861532</v>
      </c>
      <c r="E4265">
        <v>0.3972581</v>
      </c>
      <c r="F4265" t="s">
        <v>41</v>
      </c>
      <c r="G4265">
        <v>-382.92200000000003</v>
      </c>
      <c r="H4265">
        <v>1.0630139999999999</v>
      </c>
      <c r="I4265">
        <v>141.09899999999999</v>
      </c>
      <c r="J4265">
        <v>-382.17579999999998</v>
      </c>
      <c r="K4265">
        <v>1.109561</v>
      </c>
      <c r="L4265">
        <v>141.73330000000001</v>
      </c>
      <c r="M4265">
        <v>-0.99981889999999995</v>
      </c>
      <c r="N4265">
        <v>-1.3910809999999999E-2</v>
      </c>
      <c r="O4265">
        <v>-1.3000889999999999E-2</v>
      </c>
      <c r="P4265">
        <v>-0.96312660000000005</v>
      </c>
      <c r="Q4265">
        <v>-2.2488870000000001E-2</v>
      </c>
      <c r="R4265">
        <v>-0.26810790000000001</v>
      </c>
      <c r="S4265">
        <v>-2.6719059999999999</v>
      </c>
      <c r="T4265">
        <v>-0.1157681</v>
      </c>
      <c r="U4265">
        <v>-1.589432</v>
      </c>
      <c r="V4265">
        <v>-0.25556259999999997</v>
      </c>
      <c r="W4265">
        <v>-9.0494819999999993E-3</v>
      </c>
      <c r="X4265">
        <v>0.96675009999999995</v>
      </c>
      <c r="Y4265">
        <v>-0.49954710000000002</v>
      </c>
      <c r="Z4265">
        <v>-1.338672E-2</v>
      </c>
      <c r="AA4265">
        <v>0.86618329999999999</v>
      </c>
      <c r="AB4265">
        <v>35</v>
      </c>
      <c r="AC4265">
        <v>-0.74619999999998698</v>
      </c>
      <c r="AD4265">
        <v>-4.6547000000000102E-2</v>
      </c>
      <c r="AE4265">
        <v>-0.63430000000002396</v>
      </c>
      <c r="AF4265">
        <v>-0.623136579182342</v>
      </c>
      <c r="AG4265">
        <v>-4.6547000000000102E-2</v>
      </c>
      <c r="AH4265">
        <v>0.75268394808580097</v>
      </c>
      <c r="AI4265">
        <v>92.727235281829394</v>
      </c>
      <c r="AJ4265">
        <v>129.620884783055</v>
      </c>
      <c r="AK4265">
        <v>0.97826322900848095</v>
      </c>
      <c r="AL4265">
        <v>90.518504230663396</v>
      </c>
      <c r="AM4265">
        <v>104.807545413187</v>
      </c>
      <c r="AN4265">
        <v>0.99999994574661699</v>
      </c>
    </row>
    <row r="4266" spans="1:40" x14ac:dyDescent="0.25">
      <c r="A4266" t="str">
        <f>"20190305135914761"</f>
        <v>20190305135914761</v>
      </c>
      <c r="B4266" t="str">
        <f>"1551765554753036"</f>
        <v>1551765554753036</v>
      </c>
      <c r="C4266" t="s">
        <v>40</v>
      </c>
      <c r="D4266">
        <v>3.8607170000000002</v>
      </c>
      <c r="E4266">
        <v>0.39771919999999999</v>
      </c>
      <c r="F4266" t="s">
        <v>41</v>
      </c>
      <c r="G4266">
        <v>-383.19029999999998</v>
      </c>
      <c r="H4266">
        <v>1.063701</v>
      </c>
      <c r="I4266">
        <v>141.12819999999999</v>
      </c>
      <c r="J4266">
        <v>-382.51679999999999</v>
      </c>
      <c r="K4266">
        <v>1.109599</v>
      </c>
      <c r="L4266">
        <v>141.72880000000001</v>
      </c>
      <c r="M4266">
        <v>-0.99981770000000003</v>
      </c>
      <c r="N4266">
        <v>-1.390886E-2</v>
      </c>
      <c r="O4266">
        <v>-1.308225E-2</v>
      </c>
      <c r="P4266">
        <v>-0.96259989999999995</v>
      </c>
      <c r="Q4266">
        <v>-2.2469369999999999E-2</v>
      </c>
      <c r="R4266">
        <v>-0.26999410000000001</v>
      </c>
      <c r="S4266">
        <v>-2.6688839999999998</v>
      </c>
      <c r="T4266">
        <v>-0.1206381</v>
      </c>
      <c r="U4266">
        <v>-1.5921019999999999</v>
      </c>
      <c r="V4266">
        <v>-0.2573761</v>
      </c>
      <c r="W4266">
        <v>-9.0546580000000002E-3</v>
      </c>
      <c r="X4266">
        <v>0.96626889999999999</v>
      </c>
      <c r="Y4266">
        <v>-0.50050989999999995</v>
      </c>
      <c r="Z4266">
        <v>-1.3818230000000001E-2</v>
      </c>
      <c r="AA4266">
        <v>0.86562050000000001</v>
      </c>
      <c r="AB4266">
        <v>35</v>
      </c>
      <c r="AC4266">
        <v>-0.67349999999999</v>
      </c>
      <c r="AD4266">
        <v>-4.5898000000000001E-2</v>
      </c>
      <c r="AE4266">
        <v>-0.60060000000001401</v>
      </c>
      <c r="AF4266">
        <v>-0.59020999106101502</v>
      </c>
      <c r="AG4266">
        <v>-4.5898000000000001E-2</v>
      </c>
      <c r="AH4266">
        <v>0.67954235832379495</v>
      </c>
      <c r="AI4266">
        <v>92.919202241916693</v>
      </c>
      <c r="AJ4266">
        <v>130.97563430195501</v>
      </c>
      <c r="AK4266">
        <v>0.90123930046825496</v>
      </c>
      <c r="AL4266">
        <v>90.518800769650497</v>
      </c>
      <c r="AM4266">
        <v>104.915051372181</v>
      </c>
      <c r="AN4266">
        <v>1.00000001539495</v>
      </c>
    </row>
    <row r="4267" spans="1:40" x14ac:dyDescent="0.25">
      <c r="A4267" t="str">
        <f>"20190305135914775"</f>
        <v>20190305135914775</v>
      </c>
      <c r="B4267" t="str">
        <f>"1551765554763768"</f>
        <v>1551765554763768</v>
      </c>
      <c r="C4267" t="s">
        <v>40</v>
      </c>
      <c r="D4267">
        <v>3.8338640000000002</v>
      </c>
      <c r="E4267">
        <v>0.39797349999999998</v>
      </c>
      <c r="F4267" t="s">
        <v>41</v>
      </c>
      <c r="G4267">
        <v>-383.50630000000001</v>
      </c>
      <c r="H4267">
        <v>1.063734</v>
      </c>
      <c r="I4267">
        <v>141.1377</v>
      </c>
      <c r="J4267">
        <v>-382.7346</v>
      </c>
      <c r="K4267">
        <v>1.1096250000000001</v>
      </c>
      <c r="L4267">
        <v>141.7259</v>
      </c>
      <c r="M4267">
        <v>-0.99981679999999995</v>
      </c>
      <c r="N4267">
        <v>-1.3907620000000001E-2</v>
      </c>
      <c r="O4267">
        <v>-1.315555E-2</v>
      </c>
      <c r="P4267">
        <v>-0.96241049999999995</v>
      </c>
      <c r="Q4267">
        <v>-2.2323010000000001E-2</v>
      </c>
      <c r="R4267">
        <v>-0.27068039999999999</v>
      </c>
      <c r="S4267">
        <v>-2.6667480000000001</v>
      </c>
      <c r="T4267">
        <v>-0.1236008</v>
      </c>
      <c r="U4267">
        <v>-1.593399</v>
      </c>
      <c r="V4267">
        <v>-0.25799319999999998</v>
      </c>
      <c r="W4267">
        <v>-8.9246710000000003E-3</v>
      </c>
      <c r="X4267">
        <v>0.96610549999999995</v>
      </c>
      <c r="Y4267">
        <v>-0.50103869999999995</v>
      </c>
      <c r="Z4267">
        <v>-1.4080540000000001E-2</v>
      </c>
      <c r="AA4267">
        <v>0.86531029999999998</v>
      </c>
      <c r="AB4267">
        <v>35</v>
      </c>
      <c r="AC4267">
        <v>-0.77170000000000905</v>
      </c>
      <c r="AD4267">
        <v>-4.5891000000000098E-2</v>
      </c>
      <c r="AE4267">
        <v>-0.58819999999999995</v>
      </c>
      <c r="AF4267">
        <v>-0.57670597103400301</v>
      </c>
      <c r="AG4267">
        <v>-4.5891000000000098E-2</v>
      </c>
      <c r="AH4267">
        <v>0.77763260953935898</v>
      </c>
      <c r="AI4267">
        <v>92.713847089598005</v>
      </c>
      <c r="AJ4267">
        <v>126.56127937455</v>
      </c>
      <c r="AK4267">
        <v>0.96923074462496595</v>
      </c>
      <c r="AL4267">
        <v>90.511352775774995</v>
      </c>
      <c r="AM4267">
        <v>104.951628506633</v>
      </c>
      <c r="AN4267">
        <v>0.99999998906447396</v>
      </c>
    </row>
    <row r="4268" spans="1:40" x14ac:dyDescent="0.25">
      <c r="A4268" t="str">
        <f>"20190305135914790"</f>
        <v>20190305135914790</v>
      </c>
      <c r="B4268" t="str">
        <f>"1551765554783289"</f>
        <v>1551765554783289</v>
      </c>
      <c r="C4268" t="s">
        <v>40</v>
      </c>
      <c r="D4268">
        <v>3.8854820000000001</v>
      </c>
      <c r="E4268">
        <v>0.39838020000000002</v>
      </c>
      <c r="F4268" t="s">
        <v>79</v>
      </c>
      <c r="G4268">
        <v>-404.83170000000001</v>
      </c>
      <c r="H4268">
        <v>7.9986909999999994E-2</v>
      </c>
      <c r="I4268">
        <v>128.52099999999999</v>
      </c>
      <c r="J4268">
        <v>-382.95400000000001</v>
      </c>
      <c r="K4268">
        <v>1.1096569999999999</v>
      </c>
      <c r="L4268">
        <v>141.72290000000001</v>
      </c>
      <c r="M4268">
        <v>-0.99981549999999997</v>
      </c>
      <c r="N4268">
        <v>-1.390636E-2</v>
      </c>
      <c r="O4268">
        <v>-1.325779E-2</v>
      </c>
      <c r="P4268">
        <v>-0.96223709999999996</v>
      </c>
      <c r="Q4268">
        <v>-2.1909700000000001E-2</v>
      </c>
      <c r="R4268">
        <v>-0.27133040000000003</v>
      </c>
      <c r="S4268">
        <v>-2.6661679999999999</v>
      </c>
      <c r="T4268">
        <v>-0.124233</v>
      </c>
      <c r="U4268">
        <v>-1.593262</v>
      </c>
      <c r="V4268">
        <v>-0.25854640000000001</v>
      </c>
      <c r="W4268">
        <v>-8.5311220000000004E-3</v>
      </c>
      <c r="X4268">
        <v>0.96596119999999996</v>
      </c>
      <c r="Y4268">
        <v>-0.50099550000000004</v>
      </c>
      <c r="Z4268">
        <v>-1.4129879999999999E-2</v>
      </c>
      <c r="AA4268">
        <v>0.86533459999999995</v>
      </c>
      <c r="AB4268">
        <v>35</v>
      </c>
      <c r="AC4268">
        <v>-21.877700000000001</v>
      </c>
      <c r="AD4268">
        <v>-1.02967009</v>
      </c>
      <c r="AE4268">
        <v>-13.201899999999901</v>
      </c>
      <c r="AF4268">
        <v>-12.8897311103863</v>
      </c>
      <c r="AG4268">
        <v>-1.02967009</v>
      </c>
      <c r="AH4268">
        <v>22.0150735957194</v>
      </c>
      <c r="AI4268">
        <v>92.311311124922895</v>
      </c>
      <c r="AJ4268">
        <v>120.348789933464</v>
      </c>
      <c r="AK4268">
        <v>25.531722503921301</v>
      </c>
      <c r="AL4268">
        <v>90.488803199535297</v>
      </c>
      <c r="AM4268">
        <v>104.98438573994</v>
      </c>
      <c r="AN4268">
        <v>1.0000000304504799</v>
      </c>
    </row>
    <row r="4269" spans="1:40" x14ac:dyDescent="0.25">
      <c r="A4269" t="str">
        <f>"20190305135914805"</f>
        <v>20190305135914805</v>
      </c>
      <c r="B4269" t="str">
        <f>"1551765554802809"</f>
        <v>1551765554802809</v>
      </c>
      <c r="C4269" t="s">
        <v>40</v>
      </c>
      <c r="D4269">
        <v>3.8717039999999998</v>
      </c>
      <c r="E4269">
        <v>0.39868540000000002</v>
      </c>
      <c r="F4269" t="s">
        <v>79</v>
      </c>
      <c r="G4269">
        <v>-404.64600000000002</v>
      </c>
      <c r="H4269">
        <v>7.9986909999999994E-2</v>
      </c>
      <c r="I4269">
        <v>128.7732</v>
      </c>
      <c r="J4269">
        <v>-383.2081</v>
      </c>
      <c r="K4269">
        <v>1.109702</v>
      </c>
      <c r="L4269">
        <v>141.71940000000001</v>
      </c>
      <c r="M4269">
        <v>-0.99981330000000002</v>
      </c>
      <c r="N4269">
        <v>-1.390488E-2</v>
      </c>
      <c r="O4269">
        <v>-1.341845E-2</v>
      </c>
      <c r="P4269">
        <v>-0.96188280000000004</v>
      </c>
      <c r="Q4269">
        <v>-2.1829049999999999E-2</v>
      </c>
      <c r="R4269">
        <v>-0.2725902</v>
      </c>
      <c r="S4269">
        <v>-2.666077</v>
      </c>
      <c r="T4269">
        <v>-0.12655269999999999</v>
      </c>
      <c r="U4269">
        <v>-1.591599</v>
      </c>
      <c r="V4269">
        <v>-0.25965510000000003</v>
      </c>
      <c r="W4269">
        <v>-8.481845E-3</v>
      </c>
      <c r="X4269">
        <v>0.96566419999999997</v>
      </c>
      <c r="Y4269">
        <v>-0.50045459999999997</v>
      </c>
      <c r="Z4269">
        <v>-1.4300500000000001E-2</v>
      </c>
      <c r="AA4269">
        <v>0.86564470000000004</v>
      </c>
      <c r="AB4269">
        <v>35</v>
      </c>
      <c r="AC4269">
        <v>-21.4378999999999</v>
      </c>
      <c r="AD4269">
        <v>-1.0297150900000001</v>
      </c>
      <c r="AE4269">
        <v>-12.946199999999999</v>
      </c>
      <c r="AF4269">
        <v>-12.6359808298315</v>
      </c>
      <c r="AG4269">
        <v>-1.0297150900000001</v>
      </c>
      <c r="AH4269">
        <v>21.573232917968902</v>
      </c>
      <c r="AI4269">
        <v>92.358463538802297</v>
      </c>
      <c r="AJ4269">
        <v>120.358570515266</v>
      </c>
      <c r="AK4269">
        <v>25.022643809785102</v>
      </c>
      <c r="AL4269">
        <v>90.485979733603202</v>
      </c>
      <c r="AM4269">
        <v>105.050151709476</v>
      </c>
      <c r="AN4269">
        <v>1.00000002990612</v>
      </c>
    </row>
    <row r="4270" spans="1:40" x14ac:dyDescent="0.25">
      <c r="A4270" t="str">
        <f>"20190305135914820"</f>
        <v>20190305135914820</v>
      </c>
      <c r="B4270" t="str">
        <f>"1551765554813544"</f>
        <v>1551765554813544</v>
      </c>
      <c r="C4270" t="s">
        <v>40</v>
      </c>
      <c r="D4270">
        <v>3.899292</v>
      </c>
      <c r="E4270">
        <v>0.39884249999999999</v>
      </c>
      <c r="F4270" t="s">
        <v>41</v>
      </c>
      <c r="G4270">
        <v>-384.16609999999997</v>
      </c>
      <c r="H4270">
        <v>1.0634939999999999</v>
      </c>
      <c r="I4270">
        <v>141.14699999999999</v>
      </c>
      <c r="J4270">
        <v>-383.4384</v>
      </c>
      <c r="K4270">
        <v>1.1097570000000001</v>
      </c>
      <c r="L4270">
        <v>141.71619999999999</v>
      </c>
      <c r="M4270">
        <v>-0.9998108</v>
      </c>
      <c r="N4270">
        <v>-1.3903560000000001E-2</v>
      </c>
      <c r="O4270">
        <v>-1.361155E-2</v>
      </c>
      <c r="P4270">
        <v>-0.96160380000000001</v>
      </c>
      <c r="Q4270">
        <v>-2.1970739999999999E-2</v>
      </c>
      <c r="R4270">
        <v>-0.2735611</v>
      </c>
      <c r="S4270">
        <v>-2.6645810000000001</v>
      </c>
      <c r="T4270">
        <v>-0.1285229</v>
      </c>
      <c r="U4270">
        <v>-1.592697</v>
      </c>
      <c r="V4270">
        <v>-0.26044200000000001</v>
      </c>
      <c r="W4270">
        <v>-8.6585450000000001E-3</v>
      </c>
      <c r="X4270">
        <v>0.96545069999999999</v>
      </c>
      <c r="Y4270">
        <v>-0.50074830000000004</v>
      </c>
      <c r="Z4270">
        <v>-1.446889E-2</v>
      </c>
      <c r="AA4270">
        <v>0.86547199999999902</v>
      </c>
      <c r="AB4270">
        <v>35</v>
      </c>
      <c r="AC4270">
        <v>-0.72769999999997004</v>
      </c>
      <c r="AD4270">
        <v>-4.62629999999997E-2</v>
      </c>
      <c r="AE4270">
        <v>-0.56919999999996596</v>
      </c>
      <c r="AF4270">
        <v>-0.55784237162802697</v>
      </c>
      <c r="AG4270">
        <v>-4.62629999999997E-2</v>
      </c>
      <c r="AH4270">
        <v>0.733541638041877</v>
      </c>
      <c r="AI4270">
        <v>92.873880701905193</v>
      </c>
      <c r="AJ4270">
        <v>127.25219478333101</v>
      </c>
      <c r="AK4270">
        <v>0.92271973615705305</v>
      </c>
      <c r="AL4270">
        <v>90.496104269354305</v>
      </c>
      <c r="AM4270">
        <v>105.09686939657399</v>
      </c>
      <c r="AN4270">
        <v>1.0000000299480001</v>
      </c>
    </row>
    <row r="4271" spans="1:40" x14ac:dyDescent="0.25">
      <c r="A4271" t="str">
        <f>"20190305135914833"</f>
        <v>20190305135914833</v>
      </c>
      <c r="B4271" t="str">
        <f>"1551765554822836"</f>
        <v>1551765554822836</v>
      </c>
      <c r="C4271" t="s">
        <v>40</v>
      </c>
      <c r="D4271">
        <v>3.8894950000000001</v>
      </c>
      <c r="E4271">
        <v>0.39892280000000002</v>
      </c>
      <c r="F4271" t="s">
        <v>41</v>
      </c>
      <c r="G4271">
        <v>-384.40719999999999</v>
      </c>
      <c r="H4271">
        <v>1.0626</v>
      </c>
      <c r="I4271">
        <v>141.1362</v>
      </c>
      <c r="J4271">
        <v>-383.65010000000001</v>
      </c>
      <c r="K4271">
        <v>1.1098170000000001</v>
      </c>
      <c r="L4271">
        <v>141.7131</v>
      </c>
      <c r="M4271">
        <v>-0.99980749999999996</v>
      </c>
      <c r="N4271">
        <v>-1.3902619999999999E-2</v>
      </c>
      <c r="O4271">
        <v>-1.384821E-2</v>
      </c>
      <c r="P4271">
        <v>-0.96139050000000004</v>
      </c>
      <c r="Q4271">
        <v>-2.2052080000000002E-2</v>
      </c>
      <c r="R4271">
        <v>-0.27430330000000003</v>
      </c>
      <c r="S4271">
        <v>-2.6633610000000001</v>
      </c>
      <c r="T4271">
        <v>-0.1296358</v>
      </c>
      <c r="U4271">
        <v>-1.593979</v>
      </c>
      <c r="V4271">
        <v>-0.2609573</v>
      </c>
      <c r="W4271">
        <v>-8.7792210000000002E-3</v>
      </c>
      <c r="X4271">
        <v>0.96531049999999996</v>
      </c>
      <c r="Y4271">
        <v>-0.50101569999999995</v>
      </c>
      <c r="Z4271">
        <v>-1.456383E-2</v>
      </c>
      <c r="AA4271">
        <v>0.86531559999999896</v>
      </c>
      <c r="AB4271">
        <v>35</v>
      </c>
      <c r="AC4271">
        <v>-0.75709999999997901</v>
      </c>
      <c r="AD4271">
        <v>-4.7217000000000002E-2</v>
      </c>
      <c r="AE4271">
        <v>-0.57689999999999397</v>
      </c>
      <c r="AF4271">
        <v>-0.56496894776269302</v>
      </c>
      <c r="AG4271">
        <v>-4.7217000000000002E-2</v>
      </c>
      <c r="AH4271">
        <v>0.76313932028215903</v>
      </c>
      <c r="AI4271">
        <v>92.846841769711105</v>
      </c>
      <c r="AJ4271">
        <v>126.51336629448799</v>
      </c>
      <c r="AK4271">
        <v>0.95068447930204503</v>
      </c>
      <c r="AL4271">
        <v>90.503018735161703</v>
      </c>
      <c r="AM4271">
        <v>105.127468281178</v>
      </c>
      <c r="AN4271">
        <v>1.00000007427745</v>
      </c>
    </row>
    <row r="4272" spans="1:40" x14ac:dyDescent="0.25">
      <c r="A4272" t="str">
        <f>"20190305135914851"</f>
        <v>20190305135914851</v>
      </c>
      <c r="B4272" t="str">
        <f>"1551765554843336"</f>
        <v>1551765554843336</v>
      </c>
      <c r="C4272" t="s">
        <v>40</v>
      </c>
      <c r="D4272">
        <v>3.971692</v>
      </c>
      <c r="E4272">
        <v>0.4099758</v>
      </c>
      <c r="F4272" t="s">
        <v>79</v>
      </c>
      <c r="G4272">
        <v>-404.71660000000003</v>
      </c>
      <c r="H4272">
        <v>7.998682E-2</v>
      </c>
      <c r="I4272">
        <v>129.08959999999999</v>
      </c>
      <c r="J4272">
        <v>-383.91809999999998</v>
      </c>
      <c r="K4272">
        <v>1.109907</v>
      </c>
      <c r="L4272">
        <v>141.709</v>
      </c>
      <c r="M4272">
        <v>-0.99980239999999998</v>
      </c>
      <c r="N4272">
        <v>-1.390164E-2</v>
      </c>
      <c r="O4272">
        <v>-1.42209E-2</v>
      </c>
      <c r="P4272">
        <v>-0.96136429999999995</v>
      </c>
      <c r="Q4272">
        <v>-2.2762629999999999E-2</v>
      </c>
      <c r="R4272">
        <v>-0.2743372</v>
      </c>
      <c r="S4272">
        <v>-2.6622919999999999</v>
      </c>
      <c r="T4272">
        <v>-0.13014539999999999</v>
      </c>
      <c r="U4272">
        <v>-1.5953059999999999</v>
      </c>
      <c r="V4272">
        <v>-0.26062950000000001</v>
      </c>
      <c r="W4272">
        <v>-9.5429469999999995E-3</v>
      </c>
      <c r="X4272">
        <v>0.96539180000000002</v>
      </c>
      <c r="Y4272">
        <v>-0.50115969999999999</v>
      </c>
      <c r="Z4272">
        <v>-1.460062E-2</v>
      </c>
      <c r="AA4272">
        <v>0.86523159999999899</v>
      </c>
      <c r="AB4272">
        <v>35</v>
      </c>
      <c r="AC4272">
        <v>-20.798500000000001</v>
      </c>
      <c r="AD4272">
        <v>-1.02992018</v>
      </c>
      <c r="AE4272">
        <v>-12.619400000000001</v>
      </c>
      <c r="AF4272">
        <v>-12.300275855512499</v>
      </c>
      <c r="AG4272">
        <v>-1.02992018</v>
      </c>
      <c r="AH4272">
        <v>20.9383449973196</v>
      </c>
      <c r="AI4272">
        <v>92.428546178693693</v>
      </c>
      <c r="AJ4272">
        <v>120.43219772221499</v>
      </c>
      <c r="AK4272">
        <v>24.305797928182798</v>
      </c>
      <c r="AL4272">
        <v>90.546778850443005</v>
      </c>
      <c r="AM4272">
        <v>105.108121045823</v>
      </c>
      <c r="AN4272">
        <v>1.0000000658074599</v>
      </c>
    </row>
    <row r="4273" spans="1:40" x14ac:dyDescent="0.25">
      <c r="A4273" t="str">
        <f>"20190305135914872"</f>
        <v>20190305135914872</v>
      </c>
      <c r="B4273" t="str">
        <f>"1551765554862852"</f>
        <v>1551765554862852</v>
      </c>
      <c r="C4273" t="s">
        <v>40</v>
      </c>
      <c r="D4273">
        <v>3.8908990000000001</v>
      </c>
      <c r="E4273">
        <v>0.40205950000000001</v>
      </c>
      <c r="F4273" t="s">
        <v>41</v>
      </c>
      <c r="G4273">
        <v>-384.7441</v>
      </c>
      <c r="H4273">
        <v>1.043758</v>
      </c>
      <c r="I4273">
        <v>141.2473</v>
      </c>
      <c r="J4273">
        <v>-384.2484</v>
      </c>
      <c r="K4273">
        <v>1.110034</v>
      </c>
      <c r="L4273">
        <v>141.7038</v>
      </c>
      <c r="M4273">
        <v>-0.99979370000000001</v>
      </c>
      <c r="N4273">
        <v>-1.390072E-2</v>
      </c>
      <c r="O4273">
        <v>-1.481236E-2</v>
      </c>
      <c r="P4273">
        <v>-0.9612657</v>
      </c>
      <c r="Q4273">
        <v>-2.3859890000000002E-2</v>
      </c>
      <c r="R4273">
        <v>-0.27458939999999998</v>
      </c>
      <c r="S4273">
        <v>-2.686798</v>
      </c>
      <c r="T4273">
        <v>-0.2151711</v>
      </c>
      <c r="U4273">
        <v>-1.502167</v>
      </c>
      <c r="V4273">
        <v>-0.26030779999999998</v>
      </c>
      <c r="W4273">
        <v>-1.071895E-2</v>
      </c>
      <c r="X4273">
        <v>0.96546620000000005</v>
      </c>
      <c r="Y4273">
        <v>-0.47363830000000001</v>
      </c>
      <c r="Z4273">
        <v>-2.0264230000000001E-2</v>
      </c>
      <c r="AA4273">
        <v>0.88048630000000006</v>
      </c>
      <c r="AB4273">
        <v>35</v>
      </c>
      <c r="AC4273">
        <v>-0.49569999999999897</v>
      </c>
      <c r="AD4273">
        <v>-6.6276000000000002E-2</v>
      </c>
      <c r="AE4273">
        <v>-0.45650000000000501</v>
      </c>
      <c r="AF4273">
        <v>-0.44480422369883599</v>
      </c>
      <c r="AG4273">
        <v>-6.6276000000000002E-2</v>
      </c>
      <c r="AH4273">
        <v>0.49759498101157301</v>
      </c>
      <c r="AI4273">
        <v>95.670968626183907</v>
      </c>
      <c r="AJ4273">
        <v>131.79378999137799</v>
      </c>
      <c r="AK4273">
        <v>0.67070416036001401</v>
      </c>
      <c r="AL4273">
        <v>90.614162347778603</v>
      </c>
      <c r="AM4273">
        <v>105.089213934803</v>
      </c>
      <c r="AN4273">
        <v>1.0000000149861901</v>
      </c>
    </row>
    <row r="4274" spans="1:40" x14ac:dyDescent="0.25">
      <c r="A4274" t="str">
        <f>"20190305135914896"</f>
        <v>20190305135914896</v>
      </c>
      <c r="B4274" t="str">
        <f>"1551765554893109"</f>
        <v>1551765554893109</v>
      </c>
      <c r="C4274" t="s">
        <v>40</v>
      </c>
      <c r="D4274">
        <v>3.9514040000000001</v>
      </c>
      <c r="E4274">
        <v>0.4003004</v>
      </c>
      <c r="F4274" t="s">
        <v>41</v>
      </c>
      <c r="G4274">
        <v>-385.053</v>
      </c>
      <c r="H4274">
        <v>1.06141</v>
      </c>
      <c r="I4274">
        <v>141.23050000000001</v>
      </c>
      <c r="J4274">
        <v>-384.61279999999999</v>
      </c>
      <c r="K4274">
        <v>1.110195</v>
      </c>
      <c r="L4274">
        <v>141.69759999999999</v>
      </c>
      <c r="M4274">
        <v>-0.99978069999999997</v>
      </c>
      <c r="N4274">
        <v>-1.390016E-2</v>
      </c>
      <c r="O4274">
        <v>-1.5662860000000001E-2</v>
      </c>
      <c r="P4274">
        <v>-0.96095129999999995</v>
      </c>
      <c r="Q4274">
        <v>-2.4393769999999999E-2</v>
      </c>
      <c r="R4274">
        <v>-0.2756402</v>
      </c>
      <c r="S4274">
        <v>-2.6686100000000001</v>
      </c>
      <c r="T4274">
        <v>-0.1612555</v>
      </c>
      <c r="U4274">
        <v>-1.5692600000000001</v>
      </c>
      <c r="V4274">
        <v>-0.26053710000000002</v>
      </c>
      <c r="W4274">
        <v>-1.135622E-2</v>
      </c>
      <c r="X4274">
        <v>0.96539699999999995</v>
      </c>
      <c r="Y4274">
        <v>-0.49248389999999997</v>
      </c>
      <c r="Z4274">
        <v>-1.6773550000000002E-2</v>
      </c>
      <c r="AA4274">
        <v>0.87015989999999999</v>
      </c>
      <c r="AB4274">
        <v>35</v>
      </c>
      <c r="AC4274">
        <v>-0.44020000000006099</v>
      </c>
      <c r="AD4274">
        <v>-4.8785000000000002E-2</v>
      </c>
      <c r="AE4274">
        <v>-0.46709999999998703</v>
      </c>
      <c r="AF4274">
        <v>-0.45750412870593499</v>
      </c>
      <c r="AG4274">
        <v>-4.8785000000000002E-2</v>
      </c>
      <c r="AH4274">
        <v>0.44489257498123402</v>
      </c>
      <c r="AI4274">
        <v>94.3715971630008</v>
      </c>
      <c r="AJ4274">
        <v>135.800691934301</v>
      </c>
      <c r="AK4274">
        <v>0.64001516175900797</v>
      </c>
      <c r="AL4274">
        <v>90.650677492055706</v>
      </c>
      <c r="AM4274">
        <v>105.102931913879</v>
      </c>
      <c r="AN4274">
        <v>0.999999955909048</v>
      </c>
    </row>
    <row r="4275" spans="1:40" x14ac:dyDescent="0.25">
      <c r="A4275" t="str">
        <f>"20190305135914918"</f>
        <v>20190305135914918</v>
      </c>
      <c r="B4275" t="str">
        <f>"1551765554913605"</f>
        <v>1551765554913605</v>
      </c>
      <c r="C4275" t="s">
        <v>40</v>
      </c>
      <c r="D4275">
        <v>4.3335929999999996</v>
      </c>
      <c r="E4275">
        <v>0.40007720000000002</v>
      </c>
      <c r="F4275" t="s">
        <v>41</v>
      </c>
      <c r="G4275">
        <v>-385.3999</v>
      </c>
      <c r="H4275">
        <v>1.0646040000000001</v>
      </c>
      <c r="I4275">
        <v>141.22890000000001</v>
      </c>
      <c r="J4275">
        <v>-384.96859999999998</v>
      </c>
      <c r="K4275">
        <v>1.1103730000000001</v>
      </c>
      <c r="L4275">
        <v>141.691</v>
      </c>
      <c r="M4275">
        <v>-0.99976350000000003</v>
      </c>
      <c r="N4275">
        <v>-1.390039E-2</v>
      </c>
      <c r="O4275">
        <v>-1.672659E-2</v>
      </c>
      <c r="P4275">
        <v>-0.96055239999999997</v>
      </c>
      <c r="Q4275">
        <v>-2.4533300000000001E-2</v>
      </c>
      <c r="R4275">
        <v>-0.27701500000000001</v>
      </c>
      <c r="S4275">
        <v>-2.662903</v>
      </c>
      <c r="T4275">
        <v>-0.15424560000000001</v>
      </c>
      <c r="U4275">
        <v>-1.5866389999999999</v>
      </c>
      <c r="V4275">
        <v>-0.26088670000000003</v>
      </c>
      <c r="W4275">
        <v>-1.1607640000000001E-2</v>
      </c>
      <c r="X4275">
        <v>0.96529969999999998</v>
      </c>
      <c r="Y4275">
        <v>-0.49662790000000001</v>
      </c>
      <c r="Z4275">
        <v>-1.6321749999999999E-2</v>
      </c>
      <c r="AA4275">
        <v>0.86781010000000003</v>
      </c>
      <c r="AB4275">
        <v>35</v>
      </c>
      <c r="AC4275">
        <v>-0.431300000000021</v>
      </c>
      <c r="AD4275">
        <v>-4.57689999999999E-2</v>
      </c>
      <c r="AE4275">
        <v>-0.46209999999999202</v>
      </c>
      <c r="AF4275">
        <v>-0.45244835892021101</v>
      </c>
      <c r="AG4275">
        <v>-4.57689999999999E-2</v>
      </c>
      <c r="AH4275">
        <v>0.43668031668177598</v>
      </c>
      <c r="AI4275">
        <v>94.163043545120701</v>
      </c>
      <c r="AJ4275">
        <v>136.01599195032401</v>
      </c>
      <c r="AK4275">
        <v>0.63047126645699603</v>
      </c>
      <c r="AL4275">
        <v>90.665083678579606</v>
      </c>
      <c r="AM4275">
        <v>105.12372460395601</v>
      </c>
      <c r="AN4275">
        <v>1.00000005918167</v>
      </c>
    </row>
    <row r="4276" spans="1:40" x14ac:dyDescent="0.25">
      <c r="A4276" t="str">
        <f>"20190305135914941"</f>
        <v>20190305135914941</v>
      </c>
      <c r="B4276" t="str">
        <f>"1551765554932656"</f>
        <v>1551765554932656</v>
      </c>
      <c r="C4276" t="s">
        <v>40</v>
      </c>
      <c r="D4276">
        <v>4.4687570000000001</v>
      </c>
      <c r="E4276">
        <v>0.44650240000000002</v>
      </c>
      <c r="F4276" t="s">
        <v>41</v>
      </c>
      <c r="G4276">
        <v>-385.95830000000001</v>
      </c>
      <c r="H4276">
        <v>1.05155</v>
      </c>
      <c r="I4276">
        <v>141.09870000000001</v>
      </c>
      <c r="J4276">
        <v>-385.31849999999997</v>
      </c>
      <c r="K4276">
        <v>1.1105579999999999</v>
      </c>
      <c r="L4276">
        <v>141.68389999999999</v>
      </c>
      <c r="M4276">
        <v>-0.99974070000000004</v>
      </c>
      <c r="N4276">
        <v>-1.390135E-2</v>
      </c>
      <c r="O4276">
        <v>-1.803418E-2</v>
      </c>
      <c r="P4276">
        <v>-0.96024100000000001</v>
      </c>
      <c r="Q4276">
        <v>-2.3904410000000001E-2</v>
      </c>
      <c r="R4276">
        <v>-0.27814800000000001</v>
      </c>
      <c r="S4276">
        <v>-2.6600649999999999</v>
      </c>
      <c r="T4276">
        <v>-0.15808820000000001</v>
      </c>
      <c r="U4276">
        <v>-1.591904</v>
      </c>
      <c r="V4276">
        <v>-0.2607584</v>
      </c>
      <c r="W4276">
        <v>-1.1094649999999999E-2</v>
      </c>
      <c r="X4276">
        <v>0.96534030000000004</v>
      </c>
      <c r="Y4276">
        <v>-0.49713079999999998</v>
      </c>
      <c r="Z4276">
        <v>-1.6600750000000001E-2</v>
      </c>
      <c r="AA4276">
        <v>0.86751679999999998</v>
      </c>
      <c r="AB4276">
        <v>35</v>
      </c>
      <c r="AC4276">
        <v>-0.63980000000003601</v>
      </c>
      <c r="AD4276">
        <v>-5.9007999999999901E-2</v>
      </c>
      <c r="AE4276">
        <v>-0.58519999999998595</v>
      </c>
      <c r="AF4276">
        <v>-0.57092122992289296</v>
      </c>
      <c r="AG4276">
        <v>-5.9007999999999901E-2</v>
      </c>
      <c r="AH4276">
        <v>0.64725282810319795</v>
      </c>
      <c r="AI4276">
        <v>93.911226076837494</v>
      </c>
      <c r="AJ4276">
        <v>131.41449603332899</v>
      </c>
      <c r="AK4276">
        <v>0.865083359178905</v>
      </c>
      <c r="AL4276">
        <v>90.635689684430204</v>
      </c>
      <c r="AM4276">
        <v>105.116020769161</v>
      </c>
      <c r="AN4276">
        <v>0.99999996461663498</v>
      </c>
    </row>
    <row r="4277" spans="1:40" x14ac:dyDescent="0.25">
      <c r="A4277" t="str">
        <f>"20190305135914961"</f>
        <v>20190305135914961</v>
      </c>
      <c r="B4277" t="str">
        <f>"1551765554953153"</f>
        <v>1551765554953153</v>
      </c>
      <c r="C4277" t="s">
        <v>40</v>
      </c>
      <c r="D4277">
        <v>4.1847709999999996</v>
      </c>
      <c r="E4277">
        <v>0.52272750000000001</v>
      </c>
      <c r="F4277" t="s">
        <v>41</v>
      </c>
      <c r="G4277">
        <v>-386.30990000000003</v>
      </c>
      <c r="H4277">
        <v>1.0265820000000001</v>
      </c>
      <c r="I4277">
        <v>141.2424</v>
      </c>
      <c r="J4277">
        <v>-385.64170000000001</v>
      </c>
      <c r="K4277">
        <v>1.1107290000000001</v>
      </c>
      <c r="L4277">
        <v>141.67679999999999</v>
      </c>
      <c r="M4277">
        <v>-0.99971480000000001</v>
      </c>
      <c r="N4277">
        <v>-1.3902919999999999E-2</v>
      </c>
      <c r="O4277">
        <v>-1.942267E-2</v>
      </c>
      <c r="P4277">
        <v>-0.95968739999999997</v>
      </c>
      <c r="Q4277">
        <v>-2.3911760000000001E-2</v>
      </c>
      <c r="R4277">
        <v>-0.2800511</v>
      </c>
      <c r="S4277">
        <v>-2.7620849999999999</v>
      </c>
      <c r="T4277">
        <v>-0.2339541</v>
      </c>
      <c r="U4277">
        <v>-1.230164</v>
      </c>
      <c r="V4277">
        <v>-0.26132739999999999</v>
      </c>
      <c r="W4277">
        <v>-1.120961E-2</v>
      </c>
      <c r="X4277">
        <v>0.96518510000000002</v>
      </c>
      <c r="Y4277">
        <v>-0.38769130000000002</v>
      </c>
      <c r="Z4277">
        <v>-1.7165380000000001E-2</v>
      </c>
      <c r="AA4277">
        <v>0.92162940000000004</v>
      </c>
      <c r="AB4277">
        <v>35</v>
      </c>
      <c r="AC4277">
        <v>-0.66820000000001301</v>
      </c>
      <c r="AD4277">
        <v>-8.4147000000000194E-2</v>
      </c>
      <c r="AE4277">
        <v>-0.43439999999998202</v>
      </c>
      <c r="AF4277">
        <v>-0.416693542357992</v>
      </c>
      <c r="AG4277">
        <v>-8.4147000000000194E-2</v>
      </c>
      <c r="AH4277">
        <v>0.66905379345350902</v>
      </c>
      <c r="AI4277">
        <v>96.093691728677499</v>
      </c>
      <c r="AJ4277">
        <v>121.915072397034</v>
      </c>
      <c r="AK4277">
        <v>0.79268354618118797</v>
      </c>
      <c r="AL4277">
        <v>90.642276812817599</v>
      </c>
      <c r="AM4277">
        <v>105.14981506692899</v>
      </c>
      <c r="AN4277">
        <v>0.99999997130455998</v>
      </c>
    </row>
    <row r="4278" spans="1:40" x14ac:dyDescent="0.25">
      <c r="A4278" t="str">
        <f>"20190305135914985"</f>
        <v>20190305135914985</v>
      </c>
      <c r="B4278" t="str">
        <f>"1551765554972677"</f>
        <v>1551765554972677</v>
      </c>
      <c r="C4278" t="s">
        <v>40</v>
      </c>
      <c r="D4278">
        <v>4.1487350000000003</v>
      </c>
      <c r="E4278">
        <v>0.52297309999999997</v>
      </c>
      <c r="F4278" t="s">
        <v>42</v>
      </c>
      <c r="G4278">
        <v>-397.2491</v>
      </c>
      <c r="H4278" s="1">
        <v>-1.2500089999999999E-6</v>
      </c>
      <c r="I4278">
        <v>139.1224</v>
      </c>
      <c r="J4278">
        <v>-385.99099999999999</v>
      </c>
      <c r="K4278">
        <v>1.11091299999999</v>
      </c>
      <c r="L4278">
        <v>141.66839999999999</v>
      </c>
      <c r="M4278">
        <v>-0.99968000000000001</v>
      </c>
      <c r="N4278">
        <v>-1.39043E-2</v>
      </c>
      <c r="O4278">
        <v>-2.1128890000000001E-2</v>
      </c>
      <c r="P4278">
        <v>-0.95893249999999997</v>
      </c>
      <c r="Q4278">
        <v>-2.343655E-2</v>
      </c>
      <c r="R4278">
        <v>-0.28266429999999998</v>
      </c>
      <c r="S4278">
        <v>-2.9307859999999999</v>
      </c>
      <c r="T4278">
        <v>-0.28045179999999997</v>
      </c>
      <c r="U4278">
        <v>-0.64492799999999995</v>
      </c>
      <c r="V4278">
        <v>-0.26230490000000001</v>
      </c>
      <c r="W4278">
        <v>-1.085148E-2</v>
      </c>
      <c r="X4278">
        <v>0.964924</v>
      </c>
      <c r="Y4278">
        <v>-0.193324</v>
      </c>
      <c r="Z4278">
        <v>-8.7812930000000008E-3</v>
      </c>
      <c r="AA4278">
        <v>0.98109570000000001</v>
      </c>
      <c r="AB4278">
        <v>35</v>
      </c>
      <c r="AC4278">
        <v>-11.258100000000001</v>
      </c>
      <c r="AD4278">
        <v>-1.1109142500089999</v>
      </c>
      <c r="AE4278">
        <v>-2.54599999999999</v>
      </c>
      <c r="AF4278">
        <v>-2.2863579694524301</v>
      </c>
      <c r="AG4278">
        <v>-1.1109142500089999</v>
      </c>
      <c r="AH4278">
        <v>11.2055841336483</v>
      </c>
      <c r="AI4278">
        <v>95.548189066222307</v>
      </c>
      <c r="AJ4278">
        <v>101.53218623395399</v>
      </c>
      <c r="AK4278">
        <v>11.490286289367299</v>
      </c>
      <c r="AL4278">
        <v>90.621756226677405</v>
      </c>
      <c r="AM4278">
        <v>105.207788334371</v>
      </c>
      <c r="AN4278">
        <v>0.99999997047909905</v>
      </c>
    </row>
    <row r="4279" spans="1:40" x14ac:dyDescent="0.25">
      <c r="A4279" t="str">
        <f>"20190305135915006"</f>
        <v>20190305135915006</v>
      </c>
      <c r="B4279" t="str">
        <f>"1551765554993169"</f>
        <v>1551765554993169</v>
      </c>
      <c r="C4279" t="s">
        <v>40</v>
      </c>
      <c r="D4279">
        <v>4.1608850000000004</v>
      </c>
      <c r="E4279">
        <v>0.52211579999999902</v>
      </c>
      <c r="F4279" t="s">
        <v>42</v>
      </c>
      <c r="G4279">
        <v>-396.98169999999999</v>
      </c>
      <c r="H4279" s="1">
        <v>-1.3454470000000001E-6</v>
      </c>
      <c r="I4279">
        <v>139.2311</v>
      </c>
      <c r="J4279">
        <v>-386.33210000000003</v>
      </c>
      <c r="K4279">
        <v>1.111094</v>
      </c>
      <c r="L4279">
        <v>141.65940000000001</v>
      </c>
      <c r="M4279">
        <v>-0.99963869999999999</v>
      </c>
      <c r="N4279">
        <v>-1.390601E-2</v>
      </c>
      <c r="O4279">
        <v>-2.3005169999999998E-2</v>
      </c>
      <c r="P4279">
        <v>-0.95824500000000001</v>
      </c>
      <c r="Q4279">
        <v>-2.3009809999999999E-2</v>
      </c>
      <c r="R4279">
        <v>-0.28502179999999999</v>
      </c>
      <c r="S4279">
        <v>-2.9297490000000002</v>
      </c>
      <c r="T4279">
        <v>-0.29613070000000002</v>
      </c>
      <c r="U4279">
        <v>-0.64965819999999996</v>
      </c>
      <c r="V4279">
        <v>-0.26286340000000002</v>
      </c>
      <c r="W4279">
        <v>-1.053893E-2</v>
      </c>
      <c r="X4279">
        <v>0.96477550000000001</v>
      </c>
      <c r="Y4279">
        <v>-0.19298000000000001</v>
      </c>
      <c r="Z4279">
        <v>-8.9994329999999994E-3</v>
      </c>
      <c r="AA4279">
        <v>0.98116139999999996</v>
      </c>
      <c r="AB4279">
        <v>35</v>
      </c>
      <c r="AC4279">
        <v>-10.6495999999999</v>
      </c>
      <c r="AD4279">
        <v>-1.1110953454470001</v>
      </c>
      <c r="AE4279">
        <v>-2.4283000000000001</v>
      </c>
      <c r="AF4279">
        <v>-2.16028474954105</v>
      </c>
      <c r="AG4279">
        <v>-1.1110953454470001</v>
      </c>
      <c r="AH4279">
        <v>10.5930413531303</v>
      </c>
      <c r="AI4279">
        <v>95.867903171333396</v>
      </c>
      <c r="AJ4279">
        <v>101.526517842001</v>
      </c>
      <c r="AK4279">
        <v>10.8680213550997</v>
      </c>
      <c r="AL4279">
        <v>90.603847387606507</v>
      </c>
      <c r="AM4279">
        <v>105.24090119841399</v>
      </c>
      <c r="AN4279">
        <v>1.0000000007526699</v>
      </c>
    </row>
    <row r="4280" spans="1:40" x14ac:dyDescent="0.25">
      <c r="A4280" t="str">
        <f>"20190305135915030"</f>
        <v>20190305135915030</v>
      </c>
      <c r="B4280" t="str">
        <f>"1551765555022957"</f>
        <v>1551765555022957</v>
      </c>
      <c r="C4280" t="s">
        <v>40</v>
      </c>
      <c r="D4280">
        <v>4.1720119999999996</v>
      </c>
      <c r="E4280">
        <v>0.52029749999999997</v>
      </c>
      <c r="F4280" t="s">
        <v>42</v>
      </c>
      <c r="G4280">
        <v>-398.0668</v>
      </c>
      <c r="H4280" s="1">
        <v>-9.2279459999999998E-7</v>
      </c>
      <c r="I4280">
        <v>138.9897</v>
      </c>
      <c r="J4280">
        <v>-386.6961</v>
      </c>
      <c r="K4280">
        <v>1.111294</v>
      </c>
      <c r="L4280">
        <v>141.6489</v>
      </c>
      <c r="M4280">
        <v>-0.9995849</v>
      </c>
      <c r="N4280">
        <v>-1.3908759999999999E-2</v>
      </c>
      <c r="O4280">
        <v>-2.523278E-2</v>
      </c>
      <c r="P4280">
        <v>-0.95759559999999999</v>
      </c>
      <c r="Q4280">
        <v>-2.2571979999999998E-2</v>
      </c>
      <c r="R4280">
        <v>-0.28723029999999999</v>
      </c>
      <c r="S4280">
        <v>-2.926056</v>
      </c>
      <c r="T4280">
        <v>-0.27705249999999998</v>
      </c>
      <c r="U4280">
        <v>-0.6656647</v>
      </c>
      <c r="V4280">
        <v>-0.26293420000000001</v>
      </c>
      <c r="W4280">
        <v>-1.0222480000000001E-2</v>
      </c>
      <c r="X4280">
        <v>0.96475960000000005</v>
      </c>
      <c r="Y4280">
        <v>-0.19626679999999999</v>
      </c>
      <c r="Z4280">
        <v>-8.5344419999999997E-3</v>
      </c>
      <c r="AA4280">
        <v>0.98051339999999998</v>
      </c>
      <c r="AB4280">
        <v>35</v>
      </c>
      <c r="AC4280">
        <v>-11.370699999999999</v>
      </c>
      <c r="AD4280">
        <v>-1.1112949227946001</v>
      </c>
      <c r="AE4280">
        <v>-2.65919999999999</v>
      </c>
      <c r="AF4280">
        <v>-2.3501272134625899</v>
      </c>
      <c r="AG4280">
        <v>-1.1112949227946001</v>
      </c>
      <c r="AH4280">
        <v>11.3315605856851</v>
      </c>
      <c r="AI4280">
        <v>95.485139740891199</v>
      </c>
      <c r="AJ4280">
        <v>101.716841386948</v>
      </c>
      <c r="AK4280">
        <v>11.6259339251494</v>
      </c>
      <c r="AL4280">
        <v>90.585715167896893</v>
      </c>
      <c r="AM4280">
        <v>105.24505476701999</v>
      </c>
      <c r="AN4280">
        <v>0.999999989209575</v>
      </c>
    </row>
    <row r="4281" spans="1:40" x14ac:dyDescent="0.25">
      <c r="A4281" t="str">
        <f>"20190305135915052"</f>
        <v>20190305135915052</v>
      </c>
      <c r="B4281" t="str">
        <f>"1551765555043454"</f>
        <v>1551765555043454</v>
      </c>
      <c r="C4281" t="s">
        <v>40</v>
      </c>
      <c r="D4281">
        <v>4.1572820000000004</v>
      </c>
      <c r="E4281">
        <v>0.5196788</v>
      </c>
      <c r="F4281" t="s">
        <v>42</v>
      </c>
      <c r="G4281">
        <v>-397.77429999999998</v>
      </c>
      <c r="H4281" s="1">
        <v>-1.037477E-6</v>
      </c>
      <c r="I4281">
        <v>139.0506</v>
      </c>
      <c r="J4281">
        <v>-387.03809999999999</v>
      </c>
      <c r="K4281">
        <v>1.111497</v>
      </c>
      <c r="L4281">
        <v>141.63810000000001</v>
      </c>
      <c r="M4281">
        <v>-0.99952419999999997</v>
      </c>
      <c r="N4281">
        <v>-1.391183E-2</v>
      </c>
      <c r="O4281">
        <v>-2.753005E-2</v>
      </c>
      <c r="P4281">
        <v>-0.95684769999999997</v>
      </c>
      <c r="Q4281">
        <v>-2.179963E-2</v>
      </c>
      <c r="R4281">
        <v>-0.28977140000000001</v>
      </c>
      <c r="S4281">
        <v>-2.920471</v>
      </c>
      <c r="T4281">
        <v>-0.29296470000000002</v>
      </c>
      <c r="U4281">
        <v>-0.6849518</v>
      </c>
      <c r="V4281">
        <v>-0.26327679999999998</v>
      </c>
      <c r="W4281">
        <v>-9.5682400000000004E-3</v>
      </c>
      <c r="X4281">
        <v>0.96467290000000006</v>
      </c>
      <c r="Y4281">
        <v>-0.20045289999999999</v>
      </c>
      <c r="Z4281">
        <v>-8.9742859999999997E-3</v>
      </c>
      <c r="AA4281">
        <v>0.97966220000000004</v>
      </c>
      <c r="AB4281">
        <v>35</v>
      </c>
      <c r="AC4281">
        <v>-10.736199999999901</v>
      </c>
      <c r="AD4281">
        <v>-1.111498037477</v>
      </c>
      <c r="AE4281">
        <v>-2.5874999999999999</v>
      </c>
      <c r="AF4281">
        <v>-2.2679487632352702</v>
      </c>
      <c r="AG4281">
        <v>-1.111498037477</v>
      </c>
      <c r="AH4281">
        <v>10.6950335238989</v>
      </c>
      <c r="AI4281">
        <v>95.805078475981404</v>
      </c>
      <c r="AJ4281">
        <v>101.972570916447</v>
      </c>
      <c r="AK4281">
        <v>10.9892111435397</v>
      </c>
      <c r="AL4281">
        <v>90.548228126896007</v>
      </c>
      <c r="AM4281">
        <v>105.265300670637</v>
      </c>
      <c r="AN4281">
        <v>1.0000000143146699</v>
      </c>
    </row>
    <row r="4282" spans="1:40" x14ac:dyDescent="0.25">
      <c r="A4282" t="str">
        <f>"20190305135915074"</f>
        <v>20190305135915074</v>
      </c>
      <c r="B4282" t="str">
        <f>"1551765555062974"</f>
        <v>1551765555062974</v>
      </c>
      <c r="C4282" t="s">
        <v>40</v>
      </c>
      <c r="D4282">
        <v>4.1507579999999997</v>
      </c>
      <c r="E4282">
        <v>0.51945779999999997</v>
      </c>
      <c r="F4282" t="s">
        <v>42</v>
      </c>
      <c r="G4282">
        <v>-397.94299999999998</v>
      </c>
      <c r="H4282" s="1">
        <v>-9.6806929999999991E-7</v>
      </c>
      <c r="I4282">
        <v>139.03370000000001</v>
      </c>
      <c r="J4282">
        <v>-387.375</v>
      </c>
      <c r="K4282">
        <v>1.11168</v>
      </c>
      <c r="L4282">
        <v>141.62649999999999</v>
      </c>
      <c r="M4282">
        <v>-0.9994537</v>
      </c>
      <c r="N4282">
        <v>-1.391527E-2</v>
      </c>
      <c r="O4282">
        <v>-2.9978479999999998E-2</v>
      </c>
      <c r="P4282">
        <v>-0.95608879999999996</v>
      </c>
      <c r="Q4282">
        <v>-2.071516E-2</v>
      </c>
      <c r="R4282">
        <v>-0.2923443</v>
      </c>
      <c r="S4282">
        <v>-2.9175420000000001</v>
      </c>
      <c r="T4282">
        <v>-0.29737560000000002</v>
      </c>
      <c r="U4282">
        <v>-0.69676210000000005</v>
      </c>
      <c r="V4282">
        <v>-0.26350859999999998</v>
      </c>
      <c r="W4282">
        <v>-8.5977090000000003E-3</v>
      </c>
      <c r="X4282">
        <v>0.96461870000000005</v>
      </c>
      <c r="Y4282">
        <v>-0.20199909999999999</v>
      </c>
      <c r="Z4282">
        <v>-8.9637220000000004E-3</v>
      </c>
      <c r="AA4282">
        <v>0.97934469999999996</v>
      </c>
      <c r="AB4282">
        <v>35</v>
      </c>
      <c r="AC4282">
        <v>-10.568</v>
      </c>
      <c r="AD4282">
        <v>-1.1116809680693001</v>
      </c>
      <c r="AE4282">
        <v>-2.59279999999998</v>
      </c>
      <c r="AF4282">
        <v>-2.25129368227172</v>
      </c>
      <c r="AG4282">
        <v>-1.1116809680693001</v>
      </c>
      <c r="AH4282">
        <v>10.531068716439</v>
      </c>
      <c r="AI4282">
        <v>95.893742344978705</v>
      </c>
      <c r="AJ4282">
        <v>102.066852313764</v>
      </c>
      <c r="AK4282">
        <v>10.826244322430799</v>
      </c>
      <c r="AL4282">
        <v>90.492618523378297</v>
      </c>
      <c r="AM4282">
        <v>105.278931363499</v>
      </c>
      <c r="AN4282">
        <v>0.99999996963184801</v>
      </c>
    </row>
    <row r="4283" spans="1:40" x14ac:dyDescent="0.25">
      <c r="A4283" t="str">
        <f>"20190305135915097"</f>
        <v>20190305135915097</v>
      </c>
      <c r="B4283" t="str">
        <f>"1551765555083469"</f>
        <v>1551765555083469</v>
      </c>
      <c r="C4283" t="s">
        <v>40</v>
      </c>
      <c r="D4283">
        <v>4.1495759999999997</v>
      </c>
      <c r="E4283">
        <v>0.51924550000000003</v>
      </c>
      <c r="F4283" t="s">
        <v>42</v>
      </c>
      <c r="G4283">
        <v>-398.5609</v>
      </c>
      <c r="H4283" s="1">
        <v>-7.2392990000000001E-7</v>
      </c>
      <c r="I4283">
        <v>138.91569999999999</v>
      </c>
      <c r="J4283">
        <v>-387.71199999999999</v>
      </c>
      <c r="K4283">
        <v>1.111858</v>
      </c>
      <c r="L4283">
        <v>141.6139</v>
      </c>
      <c r="M4283">
        <v>-0.99937160000000003</v>
      </c>
      <c r="N4283">
        <v>-1.391879E-2</v>
      </c>
      <c r="O4283">
        <v>-3.2600369999999997E-2</v>
      </c>
      <c r="P4283">
        <v>-0.95530179999999998</v>
      </c>
      <c r="Q4283">
        <v>-1.988154E-2</v>
      </c>
      <c r="R4283">
        <v>-0.2949638</v>
      </c>
      <c r="S4283">
        <v>-2.9154969999999998</v>
      </c>
      <c r="T4283">
        <v>-0.28974899999999998</v>
      </c>
      <c r="U4283">
        <v>-0.70651249999999999</v>
      </c>
      <c r="V4283">
        <v>-0.26362239999999998</v>
      </c>
      <c r="W4283">
        <v>-7.8714709999999997E-3</v>
      </c>
      <c r="X4283">
        <v>0.96459379999999995</v>
      </c>
      <c r="Y4283">
        <v>-0.20273330000000001</v>
      </c>
      <c r="Z4283">
        <v>-8.6060919999999992E-3</v>
      </c>
      <c r="AA4283">
        <v>0.97919619999999996</v>
      </c>
      <c r="AB4283">
        <v>35</v>
      </c>
      <c r="AC4283">
        <v>-10.8489</v>
      </c>
      <c r="AD4283">
        <v>-1.1118587239299</v>
      </c>
      <c r="AE4283">
        <v>-2.6982000000000101</v>
      </c>
      <c r="AF4283">
        <v>-2.3201038167220198</v>
      </c>
      <c r="AG4283">
        <v>-1.1118587239299</v>
      </c>
      <c r="AH4283">
        <v>10.824037126022199</v>
      </c>
      <c r="AI4283">
        <v>95.735542745095898</v>
      </c>
      <c r="AJ4283">
        <v>102.098134181642</v>
      </c>
      <c r="AK4283">
        <v>11.1255962198821</v>
      </c>
      <c r="AL4283">
        <v>90.451006740389701</v>
      </c>
      <c r="AM4283">
        <v>105.285597319758</v>
      </c>
      <c r="AN4283">
        <v>0.99999996441795103</v>
      </c>
    </row>
    <row r="4284" spans="1:40" x14ac:dyDescent="0.25">
      <c r="A4284" t="str">
        <f>"20190305135915121"</f>
        <v>20190305135915121</v>
      </c>
      <c r="B4284" t="str">
        <f>"1551765555113725"</f>
        <v>1551765555113725</v>
      </c>
      <c r="C4284" t="s">
        <v>40</v>
      </c>
      <c r="D4284">
        <v>4.1799679999999997</v>
      </c>
      <c r="E4284">
        <v>0.51892780000000005</v>
      </c>
      <c r="F4284" t="s">
        <v>42</v>
      </c>
      <c r="G4284">
        <v>-398.84649999999999</v>
      </c>
      <c r="H4284" s="1">
        <v>-6.0791359999999897E-7</v>
      </c>
      <c r="I4284">
        <v>138.87909999999999</v>
      </c>
      <c r="J4284">
        <v>-388.077</v>
      </c>
      <c r="K4284">
        <v>1.112028</v>
      </c>
      <c r="L4284">
        <v>141.59909999999999</v>
      </c>
      <c r="M4284">
        <v>-0.9992685</v>
      </c>
      <c r="N4284">
        <v>-1.392243E-2</v>
      </c>
      <c r="O4284">
        <v>-3.5618850000000001E-2</v>
      </c>
      <c r="P4284">
        <v>-0.95454570000000005</v>
      </c>
      <c r="Q4284">
        <v>-1.9754310000000001E-2</v>
      </c>
      <c r="R4284">
        <v>-0.297409599999999</v>
      </c>
      <c r="S4284">
        <v>-2.9134220000000002</v>
      </c>
      <c r="T4284">
        <v>-0.29092570000000001</v>
      </c>
      <c r="U4284">
        <v>-0.71556090000000006</v>
      </c>
      <c r="V4284">
        <v>-0.26317669999999999</v>
      </c>
      <c r="W4284">
        <v>-7.8441169999999994E-3</v>
      </c>
      <c r="X4284">
        <v>0.96471569999999995</v>
      </c>
      <c r="Y4284">
        <v>-0.2028085</v>
      </c>
      <c r="Z4284">
        <v>-8.3865090000000003E-3</v>
      </c>
      <c r="AA4284">
        <v>0.97918249999999996</v>
      </c>
      <c r="AB4284">
        <v>35</v>
      </c>
      <c r="AC4284">
        <v>-10.769499999999899</v>
      </c>
      <c r="AD4284">
        <v>-1.1120286079135999</v>
      </c>
      <c r="AE4284">
        <v>-2.71999999999999</v>
      </c>
      <c r="AF4284">
        <v>-2.3114720876049599</v>
      </c>
      <c r="AG4284">
        <v>-1.1120286079135999</v>
      </c>
      <c r="AH4284">
        <v>10.751795363410301</v>
      </c>
      <c r="AI4284">
        <v>95.773946652121495</v>
      </c>
      <c r="AJ4284">
        <v>102.133045263816</v>
      </c>
      <c r="AK4284">
        <v>11.0535340218975</v>
      </c>
      <c r="AL4284">
        <v>90.449439432500398</v>
      </c>
      <c r="AM4284">
        <v>105.259121878692</v>
      </c>
      <c r="AN4284">
        <v>0.99999994371044298</v>
      </c>
    </row>
    <row r="4285" spans="1:40" x14ac:dyDescent="0.25">
      <c r="A4285" t="str">
        <f>"20190305135915143"</f>
        <v>20190305135915143</v>
      </c>
      <c r="B4285" t="str">
        <f>"1551765555132776"</f>
        <v>1551765555132776</v>
      </c>
      <c r="C4285" t="s">
        <v>40</v>
      </c>
      <c r="D4285">
        <v>4.1722799999999998</v>
      </c>
      <c r="E4285">
        <v>0.51876239999999996</v>
      </c>
      <c r="F4285" t="s">
        <v>42</v>
      </c>
      <c r="G4285">
        <v>-399.09840000000003</v>
      </c>
      <c r="H4285" s="1">
        <v>-5.042139E-7</v>
      </c>
      <c r="I4285">
        <v>138.8544</v>
      </c>
      <c r="J4285">
        <v>-388.42559999999997</v>
      </c>
      <c r="K4285">
        <v>1.1121639999999999</v>
      </c>
      <c r="L4285">
        <v>141.58359999999999</v>
      </c>
      <c r="M4285">
        <v>-0.99915560000000003</v>
      </c>
      <c r="N4285">
        <v>-1.392554E-2</v>
      </c>
      <c r="O4285">
        <v>-3.8651850000000001E-2</v>
      </c>
      <c r="P4285">
        <v>-0.95368090000000005</v>
      </c>
      <c r="Q4285">
        <v>-2.0320580000000001E-2</v>
      </c>
      <c r="R4285">
        <v>-0.30013289999999998</v>
      </c>
      <c r="S4285">
        <v>-2.9108890000000001</v>
      </c>
      <c r="T4285">
        <v>-0.29369879999999998</v>
      </c>
      <c r="U4285">
        <v>-0.72488399999999997</v>
      </c>
      <c r="V4285">
        <v>-0.26299640000000002</v>
      </c>
      <c r="W4285">
        <v>-8.4945790000000004E-3</v>
      </c>
      <c r="X4285">
        <v>0.96475940000000004</v>
      </c>
      <c r="Y4285">
        <v>-0.20298189999999999</v>
      </c>
      <c r="Z4285">
        <v>-8.2033450000000008E-3</v>
      </c>
      <c r="AA4285">
        <v>0.97914809999999997</v>
      </c>
      <c r="AB4285">
        <v>35</v>
      </c>
      <c r="AC4285">
        <v>-10.672800000000001</v>
      </c>
      <c r="AD4285">
        <v>-1.1121645042138999</v>
      </c>
      <c r="AE4285">
        <v>-2.7291999999999899</v>
      </c>
      <c r="AF4285">
        <v>-2.2912436056647199</v>
      </c>
      <c r="AG4285">
        <v>-1.1121645042138999</v>
      </c>
      <c r="AH4285">
        <v>10.6616550705296</v>
      </c>
      <c r="AI4285">
        <v>95.823230548699101</v>
      </c>
      <c r="AJ4285">
        <v>102.12868065943201</v>
      </c>
      <c r="AK4285">
        <v>10.9616420297272</v>
      </c>
      <c r="AL4285">
        <v>90.486709387597699</v>
      </c>
      <c r="AM4285">
        <v>105.24849629194701</v>
      </c>
      <c r="AN4285">
        <v>0.99999998208685303</v>
      </c>
    </row>
    <row r="4286" spans="1:40" x14ac:dyDescent="0.25">
      <c r="A4286" t="str">
        <f>"20190305135915163"</f>
        <v>20190305135915163</v>
      </c>
      <c r="B4286" t="str">
        <f>"1551765555153272"</f>
        <v>1551765555153272</v>
      </c>
      <c r="C4286" t="s">
        <v>40</v>
      </c>
      <c r="D4286">
        <v>4.1779989999999998</v>
      </c>
      <c r="E4286">
        <v>0.5184202</v>
      </c>
      <c r="F4286" t="s">
        <v>42</v>
      </c>
      <c r="G4286">
        <v>-399.30090000000001</v>
      </c>
      <c r="H4286" s="1">
        <v>-4.3096809999999999E-7</v>
      </c>
      <c r="I4286">
        <v>138.8382</v>
      </c>
      <c r="J4286">
        <v>-388.7398</v>
      </c>
      <c r="K4286">
        <v>1.112274</v>
      </c>
      <c r="L4286">
        <v>141.56880000000001</v>
      </c>
      <c r="M4286">
        <v>-0.9990426</v>
      </c>
      <c r="N4286">
        <v>-1.3928070000000001E-2</v>
      </c>
      <c r="O4286">
        <v>-4.1473669999999997E-2</v>
      </c>
      <c r="P4286">
        <v>-0.95270929999999998</v>
      </c>
      <c r="Q4286">
        <v>-2.036696E-2</v>
      </c>
      <c r="R4286">
        <v>-0.3032011</v>
      </c>
      <c r="S4286">
        <v>-2.908325</v>
      </c>
      <c r="T4286">
        <v>-0.2974213</v>
      </c>
      <c r="U4286">
        <v>-0.73417659999999996</v>
      </c>
      <c r="V4286">
        <v>-0.26337480000000002</v>
      </c>
      <c r="W4286">
        <v>-8.6096119999999905E-3</v>
      </c>
      <c r="X4286">
        <v>0.96465520000000005</v>
      </c>
      <c r="Y4286">
        <v>-0.2033479</v>
      </c>
      <c r="Z4286">
        <v>-8.0629710000000004E-3</v>
      </c>
      <c r="AA4286">
        <v>0.97907330000000004</v>
      </c>
      <c r="AB4286">
        <v>35</v>
      </c>
      <c r="AC4286">
        <v>-10.5611</v>
      </c>
      <c r="AD4286">
        <v>-1.1122744309681001</v>
      </c>
      <c r="AE4286">
        <v>-2.7305999999999999</v>
      </c>
      <c r="AF4286">
        <v>-2.2666342064040701</v>
      </c>
      <c r="AG4286">
        <v>-1.1122744309681001</v>
      </c>
      <c r="AH4286">
        <v>10.5555260246903</v>
      </c>
      <c r="AI4286">
        <v>95.882152965736793</v>
      </c>
      <c r="AJ4286">
        <v>102.119332208614</v>
      </c>
      <c r="AK4286">
        <v>10.853290500734801</v>
      </c>
      <c r="AL4286">
        <v>90.493300509148597</v>
      </c>
      <c r="AM4286">
        <v>105.270984764742</v>
      </c>
      <c r="AN4286">
        <v>1.0000000327904299</v>
      </c>
    </row>
    <row r="4287" spans="1:40" x14ac:dyDescent="0.25">
      <c r="A4287" t="str">
        <f>"20190305135915185"</f>
        <v>20190305135915185</v>
      </c>
      <c r="B4287" t="str">
        <f>"1551765555172791"</f>
        <v>1551765555172791</v>
      </c>
      <c r="C4287" t="s">
        <v>40</v>
      </c>
      <c r="D4287">
        <v>4.1594550000000003</v>
      </c>
      <c r="E4287">
        <v>0.51825259999999995</v>
      </c>
      <c r="F4287" t="s">
        <v>42</v>
      </c>
      <c r="G4287">
        <v>-399.4828</v>
      </c>
      <c r="H4287" s="1">
        <v>-3.7624329999999999E-7</v>
      </c>
      <c r="I4287">
        <v>138.81110000000001</v>
      </c>
      <c r="J4287">
        <v>-389.08350000000002</v>
      </c>
      <c r="K4287">
        <v>1.1123780000000001</v>
      </c>
      <c r="L4287">
        <v>141.5514</v>
      </c>
      <c r="M4287">
        <v>-0.99890590000000001</v>
      </c>
      <c r="N4287">
        <v>-1.3930029999999999E-2</v>
      </c>
      <c r="O4287">
        <v>-4.4645539999999997E-2</v>
      </c>
      <c r="P4287">
        <v>-0.95157480000000005</v>
      </c>
      <c r="Q4287">
        <v>-1.942806E-2</v>
      </c>
      <c r="R4287">
        <v>-0.3068031</v>
      </c>
      <c r="S4287">
        <v>-2.905151</v>
      </c>
      <c r="T4287">
        <v>-0.30078280000000002</v>
      </c>
      <c r="U4287">
        <v>-0.74571229999999999</v>
      </c>
      <c r="V4287">
        <v>-0.26396399999999998</v>
      </c>
      <c r="W4287">
        <v>-7.7368879999999999E-3</v>
      </c>
      <c r="X4287">
        <v>0.96450150000000001</v>
      </c>
      <c r="Y4287">
        <v>-0.2041308</v>
      </c>
      <c r="Z4287">
        <v>-7.9030479999999993E-3</v>
      </c>
      <c r="AA4287">
        <v>0.97891170000000005</v>
      </c>
      <c r="AB4287">
        <v>34</v>
      </c>
      <c r="AC4287">
        <v>-10.399299999999901</v>
      </c>
      <c r="AD4287">
        <v>-1.1123783762432999</v>
      </c>
      <c r="AE4287">
        <v>-2.7402999999999902</v>
      </c>
      <c r="AF4287">
        <v>-2.2491758785759601</v>
      </c>
      <c r="AG4287">
        <v>-1.1123783762432999</v>
      </c>
      <c r="AH4287">
        <v>10.4000133800554</v>
      </c>
      <c r="AI4287">
        <v>95.968162889404894</v>
      </c>
      <c r="AJ4287">
        <v>102.203228364171</v>
      </c>
      <c r="AK4287">
        <v>10.698432412743101</v>
      </c>
      <c r="AL4287">
        <v>90.443295452444403</v>
      </c>
      <c r="AM4287">
        <v>105.305871956381</v>
      </c>
      <c r="AN4287">
        <v>0.99999999811708695</v>
      </c>
    </row>
    <row r="4288" spans="1:40" x14ac:dyDescent="0.25">
      <c r="A4288" t="str">
        <f>"20190305135915208"</f>
        <v>20190305135915208</v>
      </c>
      <c r="B4288" t="str">
        <f>"1551765555203051"</f>
        <v>1551765555203051</v>
      </c>
      <c r="C4288" t="s">
        <v>40</v>
      </c>
      <c r="D4288">
        <v>4.1867970000000003</v>
      </c>
      <c r="E4288">
        <v>0.52045419999999998</v>
      </c>
      <c r="F4288" t="s">
        <v>42</v>
      </c>
      <c r="G4288">
        <v>-399.85390000000001</v>
      </c>
      <c r="H4288" s="1">
        <v>-2.6912140000000001E-7</v>
      </c>
      <c r="I4288">
        <v>138.73910000000001</v>
      </c>
      <c r="J4288">
        <v>-389.43079999999998</v>
      </c>
      <c r="K4288">
        <v>1.112474</v>
      </c>
      <c r="L4288">
        <v>141.53270000000001</v>
      </c>
      <c r="M4288">
        <v>-0.99875360000000002</v>
      </c>
      <c r="N4288">
        <v>-1.393199E-2</v>
      </c>
      <c r="O4288">
        <v>-4.7928400000000003E-2</v>
      </c>
      <c r="P4288">
        <v>-0.95044519999999999</v>
      </c>
      <c r="Q4288">
        <v>-1.7718250000000001E-2</v>
      </c>
      <c r="R4288">
        <v>-0.31038739999999998</v>
      </c>
      <c r="S4288">
        <v>-2.9021910000000002</v>
      </c>
      <c r="T4288">
        <v>-0.29974000000000001</v>
      </c>
      <c r="U4288">
        <v>-0.75778199999999996</v>
      </c>
      <c r="V4288">
        <v>-0.26443699999999998</v>
      </c>
      <c r="W4288">
        <v>-6.0856699999999996E-3</v>
      </c>
      <c r="X4288">
        <v>0.96438380000000001</v>
      </c>
      <c r="Y4288">
        <v>-0.20498259999999999</v>
      </c>
      <c r="Z4288">
        <v>-7.6493589999999997E-3</v>
      </c>
      <c r="AA4288">
        <v>0.97873569999999999</v>
      </c>
      <c r="AB4288">
        <v>34</v>
      </c>
      <c r="AC4288">
        <v>-10.4231</v>
      </c>
      <c r="AD4288">
        <v>-1.1124742691214</v>
      </c>
      <c r="AE4288">
        <v>-2.7935999999999899</v>
      </c>
      <c r="AF4288">
        <v>-2.2666871726802</v>
      </c>
      <c r="AG4288">
        <v>-1.1124742691214</v>
      </c>
      <c r="AH4288">
        <v>10.434129297734501</v>
      </c>
      <c r="AI4288">
        <v>95.948110969909393</v>
      </c>
      <c r="AJ4288">
        <v>102.25637456833999</v>
      </c>
      <c r="AK4288">
        <v>10.7352933793209</v>
      </c>
      <c r="AL4288">
        <v>90.348685345555296</v>
      </c>
      <c r="AM4288">
        <v>105.333792268948</v>
      </c>
      <c r="AN4288">
        <v>1.0000000380253899</v>
      </c>
    </row>
    <row r="4289" spans="1:40" x14ac:dyDescent="0.25">
      <c r="A4289" t="str">
        <f>"20190305135915230"</f>
        <v>20190305135915230</v>
      </c>
      <c r="B4289" t="str">
        <f>"1551765555223080"</f>
        <v>1551765555223080</v>
      </c>
      <c r="C4289" t="s">
        <v>40</v>
      </c>
      <c r="D4289">
        <v>3.913548</v>
      </c>
      <c r="E4289">
        <v>0.56778169999999994</v>
      </c>
      <c r="F4289" t="s">
        <v>79</v>
      </c>
      <c r="G4289">
        <v>-400.9622</v>
      </c>
      <c r="H4289" s="1">
        <v>-5.2914230000000003E-6</v>
      </c>
      <c r="I4289">
        <v>138.5427</v>
      </c>
      <c r="J4289">
        <v>-389.77960000000002</v>
      </c>
      <c r="K4289">
        <v>1.11256</v>
      </c>
      <c r="L4289">
        <v>141.5127</v>
      </c>
      <c r="M4289">
        <v>-0.99858619999999998</v>
      </c>
      <c r="N4289">
        <v>-1.3934230000000001E-2</v>
      </c>
      <c r="O4289">
        <v>-5.1299640000000001E-2</v>
      </c>
      <c r="P4289">
        <v>-0.94935919999999896</v>
      </c>
      <c r="Q4289">
        <v>-1.5874079999999999E-2</v>
      </c>
      <c r="R4289">
        <v>-0.31379190000000001</v>
      </c>
      <c r="S4289">
        <v>-2.9052120000000001</v>
      </c>
      <c r="T4289">
        <v>-0.28027750000000001</v>
      </c>
      <c r="U4289">
        <v>-0.75329590000000002</v>
      </c>
      <c r="V4289">
        <v>-0.26464870000000001</v>
      </c>
      <c r="W4289">
        <v>-4.2947009999999997E-3</v>
      </c>
      <c r="X4289">
        <v>0.96433530000000001</v>
      </c>
      <c r="Y4289">
        <v>-0.2001598</v>
      </c>
      <c r="Z4289">
        <v>-6.752887E-3</v>
      </c>
      <c r="AA4289">
        <v>0.97974000000000006</v>
      </c>
      <c r="AB4289">
        <v>34</v>
      </c>
      <c r="AC4289">
        <v>-11.1825999999999</v>
      </c>
      <c r="AD4289">
        <v>-1.112565291423</v>
      </c>
      <c r="AE4289">
        <v>-2.96999999999999</v>
      </c>
      <c r="AF4289">
        <v>-2.3704520061658498</v>
      </c>
      <c r="AG4289">
        <v>-1.112565291423</v>
      </c>
      <c r="AH4289">
        <v>11.2165374962662</v>
      </c>
      <c r="AI4289">
        <v>95.542981511331206</v>
      </c>
      <c r="AJ4289">
        <v>101.933043268075</v>
      </c>
      <c r="AK4289">
        <v>11.5181403727494</v>
      </c>
      <c r="AL4289">
        <v>90.246069004198702</v>
      </c>
      <c r="AM4289">
        <v>105.346224952521</v>
      </c>
      <c r="AN4289">
        <v>0.99999997484722902</v>
      </c>
    </row>
    <row r="4290" spans="1:40" x14ac:dyDescent="0.25">
      <c r="A4290" t="str">
        <f>"20190305135915274"</f>
        <v>20190305135915274</v>
      </c>
      <c r="B4290" t="str">
        <f>"1551765555263092"</f>
        <v>1551765555263092</v>
      </c>
      <c r="C4290" t="s">
        <v>40</v>
      </c>
      <c r="D4290">
        <v>3.73997</v>
      </c>
      <c r="E4290">
        <v>0.59080730000000004</v>
      </c>
      <c r="F4290" t="s">
        <v>42</v>
      </c>
      <c r="G4290">
        <v>-446.44369999999998</v>
      </c>
      <c r="H4290" s="1">
        <v>-1.799833E-6</v>
      </c>
      <c r="I4290">
        <v>133.53980000000001</v>
      </c>
      <c r="J4290">
        <v>-390.4468</v>
      </c>
      <c r="K4290">
        <v>1.1127149999999999</v>
      </c>
      <c r="L4290">
        <v>141.4708</v>
      </c>
      <c r="M4290">
        <v>-0.99822109999999997</v>
      </c>
      <c r="N4290">
        <v>-1.3939180000000001E-2</v>
      </c>
      <c r="O4290">
        <v>-5.7969369999999999E-2</v>
      </c>
      <c r="P4290">
        <v>-0.94718749999999996</v>
      </c>
      <c r="Q4290">
        <v>-1.5969629999999999E-2</v>
      </c>
      <c r="R4290">
        <v>-0.32028250000000003</v>
      </c>
      <c r="S4290">
        <v>-3.0186160000000002</v>
      </c>
      <c r="T4290">
        <v>-5.9268469999999997E-2</v>
      </c>
      <c r="U4290">
        <v>-0.42472840000000001</v>
      </c>
      <c r="V4290">
        <v>-0.26480479999999901</v>
      </c>
      <c r="W4290">
        <v>-4.4911100000000004E-3</v>
      </c>
      <c r="X4290">
        <v>0.96429160000000003</v>
      </c>
      <c r="Y4290">
        <v>-8.16611E-2</v>
      </c>
      <c r="Z4290">
        <v>-1.0441160000000001E-3</v>
      </c>
      <c r="AA4290">
        <v>0.99665959999999998</v>
      </c>
      <c r="AB4290">
        <v>34</v>
      </c>
      <c r="AC4290">
        <v>-55.996899999999897</v>
      </c>
      <c r="AD4290">
        <v>-1.1127167998330001</v>
      </c>
      <c r="AE4290">
        <v>-7.9309999999999796</v>
      </c>
      <c r="AF4290">
        <v>-4.6694325936510301</v>
      </c>
      <c r="AG4290">
        <v>-1.1127167998330001</v>
      </c>
      <c r="AH4290">
        <v>56.340705796022199</v>
      </c>
      <c r="AI4290">
        <v>91.127567297213403</v>
      </c>
      <c r="AJ4290">
        <v>94.737759814655405</v>
      </c>
      <c r="AK4290">
        <v>56.544821770142697</v>
      </c>
      <c r="AL4290">
        <v>90.257322507965199</v>
      </c>
      <c r="AM4290">
        <v>105.3555126568</v>
      </c>
      <c r="AN4290">
        <v>1.00000002100131</v>
      </c>
    </row>
    <row r="4291" spans="1:40" x14ac:dyDescent="0.25">
      <c r="A4291" t="str">
        <f>"20190305135915298"</f>
        <v>20190305135915298</v>
      </c>
      <c r="B4291" t="str">
        <f>"1551765555293348"</f>
        <v>1551765555293348</v>
      </c>
      <c r="C4291" t="s">
        <v>40</v>
      </c>
      <c r="D4291">
        <v>4.0490959999999996</v>
      </c>
      <c r="E4291">
        <v>0.57498909999999903</v>
      </c>
      <c r="F4291" t="s">
        <v>55</v>
      </c>
      <c r="G4291">
        <v>0</v>
      </c>
      <c r="H4291">
        <v>0</v>
      </c>
      <c r="I4291">
        <v>0</v>
      </c>
      <c r="J4291">
        <v>-390.79919999999998</v>
      </c>
      <c r="K4291">
        <v>1.1127899999999999</v>
      </c>
      <c r="L4291">
        <v>141.4468</v>
      </c>
      <c r="M4291">
        <v>-0.9980019</v>
      </c>
      <c r="N4291">
        <v>-1.3942349999999999E-2</v>
      </c>
      <c r="O4291">
        <v>-6.1625560000000003E-2</v>
      </c>
      <c r="P4291">
        <v>-0.94587900000000003</v>
      </c>
      <c r="Q4291">
        <v>-1.7182759999999998E-2</v>
      </c>
      <c r="R4291">
        <v>-0.32406479999999999</v>
      </c>
      <c r="S4291">
        <v>-3.0724179999999999</v>
      </c>
      <c r="T4291">
        <v>9.1973780000000005E-2</v>
      </c>
      <c r="U4291">
        <v>-0.28518680000000002</v>
      </c>
      <c r="V4291">
        <v>-0.26511620000000002</v>
      </c>
      <c r="W4291">
        <v>-5.7632359999999997E-3</v>
      </c>
      <c r="X4291">
        <v>0.96419920000000003</v>
      </c>
      <c r="Y4291">
        <v>-3.0932310000000001E-2</v>
      </c>
      <c r="Z4291">
        <v>-2.4506189999999998E-3</v>
      </c>
      <c r="AA4291">
        <v>0.99951849999999998</v>
      </c>
      <c r="AB4291">
        <v>34</v>
      </c>
      <c r="AC4291">
        <v>-3.0724179999999999</v>
      </c>
      <c r="AD4291">
        <v>9.1973780000000005E-2</v>
      </c>
      <c r="AE4291">
        <v>-0.28518680000000002</v>
      </c>
      <c r="AF4291">
        <v>-9.52021713794413E-2</v>
      </c>
      <c r="AG4291">
        <v>9.1973780000000005E-2</v>
      </c>
      <c r="AH4291">
        <v>3.0814160044051202</v>
      </c>
      <c r="AI4291">
        <v>88.291164096925698</v>
      </c>
      <c r="AJ4291">
        <v>91.769624107714407</v>
      </c>
      <c r="AK4291">
        <v>3.0842579694064001</v>
      </c>
      <c r="AL4291">
        <v>90.330210941725099</v>
      </c>
      <c r="AM4291">
        <v>105.374119865108</v>
      </c>
      <c r="AN4291">
        <v>0.99999995583613399</v>
      </c>
    </row>
    <row r="4292" spans="1:40" x14ac:dyDescent="0.25">
      <c r="A4292" t="str">
        <f>"20190305135915321"</f>
        <v>20190305135915321</v>
      </c>
      <c r="B4292" t="str">
        <f>"1551765555313844"</f>
        <v>1551765555313844</v>
      </c>
      <c r="C4292" t="s">
        <v>40</v>
      </c>
      <c r="D4292">
        <v>4.018268</v>
      </c>
      <c r="E4292">
        <v>0.57310909999999904</v>
      </c>
      <c r="F4292" t="s">
        <v>54</v>
      </c>
      <c r="G4292">
        <v>-973.89530000000002</v>
      </c>
      <c r="H4292">
        <v>-0.1</v>
      </c>
      <c r="I4292">
        <v>62.927370000000003</v>
      </c>
      <c r="J4292">
        <v>-391.1474</v>
      </c>
      <c r="K4292">
        <v>1.112887</v>
      </c>
      <c r="L4292">
        <v>141.42160000000001</v>
      </c>
      <c r="M4292">
        <v>-0.99776410000000004</v>
      </c>
      <c r="N4292">
        <v>-1.394624E-2</v>
      </c>
      <c r="O4292">
        <v>-6.536459E-2</v>
      </c>
      <c r="P4292">
        <v>-0.9445848</v>
      </c>
      <c r="Q4292">
        <v>-1.8967439999999999E-2</v>
      </c>
      <c r="R4292">
        <v>-0.32771939999999999</v>
      </c>
      <c r="S4292">
        <v>-3.0317080000000001</v>
      </c>
      <c r="T4292">
        <v>-6.3056950000000001E-3</v>
      </c>
      <c r="U4292">
        <v>-0.40824890000000003</v>
      </c>
      <c r="V4292">
        <v>-0.26521860000000003</v>
      </c>
      <c r="W4292">
        <v>-7.6089449999999998E-3</v>
      </c>
      <c r="X4292">
        <v>0.96415830000000002</v>
      </c>
      <c r="Y4292">
        <v>-6.8386920000000004E-2</v>
      </c>
      <c r="Z4292">
        <v>-1.3237539999999999E-3</v>
      </c>
      <c r="AA4292">
        <v>0.99765800000000004</v>
      </c>
      <c r="AB4292">
        <v>34</v>
      </c>
      <c r="AC4292">
        <v>-582.74789999999996</v>
      </c>
      <c r="AD4292">
        <v>-1.212887</v>
      </c>
      <c r="AE4292">
        <v>-78.494230000000002</v>
      </c>
      <c r="AF4292">
        <v>-40.231384125823297</v>
      </c>
      <c r="AG4292">
        <v>-1.212887</v>
      </c>
      <c r="AH4292">
        <v>586.63016684965203</v>
      </c>
      <c r="AI4292">
        <v>90.118184100603102</v>
      </c>
      <c r="AJ4292">
        <v>93.923229625926794</v>
      </c>
      <c r="AK4292">
        <v>588.00934348155101</v>
      </c>
      <c r="AL4292">
        <v>90.435964635502899</v>
      </c>
      <c r="AM4292">
        <v>105.38039846532401</v>
      </c>
      <c r="AN4292">
        <v>1.0000000146444299</v>
      </c>
    </row>
    <row r="4293" spans="1:40" x14ac:dyDescent="0.25">
      <c r="A4293" t="str">
        <f>"20190305135915342"</f>
        <v>20190305135915342</v>
      </c>
      <c r="B4293" t="str">
        <f>"1551765555332894"</f>
        <v>1551765555332894</v>
      </c>
      <c r="C4293" t="s">
        <v>40</v>
      </c>
      <c r="D4293">
        <v>3.9666570000000001</v>
      </c>
      <c r="E4293">
        <v>0.57058409999999904</v>
      </c>
      <c r="F4293" t="s">
        <v>43</v>
      </c>
      <c r="G4293">
        <v>-531.69269999999995</v>
      </c>
      <c r="H4293">
        <v>-0.05</v>
      </c>
      <c r="I4293">
        <v>121.3188</v>
      </c>
      <c r="J4293">
        <v>-391.47969999999998</v>
      </c>
      <c r="K4293">
        <v>1.112986</v>
      </c>
      <c r="L4293">
        <v>141.39619999999999</v>
      </c>
      <c r="M4293">
        <v>-0.99751529999999999</v>
      </c>
      <c r="N4293">
        <v>-1.395064E-2</v>
      </c>
      <c r="O4293">
        <v>-6.9055740000000004E-2</v>
      </c>
      <c r="P4293">
        <v>-0.94346260000000004</v>
      </c>
      <c r="Q4293">
        <v>-1.944191E-2</v>
      </c>
      <c r="R4293">
        <v>-0.3309087</v>
      </c>
      <c r="S4293">
        <v>-3.0254210000000001</v>
      </c>
      <c r="T4293">
        <v>-2.5032639999999998E-2</v>
      </c>
      <c r="U4293">
        <v>-0.43273929999999999</v>
      </c>
      <c r="V4293">
        <v>-0.26490350000000001</v>
      </c>
      <c r="W4293">
        <v>-8.1411680000000007E-3</v>
      </c>
      <c r="X4293">
        <v>0.9642406</v>
      </c>
      <c r="Y4293">
        <v>-7.2883039999999996E-2</v>
      </c>
      <c r="Z4293">
        <v>-1.203876E-3</v>
      </c>
      <c r="AA4293">
        <v>0.9973398</v>
      </c>
      <c r="AB4293">
        <v>34</v>
      </c>
      <c r="AC4293">
        <v>-140.212999999999</v>
      </c>
      <c r="AD4293">
        <v>-1.1629860000000001</v>
      </c>
      <c r="AE4293">
        <v>-20.077400000000001</v>
      </c>
      <c r="AF4293">
        <v>-10.3453101393923</v>
      </c>
      <c r="AG4293">
        <v>-1.1629860000000001</v>
      </c>
      <c r="AH4293">
        <v>141.25529058597101</v>
      </c>
      <c r="AI4293">
        <v>90.470458154620601</v>
      </c>
      <c r="AJ4293">
        <v>94.188772027904406</v>
      </c>
      <c r="AK4293">
        <v>141.63839556011499</v>
      </c>
      <c r="AL4293">
        <v>90.466459701418103</v>
      </c>
      <c r="AM4293">
        <v>105.361739866777</v>
      </c>
      <c r="AN4293">
        <v>1.0000000388085</v>
      </c>
    </row>
    <row r="4294" spans="1:40" x14ac:dyDescent="0.25">
      <c r="A4294" t="str">
        <f>"20190305135915365"</f>
        <v>20190305135915365</v>
      </c>
      <c r="B4294" t="str">
        <f>"1551765555353391"</f>
        <v>1551765555353391</v>
      </c>
      <c r="C4294" t="s">
        <v>40</v>
      </c>
      <c r="D4294">
        <v>4.09192</v>
      </c>
      <c r="E4294">
        <v>0.56778660000000003</v>
      </c>
      <c r="F4294" t="s">
        <v>42</v>
      </c>
      <c r="G4294">
        <v>-459.55680000000001</v>
      </c>
      <c r="H4294" s="1">
        <v>-1.4108450000000001E-6</v>
      </c>
      <c r="I4294">
        <v>131.02010000000001</v>
      </c>
      <c r="J4294">
        <v>-391.8134</v>
      </c>
      <c r="K4294">
        <v>1.1130819999999999</v>
      </c>
      <c r="L4294">
        <v>141.36930000000001</v>
      </c>
      <c r="M4294">
        <v>-0.99724369999999996</v>
      </c>
      <c r="N4294">
        <v>-1.395542E-2</v>
      </c>
      <c r="O4294">
        <v>-7.2871920000000007E-2</v>
      </c>
      <c r="P4294">
        <v>-0.94194290000000003</v>
      </c>
      <c r="Q4294">
        <v>-1.9924020000000001E-2</v>
      </c>
      <c r="R4294">
        <v>-0.33518179999999997</v>
      </c>
      <c r="S4294">
        <v>-3.017395</v>
      </c>
      <c r="T4294">
        <v>-4.9331189999999997E-2</v>
      </c>
      <c r="U4294">
        <v>-0.45989989999999997</v>
      </c>
      <c r="V4294">
        <v>-0.26557950000000002</v>
      </c>
      <c r="W4294">
        <v>-8.691654E-3</v>
      </c>
      <c r="X4294">
        <v>0.96404979999999996</v>
      </c>
      <c r="Y4294">
        <v>-7.8209550000000003E-2</v>
      </c>
      <c r="Z4294">
        <v>-1.0157670000000001E-3</v>
      </c>
      <c r="AA4294">
        <v>0.99693639999999994</v>
      </c>
      <c r="AB4294">
        <v>34</v>
      </c>
      <c r="AC4294">
        <v>-67.743399999999994</v>
      </c>
      <c r="AD4294">
        <v>-1.1130834108449901</v>
      </c>
      <c r="AE4294">
        <v>-10.3491999999999</v>
      </c>
      <c r="AF4294">
        <v>-5.3831868806695597</v>
      </c>
      <c r="AG4294">
        <v>-1.1130834108449901</v>
      </c>
      <c r="AH4294">
        <v>68.299476967792998</v>
      </c>
      <c r="AI4294">
        <v>90.930786277966504</v>
      </c>
      <c r="AJ4294">
        <v>94.506587602824396</v>
      </c>
      <c r="AK4294">
        <v>68.520334279291106</v>
      </c>
      <c r="AL4294">
        <v>90.498001353456701</v>
      </c>
      <c r="AM4294">
        <v>105.401985571792</v>
      </c>
      <c r="AN4294">
        <v>1.00000001627477</v>
      </c>
    </row>
    <row r="4295" spans="1:40" x14ac:dyDescent="0.25">
      <c r="A4295" t="str">
        <f>"20190305135915386"</f>
        <v>20190305135915386</v>
      </c>
      <c r="B4295" t="str">
        <f>"1551765555383647"</f>
        <v>1551765555383647</v>
      </c>
      <c r="C4295" t="s">
        <v>40</v>
      </c>
      <c r="D4295">
        <v>4.0599040000000004</v>
      </c>
      <c r="E4295">
        <v>0.56309519999999902</v>
      </c>
      <c r="F4295" t="s">
        <v>79</v>
      </c>
      <c r="G4295">
        <v>-432.77879999999999</v>
      </c>
      <c r="H4295" s="1">
        <v>-8.2152699999999902E-6</v>
      </c>
      <c r="I4295">
        <v>134.67519999999999</v>
      </c>
      <c r="J4295">
        <v>-392.14440000000002</v>
      </c>
      <c r="K4295">
        <v>1.1131789999999999</v>
      </c>
      <c r="L4295">
        <v>141.34129999999999</v>
      </c>
      <c r="M4295">
        <v>-0.99695060000000002</v>
      </c>
      <c r="N4295">
        <v>-1.395997E-2</v>
      </c>
      <c r="O4295">
        <v>-7.6777079999999998E-2</v>
      </c>
      <c r="P4295">
        <v>-0.94010329999999998</v>
      </c>
      <c r="Q4295">
        <v>-2.110977E-2</v>
      </c>
      <c r="R4295">
        <v>-0.34023560000000003</v>
      </c>
      <c r="S4295">
        <v>-3.00827</v>
      </c>
      <c r="T4295">
        <v>-8.1739190000000003E-2</v>
      </c>
      <c r="U4295">
        <v>-0.49157709999999999</v>
      </c>
      <c r="V4295">
        <v>-0.26697029999999999</v>
      </c>
      <c r="W4295">
        <v>-9.95535E-3</v>
      </c>
      <c r="X4295">
        <v>0.96365330000000005</v>
      </c>
      <c r="Y4295">
        <v>-8.4973960000000001E-2</v>
      </c>
      <c r="Z4295">
        <v>-7.4373549999999999E-4</v>
      </c>
      <c r="AA4295">
        <v>0.99638289999999996</v>
      </c>
      <c r="AB4295">
        <v>34</v>
      </c>
      <c r="AC4295">
        <v>-40.6343999999999</v>
      </c>
      <c r="AD4295">
        <v>-1.11318721527</v>
      </c>
      <c r="AE4295">
        <v>-6.6661000000000001</v>
      </c>
      <c r="AF4295">
        <v>-3.5237500072119601</v>
      </c>
      <c r="AG4295">
        <v>-1.11318721527</v>
      </c>
      <c r="AH4295">
        <v>40.9963276544918</v>
      </c>
      <c r="AI4295">
        <v>91.549678490824704</v>
      </c>
      <c r="AJ4295">
        <v>94.912659557147904</v>
      </c>
      <c r="AK4295">
        <v>41.162542208226398</v>
      </c>
      <c r="AL4295">
        <v>90.570408980151399</v>
      </c>
      <c r="AM4295">
        <v>105.48484842165701</v>
      </c>
      <c r="AN4295">
        <v>0.99999996633830002</v>
      </c>
    </row>
    <row r="4296" spans="1:40" x14ac:dyDescent="0.25">
      <c r="A4296" t="str">
        <f>"20190305135915402"</f>
        <v>20190305135915402</v>
      </c>
      <c r="B4296" t="str">
        <f>"1551765555393407"</f>
        <v>1551765555393407</v>
      </c>
      <c r="C4296" t="s">
        <v>40</v>
      </c>
      <c r="D4296">
        <v>4.3546139999999998</v>
      </c>
      <c r="E4296">
        <v>0.56189730000000004</v>
      </c>
      <c r="F4296" t="s">
        <v>79</v>
      </c>
      <c r="G4296">
        <v>-418.72989999999999</v>
      </c>
      <c r="H4296" s="1">
        <v>-8.6226570000000003E-6</v>
      </c>
      <c r="I4296">
        <v>136.55359999999999</v>
      </c>
      <c r="J4296">
        <v>-392.37560000000002</v>
      </c>
      <c r="K4296">
        <v>1.113254</v>
      </c>
      <c r="L4296">
        <v>141.32089999999999</v>
      </c>
      <c r="M4296">
        <v>-0.99673060000000002</v>
      </c>
      <c r="N4296">
        <v>-1.3963400000000001E-2</v>
      </c>
      <c r="O4296">
        <v>-7.9578979999999994E-2</v>
      </c>
      <c r="P4296">
        <v>-0.93888570000000005</v>
      </c>
      <c r="Q4296">
        <v>-2.184359E-2</v>
      </c>
      <c r="R4296">
        <v>-0.34353519999999999</v>
      </c>
      <c r="S4296">
        <v>-2.9932859999999999</v>
      </c>
      <c r="T4296">
        <v>-0.1253351</v>
      </c>
      <c r="U4296">
        <v>-0.53904719999999995</v>
      </c>
      <c r="V4296">
        <v>-0.2676385</v>
      </c>
      <c r="W4296">
        <v>-1.074254E-2</v>
      </c>
      <c r="X4296">
        <v>0.96345950000000002</v>
      </c>
      <c r="Y4296">
        <v>-9.8263489999999995E-2</v>
      </c>
      <c r="Z4296">
        <v>-5.4118530000000001E-4</v>
      </c>
      <c r="AA4296">
        <v>0.9951603</v>
      </c>
      <c r="AB4296">
        <v>34</v>
      </c>
      <c r="AC4296">
        <v>-26.354299999999899</v>
      </c>
      <c r="AD4296">
        <v>-1.1132626226569999</v>
      </c>
      <c r="AE4296">
        <v>-4.7672999999999996</v>
      </c>
      <c r="AF4296">
        <v>-2.6501456361226099</v>
      </c>
      <c r="AG4296">
        <v>-1.1132626226569999</v>
      </c>
      <c r="AH4296">
        <v>26.604148324598601</v>
      </c>
      <c r="AI4296">
        <v>92.3843827390358</v>
      </c>
      <c r="AJ4296">
        <v>95.688695113251001</v>
      </c>
      <c r="AK4296">
        <v>26.758986035291102</v>
      </c>
      <c r="AL4296">
        <v>90.615514049328794</v>
      </c>
      <c r="AM4296">
        <v>105.524710624536</v>
      </c>
      <c r="AN4296">
        <v>0.99999998849407501</v>
      </c>
    </row>
    <row r="4297" spans="1:40" x14ac:dyDescent="0.25">
      <c r="A4297" t="str">
        <f>"20190305135915421"</f>
        <v>20190305135915421</v>
      </c>
      <c r="B4297" t="str">
        <f>"1551765555412931"</f>
        <v>1551765555412931</v>
      </c>
      <c r="C4297" t="s">
        <v>40</v>
      </c>
      <c r="D4297">
        <v>4.1318530000000004</v>
      </c>
      <c r="E4297">
        <v>0.55994549999999998</v>
      </c>
      <c r="F4297" t="s">
        <v>79</v>
      </c>
      <c r="G4297">
        <v>-416.46120000000002</v>
      </c>
      <c r="H4297" s="1">
        <v>-8.8870989999999904E-6</v>
      </c>
      <c r="I4297">
        <v>136.8278</v>
      </c>
      <c r="J4297">
        <v>-392.66419999999999</v>
      </c>
      <c r="K4297">
        <v>1.113356</v>
      </c>
      <c r="L4297">
        <v>141.2945</v>
      </c>
      <c r="M4297">
        <v>-0.99643559999999998</v>
      </c>
      <c r="N4297">
        <v>-1.396853E-2</v>
      </c>
      <c r="O4297">
        <v>-8.3193530000000002E-2</v>
      </c>
      <c r="P4297">
        <v>-0.93706979999999995</v>
      </c>
      <c r="Q4297">
        <v>-2.2431489999999998E-2</v>
      </c>
      <c r="R4297">
        <v>-0.3484215</v>
      </c>
      <c r="S4297">
        <v>-2.9881289999999998</v>
      </c>
      <c r="T4297">
        <v>-0.13811470000000001</v>
      </c>
      <c r="U4297">
        <v>-0.55743409999999904</v>
      </c>
      <c r="V4297">
        <v>-0.26915539999999999</v>
      </c>
      <c r="W4297">
        <v>-1.141197E-2</v>
      </c>
      <c r="X4297">
        <v>0.96302909999999997</v>
      </c>
      <c r="Y4297">
        <v>-0.1008647</v>
      </c>
      <c r="Z4297">
        <v>-3.76139E-4</v>
      </c>
      <c r="AA4297">
        <v>0.99490000000000001</v>
      </c>
      <c r="AB4297">
        <v>34</v>
      </c>
      <c r="AC4297">
        <v>-23.797000000000001</v>
      </c>
      <c r="AD4297">
        <v>-1.1133648870990001</v>
      </c>
      <c r="AE4297">
        <v>-4.4667000000000003</v>
      </c>
      <c r="AF4297">
        <v>-2.4660490496721001</v>
      </c>
      <c r="AG4297">
        <v>-1.1133648870990001</v>
      </c>
      <c r="AH4297">
        <v>24.035305243410601</v>
      </c>
      <c r="AI4297">
        <v>92.638331995762897</v>
      </c>
      <c r="AJ4297">
        <v>95.858111998486805</v>
      </c>
      <c r="AK4297">
        <v>24.187122140327801</v>
      </c>
      <c r="AL4297">
        <v>90.653871939549603</v>
      </c>
      <c r="AM4297">
        <v>105.615057917615</v>
      </c>
      <c r="AN4297">
        <v>0.99999995492762395</v>
      </c>
    </row>
    <row r="4298" spans="1:40" x14ac:dyDescent="0.25">
      <c r="A4298" t="str">
        <f>"20190305135915434"</f>
        <v>20190305135915434</v>
      </c>
      <c r="B4298" t="str">
        <f>"1551765555423194"</f>
        <v>1551765555423194</v>
      </c>
      <c r="C4298" t="s">
        <v>40</v>
      </c>
      <c r="D4298">
        <v>4.1248430000000003</v>
      </c>
      <c r="E4298">
        <v>0.55918129999999999</v>
      </c>
      <c r="F4298" t="s">
        <v>79</v>
      </c>
      <c r="G4298">
        <v>-413.77140000000003</v>
      </c>
      <c r="H4298" s="1">
        <v>-9.2611520000000007E-6</v>
      </c>
      <c r="I4298">
        <v>137.143</v>
      </c>
      <c r="J4298">
        <v>-392.87709999999998</v>
      </c>
      <c r="K4298">
        <v>1.1134389999999901</v>
      </c>
      <c r="L4298">
        <v>141.27420000000001</v>
      </c>
      <c r="M4298">
        <v>-0.99620189999999997</v>
      </c>
      <c r="N4298">
        <v>-1.397321E-2</v>
      </c>
      <c r="O4298">
        <v>-8.5946010000000003E-2</v>
      </c>
      <c r="P4298">
        <v>-0.93575330000000001</v>
      </c>
      <c r="Q4298">
        <v>-2.198862E-2</v>
      </c>
      <c r="R4298">
        <v>-0.35196880000000003</v>
      </c>
      <c r="S4298">
        <v>-2.9798279999999999</v>
      </c>
      <c r="T4298">
        <v>-0.15718070000000001</v>
      </c>
      <c r="U4298">
        <v>-0.58609009999999995</v>
      </c>
      <c r="V4298">
        <v>-0.27014369999999999</v>
      </c>
      <c r="W4298">
        <v>-1.1033629999999999E-2</v>
      </c>
      <c r="X4298">
        <v>0.96275679999999997</v>
      </c>
      <c r="Y4298">
        <v>-0.10781399999999999</v>
      </c>
      <c r="Z4298">
        <v>-2.9442230000000002E-4</v>
      </c>
      <c r="AA4298">
        <v>0.99417100000000003</v>
      </c>
      <c r="AB4298">
        <v>34</v>
      </c>
      <c r="AC4298">
        <v>-20.894300000000001</v>
      </c>
      <c r="AD4298">
        <v>-1.11344826115199</v>
      </c>
      <c r="AE4298">
        <v>-4.1311999999999998</v>
      </c>
      <c r="AF4298">
        <v>-2.3136308319087799</v>
      </c>
      <c r="AG4298">
        <v>-1.11344826115199</v>
      </c>
      <c r="AH4298">
        <v>21.114362219987001</v>
      </c>
      <c r="AI4298">
        <v>93.000721123463805</v>
      </c>
      <c r="AJ4298">
        <v>96.253303734314699</v>
      </c>
      <c r="AK4298">
        <v>21.269907066403398</v>
      </c>
      <c r="AL4298">
        <v>90.632193254529895</v>
      </c>
      <c r="AM4298">
        <v>105.673796522449</v>
      </c>
      <c r="AN4298">
        <v>1.0000000077934501</v>
      </c>
    </row>
    <row r="4299" spans="1:40" x14ac:dyDescent="0.25">
      <c r="A4299" t="str">
        <f>"20190305135915453"</f>
        <v>20190305135915453</v>
      </c>
      <c r="B4299" t="str">
        <f>"1551765555443690"</f>
        <v>1551765555443690</v>
      </c>
      <c r="C4299" t="s">
        <v>40</v>
      </c>
      <c r="D4299">
        <v>4.0649559999999996</v>
      </c>
      <c r="E4299">
        <v>0.5580946</v>
      </c>
      <c r="F4299" t="s">
        <v>79</v>
      </c>
      <c r="G4299">
        <v>-413.06610000000001</v>
      </c>
      <c r="H4299" s="1">
        <v>-9.3424760000000001E-6</v>
      </c>
      <c r="I4299">
        <v>137.18729999999999</v>
      </c>
      <c r="J4299">
        <v>-393.15879999999999</v>
      </c>
      <c r="K4299">
        <v>1.1135429999999999</v>
      </c>
      <c r="L4299">
        <v>141.24619999999999</v>
      </c>
      <c r="M4299">
        <v>-0.99587029999999999</v>
      </c>
      <c r="N4299">
        <v>-1.39804E-2</v>
      </c>
      <c r="O4299">
        <v>-8.9705170000000001E-2</v>
      </c>
      <c r="P4299">
        <v>-0.93385770000000001</v>
      </c>
      <c r="Q4299">
        <v>-2.1278269999999998E-2</v>
      </c>
      <c r="R4299">
        <v>-0.35701110000000003</v>
      </c>
      <c r="S4299">
        <v>-2.9755549999999999</v>
      </c>
      <c r="T4299">
        <v>-0.16410529999999901</v>
      </c>
      <c r="U4299">
        <v>-0.60234069999999995</v>
      </c>
      <c r="V4299">
        <v>-0.27170470000000002</v>
      </c>
      <c r="W4299">
        <v>-1.0418510000000001E-2</v>
      </c>
      <c r="X4299">
        <v>0.96232430000000002</v>
      </c>
      <c r="Y4299">
        <v>-0.109546</v>
      </c>
      <c r="Z4299">
        <v>-1.2928129999999999E-4</v>
      </c>
      <c r="AA4299">
        <v>0.99398169999999997</v>
      </c>
      <c r="AB4299">
        <v>34</v>
      </c>
      <c r="AC4299">
        <v>-19.907299999999999</v>
      </c>
      <c r="AD4299">
        <v>-1.1135523424760001</v>
      </c>
      <c r="AE4299">
        <v>-4.0588999999999897</v>
      </c>
      <c r="AF4299">
        <v>-2.2498120714696399</v>
      </c>
      <c r="AG4299">
        <v>-1.1135523424760001</v>
      </c>
      <c r="AH4299">
        <v>20.130691517631</v>
      </c>
      <c r="AI4299">
        <v>93.146604787075603</v>
      </c>
      <c r="AJ4299">
        <v>96.376931153947893</v>
      </c>
      <c r="AK4299">
        <v>20.286606274938801</v>
      </c>
      <c r="AL4299">
        <v>90.596947437214098</v>
      </c>
      <c r="AM4299">
        <v>105.76660925043799</v>
      </c>
      <c r="AN4299">
        <v>1.00000002386159</v>
      </c>
    </row>
    <row r="4300" spans="1:40" x14ac:dyDescent="0.25">
      <c r="A4300" t="str">
        <f>"20190305135915475"</f>
        <v>20190305135915475</v>
      </c>
      <c r="B4300" t="str">
        <f>"1551765555472970"</f>
        <v>1551765555472970</v>
      </c>
      <c r="C4300" t="s">
        <v>40</v>
      </c>
      <c r="D4300">
        <v>4.0852009999999996</v>
      </c>
      <c r="E4300">
        <v>0.55685090000000004</v>
      </c>
      <c r="F4300" t="s">
        <v>79</v>
      </c>
      <c r="G4300">
        <v>-412.2679</v>
      </c>
      <c r="H4300" s="1">
        <v>-9.4262609999999998E-6</v>
      </c>
      <c r="I4300">
        <v>137.21860000000001</v>
      </c>
      <c r="J4300">
        <v>-393.4941</v>
      </c>
      <c r="K4300">
        <v>1.1136839999999999</v>
      </c>
      <c r="L4300">
        <v>141.2115</v>
      </c>
      <c r="M4300">
        <v>-0.99543919999999997</v>
      </c>
      <c r="N4300">
        <v>-1.3989959999999999E-2</v>
      </c>
      <c r="O4300">
        <v>-9.4367389999999995E-2</v>
      </c>
      <c r="P4300">
        <v>-0.93162670000000003</v>
      </c>
      <c r="Q4300">
        <v>-2.122541E-2</v>
      </c>
      <c r="R4300">
        <v>-0.36279650000000002</v>
      </c>
      <c r="S4300">
        <v>-2.9692690000000002</v>
      </c>
      <c r="T4300">
        <v>-0.17302890000000001</v>
      </c>
      <c r="U4300">
        <v>-0.62583919999999904</v>
      </c>
      <c r="V4300">
        <v>-0.27316289999999999</v>
      </c>
      <c r="W4300">
        <v>-1.048731E-2</v>
      </c>
      <c r="X4300">
        <v>0.96191059999999995</v>
      </c>
      <c r="Y4300">
        <v>-0.11283219999999999</v>
      </c>
      <c r="Z4300" s="1">
        <v>5.781092E-5</v>
      </c>
      <c r="AA4300">
        <v>0.99361409999999994</v>
      </c>
      <c r="AB4300">
        <v>34</v>
      </c>
      <c r="AC4300">
        <v>-18.773799999999898</v>
      </c>
      <c r="AD4300">
        <v>-1.1136934262610001</v>
      </c>
      <c r="AE4300">
        <v>-3.9928999999999899</v>
      </c>
      <c r="AF4300">
        <v>-2.1958771527962</v>
      </c>
      <c r="AG4300">
        <v>-1.1136934262610001</v>
      </c>
      <c r="AH4300">
        <v>19.0028625690857</v>
      </c>
      <c r="AI4300">
        <v>93.331953486487095</v>
      </c>
      <c r="AJ4300">
        <v>96.591582595666495</v>
      </c>
      <c r="AK4300">
        <v>19.1617059610419</v>
      </c>
      <c r="AL4300">
        <v>90.600889629682996</v>
      </c>
      <c r="AM4300">
        <v>105.853460011184</v>
      </c>
      <c r="AN4300">
        <v>0.99999997799990203</v>
      </c>
    </row>
    <row r="4301" spans="1:40" x14ac:dyDescent="0.25">
      <c r="A4301" t="str">
        <f>"20190305135915491"</f>
        <v>20190305135915491</v>
      </c>
      <c r="B4301" t="str">
        <f>"1551765555483707"</f>
        <v>1551765555483707</v>
      </c>
      <c r="C4301" t="s">
        <v>40</v>
      </c>
      <c r="D4301">
        <v>4.1105739999999997</v>
      </c>
      <c r="E4301">
        <v>0.55641030000000002</v>
      </c>
      <c r="F4301" t="s">
        <v>79</v>
      </c>
      <c r="G4301">
        <v>-411.2799</v>
      </c>
      <c r="H4301" s="1">
        <v>-9.5453669999999998E-6</v>
      </c>
      <c r="I4301">
        <v>137.29249999999999</v>
      </c>
      <c r="J4301">
        <v>-393.73719999999997</v>
      </c>
      <c r="K4301">
        <v>1.113807</v>
      </c>
      <c r="L4301">
        <v>141.18510000000001</v>
      </c>
      <c r="M4301">
        <v>-0.99509669999999895</v>
      </c>
      <c r="N4301">
        <v>-1.3998409999999999E-2</v>
      </c>
      <c r="O4301">
        <v>-9.7911659999999998E-2</v>
      </c>
      <c r="P4301">
        <v>-0.93014540000000001</v>
      </c>
      <c r="Q4301">
        <v>-2.1848070000000001E-2</v>
      </c>
      <c r="R4301">
        <v>-0.36654100000000001</v>
      </c>
      <c r="S4301">
        <v>-2.961792</v>
      </c>
      <c r="T4301">
        <v>-0.18545829999999999</v>
      </c>
      <c r="U4301">
        <v>-0.65261840000000004</v>
      </c>
      <c r="V4301">
        <v>-0.2735979</v>
      </c>
      <c r="W4301">
        <v>-1.119818E-2</v>
      </c>
      <c r="X4301">
        <v>0.96177900000000005</v>
      </c>
      <c r="Y4301">
        <v>-0.1183601</v>
      </c>
      <c r="Z4301">
        <v>1.728972E-4</v>
      </c>
      <c r="AA4301">
        <v>0.99297069999999998</v>
      </c>
      <c r="AB4301">
        <v>34</v>
      </c>
      <c r="AC4301">
        <v>-17.5427</v>
      </c>
      <c r="AD4301">
        <v>-1.1138165453669999</v>
      </c>
      <c r="AE4301">
        <v>-3.8926000000000101</v>
      </c>
      <c r="AF4301">
        <v>-2.1478376345279901</v>
      </c>
      <c r="AG4301">
        <v>-1.1138165453669999</v>
      </c>
      <c r="AH4301">
        <v>17.771283104606098</v>
      </c>
      <c r="AI4301">
        <v>93.560483837124593</v>
      </c>
      <c r="AJ4301">
        <v>96.891344490873394</v>
      </c>
      <c r="AK4301">
        <v>17.9352250330206</v>
      </c>
      <c r="AL4301">
        <v>90.6416218448867</v>
      </c>
      <c r="AM4301">
        <v>105.879497095255</v>
      </c>
      <c r="AN4301">
        <v>1.00000002748036</v>
      </c>
    </row>
    <row r="4302" spans="1:40" x14ac:dyDescent="0.25">
      <c r="A4302" t="str">
        <f>"20190305135915510"</f>
        <v>20190305135915510</v>
      </c>
      <c r="B4302" t="str">
        <f>"1551765555503229"</f>
        <v>1551765555503229</v>
      </c>
      <c r="C4302" t="s">
        <v>40</v>
      </c>
      <c r="D4302">
        <v>4.0216830000000003</v>
      </c>
      <c r="E4302">
        <v>0.55578799999999995</v>
      </c>
      <c r="F4302" t="s">
        <v>79</v>
      </c>
      <c r="G4302">
        <v>-410.94349999999997</v>
      </c>
      <c r="H4302" s="1">
        <v>-9.5794059999999999E-6</v>
      </c>
      <c r="I4302">
        <v>137.30279999999999</v>
      </c>
      <c r="J4302">
        <v>-394.00490000000002</v>
      </c>
      <c r="K4302">
        <v>1.1139319999999999</v>
      </c>
      <c r="L4302">
        <v>141.1549</v>
      </c>
      <c r="M4302">
        <v>-0.99469010000000002</v>
      </c>
      <c r="N4302">
        <v>-1.400883E-2</v>
      </c>
      <c r="O4302">
        <v>-0.1019584</v>
      </c>
      <c r="P4302">
        <v>-0.92811299999999997</v>
      </c>
      <c r="Q4302">
        <v>-2.3324629999999999E-2</v>
      </c>
      <c r="R4302">
        <v>-0.37156719999999999</v>
      </c>
      <c r="S4302">
        <v>-2.9578250000000001</v>
      </c>
      <c r="T4302">
        <v>-0.19146820000000001</v>
      </c>
      <c r="U4302">
        <v>-0.66738889999999995</v>
      </c>
      <c r="V4302">
        <v>-0.27487149999999999</v>
      </c>
      <c r="W4302">
        <v>-1.278875E-2</v>
      </c>
      <c r="X4302">
        <v>0.96139589999999997</v>
      </c>
      <c r="Y4302">
        <v>-0.11931989999999899</v>
      </c>
      <c r="Z4302">
        <v>4.1177640000000001E-4</v>
      </c>
      <c r="AA4302">
        <v>0.99285579999999996</v>
      </c>
      <c r="AB4302">
        <v>34</v>
      </c>
      <c r="AC4302">
        <v>-16.938599999999902</v>
      </c>
      <c r="AD4302">
        <v>-1.1139415794059999</v>
      </c>
      <c r="AE4302">
        <v>-3.8521000000000001</v>
      </c>
      <c r="AF4302">
        <v>-2.0961996370306899</v>
      </c>
      <c r="AG4302">
        <v>-1.1139415794059999</v>
      </c>
      <c r="AH4302">
        <v>17.172486255681299</v>
      </c>
      <c r="AI4302">
        <v>93.684181550342501</v>
      </c>
      <c r="AJ4302">
        <v>96.959512825705502</v>
      </c>
      <c r="AK4302">
        <v>17.335778118162999</v>
      </c>
      <c r="AL4302">
        <v>90.732761386214804</v>
      </c>
      <c r="AM4302">
        <v>105.955696448837</v>
      </c>
      <c r="AN4302">
        <v>0.99999998508781096</v>
      </c>
    </row>
    <row r="4303" spans="1:40" x14ac:dyDescent="0.25">
      <c r="A4303" t="str">
        <f>"20190305135915532"</f>
        <v>20190305135915532</v>
      </c>
      <c r="B4303" t="str">
        <f>"1551765555523722"</f>
        <v>1551765555523722</v>
      </c>
      <c r="C4303" t="s">
        <v>40</v>
      </c>
      <c r="D4303">
        <v>4.0669570000000004</v>
      </c>
      <c r="E4303">
        <v>0.55518059999999902</v>
      </c>
      <c r="F4303" t="s">
        <v>79</v>
      </c>
      <c r="G4303">
        <v>-410.29559999999998</v>
      </c>
      <c r="H4303" s="1">
        <v>-9.6620149999999993E-6</v>
      </c>
      <c r="I4303">
        <v>137.36150000000001</v>
      </c>
      <c r="J4303">
        <v>-394.34339999999997</v>
      </c>
      <c r="K4303">
        <v>1.114112</v>
      </c>
      <c r="L4303">
        <v>141.11510000000001</v>
      </c>
      <c r="M4303">
        <v>-0.99412840000000002</v>
      </c>
      <c r="N4303">
        <v>-1.402316E-2</v>
      </c>
      <c r="O4303">
        <v>-0.1072944</v>
      </c>
      <c r="P4303">
        <v>-0.92559309999999995</v>
      </c>
      <c r="Q4303">
        <v>-2.4417640000000001E-2</v>
      </c>
      <c r="R4303">
        <v>-0.3777317</v>
      </c>
      <c r="S4303">
        <v>-2.9520569999999999</v>
      </c>
      <c r="T4303">
        <v>-0.2018597</v>
      </c>
      <c r="U4303">
        <v>-0.68740840000000003</v>
      </c>
      <c r="V4303">
        <v>-0.27609119999999998</v>
      </c>
      <c r="W4303">
        <v>-1.402392E-2</v>
      </c>
      <c r="X4303">
        <v>0.96102920000000003</v>
      </c>
      <c r="Y4303">
        <v>-0.1207965</v>
      </c>
      <c r="Z4303">
        <v>7.785372E-4</v>
      </c>
      <c r="AA4303">
        <v>0.99267700000000003</v>
      </c>
      <c r="AB4303">
        <v>34</v>
      </c>
      <c r="AC4303">
        <v>-15.952199999999999</v>
      </c>
      <c r="AD4303">
        <v>-1.1141216620150001</v>
      </c>
      <c r="AE4303">
        <v>-3.7536</v>
      </c>
      <c r="AF4303">
        <v>-2.0108831673196899</v>
      </c>
      <c r="AG4303">
        <v>-1.1141216620150001</v>
      </c>
      <c r="AH4303">
        <v>16.18805479689</v>
      </c>
      <c r="AI4303">
        <v>93.907162945875001</v>
      </c>
      <c r="AJ4303">
        <v>97.081019432553205</v>
      </c>
      <c r="AK4303">
        <v>16.350475109228299</v>
      </c>
      <c r="AL4303">
        <v>90.803537710390302</v>
      </c>
      <c r="AM4303">
        <v>106.028670624063</v>
      </c>
      <c r="AN4303">
        <v>1.00000007215112</v>
      </c>
    </row>
    <row r="4304" spans="1:40" x14ac:dyDescent="0.25">
      <c r="A4304" t="str">
        <f>"20190305135915554"</f>
        <v>20190305135915554</v>
      </c>
      <c r="B4304" t="str">
        <f>"1551765555543242"</f>
        <v>1551765555543242</v>
      </c>
      <c r="C4304" t="s">
        <v>40</v>
      </c>
      <c r="D4304">
        <v>4.0687920000000002</v>
      </c>
      <c r="E4304">
        <v>0.55464230000000003</v>
      </c>
      <c r="F4304" t="s">
        <v>79</v>
      </c>
      <c r="G4304">
        <v>-409.81549999999999</v>
      </c>
      <c r="H4304" s="1">
        <v>-9.6121829999999994E-6</v>
      </c>
      <c r="I4304">
        <v>137.38220000000001</v>
      </c>
      <c r="J4304">
        <v>-394.66739999999999</v>
      </c>
      <c r="K4304">
        <v>1.11429</v>
      </c>
      <c r="L4304">
        <v>141.07490000000001</v>
      </c>
      <c r="M4304">
        <v>-0.99353760000000002</v>
      </c>
      <c r="N4304">
        <v>-1.404035E-2</v>
      </c>
      <c r="O4304">
        <v>-0.11263189999999999</v>
      </c>
      <c r="P4304">
        <v>-0.9231066</v>
      </c>
      <c r="Q4304">
        <v>-2.4857799999999999E-2</v>
      </c>
      <c r="R4304">
        <v>-0.38374000000000003</v>
      </c>
      <c r="S4304">
        <v>-2.945557</v>
      </c>
      <c r="T4304">
        <v>-0.2121053</v>
      </c>
      <c r="U4304">
        <v>-0.71064759999999905</v>
      </c>
      <c r="V4304">
        <v>-0.2771652</v>
      </c>
      <c r="W4304">
        <v>-1.4594889999999999E-2</v>
      </c>
      <c r="X4304">
        <v>0.96071139999999999</v>
      </c>
      <c r="Y4304">
        <v>-0.1233524</v>
      </c>
      <c r="Z4304">
        <v>1.1286110000000001E-3</v>
      </c>
      <c r="AA4304">
        <v>0.99236230000000003</v>
      </c>
      <c r="AB4304">
        <v>34</v>
      </c>
      <c r="AC4304">
        <v>-15.148099999999999</v>
      </c>
      <c r="AD4304">
        <v>-1.114299612183</v>
      </c>
      <c r="AE4304">
        <v>-3.6926999999999999</v>
      </c>
      <c r="AF4304">
        <v>-1.9528958343549101</v>
      </c>
      <c r="AG4304">
        <v>-1.114299612183</v>
      </c>
      <c r="AH4304">
        <v>15.389045927002099</v>
      </c>
      <c r="AI4304">
        <v>94.108644054910201</v>
      </c>
      <c r="AJ4304">
        <v>97.232273270045894</v>
      </c>
      <c r="AK4304">
        <v>15.552433903056199</v>
      </c>
      <c r="AL4304">
        <v>90.836255309475106</v>
      </c>
      <c r="AM4304">
        <v>106.092848587503</v>
      </c>
      <c r="AN4304">
        <v>0.99999997649755501</v>
      </c>
    </row>
    <row r="4305" spans="1:40" x14ac:dyDescent="0.25">
      <c r="A4305" t="str">
        <f>"20190305135915576"</f>
        <v>20190305135915576</v>
      </c>
      <c r="B4305" t="str">
        <f>"1551765555573499"</f>
        <v>1551765555573499</v>
      </c>
      <c r="C4305" t="s">
        <v>40</v>
      </c>
      <c r="D4305">
        <v>4.3865509999999999</v>
      </c>
      <c r="E4305">
        <v>0.55422139999999998</v>
      </c>
      <c r="F4305" t="s">
        <v>79</v>
      </c>
      <c r="G4305">
        <v>-409.5659</v>
      </c>
      <c r="H4305" s="1">
        <v>-9.4464419999999998E-6</v>
      </c>
      <c r="I4305">
        <v>137.3586</v>
      </c>
      <c r="J4305">
        <v>-394.99599999999998</v>
      </c>
      <c r="K4305">
        <v>1.1144849999999999</v>
      </c>
      <c r="L4305">
        <v>141.03219999999999</v>
      </c>
      <c r="M4305">
        <v>-0.99288109999999996</v>
      </c>
      <c r="N4305">
        <v>-1.407022E-2</v>
      </c>
      <c r="O4305">
        <v>-0.11827650000000001</v>
      </c>
      <c r="P4305">
        <v>-0.92044530000000002</v>
      </c>
      <c r="Q4305">
        <v>-2.4422639999999999E-2</v>
      </c>
      <c r="R4305">
        <v>-0.39010810000000001</v>
      </c>
      <c r="S4305">
        <v>-2.9392399999999999</v>
      </c>
      <c r="T4305">
        <v>-0.21983349999999999</v>
      </c>
      <c r="U4305">
        <v>-0.73316959999999998</v>
      </c>
      <c r="V4305">
        <v>-0.278339</v>
      </c>
      <c r="W4305">
        <v>-1.428016E-2</v>
      </c>
      <c r="X4305">
        <v>0.96037669999999997</v>
      </c>
      <c r="Y4305">
        <v>-0.1253647</v>
      </c>
      <c r="Z4305">
        <v>1.5000180000000001E-3</v>
      </c>
      <c r="AA4305">
        <v>0.99210960000000004</v>
      </c>
      <c r="AB4305">
        <v>34</v>
      </c>
      <c r="AC4305">
        <v>-14.569900000000001</v>
      </c>
      <c r="AD4305">
        <v>-1.1144944464419999</v>
      </c>
      <c r="AE4305">
        <v>-3.6735999999999902</v>
      </c>
      <c r="AF4305">
        <v>-1.9138327369639501</v>
      </c>
      <c r="AG4305">
        <v>-1.1144944464419999</v>
      </c>
      <c r="AH4305">
        <v>14.820618140855199</v>
      </c>
      <c r="AI4305">
        <v>94.265203995412506</v>
      </c>
      <c r="AJ4305">
        <v>97.358063899588998</v>
      </c>
      <c r="AK4305">
        <v>14.9851785339138</v>
      </c>
      <c r="AL4305">
        <v>90.818220738920303</v>
      </c>
      <c r="AM4305">
        <v>106.162789836974</v>
      </c>
      <c r="AN4305">
        <v>0.99999996389675705</v>
      </c>
    </row>
    <row r="4306" spans="1:40" x14ac:dyDescent="0.25">
      <c r="A4306" t="str">
        <f>"20190305135915600"</f>
        <v>20190305135915600</v>
      </c>
      <c r="B4306" t="str">
        <f>"1551765555593018"</f>
        <v>1551765555593018</v>
      </c>
      <c r="C4306" t="s">
        <v>40</v>
      </c>
      <c r="D4306">
        <v>4.1992320000000003</v>
      </c>
      <c r="E4306">
        <v>0.51476630000000001</v>
      </c>
      <c r="F4306" t="s">
        <v>79</v>
      </c>
      <c r="G4306">
        <v>-409.69220000000001</v>
      </c>
      <c r="H4306" s="1">
        <v>-9.4749279999999996E-6</v>
      </c>
      <c r="I4306">
        <v>137.2439</v>
      </c>
      <c r="J4306">
        <v>-395.34320000000002</v>
      </c>
      <c r="K4306">
        <v>1.114706</v>
      </c>
      <c r="L4306">
        <v>140.9847</v>
      </c>
      <c r="M4306">
        <v>-0.99211919999999998</v>
      </c>
      <c r="N4306">
        <v>-1.413405E-2</v>
      </c>
      <c r="O4306">
        <v>-0.124498</v>
      </c>
      <c r="P4306">
        <v>-0.91705190000000003</v>
      </c>
      <c r="Q4306">
        <v>-2.363026E-2</v>
      </c>
      <c r="R4306">
        <v>-0.39806770000000002</v>
      </c>
      <c r="S4306">
        <v>-2.9329529999999999</v>
      </c>
      <c r="T4306">
        <v>-0.2224225</v>
      </c>
      <c r="U4306">
        <v>-0.75604249999999995</v>
      </c>
      <c r="V4306">
        <v>-0.28063870000000002</v>
      </c>
      <c r="W4306">
        <v>-1.360184E-2</v>
      </c>
      <c r="X4306">
        <v>0.95971709999999999</v>
      </c>
      <c r="Y4306">
        <v>-0.1269159</v>
      </c>
      <c r="Z4306">
        <v>1.8410709999999999E-3</v>
      </c>
      <c r="AA4306">
        <v>0.99191180000000001</v>
      </c>
      <c r="AB4306">
        <v>34</v>
      </c>
      <c r="AC4306">
        <v>-14.348999999999901</v>
      </c>
      <c r="AD4306">
        <v>-1.1147154749279999</v>
      </c>
      <c r="AE4306">
        <v>-3.7408000000000001</v>
      </c>
      <c r="AF4306">
        <v>-1.9142723568469999</v>
      </c>
      <c r="AG4306">
        <v>-1.1147154749279999</v>
      </c>
      <c r="AH4306">
        <v>14.620488157018601</v>
      </c>
      <c r="AI4306">
        <v>94.323231656129906</v>
      </c>
      <c r="AJ4306">
        <v>97.459351034657601</v>
      </c>
      <c r="AK4306">
        <v>14.7873494310425</v>
      </c>
      <c r="AL4306">
        <v>90.7793520574116</v>
      </c>
      <c r="AM4306">
        <v>106.299877916669</v>
      </c>
      <c r="AN4306">
        <v>1.0000000010107399</v>
      </c>
    </row>
    <row r="4307" spans="1:40" x14ac:dyDescent="0.25">
      <c r="A4307" t="str">
        <f>"20190305135915615"</f>
        <v>20190305135915615</v>
      </c>
      <c r="B4307" t="str">
        <f>"1551765555603754"</f>
        <v>1551765555603754</v>
      </c>
      <c r="C4307" t="s">
        <v>40</v>
      </c>
      <c r="D4307">
        <v>4.1106119999999997</v>
      </c>
      <c r="E4307">
        <v>0.43986579999999897</v>
      </c>
      <c r="F4307" t="s">
        <v>79</v>
      </c>
      <c r="G4307">
        <v>-408.54059999999998</v>
      </c>
      <c r="H4307" s="1">
        <v>-8.1893619999999993E-6</v>
      </c>
      <c r="I4307">
        <v>135.94299999999899</v>
      </c>
      <c r="J4307">
        <v>-395.5838</v>
      </c>
      <c r="K4307">
        <v>1.1148659999999999</v>
      </c>
      <c r="L4307">
        <v>140.9503</v>
      </c>
      <c r="M4307">
        <v>-0.9915465</v>
      </c>
      <c r="N4307">
        <v>-1.419046E-2</v>
      </c>
      <c r="O4307">
        <v>-0.12897419999999901</v>
      </c>
      <c r="P4307">
        <v>-0.91466329999999996</v>
      </c>
      <c r="Q4307">
        <v>-2.3075089999999999E-2</v>
      </c>
      <c r="R4307">
        <v>-0.40355770000000002</v>
      </c>
      <c r="S4307">
        <v>-2.8007810000000002</v>
      </c>
      <c r="T4307">
        <v>-0.2365671</v>
      </c>
      <c r="U4307">
        <v>-1.069977</v>
      </c>
      <c r="V4307">
        <v>-0.2820607</v>
      </c>
      <c r="W4307">
        <v>-1.311434E-2</v>
      </c>
      <c r="X4307">
        <v>0.95930689999999996</v>
      </c>
      <c r="Y4307">
        <v>-0.23281859999999999</v>
      </c>
      <c r="Z4307">
        <v>-2.552229E-3</v>
      </c>
      <c r="AA4307">
        <v>0.97251679999999996</v>
      </c>
      <c r="AB4307">
        <v>34</v>
      </c>
      <c r="AC4307">
        <v>-12.9567999999999</v>
      </c>
      <c r="AD4307">
        <v>-1.114874189362</v>
      </c>
      <c r="AE4307">
        <v>-5.0073000000000096</v>
      </c>
      <c r="AF4307">
        <v>-3.2731246671218099</v>
      </c>
      <c r="AG4307">
        <v>-1.114874189362</v>
      </c>
      <c r="AH4307">
        <v>13.4080685050164</v>
      </c>
      <c r="AI4307">
        <v>94.618180212468005</v>
      </c>
      <c r="AJ4307">
        <v>103.718512025035</v>
      </c>
      <c r="AK4307">
        <v>13.846753792129</v>
      </c>
      <c r="AL4307">
        <v>90.751417890770597</v>
      </c>
      <c r="AM4307">
        <v>106.38468142741</v>
      </c>
      <c r="AN4307">
        <v>0.99999997639286697</v>
      </c>
    </row>
    <row r="4308" spans="1:40" x14ac:dyDescent="0.25">
      <c r="A4308" t="str">
        <f>"20190305135915633"</f>
        <v>20190305135915633</v>
      </c>
      <c r="B4308" t="str">
        <f>"1551765555623274"</f>
        <v>1551765555623274</v>
      </c>
      <c r="C4308" t="s">
        <v>40</v>
      </c>
      <c r="D4308">
        <v>4.0824720000000001</v>
      </c>
      <c r="E4308">
        <v>0.43200870000000002</v>
      </c>
      <c r="F4308" t="s">
        <v>79</v>
      </c>
      <c r="G4308">
        <v>-407.52640000000002</v>
      </c>
      <c r="H4308" s="1">
        <v>-6.3663789999999998E-6</v>
      </c>
      <c r="I4308">
        <v>133.29740000000001</v>
      </c>
      <c r="J4308">
        <v>-395.8331</v>
      </c>
      <c r="K4308">
        <v>1.115038</v>
      </c>
      <c r="L4308">
        <v>140.91329999999999</v>
      </c>
      <c r="M4308">
        <v>-0.99091510000000005</v>
      </c>
      <c r="N4308">
        <v>-1.425075E-2</v>
      </c>
      <c r="O4308">
        <v>-0.13373209999999999</v>
      </c>
      <c r="P4308">
        <v>-0.91154179999999996</v>
      </c>
      <c r="Q4308">
        <v>-2.1013609999999999E-2</v>
      </c>
      <c r="R4308">
        <v>-0.41067019999999999</v>
      </c>
      <c r="S4308">
        <v>-2.5522770000000001</v>
      </c>
      <c r="T4308">
        <v>-0.23826120000000001</v>
      </c>
      <c r="U4308">
        <v>-1.635529</v>
      </c>
      <c r="V4308">
        <v>-0.28494360000000002</v>
      </c>
      <c r="W4308">
        <v>-1.1142640000000001E-2</v>
      </c>
      <c r="X4308">
        <v>0.95847950000000004</v>
      </c>
      <c r="Y4308">
        <v>-0.42083900000000002</v>
      </c>
      <c r="Z4308">
        <v>-1.1694909999999999E-2</v>
      </c>
      <c r="AA4308">
        <v>0.90705999999999998</v>
      </c>
      <c r="AB4308">
        <v>34</v>
      </c>
      <c r="AC4308">
        <v>-11.693300000000001</v>
      </c>
      <c r="AD4308">
        <v>-1.115044366379</v>
      </c>
      <c r="AE4308">
        <v>-7.6158999999999804</v>
      </c>
      <c r="AF4308">
        <v>-5.9455873420867897</v>
      </c>
      <c r="AG4308">
        <v>-1.115044366379</v>
      </c>
      <c r="AH4308">
        <v>12.526857330057901</v>
      </c>
      <c r="AI4308">
        <v>94.597514078573596</v>
      </c>
      <c r="AJ4308">
        <v>115.390288315153</v>
      </c>
      <c r="AK4308">
        <v>13.910984413369199</v>
      </c>
      <c r="AL4308">
        <v>90.638439467376202</v>
      </c>
      <c r="AM4308">
        <v>106.556535055097</v>
      </c>
      <c r="AN4308">
        <v>0.99999998276368895</v>
      </c>
    </row>
    <row r="4309" spans="1:40" x14ac:dyDescent="0.25">
      <c r="A4309" t="str">
        <f>"20190305135915654"</f>
        <v>20190305135915654</v>
      </c>
      <c r="B4309" t="str">
        <f>"1551765555643770"</f>
        <v>1551765555643770</v>
      </c>
      <c r="C4309" t="s">
        <v>40</v>
      </c>
      <c r="D4309">
        <v>4.0089030000000001</v>
      </c>
      <c r="E4309">
        <v>0.43248359999999902</v>
      </c>
      <c r="F4309" t="s">
        <v>41</v>
      </c>
      <c r="G4309">
        <v>-396.63350000000003</v>
      </c>
      <c r="H4309">
        <v>1.0476160000000001</v>
      </c>
      <c r="I4309">
        <v>140.3673</v>
      </c>
      <c r="J4309">
        <v>-396.15879999999999</v>
      </c>
      <c r="K4309">
        <v>1.1152629999999999</v>
      </c>
      <c r="L4309">
        <v>140.86320000000001</v>
      </c>
      <c r="M4309">
        <v>-0.99002959999999995</v>
      </c>
      <c r="N4309">
        <v>-1.43289E-2</v>
      </c>
      <c r="O4309">
        <v>-0.14012859999999999</v>
      </c>
      <c r="P4309">
        <v>-0.90758170000000005</v>
      </c>
      <c r="Q4309">
        <v>-1.867918E-2</v>
      </c>
      <c r="R4309">
        <v>-0.41945979999999999</v>
      </c>
      <c r="S4309">
        <v>-2.5137019999999999</v>
      </c>
      <c r="T4309">
        <v>-0.2117494</v>
      </c>
      <c r="U4309">
        <v>-1.714737</v>
      </c>
      <c r="V4309">
        <v>-0.28803400000000001</v>
      </c>
      <c r="W4309">
        <v>-8.9210739999999993E-3</v>
      </c>
      <c r="X4309">
        <v>0.9575787</v>
      </c>
      <c r="Y4309">
        <v>-0.44113219999999997</v>
      </c>
      <c r="Z4309">
        <v>-1.15716E-2</v>
      </c>
      <c r="AA4309">
        <v>0.89736749999999899</v>
      </c>
      <c r="AB4309">
        <v>34</v>
      </c>
      <c r="AC4309">
        <v>-0.47470000000004098</v>
      </c>
      <c r="AD4309">
        <v>-6.7646999999999999E-2</v>
      </c>
      <c r="AE4309">
        <v>-0.495900000000006</v>
      </c>
      <c r="AF4309">
        <v>-0.42039796799704898</v>
      </c>
      <c r="AG4309">
        <v>-6.7646999999999999E-2</v>
      </c>
      <c r="AH4309">
        <v>0.53432370195452905</v>
      </c>
      <c r="AI4309">
        <v>95.682142358608502</v>
      </c>
      <c r="AJ4309">
        <v>128.19514398853701</v>
      </c>
      <c r="AK4309">
        <v>0.68323669879145099</v>
      </c>
      <c r="AL4309">
        <v>90.511146633939703</v>
      </c>
      <c r="AM4309">
        <v>106.740975645199</v>
      </c>
      <c r="AN4309">
        <v>1.00000006870549</v>
      </c>
    </row>
    <row r="4310" spans="1:40" x14ac:dyDescent="0.25">
      <c r="A4310" t="str">
        <f>"20190305135915671"</f>
        <v>20190305135915671</v>
      </c>
      <c r="B4310" t="str">
        <f>"1551765555663290"</f>
        <v>1551765555663290</v>
      </c>
      <c r="C4310" t="s">
        <v>40</v>
      </c>
      <c r="D4310">
        <v>3.972683</v>
      </c>
      <c r="E4310">
        <v>0.43401220000000001</v>
      </c>
      <c r="F4310" t="s">
        <v>41</v>
      </c>
      <c r="G4310">
        <v>-396.96679999999998</v>
      </c>
      <c r="H4310">
        <v>1.05013</v>
      </c>
      <c r="I4310">
        <v>140.30199999999999</v>
      </c>
      <c r="J4310">
        <v>-396.39879999999999</v>
      </c>
      <c r="K4310">
        <v>1.1154230000000001</v>
      </c>
      <c r="L4310">
        <v>140.8245</v>
      </c>
      <c r="M4310">
        <v>-0.98932489999999995</v>
      </c>
      <c r="N4310">
        <v>-1.4367670000000001E-2</v>
      </c>
      <c r="O4310">
        <v>-0.1450166</v>
      </c>
      <c r="P4310">
        <v>-0.90480439999999995</v>
      </c>
      <c r="Q4310">
        <v>-1.7381110000000002E-2</v>
      </c>
      <c r="R4310">
        <v>-0.42547259999999998</v>
      </c>
      <c r="S4310">
        <v>-2.4990230000000002</v>
      </c>
      <c r="T4310">
        <v>-0.20144819999999999</v>
      </c>
      <c r="U4310">
        <v>-1.7359770000000001</v>
      </c>
      <c r="V4310">
        <v>-0.28966890000000001</v>
      </c>
      <c r="W4310">
        <v>-7.7197069999999897E-3</v>
      </c>
      <c r="X4310">
        <v>0.95709580000000005</v>
      </c>
      <c r="Y4310">
        <v>-0.44439289999999998</v>
      </c>
      <c r="Z4310">
        <v>-1.1168249999999999E-2</v>
      </c>
      <c r="AA4310">
        <v>0.89576239999999996</v>
      </c>
      <c r="AB4310">
        <v>34</v>
      </c>
      <c r="AC4310">
        <v>-0.56799999999998296</v>
      </c>
      <c r="AD4310">
        <v>-6.5293000000000004E-2</v>
      </c>
      <c r="AE4310">
        <v>-0.52249999999997898</v>
      </c>
      <c r="AF4310">
        <v>-0.43150919777192998</v>
      </c>
      <c r="AG4310">
        <v>-6.5293000000000004E-2</v>
      </c>
      <c r="AH4310">
        <v>0.63324117421577797</v>
      </c>
      <c r="AI4310">
        <v>94.870241573270405</v>
      </c>
      <c r="AJ4310">
        <v>124.271670521638</v>
      </c>
      <c r="AK4310">
        <v>0.76906290271534505</v>
      </c>
      <c r="AL4310">
        <v>90.442311015487704</v>
      </c>
      <c r="AM4310">
        <v>106.838650988968</v>
      </c>
      <c r="AN4310">
        <v>1.0000000179405</v>
      </c>
    </row>
    <row r="4311" spans="1:40" x14ac:dyDescent="0.25">
      <c r="A4311" t="str">
        <f>"20190305135915688"</f>
        <v>20190305135915688</v>
      </c>
      <c r="B4311" t="str">
        <f>"1551765555683786"</f>
        <v>1551765555683786</v>
      </c>
      <c r="C4311" t="s">
        <v>40</v>
      </c>
      <c r="D4311">
        <v>4.0392000000000001</v>
      </c>
      <c r="E4311">
        <v>0.4354248</v>
      </c>
      <c r="F4311" t="s">
        <v>41</v>
      </c>
      <c r="G4311">
        <v>-397.18020000000001</v>
      </c>
      <c r="H4311">
        <v>1.051253</v>
      </c>
      <c r="I4311">
        <v>140.27869999999999</v>
      </c>
      <c r="J4311">
        <v>-396.65800000000002</v>
      </c>
      <c r="K4311">
        <v>1.1156079999999999</v>
      </c>
      <c r="L4311">
        <v>140.78139999999999</v>
      </c>
      <c r="M4311">
        <v>-0.98851449999999996</v>
      </c>
      <c r="N4311">
        <v>-1.439285E-2</v>
      </c>
      <c r="O4311">
        <v>-0.15043879999999901</v>
      </c>
      <c r="P4311">
        <v>-0.9006731</v>
      </c>
      <c r="Q4311">
        <v>-1.573277E-2</v>
      </c>
      <c r="R4311">
        <v>-0.4342123</v>
      </c>
      <c r="S4311">
        <v>-2.4930110000000001</v>
      </c>
      <c r="T4311">
        <v>-0.20473340000000001</v>
      </c>
      <c r="U4311">
        <v>-1.740982</v>
      </c>
      <c r="V4311">
        <v>-0.29369959999999901</v>
      </c>
      <c r="W4311">
        <v>-6.2408819999999997E-3</v>
      </c>
      <c r="X4311">
        <v>0.95587739999999999</v>
      </c>
      <c r="Y4311">
        <v>-0.44168960000000002</v>
      </c>
      <c r="Z4311">
        <v>-1.0844639999999999E-2</v>
      </c>
      <c r="AA4311">
        <v>0.89710239999999997</v>
      </c>
      <c r="AB4311">
        <v>34</v>
      </c>
      <c r="AC4311">
        <v>-0.522199999999998</v>
      </c>
      <c r="AD4311">
        <v>-6.4354999999999898E-2</v>
      </c>
      <c r="AE4311">
        <v>-0.50270000000000403</v>
      </c>
      <c r="AF4311">
        <v>-0.41513805364941497</v>
      </c>
      <c r="AG4311">
        <v>-6.4354999999999898E-2</v>
      </c>
      <c r="AH4311">
        <v>0.58726000636086995</v>
      </c>
      <c r="AI4311">
        <v>95.113457260991893</v>
      </c>
      <c r="AJ4311">
        <v>125.25674775786899</v>
      </c>
      <c r="AK4311">
        <v>0.72204950293161596</v>
      </c>
      <c r="AL4311">
        <v>90.357578518925195</v>
      </c>
      <c r="AM4311">
        <v>107.07991884453401</v>
      </c>
      <c r="AN4311">
        <v>1.00000000373952</v>
      </c>
    </row>
    <row r="4312" spans="1:40" x14ac:dyDescent="0.25">
      <c r="A4312" t="str">
        <f>"20190305135915705"</f>
        <v>20190305135915705</v>
      </c>
      <c r="B4312" t="str">
        <f>"1551765555693546"</f>
        <v>1551765555693546</v>
      </c>
      <c r="C4312" t="s">
        <v>40</v>
      </c>
      <c r="D4312">
        <v>4.0083789999999997</v>
      </c>
      <c r="E4312">
        <v>0.43575999999999998</v>
      </c>
      <c r="F4312" t="s">
        <v>41</v>
      </c>
      <c r="G4312">
        <v>-397.45339999999999</v>
      </c>
      <c r="H4312">
        <v>1.0497650000000001</v>
      </c>
      <c r="I4312">
        <v>140.2191</v>
      </c>
      <c r="J4312">
        <v>-396.90300000000002</v>
      </c>
      <c r="K4312">
        <v>1.115772</v>
      </c>
      <c r="L4312">
        <v>140.73910000000001</v>
      </c>
      <c r="M4312">
        <v>-0.98769799999999996</v>
      </c>
      <c r="N4312">
        <v>-1.440701E-2</v>
      </c>
      <c r="O4312">
        <v>-0.15570809999999999</v>
      </c>
      <c r="P4312">
        <v>-0.89727109999999999</v>
      </c>
      <c r="Q4312">
        <v>-1.50306E-2</v>
      </c>
      <c r="R4312">
        <v>-0.44122410000000001</v>
      </c>
      <c r="S4312">
        <v>-2.481506</v>
      </c>
      <c r="T4312">
        <v>-0.20539080000000001</v>
      </c>
      <c r="U4312">
        <v>-1.754257</v>
      </c>
      <c r="V4312">
        <v>-0.29606250000000001</v>
      </c>
      <c r="W4312">
        <v>-5.6868129999999998E-3</v>
      </c>
      <c r="X4312">
        <v>0.95515159999999999</v>
      </c>
      <c r="Y4312">
        <v>-0.44206380000000001</v>
      </c>
      <c r="Z4312">
        <v>-1.059264E-2</v>
      </c>
      <c r="AA4312">
        <v>0.89692099999999897</v>
      </c>
      <c r="AB4312">
        <v>34</v>
      </c>
      <c r="AC4312">
        <v>-0.55039999999996703</v>
      </c>
      <c r="AD4312">
        <v>-6.6006999999999899E-2</v>
      </c>
      <c r="AE4312">
        <v>-0.52000000000001001</v>
      </c>
      <c r="AF4312">
        <v>-0.42471813894666699</v>
      </c>
      <c r="AG4312">
        <v>-6.6006999999999899E-2</v>
      </c>
      <c r="AH4312">
        <v>0.61995092125851803</v>
      </c>
      <c r="AI4312">
        <v>95.019738511970104</v>
      </c>
      <c r="AJ4312">
        <v>124.414399025815</v>
      </c>
      <c r="AK4312">
        <v>0.75437495078283501</v>
      </c>
      <c r="AL4312">
        <v>90.325832152611298</v>
      </c>
      <c r="AM4312">
        <v>107.22154831575401</v>
      </c>
      <c r="AN4312">
        <v>0.99999996136545199</v>
      </c>
    </row>
    <row r="4313" spans="1:40" x14ac:dyDescent="0.25">
      <c r="A4313" t="str">
        <f>"20190305135915722"</f>
        <v>20190305135915722</v>
      </c>
      <c r="B4313" t="str">
        <f>"1551765555713066"</f>
        <v>1551765555713066</v>
      </c>
      <c r="C4313" t="s">
        <v>40</v>
      </c>
      <c r="D4313">
        <v>4.0356629999999996</v>
      </c>
      <c r="E4313">
        <v>0.43655859999999902</v>
      </c>
      <c r="F4313" t="s">
        <v>41</v>
      </c>
      <c r="G4313">
        <v>-397.7353</v>
      </c>
      <c r="H4313">
        <v>1.0456379999999901</v>
      </c>
      <c r="I4313">
        <v>140.14250000000001</v>
      </c>
      <c r="J4313">
        <v>-397.15129999999999</v>
      </c>
      <c r="K4313">
        <v>1.1159410000000001</v>
      </c>
      <c r="L4313">
        <v>140.69479999999999</v>
      </c>
      <c r="M4313">
        <v>-0.98681870000000005</v>
      </c>
      <c r="N4313">
        <v>-1.4417330000000001E-2</v>
      </c>
      <c r="O4313">
        <v>-0.16118640000000001</v>
      </c>
      <c r="P4313">
        <v>-0.89213030000000004</v>
      </c>
      <c r="Q4313">
        <v>-1.4634390000000001E-2</v>
      </c>
      <c r="R4313">
        <v>-0.45154159999999999</v>
      </c>
      <c r="S4313">
        <v>-2.4693299999999998</v>
      </c>
      <c r="T4313">
        <v>-0.20809440000000001</v>
      </c>
      <c r="U4313">
        <v>-1.770691</v>
      </c>
      <c r="V4313">
        <v>-0.30177290000000001</v>
      </c>
      <c r="W4313">
        <v>-5.5130219999999898E-3</v>
      </c>
      <c r="X4313">
        <v>0.95336390000000004</v>
      </c>
      <c r="Y4313">
        <v>-0.4431061</v>
      </c>
      <c r="Z4313">
        <v>-1.0400629999999999E-2</v>
      </c>
      <c r="AA4313">
        <v>0.89640889999999995</v>
      </c>
      <c r="AB4313">
        <v>34</v>
      </c>
      <c r="AC4313">
        <v>-0.58400000000000296</v>
      </c>
      <c r="AD4313">
        <v>-7.0303000000000199E-2</v>
      </c>
      <c r="AE4313">
        <v>-0.55229999999997403</v>
      </c>
      <c r="AF4313">
        <v>-0.44751056848958798</v>
      </c>
      <c r="AG4313">
        <v>-7.0303000000000199E-2</v>
      </c>
      <c r="AH4313">
        <v>0.66034297160040001</v>
      </c>
      <c r="AI4313">
        <v>95.036612344509294</v>
      </c>
      <c r="AJ4313">
        <v>124.12526367507699</v>
      </c>
      <c r="AK4313">
        <v>0.80078777516950195</v>
      </c>
      <c r="AL4313">
        <v>90.315874492679896</v>
      </c>
      <c r="AM4313">
        <v>107.564394357225</v>
      </c>
      <c r="AN4313">
        <v>1.00000000120459</v>
      </c>
    </row>
    <row r="4314" spans="1:40" x14ac:dyDescent="0.25">
      <c r="A4314" t="str">
        <f>"20190305135915744"</f>
        <v>20190305135915744</v>
      </c>
      <c r="B4314" t="str">
        <f>"1551765555733561"</f>
        <v>1551765555733561</v>
      </c>
      <c r="C4314" t="s">
        <v>40</v>
      </c>
      <c r="D4314">
        <v>4.06494</v>
      </c>
      <c r="E4314">
        <v>0.43741079999999999</v>
      </c>
      <c r="F4314" t="s">
        <v>41</v>
      </c>
      <c r="G4314">
        <v>-398.01560000000001</v>
      </c>
      <c r="H4314">
        <v>1.0404040000000001</v>
      </c>
      <c r="I4314">
        <v>140.06299999999999</v>
      </c>
      <c r="J4314">
        <v>-397.47340000000003</v>
      </c>
      <c r="K4314">
        <v>1.1161430000000001</v>
      </c>
      <c r="L4314">
        <v>140.63489999999999</v>
      </c>
      <c r="M4314">
        <v>-0.9855891</v>
      </c>
      <c r="N4314">
        <v>-1.44271E-2</v>
      </c>
      <c r="O4314">
        <v>-0.1685401</v>
      </c>
      <c r="P4314">
        <v>-0.88586350000000003</v>
      </c>
      <c r="Q4314">
        <v>-1.5647109999999999E-2</v>
      </c>
      <c r="R4314">
        <v>-0.46368209999999999</v>
      </c>
      <c r="S4314">
        <v>-2.4518740000000001</v>
      </c>
      <c r="T4314">
        <v>-0.21429300000000001</v>
      </c>
      <c r="U4314">
        <v>-1.792648</v>
      </c>
      <c r="V4314">
        <v>-0.30765949999999997</v>
      </c>
      <c r="W4314">
        <v>-6.7937469999999897E-3</v>
      </c>
      <c r="X4314">
        <v>0.95147230000000005</v>
      </c>
      <c r="Y4314">
        <v>-0.4446466</v>
      </c>
      <c r="Z4314">
        <v>-1.018695E-2</v>
      </c>
      <c r="AA4314">
        <v>0.89564820000000001</v>
      </c>
      <c r="AB4314">
        <v>34</v>
      </c>
      <c r="AC4314">
        <v>-0.54219999999997903</v>
      </c>
      <c r="AD4314">
        <v>-7.5739000000000001E-2</v>
      </c>
      <c r="AE4314">
        <v>-0.57189999999999896</v>
      </c>
      <c r="AF4314">
        <v>-0.46800242130333403</v>
      </c>
      <c r="AG4314">
        <v>-7.5739000000000001E-2</v>
      </c>
      <c r="AH4314">
        <v>0.62506672491784498</v>
      </c>
      <c r="AI4314">
        <v>95.540070888644806</v>
      </c>
      <c r="AJ4314">
        <v>126.823076767779</v>
      </c>
      <c r="AK4314">
        <v>0.78451964479310798</v>
      </c>
      <c r="AL4314">
        <v>90.389256012774894</v>
      </c>
      <c r="AM4314">
        <v>107.91866455601</v>
      </c>
      <c r="AN4314">
        <v>1.00000003030291</v>
      </c>
    </row>
    <row r="4315" spans="1:40" x14ac:dyDescent="0.25">
      <c r="A4315" t="str">
        <f>"20190305135915767"</f>
        <v>20190305135915767</v>
      </c>
      <c r="B4315" t="str">
        <f>"1551765555763818"</f>
        <v>1551765555763818</v>
      </c>
      <c r="C4315" t="s">
        <v>40</v>
      </c>
      <c r="D4315">
        <v>4.0209289999999998</v>
      </c>
      <c r="E4315">
        <v>0.4382993</v>
      </c>
      <c r="F4315" t="s">
        <v>41</v>
      </c>
      <c r="G4315">
        <v>-398.3066</v>
      </c>
      <c r="H4315">
        <v>1.0397270000000001</v>
      </c>
      <c r="I4315">
        <v>140.011</v>
      </c>
      <c r="J4315">
        <v>-397.80079999999998</v>
      </c>
      <c r="K4315">
        <v>1.1163419999999999</v>
      </c>
      <c r="L4315">
        <v>140.5712</v>
      </c>
      <c r="M4315">
        <v>-0.98423320000000003</v>
      </c>
      <c r="N4315">
        <v>-1.443417E-2</v>
      </c>
      <c r="O4315">
        <v>-0.17628669999999999</v>
      </c>
      <c r="P4315">
        <v>-0.87912169999999901</v>
      </c>
      <c r="Q4315">
        <v>-1.6983720000000001E-2</v>
      </c>
      <c r="R4315">
        <v>-0.47629529999999998</v>
      </c>
      <c r="S4315">
        <v>-2.4302670000000002</v>
      </c>
      <c r="T4315">
        <v>-0.22288079999999999</v>
      </c>
      <c r="U4315">
        <v>-1.8193049999999999</v>
      </c>
      <c r="V4315">
        <v>-0.313745099999999</v>
      </c>
      <c r="W4315">
        <v>-8.4142969999999994E-3</v>
      </c>
      <c r="X4315">
        <v>0.94946989999999998</v>
      </c>
      <c r="Y4315">
        <v>-0.44764379999999998</v>
      </c>
      <c r="Z4315">
        <v>-1.0037229999999999E-2</v>
      </c>
      <c r="AA4315">
        <v>0.89415560000000005</v>
      </c>
      <c r="AB4315">
        <v>34</v>
      </c>
      <c r="AC4315">
        <v>-0.50580000000002201</v>
      </c>
      <c r="AD4315">
        <v>-7.6614999999999794E-2</v>
      </c>
      <c r="AE4315">
        <v>-0.56020000000000802</v>
      </c>
      <c r="AF4315">
        <v>-0.45753517677592598</v>
      </c>
      <c r="AG4315">
        <v>-7.6614999999999794E-2</v>
      </c>
      <c r="AH4315">
        <v>0.59055780127004398</v>
      </c>
      <c r="AI4315">
        <v>95.855526136508004</v>
      </c>
      <c r="AJ4315">
        <v>127.766765794196</v>
      </c>
      <c r="AK4315">
        <v>0.75097723857204002</v>
      </c>
      <c r="AL4315">
        <v>90.482109423832597</v>
      </c>
      <c r="AM4315">
        <v>108.285744628529</v>
      </c>
      <c r="AN4315">
        <v>0.99999993958700995</v>
      </c>
    </row>
    <row r="4316" spans="1:40" x14ac:dyDescent="0.25">
      <c r="A4316" t="str">
        <f>"20190305135915784"</f>
        <v>20190305135915784</v>
      </c>
      <c r="B4316" t="str">
        <f>"1551765555773578"</f>
        <v>1551765555773578</v>
      </c>
      <c r="C4316" t="s">
        <v>40</v>
      </c>
      <c r="D4316">
        <v>4.0396390000000002</v>
      </c>
      <c r="E4316">
        <v>0.43853009999999898</v>
      </c>
      <c r="F4316" t="s">
        <v>41</v>
      </c>
      <c r="G4316">
        <v>-398.59809999999999</v>
      </c>
      <c r="H4316">
        <v>1.040292</v>
      </c>
      <c r="I4316">
        <v>139.95959999999999</v>
      </c>
      <c r="J4316">
        <v>-398.05119999999999</v>
      </c>
      <c r="K4316">
        <v>1.1164989999999999</v>
      </c>
      <c r="L4316">
        <v>140.5206</v>
      </c>
      <c r="M4316">
        <v>-0.98311919999999997</v>
      </c>
      <c r="N4316">
        <v>-1.4439250000000001E-2</v>
      </c>
      <c r="O4316">
        <v>-0.18239540000000001</v>
      </c>
      <c r="P4316">
        <v>-0.87463049999999998</v>
      </c>
      <c r="Q4316">
        <v>-1.7660639999999998E-2</v>
      </c>
      <c r="R4316">
        <v>-0.48446850000000002</v>
      </c>
      <c r="S4316">
        <v>-2.4072879999999999</v>
      </c>
      <c r="T4316">
        <v>-0.22959350000000001</v>
      </c>
      <c r="U4316">
        <v>-1.847092</v>
      </c>
      <c r="V4316">
        <v>-0.31668400000000002</v>
      </c>
      <c r="W4316">
        <v>-9.2785449999999992E-3</v>
      </c>
      <c r="X4316">
        <v>0.94848569999999999</v>
      </c>
      <c r="Y4316">
        <v>-0.45263370000000003</v>
      </c>
      <c r="Z4316">
        <v>-1.002982E-2</v>
      </c>
      <c r="AA4316">
        <v>0.89164009999999905</v>
      </c>
      <c r="AB4316">
        <v>34</v>
      </c>
      <c r="AC4316">
        <v>-0.54689999999999295</v>
      </c>
      <c r="AD4316">
        <v>-7.62069999999999E-2</v>
      </c>
      <c r="AE4316">
        <v>-0.56100000000000705</v>
      </c>
      <c r="AF4316">
        <v>-0.447590184786826</v>
      </c>
      <c r="AG4316">
        <v>-7.62069999999999E-2</v>
      </c>
      <c r="AH4316">
        <v>0.63405946597122897</v>
      </c>
      <c r="AI4316">
        <v>95.607851645732694</v>
      </c>
      <c r="AJ4316">
        <v>125.2187266366</v>
      </c>
      <c r="AK4316">
        <v>0.77985632443048403</v>
      </c>
      <c r="AL4316">
        <v>90.5316291047031</v>
      </c>
      <c r="AM4316">
        <v>108.463329078348</v>
      </c>
      <c r="AN4316">
        <v>0.99999998517890298</v>
      </c>
    </row>
    <row r="4317" spans="1:40" x14ac:dyDescent="0.25">
      <c r="A4317" t="str">
        <f>"20190305135915800"</f>
        <v>20190305135915800</v>
      </c>
      <c r="B4317" t="str">
        <f>"1551765555793099"</f>
        <v>1551765555793099</v>
      </c>
      <c r="C4317" t="s">
        <v>40</v>
      </c>
      <c r="D4317">
        <v>4.2237039999999997</v>
      </c>
      <c r="E4317">
        <v>0.43881369999999997</v>
      </c>
      <c r="F4317" t="s">
        <v>41</v>
      </c>
      <c r="G4317">
        <v>-398.87610000000001</v>
      </c>
      <c r="H4317">
        <v>1.0362180000000001</v>
      </c>
      <c r="I4317">
        <v>139.87610000000001</v>
      </c>
      <c r="J4317">
        <v>-398.29270000000002</v>
      </c>
      <c r="K4317">
        <v>1.1166480000000001</v>
      </c>
      <c r="L4317">
        <v>140.47020000000001</v>
      </c>
      <c r="M4317">
        <v>-0.98197780000000001</v>
      </c>
      <c r="N4317">
        <v>-1.444495E-2</v>
      </c>
      <c r="O4317">
        <v>-0.18844369999999999</v>
      </c>
      <c r="P4317">
        <v>-0.86966319999999997</v>
      </c>
      <c r="Q4317">
        <v>-1.845575E-2</v>
      </c>
      <c r="R4317">
        <v>-0.49330069999999998</v>
      </c>
      <c r="S4317">
        <v>-2.3908079999999998</v>
      </c>
      <c r="T4317">
        <v>-0.23268749999999999</v>
      </c>
      <c r="U4317">
        <v>-1.8677520000000001</v>
      </c>
      <c r="V4317">
        <v>-0.32043189999999999</v>
      </c>
      <c r="W4317">
        <v>-1.028037E-2</v>
      </c>
      <c r="X4317">
        <v>0.94721580000000005</v>
      </c>
      <c r="Y4317">
        <v>-0.45488689999999998</v>
      </c>
      <c r="Z4317">
        <v>-9.8051340000000001E-3</v>
      </c>
      <c r="AA4317">
        <v>0.89049519999999904</v>
      </c>
      <c r="AB4317">
        <v>34</v>
      </c>
      <c r="AC4317">
        <v>-0.58339999999998304</v>
      </c>
      <c r="AD4317">
        <v>-8.0429999999999696E-2</v>
      </c>
      <c r="AE4317">
        <v>-0.59409999999999696</v>
      </c>
      <c r="AF4317">
        <v>-0.46912711285917202</v>
      </c>
      <c r="AG4317">
        <v>-8.0429999999999696E-2</v>
      </c>
      <c r="AH4317">
        <v>0.67858013784211102</v>
      </c>
      <c r="AI4317">
        <v>95.568520909827001</v>
      </c>
      <c r="AJ4317">
        <v>124.65751428657499</v>
      </c>
      <c r="AK4317">
        <v>0.82886683875843503</v>
      </c>
      <c r="AL4317">
        <v>90.589032170789395</v>
      </c>
      <c r="AM4317">
        <v>108.69007003840299</v>
      </c>
      <c r="AN4317">
        <v>1.00000003015729</v>
      </c>
    </row>
    <row r="4318" spans="1:40" x14ac:dyDescent="0.25">
      <c r="A4318" t="str">
        <f>"20190305135915822"</f>
        <v>20190305135915822</v>
      </c>
      <c r="B4318" t="str">
        <f>"1551765555813594"</f>
        <v>1551765555813594</v>
      </c>
      <c r="C4318" t="s">
        <v>40</v>
      </c>
      <c r="D4318">
        <v>4.027774</v>
      </c>
      <c r="E4318">
        <v>0.43951309999999899</v>
      </c>
      <c r="F4318" t="s">
        <v>41</v>
      </c>
      <c r="G4318">
        <v>-399.15129999999999</v>
      </c>
      <c r="H4318">
        <v>1.0314490000000001</v>
      </c>
      <c r="I4318">
        <v>139.7868</v>
      </c>
      <c r="J4318">
        <v>-398.6071</v>
      </c>
      <c r="K4318">
        <v>1.11686</v>
      </c>
      <c r="L4318">
        <v>140.40170000000001</v>
      </c>
      <c r="M4318">
        <v>-0.98037859999999999</v>
      </c>
      <c r="N4318">
        <v>-1.445578E-2</v>
      </c>
      <c r="O4318">
        <v>-0.1965932</v>
      </c>
      <c r="P4318">
        <v>-0.86204040000000004</v>
      </c>
      <c r="Q4318">
        <v>-2.010936E-2</v>
      </c>
      <c r="R4318">
        <v>-0.50644049999999996</v>
      </c>
      <c r="S4318">
        <v>-2.3728030000000002</v>
      </c>
      <c r="T4318">
        <v>-0.23546249999999999</v>
      </c>
      <c r="U4318">
        <v>-1.8896029999999999</v>
      </c>
      <c r="V4318">
        <v>-0.32690069999999999</v>
      </c>
      <c r="W4318">
        <v>-1.225159E-2</v>
      </c>
      <c r="X4318">
        <v>0.94497929999999997</v>
      </c>
      <c r="Y4318">
        <v>-0.45579009999999998</v>
      </c>
      <c r="Z4318">
        <v>-9.3529430000000007E-3</v>
      </c>
      <c r="AA4318">
        <v>0.89003809999999906</v>
      </c>
      <c r="AB4318">
        <v>33</v>
      </c>
      <c r="AC4318">
        <v>-0.54419999999998903</v>
      </c>
      <c r="AD4318">
        <v>-8.5410999999999904E-2</v>
      </c>
      <c r="AE4318">
        <v>-0.614900000000005</v>
      </c>
      <c r="AF4318">
        <v>-0.49059266840420501</v>
      </c>
      <c r="AG4318">
        <v>-8.5410999999999904E-2</v>
      </c>
      <c r="AH4318">
        <v>0.64747032318592701</v>
      </c>
      <c r="AI4318">
        <v>96.002124227789395</v>
      </c>
      <c r="AJ4318">
        <v>127.151456859322</v>
      </c>
      <c r="AK4318">
        <v>0.81681945656273902</v>
      </c>
      <c r="AL4318">
        <v>90.701981945152596</v>
      </c>
      <c r="AM4318">
        <v>109.082255295501</v>
      </c>
      <c r="AN4318">
        <v>1.00000002327325</v>
      </c>
    </row>
    <row r="4319" spans="1:40" x14ac:dyDescent="0.25">
      <c r="A4319" t="str">
        <f>"20190305135915839"</f>
        <v>20190305135915839</v>
      </c>
      <c r="B4319" t="str">
        <f>"1551765555833114"</f>
        <v>1551765555833114</v>
      </c>
      <c r="C4319" t="s">
        <v>40</v>
      </c>
      <c r="D4319">
        <v>4.0297140000000002</v>
      </c>
      <c r="E4319">
        <v>0.440195</v>
      </c>
      <c r="F4319" t="s">
        <v>41</v>
      </c>
      <c r="G4319">
        <v>-399.43700000000001</v>
      </c>
      <c r="H4319">
        <v>1.03145</v>
      </c>
      <c r="I4319">
        <v>139.72229999999999</v>
      </c>
      <c r="J4319">
        <v>-398.84769999999997</v>
      </c>
      <c r="K4319">
        <v>1.117032</v>
      </c>
      <c r="L4319">
        <v>140.3476</v>
      </c>
      <c r="M4319">
        <v>-0.97907129999999998</v>
      </c>
      <c r="N4319">
        <v>-1.4466079999999999E-2</v>
      </c>
      <c r="O4319">
        <v>-0.20300280000000001</v>
      </c>
      <c r="P4319">
        <v>-0.85682979999999997</v>
      </c>
      <c r="Q4319">
        <v>-2.0940480000000001E-2</v>
      </c>
      <c r="R4319">
        <v>-0.51517400000000002</v>
      </c>
      <c r="S4319">
        <v>-2.3463129999999999</v>
      </c>
      <c r="T4319">
        <v>-0.241483</v>
      </c>
      <c r="U4319">
        <v>-1.920364</v>
      </c>
      <c r="V4319">
        <v>-0.3303007</v>
      </c>
      <c r="W4319">
        <v>-1.3298600000000001E-2</v>
      </c>
      <c r="X4319">
        <v>0.94378209999999996</v>
      </c>
      <c r="Y4319">
        <v>-0.4618024</v>
      </c>
      <c r="Z4319">
        <v>-9.3207089999999999E-3</v>
      </c>
      <c r="AA4319">
        <v>0.88693389999999905</v>
      </c>
      <c r="AB4319">
        <v>33</v>
      </c>
      <c r="AC4319">
        <v>-0.58929999999997995</v>
      </c>
      <c r="AD4319">
        <v>-8.5582000000000005E-2</v>
      </c>
      <c r="AE4319">
        <v>-0.62530000000000996</v>
      </c>
      <c r="AF4319">
        <v>-0.48779595029442302</v>
      </c>
      <c r="AG4319">
        <v>-8.5582000000000005E-2</v>
      </c>
      <c r="AH4319">
        <v>0.69706260372647799</v>
      </c>
      <c r="AI4319">
        <v>95.744139621448099</v>
      </c>
      <c r="AJ4319">
        <v>124.983861991366</v>
      </c>
      <c r="AK4319">
        <v>0.85508212550700402</v>
      </c>
      <c r="AL4319">
        <v>90.761976092260895</v>
      </c>
      <c r="AM4319">
        <v>109.288800396981</v>
      </c>
      <c r="AN4319">
        <v>1.0000000287314199</v>
      </c>
    </row>
    <row r="4320" spans="1:40" x14ac:dyDescent="0.25">
      <c r="A4320" t="str">
        <f>"20190305135915855"</f>
        <v>20190305135915855</v>
      </c>
      <c r="B4320" t="str">
        <f>"1551765555842874"</f>
        <v>1551765555842874</v>
      </c>
      <c r="C4320" t="s">
        <v>40</v>
      </c>
      <c r="D4320">
        <v>4.0346320000000002</v>
      </c>
      <c r="E4320">
        <v>0.44062449999999997</v>
      </c>
      <c r="F4320" t="s">
        <v>41</v>
      </c>
      <c r="G4320">
        <v>-399.71</v>
      </c>
      <c r="H4320">
        <v>1.026902</v>
      </c>
      <c r="I4320">
        <v>139.62970000000001</v>
      </c>
      <c r="J4320">
        <v>-399.08330000000001</v>
      </c>
      <c r="K4320">
        <v>1.117186</v>
      </c>
      <c r="L4320">
        <v>140.29249999999999</v>
      </c>
      <c r="M4320">
        <v>-0.97770760000000001</v>
      </c>
      <c r="N4320">
        <v>-1.447883E-2</v>
      </c>
      <c r="O4320">
        <v>-0.20947099999999999</v>
      </c>
      <c r="P4320">
        <v>-0.84979709999999997</v>
      </c>
      <c r="Q4320">
        <v>-2.4625709999999999E-2</v>
      </c>
      <c r="R4320">
        <v>-0.52653439999999996</v>
      </c>
      <c r="S4320">
        <v>-2.3291629999999999</v>
      </c>
      <c r="T4320">
        <v>-0.2434278</v>
      </c>
      <c r="U4320">
        <v>-1.9395290000000001</v>
      </c>
      <c r="V4320">
        <v>-0.33656069999999999</v>
      </c>
      <c r="W4320">
        <v>-1.7270110000000002E-2</v>
      </c>
      <c r="X4320">
        <v>0.94150339999999999</v>
      </c>
      <c r="Y4320">
        <v>-0.46344750000000001</v>
      </c>
      <c r="Z4320">
        <v>-8.9849790000000006E-3</v>
      </c>
      <c r="AA4320">
        <v>0.8860789</v>
      </c>
      <c r="AB4320">
        <v>33</v>
      </c>
      <c r="AC4320">
        <v>-0.62669999999997095</v>
      </c>
      <c r="AD4320">
        <v>-9.0284000000000003E-2</v>
      </c>
      <c r="AE4320">
        <v>-0.66279999999997496</v>
      </c>
      <c r="AF4320">
        <v>-0.51178960358686298</v>
      </c>
      <c r="AG4320">
        <v>-9.0284000000000003E-2</v>
      </c>
      <c r="AH4320">
        <v>0.74435354339833404</v>
      </c>
      <c r="AI4320">
        <v>95.707565611629406</v>
      </c>
      <c r="AJ4320">
        <v>124.51095563427</v>
      </c>
      <c r="AK4320">
        <v>0.90782266801686196</v>
      </c>
      <c r="AL4320">
        <v>90.989553602272807</v>
      </c>
      <c r="AM4320">
        <v>109.670525728755</v>
      </c>
      <c r="AN4320">
        <v>1.0000000068477299</v>
      </c>
    </row>
    <row r="4321" spans="1:40" x14ac:dyDescent="0.25">
      <c r="A4321" t="str">
        <f>"20190305135915878"</f>
        <v>20190305135915878</v>
      </c>
      <c r="B4321" t="str">
        <f>"1551765555873130"</f>
        <v>1551765555873130</v>
      </c>
      <c r="C4321" t="s">
        <v>40</v>
      </c>
      <c r="D4321">
        <v>4.0391859999999999</v>
      </c>
      <c r="E4321">
        <v>0.45273259999999999</v>
      </c>
      <c r="F4321" t="s">
        <v>41</v>
      </c>
      <c r="G4321">
        <v>-399.76409999999998</v>
      </c>
      <c r="H4321">
        <v>1.042025</v>
      </c>
      <c r="I4321">
        <v>139.7115</v>
      </c>
      <c r="J4321">
        <v>-399.4144</v>
      </c>
      <c r="K4321">
        <v>1.117424</v>
      </c>
      <c r="L4321">
        <v>140.2124</v>
      </c>
      <c r="M4321">
        <v>-0.97565939999999995</v>
      </c>
      <c r="N4321">
        <v>-1.4498749999999999E-2</v>
      </c>
      <c r="O4321">
        <v>-0.21881139999999999</v>
      </c>
      <c r="P4321">
        <v>-0.84140099999999995</v>
      </c>
      <c r="Q4321">
        <v>-2.8414020000000002E-2</v>
      </c>
      <c r="R4321">
        <v>-0.53966340000000002</v>
      </c>
      <c r="S4321">
        <v>-2.3041990000000001</v>
      </c>
      <c r="T4321">
        <v>-0.25437900000000002</v>
      </c>
      <c r="U4321">
        <v>-1.966888</v>
      </c>
      <c r="V4321">
        <v>-0.34210699999999999</v>
      </c>
      <c r="W4321">
        <v>-2.1394099999999999E-2</v>
      </c>
      <c r="X4321">
        <v>0.93941739999999996</v>
      </c>
      <c r="Y4321">
        <v>-0.4657116</v>
      </c>
      <c r="Z4321">
        <v>-8.5388440000000003E-3</v>
      </c>
      <c r="AA4321">
        <v>0.88489530000000005</v>
      </c>
      <c r="AB4321">
        <v>33</v>
      </c>
      <c r="AC4321">
        <v>-0.34969999999998402</v>
      </c>
      <c r="AD4321">
        <v>-7.5398999999999994E-2</v>
      </c>
      <c r="AE4321">
        <v>-0.50090000000000101</v>
      </c>
      <c r="AF4321">
        <v>-0.40604726955951198</v>
      </c>
      <c r="AG4321">
        <v>-7.5398999999999994E-2</v>
      </c>
      <c r="AH4321">
        <v>0.44407333417927802</v>
      </c>
      <c r="AI4321">
        <v>97.142183147999305</v>
      </c>
      <c r="AJ4321">
        <v>132.438855518239</v>
      </c>
      <c r="AK4321">
        <v>0.60643261822467598</v>
      </c>
      <c r="AL4321">
        <v>91.225885190263796</v>
      </c>
      <c r="AM4321">
        <v>110.010072017512</v>
      </c>
      <c r="AN4321">
        <v>0.99999997919328398</v>
      </c>
    </row>
    <row r="4322" spans="1:40" x14ac:dyDescent="0.25">
      <c r="A4322" t="str">
        <f>"20190305135915895"</f>
        <v>20190305135915895</v>
      </c>
      <c r="B4322" t="str">
        <f>"1551765555883866"</f>
        <v>1551765555883866</v>
      </c>
      <c r="C4322" t="s">
        <v>40</v>
      </c>
      <c r="D4322">
        <v>4.0175299999999998</v>
      </c>
      <c r="E4322">
        <v>0.4537003</v>
      </c>
      <c r="F4322" t="s">
        <v>41</v>
      </c>
      <c r="G4322">
        <v>-400.2801</v>
      </c>
      <c r="H4322">
        <v>1.010866</v>
      </c>
      <c r="I4322">
        <v>139.49809999999999</v>
      </c>
      <c r="J4322">
        <v>-399.66320000000002</v>
      </c>
      <c r="K4322">
        <v>1.1176269999999999</v>
      </c>
      <c r="L4322">
        <v>140.14949999999999</v>
      </c>
      <c r="M4322">
        <v>-0.9739932</v>
      </c>
      <c r="N4322">
        <v>-1.4517830000000001E-2</v>
      </c>
      <c r="O4322">
        <v>-0.22611139999999999</v>
      </c>
      <c r="P4322">
        <v>-0.83587599999999995</v>
      </c>
      <c r="Q4322">
        <v>-3.0330099999999999E-2</v>
      </c>
      <c r="R4322">
        <v>-0.54807980000000001</v>
      </c>
      <c r="S4322">
        <v>-2.3251339999999998</v>
      </c>
      <c r="T4322">
        <v>-0.28617749999999997</v>
      </c>
      <c r="U4322">
        <v>-1.918671</v>
      </c>
      <c r="V4322">
        <v>-0.34446290000000002</v>
      </c>
      <c r="W4322">
        <v>-2.35315E-2</v>
      </c>
      <c r="X4322">
        <v>0.93850489999999998</v>
      </c>
      <c r="Y4322">
        <v>-0.4440424</v>
      </c>
      <c r="Z4322">
        <v>-6.7893980000000003E-3</v>
      </c>
      <c r="AA4322">
        <v>0.89598009999999995</v>
      </c>
      <c r="AB4322">
        <v>33</v>
      </c>
      <c r="AC4322">
        <v>-0.61689999999998602</v>
      </c>
      <c r="AD4322">
        <v>-0.10676099999999999</v>
      </c>
      <c r="AE4322">
        <v>-0.65139999999999498</v>
      </c>
      <c r="AF4322">
        <v>-0.48811116559953799</v>
      </c>
      <c r="AG4322">
        <v>-0.10676099999999999</v>
      </c>
      <c r="AH4322">
        <v>0.73777670573780296</v>
      </c>
      <c r="AI4322">
        <v>96.881438444399905</v>
      </c>
      <c r="AJ4322">
        <v>123.488518526146</v>
      </c>
      <c r="AK4322">
        <v>0.89104707430823404</v>
      </c>
      <c r="AL4322">
        <v>91.348380184040295</v>
      </c>
      <c r="AM4322">
        <v>110.154837067458</v>
      </c>
      <c r="AN4322">
        <v>0.99999993414633204</v>
      </c>
    </row>
    <row r="4323" spans="1:40" x14ac:dyDescent="0.25">
      <c r="A4323" t="str">
        <f>"20190305135915912"</f>
        <v>20190305135915912</v>
      </c>
      <c r="B4323" t="str">
        <f>"1551765555903386"</f>
        <v>1551765555903386</v>
      </c>
      <c r="C4323" t="s">
        <v>40</v>
      </c>
      <c r="D4323">
        <v>4.0074379999999996</v>
      </c>
      <c r="E4323">
        <v>0.45493299999999998</v>
      </c>
      <c r="F4323" t="s">
        <v>79</v>
      </c>
      <c r="G4323">
        <v>-409.01569999999998</v>
      </c>
      <c r="H4323" s="1">
        <v>-6.8948770000000003E-6</v>
      </c>
      <c r="I4323">
        <v>132.3047</v>
      </c>
      <c r="J4323">
        <v>-399.89429999999999</v>
      </c>
      <c r="K4323">
        <v>1.1178220000000001</v>
      </c>
      <c r="L4323">
        <v>140.0891</v>
      </c>
      <c r="M4323">
        <v>-0.97235170000000004</v>
      </c>
      <c r="N4323">
        <v>-1.453986E-2</v>
      </c>
      <c r="O4323">
        <v>-0.23306859999999999</v>
      </c>
      <c r="P4323">
        <v>-0.82960829999999997</v>
      </c>
      <c r="Q4323">
        <v>-3.2828679999999999E-2</v>
      </c>
      <c r="R4323">
        <v>-0.55738049999999995</v>
      </c>
      <c r="S4323">
        <v>-2.3090820000000001</v>
      </c>
      <c r="T4323">
        <v>-0.27593699999999999</v>
      </c>
      <c r="U4323">
        <v>-1.9368289999999999</v>
      </c>
      <c r="V4323">
        <v>-0.34818969999999999</v>
      </c>
      <c r="W4323">
        <v>-2.6273029999999999E-2</v>
      </c>
      <c r="X4323">
        <v>0.93705579999999999</v>
      </c>
      <c r="Y4323">
        <v>-0.44494129999999898</v>
      </c>
      <c r="Z4323">
        <v>-6.2714449999999996E-3</v>
      </c>
      <c r="AA4323">
        <v>0.89553780000000005</v>
      </c>
      <c r="AB4323">
        <v>33</v>
      </c>
      <c r="AC4323">
        <v>-9.1213999999999906</v>
      </c>
      <c r="AD4323">
        <v>-1.1178288948770001</v>
      </c>
      <c r="AE4323">
        <v>-7.7843999999999998</v>
      </c>
      <c r="AF4323">
        <v>-5.39694012011525</v>
      </c>
      <c r="AG4323">
        <v>-1.1178288948770001</v>
      </c>
      <c r="AH4323">
        <v>10.592590646097699</v>
      </c>
      <c r="AI4323">
        <v>95.371626957878902</v>
      </c>
      <c r="AJ4323">
        <v>116.998907587354</v>
      </c>
      <c r="AK4323">
        <v>11.9406650021734</v>
      </c>
      <c r="AL4323">
        <v>91.505507036039305</v>
      </c>
      <c r="AM4323">
        <v>110.38397892754899</v>
      </c>
      <c r="AN4323">
        <v>0.99999995580255396</v>
      </c>
    </row>
    <row r="4324" spans="1:40" x14ac:dyDescent="0.25">
      <c r="A4324" t="str">
        <f>"20190305135915957"</f>
        <v>20190305135915957</v>
      </c>
      <c r="B4324" t="str">
        <f>"1551765555953162"</f>
        <v>1551765555953162</v>
      </c>
      <c r="C4324" t="s">
        <v>40</v>
      </c>
      <c r="D4324">
        <v>4.0953330000000001</v>
      </c>
      <c r="E4324">
        <v>0.53761479999999995</v>
      </c>
      <c r="F4324" t="s">
        <v>41</v>
      </c>
      <c r="G4324">
        <v>-400.61529999999999</v>
      </c>
      <c r="H4324">
        <v>1.0339100000000001</v>
      </c>
      <c r="I4324">
        <v>139.47380000000001</v>
      </c>
      <c r="J4324">
        <v>-400.5147</v>
      </c>
      <c r="K4324">
        <v>1.118406</v>
      </c>
      <c r="L4324">
        <v>139.9178</v>
      </c>
      <c r="M4324">
        <v>-0.96743800000000002</v>
      </c>
      <c r="N4324">
        <v>-1.4608690000000001E-2</v>
      </c>
      <c r="O4324">
        <v>-0.25268639999999998</v>
      </c>
      <c r="P4324">
        <v>-0.81503769999999998</v>
      </c>
      <c r="Q4324">
        <v>-3.0790459999999999E-2</v>
      </c>
      <c r="R4324">
        <v>-0.57858929999999997</v>
      </c>
      <c r="S4324">
        <v>-2.291595</v>
      </c>
      <c r="T4324">
        <v>-0.26670159999999998</v>
      </c>
      <c r="U4324">
        <v>-1.955795</v>
      </c>
      <c r="V4324">
        <v>-0.35338350000000002</v>
      </c>
      <c r="W4324">
        <v>-2.4799359999999999E-2</v>
      </c>
      <c r="X4324">
        <v>0.93514980000000003</v>
      </c>
      <c r="Y4324">
        <v>-0.43464009999999997</v>
      </c>
      <c r="Z4324">
        <v>-4.1488189999999998E-3</v>
      </c>
      <c r="AA4324">
        <v>0.90059469999999997</v>
      </c>
      <c r="AB4324">
        <v>33</v>
      </c>
      <c r="AC4324">
        <v>-0.10059999999998499</v>
      </c>
      <c r="AD4324">
        <v>-8.4495999999999905E-2</v>
      </c>
      <c r="AE4324">
        <v>-0.44399999999998802</v>
      </c>
      <c r="AF4324">
        <v>-0.39070626412735399</v>
      </c>
      <c r="AG4324">
        <v>-8.4495999999999905E-2</v>
      </c>
      <c r="AH4324">
        <v>0.20256152666386101</v>
      </c>
      <c r="AI4324">
        <v>100.868272899407</v>
      </c>
      <c r="AJ4324">
        <v>152.59553433665201</v>
      </c>
      <c r="AK4324">
        <v>0.44813182316004802</v>
      </c>
      <c r="AL4324">
        <v>91.421044308093599</v>
      </c>
      <c r="AM4324">
        <v>110.70106351920499</v>
      </c>
      <c r="AN4324">
        <v>1.0000000273843399</v>
      </c>
    </row>
    <row r="4325" spans="1:40" x14ac:dyDescent="0.25">
      <c r="A4325" t="str">
        <f>"20190305135915979"</f>
        <v>20190305135915979</v>
      </c>
      <c r="B4325" t="str">
        <f>"1551765555973658"</f>
        <v>1551765555973658</v>
      </c>
      <c r="C4325" t="s">
        <v>40</v>
      </c>
      <c r="D4325">
        <v>4.240653</v>
      </c>
      <c r="E4325">
        <v>0.63263069999999999</v>
      </c>
      <c r="F4325" t="s">
        <v>79</v>
      </c>
      <c r="G4325">
        <v>-409.30529999999999</v>
      </c>
      <c r="H4325" s="1">
        <v>-8.2542539999999906E-6</v>
      </c>
      <c r="I4325">
        <v>135.00229999999999</v>
      </c>
      <c r="J4325">
        <v>-400.839</v>
      </c>
      <c r="K4325">
        <v>1.1187480000000001</v>
      </c>
      <c r="L4325">
        <v>139.82230000000001</v>
      </c>
      <c r="M4325">
        <v>-0.96453149999999999</v>
      </c>
      <c r="N4325">
        <v>-1.465581E-2</v>
      </c>
      <c r="O4325">
        <v>-0.26356039999999997</v>
      </c>
      <c r="P4325">
        <v>-0.80736850000000004</v>
      </c>
      <c r="Q4325">
        <v>-2.9144799999999998E-2</v>
      </c>
      <c r="R4325">
        <v>-0.58932719999999905</v>
      </c>
      <c r="S4325">
        <v>-2.6258539999999999</v>
      </c>
      <c r="T4325">
        <v>-0.33408529999999997</v>
      </c>
      <c r="U4325">
        <v>-1.468323</v>
      </c>
      <c r="V4325">
        <v>-0.35523519999999997</v>
      </c>
      <c r="W4325">
        <v>-2.3444449999999999E-2</v>
      </c>
      <c r="X4325">
        <v>0.93448290000000001</v>
      </c>
      <c r="Y4325">
        <v>-0.240286</v>
      </c>
      <c r="Z4325">
        <v>1.0573580000000001E-2</v>
      </c>
      <c r="AA4325">
        <v>0.97064450000000002</v>
      </c>
      <c r="AB4325">
        <v>33</v>
      </c>
      <c r="AC4325">
        <v>-8.4662999999999897</v>
      </c>
      <c r="AD4325">
        <v>-1.1187562542539999</v>
      </c>
      <c r="AE4325">
        <v>-4.8200000000000198</v>
      </c>
      <c r="AF4325">
        <v>-2.38644939875745</v>
      </c>
      <c r="AG4325">
        <v>-1.1187562542539999</v>
      </c>
      <c r="AH4325">
        <v>9.3145543980393004</v>
      </c>
      <c r="AI4325">
        <v>96.636545379752704</v>
      </c>
      <c r="AJ4325">
        <v>104.370439968464</v>
      </c>
      <c r="AK4325">
        <v>9.6802727194689897</v>
      </c>
      <c r="AL4325">
        <v>91.343391134730894</v>
      </c>
      <c r="AM4325">
        <v>110.81384658554001</v>
      </c>
      <c r="AN4325">
        <v>0.99999998997362605</v>
      </c>
    </row>
    <row r="4326" spans="1:40" x14ac:dyDescent="0.25">
      <c r="A4326" t="str">
        <f>"20190305135916001"</f>
        <v>20190305135916001</v>
      </c>
      <c r="B4326" t="str">
        <f>"1551765555993075"</f>
        <v>1551765555993075</v>
      </c>
      <c r="C4326" t="s">
        <v>40</v>
      </c>
      <c r="D4326">
        <v>4.179538</v>
      </c>
      <c r="E4326">
        <v>0.69882140000000004</v>
      </c>
      <c r="F4326" t="s">
        <v>41</v>
      </c>
      <c r="G4326">
        <v>-401.7559</v>
      </c>
      <c r="H4326">
        <v>0.93555750000000004</v>
      </c>
      <c r="I4326">
        <v>139.56389999999999</v>
      </c>
      <c r="J4326">
        <v>-401.15109999999999</v>
      </c>
      <c r="K4326">
        <v>1.119092</v>
      </c>
      <c r="L4326">
        <v>139.7259</v>
      </c>
      <c r="M4326">
        <v>-0.96147919999999998</v>
      </c>
      <c r="N4326">
        <v>-1.470897E-2</v>
      </c>
      <c r="O4326">
        <v>-0.2744839</v>
      </c>
      <c r="P4326">
        <v>-0.79983040000000005</v>
      </c>
      <c r="Q4326">
        <v>-2.8237100000000001E-2</v>
      </c>
      <c r="R4326">
        <v>-0.59956119999999902</v>
      </c>
      <c r="S4326">
        <v>-3.063202</v>
      </c>
      <c r="T4326">
        <v>-0.6125121</v>
      </c>
      <c r="U4326">
        <v>-0.86369319999999905</v>
      </c>
      <c r="V4326">
        <v>-0.35652919999999999</v>
      </c>
      <c r="W4326">
        <v>-2.281155E-2</v>
      </c>
      <c r="X4326">
        <v>0.93400570000000005</v>
      </c>
      <c r="Y4326">
        <v>-8.5302160000000002E-4</v>
      </c>
      <c r="Z4326">
        <v>4.8224639999999999E-2</v>
      </c>
      <c r="AA4326">
        <v>0.99883619999999995</v>
      </c>
      <c r="AB4326">
        <v>33</v>
      </c>
      <c r="AC4326">
        <v>-0.604800000000011</v>
      </c>
      <c r="AD4326">
        <v>-0.18353449999999999</v>
      </c>
      <c r="AE4326">
        <v>-0.162000000000006</v>
      </c>
      <c r="AF4326">
        <v>9.4383509836649393E-3</v>
      </c>
      <c r="AG4326">
        <v>-0.18353449999999999</v>
      </c>
      <c r="AH4326">
        <v>0.57650090818570199</v>
      </c>
      <c r="AI4326">
        <v>107.657145375007</v>
      </c>
      <c r="AJ4326">
        <v>89.062049406768594</v>
      </c>
      <c r="AK4326">
        <v>0.60508453318398403</v>
      </c>
      <c r="AL4326">
        <v>91.307118863925396</v>
      </c>
      <c r="AM4326">
        <v>110.892884825911</v>
      </c>
      <c r="AN4326">
        <v>1.0000000424492601</v>
      </c>
    </row>
    <row r="4327" spans="1:40" x14ac:dyDescent="0.25">
      <c r="A4327" t="str">
        <f>"20190305135916023"</f>
        <v>20190305135916023</v>
      </c>
      <c r="B4327" t="str">
        <f>"1551765556013572"</f>
        <v>1551765556013572</v>
      </c>
      <c r="C4327" t="s">
        <v>40</v>
      </c>
      <c r="D4327">
        <v>4.2469640000000002</v>
      </c>
      <c r="E4327">
        <v>0.68934399999999996</v>
      </c>
      <c r="F4327" t="s">
        <v>41</v>
      </c>
      <c r="G4327">
        <v>-402.05950000000001</v>
      </c>
      <c r="H4327">
        <v>0.90904640000000003</v>
      </c>
      <c r="I4327">
        <v>139.601</v>
      </c>
      <c r="J4327">
        <v>-401.4513</v>
      </c>
      <c r="K4327">
        <v>1.119397</v>
      </c>
      <c r="L4327">
        <v>139.6293</v>
      </c>
      <c r="M4327">
        <v>-0.95831169999999999</v>
      </c>
      <c r="N4327">
        <v>-1.47641E-2</v>
      </c>
      <c r="O4327">
        <v>-0.28534310000000002</v>
      </c>
      <c r="P4327">
        <v>-0.79232939999999996</v>
      </c>
      <c r="Q4327">
        <v>-2.7420130000000001E-2</v>
      </c>
      <c r="R4327">
        <v>-0.6094773</v>
      </c>
      <c r="S4327">
        <v>-3.3750309999999999</v>
      </c>
      <c r="T4327">
        <v>-0.78079739999999997</v>
      </c>
      <c r="U4327">
        <v>-0.46453860000000002</v>
      </c>
      <c r="V4327">
        <v>-0.3575913</v>
      </c>
      <c r="W4327">
        <v>-2.2242769999999999E-2</v>
      </c>
      <c r="X4327">
        <v>0.93361329999999998</v>
      </c>
      <c r="Y4327">
        <v>0.14188919999999999</v>
      </c>
      <c r="Z4327">
        <v>7.6836360000000006E-2</v>
      </c>
      <c r="AA4327">
        <v>0.986896</v>
      </c>
      <c r="AB4327">
        <v>33</v>
      </c>
      <c r="AC4327">
        <v>-0.60820000000000995</v>
      </c>
      <c r="AD4327">
        <v>-0.210350599999999</v>
      </c>
      <c r="AE4327">
        <v>-2.8300000000001501E-2</v>
      </c>
      <c r="AF4327">
        <v>0.13082613099408999</v>
      </c>
      <c r="AG4327">
        <v>-0.210350599999999</v>
      </c>
      <c r="AH4327">
        <v>0.52796714343809903</v>
      </c>
      <c r="AI4327">
        <v>111.142504679949</v>
      </c>
      <c r="AJ4327">
        <v>76.082875746635295</v>
      </c>
      <c r="AK4327">
        <v>0.58319135454962701</v>
      </c>
      <c r="AL4327">
        <v>91.274521907154593</v>
      </c>
      <c r="AM4327">
        <v>110.95777140593199</v>
      </c>
      <c r="AN4327">
        <v>1.00000003629492</v>
      </c>
    </row>
    <row r="4328" spans="1:40" x14ac:dyDescent="0.25">
      <c r="A4328" t="str">
        <f>"20190305135916046"</f>
        <v>20190305135916046</v>
      </c>
      <c r="B4328" t="str">
        <f>"1551765556043828"</f>
        <v>1551765556043828</v>
      </c>
      <c r="C4328" t="s">
        <v>40</v>
      </c>
      <c r="D4328">
        <v>4.1502689999999998</v>
      </c>
      <c r="E4328">
        <v>0.68328520000000004</v>
      </c>
      <c r="F4328" t="s">
        <v>41</v>
      </c>
      <c r="G4328">
        <v>-402.33139999999997</v>
      </c>
      <c r="H4328">
        <v>0.91834579999999999</v>
      </c>
      <c r="I4328">
        <v>139.4786</v>
      </c>
      <c r="J4328">
        <v>-401.76209999999998</v>
      </c>
      <c r="K4328">
        <v>1.1197140000000001</v>
      </c>
      <c r="L4328">
        <v>139.5249</v>
      </c>
      <c r="M4328">
        <v>-0.95477000000000001</v>
      </c>
      <c r="N4328">
        <v>-1.482083E-2</v>
      </c>
      <c r="O4328">
        <v>-0.29697630000000003</v>
      </c>
      <c r="P4328">
        <v>-0.78452869999999997</v>
      </c>
      <c r="Q4328">
        <v>-2.6878409999999998E-2</v>
      </c>
      <c r="R4328">
        <v>-0.6195098</v>
      </c>
      <c r="S4328">
        <v>-3.3226619999999998</v>
      </c>
      <c r="T4328">
        <v>-0.75850319999999904</v>
      </c>
      <c r="U4328">
        <v>-0.56861879999999998</v>
      </c>
      <c r="V4328">
        <v>-0.35810829999999999</v>
      </c>
      <c r="W4328">
        <v>-2.1937109999999999E-2</v>
      </c>
      <c r="X4328">
        <v>0.93342230000000004</v>
      </c>
      <c r="Y4328">
        <v>0.1222356</v>
      </c>
      <c r="Z4328">
        <v>7.5489730000000005E-2</v>
      </c>
      <c r="AA4328">
        <v>0.98962600000000001</v>
      </c>
      <c r="AB4328">
        <v>33</v>
      </c>
      <c r="AC4328">
        <v>-0.56929999999999803</v>
      </c>
      <c r="AD4328">
        <v>-0.201368199999999</v>
      </c>
      <c r="AE4328">
        <v>-4.6300000000002201E-2</v>
      </c>
      <c r="AF4328">
        <v>0.11107138434832201</v>
      </c>
      <c r="AG4328">
        <v>-0.201368199999999</v>
      </c>
      <c r="AH4328">
        <v>0.49574546324013502</v>
      </c>
      <c r="AI4328">
        <v>111.621697401625</v>
      </c>
      <c r="AJ4328">
        <v>77.371477792538798</v>
      </c>
      <c r="AK4328">
        <v>0.54648839760370804</v>
      </c>
      <c r="AL4328">
        <v>91.257004662599499</v>
      </c>
      <c r="AM4328">
        <v>110.989355534209</v>
      </c>
      <c r="AN4328">
        <v>0.99999999073066603</v>
      </c>
    </row>
    <row r="4329" spans="1:40" x14ac:dyDescent="0.25">
      <c r="A4329" t="str">
        <f>"20190305135916069"</f>
        <v>20190305135916069</v>
      </c>
      <c r="B4329" t="str">
        <f>"1551765556063348"</f>
        <v>1551765556063348</v>
      </c>
      <c r="C4329" t="s">
        <v>40</v>
      </c>
      <c r="D4329">
        <v>4.1429109999999998</v>
      </c>
      <c r="E4329">
        <v>0.68084999999999996</v>
      </c>
      <c r="F4329" t="s">
        <v>41</v>
      </c>
      <c r="G4329">
        <v>-402.60520000000002</v>
      </c>
      <c r="H4329">
        <v>0.93164380000000002</v>
      </c>
      <c r="I4329">
        <v>139.3579</v>
      </c>
      <c r="J4329">
        <v>-402.07709999999997</v>
      </c>
      <c r="K4329">
        <v>1.1200270000000001</v>
      </c>
      <c r="L4329">
        <v>139.4145</v>
      </c>
      <c r="M4329">
        <v>-0.95088790000000001</v>
      </c>
      <c r="N4329">
        <v>-1.488139E-2</v>
      </c>
      <c r="O4329">
        <v>-0.3091777</v>
      </c>
      <c r="P4329">
        <v>-0.77677489999999905</v>
      </c>
      <c r="Q4329">
        <v>-2.5901799999999999E-2</v>
      </c>
      <c r="R4329">
        <v>-0.62924530000000001</v>
      </c>
      <c r="S4329">
        <v>-3.2845759999999999</v>
      </c>
      <c r="T4329">
        <v>-0.733344</v>
      </c>
      <c r="U4329">
        <v>-0.65118409999999904</v>
      </c>
      <c r="V4329">
        <v>-0.35779539999999999</v>
      </c>
      <c r="W4329">
        <v>-2.1172119999999999E-2</v>
      </c>
      <c r="X4329">
        <v>0.93355999999999995</v>
      </c>
      <c r="Y4329">
        <v>0.1095449</v>
      </c>
      <c r="Z4329">
        <v>7.4402029999999994E-2</v>
      </c>
      <c r="AA4329">
        <v>0.9911934</v>
      </c>
      <c r="AB4329">
        <v>33</v>
      </c>
      <c r="AC4329">
        <v>-0.52810000000005097</v>
      </c>
      <c r="AD4329">
        <v>-0.1883832</v>
      </c>
      <c r="AE4329">
        <v>-5.6600000000003002E-2</v>
      </c>
      <c r="AF4329">
        <v>9.7236001956202897E-2</v>
      </c>
      <c r="AG4329">
        <v>-0.1883832</v>
      </c>
      <c r="AH4329">
        <v>0.46164451366647802</v>
      </c>
      <c r="AI4329">
        <v>111.76723782707001</v>
      </c>
      <c r="AJ4329">
        <v>78.105675159266099</v>
      </c>
      <c r="AK4329">
        <v>0.50799481012804204</v>
      </c>
      <c r="AL4329">
        <v>91.213163717200302</v>
      </c>
      <c r="AM4329">
        <v>110.969786843927</v>
      </c>
      <c r="AN4329">
        <v>1.0000000402632201</v>
      </c>
    </row>
    <row r="4330" spans="1:40" x14ac:dyDescent="0.25">
      <c r="A4330" t="str">
        <f>"20190305135916091"</f>
        <v>20190305135916091</v>
      </c>
      <c r="B4330" t="str">
        <f>"1551765556082868"</f>
        <v>1551765556082868</v>
      </c>
      <c r="C4330" t="s">
        <v>40</v>
      </c>
      <c r="D4330">
        <v>4.1569710000000004</v>
      </c>
      <c r="E4330">
        <v>0.679311</v>
      </c>
      <c r="F4330" t="s">
        <v>41</v>
      </c>
      <c r="G4330">
        <v>-402.8777</v>
      </c>
      <c r="H4330">
        <v>0.94112220000000002</v>
      </c>
      <c r="I4330">
        <v>139.24080000000001</v>
      </c>
      <c r="J4330">
        <v>-402.38310000000001</v>
      </c>
      <c r="K4330">
        <v>1.120339</v>
      </c>
      <c r="L4330">
        <v>139.30260000000001</v>
      </c>
      <c r="M4330">
        <v>-0.94681510000000002</v>
      </c>
      <c r="N4330">
        <v>-1.494615E-2</v>
      </c>
      <c r="O4330">
        <v>-0.32143119999999997</v>
      </c>
      <c r="P4330">
        <v>-0.76907289999999995</v>
      </c>
      <c r="Q4330">
        <v>-2.49991E-2</v>
      </c>
      <c r="R4330">
        <v>-0.63867209999999996</v>
      </c>
      <c r="S4330">
        <v>-3.2638850000000001</v>
      </c>
      <c r="T4330">
        <v>-0.729908</v>
      </c>
      <c r="U4330">
        <v>-0.70843509999999998</v>
      </c>
      <c r="V4330">
        <v>-0.35712490000000002</v>
      </c>
      <c r="W4330">
        <v>-2.0460140000000002E-2</v>
      </c>
      <c r="X4330">
        <v>0.93383249999999995</v>
      </c>
      <c r="Y4330">
        <v>0.10443479999999999</v>
      </c>
      <c r="Z4330">
        <v>7.6064499999999993E-2</v>
      </c>
      <c r="AA4330">
        <v>0.99161860000000002</v>
      </c>
      <c r="AB4330">
        <v>33</v>
      </c>
      <c r="AC4330">
        <v>-0.49459999999999099</v>
      </c>
      <c r="AD4330">
        <v>-0.17921679999999901</v>
      </c>
      <c r="AE4330">
        <v>-6.1800000000005101E-2</v>
      </c>
      <c r="AF4330">
        <v>8.89754335325601E-2</v>
      </c>
      <c r="AG4330">
        <v>-0.17921679999999901</v>
      </c>
      <c r="AH4330">
        <v>0.43232411206729698</v>
      </c>
      <c r="AI4330">
        <v>112.098764766027</v>
      </c>
      <c r="AJ4330">
        <v>78.370494555460098</v>
      </c>
      <c r="AK4330">
        <v>0.47638159814304698</v>
      </c>
      <c r="AL4330">
        <v>91.172361504644996</v>
      </c>
      <c r="AM4330">
        <v>110.928318164865</v>
      </c>
      <c r="AN4330">
        <v>0.99999997479253899</v>
      </c>
    </row>
    <row r="4331" spans="1:40" x14ac:dyDescent="0.25">
      <c r="A4331" t="str">
        <f>"20190305135916113"</f>
        <v>20190305135916113</v>
      </c>
      <c r="B4331" t="str">
        <f>"1551765556103364"</f>
        <v>1551765556103364</v>
      </c>
      <c r="C4331" t="s">
        <v>40</v>
      </c>
      <c r="D4331">
        <v>4.1552899999999999</v>
      </c>
      <c r="E4331">
        <v>0.67817550000000004</v>
      </c>
      <c r="F4331" t="s">
        <v>41</v>
      </c>
      <c r="G4331">
        <v>-403.14890000000003</v>
      </c>
      <c r="H4331">
        <v>0.94923040000000003</v>
      </c>
      <c r="I4331">
        <v>139.12389999999999</v>
      </c>
      <c r="J4331">
        <v>-402.6728</v>
      </c>
      <c r="K4331">
        <v>1.120636</v>
      </c>
      <c r="L4331">
        <v>139.19220000000001</v>
      </c>
      <c r="M4331">
        <v>-0.94266380000000005</v>
      </c>
      <c r="N4331">
        <v>-1.5012319999999999E-2</v>
      </c>
      <c r="O4331">
        <v>-0.33340619999999999</v>
      </c>
      <c r="P4331">
        <v>-0.76116689999999998</v>
      </c>
      <c r="Q4331">
        <v>-2.4744530000000001E-2</v>
      </c>
      <c r="R4331">
        <v>-0.64808409999999905</v>
      </c>
      <c r="S4331">
        <v>-3.2470699999999999</v>
      </c>
      <c r="T4331">
        <v>-0.72736449999999997</v>
      </c>
      <c r="U4331">
        <v>-0.75869750000000002</v>
      </c>
      <c r="V4331">
        <v>-0.356767</v>
      </c>
      <c r="W4331">
        <v>-2.0392420000000001E-2</v>
      </c>
      <c r="X4331">
        <v>0.93397079999999999</v>
      </c>
      <c r="Y4331">
        <v>0.1012468</v>
      </c>
      <c r="Z4331">
        <v>7.7894190000000002E-2</v>
      </c>
      <c r="AA4331">
        <v>0.9918072</v>
      </c>
      <c r="AB4331">
        <v>33</v>
      </c>
      <c r="AC4331">
        <v>-0.47610000000003</v>
      </c>
      <c r="AD4331">
        <v>-0.17140559999999899</v>
      </c>
      <c r="AE4331">
        <v>-6.8300000000021996E-2</v>
      </c>
      <c r="AF4331">
        <v>8.3727872672673204E-2</v>
      </c>
      <c r="AG4331">
        <v>-0.17140559999999899</v>
      </c>
      <c r="AH4331">
        <v>0.41847972459617699</v>
      </c>
      <c r="AI4331">
        <v>111.88193841680101</v>
      </c>
      <c r="AJ4331">
        <v>78.685864356904602</v>
      </c>
      <c r="AK4331">
        <v>0.45990816069270102</v>
      </c>
      <c r="AL4331">
        <v>91.168480596172202</v>
      </c>
      <c r="AM4331">
        <v>110.906329811323</v>
      </c>
      <c r="AN4331">
        <v>0.999999999167548</v>
      </c>
    </row>
    <row r="4332" spans="1:40" x14ac:dyDescent="0.25">
      <c r="A4332" t="str">
        <f>"20190305135916135"</f>
        <v>20190305135916135</v>
      </c>
      <c r="B4332" t="str">
        <f>"1551765556122884"</f>
        <v>1551765556122884</v>
      </c>
      <c r="C4332" t="s">
        <v>40</v>
      </c>
      <c r="D4332">
        <v>5.1564459999999999</v>
      </c>
      <c r="E4332">
        <v>0.67758450000000003</v>
      </c>
      <c r="F4332" t="s">
        <v>41</v>
      </c>
      <c r="G4332">
        <v>-403.4171</v>
      </c>
      <c r="H4332">
        <v>0.95332689999999998</v>
      </c>
      <c r="I4332">
        <v>139.00659999999999</v>
      </c>
      <c r="J4332">
        <v>-402.97309999999999</v>
      </c>
      <c r="K4332">
        <v>1.1209469999999999</v>
      </c>
      <c r="L4332">
        <v>139.0729</v>
      </c>
      <c r="M4332">
        <v>-0.93804430000000005</v>
      </c>
      <c r="N4332">
        <v>-1.50844E-2</v>
      </c>
      <c r="O4332">
        <v>-0.34618739999999998</v>
      </c>
      <c r="P4332">
        <v>-0.75236930000000002</v>
      </c>
      <c r="Q4332">
        <v>-2.4326319999999999E-2</v>
      </c>
      <c r="R4332">
        <v>-0.6582924</v>
      </c>
      <c r="S4332">
        <v>-3.231293</v>
      </c>
      <c r="T4332">
        <v>-0.72745360000000003</v>
      </c>
      <c r="U4332">
        <v>-0.80613710000000005</v>
      </c>
      <c r="V4332">
        <v>-0.35666389999999998</v>
      </c>
      <c r="W4332">
        <v>-2.0171310000000001E-2</v>
      </c>
      <c r="X4332">
        <v>0.93401500000000004</v>
      </c>
      <c r="Y4332">
        <v>9.9703429999999996E-2</v>
      </c>
      <c r="Z4332">
        <v>8.0320080000000002E-2</v>
      </c>
      <c r="AA4332">
        <v>0.99177009999999999</v>
      </c>
      <c r="AB4332">
        <v>33</v>
      </c>
      <c r="AC4332">
        <v>-0.44400000000001599</v>
      </c>
      <c r="AD4332">
        <v>-0.16762009999999899</v>
      </c>
      <c r="AE4332">
        <v>-6.6300000000012405E-2</v>
      </c>
      <c r="AF4332">
        <v>8.0326555500457406E-2</v>
      </c>
      <c r="AG4332">
        <v>-0.16762009999999899</v>
      </c>
      <c r="AH4332">
        <v>0.385718899026949</v>
      </c>
      <c r="AI4332">
        <v>113.046744601009</v>
      </c>
      <c r="AJ4332">
        <v>78.236202502055207</v>
      </c>
      <c r="AK4332">
        <v>0.428168100760834</v>
      </c>
      <c r="AL4332">
        <v>91.155809296056205</v>
      </c>
      <c r="AM4332">
        <v>110.89990651863199</v>
      </c>
      <c r="AN4332">
        <v>1.00000001976766</v>
      </c>
    </row>
    <row r="4333" spans="1:40" x14ac:dyDescent="0.25">
      <c r="A4333" t="str">
        <f>"20190305135916158"</f>
        <v>20190305135916158</v>
      </c>
      <c r="B4333" t="str">
        <f>"1551765556153140"</f>
        <v>1551765556153140</v>
      </c>
      <c r="C4333" t="s">
        <v>40</v>
      </c>
      <c r="D4333">
        <v>4.0978700000000003</v>
      </c>
      <c r="E4333">
        <v>0.49931019999999998</v>
      </c>
      <c r="F4333" t="s">
        <v>41</v>
      </c>
      <c r="G4333">
        <v>-403.68389999999999</v>
      </c>
      <c r="H4333">
        <v>0.9600533</v>
      </c>
      <c r="I4333">
        <v>138.8843</v>
      </c>
      <c r="J4333">
        <v>-403.2758</v>
      </c>
      <c r="K4333">
        <v>1.121246</v>
      </c>
      <c r="L4333">
        <v>138.9478</v>
      </c>
      <c r="M4333">
        <v>-0.93305090000000002</v>
      </c>
      <c r="N4333">
        <v>-1.5158359999999999E-2</v>
      </c>
      <c r="O4333">
        <v>-0.3594252</v>
      </c>
      <c r="P4333">
        <v>-0.74286700000000006</v>
      </c>
      <c r="Q4333">
        <v>-2.4021009999999999E-2</v>
      </c>
      <c r="R4333">
        <v>-0.66900780000000004</v>
      </c>
      <c r="S4333">
        <v>-3.216583</v>
      </c>
      <c r="T4333">
        <v>-0.72894930000000002</v>
      </c>
      <c r="U4333">
        <v>-0.85406489999999902</v>
      </c>
      <c r="V4333">
        <v>-0.3568268</v>
      </c>
      <c r="W4333">
        <v>-2.0064599999999998E-2</v>
      </c>
      <c r="X4333">
        <v>0.93395510000000004</v>
      </c>
      <c r="Y4333">
        <v>9.8580130000000002E-2</v>
      </c>
      <c r="Z4333">
        <v>8.3000699999999997E-2</v>
      </c>
      <c r="AA4333">
        <v>0.99166169999999998</v>
      </c>
      <c r="AB4333">
        <v>33</v>
      </c>
      <c r="AC4333">
        <v>-0.40809999999999003</v>
      </c>
      <c r="AD4333">
        <v>-0.161192699999999</v>
      </c>
      <c r="AE4333">
        <v>-6.3500000000004705E-2</v>
      </c>
      <c r="AF4333">
        <v>7.5883809903098801E-2</v>
      </c>
      <c r="AG4333">
        <v>-0.161192699999999</v>
      </c>
      <c r="AH4333">
        <v>0.35029031262052202</v>
      </c>
      <c r="AI4333">
        <v>114.215212552164</v>
      </c>
      <c r="AJ4333">
        <v>77.776818446602803</v>
      </c>
      <c r="AK4333">
        <v>0.39299458298363699</v>
      </c>
      <c r="AL4333">
        <v>91.149694001372296</v>
      </c>
      <c r="AM4333">
        <v>110.90985223273201</v>
      </c>
      <c r="AN4333">
        <v>1.0000000410937</v>
      </c>
    </row>
    <row r="4334" spans="1:40" x14ac:dyDescent="0.25">
      <c r="A4334" t="str">
        <f>"20190305135916181"</f>
        <v>20190305135916181</v>
      </c>
      <c r="B4334" t="str">
        <f>"1551765556173635"</f>
        <v>1551765556173635</v>
      </c>
      <c r="C4334" t="s">
        <v>40</v>
      </c>
      <c r="D4334">
        <v>4.0382930000000004</v>
      </c>
      <c r="E4334">
        <v>0.4805468</v>
      </c>
      <c r="F4334" t="s">
        <v>79</v>
      </c>
      <c r="G4334">
        <v>-411.33879999999999</v>
      </c>
      <c r="H4334" s="1">
        <v>-7.11900099999999E-6</v>
      </c>
      <c r="I4334">
        <v>131.7533</v>
      </c>
      <c r="J4334">
        <v>-403.5788</v>
      </c>
      <c r="K4334">
        <v>1.1215299999999999</v>
      </c>
      <c r="L4334">
        <v>138.8167</v>
      </c>
      <c r="M4334">
        <v>-0.92767980000000005</v>
      </c>
      <c r="N4334">
        <v>-1.523334E-2</v>
      </c>
      <c r="O4334">
        <v>-0.37306630000000002</v>
      </c>
      <c r="P4334">
        <v>-0.73253690000000005</v>
      </c>
      <c r="Q4334">
        <v>-2.3260679999999999E-2</v>
      </c>
      <c r="R4334">
        <v>-0.68032999999999999</v>
      </c>
      <c r="S4334">
        <v>-2.2335509999999998</v>
      </c>
      <c r="T4334">
        <v>-0.31060179999999998</v>
      </c>
      <c r="U4334">
        <v>-1.99295</v>
      </c>
      <c r="V4334">
        <v>-0.35746749999999999</v>
      </c>
      <c r="W4334">
        <v>-1.950675E-2</v>
      </c>
      <c r="X4334">
        <v>0.93372180000000005</v>
      </c>
      <c r="Y4334">
        <v>-0.33868930000000003</v>
      </c>
      <c r="Z4334">
        <v>1.3706070000000001E-2</v>
      </c>
      <c r="AA4334">
        <v>0.94079840000000003</v>
      </c>
      <c r="AB4334">
        <v>33</v>
      </c>
      <c r="AC4334">
        <v>-7.75999999999999</v>
      </c>
      <c r="AD4334">
        <v>-1.1215371190009999</v>
      </c>
      <c r="AE4334">
        <v>-7.0633999999999997</v>
      </c>
      <c r="AF4334">
        <v>-3.6166872121698499</v>
      </c>
      <c r="AG4334">
        <v>-1.1215371190009999</v>
      </c>
      <c r="AH4334">
        <v>9.7239684411169591</v>
      </c>
      <c r="AI4334">
        <v>96.169845673646606</v>
      </c>
      <c r="AJ4334">
        <v>110.401945049869</v>
      </c>
      <c r="AK4334">
        <v>10.435220847869401</v>
      </c>
      <c r="AL4334">
        <v>91.117725380552002</v>
      </c>
      <c r="AM4334">
        <v>110.948922211789</v>
      </c>
      <c r="AN4334">
        <v>0.99999996332352503</v>
      </c>
    </row>
    <row r="4335" spans="1:40" x14ac:dyDescent="0.25">
      <c r="A4335" t="str">
        <f>"20190305135916201"</f>
        <v>20190305135916201</v>
      </c>
      <c r="B4335" t="str">
        <f>"1551765556193156"</f>
        <v>1551765556193156</v>
      </c>
      <c r="C4335" t="s">
        <v>40</v>
      </c>
      <c r="D4335">
        <v>3.9843150000000001</v>
      </c>
      <c r="E4335">
        <v>0.47408689999999998</v>
      </c>
      <c r="F4335" t="s">
        <v>41</v>
      </c>
      <c r="G4335">
        <v>-404.36340000000001</v>
      </c>
      <c r="H4335">
        <v>1.0299700000000001</v>
      </c>
      <c r="I4335">
        <v>138.01560000000001</v>
      </c>
      <c r="J4335">
        <v>-403.86130000000003</v>
      </c>
      <c r="K4335">
        <v>1.121777</v>
      </c>
      <c r="L4335">
        <v>138.68940000000001</v>
      </c>
      <c r="M4335">
        <v>-0.92233480000000001</v>
      </c>
      <c r="N4335">
        <v>-1.5303260000000001E-2</v>
      </c>
      <c r="O4335">
        <v>-0.38608870000000001</v>
      </c>
      <c r="P4335">
        <v>-0.72250360000000002</v>
      </c>
      <c r="Q4335">
        <v>-2.34392E-2</v>
      </c>
      <c r="R4335">
        <v>-0.69096990000000003</v>
      </c>
      <c r="S4335">
        <v>-2.0981450000000001</v>
      </c>
      <c r="T4335">
        <v>-0.244867</v>
      </c>
      <c r="U4335">
        <v>-2.14209</v>
      </c>
      <c r="V4335">
        <v>-0.35796359999999999</v>
      </c>
      <c r="W4335">
        <v>-1.9860070000000001E-2</v>
      </c>
      <c r="X4335">
        <v>0.93352429999999997</v>
      </c>
      <c r="Y4335">
        <v>-0.38814989999999999</v>
      </c>
      <c r="Z4335">
        <v>7.5287740000000002E-3</v>
      </c>
      <c r="AA4335">
        <v>0.92156550000000004</v>
      </c>
      <c r="AB4335">
        <v>33</v>
      </c>
      <c r="AC4335">
        <v>-0.502099999999984</v>
      </c>
      <c r="AD4335">
        <v>-9.1806999999999903E-2</v>
      </c>
      <c r="AE4335">
        <v>-0.67379999999999995</v>
      </c>
      <c r="AF4335">
        <v>-0.42261948129264698</v>
      </c>
      <c r="AG4335">
        <v>-9.1806999999999903E-2</v>
      </c>
      <c r="AH4335">
        <v>0.71480323378577104</v>
      </c>
      <c r="AI4335">
        <v>96.308920853536307</v>
      </c>
      <c r="AJ4335">
        <v>120.59323117194199</v>
      </c>
      <c r="AK4335">
        <v>0.83545162292478803</v>
      </c>
      <c r="AL4335">
        <v>91.137973018583295</v>
      </c>
      <c r="AM4335">
        <v>110.97951965831101</v>
      </c>
      <c r="AN4335">
        <v>0.99999998999792705</v>
      </c>
    </row>
    <row r="4336" spans="1:40" x14ac:dyDescent="0.25">
      <c r="A4336" t="str">
        <f>"20190305135916224"</f>
        <v>20190305135916224</v>
      </c>
      <c r="B4336" t="str">
        <f>"1551765556213653"</f>
        <v>1551765556213653</v>
      </c>
      <c r="C4336" t="s">
        <v>40</v>
      </c>
      <c r="D4336">
        <v>3.9437790000000001</v>
      </c>
      <c r="E4336">
        <v>0.47251490000000002</v>
      </c>
      <c r="F4336" t="s">
        <v>41</v>
      </c>
      <c r="G4336">
        <v>-404.57429999999999</v>
      </c>
      <c r="H4336">
        <v>1.0442089999999999</v>
      </c>
      <c r="I4336">
        <v>137.9128</v>
      </c>
      <c r="J4336">
        <v>-404.14640000000003</v>
      </c>
      <c r="K4336">
        <v>1.121999</v>
      </c>
      <c r="L4336">
        <v>138.5558</v>
      </c>
      <c r="M4336">
        <v>-0.91660580000000003</v>
      </c>
      <c r="N4336">
        <v>-1.537233E-2</v>
      </c>
      <c r="O4336">
        <v>-0.39949649999999998</v>
      </c>
      <c r="P4336">
        <v>-0.71211829999999998</v>
      </c>
      <c r="Q4336">
        <v>-2.400265E-2</v>
      </c>
      <c r="R4336">
        <v>-0.70164899999999997</v>
      </c>
      <c r="S4336">
        <v>-2.03009</v>
      </c>
      <c r="T4336">
        <v>-0.22085189999999999</v>
      </c>
      <c r="U4336">
        <v>-2.2115629999999999</v>
      </c>
      <c r="V4336">
        <v>-0.35822900000000002</v>
      </c>
      <c r="W4336">
        <v>-2.057438E-2</v>
      </c>
      <c r="X4336">
        <v>0.93340699999999999</v>
      </c>
      <c r="Y4336">
        <v>-0.40454030000000002</v>
      </c>
      <c r="Z4336">
        <v>6.0022859999999999E-3</v>
      </c>
      <c r="AA4336">
        <v>0.91450050000000005</v>
      </c>
      <c r="AB4336">
        <v>33</v>
      </c>
      <c r="AC4336">
        <v>-0.42789999999996498</v>
      </c>
      <c r="AD4336">
        <v>-7.7789999999999998E-2</v>
      </c>
      <c r="AE4336">
        <v>-0.64300000000000002</v>
      </c>
      <c r="AF4336">
        <v>-0.41428004266131502</v>
      </c>
      <c r="AG4336">
        <v>-7.7789999999999998E-2</v>
      </c>
      <c r="AH4336">
        <v>0.642649654521393</v>
      </c>
      <c r="AI4336">
        <v>95.809187670735099</v>
      </c>
      <c r="AJ4336">
        <v>122.807596449736</v>
      </c>
      <c r="AK4336">
        <v>0.76855566896870098</v>
      </c>
      <c r="AL4336">
        <v>91.178908353009803</v>
      </c>
      <c r="AM4336">
        <v>110.996127699963</v>
      </c>
      <c r="AN4336">
        <v>0.99999997460119106</v>
      </c>
    </row>
    <row r="4337" spans="1:40" x14ac:dyDescent="0.25">
      <c r="A4337" t="str">
        <f>"20190305135916246"</f>
        <v>20190305135916246</v>
      </c>
      <c r="B4337" t="str">
        <f>"1551765556242933"</f>
        <v>1551765556242933</v>
      </c>
      <c r="C4337" t="s">
        <v>40</v>
      </c>
      <c r="D4337">
        <v>3.9298169999999999</v>
      </c>
      <c r="E4337">
        <v>0.47196199999999999</v>
      </c>
      <c r="F4337" t="s">
        <v>41</v>
      </c>
      <c r="G4337">
        <v>-404.83100000000002</v>
      </c>
      <c r="H4337">
        <v>1.04844</v>
      </c>
      <c r="I4337">
        <v>137.7801</v>
      </c>
      <c r="J4337">
        <v>-404.43669999999997</v>
      </c>
      <c r="K4337">
        <v>1.1222049999999999</v>
      </c>
      <c r="L4337">
        <v>138.41419999999999</v>
      </c>
      <c r="M4337">
        <v>-0.91041459999999996</v>
      </c>
      <c r="N4337">
        <v>-1.5438739999999999E-2</v>
      </c>
      <c r="O4337">
        <v>-0.41340890000000002</v>
      </c>
      <c r="P4337">
        <v>-0.70123659999999999</v>
      </c>
      <c r="Q4337">
        <v>-2.435286E-2</v>
      </c>
      <c r="R4337">
        <v>-0.71251229999999999</v>
      </c>
      <c r="S4337">
        <v>-1.987366</v>
      </c>
      <c r="T4337">
        <v>-0.2135408</v>
      </c>
      <c r="U4337">
        <v>-2.2512970000000001</v>
      </c>
      <c r="V4337">
        <v>-0.35834690000000002</v>
      </c>
      <c r="W4337">
        <v>-2.1058520000000001E-2</v>
      </c>
      <c r="X4337">
        <v>0.93335100000000004</v>
      </c>
      <c r="Y4337">
        <v>-0.40840779999999999</v>
      </c>
      <c r="Z4337">
        <v>6.1712479999999998E-3</v>
      </c>
      <c r="AA4337">
        <v>0.91277870000000005</v>
      </c>
      <c r="AB4337">
        <v>33</v>
      </c>
      <c r="AC4337">
        <v>-0.39429999999998699</v>
      </c>
      <c r="AD4337">
        <v>-7.3764999999999803E-2</v>
      </c>
      <c r="AE4337">
        <v>-0.63409999999998901</v>
      </c>
      <c r="AF4337">
        <v>-0.41033165237753499</v>
      </c>
      <c r="AG4337">
        <v>-7.3764999999999803E-2</v>
      </c>
      <c r="AH4337">
        <v>0.61518935589274004</v>
      </c>
      <c r="AI4337">
        <v>95.696557550124297</v>
      </c>
      <c r="AJ4337">
        <v>123.703310284005</v>
      </c>
      <c r="AK4337">
        <v>0.74314957025594996</v>
      </c>
      <c r="AL4337">
        <v>91.206653483117606</v>
      </c>
      <c r="AM4337">
        <v>111.00358565789401</v>
      </c>
      <c r="AN4337">
        <v>1.0000000256026</v>
      </c>
    </row>
    <row r="4338" spans="1:40" x14ac:dyDescent="0.25">
      <c r="A4338" t="str">
        <f>"20190305135916271"</f>
        <v>20190305135916271</v>
      </c>
      <c r="B4338" t="str">
        <f>"1551765556263428"</f>
        <v>1551765556263428</v>
      </c>
      <c r="C4338" t="s">
        <v>40</v>
      </c>
      <c r="D4338">
        <v>3.9278650000000002</v>
      </c>
      <c r="E4338">
        <v>0.47187259999999998</v>
      </c>
      <c r="F4338" t="s">
        <v>41</v>
      </c>
      <c r="G4338">
        <v>-405.11919999999998</v>
      </c>
      <c r="H4338">
        <v>1.0481419999999999</v>
      </c>
      <c r="I4338">
        <v>137.61449999999999</v>
      </c>
      <c r="J4338">
        <v>-404.74930000000001</v>
      </c>
      <c r="K4338">
        <v>1.1224050000000001</v>
      </c>
      <c r="L4338">
        <v>138.25559999999999</v>
      </c>
      <c r="M4338">
        <v>-0.90333909999999995</v>
      </c>
      <c r="N4338">
        <v>-1.5506290000000001E-2</v>
      </c>
      <c r="O4338">
        <v>-0.42864659999999899</v>
      </c>
      <c r="P4338">
        <v>-0.68889619999999996</v>
      </c>
      <c r="Q4338">
        <v>-2.498071E-2</v>
      </c>
      <c r="R4338">
        <v>-0.7244294</v>
      </c>
      <c r="S4338">
        <v>-1.9491579999999999</v>
      </c>
      <c r="T4338">
        <v>-0.21151819999999999</v>
      </c>
      <c r="U4338">
        <v>-2.284897</v>
      </c>
      <c r="V4338">
        <v>-0.35864590000000002</v>
      </c>
      <c r="W4338">
        <v>-2.1823100000000002E-2</v>
      </c>
      <c r="X4338">
        <v>0.93321849999999995</v>
      </c>
      <c r="Y4338">
        <v>-0.4085609</v>
      </c>
      <c r="Z4338">
        <v>6.9400149999999999E-3</v>
      </c>
      <c r="AA4338">
        <v>0.91270459999999998</v>
      </c>
      <c r="AB4338">
        <v>33</v>
      </c>
      <c r="AC4338">
        <v>-0.36989999999997197</v>
      </c>
      <c r="AD4338">
        <v>-7.4262999999999899E-2</v>
      </c>
      <c r="AE4338">
        <v>-0.64109999999999401</v>
      </c>
      <c r="AF4338">
        <v>-0.416432736335346</v>
      </c>
      <c r="AG4338">
        <v>-7.4262999999999899E-2</v>
      </c>
      <c r="AH4338">
        <v>0.60295386086968095</v>
      </c>
      <c r="AI4338">
        <v>95.786820821353402</v>
      </c>
      <c r="AJ4338">
        <v>124.631068699777</v>
      </c>
      <c r="AK4338">
        <v>0.73653552215653395</v>
      </c>
      <c r="AL4338">
        <v>91.250470858697099</v>
      </c>
      <c r="AM4338">
        <v>111.022304370306</v>
      </c>
      <c r="AN4338">
        <v>0.99999994901133304</v>
      </c>
    </row>
    <row r="4339" spans="1:40" x14ac:dyDescent="0.25">
      <c r="A4339" t="str">
        <f>"20190305135916291"</f>
        <v>20190305135916291</v>
      </c>
      <c r="B4339" t="str">
        <f>"1551765556282948"</f>
        <v>1551765556282948</v>
      </c>
      <c r="C4339" t="s">
        <v>40</v>
      </c>
      <c r="D4339">
        <v>3.9726680000000001</v>
      </c>
      <c r="E4339">
        <v>0.47223700000000002</v>
      </c>
      <c r="F4339" t="s">
        <v>79</v>
      </c>
      <c r="G4339">
        <v>-414.7491</v>
      </c>
      <c r="H4339" s="1">
        <v>-4.4218669999999997E-6</v>
      </c>
      <c r="I4339">
        <v>126.1099</v>
      </c>
      <c r="J4339">
        <v>-405.00540000000001</v>
      </c>
      <c r="K4339">
        <v>1.1225510000000001</v>
      </c>
      <c r="L4339">
        <v>138.12049999999999</v>
      </c>
      <c r="M4339">
        <v>-0.89721580000000001</v>
      </c>
      <c r="N4339">
        <v>-1.5559480000000001E-2</v>
      </c>
      <c r="O4339">
        <v>-0.4413183</v>
      </c>
      <c r="P4339">
        <v>-0.6786913</v>
      </c>
      <c r="Q4339">
        <v>-2.5144590000000001E-2</v>
      </c>
      <c r="R4339">
        <v>-0.73399349999999997</v>
      </c>
      <c r="S4339">
        <v>-1.9089050000000001</v>
      </c>
      <c r="T4339">
        <v>-0.2142626</v>
      </c>
      <c r="U4339">
        <v>-2.3185579999999999</v>
      </c>
      <c r="V4339">
        <v>-0.35855310000000001</v>
      </c>
      <c r="W4339">
        <v>-2.2074219999999999E-2</v>
      </c>
      <c r="X4339">
        <v>0.93324830000000003</v>
      </c>
      <c r="Y4339">
        <v>-0.411659</v>
      </c>
      <c r="Z4339">
        <v>7.8028250000000002E-3</v>
      </c>
      <c r="AA4339">
        <v>0.91130460000000002</v>
      </c>
      <c r="AB4339">
        <v>33</v>
      </c>
      <c r="AC4339">
        <v>-9.7436999999999898</v>
      </c>
      <c r="AD4339">
        <v>-1.122555421867</v>
      </c>
      <c r="AE4339">
        <v>-12.010599999999901</v>
      </c>
      <c r="AF4339">
        <v>-6.4428680730342904</v>
      </c>
      <c r="AG4339">
        <v>-1.122555421867</v>
      </c>
      <c r="AH4339">
        <v>13.9707969957621</v>
      </c>
      <c r="AI4339">
        <v>94.173189628128796</v>
      </c>
      <c r="AJ4339">
        <v>114.75758410786599</v>
      </c>
      <c r="AK4339">
        <v>15.4257527653753</v>
      </c>
      <c r="AL4339">
        <v>91.264862386814599</v>
      </c>
      <c r="AM4339">
        <v>111.01672735820701</v>
      </c>
      <c r="AN4339">
        <v>0.99999999308055398</v>
      </c>
    </row>
    <row r="4340" spans="1:40" x14ac:dyDescent="0.25">
      <c r="A4340" t="str">
        <f>"20190305135916313"</f>
        <v>20190305135916313</v>
      </c>
      <c r="B4340" t="str">
        <f>"1551765556303444"</f>
        <v>1551765556303444</v>
      </c>
      <c r="C4340" t="s">
        <v>40</v>
      </c>
      <c r="D4340">
        <v>3.903219</v>
      </c>
      <c r="E4340">
        <v>0.47246300000000002</v>
      </c>
      <c r="F4340" t="s">
        <v>79</v>
      </c>
      <c r="G4340">
        <v>-415.04270000000002</v>
      </c>
      <c r="H4340" s="1">
        <v>-4.2037369999999996E-6</v>
      </c>
      <c r="I4340">
        <v>125.5993</v>
      </c>
      <c r="J4340">
        <v>-405.27839999999998</v>
      </c>
      <c r="K4340">
        <v>1.1226929999999999</v>
      </c>
      <c r="L4340">
        <v>137.97120000000001</v>
      </c>
      <c r="M4340">
        <v>-0.89035919999999902</v>
      </c>
      <c r="N4340">
        <v>-1.5613299999999899E-2</v>
      </c>
      <c r="O4340">
        <v>-0.45499109999999998</v>
      </c>
      <c r="P4340">
        <v>-0.66749609999999904</v>
      </c>
      <c r="Q4340">
        <v>-2.5357250000000001E-2</v>
      </c>
      <c r="R4340">
        <v>-0.74418149999999905</v>
      </c>
      <c r="S4340">
        <v>-1.8783570000000001</v>
      </c>
      <c r="T4340">
        <v>-0.21007120000000001</v>
      </c>
      <c r="U4340">
        <v>-2.3431700000000002</v>
      </c>
      <c r="V4340">
        <v>-0.35839280000000001</v>
      </c>
      <c r="W4340">
        <v>-2.236556E-2</v>
      </c>
      <c r="X4340">
        <v>0.93330290000000005</v>
      </c>
      <c r="Y4340">
        <v>-0.40965479999999999</v>
      </c>
      <c r="Z4340">
        <v>8.3801580000000004E-3</v>
      </c>
      <c r="AA4340">
        <v>0.91220210000000002</v>
      </c>
      <c r="AB4340">
        <v>33</v>
      </c>
      <c r="AC4340">
        <v>-9.7643000000000395</v>
      </c>
      <c r="AD4340">
        <v>-1.122697203737</v>
      </c>
      <c r="AE4340">
        <v>-12.3719</v>
      </c>
      <c r="AF4340">
        <v>-6.5403791490755196</v>
      </c>
      <c r="AG4340">
        <v>-1.122697203737</v>
      </c>
      <c r="AH4340">
        <v>14.252265252566501</v>
      </c>
      <c r="AI4340">
        <v>94.095080262756497</v>
      </c>
      <c r="AJ4340">
        <v>114.65043878636401</v>
      </c>
      <c r="AK4340">
        <v>15.7214526445381</v>
      </c>
      <c r="AL4340">
        <v>91.281559103744101</v>
      </c>
      <c r="AM4340">
        <v>111.007029458419</v>
      </c>
      <c r="AN4340">
        <v>0.99999996025718096</v>
      </c>
    </row>
    <row r="4341" spans="1:40" x14ac:dyDescent="0.25">
      <c r="A4341" t="str">
        <f>"20190305135916335"</f>
        <v>20190305135916335</v>
      </c>
      <c r="B4341" t="str">
        <f>"1551765556322964"</f>
        <v>1551765556322964</v>
      </c>
      <c r="C4341" t="s">
        <v>40</v>
      </c>
      <c r="D4341">
        <v>4.1365730000000003</v>
      </c>
      <c r="E4341">
        <v>0.47263070000000001</v>
      </c>
      <c r="F4341" t="s">
        <v>79</v>
      </c>
      <c r="G4341">
        <v>-415.15879999999999</v>
      </c>
      <c r="H4341" s="1">
        <v>-4.0733700000000003E-6</v>
      </c>
      <c r="I4341">
        <v>125.27030000000001</v>
      </c>
      <c r="J4341">
        <v>-405.55529999999999</v>
      </c>
      <c r="K4341">
        <v>1.1228229999999999</v>
      </c>
      <c r="L4341">
        <v>137.8142</v>
      </c>
      <c r="M4341">
        <v>-0.88306010000000001</v>
      </c>
      <c r="N4341">
        <v>-1.5663369999999999E-2</v>
      </c>
      <c r="O4341">
        <v>-0.46899869999999999</v>
      </c>
      <c r="P4341">
        <v>-0.65546859999999996</v>
      </c>
      <c r="Q4341">
        <v>-2.4985E-2</v>
      </c>
      <c r="R4341">
        <v>-0.75480930000000002</v>
      </c>
      <c r="S4341">
        <v>-1.843872</v>
      </c>
      <c r="T4341">
        <v>-0.2095177</v>
      </c>
      <c r="U4341">
        <v>-2.3702390000000002</v>
      </c>
      <c r="V4341">
        <v>-0.35864299999999999</v>
      </c>
      <c r="W4341">
        <v>-2.2075129999999998E-2</v>
      </c>
      <c r="X4341">
        <v>0.93321370000000003</v>
      </c>
      <c r="Y4341">
        <v>-0.40858270000000002</v>
      </c>
      <c r="Z4341">
        <v>9.2365559999999999E-3</v>
      </c>
      <c r="AA4341">
        <v>0.91267450000000006</v>
      </c>
      <c r="AB4341">
        <v>33</v>
      </c>
      <c r="AC4341">
        <v>-9.6034999999999897</v>
      </c>
      <c r="AD4341">
        <v>-1.1228270733700001</v>
      </c>
      <c r="AE4341">
        <v>-12.543899999999899</v>
      </c>
      <c r="AF4341">
        <v>-6.5407534451532401</v>
      </c>
      <c r="AG4341">
        <v>-1.1228270733700001</v>
      </c>
      <c r="AH4341">
        <v>14.2930990564273</v>
      </c>
      <c r="AI4341">
        <v>94.085872446879407</v>
      </c>
      <c r="AJ4341">
        <v>114.58959913229</v>
      </c>
      <c r="AK4341">
        <v>15.758644513530401</v>
      </c>
      <c r="AL4341">
        <v>91.264914578837207</v>
      </c>
      <c r="AM4341">
        <v>111.022247916309</v>
      </c>
      <c r="AN4341">
        <v>0.99999996134060198</v>
      </c>
    </row>
    <row r="4342" spans="1:40" x14ac:dyDescent="0.25">
      <c r="A4342" t="str">
        <f>"20190305135916360"</f>
        <v>20190305135916360</v>
      </c>
      <c r="B4342" t="str">
        <f>"1551765556353220"</f>
        <v>1551765556353220</v>
      </c>
      <c r="C4342" t="s">
        <v>40</v>
      </c>
      <c r="D4342">
        <v>3.915737</v>
      </c>
      <c r="E4342">
        <v>0.47345549999999997</v>
      </c>
      <c r="F4342" t="s">
        <v>79</v>
      </c>
      <c r="G4342">
        <v>-415.3125</v>
      </c>
      <c r="H4342" s="1">
        <v>-3.908341E-6</v>
      </c>
      <c r="I4342">
        <v>124.8566</v>
      </c>
      <c r="J4342">
        <v>-405.84160000000003</v>
      </c>
      <c r="K4342">
        <v>1.122933</v>
      </c>
      <c r="L4342">
        <v>137.6456</v>
      </c>
      <c r="M4342">
        <v>-0.87513909999999995</v>
      </c>
      <c r="N4342">
        <v>-1.5709379999999998E-2</v>
      </c>
      <c r="O4342">
        <v>-0.4836163</v>
      </c>
      <c r="P4342">
        <v>-0.64269919999999903</v>
      </c>
      <c r="Q4342">
        <v>-2.4745489999999998E-2</v>
      </c>
      <c r="R4342">
        <v>-0.76571889999999998</v>
      </c>
      <c r="S4342">
        <v>-1.806427</v>
      </c>
      <c r="T4342">
        <v>-0.20787839999999999</v>
      </c>
      <c r="U4342">
        <v>-2.3989560000000001</v>
      </c>
      <c r="V4342">
        <v>-0.35880909999999999</v>
      </c>
      <c r="W4342">
        <v>-2.19034E-2</v>
      </c>
      <c r="X4342">
        <v>0.93315400000000004</v>
      </c>
      <c r="Y4342">
        <v>-0.40777170000000001</v>
      </c>
      <c r="Z4342">
        <v>1.001254E-2</v>
      </c>
      <c r="AA4342">
        <v>0.91302899999999998</v>
      </c>
      <c r="AB4342">
        <v>32</v>
      </c>
      <c r="AC4342">
        <v>-9.4708999999999701</v>
      </c>
      <c r="AD4342">
        <v>-1.1229369083409999</v>
      </c>
      <c r="AE4342">
        <v>-12.789</v>
      </c>
      <c r="AF4342">
        <v>-6.5799264293565498</v>
      </c>
      <c r="AG4342">
        <v>-1.1229369083409999</v>
      </c>
      <c r="AH4342">
        <v>14.403394490097099</v>
      </c>
      <c r="AI4342">
        <v>94.056283782110398</v>
      </c>
      <c r="AJ4342">
        <v>114.55242076748701</v>
      </c>
      <c r="AK4342">
        <v>15.874954864604099</v>
      </c>
      <c r="AL4342">
        <v>91.255072672660205</v>
      </c>
      <c r="AM4342">
        <v>111.032360800474</v>
      </c>
      <c r="AN4342">
        <v>1.00000005844518</v>
      </c>
    </row>
    <row r="4343" spans="1:40" x14ac:dyDescent="0.25">
      <c r="A4343" t="str">
        <f>"20190305135916382"</f>
        <v>20190305135916382</v>
      </c>
      <c r="B4343" t="str">
        <f>"1551765556373716"</f>
        <v>1551765556373716</v>
      </c>
      <c r="C4343" t="s">
        <v>40</v>
      </c>
      <c r="D4343">
        <v>3.9286460000000001</v>
      </c>
      <c r="E4343">
        <v>0.47395189999999998</v>
      </c>
      <c r="F4343" t="s">
        <v>41</v>
      </c>
      <c r="G4343">
        <v>-406.48700000000002</v>
      </c>
      <c r="H4343">
        <v>1.0459020000000001</v>
      </c>
      <c r="I4343">
        <v>136.76220000000001</v>
      </c>
      <c r="J4343">
        <v>-406.11540000000002</v>
      </c>
      <c r="K4343">
        <v>1.123014</v>
      </c>
      <c r="L4343">
        <v>137.4778</v>
      </c>
      <c r="M4343">
        <v>-0.86719999999999997</v>
      </c>
      <c r="N4343">
        <v>-1.5747999999999901E-2</v>
      </c>
      <c r="O4343">
        <v>-0.49771110000000002</v>
      </c>
      <c r="P4343">
        <v>-0.629961199999999</v>
      </c>
      <c r="Q4343">
        <v>-2.5940660000000001E-2</v>
      </c>
      <c r="R4343">
        <v>-0.77619340000000003</v>
      </c>
      <c r="S4343">
        <v>-1.77130099999999</v>
      </c>
      <c r="T4343">
        <v>-0.21139740000000001</v>
      </c>
      <c r="U4343">
        <v>-2.424347</v>
      </c>
      <c r="V4343">
        <v>-0.3590507</v>
      </c>
      <c r="W4343">
        <v>-2.315474E-2</v>
      </c>
      <c r="X4343">
        <v>0.93303080000000005</v>
      </c>
      <c r="Y4343">
        <v>-0.40619189999999999</v>
      </c>
      <c r="Z4343">
        <v>1.131945E-2</v>
      </c>
      <c r="AA4343">
        <v>0.91371769999999997</v>
      </c>
      <c r="AB4343">
        <v>32</v>
      </c>
      <c r="AC4343">
        <v>-0.37159999999994398</v>
      </c>
      <c r="AD4343">
        <v>-7.7111999999999806E-2</v>
      </c>
      <c r="AE4343">
        <v>-0.71559999999999402</v>
      </c>
      <c r="AF4343">
        <v>-0.43172443980401598</v>
      </c>
      <c r="AG4343">
        <v>-7.7111999999999806E-2</v>
      </c>
      <c r="AH4343">
        <v>0.67234856153509204</v>
      </c>
      <c r="AI4343">
        <v>95.512418033857799</v>
      </c>
      <c r="AJ4343">
        <v>122.705088960892</v>
      </c>
      <c r="AK4343">
        <v>0.80273584737845005</v>
      </c>
      <c r="AL4343">
        <v>91.326787439610698</v>
      </c>
      <c r="AM4343">
        <v>111.04781876137901</v>
      </c>
      <c r="AN4343">
        <v>1.0000000104517901</v>
      </c>
    </row>
    <row r="4344" spans="1:40" x14ac:dyDescent="0.25">
      <c r="A4344" t="str">
        <f>"20190305135916402"</f>
        <v>20190305135916402</v>
      </c>
      <c r="B4344" t="str">
        <f>"1551765556393236"</f>
        <v>1551765556393236</v>
      </c>
      <c r="C4344" t="s">
        <v>40</v>
      </c>
      <c r="D4344">
        <v>3.9533680000000002</v>
      </c>
      <c r="E4344">
        <v>0.47466190000000003</v>
      </c>
      <c r="F4344" t="s">
        <v>41</v>
      </c>
      <c r="G4344">
        <v>-406.726</v>
      </c>
      <c r="H4344">
        <v>1.046095</v>
      </c>
      <c r="I4344">
        <v>136.61490000000001</v>
      </c>
      <c r="J4344">
        <v>-406.37380000000002</v>
      </c>
      <c r="K4344">
        <v>1.1230690000000001</v>
      </c>
      <c r="L4344">
        <v>137.31370000000001</v>
      </c>
      <c r="M4344">
        <v>-0.85937909999999995</v>
      </c>
      <c r="N4344">
        <v>-1.5779979999999999E-2</v>
      </c>
      <c r="O4344">
        <v>-0.51109589999999905</v>
      </c>
      <c r="P4344">
        <v>-0.61778310000000003</v>
      </c>
      <c r="Q4344">
        <v>-2.720972E-2</v>
      </c>
      <c r="R4344">
        <v>-0.78587810000000002</v>
      </c>
      <c r="S4344">
        <v>-1.7341610000000001</v>
      </c>
      <c r="T4344">
        <v>-0.2184314</v>
      </c>
      <c r="U4344">
        <v>-2.4503170000000001</v>
      </c>
      <c r="V4344">
        <v>-0.35905019999999999</v>
      </c>
      <c r="W4344">
        <v>-2.445847E-2</v>
      </c>
      <c r="X4344">
        <v>0.93299770000000004</v>
      </c>
      <c r="Y4344">
        <v>-0.40582390000000002</v>
      </c>
      <c r="Z4344">
        <v>1.2958269999999999E-2</v>
      </c>
      <c r="AA4344">
        <v>0.91385939999999999</v>
      </c>
      <c r="AB4344">
        <v>32</v>
      </c>
      <c r="AC4344">
        <v>-0.35219999999998203</v>
      </c>
      <c r="AD4344">
        <v>-7.6974000000000098E-2</v>
      </c>
      <c r="AE4344">
        <v>-0.69880000000000497</v>
      </c>
      <c r="AF4344">
        <v>-0.41654806576007197</v>
      </c>
      <c r="AG4344">
        <v>-7.6974000000000098E-2</v>
      </c>
      <c r="AH4344">
        <v>0.65358533233375604</v>
      </c>
      <c r="AI4344">
        <v>95.671801881694606</v>
      </c>
      <c r="AJ4344">
        <v>122.510492530455</v>
      </c>
      <c r="AK4344">
        <v>0.77885240861557603</v>
      </c>
      <c r="AL4344">
        <v>91.401506882456403</v>
      </c>
      <c r="AM4344">
        <v>111.048473339453</v>
      </c>
      <c r="AN4344">
        <v>0.999999985540035</v>
      </c>
    </row>
    <row r="4345" spans="1:40" x14ac:dyDescent="0.25">
      <c r="A4345" t="str">
        <f>"20190305135916425"</f>
        <v>20190305135916425</v>
      </c>
      <c r="B4345" t="str">
        <f>"1551765556413732"</f>
        <v>1551765556413732</v>
      </c>
      <c r="C4345" t="s">
        <v>40</v>
      </c>
      <c r="D4345">
        <v>3.9230879999999999</v>
      </c>
      <c r="E4345">
        <v>0.47529480000000002</v>
      </c>
      <c r="F4345" t="s">
        <v>41</v>
      </c>
      <c r="G4345">
        <v>-406.97460000000001</v>
      </c>
      <c r="H4345">
        <v>1.0439940000000001</v>
      </c>
      <c r="I4345">
        <v>136.4402</v>
      </c>
      <c r="J4345">
        <v>-406.63389999999998</v>
      </c>
      <c r="K4345">
        <v>1.12312099999999</v>
      </c>
      <c r="L4345">
        <v>137.14279999999999</v>
      </c>
      <c r="M4345">
        <v>-0.85118689999999997</v>
      </c>
      <c r="N4345">
        <v>-1.5808010000000001E-2</v>
      </c>
      <c r="O4345">
        <v>-0.52462449999999905</v>
      </c>
      <c r="P4345">
        <v>-0.60520779999999996</v>
      </c>
      <c r="Q4345">
        <v>-2.8705499999999998E-2</v>
      </c>
      <c r="R4345">
        <v>-0.79554979999999997</v>
      </c>
      <c r="S4345">
        <v>-1.7003170000000001</v>
      </c>
      <c r="T4345">
        <v>-0.2238214</v>
      </c>
      <c r="U4345">
        <v>-2.4729459999999999</v>
      </c>
      <c r="V4345">
        <v>-0.35903200000000002</v>
      </c>
      <c r="W4345">
        <v>-2.5980639999999999E-2</v>
      </c>
      <c r="X4345">
        <v>0.9329636</v>
      </c>
      <c r="Y4345">
        <v>-0.40377730000000001</v>
      </c>
      <c r="Z4345">
        <v>1.4573590000000001E-2</v>
      </c>
      <c r="AA4345">
        <v>0.91474120000000003</v>
      </c>
      <c r="AB4345">
        <v>32</v>
      </c>
      <c r="AC4345">
        <v>-0.34070000000002598</v>
      </c>
      <c r="AD4345">
        <v>-7.9126999999999698E-2</v>
      </c>
      <c r="AE4345">
        <v>-0.70259999999998901</v>
      </c>
      <c r="AF4345">
        <v>-0.415094280465023</v>
      </c>
      <c r="AG4345">
        <v>-7.9126999999999698E-2</v>
      </c>
      <c r="AH4345">
        <v>0.65198780414523605</v>
      </c>
      <c r="AI4345">
        <v>95.845309000100897</v>
      </c>
      <c r="AJ4345">
        <v>122.483259516193</v>
      </c>
      <c r="AK4345">
        <v>0.77695073238777601</v>
      </c>
      <c r="AL4345">
        <v>91.488748498794394</v>
      </c>
      <c r="AM4345">
        <v>111.048201759534</v>
      </c>
      <c r="AN4345">
        <v>1.0000000248018801</v>
      </c>
    </row>
    <row r="4346" spans="1:40" x14ac:dyDescent="0.25">
      <c r="A4346" t="str">
        <f>"20190305135916447"</f>
        <v>20190305135916447</v>
      </c>
      <c r="B4346" t="str">
        <f>"1551765556443053"</f>
        <v>1551765556443053</v>
      </c>
      <c r="C4346" t="s">
        <v>40</v>
      </c>
      <c r="D4346">
        <v>3.9328590000000001</v>
      </c>
      <c r="E4346">
        <v>0.47638079999999999</v>
      </c>
      <c r="F4346" t="s">
        <v>41</v>
      </c>
      <c r="G4346">
        <v>-407.23570000000001</v>
      </c>
      <c r="H4346">
        <v>1.04037</v>
      </c>
      <c r="I4346">
        <v>136.24019999999999</v>
      </c>
      <c r="J4346">
        <v>-406.89339999999999</v>
      </c>
      <c r="K4346">
        <v>1.1231679999999999</v>
      </c>
      <c r="L4346">
        <v>136.96629999999999</v>
      </c>
      <c r="M4346">
        <v>-0.84267930000000002</v>
      </c>
      <c r="N4346">
        <v>-1.5832510000000001E-2</v>
      </c>
      <c r="O4346">
        <v>-0.53818319999999997</v>
      </c>
      <c r="P4346">
        <v>-0.59254130000000005</v>
      </c>
      <c r="Q4346">
        <v>-2.9237519999999999E-2</v>
      </c>
      <c r="R4346">
        <v>-0.80500930000000004</v>
      </c>
      <c r="S4346">
        <v>-1.6646729999999901</v>
      </c>
      <c r="T4346">
        <v>-0.2289021</v>
      </c>
      <c r="U4346">
        <v>-2.4963380000000002</v>
      </c>
      <c r="V4346">
        <v>-0.35882579999999997</v>
      </c>
      <c r="W4346">
        <v>-2.6523620000000001E-2</v>
      </c>
      <c r="X4346">
        <v>0.93302759999999996</v>
      </c>
      <c r="Y4346">
        <v>-0.40214539999999999</v>
      </c>
      <c r="Z4346">
        <v>1.6198569999999999E-2</v>
      </c>
      <c r="AA4346">
        <v>0.91543249999999998</v>
      </c>
      <c r="AB4346">
        <v>32</v>
      </c>
      <c r="AC4346">
        <v>-0.34230000000002198</v>
      </c>
      <c r="AD4346">
        <v>-8.2797999999999899E-2</v>
      </c>
      <c r="AE4346">
        <v>-0.72610000000000197</v>
      </c>
      <c r="AF4346">
        <v>-0.42320056619438301</v>
      </c>
      <c r="AG4346">
        <v>-8.2797999999999899E-2</v>
      </c>
      <c r="AH4346">
        <v>0.67215809325180498</v>
      </c>
      <c r="AI4346">
        <v>95.951112458189797</v>
      </c>
      <c r="AJ4346">
        <v>122.19511831201</v>
      </c>
      <c r="AK4346">
        <v>0.79859296913706201</v>
      </c>
      <c r="AL4346">
        <v>91.519869755045505</v>
      </c>
      <c r="AM4346">
        <v>111.03585430828601</v>
      </c>
      <c r="AN4346">
        <v>0.99999997976265198</v>
      </c>
    </row>
    <row r="4347" spans="1:40" x14ac:dyDescent="0.25">
      <c r="A4347" t="str">
        <f>"20190305135916470"</f>
        <v>20190305135916470</v>
      </c>
      <c r="B4347" t="str">
        <f>"1551765556463546"</f>
        <v>1551765556463546</v>
      </c>
      <c r="C4347" t="s">
        <v>40</v>
      </c>
      <c r="D4347">
        <v>4.0570969999999997</v>
      </c>
      <c r="E4347">
        <v>0.49337049999999999</v>
      </c>
      <c r="F4347" t="s">
        <v>79</v>
      </c>
      <c r="G4347">
        <v>-414.76190000000003</v>
      </c>
      <c r="H4347" s="1">
        <v>-3.9763630000000002E-6</v>
      </c>
      <c r="I4347">
        <v>124.8317</v>
      </c>
      <c r="J4347">
        <v>-407.16090000000003</v>
      </c>
      <c r="K4347">
        <v>1.123202</v>
      </c>
      <c r="L4347">
        <v>136.77789999999999</v>
      </c>
      <c r="M4347">
        <v>-0.83356019999999897</v>
      </c>
      <c r="N4347">
        <v>-1.5854509999999999E-2</v>
      </c>
      <c r="O4347">
        <v>-0.55220119999999995</v>
      </c>
      <c r="P4347">
        <v>-0.57938299999999998</v>
      </c>
      <c r="Q4347">
        <v>-2.871135E-2</v>
      </c>
      <c r="R4347">
        <v>-0.81454959999999998</v>
      </c>
      <c r="S4347">
        <v>-1.63205</v>
      </c>
      <c r="T4347">
        <v>-0.232964</v>
      </c>
      <c r="U4347">
        <v>-2.5169069999999998</v>
      </c>
      <c r="V4347">
        <v>-0.35841339999999999</v>
      </c>
      <c r="W4347">
        <v>-2.599361E-2</v>
      </c>
      <c r="X4347">
        <v>0.93320099999999995</v>
      </c>
      <c r="Y4347">
        <v>-0.39862360000000002</v>
      </c>
      <c r="Z4347">
        <v>1.7875749999999999E-2</v>
      </c>
      <c r="AA4347">
        <v>0.91694039999999999</v>
      </c>
      <c r="AB4347">
        <v>32</v>
      </c>
      <c r="AC4347">
        <v>-7.6009999999999902</v>
      </c>
      <c r="AD4347">
        <v>-1.123205976363</v>
      </c>
      <c r="AE4347">
        <v>-11.9461999999999</v>
      </c>
      <c r="AF4347">
        <v>-5.7252920904539204</v>
      </c>
      <c r="AG4347">
        <v>-1.123205976363</v>
      </c>
      <c r="AH4347">
        <v>12.8533404431947</v>
      </c>
      <c r="AI4347">
        <v>94.563976737950696</v>
      </c>
      <c r="AJ4347">
        <v>114.009732151807</v>
      </c>
      <c r="AK4347">
        <v>14.1155560193361</v>
      </c>
      <c r="AL4347">
        <v>91.489491958137904</v>
      </c>
      <c r="AM4347">
        <v>111.01022536343601</v>
      </c>
      <c r="AN4347">
        <v>0.99999996973069505</v>
      </c>
    </row>
    <row r="4348" spans="1:40" x14ac:dyDescent="0.25">
      <c r="A4348" t="str">
        <f>"20190305135916492"</f>
        <v>20190305135916492</v>
      </c>
      <c r="B4348" t="str">
        <f>"1551765556483066"</f>
        <v>1551765556483066</v>
      </c>
      <c r="C4348" t="s">
        <v>40</v>
      </c>
      <c r="D4348">
        <v>3.9043290000000002</v>
      </c>
      <c r="E4348">
        <v>0.49015069999999999</v>
      </c>
      <c r="F4348" t="s">
        <v>79</v>
      </c>
      <c r="G4348">
        <v>-413.40170000000001</v>
      </c>
      <c r="H4348" s="1">
        <v>-5.1886240000000004E-6</v>
      </c>
      <c r="I4348">
        <v>127.7783</v>
      </c>
      <c r="J4348">
        <v>-407.40750000000003</v>
      </c>
      <c r="K4348">
        <v>1.1232249999999999</v>
      </c>
      <c r="L4348">
        <v>136.59829999999999</v>
      </c>
      <c r="M4348">
        <v>-0.82483009999999901</v>
      </c>
      <c r="N4348">
        <v>-1.5872219999999999E-2</v>
      </c>
      <c r="O4348">
        <v>-0.56515780000000004</v>
      </c>
      <c r="P4348">
        <v>-0.56673999999999902</v>
      </c>
      <c r="Q4348">
        <v>-2.7630579999999998E-2</v>
      </c>
      <c r="R4348">
        <v>-0.82343339999999998</v>
      </c>
      <c r="S4348">
        <v>-1.7053529999999999</v>
      </c>
      <c r="T4348">
        <v>-0.30692709999999901</v>
      </c>
      <c r="U4348">
        <v>-2.459244</v>
      </c>
      <c r="V4348">
        <v>-0.35830400000000001</v>
      </c>
      <c r="W4348">
        <v>-2.4914539999999999E-2</v>
      </c>
      <c r="X4348">
        <v>0.93327249999999995</v>
      </c>
      <c r="Y4348">
        <v>-0.3556395</v>
      </c>
      <c r="Z4348">
        <v>3.0912200000000001E-2</v>
      </c>
      <c r="AA4348">
        <v>0.93411180000000005</v>
      </c>
      <c r="AB4348">
        <v>32</v>
      </c>
      <c r="AC4348">
        <v>-5.99419999999997</v>
      </c>
      <c r="AD4348">
        <v>-1.1232301886239999</v>
      </c>
      <c r="AE4348">
        <v>-8.8199999999999896</v>
      </c>
      <c r="AF4348">
        <v>-3.84516401342501</v>
      </c>
      <c r="AG4348">
        <v>-1.1232301886239999</v>
      </c>
      <c r="AH4348">
        <v>9.82118286576668</v>
      </c>
      <c r="AI4348">
        <v>96.078903781170396</v>
      </c>
      <c r="AJ4348">
        <v>111.381207732478</v>
      </c>
      <c r="AK4348">
        <v>10.6067226431921</v>
      </c>
      <c r="AL4348">
        <v>91.427645678924705</v>
      </c>
      <c r="AM4348">
        <v>111.002902871731</v>
      </c>
      <c r="AN4348">
        <v>1.00000002498783</v>
      </c>
    </row>
    <row r="4349" spans="1:40" x14ac:dyDescent="0.25">
      <c r="A4349" t="str">
        <f>"20190305135916514"</f>
        <v>20190305135916514</v>
      </c>
      <c r="B4349" t="str">
        <f>"1551765556503562"</f>
        <v>1551765556503562</v>
      </c>
      <c r="C4349" t="s">
        <v>40</v>
      </c>
      <c r="D4349">
        <v>3.915781</v>
      </c>
      <c r="E4349">
        <v>0.49042999999999998</v>
      </c>
      <c r="F4349" t="s">
        <v>79</v>
      </c>
      <c r="G4349">
        <v>-414.58479999999997</v>
      </c>
      <c r="H4349" s="1">
        <v>-4.2918129999999999E-6</v>
      </c>
      <c r="I4349">
        <v>125.6694</v>
      </c>
      <c r="J4349">
        <v>-407.65530000000001</v>
      </c>
      <c r="K4349">
        <v>1.123248</v>
      </c>
      <c r="L4349">
        <v>136.4117</v>
      </c>
      <c r="M4349">
        <v>-0.81573309999999999</v>
      </c>
      <c r="N4349">
        <v>-1.5887470000000001E-2</v>
      </c>
      <c r="O4349">
        <v>-0.57821020000000001</v>
      </c>
      <c r="P4349">
        <v>-0.55353009999999903</v>
      </c>
      <c r="Q4349">
        <v>-2.6870850000000002E-2</v>
      </c>
      <c r="R4349">
        <v>-0.83239560000000001</v>
      </c>
      <c r="S4349">
        <v>-1.643921</v>
      </c>
      <c r="T4349">
        <v>-0.25727</v>
      </c>
      <c r="U4349">
        <v>-2.5032040000000002</v>
      </c>
      <c r="V4349">
        <v>-0.35838989999999998</v>
      </c>
      <c r="W4349">
        <v>-2.4159779999999999E-2</v>
      </c>
      <c r="X4349">
        <v>0.93325939999999996</v>
      </c>
      <c r="Y4349">
        <v>-0.36425469999999999</v>
      </c>
      <c r="Z4349">
        <v>2.475223E-2</v>
      </c>
      <c r="AA4349">
        <v>0.93097039999999998</v>
      </c>
      <c r="AB4349">
        <v>32</v>
      </c>
      <c r="AC4349">
        <v>-6.92949999999996</v>
      </c>
      <c r="AD4349">
        <v>-1.1232522918129999</v>
      </c>
      <c r="AE4349">
        <v>-10.7423</v>
      </c>
      <c r="AF4349">
        <v>-4.7202980983044398</v>
      </c>
      <c r="AG4349">
        <v>-1.1232522918129999</v>
      </c>
      <c r="AH4349">
        <v>11.7745190961814</v>
      </c>
      <c r="AI4349">
        <v>95.060146036207399</v>
      </c>
      <c r="AJ4349">
        <v>111.845402377083</v>
      </c>
      <c r="AK4349">
        <v>12.7350779265092</v>
      </c>
      <c r="AL4349">
        <v>91.384388041763202</v>
      </c>
      <c r="AM4349">
        <v>111.00776802933299</v>
      </c>
      <c r="AN4349">
        <v>1.00000006154</v>
      </c>
    </row>
    <row r="4350" spans="1:40" x14ac:dyDescent="0.25">
      <c r="A4350" t="str">
        <f>"20190305135916537"</f>
        <v>20190305135916537</v>
      </c>
      <c r="B4350" t="str">
        <f>"1551765556523082"</f>
        <v>1551765556523082</v>
      </c>
      <c r="C4350" t="s">
        <v>40</v>
      </c>
      <c r="D4350">
        <v>3.9202210000000002</v>
      </c>
      <c r="E4350">
        <v>0.49086239999999998</v>
      </c>
      <c r="F4350" t="s">
        <v>79</v>
      </c>
      <c r="G4350">
        <v>-415.26929999999999</v>
      </c>
      <c r="H4350" s="1">
        <v>-3.7004519999999999E-6</v>
      </c>
      <c r="I4350">
        <v>124.411</v>
      </c>
      <c r="J4350">
        <v>-407.904</v>
      </c>
      <c r="K4350">
        <v>1.123254</v>
      </c>
      <c r="L4350">
        <v>136.2182</v>
      </c>
      <c r="M4350">
        <v>-0.80627729999999997</v>
      </c>
      <c r="N4350">
        <v>-1.5900060000000001E-2</v>
      </c>
      <c r="O4350">
        <v>-0.59132410000000002</v>
      </c>
      <c r="P4350">
        <v>-0.53962519999999903</v>
      </c>
      <c r="Q4350">
        <v>-2.655072E-2</v>
      </c>
      <c r="R4350">
        <v>-0.84148679999999998</v>
      </c>
      <c r="S4350">
        <v>-1.6047359999999999</v>
      </c>
      <c r="T4350">
        <v>-0.2367389</v>
      </c>
      <c r="U4350">
        <v>-2.5292819999999998</v>
      </c>
      <c r="V4350">
        <v>-0.3588228</v>
      </c>
      <c r="W4350">
        <v>-2.385288E-2</v>
      </c>
      <c r="X4350">
        <v>0.93310090000000001</v>
      </c>
      <c r="Y4350">
        <v>-0.3638342</v>
      </c>
      <c r="Z4350">
        <v>2.285566E-2</v>
      </c>
      <c r="AA4350">
        <v>0.93118330000000005</v>
      </c>
      <c r="AB4350">
        <v>32</v>
      </c>
      <c r="AC4350">
        <v>-7.3652999999999897</v>
      </c>
      <c r="AD4350">
        <v>-1.1232577004519999</v>
      </c>
      <c r="AE4350">
        <v>-11.8071999999999</v>
      </c>
      <c r="AF4350">
        <v>-5.1318161389447603</v>
      </c>
      <c r="AG4350">
        <v>-1.1232577004519999</v>
      </c>
      <c r="AH4350">
        <v>12.8383453555125</v>
      </c>
      <c r="AI4350">
        <v>94.644642474410205</v>
      </c>
      <c r="AJ4350">
        <v>111.787858015978</v>
      </c>
      <c r="AK4350">
        <v>13.8715664657229</v>
      </c>
      <c r="AL4350">
        <v>91.366798948055902</v>
      </c>
      <c r="AM4350">
        <v>111.034185881507</v>
      </c>
      <c r="AN4350">
        <v>1.0000000256324699</v>
      </c>
    </row>
    <row r="4351" spans="1:40" x14ac:dyDescent="0.25">
      <c r="A4351" t="str">
        <f>"20190305135916561"</f>
        <v>20190305135916561</v>
      </c>
      <c r="B4351" t="str">
        <f>"1551765556553338"</f>
        <v>1551765556553338</v>
      </c>
      <c r="C4351" t="s">
        <v>40</v>
      </c>
      <c r="D4351">
        <v>3.9009019999999999</v>
      </c>
      <c r="E4351">
        <v>0.49181770000000002</v>
      </c>
      <c r="F4351" t="s">
        <v>79</v>
      </c>
      <c r="G4351">
        <v>-415.72820000000002</v>
      </c>
      <c r="H4351" s="1">
        <v>-3.0231010000000001E-6</v>
      </c>
      <c r="I4351">
        <v>123.44589999999999</v>
      </c>
      <c r="J4351">
        <v>-408.15890000000002</v>
      </c>
      <c r="K4351">
        <v>1.1232439999999999</v>
      </c>
      <c r="L4351">
        <v>136.01259999999999</v>
      </c>
      <c r="M4351">
        <v>-0.79622950000000003</v>
      </c>
      <c r="N4351">
        <v>-1.590913E-2</v>
      </c>
      <c r="O4351">
        <v>-0.60478540000000003</v>
      </c>
      <c r="P4351">
        <v>-0.52477559999999901</v>
      </c>
      <c r="Q4351">
        <v>-2.635527E-2</v>
      </c>
      <c r="R4351">
        <v>-0.85083249999999999</v>
      </c>
      <c r="S4351">
        <v>-1.5648799999999901</v>
      </c>
      <c r="T4351">
        <v>-0.2246572</v>
      </c>
      <c r="U4351">
        <v>-2.5545200000000001</v>
      </c>
      <c r="V4351">
        <v>-0.35953259999999998</v>
      </c>
      <c r="W4351">
        <v>-2.367228E-2</v>
      </c>
      <c r="X4351">
        <v>0.9328322</v>
      </c>
      <c r="Y4351">
        <v>-0.36286380000000001</v>
      </c>
      <c r="Z4351">
        <v>2.2085810000000001E-2</v>
      </c>
      <c r="AA4351">
        <v>0.93158039999999998</v>
      </c>
      <c r="AB4351">
        <v>32</v>
      </c>
      <c r="AC4351">
        <v>-7.5692999999999904</v>
      </c>
      <c r="AD4351">
        <v>-1.1232470231010001</v>
      </c>
      <c r="AE4351">
        <v>-12.5666999999999</v>
      </c>
      <c r="AF4351">
        <v>-5.39722179966751</v>
      </c>
      <c r="AG4351">
        <v>-1.1232470231010001</v>
      </c>
      <c r="AH4351">
        <v>13.5493504560704</v>
      </c>
      <c r="AI4351">
        <v>94.403951237921007</v>
      </c>
      <c r="AJ4351">
        <v>111.71927377429699</v>
      </c>
      <c r="AK4351">
        <v>14.627938501755001</v>
      </c>
      <c r="AL4351">
        <v>91.356448455740306</v>
      </c>
      <c r="AM4351">
        <v>111.077682513355</v>
      </c>
      <c r="AN4351">
        <v>0.99999999032999898</v>
      </c>
    </row>
    <row r="4352" spans="1:40" x14ac:dyDescent="0.25">
      <c r="A4352" t="str">
        <f>"20190305135916583"</f>
        <v>20190305135916583</v>
      </c>
      <c r="B4352" t="str">
        <f>"1551765556573834"</f>
        <v>1551765556573834</v>
      </c>
      <c r="C4352" t="s">
        <v>40</v>
      </c>
      <c r="D4352">
        <v>3.9176340000000001</v>
      </c>
      <c r="E4352">
        <v>0.49285390000000001</v>
      </c>
      <c r="F4352" t="s">
        <v>79</v>
      </c>
      <c r="G4352">
        <v>-415.97750000000002</v>
      </c>
      <c r="H4352" s="1">
        <v>-2.5817280000000001E-6</v>
      </c>
      <c r="I4352">
        <v>122.8061</v>
      </c>
      <c r="J4352">
        <v>-408.40390000000002</v>
      </c>
      <c r="K4352">
        <v>1.1232139999999999</v>
      </c>
      <c r="L4352">
        <v>135.80799999999999</v>
      </c>
      <c r="M4352">
        <v>-0.78623909999999997</v>
      </c>
      <c r="N4352">
        <v>-1.591296E-2</v>
      </c>
      <c r="O4352">
        <v>-0.61771759999999998</v>
      </c>
      <c r="P4352">
        <v>-0.50960909999999904</v>
      </c>
      <c r="Q4352">
        <v>-2.532978E-2</v>
      </c>
      <c r="R4352">
        <v>-0.86003320000000005</v>
      </c>
      <c r="S4352">
        <v>-1.526154</v>
      </c>
      <c r="T4352">
        <v>-0.21925230000000001</v>
      </c>
      <c r="U4352">
        <v>-2.5778349999999999</v>
      </c>
      <c r="V4352">
        <v>-0.36088340000000002</v>
      </c>
      <c r="W4352">
        <v>-2.2675790000000001E-2</v>
      </c>
      <c r="X4352">
        <v>0.93233520000000003</v>
      </c>
      <c r="Y4352">
        <v>-0.3617071</v>
      </c>
      <c r="Z4352">
        <v>2.221629E-2</v>
      </c>
      <c r="AA4352">
        <v>0.93202700000000005</v>
      </c>
      <c r="AB4352">
        <v>32</v>
      </c>
      <c r="AC4352">
        <v>-7.5735999999999901</v>
      </c>
      <c r="AD4352">
        <v>-1.123216581728</v>
      </c>
      <c r="AE4352">
        <v>-13.0018999999999</v>
      </c>
      <c r="AF4352">
        <v>-5.5142308526599102</v>
      </c>
      <c r="AG4352">
        <v>-1.123216581728</v>
      </c>
      <c r="AH4352">
        <v>13.910419919767801</v>
      </c>
      <c r="AI4352">
        <v>94.292784256833798</v>
      </c>
      <c r="AJ4352">
        <v>111.623874312762</v>
      </c>
      <c r="AK4352">
        <v>15.0056036109904</v>
      </c>
      <c r="AL4352">
        <v>91.299338467537794</v>
      </c>
      <c r="AM4352">
        <v>111.16016158855101</v>
      </c>
      <c r="AN4352">
        <v>0.99999997250336103</v>
      </c>
    </row>
    <row r="4353" spans="1:40" x14ac:dyDescent="0.25">
      <c r="A4353" t="str">
        <f>"20190305135916604"</f>
        <v>20190305135916604</v>
      </c>
      <c r="B4353" t="str">
        <f>"1551765556593354"</f>
        <v>1551765556593354</v>
      </c>
      <c r="C4353" t="s">
        <v>40</v>
      </c>
      <c r="D4353">
        <v>3.9451679999999998</v>
      </c>
      <c r="E4353">
        <v>0.49344710000000003</v>
      </c>
      <c r="F4353" t="s">
        <v>79</v>
      </c>
      <c r="G4353">
        <v>-416.0659</v>
      </c>
      <c r="H4353" s="1">
        <v>-2.3215289999999999E-6</v>
      </c>
      <c r="I4353">
        <v>122.4161</v>
      </c>
      <c r="J4353">
        <v>-408.62619999999998</v>
      </c>
      <c r="K4353">
        <v>1.1231770000000001</v>
      </c>
      <c r="L4353">
        <v>135.6165</v>
      </c>
      <c r="M4353">
        <v>-0.77689219999999903</v>
      </c>
      <c r="N4353">
        <v>-1.5912309999999999E-2</v>
      </c>
      <c r="O4353">
        <v>-0.62943289999999996</v>
      </c>
      <c r="P4353">
        <v>-0.49568489999999998</v>
      </c>
      <c r="Q4353">
        <v>-2.463365E-2</v>
      </c>
      <c r="R4353">
        <v>-0.86815330000000002</v>
      </c>
      <c r="S4353">
        <v>-1.4877320000000001</v>
      </c>
      <c r="T4353">
        <v>-0.2180935</v>
      </c>
      <c r="U4353">
        <v>-2.6002809999999998</v>
      </c>
      <c r="V4353">
        <v>-0.36197210000000002</v>
      </c>
      <c r="W4353">
        <v>-2.199371E-2</v>
      </c>
      <c r="X4353">
        <v>0.93192940000000002</v>
      </c>
      <c r="Y4353">
        <v>-0.361591</v>
      </c>
      <c r="Z4353">
        <v>2.2859020000000001E-2</v>
      </c>
      <c r="AA4353">
        <v>0.93205649999999995</v>
      </c>
      <c r="AB4353">
        <v>32</v>
      </c>
      <c r="AC4353">
        <v>-7.43970000000001</v>
      </c>
      <c r="AD4353">
        <v>-1.123179321529</v>
      </c>
      <c r="AE4353">
        <v>-13.2004</v>
      </c>
      <c r="AF4353">
        <v>-5.5427456382179097</v>
      </c>
      <c r="AG4353">
        <v>-1.123179321529</v>
      </c>
      <c r="AH4353">
        <v>14.013395254579001</v>
      </c>
      <c r="AI4353">
        <v>94.262491499219706</v>
      </c>
      <c r="AJ4353">
        <v>111.580380340685</v>
      </c>
      <c r="AK4353">
        <v>15.1115455053198</v>
      </c>
      <c r="AL4353">
        <v>91.260248418134907</v>
      </c>
      <c r="AM4353">
        <v>111.226742720253</v>
      </c>
      <c r="AN4353">
        <v>0.99999996552116599</v>
      </c>
    </row>
    <row r="4354" spans="1:40" x14ac:dyDescent="0.25">
      <c r="A4354" t="str">
        <f>"20190305135916626"</f>
        <v>20190305135916626</v>
      </c>
      <c r="B4354" t="str">
        <f>"1551765556613849"</f>
        <v>1551765556613849</v>
      </c>
      <c r="C4354" t="s">
        <v>40</v>
      </c>
      <c r="D4354">
        <v>4.0176540000000003</v>
      </c>
      <c r="E4354">
        <v>0.50501470000000004</v>
      </c>
      <c r="F4354" t="s">
        <v>79</v>
      </c>
      <c r="G4354">
        <v>-416.19979999999998</v>
      </c>
      <c r="H4354" s="1">
        <v>-1.9890150000000001E-6</v>
      </c>
      <c r="I4354">
        <v>121.92230000000001</v>
      </c>
      <c r="J4354">
        <v>-408.85570000000001</v>
      </c>
      <c r="K4354">
        <v>1.1231150000000001</v>
      </c>
      <c r="L4354">
        <v>135.4127</v>
      </c>
      <c r="M4354">
        <v>-0.7669665</v>
      </c>
      <c r="N4354">
        <v>-1.5907999999999999E-2</v>
      </c>
      <c r="O4354">
        <v>-0.64149</v>
      </c>
      <c r="P4354">
        <v>-0.4815045</v>
      </c>
      <c r="Q4354">
        <v>-2.5182650000000001E-2</v>
      </c>
      <c r="R4354">
        <v>-0.87608169999999996</v>
      </c>
      <c r="S4354">
        <v>-1.449921</v>
      </c>
      <c r="T4354">
        <v>-0.21502599999999999</v>
      </c>
      <c r="U4354">
        <v>-2.6216740000000001</v>
      </c>
      <c r="V4354">
        <v>-0.36253960000000002</v>
      </c>
      <c r="W4354">
        <v>-2.2523809999999998E-2</v>
      </c>
      <c r="X4354">
        <v>0.93169610000000003</v>
      </c>
      <c r="Y4354">
        <v>-0.36055920000000002</v>
      </c>
      <c r="Z4354">
        <v>2.3240730000000001E-2</v>
      </c>
      <c r="AA4354">
        <v>0.93244669999999996</v>
      </c>
      <c r="AB4354">
        <v>32</v>
      </c>
      <c r="AC4354">
        <v>-7.3440999999999601</v>
      </c>
      <c r="AD4354">
        <v>-1.1231169890149999</v>
      </c>
      <c r="AE4354">
        <v>-13.4903999999999</v>
      </c>
      <c r="AF4354">
        <v>-5.6062570168205301</v>
      </c>
      <c r="AG4354">
        <v>-1.1231169890149999</v>
      </c>
      <c r="AH4354">
        <v>14.2124552652134</v>
      </c>
      <c r="AI4354">
        <v>94.204306891827898</v>
      </c>
      <c r="AJ4354">
        <v>111.52729265649</v>
      </c>
      <c r="AK4354">
        <v>15.319444969559299</v>
      </c>
      <c r="AL4354">
        <v>91.290628455061594</v>
      </c>
      <c r="AM4354">
        <v>111.261900681241</v>
      </c>
      <c r="AN4354">
        <v>0.99999995317014201</v>
      </c>
    </row>
    <row r="4355" spans="1:40" x14ac:dyDescent="0.25">
      <c r="A4355" t="str">
        <f>"20190305135916648"</f>
        <v>20190305135916648</v>
      </c>
      <c r="B4355" t="str">
        <f>"1551765556643133"</f>
        <v>1551765556643133</v>
      </c>
      <c r="C4355" t="s">
        <v>40</v>
      </c>
      <c r="D4355">
        <v>4.0201449999999896</v>
      </c>
      <c r="E4355">
        <v>0.50505639999999996</v>
      </c>
      <c r="F4355" t="s">
        <v>42</v>
      </c>
      <c r="G4355">
        <v>-418.08940000000001</v>
      </c>
      <c r="H4355" s="1">
        <v>-4.46275899999999E-6</v>
      </c>
      <c r="I4355">
        <v>119.2456</v>
      </c>
      <c r="J4355">
        <v>-409.09120000000001</v>
      </c>
      <c r="K4355">
        <v>1.1230329999999999</v>
      </c>
      <c r="L4355">
        <v>135.1968</v>
      </c>
      <c r="M4355">
        <v>-0.75650220000000001</v>
      </c>
      <c r="N4355">
        <v>-1.5897560000000002E-2</v>
      </c>
      <c r="O4355">
        <v>-0.65379790000000004</v>
      </c>
      <c r="P4355">
        <v>-0.46738570000000002</v>
      </c>
      <c r="Q4355">
        <v>-2.630793E-2</v>
      </c>
      <c r="R4355">
        <v>-0.88366209999999901</v>
      </c>
      <c r="S4355">
        <v>-1.486267</v>
      </c>
      <c r="T4355">
        <v>-0.18077679999999999</v>
      </c>
      <c r="U4355">
        <v>-2.602249</v>
      </c>
      <c r="V4355">
        <v>-0.36237799999999998</v>
      </c>
      <c r="W4355">
        <v>-2.3584239999999999E-2</v>
      </c>
      <c r="X4355">
        <v>0.93173280000000003</v>
      </c>
      <c r="Y4355">
        <v>-0.33254620000000001</v>
      </c>
      <c r="Z4355">
        <v>1.91459E-2</v>
      </c>
      <c r="AA4355">
        <v>0.94289259999999997</v>
      </c>
      <c r="AB4355">
        <v>32</v>
      </c>
      <c r="AC4355">
        <v>-8.99819999999999</v>
      </c>
      <c r="AD4355">
        <v>-1.1230374627589901</v>
      </c>
      <c r="AE4355">
        <v>-15.9512</v>
      </c>
      <c r="AF4355">
        <v>-6.1617257097933598</v>
      </c>
      <c r="AG4355">
        <v>-1.1230374627589901</v>
      </c>
      <c r="AH4355">
        <v>17.173620789875599</v>
      </c>
      <c r="AI4355">
        <v>93.5221865267971</v>
      </c>
      <c r="AJ4355">
        <v>109.73748567633599</v>
      </c>
      <c r="AK4355">
        <v>18.280080084615001</v>
      </c>
      <c r="AL4355">
        <v>91.351402685205002</v>
      </c>
      <c r="AM4355">
        <v>111.252506781273</v>
      </c>
      <c r="AN4355">
        <v>1.0000000209280999</v>
      </c>
    </row>
    <row r="4356" spans="1:40" x14ac:dyDescent="0.25">
      <c r="A4356" t="str">
        <f>"20190305135916682"</f>
        <v>20190305135916682</v>
      </c>
      <c r="B4356" t="str">
        <f>"1551765556673386"</f>
        <v>1551765556673386</v>
      </c>
      <c r="C4356" t="s">
        <v>40</v>
      </c>
      <c r="D4356">
        <v>4.0457000000000001</v>
      </c>
      <c r="E4356">
        <v>0.50603779999999998</v>
      </c>
      <c r="F4356" t="s">
        <v>42</v>
      </c>
      <c r="G4356">
        <v>-417.87369999999999</v>
      </c>
      <c r="H4356" s="1">
        <v>-4.4953979999999997E-6</v>
      </c>
      <c r="I4356">
        <v>119.2325</v>
      </c>
      <c r="J4356">
        <v>-409.423</v>
      </c>
      <c r="K4356">
        <v>1.122887</v>
      </c>
      <c r="L4356">
        <v>134.8809</v>
      </c>
      <c r="M4356">
        <v>-0.74132449999999905</v>
      </c>
      <c r="N4356">
        <v>-1.5869100000000001E-2</v>
      </c>
      <c r="O4356">
        <v>-0.67095939999999998</v>
      </c>
      <c r="P4356">
        <v>-0.44842209999999899</v>
      </c>
      <c r="Q4356">
        <v>-2.5535160000000001E-2</v>
      </c>
      <c r="R4356">
        <v>-0.8934571</v>
      </c>
      <c r="S4356">
        <v>-1.444366</v>
      </c>
      <c r="T4356">
        <v>-0.1846933</v>
      </c>
      <c r="U4356">
        <v>-2.6254729999999999</v>
      </c>
      <c r="V4356">
        <v>-0.36096460000000002</v>
      </c>
      <c r="W4356">
        <v>-2.2638640000000002E-2</v>
      </c>
      <c r="X4356">
        <v>0.93230469999999999</v>
      </c>
      <c r="Y4356">
        <v>-0.32603130000000002</v>
      </c>
      <c r="Z4356">
        <v>2.1042450000000001E-2</v>
      </c>
      <c r="AA4356">
        <v>0.94512470000000004</v>
      </c>
      <c r="AB4356">
        <v>32</v>
      </c>
      <c r="AC4356">
        <v>-8.4506999999999799</v>
      </c>
      <c r="AD4356">
        <v>-1.122891495398</v>
      </c>
      <c r="AE4356">
        <v>-15.648399999999899</v>
      </c>
      <c r="AF4356">
        <v>-5.9076604687207102</v>
      </c>
      <c r="AG4356">
        <v>-1.122891495398</v>
      </c>
      <c r="AH4356">
        <v>16.699686527435599</v>
      </c>
      <c r="AI4356">
        <v>93.627163221056506</v>
      </c>
      <c r="AJ4356">
        <v>109.481679551984</v>
      </c>
      <c r="AK4356">
        <v>17.749390627250701</v>
      </c>
      <c r="AL4356">
        <v>91.297209344372604</v>
      </c>
      <c r="AM4356">
        <v>111.16513240428</v>
      </c>
      <c r="AN4356">
        <v>1.0000000020581401</v>
      </c>
    </row>
    <row r="4357" spans="1:40" x14ac:dyDescent="0.25">
      <c r="A4357" t="str">
        <f>"20190305135916704"</f>
        <v>20190305135916704</v>
      </c>
      <c r="B4357" t="str">
        <f>"1551765556692906"</f>
        <v>1551765556692906</v>
      </c>
      <c r="C4357" t="s">
        <v>40</v>
      </c>
      <c r="D4357">
        <v>4.3671550000000003</v>
      </c>
      <c r="E4357">
        <v>0.50702170000000002</v>
      </c>
      <c r="F4357" t="s">
        <v>42</v>
      </c>
      <c r="G4357">
        <v>-417.88319999999999</v>
      </c>
      <c r="H4357" s="1">
        <v>-4.3089270000000001E-6</v>
      </c>
      <c r="I4357">
        <v>118.8017</v>
      </c>
      <c r="J4357">
        <v>-409.64490000000001</v>
      </c>
      <c r="K4357">
        <v>1.1227579999999999</v>
      </c>
      <c r="L4357">
        <v>134.66120000000001</v>
      </c>
      <c r="M4357">
        <v>-0.73091240000000002</v>
      </c>
      <c r="N4357">
        <v>-1.5839829999999999E-2</v>
      </c>
      <c r="O4357">
        <v>-0.68228750000000005</v>
      </c>
      <c r="P4357">
        <v>-0.43604039999999999</v>
      </c>
      <c r="Q4357">
        <v>-2.2882130000000001E-2</v>
      </c>
      <c r="R4357">
        <v>-0.899636199999999</v>
      </c>
      <c r="S4357">
        <v>-1.395416</v>
      </c>
      <c r="T4357">
        <v>-0.1852087</v>
      </c>
      <c r="U4357">
        <v>-2.6520839999999999</v>
      </c>
      <c r="V4357">
        <v>-0.35964049999999997</v>
      </c>
      <c r="W4357">
        <v>-1.9831419999999999E-2</v>
      </c>
      <c r="X4357">
        <v>0.93288020000000005</v>
      </c>
      <c r="Y4357">
        <v>-0.32905990000000002</v>
      </c>
      <c r="Z4357">
        <v>2.1718290000000001E-2</v>
      </c>
      <c r="AA4357">
        <v>0.94405930000000005</v>
      </c>
      <c r="AB4357">
        <v>32</v>
      </c>
      <c r="AC4357">
        <v>-8.2382999999999793</v>
      </c>
      <c r="AD4357">
        <v>-1.122762308927</v>
      </c>
      <c r="AE4357">
        <v>-15.859500000000001</v>
      </c>
      <c r="AF4357">
        <v>-5.9482881377834396</v>
      </c>
      <c r="AG4357">
        <v>-1.122762308927</v>
      </c>
      <c r="AH4357">
        <v>16.778106356665099</v>
      </c>
      <c r="AI4357">
        <v>93.608970761646205</v>
      </c>
      <c r="AJ4357">
        <v>109.52078013094599</v>
      </c>
      <c r="AK4357">
        <v>17.836691954732199</v>
      </c>
      <c r="AL4357">
        <v>91.136331135888298</v>
      </c>
      <c r="AM4357">
        <v>111.082462976023</v>
      </c>
      <c r="AN4357">
        <v>1.00000002100575</v>
      </c>
    </row>
    <row r="4358" spans="1:40" x14ac:dyDescent="0.25">
      <c r="A4358" t="str">
        <f>"20190305135916727"</f>
        <v>20190305135916727</v>
      </c>
      <c r="B4358" t="str">
        <f>"1551765556723162"</f>
        <v>1551765556723162</v>
      </c>
      <c r="C4358" t="s">
        <v>40</v>
      </c>
      <c r="D4358">
        <v>4.3572309999999996</v>
      </c>
      <c r="E4358">
        <v>0.50845929999999995</v>
      </c>
      <c r="F4358" t="s">
        <v>42</v>
      </c>
      <c r="G4358">
        <v>-418.26029999999997</v>
      </c>
      <c r="H4358" s="1">
        <v>-3.823281E-6</v>
      </c>
      <c r="I4358">
        <v>117.82559999999999</v>
      </c>
      <c r="J4358">
        <v>-409.86669999999998</v>
      </c>
      <c r="K4358">
        <v>1.1226100000000001</v>
      </c>
      <c r="L4358">
        <v>134.435</v>
      </c>
      <c r="M4358">
        <v>-0.720307699999999</v>
      </c>
      <c r="N4358">
        <v>-1.5805199999999998E-2</v>
      </c>
      <c r="O4358">
        <v>-0.69347460000000005</v>
      </c>
      <c r="P4358">
        <v>-0.42375069999999998</v>
      </c>
      <c r="Q4358">
        <v>-2.205874E-2</v>
      </c>
      <c r="R4358">
        <v>-0.90551040000000005</v>
      </c>
      <c r="S4358">
        <v>-1.3654790000000001</v>
      </c>
      <c r="T4358">
        <v>-0.177949</v>
      </c>
      <c r="U4358">
        <v>-2.668304</v>
      </c>
      <c r="V4358">
        <v>-0.3580103</v>
      </c>
      <c r="W4358">
        <v>-1.883524E-2</v>
      </c>
      <c r="X4358">
        <v>0.93352760000000001</v>
      </c>
      <c r="Y4358">
        <v>-0.32522960000000001</v>
      </c>
      <c r="Z4358">
        <v>2.112466E-2</v>
      </c>
      <c r="AA4358">
        <v>0.94539899999999999</v>
      </c>
      <c r="AB4358">
        <v>32</v>
      </c>
      <c r="AC4358">
        <v>-8.3935999999999904</v>
      </c>
      <c r="AD4358">
        <v>-1.1226138232809999</v>
      </c>
      <c r="AE4358">
        <v>-16.609400000000001</v>
      </c>
      <c r="AF4358">
        <v>-6.1216213825471302</v>
      </c>
      <c r="AG4358">
        <v>-1.1226138232809999</v>
      </c>
      <c r="AH4358">
        <v>17.502674340021699</v>
      </c>
      <c r="AI4358">
        <v>93.464647137455501</v>
      </c>
      <c r="AJ4358">
        <v>109.277462487333</v>
      </c>
      <c r="AK4358">
        <v>18.576278400162199</v>
      </c>
      <c r="AL4358">
        <v>91.079243620296793</v>
      </c>
      <c r="AM4358">
        <v>110.981950729761</v>
      </c>
      <c r="AN4358">
        <v>0.99999996056685303</v>
      </c>
    </row>
    <row r="4359" spans="1:40" x14ac:dyDescent="0.25">
      <c r="A4359" t="str">
        <f>"20190305135916750"</f>
        <v>20190305135916750</v>
      </c>
      <c r="B4359" t="str">
        <f>"1551765556743658"</f>
        <v>1551765556743658</v>
      </c>
      <c r="C4359" t="s">
        <v>40</v>
      </c>
      <c r="D4359">
        <v>4.0760160000000001</v>
      </c>
      <c r="E4359">
        <v>0.51634259999999998</v>
      </c>
      <c r="F4359" t="s">
        <v>42</v>
      </c>
      <c r="G4359">
        <v>-418.3229</v>
      </c>
      <c r="H4359" s="1">
        <v>-3.6751569999999999E-6</v>
      </c>
      <c r="I4359">
        <v>117.50620000000001</v>
      </c>
      <c r="J4359">
        <v>-410.08730000000003</v>
      </c>
      <c r="K4359">
        <v>1.122428</v>
      </c>
      <c r="L4359">
        <v>134.20320000000001</v>
      </c>
      <c r="M4359">
        <v>-0.70959879999999997</v>
      </c>
      <c r="N4359">
        <v>-1.5766289999999999E-2</v>
      </c>
      <c r="O4359">
        <v>-0.70442959999999999</v>
      </c>
      <c r="P4359">
        <v>-0.41110239999999998</v>
      </c>
      <c r="Q4359">
        <v>-2.3004719999999999E-2</v>
      </c>
      <c r="R4359">
        <v>-0.91129890000000002</v>
      </c>
      <c r="S4359">
        <v>-1.3395999999999999</v>
      </c>
      <c r="T4359">
        <v>-0.17784040000000001</v>
      </c>
      <c r="U4359">
        <v>-2.6817929999999999</v>
      </c>
      <c r="V4359">
        <v>-0.35666609999999999</v>
      </c>
      <c r="W4359">
        <v>-1.9604239999999998E-2</v>
      </c>
      <c r="X4359">
        <v>0.93402620000000003</v>
      </c>
      <c r="Y4359">
        <v>-0.31995559999999901</v>
      </c>
      <c r="Z4359">
        <v>2.1894469999999999E-2</v>
      </c>
      <c r="AA4359">
        <v>0.94717949999999995</v>
      </c>
      <c r="AB4359">
        <v>32</v>
      </c>
      <c r="AC4359">
        <v>-8.2355999999999696</v>
      </c>
      <c r="AD4359">
        <v>-1.122431675157</v>
      </c>
      <c r="AE4359">
        <v>-16.696999999999999</v>
      </c>
      <c r="AF4359">
        <v>-6.0256206203307201</v>
      </c>
      <c r="AG4359">
        <v>-1.122431675157</v>
      </c>
      <c r="AH4359">
        <v>17.544251998348201</v>
      </c>
      <c r="AI4359">
        <v>93.462624762708899</v>
      </c>
      <c r="AJ4359">
        <v>108.955172198195</v>
      </c>
      <c r="AK4359">
        <v>18.584098980232898</v>
      </c>
      <c r="AL4359">
        <v>91.1233121872705</v>
      </c>
      <c r="AM4359">
        <v>110.89979533214</v>
      </c>
      <c r="AN4359">
        <v>0.999999987700813</v>
      </c>
    </row>
    <row r="4360" spans="1:40" x14ac:dyDescent="0.25">
      <c r="A4360" t="str">
        <f>"20190305135916772"</f>
        <v>20190305135916772</v>
      </c>
      <c r="B4360" t="str">
        <f>"1551765556763178"</f>
        <v>1551765556763178</v>
      </c>
      <c r="C4360" t="s">
        <v>40</v>
      </c>
      <c r="D4360">
        <v>4.0842809999999998</v>
      </c>
      <c r="E4360">
        <v>0.51663979999999998</v>
      </c>
      <c r="F4360" t="s">
        <v>79</v>
      </c>
      <c r="G4360">
        <v>-416.34350000000001</v>
      </c>
      <c r="H4360" s="1">
        <v>-1.9859860000000002E-6</v>
      </c>
      <c r="I4360">
        <v>121.9491</v>
      </c>
      <c r="J4360">
        <v>-410.29570000000001</v>
      </c>
      <c r="K4360">
        <v>1.12222</v>
      </c>
      <c r="L4360">
        <v>133.9778</v>
      </c>
      <c r="M4360">
        <v>-0.69935789999999998</v>
      </c>
      <c r="N4360">
        <v>-1.5722159999999999E-2</v>
      </c>
      <c r="O4360">
        <v>-0.71459890000000004</v>
      </c>
      <c r="P4360">
        <v>-0.39811249999999998</v>
      </c>
      <c r="Q4360">
        <v>-2.3475719999999999E-2</v>
      </c>
      <c r="R4360">
        <v>-0.91703610000000002</v>
      </c>
      <c r="S4360">
        <v>-1.3635250000000001</v>
      </c>
      <c r="T4360">
        <v>-0.2446294</v>
      </c>
      <c r="U4360">
        <v>-2.6707459999999998</v>
      </c>
      <c r="V4360">
        <v>-0.35644110000000001</v>
      </c>
      <c r="W4360">
        <v>-1.9930509999999999E-2</v>
      </c>
      <c r="X4360">
        <v>0.93410519999999997</v>
      </c>
      <c r="Y4360">
        <v>-0.29808030000000002</v>
      </c>
      <c r="Z4360">
        <v>3.6582339999999998E-2</v>
      </c>
      <c r="AA4360">
        <v>0.95383949999999995</v>
      </c>
      <c r="AB4360">
        <v>32</v>
      </c>
      <c r="AC4360">
        <v>-6.0477999999999899</v>
      </c>
      <c r="AD4360">
        <v>-1.1222219859860001</v>
      </c>
      <c r="AE4360">
        <v>-12.028700000000001</v>
      </c>
      <c r="AF4360">
        <v>-4.06289246235914</v>
      </c>
      <c r="AG4360">
        <v>-1.1222219859860001</v>
      </c>
      <c r="AH4360">
        <v>12.738353796099499</v>
      </c>
      <c r="AI4360">
        <v>94.797710422413999</v>
      </c>
      <c r="AJ4360">
        <v>107.690060268251</v>
      </c>
      <c r="AK4360">
        <v>13.417605404136999</v>
      </c>
      <c r="AL4360">
        <v>91.142009716522296</v>
      </c>
      <c r="AM4360">
        <v>110.88613454625199</v>
      </c>
      <c r="AN4360">
        <v>1.0000000038325501</v>
      </c>
    </row>
    <row r="4361" spans="1:40" x14ac:dyDescent="0.25">
      <c r="A4361" t="str">
        <f>"20190305135916793"</f>
        <v>20190305135916793</v>
      </c>
      <c r="B4361" t="str">
        <f>"1551765556783674"</f>
        <v>1551765556783674</v>
      </c>
      <c r="C4361" t="s">
        <v>40</v>
      </c>
      <c r="D4361">
        <v>4.0830729999999997</v>
      </c>
      <c r="E4361">
        <v>0.51729349999999996</v>
      </c>
      <c r="F4361" t="s">
        <v>79</v>
      </c>
      <c r="G4361">
        <v>-416.14370000000002</v>
      </c>
      <c r="H4361" s="1">
        <v>-2.1343239999999999E-6</v>
      </c>
      <c r="I4361">
        <v>122.1387</v>
      </c>
      <c r="J4361">
        <v>-410.49419999999998</v>
      </c>
      <c r="K4361">
        <v>1.121991</v>
      </c>
      <c r="L4361">
        <v>133.75729999999999</v>
      </c>
      <c r="M4361">
        <v>-0.68953359999999997</v>
      </c>
      <c r="N4361">
        <v>-1.5673110000000001E-2</v>
      </c>
      <c r="O4361">
        <v>-0.72408409999999901</v>
      </c>
      <c r="P4361">
        <v>-0.38531090000000001</v>
      </c>
      <c r="Q4361">
        <v>-2.3896819999999999E-2</v>
      </c>
      <c r="R4361">
        <v>-0.9224772</v>
      </c>
      <c r="S4361">
        <v>-1.327942</v>
      </c>
      <c r="T4361">
        <v>-0.2548299</v>
      </c>
      <c r="U4361">
        <v>-2.6883849999999998</v>
      </c>
      <c r="V4361">
        <v>-0.35667339999999997</v>
      </c>
      <c r="W4361">
        <v>-2.0211369999999999E-2</v>
      </c>
      <c r="X4361">
        <v>0.93401049999999997</v>
      </c>
      <c r="Y4361">
        <v>-0.29772670000000001</v>
      </c>
      <c r="Z4361">
        <v>3.9498310000000002E-2</v>
      </c>
      <c r="AA4361">
        <v>0.95383370000000001</v>
      </c>
      <c r="AB4361">
        <v>32</v>
      </c>
      <c r="AC4361">
        <v>-5.6495000000000397</v>
      </c>
      <c r="AD4361">
        <v>-1.1219931343239999</v>
      </c>
      <c r="AE4361">
        <v>-11.618599999999899</v>
      </c>
      <c r="AF4361">
        <v>-3.8918303842243902</v>
      </c>
      <c r="AG4361">
        <v>-1.1219931343239999</v>
      </c>
      <c r="AH4361">
        <v>12.2177262880036</v>
      </c>
      <c r="AI4361">
        <v>95.0007122827259</v>
      </c>
      <c r="AJ4361">
        <v>107.668740272823</v>
      </c>
      <c r="AK4361">
        <v>12.8715985014145</v>
      </c>
      <c r="AL4361">
        <v>91.158105039725001</v>
      </c>
      <c r="AM4361">
        <v>110.900507116098</v>
      </c>
      <c r="AN4361">
        <v>1.00000001392754</v>
      </c>
    </row>
    <row r="4362" spans="1:40" x14ac:dyDescent="0.25">
      <c r="A4362" t="str">
        <f>"20190305135916815"</f>
        <v>20190305135916815</v>
      </c>
      <c r="B4362" t="str">
        <f>"1551765556812955"</f>
        <v>1551765556812955</v>
      </c>
      <c r="C4362" t="s">
        <v>40</v>
      </c>
      <c r="D4362">
        <v>4.1217879999999996</v>
      </c>
      <c r="E4362">
        <v>0.51914589999999905</v>
      </c>
      <c r="F4362" t="s">
        <v>79</v>
      </c>
      <c r="G4362">
        <v>-415.97500000000002</v>
      </c>
      <c r="H4362" s="1">
        <v>-2.2750100000000001E-6</v>
      </c>
      <c r="I4362">
        <v>122.32299999999999</v>
      </c>
      <c r="J4362">
        <v>-410.69880000000001</v>
      </c>
      <c r="K4362">
        <v>1.1217170000000001</v>
      </c>
      <c r="L4362">
        <v>133.5239</v>
      </c>
      <c r="M4362">
        <v>-0.679357199999999</v>
      </c>
      <c r="N4362">
        <v>-1.5615860000000001E-2</v>
      </c>
      <c r="O4362">
        <v>-0.73364149999999995</v>
      </c>
      <c r="P4362">
        <v>-0.37290489999999998</v>
      </c>
      <c r="Q4362">
        <v>-2.5990719999999998E-2</v>
      </c>
      <c r="R4362">
        <v>-0.92750540000000004</v>
      </c>
      <c r="S4362">
        <v>-1.2960510000000001</v>
      </c>
      <c r="T4362">
        <v>-0.26531850000000001</v>
      </c>
      <c r="U4362">
        <v>-2.7038730000000002</v>
      </c>
      <c r="V4362">
        <v>-0.35606929999999998</v>
      </c>
      <c r="W4362">
        <v>-2.210954E-2</v>
      </c>
      <c r="X4362">
        <v>0.93419799999999997</v>
      </c>
      <c r="Y4362">
        <v>-0.2957342</v>
      </c>
      <c r="Z4362">
        <v>4.2624809999999999E-2</v>
      </c>
      <c r="AA4362">
        <v>0.95431880000000002</v>
      </c>
      <c r="AB4362">
        <v>32</v>
      </c>
      <c r="AC4362">
        <v>-5.27620000000001</v>
      </c>
      <c r="AD4362">
        <v>-1.12171927501</v>
      </c>
      <c r="AE4362">
        <v>-11.200900000000001</v>
      </c>
      <c r="AF4362">
        <v>-3.7085892362108099</v>
      </c>
      <c r="AG4362">
        <v>-1.12171927501</v>
      </c>
      <c r="AH4362">
        <v>11.7072179447946</v>
      </c>
      <c r="AI4362">
        <v>95.218967220510905</v>
      </c>
      <c r="AJ4362">
        <v>107.577056823471</v>
      </c>
      <c r="AK4362">
        <v>12.331700623263201</v>
      </c>
      <c r="AL4362">
        <v>91.266886507456903</v>
      </c>
      <c r="AM4362">
        <v>110.864330830269</v>
      </c>
      <c r="AN4362">
        <v>1.0000000406827401</v>
      </c>
    </row>
    <row r="4363" spans="1:40" x14ac:dyDescent="0.25">
      <c r="A4363" t="str">
        <f>"20190305135916840"</f>
        <v>20190305135916840</v>
      </c>
      <c r="B4363" t="str">
        <f>"1551765556833450"</f>
        <v>1551765556833450</v>
      </c>
      <c r="C4363" t="s">
        <v>40</v>
      </c>
      <c r="D4363">
        <v>4.1298579999999996</v>
      </c>
      <c r="E4363">
        <v>0.52005389999999996</v>
      </c>
      <c r="F4363" t="s">
        <v>79</v>
      </c>
      <c r="G4363">
        <v>-415.88569999999999</v>
      </c>
      <c r="H4363" s="1">
        <v>-2.37521E-6</v>
      </c>
      <c r="I4363">
        <v>122.4611</v>
      </c>
      <c r="J4363">
        <v>-410.91030000000001</v>
      </c>
      <c r="K4363">
        <v>1.1214029999999999</v>
      </c>
      <c r="L4363">
        <v>133.27590000000001</v>
      </c>
      <c r="M4363">
        <v>-0.66883549999999903</v>
      </c>
      <c r="N4363">
        <v>-1.5549500000000001E-2</v>
      </c>
      <c r="O4363">
        <v>-0.74324789999999996</v>
      </c>
      <c r="P4363">
        <v>-0.36104249999999999</v>
      </c>
      <c r="Q4363">
        <v>-2.8673899999999999E-2</v>
      </c>
      <c r="R4363">
        <v>-0.93210839999999995</v>
      </c>
      <c r="S4363">
        <v>-1.2729490000000001</v>
      </c>
      <c r="T4363">
        <v>-0.27528509999999901</v>
      </c>
      <c r="U4363">
        <v>-2.7149510000000001</v>
      </c>
      <c r="V4363">
        <v>-0.35455920000000002</v>
      </c>
      <c r="W4363">
        <v>-2.453779E-2</v>
      </c>
      <c r="X4363">
        <v>0.93471159999999998</v>
      </c>
      <c r="Y4363">
        <v>-0.29034330000000003</v>
      </c>
      <c r="Z4363">
        <v>4.5863319999999999E-2</v>
      </c>
      <c r="AA4363">
        <v>0.95582279999999997</v>
      </c>
      <c r="AB4363">
        <v>32</v>
      </c>
      <c r="AC4363">
        <v>-4.9753999999999703</v>
      </c>
      <c r="AD4363">
        <v>-1.1214053752099999</v>
      </c>
      <c r="AE4363">
        <v>-10.8148</v>
      </c>
      <c r="AF4363">
        <v>-3.5046937255775301</v>
      </c>
      <c r="AG4363">
        <v>-1.1214053752099999</v>
      </c>
      <c r="AH4363">
        <v>11.267191848391301</v>
      </c>
      <c r="AI4363">
        <v>95.428908744656496</v>
      </c>
      <c r="AJ4363">
        <v>107.278462160063</v>
      </c>
      <c r="AK4363">
        <v>11.8528494580041</v>
      </c>
      <c r="AL4363">
        <v>91.406052854239704</v>
      </c>
      <c r="AM4363">
        <v>110.77297386384799</v>
      </c>
      <c r="AN4363">
        <v>1.0000000523086401</v>
      </c>
    </row>
    <row r="4364" spans="1:40" x14ac:dyDescent="0.25">
      <c r="A4364" t="str">
        <f>"20190305135916860"</f>
        <v>20190305135916860</v>
      </c>
      <c r="B4364" t="str">
        <f>"1551765556852970"</f>
        <v>1551765556852970</v>
      </c>
      <c r="C4364" t="s">
        <v>40</v>
      </c>
      <c r="D4364">
        <v>4.1581910000000004</v>
      </c>
      <c r="E4364">
        <v>0.52079540000000002</v>
      </c>
      <c r="F4364" t="s">
        <v>79</v>
      </c>
      <c r="G4364">
        <v>-415.77449999999999</v>
      </c>
      <c r="H4364" s="1">
        <v>-2.4946249999999999E-6</v>
      </c>
      <c r="I4364">
        <v>122.6246</v>
      </c>
      <c r="J4364">
        <v>-411.10250000000002</v>
      </c>
      <c r="K4364">
        <v>1.1210960000000001</v>
      </c>
      <c r="L4364">
        <v>133.04429999999999</v>
      </c>
      <c r="M4364">
        <v>-0.65929589999999905</v>
      </c>
      <c r="N4364">
        <v>-1.548385E-2</v>
      </c>
      <c r="O4364">
        <v>-0.75172419999999995</v>
      </c>
      <c r="P4364">
        <v>-0.35004859999999999</v>
      </c>
      <c r="Q4364">
        <v>-3.0459750000000001E-2</v>
      </c>
      <c r="R4364">
        <v>-0.93623610000000002</v>
      </c>
      <c r="S4364">
        <v>-1.2454829999999999</v>
      </c>
      <c r="T4364">
        <v>-0.28713620000000001</v>
      </c>
      <c r="U4364">
        <v>-2.7272639999999999</v>
      </c>
      <c r="V4364">
        <v>-0.35355829999999999</v>
      </c>
      <c r="W4364">
        <v>-2.609005E-2</v>
      </c>
      <c r="X4364">
        <v>0.93504860000000001</v>
      </c>
      <c r="Y4364">
        <v>-0.28779939999999998</v>
      </c>
      <c r="Z4364">
        <v>4.938095E-2</v>
      </c>
      <c r="AA4364">
        <v>0.95641679999999996</v>
      </c>
      <c r="AB4364">
        <v>32</v>
      </c>
      <c r="AC4364">
        <v>-4.6719999999999597</v>
      </c>
      <c r="AD4364">
        <v>-1.12109849462499</v>
      </c>
      <c r="AE4364">
        <v>-10.419699999999899</v>
      </c>
      <c r="AF4364">
        <v>-3.3259546060471301</v>
      </c>
      <c r="AG4364">
        <v>-1.12109849462499</v>
      </c>
      <c r="AH4364">
        <v>10.8100840114045</v>
      </c>
      <c r="AI4364">
        <v>95.660841727267595</v>
      </c>
      <c r="AJ4364">
        <v>107.101639118777</v>
      </c>
      <c r="AK4364">
        <v>11.365595110233301</v>
      </c>
      <c r="AL4364">
        <v>91.495019357823395</v>
      </c>
      <c r="AM4364">
        <v>110.71248576167601</v>
      </c>
      <c r="AN4364">
        <v>1.00000002328492</v>
      </c>
    </row>
    <row r="4365" spans="1:40" x14ac:dyDescent="0.25">
      <c r="A4365" t="str">
        <f>"20190305135916883"</f>
        <v>20190305135916883</v>
      </c>
      <c r="B4365" t="str">
        <f>"1551765556873466"</f>
        <v>1551765556873466</v>
      </c>
      <c r="C4365" t="s">
        <v>40</v>
      </c>
      <c r="D4365">
        <v>4.038195</v>
      </c>
      <c r="E4365">
        <v>0.53268689999999996</v>
      </c>
      <c r="F4365" t="s">
        <v>79</v>
      </c>
      <c r="G4365">
        <v>-415.7167</v>
      </c>
      <c r="H4365" s="1">
        <v>-2.5348919999999999E-6</v>
      </c>
      <c r="I4365">
        <v>122.67529999999999</v>
      </c>
      <c r="J4365">
        <v>-411.29430000000002</v>
      </c>
      <c r="K4365">
        <v>1.1207959999999999</v>
      </c>
      <c r="L4365">
        <v>132.8075</v>
      </c>
      <c r="M4365">
        <v>-0.64978150000000001</v>
      </c>
      <c r="N4365">
        <v>-1.541735E-2</v>
      </c>
      <c r="O4365">
        <v>-0.7599648</v>
      </c>
      <c r="P4365">
        <v>-0.33828150000000001</v>
      </c>
      <c r="Q4365">
        <v>-3.072859E-2</v>
      </c>
      <c r="R4365">
        <v>-0.94054320000000002</v>
      </c>
      <c r="S4365">
        <v>-1.218842</v>
      </c>
      <c r="T4365">
        <v>-0.29613800000000001</v>
      </c>
      <c r="U4365">
        <v>-2.7389679999999998</v>
      </c>
      <c r="V4365">
        <v>-0.35351660000000001</v>
      </c>
      <c r="W4365">
        <v>-2.616423E-2</v>
      </c>
      <c r="X4365">
        <v>0.93506230000000001</v>
      </c>
      <c r="Y4365">
        <v>-0.28509220000000002</v>
      </c>
      <c r="Z4365">
        <v>5.2338410000000002E-2</v>
      </c>
      <c r="AA4365">
        <v>0.95707010000000003</v>
      </c>
      <c r="AB4365">
        <v>32</v>
      </c>
      <c r="AC4365">
        <v>-4.4223999999999801</v>
      </c>
      <c r="AD4365">
        <v>-1.120798534892</v>
      </c>
      <c r="AE4365">
        <v>-10.132199999999999</v>
      </c>
      <c r="AF4365">
        <v>-3.1904386832344498</v>
      </c>
      <c r="AG4365">
        <v>-1.120798534892</v>
      </c>
      <c r="AH4365">
        <v>10.467379367255701</v>
      </c>
      <c r="AI4365">
        <v>95.848033045828899</v>
      </c>
      <c r="AJ4365">
        <v>106.95112851343001</v>
      </c>
      <c r="AK4365">
        <v>11.0000508710344</v>
      </c>
      <c r="AL4365">
        <v>91.499271001257995</v>
      </c>
      <c r="AM4365">
        <v>110.709972469891</v>
      </c>
      <c r="AN4365">
        <v>1.00000002914417</v>
      </c>
    </row>
    <row r="4366" spans="1:40" x14ac:dyDescent="0.25">
      <c r="A4366" t="str">
        <f>"20190305135916906"</f>
        <v>20190305135916906</v>
      </c>
      <c r="B4366" t="str">
        <f>"1551765556903723"</f>
        <v>1551765556903723</v>
      </c>
      <c r="C4366" t="s">
        <v>40</v>
      </c>
      <c r="D4366">
        <v>4.1120369999999999</v>
      </c>
      <c r="E4366">
        <v>0.53287669999999998</v>
      </c>
      <c r="F4366" t="s">
        <v>79</v>
      </c>
      <c r="G4366">
        <v>-416.64699999999999</v>
      </c>
      <c r="H4366" s="1">
        <v>-1.56434599999999E-6</v>
      </c>
      <c r="I4366">
        <v>121.3522</v>
      </c>
      <c r="J4366">
        <v>-411.48820000000001</v>
      </c>
      <c r="K4366">
        <v>1.1205000000000001</v>
      </c>
      <c r="L4366">
        <v>132.5624</v>
      </c>
      <c r="M4366">
        <v>-0.64019309999999996</v>
      </c>
      <c r="N4366">
        <v>-1.53519E-2</v>
      </c>
      <c r="O4366">
        <v>-0.76806079999999999</v>
      </c>
      <c r="P4366">
        <v>-0.32657940000000002</v>
      </c>
      <c r="Q4366">
        <v>-3.1422449999999998E-2</v>
      </c>
      <c r="R4366">
        <v>-0.94464769999999998</v>
      </c>
      <c r="S4366">
        <v>-1.272491</v>
      </c>
      <c r="T4366">
        <v>-0.2664473</v>
      </c>
      <c r="U4366">
        <v>-2.7232820000000002</v>
      </c>
      <c r="V4366">
        <v>-0.35337279999999999</v>
      </c>
      <c r="W4366">
        <v>-2.665764E-2</v>
      </c>
      <c r="X4366">
        <v>0.93510269999999995</v>
      </c>
      <c r="Y4366">
        <v>-0.25523590000000002</v>
      </c>
      <c r="Z4366">
        <v>4.7493569999999999E-2</v>
      </c>
      <c r="AA4366">
        <v>0.96571169999999995</v>
      </c>
      <c r="AB4366">
        <v>31</v>
      </c>
      <c r="AC4366">
        <v>-5.1587999999999798</v>
      </c>
      <c r="AD4366">
        <v>-1.1205015643459999</v>
      </c>
      <c r="AE4366">
        <v>-11.2102</v>
      </c>
      <c r="AF4366">
        <v>-3.18851060352879</v>
      </c>
      <c r="AG4366">
        <v>-1.1205015643459999</v>
      </c>
      <c r="AH4366">
        <v>11.816719959498</v>
      </c>
      <c r="AI4366">
        <v>95.230800240964697</v>
      </c>
      <c r="AJ4366">
        <v>105.100519126577</v>
      </c>
      <c r="AK4366">
        <v>12.2905245708113</v>
      </c>
      <c r="AL4366">
        <v>91.527551201608702</v>
      </c>
      <c r="AM4366">
        <v>110.701444115738</v>
      </c>
      <c r="AN4366">
        <v>1.00000001254874</v>
      </c>
    </row>
    <row r="4367" spans="1:40" x14ac:dyDescent="0.25">
      <c r="A4367" t="str">
        <f>"20190305135916929"</f>
        <v>20190305135916929</v>
      </c>
      <c r="B4367" t="str">
        <f>"1551765556923246"</f>
        <v>1551765556923246</v>
      </c>
      <c r="C4367" t="s">
        <v>40</v>
      </c>
      <c r="D4367">
        <v>4.0503790000000004</v>
      </c>
      <c r="E4367">
        <v>0.53310080000000004</v>
      </c>
      <c r="F4367" t="s">
        <v>79</v>
      </c>
      <c r="G4367">
        <v>-416.459</v>
      </c>
      <c r="H4367" s="1">
        <v>-1.746005E-6</v>
      </c>
      <c r="I4367">
        <v>121.5968</v>
      </c>
      <c r="J4367">
        <v>-411.6866</v>
      </c>
      <c r="K4367">
        <v>1.1201829999999999</v>
      </c>
      <c r="L4367">
        <v>132.30500000000001</v>
      </c>
      <c r="M4367">
        <v>-0.63042229999999999</v>
      </c>
      <c r="N4367">
        <v>-1.528268E-2</v>
      </c>
      <c r="O4367">
        <v>-0.77610190000000001</v>
      </c>
      <c r="P4367">
        <v>-0.31463239999999998</v>
      </c>
      <c r="Q4367">
        <v>-3.205699E-2</v>
      </c>
      <c r="R4367">
        <v>-0.94867190000000001</v>
      </c>
      <c r="S4367">
        <v>-1.240936</v>
      </c>
      <c r="T4367">
        <v>-0.27972760000000002</v>
      </c>
      <c r="U4367">
        <v>-2.7375029999999998</v>
      </c>
      <c r="V4367">
        <v>-0.35332819999999998</v>
      </c>
      <c r="W4367">
        <v>-2.708487E-2</v>
      </c>
      <c r="X4367">
        <v>0.93510729999999997</v>
      </c>
      <c r="Y4367">
        <v>-0.2542024</v>
      </c>
      <c r="Z4367">
        <v>5.1353950000000002E-2</v>
      </c>
      <c r="AA4367">
        <v>0.9657867</v>
      </c>
      <c r="AB4367">
        <v>31</v>
      </c>
      <c r="AC4367">
        <v>-4.7724000000000002</v>
      </c>
      <c r="AD4367">
        <v>-1.1201847460049901</v>
      </c>
      <c r="AE4367">
        <v>-10.7082</v>
      </c>
      <c r="AF4367">
        <v>-3.01960679554736</v>
      </c>
      <c r="AG4367">
        <v>-1.1201847460049901</v>
      </c>
      <c r="AH4367">
        <v>11.2181839470328</v>
      </c>
      <c r="AI4367">
        <v>95.507570837584893</v>
      </c>
      <c r="AJ4367">
        <v>105.06528077115399</v>
      </c>
      <c r="AK4367">
        <v>11.6713533977154</v>
      </c>
      <c r="AL4367">
        <v>91.552038485123305</v>
      </c>
      <c r="AM4367">
        <v>110.698959632902</v>
      </c>
      <c r="AN4367">
        <v>1.0000000348057201</v>
      </c>
    </row>
    <row r="4368" spans="1:40" x14ac:dyDescent="0.25">
      <c r="A4368" t="str">
        <f>"20190305135916952"</f>
        <v>20190305135916952</v>
      </c>
      <c r="B4368" t="str">
        <f>"1551765556943738"</f>
        <v>1551765556943738</v>
      </c>
      <c r="C4368" t="s">
        <v>40</v>
      </c>
      <c r="D4368">
        <v>4.0984790000000002</v>
      </c>
      <c r="E4368">
        <v>0.53355259999999904</v>
      </c>
      <c r="F4368" t="s">
        <v>79</v>
      </c>
      <c r="G4368">
        <v>-416.38319999999999</v>
      </c>
      <c r="H4368" s="1">
        <v>-1.764416E-6</v>
      </c>
      <c r="I4368">
        <v>121.6092</v>
      </c>
      <c r="J4368">
        <v>-411.87169999999998</v>
      </c>
      <c r="K4368">
        <v>1.11988</v>
      </c>
      <c r="L4368">
        <v>132.05950000000001</v>
      </c>
      <c r="M4368">
        <v>-0.62138709999999997</v>
      </c>
      <c r="N4368">
        <v>-1.5214719999999999E-2</v>
      </c>
      <c r="O4368">
        <v>-0.78335619999999995</v>
      </c>
      <c r="P4368">
        <v>-0.30380059999999998</v>
      </c>
      <c r="Q4368">
        <v>-3.3111300000000003E-2</v>
      </c>
      <c r="R4368">
        <v>-0.95216040000000002</v>
      </c>
      <c r="S4368">
        <v>-1.2083440000000001</v>
      </c>
      <c r="T4368">
        <v>-0.28820170000000001</v>
      </c>
      <c r="U4368">
        <v>-2.7518310000000001</v>
      </c>
      <c r="V4368">
        <v>-0.35311799999999999</v>
      </c>
      <c r="W4368">
        <v>-2.792948E-2</v>
      </c>
      <c r="X4368">
        <v>0.93516180000000004</v>
      </c>
      <c r="Y4368">
        <v>-0.25449300000000002</v>
      </c>
      <c r="Z4368">
        <v>5.4056630000000001E-2</v>
      </c>
      <c r="AA4368">
        <v>0.96556260000000005</v>
      </c>
      <c r="AB4368">
        <v>31</v>
      </c>
      <c r="AC4368">
        <v>-4.5115000000000096</v>
      </c>
      <c r="AD4368">
        <v>-1.119881764416</v>
      </c>
      <c r="AE4368">
        <v>-10.4503</v>
      </c>
      <c r="AF4368">
        <v>-2.9315355946325701</v>
      </c>
      <c r="AG4368">
        <v>-1.119881764416</v>
      </c>
      <c r="AH4368">
        <v>10.8855953393911</v>
      </c>
      <c r="AI4368">
        <v>95.673048391902796</v>
      </c>
      <c r="AJ4368">
        <v>105.072406345696</v>
      </c>
      <c r="AK4368">
        <v>11.328910892130899</v>
      </c>
      <c r="AL4368">
        <v>91.600449471375399</v>
      </c>
      <c r="AM4368">
        <v>110.686584924992</v>
      </c>
      <c r="AN4368">
        <v>0.99999998497815501</v>
      </c>
    </row>
    <row r="4369" spans="1:40" x14ac:dyDescent="0.25">
      <c r="A4369" t="str">
        <f>"20190305135916973"</f>
        <v>20190305135916973</v>
      </c>
      <c r="B4369" t="str">
        <f>"1551765556963258"</f>
        <v>1551765556963258</v>
      </c>
      <c r="C4369" t="s">
        <v>40</v>
      </c>
      <c r="D4369">
        <v>4.1187329999999998</v>
      </c>
      <c r="E4369">
        <v>0.53401609999999999</v>
      </c>
      <c r="F4369" t="s">
        <v>79</v>
      </c>
      <c r="G4369">
        <v>-416.32319999999999</v>
      </c>
      <c r="H4369" s="1">
        <v>-1.7931119999999999E-6</v>
      </c>
      <c r="I4369">
        <v>121.6412</v>
      </c>
      <c r="J4369">
        <v>-412.05009999999999</v>
      </c>
      <c r="K4369">
        <v>1.119575</v>
      </c>
      <c r="L4369">
        <v>131.8175</v>
      </c>
      <c r="M4369">
        <v>-0.61276039999999998</v>
      </c>
      <c r="N4369">
        <v>-1.514682E-2</v>
      </c>
      <c r="O4369">
        <v>-0.79012369999999899</v>
      </c>
      <c r="P4369">
        <v>-0.29348089999999999</v>
      </c>
      <c r="Q4369">
        <v>-3.3413289999999998E-2</v>
      </c>
      <c r="R4369">
        <v>-0.95538089999999998</v>
      </c>
      <c r="S4369">
        <v>-1.180847</v>
      </c>
      <c r="T4369">
        <v>-0.2970719</v>
      </c>
      <c r="U4369">
        <v>-2.7636720000000001</v>
      </c>
      <c r="V4369">
        <v>-0.35298780000000002</v>
      </c>
      <c r="W4369">
        <v>-2.8016570000000001E-2</v>
      </c>
      <c r="X4369">
        <v>0.93520840000000005</v>
      </c>
      <c r="Y4369">
        <v>-0.25357109999999999</v>
      </c>
      <c r="Z4369">
        <v>5.6893239999999998E-2</v>
      </c>
      <c r="AA4369">
        <v>0.96564220000000001</v>
      </c>
      <c r="AB4369">
        <v>31</v>
      </c>
      <c r="AC4369">
        <v>-4.2731000000000003</v>
      </c>
      <c r="AD4369">
        <v>-1.119576793112</v>
      </c>
      <c r="AE4369">
        <v>-10.1762999999999</v>
      </c>
      <c r="AF4369">
        <v>-2.8305583252181101</v>
      </c>
      <c r="AG4369">
        <v>-1.119576793112</v>
      </c>
      <c r="AH4369">
        <v>10.5515718842993</v>
      </c>
      <c r="AI4369">
        <v>95.851347874908996</v>
      </c>
      <c r="AJ4369">
        <v>105.01658160491</v>
      </c>
      <c r="AK4369">
        <v>10.9818569403208</v>
      </c>
      <c r="AL4369">
        <v>91.605441236728595</v>
      </c>
      <c r="AM4369">
        <v>110.678659681176</v>
      </c>
      <c r="AN4369">
        <v>1.0000000332869801</v>
      </c>
    </row>
    <row r="4370" spans="1:40" x14ac:dyDescent="0.25">
      <c r="A4370" t="str">
        <f>"20190305135916995"</f>
        <v>20190305135916995</v>
      </c>
      <c r="B4370" t="str">
        <f>"1551765556983754"</f>
        <v>1551765556983754</v>
      </c>
      <c r="C4370" t="s">
        <v>40</v>
      </c>
      <c r="D4370">
        <v>4.0839639999999999</v>
      </c>
      <c r="E4370">
        <v>0.53333319999999995</v>
      </c>
      <c r="F4370" t="s">
        <v>79</v>
      </c>
      <c r="G4370">
        <v>-416.31509999999997</v>
      </c>
      <c r="H4370" s="1">
        <v>-1.7475739999999999E-6</v>
      </c>
      <c r="I4370">
        <v>121.5677</v>
      </c>
      <c r="J4370">
        <v>-412.22370000000001</v>
      </c>
      <c r="K4370">
        <v>1.1192610000000001</v>
      </c>
      <c r="L4370">
        <v>131.577</v>
      </c>
      <c r="M4370">
        <v>-0.60445389999999999</v>
      </c>
      <c r="N4370">
        <v>-1.507968E-2</v>
      </c>
      <c r="O4370">
        <v>-0.79649769999999998</v>
      </c>
      <c r="P4370">
        <v>-0.28466039999999998</v>
      </c>
      <c r="Q4370">
        <v>-3.3171579999999999E-2</v>
      </c>
      <c r="R4370">
        <v>-0.95805479999999998</v>
      </c>
      <c r="S4370">
        <v>-1.154633</v>
      </c>
      <c r="T4370">
        <v>-0.30309249999999999</v>
      </c>
      <c r="U4370">
        <v>-2.7748110000000001</v>
      </c>
      <c r="V4370">
        <v>-0.35184850000000001</v>
      </c>
      <c r="W4370">
        <v>-2.752479E-2</v>
      </c>
      <c r="X4370">
        <v>0.93565220000000004</v>
      </c>
      <c r="Y4370">
        <v>-0.25264330000000002</v>
      </c>
      <c r="Z4370">
        <v>5.9059250000000001E-2</v>
      </c>
      <c r="AA4370">
        <v>0.96575529999999998</v>
      </c>
      <c r="AB4370">
        <v>31</v>
      </c>
      <c r="AC4370">
        <v>-4.0913999999999602</v>
      </c>
      <c r="AD4370">
        <v>-1.119262747574</v>
      </c>
      <c r="AE4370">
        <v>-10.0092999999999</v>
      </c>
      <c r="AF4370">
        <v>-2.7620932110407899</v>
      </c>
      <c r="AG4370">
        <v>-1.119262747574</v>
      </c>
      <c r="AH4370">
        <v>10.335892890627401</v>
      </c>
      <c r="AI4370">
        <v>95.972431043911399</v>
      </c>
      <c r="AJ4370">
        <v>104.96171515631301</v>
      </c>
      <c r="AK4370">
        <v>10.7569786581134</v>
      </c>
      <c r="AL4370">
        <v>91.577253483912898</v>
      </c>
      <c r="AM4370">
        <v>110.60858221618</v>
      </c>
      <c r="AN4370">
        <v>1.00000001019081</v>
      </c>
    </row>
    <row r="4371" spans="1:40" x14ac:dyDescent="0.25">
      <c r="A4371" t="str">
        <f>"20190305135917017"</f>
        <v>20190305135917017</v>
      </c>
      <c r="B4371" t="str">
        <f>"1551765557013034"</f>
        <v>1551765557013034</v>
      </c>
      <c r="C4371" t="s">
        <v>40</v>
      </c>
      <c r="D4371">
        <v>4.0540059999999896</v>
      </c>
      <c r="E4371">
        <v>0.525420199999999</v>
      </c>
      <c r="F4371" t="s">
        <v>79</v>
      </c>
      <c r="G4371">
        <v>-416.41980000000001</v>
      </c>
      <c r="H4371" s="1">
        <v>-1.5349959999999901E-6</v>
      </c>
      <c r="I4371">
        <v>121.1705</v>
      </c>
      <c r="J4371">
        <v>-412.4033</v>
      </c>
      <c r="K4371">
        <v>1.1189340000000001</v>
      </c>
      <c r="L4371">
        <v>131.32310000000001</v>
      </c>
      <c r="M4371">
        <v>-0.59594829999999999</v>
      </c>
      <c r="N4371">
        <v>-1.501095E-2</v>
      </c>
      <c r="O4371">
        <v>-0.8028826</v>
      </c>
      <c r="P4371">
        <v>-0.27600200000000003</v>
      </c>
      <c r="Q4371">
        <v>-3.3517539999999998E-2</v>
      </c>
      <c r="R4371">
        <v>-0.96057239999999999</v>
      </c>
      <c r="S4371">
        <v>-1.12381</v>
      </c>
      <c r="T4371">
        <v>-0.29975879999999999</v>
      </c>
      <c r="U4371">
        <v>-2.787048</v>
      </c>
      <c r="V4371">
        <v>-0.35034779999999999</v>
      </c>
      <c r="W4371">
        <v>-2.7603200000000001E-2</v>
      </c>
      <c r="X4371">
        <v>0.93621279999999996</v>
      </c>
      <c r="Y4371">
        <v>-0.25300339999999999</v>
      </c>
      <c r="Z4371">
        <v>5.8988409999999998E-2</v>
      </c>
      <c r="AA4371">
        <v>0.96566540000000001</v>
      </c>
      <c r="AB4371">
        <v>31</v>
      </c>
      <c r="AC4371">
        <v>-4.0164999999999997</v>
      </c>
      <c r="AD4371">
        <v>-1.118935534996</v>
      </c>
      <c r="AE4371">
        <v>-10.1526</v>
      </c>
      <c r="AF4371">
        <v>-2.7965927662193302</v>
      </c>
      <c r="AG4371">
        <v>-1.118935534996</v>
      </c>
      <c r="AH4371">
        <v>10.4365462835709</v>
      </c>
      <c r="AI4371">
        <v>95.912456486447894</v>
      </c>
      <c r="AJ4371">
        <v>105.00065879912</v>
      </c>
      <c r="AK4371">
        <v>10.8625248520159</v>
      </c>
      <c r="AL4371">
        <v>91.581747829428906</v>
      </c>
      <c r="AM4371">
        <v>110.51676012199199</v>
      </c>
      <c r="AN4371">
        <v>0.99999996224945897</v>
      </c>
    </row>
    <row r="4372" spans="1:40" x14ac:dyDescent="0.25">
      <c r="A4372" t="str">
        <f>"20190305135917042"</f>
        <v>20190305135917042</v>
      </c>
      <c r="B4372" t="str">
        <f>"1551765557033531"</f>
        <v>1551765557033531</v>
      </c>
      <c r="C4372" t="s">
        <v>40</v>
      </c>
      <c r="D4372">
        <v>4.0006309999999896</v>
      </c>
      <c r="E4372">
        <v>0.52750869999999905</v>
      </c>
      <c r="F4372" t="s">
        <v>79</v>
      </c>
      <c r="G4372">
        <v>-416.35509999999999</v>
      </c>
      <c r="H4372" s="1">
        <v>-1.333393E-6</v>
      </c>
      <c r="I4372">
        <v>120.5977</v>
      </c>
      <c r="J4372">
        <v>-412.59530000000001</v>
      </c>
      <c r="K4372">
        <v>1.118601</v>
      </c>
      <c r="L4372">
        <v>131.0453</v>
      </c>
      <c r="M4372">
        <v>-0.58695759999999997</v>
      </c>
      <c r="N4372">
        <v>-1.49394E-2</v>
      </c>
      <c r="O4372">
        <v>-0.80947979999999997</v>
      </c>
      <c r="P4372">
        <v>-0.2676404</v>
      </c>
      <c r="Q4372">
        <v>-3.457884E-2</v>
      </c>
      <c r="R4372">
        <v>-0.96289829999999998</v>
      </c>
      <c r="S4372">
        <v>-1.0371699999999999</v>
      </c>
      <c r="T4372">
        <v>-0.2936646</v>
      </c>
      <c r="U4372">
        <v>-2.8148960000000001</v>
      </c>
      <c r="V4372">
        <v>-0.34802230000000001</v>
      </c>
      <c r="W4372">
        <v>-2.8374380000000001E-2</v>
      </c>
      <c r="X4372">
        <v>0.93705680000000002</v>
      </c>
      <c r="Y4372">
        <v>-0.27133049999999997</v>
      </c>
      <c r="Z4372">
        <v>5.7751709999999998E-2</v>
      </c>
      <c r="AA4372">
        <v>0.9607521</v>
      </c>
      <c r="AB4372">
        <v>31</v>
      </c>
      <c r="AC4372">
        <v>-3.7597999999999798</v>
      </c>
      <c r="AD4372">
        <v>-1.118602333393</v>
      </c>
      <c r="AE4372">
        <v>-10.4475999999999</v>
      </c>
      <c r="AF4372">
        <v>-3.0581235719482001</v>
      </c>
      <c r="AG4372">
        <v>-1.118602333393</v>
      </c>
      <c r="AH4372">
        <v>10.5580002148128</v>
      </c>
      <c r="AI4372">
        <v>95.810722580807493</v>
      </c>
      <c r="AJ4372">
        <v>106.153653471665</v>
      </c>
      <c r="AK4372">
        <v>11.0487447023435</v>
      </c>
      <c r="AL4372">
        <v>91.625950387518699</v>
      </c>
      <c r="AM4372">
        <v>110.374964641812</v>
      </c>
      <c r="AN4372">
        <v>1.0000000365819499</v>
      </c>
    </row>
    <row r="4373" spans="1:40" x14ac:dyDescent="0.25">
      <c r="A4373" t="str">
        <f>"20190305135917062"</f>
        <v>20190305135917062</v>
      </c>
      <c r="B4373" t="str">
        <f>"1551765557053051"</f>
        <v>1551765557053051</v>
      </c>
      <c r="C4373" t="s">
        <v>40</v>
      </c>
      <c r="D4373">
        <v>4.0467399999999998</v>
      </c>
      <c r="E4373">
        <v>0.52934809999999999</v>
      </c>
      <c r="F4373" t="s">
        <v>79</v>
      </c>
      <c r="G4373">
        <v>-416.53949999999998</v>
      </c>
      <c r="H4373" s="1">
        <v>-1.144468E-6</v>
      </c>
      <c r="I4373">
        <v>120.23139999999999</v>
      </c>
      <c r="J4373">
        <v>-412.75729999999999</v>
      </c>
      <c r="K4373">
        <v>1.11835</v>
      </c>
      <c r="L4373">
        <v>130.80609999999999</v>
      </c>
      <c r="M4373">
        <v>-0.57941909999999996</v>
      </c>
      <c r="N4373">
        <v>-1.488213E-2</v>
      </c>
      <c r="O4373">
        <v>-0.81489409999999995</v>
      </c>
      <c r="P4373">
        <v>-0.26108969999999998</v>
      </c>
      <c r="Q4373">
        <v>-3.54813E-2</v>
      </c>
      <c r="R4373">
        <v>-0.96466260000000004</v>
      </c>
      <c r="S4373">
        <v>-1.0282899999999999</v>
      </c>
      <c r="T4373">
        <v>-0.2916301</v>
      </c>
      <c r="U4373">
        <v>-2.8192750000000002</v>
      </c>
      <c r="V4373">
        <v>-0.34567229999999999</v>
      </c>
      <c r="W4373">
        <v>-2.904259E-2</v>
      </c>
      <c r="X4373">
        <v>0.93790569999999895</v>
      </c>
      <c r="Y4373">
        <v>-0.26555820000000002</v>
      </c>
      <c r="Z4373">
        <v>5.8045760000000002E-2</v>
      </c>
      <c r="AA4373">
        <v>0.96234580000000003</v>
      </c>
      <c r="AB4373">
        <v>31</v>
      </c>
      <c r="AC4373">
        <v>-3.78219999999998</v>
      </c>
      <c r="AD4373">
        <v>-1.1183511444680001</v>
      </c>
      <c r="AE4373">
        <v>-10.574699999999901</v>
      </c>
      <c r="AF4373">
        <v>-3.0155251909520802</v>
      </c>
      <c r="AG4373">
        <v>-1.1183511444680001</v>
      </c>
      <c r="AH4373">
        <v>10.7037949680072</v>
      </c>
      <c r="AI4373">
        <v>95.742755857680194</v>
      </c>
      <c r="AJ4373">
        <v>105.733848045624</v>
      </c>
      <c r="AK4373">
        <v>11.1765526069864</v>
      </c>
      <c r="AL4373">
        <v>91.664251919701101</v>
      </c>
      <c r="AM4373">
        <v>110.23174910791001</v>
      </c>
      <c r="AN4373">
        <v>0.99999995655684204</v>
      </c>
    </row>
    <row r="4374" spans="1:40" x14ac:dyDescent="0.25">
      <c r="A4374" t="str">
        <f>"20190305135917085"</f>
        <v>20190305135917085</v>
      </c>
      <c r="B4374" t="str">
        <f>"1551765557073547"</f>
        <v>1551765557073547</v>
      </c>
      <c r="C4374" t="s">
        <v>40</v>
      </c>
      <c r="D4374">
        <v>4.0115040000000004</v>
      </c>
      <c r="E4374">
        <v>0.53017550000000002</v>
      </c>
      <c r="F4374" t="s">
        <v>79</v>
      </c>
      <c r="G4374">
        <v>-416.62400000000002</v>
      </c>
      <c r="H4374" s="1">
        <v>-1.089282E-6</v>
      </c>
      <c r="I4374">
        <v>120.14579999999999</v>
      </c>
      <c r="J4374">
        <v>-412.92630000000003</v>
      </c>
      <c r="K4374">
        <v>1.1181289999999999</v>
      </c>
      <c r="L4374">
        <v>130.55160000000001</v>
      </c>
      <c r="M4374">
        <v>-0.57156530000000005</v>
      </c>
      <c r="N4374">
        <v>-1.482638E-2</v>
      </c>
      <c r="O4374">
        <v>-0.8204226</v>
      </c>
      <c r="P4374">
        <v>-0.25407089999999999</v>
      </c>
      <c r="Q4374">
        <v>-3.6302870000000001E-2</v>
      </c>
      <c r="R4374">
        <v>-0.96650400000000003</v>
      </c>
      <c r="S4374">
        <v>-1.02359</v>
      </c>
      <c r="T4374">
        <v>-0.29604829999999999</v>
      </c>
      <c r="U4374">
        <v>-2.8219759999999998</v>
      </c>
      <c r="V4374">
        <v>-0.34346209999999899</v>
      </c>
      <c r="W4374">
        <v>-2.9657590000000001E-2</v>
      </c>
      <c r="X4374">
        <v>0.93869820000000004</v>
      </c>
      <c r="Y4374">
        <v>-0.25805129999999998</v>
      </c>
      <c r="Z4374">
        <v>5.9981710000000001E-2</v>
      </c>
      <c r="AA4374">
        <v>0.96426750000000006</v>
      </c>
      <c r="AB4374">
        <v>31</v>
      </c>
      <c r="AC4374">
        <v>-3.69769999999999</v>
      </c>
      <c r="AD4374">
        <v>-1.1181300892820001</v>
      </c>
      <c r="AE4374">
        <v>-10.405799999999999</v>
      </c>
      <c r="AF4374">
        <v>-2.88466562382962</v>
      </c>
      <c r="AG4374">
        <v>-1.1181300892820001</v>
      </c>
      <c r="AH4374">
        <v>10.5437120794434</v>
      </c>
      <c r="AI4374">
        <v>95.840355091467799</v>
      </c>
      <c r="AJ4374">
        <v>105.301174947421</v>
      </c>
      <c r="AK4374">
        <v>10.988238033099901</v>
      </c>
      <c r="AL4374">
        <v>91.699503856330395</v>
      </c>
      <c r="AM4374">
        <v>110.097165316615</v>
      </c>
      <c r="AN4374">
        <v>1.0000000487321199</v>
      </c>
    </row>
    <row r="4375" spans="1:40" x14ac:dyDescent="0.25">
      <c r="A4375" t="str">
        <f>"20190305135917106"</f>
        <v>20190305135917106</v>
      </c>
      <c r="B4375" t="str">
        <f>"1551765557103803"</f>
        <v>1551765557103803</v>
      </c>
      <c r="C4375" t="s">
        <v>40</v>
      </c>
      <c r="D4375">
        <v>3.9607730000000001</v>
      </c>
      <c r="E4375">
        <v>0.53825649999999903</v>
      </c>
      <c r="F4375" t="s">
        <v>79</v>
      </c>
      <c r="G4375">
        <v>-416.70319999999998</v>
      </c>
      <c r="H4375" s="1">
        <v>-9.9928209999999998E-7</v>
      </c>
      <c r="I4375">
        <v>119.9654</v>
      </c>
      <c r="J4375">
        <v>-413.09</v>
      </c>
      <c r="K4375">
        <v>1.1179490000000001</v>
      </c>
      <c r="L4375">
        <v>130.3004</v>
      </c>
      <c r="M4375">
        <v>-0.56394169999999999</v>
      </c>
      <c r="N4375">
        <v>-1.477709E-2</v>
      </c>
      <c r="O4375">
        <v>-0.82568249999999999</v>
      </c>
      <c r="P4375">
        <v>-0.246922</v>
      </c>
      <c r="Q4375">
        <v>-3.5714200000000002E-2</v>
      </c>
      <c r="R4375">
        <v>-0.96837709999999999</v>
      </c>
      <c r="S4375">
        <v>-1.0088200000000001</v>
      </c>
      <c r="T4375">
        <v>-0.298649</v>
      </c>
      <c r="U4375">
        <v>-2.8275450000000002</v>
      </c>
      <c r="V4375">
        <v>-0.3417422</v>
      </c>
      <c r="W4375">
        <v>-2.890612E-2</v>
      </c>
      <c r="X4375">
        <v>0.93934910000000005</v>
      </c>
      <c r="Y4375">
        <v>-0.25420209999999999</v>
      </c>
      <c r="Z4375">
        <v>6.134473E-2</v>
      </c>
      <c r="AA4375">
        <v>0.96520360000000005</v>
      </c>
      <c r="AB4375">
        <v>31</v>
      </c>
      <c r="AC4375">
        <v>-3.6132</v>
      </c>
      <c r="AD4375">
        <v>-1.1179499992821</v>
      </c>
      <c r="AE4375">
        <v>-10.3349999999999</v>
      </c>
      <c r="AF4375">
        <v>-2.8159312097567599</v>
      </c>
      <c r="AG4375">
        <v>-1.1179499992821</v>
      </c>
      <c r="AH4375">
        <v>10.4631211268516</v>
      </c>
      <c r="AI4375">
        <v>95.890676764393305</v>
      </c>
      <c r="AJ4375">
        <v>105.063060784816</v>
      </c>
      <c r="AK4375">
        <v>10.8929419577148</v>
      </c>
      <c r="AL4375">
        <v>91.656429386010302</v>
      </c>
      <c r="AM4375">
        <v>109.99176371272399</v>
      </c>
      <c r="AN4375">
        <v>1.00000001335255</v>
      </c>
    </row>
    <row r="4376" spans="1:40" x14ac:dyDescent="0.25">
      <c r="A4376" t="str">
        <f>"20190305135917130"</f>
        <v>20190305135917130</v>
      </c>
      <c r="B4376" t="str">
        <f>"1551765557123323"</f>
        <v>1551765557123323</v>
      </c>
      <c r="C4376" t="s">
        <v>40</v>
      </c>
      <c r="D4376">
        <v>3.9854669999999999</v>
      </c>
      <c r="E4376">
        <v>0.53905389999999997</v>
      </c>
      <c r="F4376" t="s">
        <v>42</v>
      </c>
      <c r="G4376">
        <v>-417.11860000000001</v>
      </c>
      <c r="H4376" s="1">
        <v>-4.7389100000000003E-6</v>
      </c>
      <c r="I4376">
        <v>119.4879</v>
      </c>
      <c r="J4376">
        <v>-413.2645</v>
      </c>
      <c r="K4376">
        <v>1.1177919999999999</v>
      </c>
      <c r="L4376">
        <v>130.02690000000001</v>
      </c>
      <c r="M4376">
        <v>-0.55575289999999999</v>
      </c>
      <c r="N4376">
        <v>-1.4728679999999999E-2</v>
      </c>
      <c r="O4376">
        <v>-0.83121719999999899</v>
      </c>
      <c r="P4376">
        <v>-0.23858380000000001</v>
      </c>
      <c r="Q4376">
        <v>-3.4826639999999999E-2</v>
      </c>
      <c r="R4376">
        <v>-0.97049730000000001</v>
      </c>
      <c r="S4376">
        <v>-1.050476</v>
      </c>
      <c r="T4376">
        <v>-0.29150720000000002</v>
      </c>
      <c r="U4376">
        <v>-2.819366</v>
      </c>
      <c r="V4376">
        <v>-0.3405841</v>
      </c>
      <c r="W4376">
        <v>-2.788647E-2</v>
      </c>
      <c r="X4376">
        <v>0.93980039999999998</v>
      </c>
      <c r="Y4376">
        <v>-0.2311231</v>
      </c>
      <c r="Z4376">
        <v>6.0774450000000001E-2</v>
      </c>
      <c r="AA4376">
        <v>0.97102449999999996</v>
      </c>
      <c r="AB4376">
        <v>31</v>
      </c>
      <c r="AC4376">
        <v>-3.8541000000000101</v>
      </c>
      <c r="AD4376">
        <v>-1.1177967389100001</v>
      </c>
      <c r="AE4376">
        <v>-10.539</v>
      </c>
      <c r="AF4376">
        <v>-2.62770013657736</v>
      </c>
      <c r="AG4376">
        <v>-1.1177967389100001</v>
      </c>
      <c r="AH4376">
        <v>10.7961830173723</v>
      </c>
      <c r="AI4376">
        <v>95.744595921641704</v>
      </c>
      <c r="AJ4376">
        <v>103.679331624274</v>
      </c>
      <c r="AK4376">
        <v>11.167445782356999</v>
      </c>
      <c r="AL4376">
        <v>91.597984214629804</v>
      </c>
      <c r="AM4376">
        <v>109.92053981877299</v>
      </c>
      <c r="AN4376">
        <v>0.99999998811101498</v>
      </c>
    </row>
    <row r="4377" spans="1:40" x14ac:dyDescent="0.25">
      <c r="A4377" t="str">
        <f>"20190305135917152"</f>
        <v>20190305135917152</v>
      </c>
      <c r="B4377" t="str">
        <f>"1551765557143354"</f>
        <v>1551765557143354</v>
      </c>
      <c r="C4377" t="s">
        <v>40</v>
      </c>
      <c r="D4377">
        <v>3.9443549999999998</v>
      </c>
      <c r="E4377">
        <v>0.54003380000000001</v>
      </c>
      <c r="F4377" t="s">
        <v>42</v>
      </c>
      <c r="G4377">
        <v>-417.21379999999999</v>
      </c>
      <c r="H4377" s="1">
        <v>-4.6064880000000004E-6</v>
      </c>
      <c r="I4377">
        <v>119.2186</v>
      </c>
      <c r="J4377">
        <v>-413.42439999999999</v>
      </c>
      <c r="K4377">
        <v>1.117666</v>
      </c>
      <c r="L4377">
        <v>129.77119999999999</v>
      </c>
      <c r="M4377">
        <v>-0.54817450000000001</v>
      </c>
      <c r="N4377">
        <v>-1.4687769999999999E-2</v>
      </c>
      <c r="O4377">
        <v>-0.83623510000000001</v>
      </c>
      <c r="P4377">
        <v>-0.22944870000000001</v>
      </c>
      <c r="Q4377">
        <v>-3.4054359999999999E-2</v>
      </c>
      <c r="R4377">
        <v>-0.9727249</v>
      </c>
      <c r="S4377">
        <v>-1.0328980000000001</v>
      </c>
      <c r="T4377">
        <v>-0.29234680000000002</v>
      </c>
      <c r="U4377">
        <v>-2.8267820000000001</v>
      </c>
      <c r="V4377">
        <v>-0.34091640000000001</v>
      </c>
      <c r="W4377">
        <v>-2.7044410000000001E-2</v>
      </c>
      <c r="X4377">
        <v>0.93970450000000005</v>
      </c>
      <c r="Y4377">
        <v>-0.22844719999999999</v>
      </c>
      <c r="Z4377">
        <v>6.1596110000000003E-2</v>
      </c>
      <c r="AA4377">
        <v>0.97160579999999996</v>
      </c>
      <c r="AB4377">
        <v>31</v>
      </c>
      <c r="AC4377">
        <v>-3.7894000000000001</v>
      </c>
      <c r="AD4377">
        <v>-1.117670606488</v>
      </c>
      <c r="AE4377">
        <v>-10.552599999999901</v>
      </c>
      <c r="AF4377">
        <v>-2.59037960482459</v>
      </c>
      <c r="AG4377">
        <v>-1.117670606488</v>
      </c>
      <c r="AH4377">
        <v>10.795611509235099</v>
      </c>
      <c r="AI4377">
        <v>95.748742929416395</v>
      </c>
      <c r="AJ4377">
        <v>103.49288709847499</v>
      </c>
      <c r="AK4377">
        <v>11.1581576409382</v>
      </c>
      <c r="AL4377">
        <v>91.549719549526799</v>
      </c>
      <c r="AM4377">
        <v>109.94031936386</v>
      </c>
      <c r="AN4377">
        <v>0.99999996961072801</v>
      </c>
    </row>
    <row r="4378" spans="1:40" x14ac:dyDescent="0.25">
      <c r="A4378" t="str">
        <f>"20190305135917174"</f>
        <v>20190305135917174</v>
      </c>
      <c r="B4378" t="str">
        <f>"1551765557163847"</f>
        <v>1551765557163847</v>
      </c>
      <c r="C4378" t="s">
        <v>40</v>
      </c>
      <c r="D4378">
        <v>3.9758800000000001</v>
      </c>
      <c r="E4378">
        <v>0.54011580000000003</v>
      </c>
      <c r="F4378" t="s">
        <v>42</v>
      </c>
      <c r="G4378">
        <v>-417.3082</v>
      </c>
      <c r="H4378" s="1">
        <v>-4.4581900000000001E-6</v>
      </c>
      <c r="I4378">
        <v>118.9119</v>
      </c>
      <c r="J4378">
        <v>-413.58240000000001</v>
      </c>
      <c r="K4378">
        <v>1.117553</v>
      </c>
      <c r="L4378">
        <v>129.51329999999999</v>
      </c>
      <c r="M4378">
        <v>-0.54057929999999998</v>
      </c>
      <c r="N4378">
        <v>-1.465026E-2</v>
      </c>
      <c r="O4378">
        <v>-0.84116569999999902</v>
      </c>
      <c r="P4378">
        <v>-0.21984570000000001</v>
      </c>
      <c r="Q4378">
        <v>-3.4030640000000001E-2</v>
      </c>
      <c r="R4378">
        <v>-0.97494099999999995</v>
      </c>
      <c r="S4378">
        <v>-1.013855</v>
      </c>
      <c r="T4378">
        <v>-0.29176160000000001</v>
      </c>
      <c r="U4378">
        <v>-2.8347630000000001</v>
      </c>
      <c r="V4378">
        <v>-0.34168009999999999</v>
      </c>
      <c r="W4378">
        <v>-2.6972389999999999E-2</v>
      </c>
      <c r="X4378">
        <v>0.93942919999999996</v>
      </c>
      <c r="Y4378">
        <v>-0.22629569999999999</v>
      </c>
      <c r="Z4378">
        <v>6.2023540000000002E-2</v>
      </c>
      <c r="AA4378">
        <v>0.972082</v>
      </c>
      <c r="AB4378">
        <v>31</v>
      </c>
      <c r="AC4378">
        <v>-3.7257999999999898</v>
      </c>
      <c r="AD4378">
        <v>-1.1175574581899901</v>
      </c>
      <c r="AE4378">
        <v>-10.6013999999999</v>
      </c>
      <c r="AF4378">
        <v>-2.57172388095508</v>
      </c>
      <c r="AG4378">
        <v>-1.1175574581899901</v>
      </c>
      <c r="AH4378">
        <v>10.8257198830365</v>
      </c>
      <c r="AI4378">
        <v>95.735360268234302</v>
      </c>
      <c r="AJ4378">
        <v>103.36330158294599</v>
      </c>
      <c r="AK4378">
        <v>11.182974084661099</v>
      </c>
      <c r="AL4378">
        <v>91.545591537238593</v>
      </c>
      <c r="AM4378">
        <v>109.986849215185</v>
      </c>
      <c r="AN4378">
        <v>1.0000000111854801</v>
      </c>
    </row>
    <row r="4379" spans="1:40" x14ac:dyDescent="0.25">
      <c r="A4379" t="str">
        <f>"20190305135917197"</f>
        <v>20190305135917197</v>
      </c>
      <c r="B4379" t="str">
        <f>"1551765557193127"</f>
        <v>1551765557193127</v>
      </c>
      <c r="C4379" t="s">
        <v>40</v>
      </c>
      <c r="D4379">
        <v>3.9589669999999999</v>
      </c>
      <c r="E4379">
        <v>0.54682089999999905</v>
      </c>
      <c r="F4379" t="s">
        <v>42</v>
      </c>
      <c r="G4379">
        <v>-417.2183</v>
      </c>
      <c r="H4379" s="1">
        <v>-4.5297040000000001E-6</v>
      </c>
      <c r="I4379">
        <v>119.0414</v>
      </c>
      <c r="J4379">
        <v>-413.74239999999998</v>
      </c>
      <c r="K4379">
        <v>1.117442</v>
      </c>
      <c r="L4379">
        <v>129.24700000000001</v>
      </c>
      <c r="M4379">
        <v>-0.53277769999999902</v>
      </c>
      <c r="N4379">
        <v>-1.461499E-2</v>
      </c>
      <c r="O4379">
        <v>-0.84612909999999997</v>
      </c>
      <c r="P4379">
        <v>-0.21027319999999999</v>
      </c>
      <c r="Q4379">
        <v>-3.4400269999999997E-2</v>
      </c>
      <c r="R4379">
        <v>-0.97703739999999994</v>
      </c>
      <c r="S4379">
        <v>-0.98739619999999995</v>
      </c>
      <c r="T4379">
        <v>-0.30349579999999998</v>
      </c>
      <c r="U4379">
        <v>-2.8438569999999999</v>
      </c>
      <c r="V4379">
        <v>-0.34219840000000001</v>
      </c>
      <c r="W4379">
        <v>-2.7292960000000002E-2</v>
      </c>
      <c r="X4379">
        <v>0.93923129999999999</v>
      </c>
      <c r="Y4379">
        <v>-0.2263956</v>
      </c>
      <c r="Z4379">
        <v>6.5587919999999994E-2</v>
      </c>
      <c r="AA4379">
        <v>0.97182469999999999</v>
      </c>
      <c r="AB4379">
        <v>31</v>
      </c>
      <c r="AC4379">
        <v>-3.4759000000000202</v>
      </c>
      <c r="AD4379">
        <v>-1.1174465297039999</v>
      </c>
      <c r="AE4379">
        <v>-10.2056</v>
      </c>
      <c r="AF4379">
        <v>-2.4699881647727802</v>
      </c>
      <c r="AG4379">
        <v>-1.1174465297039999</v>
      </c>
      <c r="AH4379">
        <v>10.376782307555301</v>
      </c>
      <c r="AI4379">
        <v>95.980508661500096</v>
      </c>
      <c r="AJ4379">
        <v>103.38897432661599</v>
      </c>
      <c r="AK4379">
        <v>10.725070598334399</v>
      </c>
      <c r="AL4379">
        <v>91.563965560326906</v>
      </c>
      <c r="AM4379">
        <v>110.01864454493</v>
      </c>
      <c r="AN4379">
        <v>1.0000000427639</v>
      </c>
    </row>
    <row r="4380" spans="1:40" x14ac:dyDescent="0.25">
      <c r="A4380" t="str">
        <f>"20190305135917219"</f>
        <v>20190305135917219</v>
      </c>
      <c r="B4380" t="str">
        <f>"1551765557213622"</f>
        <v>1551765557213622</v>
      </c>
      <c r="C4380" t="s">
        <v>40</v>
      </c>
      <c r="D4380">
        <v>4.0091089999999996</v>
      </c>
      <c r="E4380">
        <v>0.54621129999999996</v>
      </c>
      <c r="F4380" t="s">
        <v>42</v>
      </c>
      <c r="G4380">
        <v>-418.63650000000001</v>
      </c>
      <c r="H4380" s="1">
        <v>-2.7197279999999999E-6</v>
      </c>
      <c r="I4380">
        <v>115.4088</v>
      </c>
      <c r="J4380">
        <v>-413.89460000000003</v>
      </c>
      <c r="K4380">
        <v>1.1173379999999999</v>
      </c>
      <c r="L4380">
        <v>128.98840000000001</v>
      </c>
      <c r="M4380">
        <v>-0.52524150000000003</v>
      </c>
      <c r="N4380">
        <v>-1.458345E-2</v>
      </c>
      <c r="O4380">
        <v>-0.85082819999999904</v>
      </c>
      <c r="P4380">
        <v>-0.2010497</v>
      </c>
      <c r="Q4380">
        <v>-3.5341200000000003E-2</v>
      </c>
      <c r="R4380">
        <v>-0.97894340000000002</v>
      </c>
      <c r="S4380">
        <v>-1.00647</v>
      </c>
      <c r="T4380">
        <v>-0.22980149999999999</v>
      </c>
      <c r="U4380">
        <v>-2.845825</v>
      </c>
      <c r="V4380">
        <v>-0.3426843</v>
      </c>
      <c r="W4380">
        <v>-2.8190739999999999E-2</v>
      </c>
      <c r="X4380">
        <v>0.93902750000000001</v>
      </c>
      <c r="Y4380">
        <v>-0.21178749999999999</v>
      </c>
      <c r="Z4380">
        <v>4.713846E-2</v>
      </c>
      <c r="AA4380">
        <v>0.97617830000000005</v>
      </c>
      <c r="AB4380">
        <v>31</v>
      </c>
      <c r="AC4380">
        <v>-4.7418999999999798</v>
      </c>
      <c r="AD4380">
        <v>-1.1173407197280001</v>
      </c>
      <c r="AE4380">
        <v>-13.579599999999999</v>
      </c>
      <c r="AF4380">
        <v>-3.0797724475630202</v>
      </c>
      <c r="AG4380">
        <v>-1.1173407197280001</v>
      </c>
      <c r="AH4380">
        <v>13.9617933336779</v>
      </c>
      <c r="AI4380">
        <v>94.468567266570801</v>
      </c>
      <c r="AJ4380">
        <v>102.43942542202601</v>
      </c>
      <c r="AK4380">
        <v>14.3410293112128</v>
      </c>
      <c r="AL4380">
        <v>91.615424525726894</v>
      </c>
      <c r="AM4380">
        <v>110.048811796854</v>
      </c>
      <c r="AN4380">
        <v>0.999999946522242</v>
      </c>
    </row>
    <row r="4381" spans="1:40" x14ac:dyDescent="0.25">
      <c r="A4381" t="str">
        <f>"20190305135917241"</f>
        <v>20190305135917241</v>
      </c>
      <c r="B4381" t="str">
        <f>"1551765557233650"</f>
        <v>1551765557233650</v>
      </c>
      <c r="C4381" t="s">
        <v>40</v>
      </c>
      <c r="D4381">
        <v>3.9833460000000001</v>
      </c>
      <c r="E4381">
        <v>0.54739009999999999</v>
      </c>
      <c r="F4381" t="s">
        <v>42</v>
      </c>
      <c r="G4381">
        <v>-418.36930000000001</v>
      </c>
      <c r="H4381" s="1">
        <v>-2.9735310000000002E-6</v>
      </c>
      <c r="I4381">
        <v>115.8899</v>
      </c>
      <c r="J4381">
        <v>-414.05149999999998</v>
      </c>
      <c r="K4381">
        <v>1.11724</v>
      </c>
      <c r="L4381">
        <v>128.7158</v>
      </c>
      <c r="M4381">
        <v>-0.5173449</v>
      </c>
      <c r="N4381">
        <v>-1.4552290000000001E-2</v>
      </c>
      <c r="O4381">
        <v>-0.85565329999999995</v>
      </c>
      <c r="P4381">
        <v>-0.1915568</v>
      </c>
      <c r="Q4381">
        <v>-3.6081000000000002E-2</v>
      </c>
      <c r="R4381">
        <v>-0.98081830000000003</v>
      </c>
      <c r="S4381">
        <v>-0.97546390000000005</v>
      </c>
      <c r="T4381">
        <v>-0.2435737</v>
      </c>
      <c r="U4381">
        <v>-2.8553920000000002</v>
      </c>
      <c r="V4381">
        <v>-0.3430684</v>
      </c>
      <c r="W4381">
        <v>-2.8885549999999999E-2</v>
      </c>
      <c r="X4381">
        <v>0.93886619999999998</v>
      </c>
      <c r="Y4381">
        <v>-0.21329219999999999</v>
      </c>
      <c r="Z4381">
        <v>5.1150550000000003E-2</v>
      </c>
      <c r="AA4381">
        <v>0.97564850000000003</v>
      </c>
      <c r="AB4381">
        <v>31</v>
      </c>
      <c r="AC4381">
        <v>-4.3178000000000303</v>
      </c>
      <c r="AD4381">
        <v>-1.1172429735310001</v>
      </c>
      <c r="AE4381">
        <v>-12.825900000000001</v>
      </c>
      <c r="AF4381">
        <v>-2.9212756142388998</v>
      </c>
      <c r="AG4381">
        <v>-1.1172429735310001</v>
      </c>
      <c r="AH4381">
        <v>13.1202928539035</v>
      </c>
      <c r="AI4381">
        <v>94.7514149081711</v>
      </c>
      <c r="AJ4381">
        <v>102.552338504734</v>
      </c>
      <c r="AK4381">
        <v>13.4879267364722</v>
      </c>
      <c r="AL4381">
        <v>91.655250305526707</v>
      </c>
      <c r="AM4381">
        <v>110.072663717997</v>
      </c>
      <c r="AN4381">
        <v>1.0000000217899001</v>
      </c>
    </row>
    <row r="4382" spans="1:40" x14ac:dyDescent="0.25">
      <c r="A4382" t="str">
        <f>"20190305135917262"</f>
        <v>20190305135917262</v>
      </c>
      <c r="B4382" t="str">
        <f>"1551765557253171"</f>
        <v>1551765557253171</v>
      </c>
      <c r="C4382" t="s">
        <v>40</v>
      </c>
      <c r="D4382">
        <v>3.9131469999999999</v>
      </c>
      <c r="E4382">
        <v>0.54946439999999996</v>
      </c>
      <c r="F4382" t="s">
        <v>42</v>
      </c>
      <c r="G4382">
        <v>-418.43610000000001</v>
      </c>
      <c r="H4382" s="1">
        <v>-2.8382300000000002E-6</v>
      </c>
      <c r="I4382">
        <v>115.60209999999999</v>
      </c>
      <c r="J4382">
        <v>-414.1943</v>
      </c>
      <c r="K4382">
        <v>1.117167</v>
      </c>
      <c r="L4382">
        <v>128.46299999999999</v>
      </c>
      <c r="M4382">
        <v>-0.51005219999999996</v>
      </c>
      <c r="N4382">
        <v>-1.4525679999999999E-2</v>
      </c>
      <c r="O4382">
        <v>-0.86002089999999998</v>
      </c>
      <c r="P4382">
        <v>-0.18296119999999999</v>
      </c>
      <c r="Q4382">
        <v>-3.648912E-2</v>
      </c>
      <c r="R4382">
        <v>-0.98244290000000001</v>
      </c>
      <c r="S4382">
        <v>-0.95715329999999998</v>
      </c>
      <c r="T4382">
        <v>-0.243896</v>
      </c>
      <c r="U4382">
        <v>-2.8627470000000002</v>
      </c>
      <c r="V4382">
        <v>-0.34329789999999999</v>
      </c>
      <c r="W4382">
        <v>-2.9254140000000001E-2</v>
      </c>
      <c r="X4382">
        <v>0.93877089999999996</v>
      </c>
      <c r="Y4382">
        <v>-0.21136369999999999</v>
      </c>
      <c r="Z4382">
        <v>5.164734E-2</v>
      </c>
      <c r="AA4382">
        <v>0.97604199999999997</v>
      </c>
      <c r="AB4382">
        <v>31</v>
      </c>
      <c r="AC4382">
        <v>-4.2418000000000102</v>
      </c>
      <c r="AD4382">
        <v>-1.1171698382299999</v>
      </c>
      <c r="AE4382">
        <v>-12.860900000000001</v>
      </c>
      <c r="AF4382">
        <v>-2.89231744677789</v>
      </c>
      <c r="AG4382">
        <v>-1.1171698382299999</v>
      </c>
      <c r="AH4382">
        <v>13.1361802003634</v>
      </c>
      <c r="AI4382">
        <v>94.747852432950495</v>
      </c>
      <c r="AJ4382">
        <v>102.417227366747</v>
      </c>
      <c r="AK4382">
        <v>13.497140397758599</v>
      </c>
      <c r="AL4382">
        <v>91.676377875410097</v>
      </c>
      <c r="AM4382">
        <v>110.086894505673</v>
      </c>
      <c r="AN4382">
        <v>1.0000000277691701</v>
      </c>
    </row>
    <row r="4383" spans="1:40" x14ac:dyDescent="0.25">
      <c r="A4383" t="str">
        <f>"20190305135917285"</f>
        <v>20190305135917285</v>
      </c>
      <c r="B4383" t="str">
        <f>"1551765557273667"</f>
        <v>1551765557273667</v>
      </c>
      <c r="C4383" t="s">
        <v>40</v>
      </c>
      <c r="D4383">
        <v>4.3126629999999997</v>
      </c>
      <c r="E4383">
        <v>0.53188259999999998</v>
      </c>
      <c r="F4383" t="s">
        <v>42</v>
      </c>
      <c r="G4383">
        <v>-418.60419999999999</v>
      </c>
      <c r="H4383" s="1">
        <v>-2.5998940000000001E-6</v>
      </c>
      <c r="I4383">
        <v>115.116</v>
      </c>
      <c r="J4383">
        <v>-414.34309999999999</v>
      </c>
      <c r="K4383">
        <v>1.1171</v>
      </c>
      <c r="L4383">
        <v>128.19390000000001</v>
      </c>
      <c r="M4383">
        <v>-0.50233830000000002</v>
      </c>
      <c r="N4383">
        <v>-1.44995E-2</v>
      </c>
      <c r="O4383">
        <v>-0.86454949999999997</v>
      </c>
      <c r="P4383">
        <v>-0.174322799999999</v>
      </c>
      <c r="Q4383">
        <v>-3.5845509999999997E-2</v>
      </c>
      <c r="R4383">
        <v>-0.98403569999999996</v>
      </c>
      <c r="S4383">
        <v>-0.94766240000000002</v>
      </c>
      <c r="T4383">
        <v>-0.2400746</v>
      </c>
      <c r="U4383">
        <v>-2.8681950000000001</v>
      </c>
      <c r="V4383">
        <v>-0.3431767</v>
      </c>
      <c r="W4383">
        <v>-2.8561159999999999E-2</v>
      </c>
      <c r="X4383">
        <v>0.93883649999999996</v>
      </c>
      <c r="Y4383">
        <v>-0.20607880000000001</v>
      </c>
      <c r="Z4383">
        <v>5.1112030000000003E-2</v>
      </c>
      <c r="AA4383">
        <v>0.97719959999999995</v>
      </c>
      <c r="AB4383">
        <v>31</v>
      </c>
      <c r="AC4383">
        <v>-4.2610999999999901</v>
      </c>
      <c r="AD4383">
        <v>-1.1171025998940001</v>
      </c>
      <c r="AE4383">
        <v>-13.0779</v>
      </c>
      <c r="AF4383">
        <v>-2.86699063993533</v>
      </c>
      <c r="AG4383">
        <v>-1.1171025998940001</v>
      </c>
      <c r="AH4383">
        <v>13.3602937418829</v>
      </c>
      <c r="AI4383">
        <v>94.673679485832295</v>
      </c>
      <c r="AJ4383">
        <v>102.111446259516</v>
      </c>
      <c r="AK4383">
        <v>13.710032910885401</v>
      </c>
      <c r="AL4383">
        <v>91.636656523682007</v>
      </c>
      <c r="AM4383">
        <v>110.07907859443399</v>
      </c>
      <c r="AN4383">
        <v>0.999999980507842</v>
      </c>
    </row>
    <row r="4384" spans="1:40" x14ac:dyDescent="0.25">
      <c r="A4384" t="str">
        <f>"20190305135917309"</f>
        <v>20190305135917309</v>
      </c>
      <c r="B4384" t="str">
        <f>"1551765557302950"</f>
        <v>1551765557302950</v>
      </c>
      <c r="C4384" t="s">
        <v>40</v>
      </c>
      <c r="D4384">
        <v>4.0056649999999996</v>
      </c>
      <c r="E4384">
        <v>0.51648819999999995</v>
      </c>
      <c r="F4384" t="s">
        <v>42</v>
      </c>
      <c r="G4384">
        <v>-417.3845</v>
      </c>
      <c r="H4384" s="1">
        <v>-3.628468E-6</v>
      </c>
      <c r="I4384">
        <v>117.0093</v>
      </c>
      <c r="J4384">
        <v>-414.49189999999999</v>
      </c>
      <c r="K4384">
        <v>1.1170279999999999</v>
      </c>
      <c r="L4384">
        <v>127.9196</v>
      </c>
      <c r="M4384">
        <v>-0.49453580000000003</v>
      </c>
      <c r="N4384">
        <v>-1.447352E-2</v>
      </c>
      <c r="O4384">
        <v>-0.86903680000000005</v>
      </c>
      <c r="P4384">
        <v>-0.165983399999999</v>
      </c>
      <c r="Q4384">
        <v>-3.4618919999999997E-2</v>
      </c>
      <c r="R4384">
        <v>-0.98552099999999998</v>
      </c>
      <c r="S4384">
        <v>-0.78817749999999998</v>
      </c>
      <c r="T4384">
        <v>-0.28949930000000001</v>
      </c>
      <c r="U4384">
        <v>-2.8984990000000002</v>
      </c>
      <c r="V4384">
        <v>-0.34272570000000002</v>
      </c>
      <c r="W4384">
        <v>-2.727309E-2</v>
      </c>
      <c r="X4384">
        <v>0.93903950000000003</v>
      </c>
      <c r="Y4384">
        <v>-0.24956800000000001</v>
      </c>
      <c r="Z4384">
        <v>6.3958459999999995E-2</v>
      </c>
      <c r="AA4384">
        <v>0.96624279999999996</v>
      </c>
      <c r="AB4384">
        <v>31</v>
      </c>
      <c r="AC4384">
        <v>-2.8926000000000101</v>
      </c>
      <c r="AD4384">
        <v>-1.117031628468</v>
      </c>
      <c r="AE4384">
        <v>-10.910299999999999</v>
      </c>
      <c r="AF4384">
        <v>-2.8541070094360399</v>
      </c>
      <c r="AG4384">
        <v>-1.117031628468</v>
      </c>
      <c r="AH4384">
        <v>10.8072440077158</v>
      </c>
      <c r="AI4384">
        <v>95.706812358749204</v>
      </c>
      <c r="AJ4384">
        <v>104.79360687883501</v>
      </c>
      <c r="AK4384">
        <v>11.233441570712801</v>
      </c>
      <c r="AL4384">
        <v>91.562826806915794</v>
      </c>
      <c r="AM4384">
        <v>110.050805133838</v>
      </c>
      <c r="AN4384">
        <v>0.99999995471944303</v>
      </c>
    </row>
    <row r="4385" spans="1:40" x14ac:dyDescent="0.25">
      <c r="A4385" t="str">
        <f>"20190305135917331"</f>
        <v>20190305135917331</v>
      </c>
      <c r="B4385" t="str">
        <f>"1551765557323442"</f>
        <v>1551765557323442</v>
      </c>
      <c r="C4385" t="s">
        <v>40</v>
      </c>
      <c r="D4385">
        <v>4.0662649999999996</v>
      </c>
      <c r="E4385">
        <v>0.51499159999999999</v>
      </c>
      <c r="F4385" t="s">
        <v>42</v>
      </c>
      <c r="G4385">
        <v>-417.50200000000001</v>
      </c>
      <c r="H4385" s="1">
        <v>-2.3667760000000001E-6</v>
      </c>
      <c r="I4385">
        <v>114.1169</v>
      </c>
      <c r="J4385">
        <v>-414.63780000000003</v>
      </c>
      <c r="K4385">
        <v>1.1169439999999999</v>
      </c>
      <c r="L4385">
        <v>127.6446</v>
      </c>
      <c r="M4385">
        <v>-0.48680250000000003</v>
      </c>
      <c r="N4385">
        <v>-1.444733E-2</v>
      </c>
      <c r="O4385">
        <v>-0.87339270000000002</v>
      </c>
      <c r="P4385">
        <v>-0.157919</v>
      </c>
      <c r="Q4385">
        <v>-3.3154250000000003E-2</v>
      </c>
      <c r="R4385">
        <v>-0.98689519999999997</v>
      </c>
      <c r="S4385">
        <v>-0.63858029999999999</v>
      </c>
      <c r="T4385">
        <v>-0.2369744</v>
      </c>
      <c r="U4385">
        <v>-2.9281920000000001</v>
      </c>
      <c r="V4385">
        <v>-0.342126599999999</v>
      </c>
      <c r="W4385">
        <v>-2.57351E-2</v>
      </c>
      <c r="X4385">
        <v>0.93930139999999995</v>
      </c>
      <c r="Y4385">
        <v>-0.28961619999999999</v>
      </c>
      <c r="Z4385">
        <v>4.956137E-2</v>
      </c>
      <c r="AA4385">
        <v>0.95585880000000001</v>
      </c>
      <c r="AB4385">
        <v>31</v>
      </c>
      <c r="AC4385">
        <v>-2.8641999999999199</v>
      </c>
      <c r="AD4385">
        <v>-1.116946366776</v>
      </c>
      <c r="AE4385">
        <v>-13.5276999999999</v>
      </c>
      <c r="AF4385">
        <v>-4.0576967191311804</v>
      </c>
      <c r="AG4385">
        <v>-1.116946366776</v>
      </c>
      <c r="AH4385">
        <v>13.125032488237199</v>
      </c>
      <c r="AI4385">
        <v>94.648134499870693</v>
      </c>
      <c r="AJ4385">
        <v>107.17936424107</v>
      </c>
      <c r="AK4385">
        <v>13.783285155143</v>
      </c>
      <c r="AL4385">
        <v>91.474675405296196</v>
      </c>
      <c r="AM4385">
        <v>110.01340259519</v>
      </c>
      <c r="AN4385">
        <v>1.00000001292076</v>
      </c>
    </row>
    <row r="4386" spans="1:40" x14ac:dyDescent="0.25">
      <c r="A4386" t="str">
        <f>"20190305135917353"</f>
        <v>20190305135917353</v>
      </c>
      <c r="B4386" t="str">
        <f>"1551765557343469"</f>
        <v>1551765557343469</v>
      </c>
      <c r="C4386" t="s">
        <v>40</v>
      </c>
      <c r="D4386">
        <v>4.0834380000000001</v>
      </c>
      <c r="E4386">
        <v>0.51464209999999999</v>
      </c>
      <c r="F4386" t="s">
        <v>42</v>
      </c>
      <c r="G4386">
        <v>-417.553</v>
      </c>
      <c r="H4386" s="1">
        <v>-2.0679889999999998E-6</v>
      </c>
      <c r="I4386">
        <v>113.4415</v>
      </c>
      <c r="J4386">
        <v>-414.77510000000001</v>
      </c>
      <c r="K4386">
        <v>1.116843</v>
      </c>
      <c r="L4386">
        <v>127.3809</v>
      </c>
      <c r="M4386">
        <v>-0.47948109999999999</v>
      </c>
      <c r="N4386">
        <v>-1.4421679999999999E-2</v>
      </c>
      <c r="O4386">
        <v>-0.87743379999999904</v>
      </c>
      <c r="P4386">
        <v>-0.15052969999999999</v>
      </c>
      <c r="Q4386">
        <v>-3.2036700000000001E-2</v>
      </c>
      <c r="R4386">
        <v>-0.98808640000000003</v>
      </c>
      <c r="S4386">
        <v>-0.60253909999999999</v>
      </c>
      <c r="T4386">
        <v>-0.2308646</v>
      </c>
      <c r="U4386">
        <v>-2.9356840000000002</v>
      </c>
      <c r="V4386">
        <v>-0.34134399999999998</v>
      </c>
      <c r="W4386">
        <v>-2.4532109999999999E-2</v>
      </c>
      <c r="X4386">
        <v>0.93961819999999896</v>
      </c>
      <c r="Y4386">
        <v>-0.2933366</v>
      </c>
      <c r="Z4386">
        <v>4.8229939999999999E-2</v>
      </c>
      <c r="AA4386">
        <v>0.95479179999999997</v>
      </c>
      <c r="AB4386">
        <v>31</v>
      </c>
      <c r="AC4386">
        <v>-2.7779000000000398</v>
      </c>
      <c r="AD4386">
        <v>-1.1168450679889901</v>
      </c>
      <c r="AE4386">
        <v>-13.9393999999999</v>
      </c>
      <c r="AF4386">
        <v>-4.22063750619537</v>
      </c>
      <c r="AG4386">
        <v>-1.1168450679889901</v>
      </c>
      <c r="AH4386">
        <v>13.4810255341323</v>
      </c>
      <c r="AI4386">
        <v>94.520487391803698</v>
      </c>
      <c r="AJ4386">
        <v>107.384287025795</v>
      </c>
      <c r="AK4386">
        <v>14.170362497710499</v>
      </c>
      <c r="AL4386">
        <v>91.405727451272796</v>
      </c>
      <c r="AM4386">
        <v>109.965044007426</v>
      </c>
      <c r="AN4386">
        <v>0.99999995626414495</v>
      </c>
    </row>
    <row r="4387" spans="1:40" x14ac:dyDescent="0.25">
      <c r="A4387" t="str">
        <f>"20190305135917375"</f>
        <v>20190305135917375</v>
      </c>
      <c r="B4387" t="str">
        <f>"1551765557363967"</f>
        <v>1551765557363967</v>
      </c>
      <c r="C4387" t="s">
        <v>40</v>
      </c>
      <c r="D4387">
        <v>4.0957179999999997</v>
      </c>
      <c r="E4387">
        <v>0.51529480000000005</v>
      </c>
      <c r="F4387" t="s">
        <v>42</v>
      </c>
      <c r="G4387">
        <v>-417.59199999999998</v>
      </c>
      <c r="H4387" s="1">
        <v>-1.8905580000000001E-6</v>
      </c>
      <c r="I4387">
        <v>113.044</v>
      </c>
      <c r="J4387">
        <v>-414.91419999999999</v>
      </c>
      <c r="K4387">
        <v>1.1167210000000001</v>
      </c>
      <c r="L4387">
        <v>127.1084</v>
      </c>
      <c r="M4387">
        <v>-0.47203420000000001</v>
      </c>
      <c r="N4387">
        <v>-1.4394769999999999E-2</v>
      </c>
      <c r="O4387">
        <v>-0.88146279999999999</v>
      </c>
      <c r="P4387">
        <v>-0.14313239999999999</v>
      </c>
      <c r="Q4387">
        <v>-3.2140160000000001E-2</v>
      </c>
      <c r="R4387">
        <v>-0.98918159999999999</v>
      </c>
      <c r="S4387">
        <v>-0.57778929999999995</v>
      </c>
      <c r="T4387">
        <v>-0.22908220000000001</v>
      </c>
      <c r="U4387">
        <v>-2.9407040000000002</v>
      </c>
      <c r="V4387">
        <v>-0.3404218</v>
      </c>
      <c r="W4387">
        <v>-2.4534980000000001E-2</v>
      </c>
      <c r="X4387">
        <v>0.93995269999999997</v>
      </c>
      <c r="Y4387">
        <v>-0.29328739999999998</v>
      </c>
      <c r="Z4387">
        <v>4.8129829999999998E-2</v>
      </c>
      <c r="AA4387">
        <v>0.95481199999999999</v>
      </c>
      <c r="AB4387">
        <v>31</v>
      </c>
      <c r="AC4387">
        <v>-2.6777999999999902</v>
      </c>
      <c r="AD4387">
        <v>-1.11672289055799</v>
      </c>
      <c r="AE4387">
        <v>-14.064399999999999</v>
      </c>
      <c r="AF4387">
        <v>-4.2530643948111999</v>
      </c>
      <c r="AG4387">
        <v>-1.11672289055799</v>
      </c>
      <c r="AH4387">
        <v>13.580053071103301</v>
      </c>
      <c r="AI4387">
        <v>94.487036051665797</v>
      </c>
      <c r="AJ4387">
        <v>107.389756097749</v>
      </c>
      <c r="AK4387">
        <v>14.274223907963901</v>
      </c>
      <c r="AL4387">
        <v>91.405891846259294</v>
      </c>
      <c r="AM4387">
        <v>109.908820445019</v>
      </c>
      <c r="AN4387">
        <v>1.0000000226980601</v>
      </c>
    </row>
    <row r="4388" spans="1:40" x14ac:dyDescent="0.25">
      <c r="A4388" t="str">
        <f>"20190305135917399"</f>
        <v>20190305135917399</v>
      </c>
      <c r="B4388" t="str">
        <f>"1551765557393246"</f>
        <v>1551765557393246</v>
      </c>
      <c r="C4388" t="s">
        <v>40</v>
      </c>
      <c r="D4388">
        <v>4.0787259999999996</v>
      </c>
      <c r="E4388">
        <v>0.51562940000000002</v>
      </c>
      <c r="F4388" t="s">
        <v>42</v>
      </c>
      <c r="G4388">
        <v>-417.67649999999998</v>
      </c>
      <c r="H4388" s="1">
        <v>-1.692088E-6</v>
      </c>
      <c r="I4388">
        <v>112.6163</v>
      </c>
      <c r="J4388">
        <v>-415.05079999999998</v>
      </c>
      <c r="K4388">
        <v>1.1165849999999999</v>
      </c>
      <c r="L4388">
        <v>126.8356</v>
      </c>
      <c r="M4388">
        <v>-0.46470669999999997</v>
      </c>
      <c r="N4388">
        <v>-1.436774E-2</v>
      </c>
      <c r="O4388">
        <v>-0.88534829999999998</v>
      </c>
      <c r="P4388">
        <v>-0.13584089999999999</v>
      </c>
      <c r="Q4388">
        <v>-3.2709549999999997E-2</v>
      </c>
      <c r="R4388">
        <v>-0.99019060000000003</v>
      </c>
      <c r="S4388">
        <v>-0.56118769999999996</v>
      </c>
      <c r="T4388">
        <v>-0.22687599999999999</v>
      </c>
      <c r="U4388">
        <v>-2.9442439999999999</v>
      </c>
      <c r="V4388">
        <v>-0.33954010000000001</v>
      </c>
      <c r="W4388">
        <v>-2.4998220000000002E-2</v>
      </c>
      <c r="X4388">
        <v>0.94025930000000002</v>
      </c>
      <c r="Y4388">
        <v>-0.29076570000000002</v>
      </c>
      <c r="Z4388">
        <v>4.7948459999999998E-2</v>
      </c>
      <c r="AA4388">
        <v>0.95559210000000006</v>
      </c>
      <c r="AB4388">
        <v>31</v>
      </c>
      <c r="AC4388">
        <v>-2.6256999999999899</v>
      </c>
      <c r="AD4388">
        <v>-1.1165866920880001</v>
      </c>
      <c r="AE4388">
        <v>-14.2193</v>
      </c>
      <c r="AF4388">
        <v>-4.2581946121916197</v>
      </c>
      <c r="AG4388">
        <v>-1.1165866920880001</v>
      </c>
      <c r="AH4388">
        <v>13.728771518714099</v>
      </c>
      <c r="AI4388">
        <v>94.441878401410193</v>
      </c>
      <c r="AJ4388">
        <v>107.232099545322</v>
      </c>
      <c r="AK4388">
        <v>14.417286659052801</v>
      </c>
      <c r="AL4388">
        <v>91.432441760925698</v>
      </c>
      <c r="AM4388">
        <v>109.85532323073799</v>
      </c>
      <c r="AN4388">
        <v>0.99999997087383297</v>
      </c>
    </row>
    <row r="4389" spans="1:40" x14ac:dyDescent="0.25">
      <c r="A4389" t="str">
        <f>"20190305135917421"</f>
        <v>20190305135917421</v>
      </c>
      <c r="B4389" t="str">
        <f>"1551765557413742"</f>
        <v>1551765557413742</v>
      </c>
      <c r="C4389" t="s">
        <v>40</v>
      </c>
      <c r="D4389">
        <v>4.3068460000000002</v>
      </c>
      <c r="E4389">
        <v>0.51614609999999905</v>
      </c>
      <c r="F4389" t="s">
        <v>42</v>
      </c>
      <c r="G4389">
        <v>-417.71480000000003</v>
      </c>
      <c r="H4389" s="1">
        <v>-1.5694280000000001E-6</v>
      </c>
      <c r="I4389">
        <v>112.3462</v>
      </c>
      <c r="J4389">
        <v>-415.18740000000003</v>
      </c>
      <c r="K4389">
        <v>1.116455</v>
      </c>
      <c r="L4389">
        <v>126.5566</v>
      </c>
      <c r="M4389">
        <v>-0.45736729999999998</v>
      </c>
      <c r="N4389">
        <v>-1.4340510000000001E-2</v>
      </c>
      <c r="O4389">
        <v>-0.88916219999999901</v>
      </c>
      <c r="P4389">
        <v>-0.12859369999999901</v>
      </c>
      <c r="Q4389">
        <v>-3.3254619999999999E-2</v>
      </c>
      <c r="R4389">
        <v>-0.99113969999999996</v>
      </c>
      <c r="S4389">
        <v>-0.54199219999999904</v>
      </c>
      <c r="T4389">
        <v>-0.22716839999999999</v>
      </c>
      <c r="U4389">
        <v>-2.947845</v>
      </c>
      <c r="V4389">
        <v>-0.33863100000000002</v>
      </c>
      <c r="W4389">
        <v>-2.543374E-2</v>
      </c>
      <c r="X4389">
        <v>0.94057539999999995</v>
      </c>
      <c r="Y4389">
        <v>-0.28908299999999998</v>
      </c>
      <c r="Z4389">
        <v>4.8421720000000001E-2</v>
      </c>
      <c r="AA4389">
        <v>0.9560786</v>
      </c>
      <c r="AB4389">
        <v>31</v>
      </c>
      <c r="AC4389">
        <v>-2.5274000000000001</v>
      </c>
      <c r="AD4389">
        <v>-1.116456569428</v>
      </c>
      <c r="AE4389">
        <v>-14.2104</v>
      </c>
      <c r="AF4389">
        <v>-4.2272480098915404</v>
      </c>
      <c r="AG4389">
        <v>-1.116456569428</v>
      </c>
      <c r="AH4389">
        <v>13.7106834199296</v>
      </c>
      <c r="AI4389">
        <v>94.449509545368997</v>
      </c>
      <c r="AJ4389">
        <v>107.13546276865</v>
      </c>
      <c r="AK4389">
        <v>14.3909325913953</v>
      </c>
      <c r="AL4389">
        <v>91.457403178210996</v>
      </c>
      <c r="AM4389">
        <v>109.800162820926</v>
      </c>
      <c r="AN4389">
        <v>0.99999995618827198</v>
      </c>
    </row>
    <row r="4390" spans="1:40" x14ac:dyDescent="0.25">
      <c r="A4390" t="str">
        <f>"20190305135917442"</f>
        <v>20190305135917442</v>
      </c>
      <c r="B4390" t="str">
        <f>"1551765557433774"</f>
        <v>1551765557433774</v>
      </c>
      <c r="C4390" t="s">
        <v>40</v>
      </c>
      <c r="D4390">
        <v>4.0929320000000002</v>
      </c>
      <c r="E4390">
        <v>0.51643379999999905</v>
      </c>
      <c r="F4390" t="s">
        <v>42</v>
      </c>
      <c r="G4390">
        <v>-417.77719999999999</v>
      </c>
      <c r="H4390" s="1">
        <v>-1.404767E-6</v>
      </c>
      <c r="I4390">
        <v>111.98820000000001</v>
      </c>
      <c r="J4390">
        <v>-415.31610000000001</v>
      </c>
      <c r="K4390">
        <v>1.116333</v>
      </c>
      <c r="L4390">
        <v>126.2889</v>
      </c>
      <c r="M4390">
        <v>-0.45044800000000002</v>
      </c>
      <c r="N4390">
        <v>-1.431544E-2</v>
      </c>
      <c r="O4390">
        <v>-0.89268819999999904</v>
      </c>
      <c r="P4390">
        <v>-0.1217738</v>
      </c>
      <c r="Q4390">
        <v>-3.3464319999999999E-2</v>
      </c>
      <c r="R4390">
        <v>-0.99199380000000004</v>
      </c>
      <c r="S4390">
        <v>-0.52462769999999903</v>
      </c>
      <c r="T4390">
        <v>-0.22616620000000001</v>
      </c>
      <c r="U4390">
        <v>-2.951187</v>
      </c>
      <c r="V4390">
        <v>-0.3377966</v>
      </c>
      <c r="W4390">
        <v>-2.5543840000000002E-2</v>
      </c>
      <c r="X4390">
        <v>0.94087240000000005</v>
      </c>
      <c r="Y4390">
        <v>-0.28729090000000002</v>
      </c>
      <c r="Z4390">
        <v>4.8513399999999998E-2</v>
      </c>
      <c r="AA4390">
        <v>0.95661399999999996</v>
      </c>
      <c r="AB4390">
        <v>31</v>
      </c>
      <c r="AC4390">
        <v>-2.4610999999999801</v>
      </c>
      <c r="AD4390">
        <v>-1.1163344047669901</v>
      </c>
      <c r="AE4390">
        <v>-14.3006999999999</v>
      </c>
      <c r="AF4390">
        <v>-4.2201842240808496</v>
      </c>
      <c r="AG4390">
        <v>-1.1163344047669901</v>
      </c>
      <c r="AH4390">
        <v>13.7944418790954</v>
      </c>
      <c r="AI4390">
        <v>94.425066229128404</v>
      </c>
      <c r="AJ4390">
        <v>107.010635582151</v>
      </c>
      <c r="AK4390">
        <v>14.4686828752375</v>
      </c>
      <c r="AL4390">
        <v>91.463713500253107</v>
      </c>
      <c r="AM4390">
        <v>109.749400747682</v>
      </c>
      <c r="AN4390">
        <v>0.99999995190763102</v>
      </c>
    </row>
    <row r="4391" spans="1:40" x14ac:dyDescent="0.25">
      <c r="A4391" t="str">
        <f>"20190305135917464"</f>
        <v>20190305135917464</v>
      </c>
      <c r="B4391" t="str">
        <f>"1551765557453290"</f>
        <v>1551765557453290</v>
      </c>
      <c r="C4391" t="s">
        <v>40</v>
      </c>
      <c r="D4391">
        <v>4.1062180000000001</v>
      </c>
      <c r="E4391">
        <v>0.51707939999999997</v>
      </c>
      <c r="F4391" t="s">
        <v>42</v>
      </c>
      <c r="G4391">
        <v>-417.81360000000001</v>
      </c>
      <c r="H4391" s="1">
        <v>-1.2877950000000001E-6</v>
      </c>
      <c r="I4391">
        <v>111.72280000000001</v>
      </c>
      <c r="J4391">
        <v>-415.43990000000002</v>
      </c>
      <c r="K4391">
        <v>1.116228</v>
      </c>
      <c r="L4391">
        <v>126.0265</v>
      </c>
      <c r="M4391">
        <v>-0.44376189999999999</v>
      </c>
      <c r="N4391">
        <v>-1.4292579999999999E-2</v>
      </c>
      <c r="O4391">
        <v>-0.89603069999999896</v>
      </c>
      <c r="P4391">
        <v>-0.11514679999999999</v>
      </c>
      <c r="Q4391">
        <v>-3.3599070000000002E-2</v>
      </c>
      <c r="R4391">
        <v>-0.99278010000000005</v>
      </c>
      <c r="S4391">
        <v>-0.50656129999999999</v>
      </c>
      <c r="T4391">
        <v>-0.22642200000000001</v>
      </c>
      <c r="U4391">
        <v>-2.9543759999999999</v>
      </c>
      <c r="V4391">
        <v>-0.33704820000000002</v>
      </c>
      <c r="W4391">
        <v>-2.559434E-2</v>
      </c>
      <c r="X4391">
        <v>0.94113939999999996</v>
      </c>
      <c r="Y4391">
        <v>-0.2859893</v>
      </c>
      <c r="Z4391">
        <v>4.8923960000000002E-2</v>
      </c>
      <c r="AA4391">
        <v>0.95698309999999998</v>
      </c>
      <c r="AB4391">
        <v>31</v>
      </c>
      <c r="AC4391">
        <v>-2.3736999999999799</v>
      </c>
      <c r="AD4391">
        <v>-1.116229287795</v>
      </c>
      <c r="AE4391">
        <v>-14.3036999999999</v>
      </c>
      <c r="AF4391">
        <v>-4.1960914426939704</v>
      </c>
      <c r="AG4391">
        <v>-1.116229287795</v>
      </c>
      <c r="AH4391">
        <v>13.7896028197493</v>
      </c>
      <c r="AI4391">
        <v>94.428216096670994</v>
      </c>
      <c r="AJ4391">
        <v>106.92468301620001</v>
      </c>
      <c r="AK4391">
        <v>14.457050084468101</v>
      </c>
      <c r="AL4391">
        <v>91.466607864646406</v>
      </c>
      <c r="AM4391">
        <v>109.70385860093</v>
      </c>
      <c r="AN4391">
        <v>0.99999996479781705</v>
      </c>
    </row>
    <row r="4392" spans="1:40" x14ac:dyDescent="0.25">
      <c r="A4392" t="str">
        <f>"20190305135917486"</f>
        <v>20190305135917486</v>
      </c>
      <c r="B4392" t="str">
        <f>"1551765557483548"</f>
        <v>1551765557483548</v>
      </c>
      <c r="C4392" t="s">
        <v>40</v>
      </c>
      <c r="D4392">
        <v>4.1192129999999896</v>
      </c>
      <c r="E4392">
        <v>0.51779739999999996</v>
      </c>
      <c r="F4392" t="s">
        <v>42</v>
      </c>
      <c r="G4392">
        <v>-417.89109999999999</v>
      </c>
      <c r="H4392" s="1">
        <v>-1.1210809999999901E-6</v>
      </c>
      <c r="I4392">
        <v>111.29349999999999</v>
      </c>
      <c r="J4392">
        <v>-415.56920000000002</v>
      </c>
      <c r="K4392">
        <v>1.1161319999999999</v>
      </c>
      <c r="L4392">
        <v>125.74720000000001</v>
      </c>
      <c r="M4392">
        <v>-0.43673709999999999</v>
      </c>
      <c r="N4392">
        <v>-1.4270669999999999E-2</v>
      </c>
      <c r="O4392">
        <v>-0.89947600000000005</v>
      </c>
      <c r="P4392">
        <v>-0.1079137</v>
      </c>
      <c r="Q4392">
        <v>-3.4506179999999997E-2</v>
      </c>
      <c r="R4392">
        <v>-0.99356120000000003</v>
      </c>
      <c r="S4392">
        <v>-0.49200440000000001</v>
      </c>
      <c r="T4392">
        <v>-0.22404560000000001</v>
      </c>
      <c r="U4392">
        <v>-2.9571529999999999</v>
      </c>
      <c r="V4392">
        <v>-0.33651579999999998</v>
      </c>
      <c r="W4392">
        <v>-2.6430579999999999E-2</v>
      </c>
      <c r="X4392">
        <v>0.9413068</v>
      </c>
      <c r="Y4392">
        <v>-0.28322199999999997</v>
      </c>
      <c r="Z4392">
        <v>4.8639599999999998E-2</v>
      </c>
      <c r="AA4392">
        <v>0.95782020000000001</v>
      </c>
      <c r="AB4392">
        <v>31</v>
      </c>
      <c r="AC4392">
        <v>-2.3218999999999701</v>
      </c>
      <c r="AD4392">
        <v>-1.1161331210809999</v>
      </c>
      <c r="AE4392">
        <v>-14.4537</v>
      </c>
      <c r="AF4392">
        <v>-4.1999888358823299</v>
      </c>
      <c r="AG4392">
        <v>-1.1161331210809999</v>
      </c>
      <c r="AH4392">
        <v>13.9352362274706</v>
      </c>
      <c r="AI4392">
        <v>94.385256269254896</v>
      </c>
      <c r="AJ4392">
        <v>106.772462393653</v>
      </c>
      <c r="AK4392">
        <v>14.5971390375278</v>
      </c>
      <c r="AL4392">
        <v>91.514537092590004</v>
      </c>
      <c r="AM4392">
        <v>109.671895455819</v>
      </c>
      <c r="AN4392">
        <v>0.99999997546750696</v>
      </c>
    </row>
    <row r="4393" spans="1:40" x14ac:dyDescent="0.25">
      <c r="A4393" t="str">
        <f>"20190305135917509"</f>
        <v>20190305135917509</v>
      </c>
      <c r="B4393" t="str">
        <f>"1551765557503066"</f>
        <v>1551765557503066</v>
      </c>
      <c r="C4393" t="s">
        <v>40</v>
      </c>
      <c r="D4393">
        <v>4.1473100000000001</v>
      </c>
      <c r="E4393">
        <v>0.51818439999999999</v>
      </c>
      <c r="F4393" t="s">
        <v>42</v>
      </c>
      <c r="G4393">
        <v>-417.91809999999998</v>
      </c>
      <c r="H4393" s="1">
        <v>-1.0642820000000001E-6</v>
      </c>
      <c r="I4393">
        <v>111.1477</v>
      </c>
      <c r="J4393">
        <v>-415.69990000000001</v>
      </c>
      <c r="K4393">
        <v>1.116047</v>
      </c>
      <c r="L4393">
        <v>125.459</v>
      </c>
      <c r="M4393">
        <v>-0.42955969999999999</v>
      </c>
      <c r="N4393">
        <v>-1.425006E-2</v>
      </c>
      <c r="O4393">
        <v>-0.90292620000000001</v>
      </c>
      <c r="P4393">
        <v>-0.10097979999999999</v>
      </c>
      <c r="Q4393">
        <v>-3.6170580000000001E-2</v>
      </c>
      <c r="R4393">
        <v>-0.99423090000000003</v>
      </c>
      <c r="S4393">
        <v>-0.47622680000000001</v>
      </c>
      <c r="T4393">
        <v>-0.2262834</v>
      </c>
      <c r="U4393">
        <v>-2.9598849999999999</v>
      </c>
      <c r="V4393">
        <v>-0.33553949999999999</v>
      </c>
      <c r="W4393">
        <v>-2.8026189999999999E-2</v>
      </c>
      <c r="X4393">
        <v>0.94160909999999998</v>
      </c>
      <c r="Y4393">
        <v>-0.28070699999999998</v>
      </c>
      <c r="Z4393">
        <v>4.9631099999999997E-2</v>
      </c>
      <c r="AA4393">
        <v>0.95850939999999996</v>
      </c>
      <c r="AB4393">
        <v>31</v>
      </c>
      <c r="AC4393">
        <v>-2.21819999999996</v>
      </c>
      <c r="AD4393">
        <v>-1.1160480642820001</v>
      </c>
      <c r="AE4393">
        <v>-14.311299999999999</v>
      </c>
      <c r="AF4393">
        <v>-4.1206354870173199</v>
      </c>
      <c r="AG4393">
        <v>-1.1160480642820001</v>
      </c>
      <c r="AH4393">
        <v>13.794381918711199</v>
      </c>
      <c r="AI4393">
        <v>94.432770462160804</v>
      </c>
      <c r="AJ4393">
        <v>106.631852476912</v>
      </c>
      <c r="AK4393">
        <v>14.439881322847601</v>
      </c>
      <c r="AL4393">
        <v>91.605992755887598</v>
      </c>
      <c r="AM4393">
        <v>109.61336869007</v>
      </c>
      <c r="AN4393">
        <v>0.99999996029448701</v>
      </c>
    </row>
    <row r="4394" spans="1:40" x14ac:dyDescent="0.25">
      <c r="A4394" t="str">
        <f>"20190305135917532"</f>
        <v>20190305135917532</v>
      </c>
      <c r="B4394" t="str">
        <f>"1551765557523562"</f>
        <v>1551765557523562</v>
      </c>
      <c r="C4394" t="s">
        <v>40</v>
      </c>
      <c r="D4394">
        <v>4.113829</v>
      </c>
      <c r="E4394">
        <v>0.51860399999999995</v>
      </c>
      <c r="F4394" t="s">
        <v>42</v>
      </c>
      <c r="G4394">
        <v>-417.92079999999999</v>
      </c>
      <c r="H4394" s="1">
        <v>-1.044634E-6</v>
      </c>
      <c r="I4394">
        <v>111.0921</v>
      </c>
      <c r="J4394">
        <v>-415.81990000000002</v>
      </c>
      <c r="K4394">
        <v>1.11598</v>
      </c>
      <c r="L4394">
        <v>125.1889</v>
      </c>
      <c r="M4394">
        <v>-0.42288009999999898</v>
      </c>
      <c r="N4394">
        <v>-1.4232730000000001E-2</v>
      </c>
      <c r="O4394">
        <v>-0.90607409999999999</v>
      </c>
      <c r="P4394">
        <v>-9.4492190000000004E-2</v>
      </c>
      <c r="Q4394">
        <v>-3.7289030000000001E-2</v>
      </c>
      <c r="R4394">
        <v>-0.99482740000000003</v>
      </c>
      <c r="S4394">
        <v>-0.45797729999999998</v>
      </c>
      <c r="T4394">
        <v>-0.23013529999999999</v>
      </c>
      <c r="U4394">
        <v>-2.9625240000000002</v>
      </c>
      <c r="V4394">
        <v>-0.33469779999999999</v>
      </c>
      <c r="W4394">
        <v>-2.9092349999999999E-2</v>
      </c>
      <c r="X4394">
        <v>0.94187639999999995</v>
      </c>
      <c r="Y4394">
        <v>-0.27952329999999997</v>
      </c>
      <c r="Z4394">
        <v>5.1033389999999998E-2</v>
      </c>
      <c r="AA4394">
        <v>0.95878169999999996</v>
      </c>
      <c r="AB4394">
        <v>31</v>
      </c>
      <c r="AC4394">
        <v>-2.1008999999999598</v>
      </c>
      <c r="AD4394">
        <v>-1.1159810446339999</v>
      </c>
      <c r="AE4394">
        <v>-14.0968</v>
      </c>
      <c r="AF4394">
        <v>-4.0333666935277703</v>
      </c>
      <c r="AG4394">
        <v>-1.1159810446339999</v>
      </c>
      <c r="AH4394">
        <v>13.579300345680499</v>
      </c>
      <c r="AI4394">
        <v>94.504505178909596</v>
      </c>
      <c r="AJ4394">
        <v>106.542638890435</v>
      </c>
      <c r="AK4394">
        <v>14.2095340688793</v>
      </c>
      <c r="AL4394">
        <v>91.667103977992895</v>
      </c>
      <c r="AM4394">
        <v>109.56277865952499</v>
      </c>
      <c r="AN4394">
        <v>1.0000000675151499</v>
      </c>
    </row>
    <row r="4395" spans="1:40" x14ac:dyDescent="0.25">
      <c r="A4395" t="str">
        <f>"20190305135917553"</f>
        <v>20190305135917553</v>
      </c>
      <c r="B4395" t="str">
        <f>"1551765557543082"</f>
        <v>1551765557543082</v>
      </c>
      <c r="C4395" t="s">
        <v>40</v>
      </c>
      <c r="D4395">
        <v>4.1420490000000001</v>
      </c>
      <c r="E4395">
        <v>0.51895000000000002</v>
      </c>
      <c r="F4395" t="s">
        <v>42</v>
      </c>
      <c r="G4395">
        <v>-417.89620000000002</v>
      </c>
      <c r="H4395" s="1">
        <v>-1.109755E-6</v>
      </c>
      <c r="I4395">
        <v>111.2642</v>
      </c>
      <c r="J4395">
        <v>-415.93729999999999</v>
      </c>
      <c r="K4395">
        <v>1.1159330000000001</v>
      </c>
      <c r="L4395">
        <v>124.91970000000001</v>
      </c>
      <c r="M4395">
        <v>-0.41624889999999998</v>
      </c>
      <c r="N4395">
        <v>-1.421743E-2</v>
      </c>
      <c r="O4395">
        <v>-0.90913949999999999</v>
      </c>
      <c r="P4395">
        <v>-8.8307949999999996E-2</v>
      </c>
      <c r="Q4395">
        <v>-3.7921539999999997E-2</v>
      </c>
      <c r="R4395">
        <v>-0.99537100000000001</v>
      </c>
      <c r="S4395">
        <v>-0.44204710000000003</v>
      </c>
      <c r="T4395">
        <v>-0.2376027</v>
      </c>
      <c r="U4395">
        <v>-2.9646910000000002</v>
      </c>
      <c r="V4395">
        <v>-0.3336537</v>
      </c>
      <c r="W4395">
        <v>-2.967701E-2</v>
      </c>
      <c r="X4395">
        <v>0.94222839999999997</v>
      </c>
      <c r="Y4395">
        <v>-0.27766469999999999</v>
      </c>
      <c r="Z4395">
        <v>5.3470049999999998E-2</v>
      </c>
      <c r="AA4395">
        <v>0.95918890000000001</v>
      </c>
      <c r="AB4395">
        <v>31</v>
      </c>
      <c r="AC4395">
        <v>-1.9589000000000201</v>
      </c>
      <c r="AD4395">
        <v>-1.115934109755</v>
      </c>
      <c r="AE4395">
        <v>-13.6555</v>
      </c>
      <c r="AF4395">
        <v>-3.8781909411919302</v>
      </c>
      <c r="AG4395">
        <v>-1.115934109755</v>
      </c>
      <c r="AH4395">
        <v>13.145463909482</v>
      </c>
      <c r="AI4395">
        <v>94.654853602949501</v>
      </c>
      <c r="AJ4395">
        <v>106.437178264815</v>
      </c>
      <c r="AK4395">
        <v>13.750959795925199</v>
      </c>
      <c r="AL4395">
        <v>91.700617220189798</v>
      </c>
      <c r="AM4395">
        <v>109.499628467523</v>
      </c>
      <c r="AN4395">
        <v>0.99999993710639301</v>
      </c>
    </row>
    <row r="4396" spans="1:40" x14ac:dyDescent="0.25">
      <c r="A4396" t="str">
        <f>"20190305135917577"</f>
        <v>20190305135917577</v>
      </c>
      <c r="B4396" t="str">
        <f>"1551765557573338"</f>
        <v>1551765557573338</v>
      </c>
      <c r="C4396" t="s">
        <v>40</v>
      </c>
      <c r="D4396">
        <v>4.071574</v>
      </c>
      <c r="E4396">
        <v>0.51958950000000004</v>
      </c>
      <c r="F4396" t="s">
        <v>42</v>
      </c>
      <c r="G4396">
        <v>-417.928</v>
      </c>
      <c r="H4396" s="1">
        <v>-1.033885E-6</v>
      </c>
      <c r="I4396">
        <v>111.06619999999999</v>
      </c>
      <c r="J4396">
        <v>-416.05930000000001</v>
      </c>
      <c r="K4396">
        <v>1.115891</v>
      </c>
      <c r="L4396">
        <v>124.634</v>
      </c>
      <c r="M4396">
        <v>-0.40922069999999999</v>
      </c>
      <c r="N4396">
        <v>-1.420304E-2</v>
      </c>
      <c r="O4396">
        <v>-0.91232500000000005</v>
      </c>
      <c r="P4396">
        <v>-8.153755E-2</v>
      </c>
      <c r="Q4396">
        <v>-3.875253E-2</v>
      </c>
      <c r="R4396">
        <v>-0.99591660000000004</v>
      </c>
      <c r="S4396">
        <v>-0.42636109999999999</v>
      </c>
      <c r="T4396">
        <v>-0.23899880000000001</v>
      </c>
      <c r="U4396">
        <v>-2.9670100000000001</v>
      </c>
      <c r="V4396">
        <v>-0.33276699999999998</v>
      </c>
      <c r="W4396">
        <v>-3.0469199999999998E-2</v>
      </c>
      <c r="X4396">
        <v>0.94251669999999999</v>
      </c>
      <c r="Y4396">
        <v>-0.2753313</v>
      </c>
      <c r="Z4396">
        <v>5.4224809999999998E-2</v>
      </c>
      <c r="AA4396">
        <v>0.95981890000000003</v>
      </c>
      <c r="AB4396">
        <v>31</v>
      </c>
      <c r="AC4396">
        <v>-1.86870000000004</v>
      </c>
      <c r="AD4396">
        <v>-1.115892033885</v>
      </c>
      <c r="AE4396">
        <v>-13.5678</v>
      </c>
      <c r="AF4396">
        <v>-3.8223760831566</v>
      </c>
      <c r="AG4396">
        <v>-1.115892033885</v>
      </c>
      <c r="AH4396">
        <v>13.0575965861449</v>
      </c>
      <c r="AI4396">
        <v>94.688751957472803</v>
      </c>
      <c r="AJ4396">
        <v>106.31644108955</v>
      </c>
      <c r="AK4396">
        <v>13.651249120827</v>
      </c>
      <c r="AL4396">
        <v>91.7460268157012</v>
      </c>
      <c r="AM4396">
        <v>109.446199580821</v>
      </c>
      <c r="AN4396">
        <v>0.99999998910826404</v>
      </c>
    </row>
    <row r="4397" spans="1:40" x14ac:dyDescent="0.25">
      <c r="A4397" t="str">
        <f>"20190305135917599"</f>
        <v>20190305135917599</v>
      </c>
      <c r="B4397" t="str">
        <f>"1551765557593834"</f>
        <v>1551765557593834</v>
      </c>
      <c r="C4397" t="s">
        <v>40</v>
      </c>
      <c r="D4397">
        <v>3.9698739999999999</v>
      </c>
      <c r="E4397">
        <v>0.51981659999999996</v>
      </c>
      <c r="F4397" t="s">
        <v>42</v>
      </c>
      <c r="G4397">
        <v>-417.95249999999999</v>
      </c>
      <c r="H4397" s="1">
        <v>-9.9374860000000002E-7</v>
      </c>
      <c r="I4397">
        <v>110.9674</v>
      </c>
      <c r="J4397">
        <v>-416.17649999999998</v>
      </c>
      <c r="K4397">
        <v>1.1158539999999999</v>
      </c>
      <c r="L4397">
        <v>124.3536</v>
      </c>
      <c r="M4397">
        <v>-0.40232630000000003</v>
      </c>
      <c r="N4397">
        <v>-1.4190609999999999E-2</v>
      </c>
      <c r="O4397">
        <v>-0.91538660000000005</v>
      </c>
      <c r="P4397">
        <v>-7.4153960000000005E-2</v>
      </c>
      <c r="Q4397">
        <v>-3.9626340000000003E-2</v>
      </c>
      <c r="R4397">
        <v>-0.9964594</v>
      </c>
      <c r="S4397">
        <v>-0.41131590000000001</v>
      </c>
      <c r="T4397">
        <v>-0.24243690000000001</v>
      </c>
      <c r="U4397">
        <v>-2.9691930000000002</v>
      </c>
      <c r="V4397">
        <v>-0.332617</v>
      </c>
      <c r="W4397">
        <v>-3.1325099999999897E-2</v>
      </c>
      <c r="X4397">
        <v>0.94254159999999998</v>
      </c>
      <c r="Y4397">
        <v>-0.27295540000000001</v>
      </c>
      <c r="Z4397">
        <v>5.5551290000000003E-2</v>
      </c>
      <c r="AA4397">
        <v>0.96042139999999998</v>
      </c>
      <c r="AB4397">
        <v>31</v>
      </c>
      <c r="AC4397">
        <v>-1.77600000000001</v>
      </c>
      <c r="AD4397">
        <v>-1.1158549937486</v>
      </c>
      <c r="AE4397">
        <v>-13.386200000000001</v>
      </c>
      <c r="AF4397">
        <v>-3.7347687725009702</v>
      </c>
      <c r="AG4397">
        <v>-1.1158549937486</v>
      </c>
      <c r="AH4397">
        <v>12.8814223076256</v>
      </c>
      <c r="AI4397">
        <v>94.755984575089599</v>
      </c>
      <c r="AJ4397">
        <v>106.16869736356</v>
      </c>
      <c r="AK4397">
        <v>13.458256603978</v>
      </c>
      <c r="AL4397">
        <v>91.795089681520594</v>
      </c>
      <c r="AM4397">
        <v>109.43761630386901</v>
      </c>
      <c r="AN4397">
        <v>0.99999999915478499</v>
      </c>
    </row>
    <row r="4398" spans="1:40" x14ac:dyDescent="0.25">
      <c r="A4398" t="str">
        <f>"20190305135917622"</f>
        <v>20190305135917622</v>
      </c>
      <c r="B4398" t="str">
        <f>"1551765557613358"</f>
        <v>1551765557613358</v>
      </c>
      <c r="C4398" t="s">
        <v>40</v>
      </c>
      <c r="D4398">
        <v>4.0521669999999999</v>
      </c>
      <c r="E4398">
        <v>0.52031130000000003</v>
      </c>
      <c r="F4398" t="s">
        <v>42</v>
      </c>
      <c r="G4398">
        <v>-417.95089999999999</v>
      </c>
      <c r="H4398" s="1">
        <v>-9.6787120000000001E-7</v>
      </c>
      <c r="I4398">
        <v>110.89</v>
      </c>
      <c r="J4398">
        <v>-416.29270000000002</v>
      </c>
      <c r="K4398">
        <v>1.115826</v>
      </c>
      <c r="L4398">
        <v>124.0694</v>
      </c>
      <c r="M4398">
        <v>-0.39533509999999999</v>
      </c>
      <c r="N4398">
        <v>-1.417937E-2</v>
      </c>
      <c r="O4398">
        <v>-0.91842769999999996</v>
      </c>
      <c r="P4398">
        <v>-6.6636749999999995E-2</v>
      </c>
      <c r="Q4398">
        <v>-4.0326819999999999E-2</v>
      </c>
      <c r="R4398">
        <v>-0.99696200000000001</v>
      </c>
      <c r="S4398">
        <v>-0.39163209999999998</v>
      </c>
      <c r="T4398">
        <v>-0.24629380000000001</v>
      </c>
      <c r="U4398">
        <v>-2.9717099999999999</v>
      </c>
      <c r="V4398">
        <v>-0.33251940000000002</v>
      </c>
      <c r="W4398">
        <v>-3.2012319999999997E-2</v>
      </c>
      <c r="X4398">
        <v>0.94255290000000003</v>
      </c>
      <c r="Y4398">
        <v>-0.27198689999999998</v>
      </c>
      <c r="Z4398">
        <v>5.6980910000000003E-2</v>
      </c>
      <c r="AA4398">
        <v>0.96061249999999998</v>
      </c>
      <c r="AB4398">
        <v>31</v>
      </c>
      <c r="AC4398">
        <v>-1.6581999999999599</v>
      </c>
      <c r="AD4398">
        <v>-1.1158269678712001</v>
      </c>
      <c r="AE4398">
        <v>-13.179399999999999</v>
      </c>
      <c r="AF4398">
        <v>-3.6618731860976501</v>
      </c>
      <c r="AG4398">
        <v>-1.1158269678712001</v>
      </c>
      <c r="AH4398">
        <v>12.671735000977501</v>
      </c>
      <c r="AI4398">
        <v>94.835421252234894</v>
      </c>
      <c r="AJ4398">
        <v>106.11821628128099</v>
      </c>
      <c r="AK4398">
        <v>13.237343124218301</v>
      </c>
      <c r="AL4398">
        <v>91.834484329096298</v>
      </c>
      <c r="AM4398">
        <v>109.432124688263</v>
      </c>
      <c r="AN4398">
        <v>0.99999995465327496</v>
      </c>
    </row>
    <row r="4399" spans="1:40" x14ac:dyDescent="0.25">
      <c r="A4399" t="str">
        <f>"20190305135917643"</f>
        <v>20190305135917643</v>
      </c>
      <c r="B4399" t="str">
        <f>"1551765557633850"</f>
        <v>1551765557633850</v>
      </c>
      <c r="C4399" t="s">
        <v>40</v>
      </c>
      <c r="D4399">
        <v>3.9840680000000002</v>
      </c>
      <c r="E4399">
        <v>0.52068019999999904</v>
      </c>
      <c r="F4399" t="s">
        <v>42</v>
      </c>
      <c r="G4399">
        <v>-417.95420000000001</v>
      </c>
      <c r="H4399" s="1">
        <v>-9.4373619999999999E-7</v>
      </c>
      <c r="I4399">
        <v>110.82170000000001</v>
      </c>
      <c r="J4399">
        <v>-416.39870000000002</v>
      </c>
      <c r="K4399">
        <v>1.115801</v>
      </c>
      <c r="L4399">
        <v>123.8045</v>
      </c>
      <c r="M4399">
        <v>-0.38881480000000002</v>
      </c>
      <c r="N4399">
        <v>-1.4169899999999999E-2</v>
      </c>
      <c r="O4399">
        <v>-0.92120729999999995</v>
      </c>
      <c r="P4399">
        <v>-5.9664630000000003E-2</v>
      </c>
      <c r="Q4399">
        <v>-4.0925759999999999E-2</v>
      </c>
      <c r="R4399">
        <v>-0.99737980000000004</v>
      </c>
      <c r="S4399">
        <v>-0.37298579999999998</v>
      </c>
      <c r="T4399">
        <v>-0.25050070000000002</v>
      </c>
      <c r="U4399">
        <v>-2.974075</v>
      </c>
      <c r="V4399">
        <v>-0.3324107</v>
      </c>
      <c r="W4399">
        <v>-3.260072E-2</v>
      </c>
      <c r="X4399">
        <v>0.94257120000000005</v>
      </c>
      <c r="Y4399">
        <v>-0.27119739999999998</v>
      </c>
      <c r="Z4399">
        <v>5.8488529999999997E-2</v>
      </c>
      <c r="AA4399">
        <v>0.96074499999999996</v>
      </c>
      <c r="AB4399">
        <v>30</v>
      </c>
      <c r="AC4399">
        <v>-1.5554999999999899</v>
      </c>
      <c r="AD4399">
        <v>-1.1158019437361999</v>
      </c>
      <c r="AE4399">
        <v>-12.9827999999999</v>
      </c>
      <c r="AF4399">
        <v>-3.5891923647911699</v>
      </c>
      <c r="AG4399">
        <v>-1.1158019437361999</v>
      </c>
      <c r="AH4399">
        <v>12.475066452231999</v>
      </c>
      <c r="AI4399">
        <v>94.912824748962606</v>
      </c>
      <c r="AJ4399">
        <v>106.05101800552001</v>
      </c>
      <c r="AK4399">
        <v>13.0289907052206</v>
      </c>
      <c r="AL4399">
        <v>91.868214552232104</v>
      </c>
      <c r="AM4399">
        <v>109.425899271764</v>
      </c>
      <c r="AN4399">
        <v>1.0000000737442201</v>
      </c>
    </row>
    <row r="4400" spans="1:40" x14ac:dyDescent="0.25">
      <c r="A4400" t="str">
        <f>"20190305135917666"</f>
        <v>20190305135917666</v>
      </c>
      <c r="B4400" t="str">
        <f>"1551765557653370"</f>
        <v>1551765557653370</v>
      </c>
      <c r="C4400" t="s">
        <v>40</v>
      </c>
      <c r="D4400">
        <v>4.0945029999999996</v>
      </c>
      <c r="E4400">
        <v>0.52108319999999997</v>
      </c>
      <c r="F4400" t="s">
        <v>42</v>
      </c>
      <c r="G4400">
        <v>-417.94720000000001</v>
      </c>
      <c r="H4400" s="1">
        <v>-9.4810930000000004E-7</v>
      </c>
      <c r="I4400">
        <v>110.8291</v>
      </c>
      <c r="J4400">
        <v>-416.50940000000003</v>
      </c>
      <c r="K4400">
        <v>1.115783</v>
      </c>
      <c r="L4400">
        <v>123.52200000000001</v>
      </c>
      <c r="M4400">
        <v>-0.38185590000000003</v>
      </c>
      <c r="N4400">
        <v>-1.416065E-2</v>
      </c>
      <c r="O4400">
        <v>-0.92411330000000003</v>
      </c>
      <c r="P4400">
        <v>-5.227383E-2</v>
      </c>
      <c r="Q4400">
        <v>-4.1346519999999998E-2</v>
      </c>
      <c r="R4400">
        <v>-0.99777660000000001</v>
      </c>
      <c r="S4400">
        <v>-0.35516360000000002</v>
      </c>
      <c r="T4400">
        <v>-0.25592910000000002</v>
      </c>
      <c r="U4400">
        <v>-2.9761350000000002</v>
      </c>
      <c r="V4400">
        <v>-0.33227400000000001</v>
      </c>
      <c r="W4400">
        <v>-3.3011140000000001E-2</v>
      </c>
      <c r="X4400">
        <v>0.94260500000000003</v>
      </c>
      <c r="Y4400">
        <v>-0.26969929999999998</v>
      </c>
      <c r="Z4400">
        <v>6.0388989999999997E-2</v>
      </c>
      <c r="AA4400">
        <v>0.96104909999999999</v>
      </c>
      <c r="AB4400">
        <v>30</v>
      </c>
      <c r="AC4400">
        <v>-1.43779999999998</v>
      </c>
      <c r="AD4400">
        <v>-1.1157839481092999</v>
      </c>
      <c r="AE4400">
        <v>-12.6929</v>
      </c>
      <c r="AF4400">
        <v>-3.4918800958811498</v>
      </c>
      <c r="AG4400">
        <v>-1.1157839481092999</v>
      </c>
      <c r="AH4400">
        <v>12.1869608103322</v>
      </c>
      <c r="AI4400">
        <v>95.029867474368004</v>
      </c>
      <c r="AJ4400">
        <v>105.98837994875601</v>
      </c>
      <c r="AK4400">
        <v>12.726359032160101</v>
      </c>
      <c r="AL4400">
        <v>91.891742752112805</v>
      </c>
      <c r="AM4400">
        <v>109.417864347049</v>
      </c>
      <c r="AN4400">
        <v>0.99999996623254905</v>
      </c>
    </row>
    <row r="4401" spans="1:40" x14ac:dyDescent="0.25">
      <c r="A4401" t="str">
        <f>"20190305135917688"</f>
        <v>20190305135917688</v>
      </c>
      <c r="B4401" t="str">
        <f>"1551765557683626"</f>
        <v>1551765557683626</v>
      </c>
      <c r="C4401" t="s">
        <v>40</v>
      </c>
      <c r="D4401">
        <v>4.0441940000000001</v>
      </c>
      <c r="E4401">
        <v>0.52195230000000004</v>
      </c>
      <c r="F4401" t="s">
        <v>42</v>
      </c>
      <c r="G4401">
        <v>-417.95710000000003</v>
      </c>
      <c r="H4401" s="1">
        <v>-9.0265980000000003E-7</v>
      </c>
      <c r="I4401">
        <v>110.7033</v>
      </c>
      <c r="J4401">
        <v>-416.61930000000001</v>
      </c>
      <c r="K4401">
        <v>1.1157619999999999</v>
      </c>
      <c r="L4401">
        <v>123.23520000000001</v>
      </c>
      <c r="M4401">
        <v>-0.37478260000000002</v>
      </c>
      <c r="N4401">
        <v>-1.4152090000000001E-2</v>
      </c>
      <c r="O4401">
        <v>-0.92700479999999996</v>
      </c>
      <c r="P4401">
        <v>-4.4916209999999998E-2</v>
      </c>
      <c r="Q4401">
        <v>-4.1830279999999997E-2</v>
      </c>
      <c r="R4401">
        <v>-0.99811459999999996</v>
      </c>
      <c r="S4401">
        <v>-0.33636470000000002</v>
      </c>
      <c r="T4401">
        <v>-0.25924229999999998</v>
      </c>
      <c r="U4401">
        <v>-2.9783170000000001</v>
      </c>
      <c r="V4401">
        <v>-0.33200629999999998</v>
      </c>
      <c r="W4401">
        <v>-3.3483159999999998E-2</v>
      </c>
      <c r="X4401">
        <v>0.94268269999999998</v>
      </c>
      <c r="Y4401">
        <v>-0.26841599999999999</v>
      </c>
      <c r="Z4401">
        <v>6.1683000000000002E-2</v>
      </c>
      <c r="AA4401">
        <v>0.96132620000000002</v>
      </c>
      <c r="AB4401">
        <v>30</v>
      </c>
      <c r="AC4401">
        <v>-1.3378000000000101</v>
      </c>
      <c r="AD4401">
        <v>-1.1157629026597999</v>
      </c>
      <c r="AE4401">
        <v>-12.5319</v>
      </c>
      <c r="AF4401">
        <v>-3.4300531949650099</v>
      </c>
      <c r="AG4401">
        <v>-1.1157629026597999</v>
      </c>
      <c r="AH4401">
        <v>12.025476164732201</v>
      </c>
      <c r="AI4401">
        <v>95.098695945794205</v>
      </c>
      <c r="AJ4401">
        <v>105.91985657304799</v>
      </c>
      <c r="AK4401">
        <v>12.554770757118</v>
      </c>
      <c r="AL4401">
        <v>91.9188024229787</v>
      </c>
      <c r="AM4401">
        <v>109.401909713693</v>
      </c>
      <c r="AN4401">
        <v>0.99999998906128196</v>
      </c>
    </row>
    <row r="4402" spans="1:40" x14ac:dyDescent="0.25">
      <c r="A4402" t="str">
        <f>"20190305135917711"</f>
        <v>20190305135917711</v>
      </c>
      <c r="B4402" t="str">
        <f>"1551765557703149"</f>
        <v>1551765557703149</v>
      </c>
      <c r="C4402" t="s">
        <v>40</v>
      </c>
      <c r="D4402">
        <v>4.0950150000000001</v>
      </c>
      <c r="E4402">
        <v>0.52219450000000001</v>
      </c>
      <c r="F4402" t="s">
        <v>42</v>
      </c>
      <c r="G4402">
        <v>-417.9871</v>
      </c>
      <c r="H4402" s="1">
        <v>-8.4651569999999995E-7</v>
      </c>
      <c r="I4402">
        <v>110.5617</v>
      </c>
      <c r="J4402">
        <v>-416.72750000000002</v>
      </c>
      <c r="K4402">
        <v>1.1157509999999999</v>
      </c>
      <c r="L4402">
        <v>122.94629999999999</v>
      </c>
      <c r="M4402">
        <v>-0.36765429999999999</v>
      </c>
      <c r="N4402">
        <v>-1.4144189999999999E-2</v>
      </c>
      <c r="O4402">
        <v>-0.92985499999999999</v>
      </c>
      <c r="P4402">
        <v>-3.8131669999999999E-2</v>
      </c>
      <c r="Q4402">
        <v>-4.1131689999999999E-2</v>
      </c>
      <c r="R4402">
        <v>-0.99842580000000003</v>
      </c>
      <c r="S4402">
        <v>-0.32162479999999999</v>
      </c>
      <c r="T4402">
        <v>-0.26237450000000001</v>
      </c>
      <c r="U4402">
        <v>-2.980194</v>
      </c>
      <c r="V4402">
        <v>-0.3311982</v>
      </c>
      <c r="W4402">
        <v>-3.276213E-2</v>
      </c>
      <c r="X4402">
        <v>0.94299230000000001</v>
      </c>
      <c r="Y4402">
        <v>-0.26579269999999999</v>
      </c>
      <c r="Z4402">
        <v>6.2949320000000003E-2</v>
      </c>
      <c r="AA4402">
        <v>0.96197279999999996</v>
      </c>
      <c r="AB4402">
        <v>30</v>
      </c>
      <c r="AC4402">
        <v>-1.2595999999999701</v>
      </c>
      <c r="AD4402">
        <v>-1.1157518465156999</v>
      </c>
      <c r="AE4402">
        <v>-12.384599999999899</v>
      </c>
      <c r="AF4402">
        <v>-3.35538899285981</v>
      </c>
      <c r="AG4402">
        <v>-1.1157518465156999</v>
      </c>
      <c r="AH4402">
        <v>11.884702522731301</v>
      </c>
      <c r="AI4402">
        <v>95.162629325670906</v>
      </c>
      <c r="AJ4402">
        <v>105.765880005531</v>
      </c>
      <c r="AK4402">
        <v>12.3995843289291</v>
      </c>
      <c r="AL4402">
        <v>91.877467666967604</v>
      </c>
      <c r="AM4402">
        <v>109.352319024433</v>
      </c>
      <c r="AN4402">
        <v>1.00000004135233</v>
      </c>
    </row>
    <row r="4403" spans="1:40" x14ac:dyDescent="0.25">
      <c r="A4403" t="str">
        <f>"20190305135917744"</f>
        <v>20190305135917744</v>
      </c>
      <c r="B4403" t="str">
        <f>"1551765557733402"</f>
        <v>1551765557733402</v>
      </c>
      <c r="C4403" t="s">
        <v>40</v>
      </c>
      <c r="D4403">
        <v>4.0419960000000001</v>
      </c>
      <c r="E4403">
        <v>0.53455419999999998</v>
      </c>
      <c r="F4403" t="s">
        <v>42</v>
      </c>
      <c r="G4403">
        <v>-418.02199999999999</v>
      </c>
      <c r="H4403" s="1">
        <v>-7.1606040000000004E-7</v>
      </c>
      <c r="I4403">
        <v>110.20569999999999</v>
      </c>
      <c r="J4403">
        <v>-416.87459999999999</v>
      </c>
      <c r="K4403">
        <v>1.115745</v>
      </c>
      <c r="L4403">
        <v>122.5424</v>
      </c>
      <c r="M4403">
        <v>-0.35768129999999998</v>
      </c>
      <c r="N4403">
        <v>-1.413419E-2</v>
      </c>
      <c r="O4403">
        <v>-0.93373669999999998</v>
      </c>
      <c r="P4403">
        <v>-2.8464799999999998E-2</v>
      </c>
      <c r="Q4403">
        <v>-3.8906360000000001E-2</v>
      </c>
      <c r="R4403">
        <v>-0.99883750000000004</v>
      </c>
      <c r="S4403">
        <v>-0.30300899999999997</v>
      </c>
      <c r="T4403">
        <v>-0.2611812</v>
      </c>
      <c r="U4403">
        <v>-2.9823909999999998</v>
      </c>
      <c r="V4403">
        <v>-0.33030120000000002</v>
      </c>
      <c r="W4403">
        <v>-3.0510590000000001E-2</v>
      </c>
      <c r="X4403">
        <v>0.94338230000000001</v>
      </c>
      <c r="Y4403">
        <v>-0.26149319999999998</v>
      </c>
      <c r="Z4403">
        <v>6.3105519999999998E-2</v>
      </c>
      <c r="AA4403">
        <v>0.9631402</v>
      </c>
      <c r="AB4403">
        <v>30</v>
      </c>
      <c r="AC4403">
        <v>-1.1474</v>
      </c>
      <c r="AD4403">
        <v>-1.1157457160603901</v>
      </c>
      <c r="AE4403">
        <v>-12.3367</v>
      </c>
      <c r="AF4403">
        <v>-3.3146910015259299</v>
      </c>
      <c r="AG4403">
        <v>-1.1157457160603901</v>
      </c>
      <c r="AH4403">
        <v>11.8348511666509</v>
      </c>
      <c r="AI4403">
        <v>95.187252518251697</v>
      </c>
      <c r="AJ4403">
        <v>105.646433441559</v>
      </c>
      <c r="AK4403">
        <v>12.3408171153811</v>
      </c>
      <c r="AL4403">
        <v>91.748399422101699</v>
      </c>
      <c r="AM4403">
        <v>109.296397792376</v>
      </c>
      <c r="AN4403">
        <v>0.99999997138843799</v>
      </c>
    </row>
    <row r="4404" spans="1:40" x14ac:dyDescent="0.25">
      <c r="A4404" t="str">
        <f>"20190305135917766"</f>
        <v>20190305135917766</v>
      </c>
      <c r="B4404" t="str">
        <f>"1551765557763659"</f>
        <v>1551765557763659</v>
      </c>
      <c r="C4404" t="s">
        <v>40</v>
      </c>
      <c r="D4404">
        <v>4.0651229999999998</v>
      </c>
      <c r="E4404">
        <v>0.53521560000000001</v>
      </c>
      <c r="F4404" t="s">
        <v>42</v>
      </c>
      <c r="G4404">
        <v>-418.3021</v>
      </c>
      <c r="H4404" s="1">
        <v>-9.9173060000000001E-7</v>
      </c>
      <c r="I4404">
        <v>111.23480000000001</v>
      </c>
      <c r="J4404">
        <v>-416.97710000000001</v>
      </c>
      <c r="K4404">
        <v>1.115737</v>
      </c>
      <c r="L4404">
        <v>122.2525</v>
      </c>
      <c r="M4404">
        <v>-0.35052179999999999</v>
      </c>
      <c r="N4404">
        <v>-1.412765E-2</v>
      </c>
      <c r="O4404">
        <v>-0.93644799999999995</v>
      </c>
      <c r="P4404">
        <v>-2.1462910000000002E-2</v>
      </c>
      <c r="Q4404">
        <v>-3.8354399999999997E-2</v>
      </c>
      <c r="R4404">
        <v>-0.99903390000000003</v>
      </c>
      <c r="S4404">
        <v>-0.37637330000000002</v>
      </c>
      <c r="T4404">
        <v>-0.2941704</v>
      </c>
      <c r="U4404">
        <v>-2.981293</v>
      </c>
      <c r="V4404">
        <v>-0.32970759999999899</v>
      </c>
      <c r="W4404">
        <v>-2.9941889999999999E-2</v>
      </c>
      <c r="X4404">
        <v>0.94360820000000001</v>
      </c>
      <c r="Y4404">
        <v>-0.23064509999999999</v>
      </c>
      <c r="Z4404">
        <v>7.351597E-2</v>
      </c>
      <c r="AA4404">
        <v>0.97025680000000003</v>
      </c>
      <c r="AB4404">
        <v>30</v>
      </c>
      <c r="AC4404">
        <v>-1.32499999999998</v>
      </c>
      <c r="AD4404">
        <v>-1.1157379917306001</v>
      </c>
      <c r="AE4404">
        <v>-11.0176999999999</v>
      </c>
      <c r="AF4404">
        <v>-2.5951775350835402</v>
      </c>
      <c r="AG4404">
        <v>-1.1157379917306001</v>
      </c>
      <c r="AH4404">
        <v>10.6751065509242</v>
      </c>
      <c r="AI4404">
        <v>95.799059466701195</v>
      </c>
      <c r="AJ4404">
        <v>103.663857785174</v>
      </c>
      <c r="AK4404">
        <v>11.042541264508699</v>
      </c>
      <c r="AL4404">
        <v>91.715800320956404</v>
      </c>
      <c r="AM4404">
        <v>109.260004247018</v>
      </c>
      <c r="AN4404">
        <v>1.00000002669088</v>
      </c>
    </row>
    <row r="4405" spans="1:40" x14ac:dyDescent="0.25">
      <c r="A4405" t="str">
        <f>"20190305135917790"</f>
        <v>20190305135917790</v>
      </c>
      <c r="B4405" t="str">
        <f>"1551765557783178"</f>
        <v>1551765557783178</v>
      </c>
      <c r="C4405" t="s">
        <v>40</v>
      </c>
      <c r="D4405">
        <v>4.0522929999999997</v>
      </c>
      <c r="E4405">
        <v>0.53565059999999998</v>
      </c>
      <c r="F4405" t="s">
        <v>42</v>
      </c>
      <c r="G4405">
        <v>-418.35860000000002</v>
      </c>
      <c r="H4405" s="1">
        <v>-8.3859399999999899E-7</v>
      </c>
      <c r="I4405">
        <v>110.8289</v>
      </c>
      <c r="J4405">
        <v>-417.07810000000001</v>
      </c>
      <c r="K4405">
        <v>1.115723</v>
      </c>
      <c r="L4405">
        <v>121.95950000000001</v>
      </c>
      <c r="M4405">
        <v>-0.34328350000000002</v>
      </c>
      <c r="N4405">
        <v>-1.412149E-2</v>
      </c>
      <c r="O4405">
        <v>-0.93912569999999995</v>
      </c>
      <c r="P4405">
        <v>-1.439942E-2</v>
      </c>
      <c r="Q4405">
        <v>-3.8214819999999997E-2</v>
      </c>
      <c r="R4405">
        <v>-0.99916590000000005</v>
      </c>
      <c r="S4405">
        <v>-0.36087039999999998</v>
      </c>
      <c r="T4405">
        <v>-0.29144219999999998</v>
      </c>
      <c r="U4405">
        <v>-2.9839630000000001</v>
      </c>
      <c r="V4405">
        <v>-0.32910070000000002</v>
      </c>
      <c r="W4405">
        <v>-2.9784919999999999E-2</v>
      </c>
      <c r="X4405">
        <v>0.94382489999999997</v>
      </c>
      <c r="Y4405">
        <v>-0.2282064</v>
      </c>
      <c r="Z4405">
        <v>7.3059299999999994E-2</v>
      </c>
      <c r="AA4405">
        <v>0.97086779999999995</v>
      </c>
      <c r="AB4405">
        <v>30</v>
      </c>
      <c r="AC4405">
        <v>-1.28050000000001</v>
      </c>
      <c r="AD4405">
        <v>-1.115723838594</v>
      </c>
      <c r="AE4405">
        <v>-11.130599999999999</v>
      </c>
      <c r="AF4405">
        <v>-2.5929484757693202</v>
      </c>
      <c r="AG4405">
        <v>-1.115723838594</v>
      </c>
      <c r="AH4405">
        <v>10.786724516031599</v>
      </c>
      <c r="AI4405">
        <v>95.742928531930204</v>
      </c>
      <c r="AJ4405">
        <v>103.516497062827</v>
      </c>
      <c r="AK4405">
        <v>11.1499617607756</v>
      </c>
      <c r="AL4405">
        <v>91.706802759742502</v>
      </c>
      <c r="AM4405">
        <v>109.22306574454799</v>
      </c>
      <c r="AN4405">
        <v>0.99999992702995</v>
      </c>
    </row>
    <row r="4406" spans="1:40" x14ac:dyDescent="0.25">
      <c r="A4406" t="str">
        <f>"20190305135917812"</f>
        <v>20190305135917812</v>
      </c>
      <c r="B4406" t="str">
        <f>"1551765557803675"</f>
        <v>1551765557803675</v>
      </c>
      <c r="C4406" t="s">
        <v>40</v>
      </c>
      <c r="D4406">
        <v>4.062767</v>
      </c>
      <c r="E4406">
        <v>0.53602629999999996</v>
      </c>
      <c r="F4406" t="s">
        <v>42</v>
      </c>
      <c r="G4406">
        <v>-418.39800000000002</v>
      </c>
      <c r="H4406" s="1">
        <v>-7.0782440000000002E-7</v>
      </c>
      <c r="I4406">
        <v>110.4755</v>
      </c>
      <c r="J4406">
        <v>-417.1746</v>
      </c>
      <c r="K4406">
        <v>1.1157090000000001</v>
      </c>
      <c r="L4406">
        <v>121.6729</v>
      </c>
      <c r="M4406">
        <v>-0.33620729999999999</v>
      </c>
      <c r="N4406">
        <v>-1.4115610000000001E-2</v>
      </c>
      <c r="O4406">
        <v>-0.94168229999999997</v>
      </c>
      <c r="P4406">
        <v>-7.3470409999999899E-3</v>
      </c>
      <c r="Q4406">
        <v>-3.8090079999999998E-2</v>
      </c>
      <c r="R4406">
        <v>-0.99924740000000001</v>
      </c>
      <c r="S4406">
        <v>-0.34323120000000001</v>
      </c>
      <c r="T4406">
        <v>-0.29014839999999997</v>
      </c>
      <c r="U4406">
        <v>-2.9864809999999999</v>
      </c>
      <c r="V4406">
        <v>-0.32866499999999998</v>
      </c>
      <c r="W4406">
        <v>-2.9643869999999999E-2</v>
      </c>
      <c r="X4406">
        <v>0.94398119999999996</v>
      </c>
      <c r="Y4406">
        <v>-0.22663449999999999</v>
      </c>
      <c r="Z4406">
        <v>7.299957E-2</v>
      </c>
      <c r="AA4406">
        <v>0.9712404</v>
      </c>
      <c r="AB4406">
        <v>30</v>
      </c>
      <c r="AC4406">
        <v>-1.22340000000002</v>
      </c>
      <c r="AD4406">
        <v>-1.1157097078243901</v>
      </c>
      <c r="AE4406">
        <v>-11.1974</v>
      </c>
      <c r="AF4406">
        <v>-2.5874678964920199</v>
      </c>
      <c r="AG4406">
        <v>-1.1157097078243901</v>
      </c>
      <c r="AH4406">
        <v>10.850347135787199</v>
      </c>
      <c r="AI4406">
        <v>95.711864843855196</v>
      </c>
      <c r="AJ4406">
        <v>103.41274449319999</v>
      </c>
      <c r="AK4406">
        <v>11.2102556275313</v>
      </c>
      <c r="AL4406">
        <v>91.698717540150199</v>
      </c>
      <c r="AM4406">
        <v>109.19653368019399</v>
      </c>
      <c r="AN4406">
        <v>0.99999997360350801</v>
      </c>
    </row>
    <row r="4407" spans="1:40" x14ac:dyDescent="0.25">
      <c r="A4407" t="str">
        <f>"20190305135917832"</f>
        <v>20190305135917832</v>
      </c>
      <c r="B4407" t="str">
        <f>"1551765557823194"</f>
        <v>1551765557823194</v>
      </c>
      <c r="C4407" t="s">
        <v>40</v>
      </c>
      <c r="D4407">
        <v>4.0957559999999997</v>
      </c>
      <c r="E4407">
        <v>0.53664389999999995</v>
      </c>
      <c r="F4407" t="s">
        <v>42</v>
      </c>
      <c r="G4407">
        <v>-418.42320000000001</v>
      </c>
      <c r="H4407" s="1">
        <v>-6.0640119999999898E-7</v>
      </c>
      <c r="I4407">
        <v>110.19710000000001</v>
      </c>
      <c r="J4407">
        <v>-417.26319999999998</v>
      </c>
      <c r="K4407">
        <v>1.115694</v>
      </c>
      <c r="L4407">
        <v>121.4029</v>
      </c>
      <c r="M4407">
        <v>-0.3295575</v>
      </c>
      <c r="N4407">
        <v>-1.410989E-2</v>
      </c>
      <c r="O4407">
        <v>-0.94403009999999998</v>
      </c>
      <c r="P4407">
        <v>-5.0890270000000001E-4</v>
      </c>
      <c r="Q4407">
        <v>-3.8046940000000001E-2</v>
      </c>
      <c r="R4407">
        <v>-0.99927589999999999</v>
      </c>
      <c r="S4407">
        <v>-0.32519530000000002</v>
      </c>
      <c r="T4407">
        <v>-0.2905816</v>
      </c>
      <c r="U4407">
        <v>-2.9887999999999999</v>
      </c>
      <c r="V4407">
        <v>-0.32846979999999998</v>
      </c>
      <c r="W4407">
        <v>-2.9585520000000001E-2</v>
      </c>
      <c r="X4407">
        <v>0.94405099999999997</v>
      </c>
      <c r="Y4407">
        <v>-0.2256428</v>
      </c>
      <c r="Z4407">
        <v>7.3420410000000005E-2</v>
      </c>
      <c r="AA4407">
        <v>0.97143950000000001</v>
      </c>
      <c r="AB4407">
        <v>30</v>
      </c>
      <c r="AC4407">
        <v>-1.1600000000000199</v>
      </c>
      <c r="AD4407">
        <v>-1.1156946064012001</v>
      </c>
      <c r="AE4407">
        <v>-11.205799999999901</v>
      </c>
      <c r="AF4407">
        <v>-2.5729043011600599</v>
      </c>
      <c r="AG4407">
        <v>-1.1156946064012001</v>
      </c>
      <c r="AH4407">
        <v>10.855520295234999</v>
      </c>
      <c r="AI4407">
        <v>95.710941532963602</v>
      </c>
      <c r="AJ4407">
        <v>103.333826712046</v>
      </c>
      <c r="AK4407">
        <v>11.211910268903299</v>
      </c>
      <c r="AL4407">
        <v>91.695372816915096</v>
      </c>
      <c r="AM4407">
        <v>109.184651232272</v>
      </c>
      <c r="AN4407">
        <v>1.0000000015533499</v>
      </c>
    </row>
    <row r="4408" spans="1:40" x14ac:dyDescent="0.25">
      <c r="A4408" t="str">
        <f>"20190305135917856"</f>
        <v>20190305135917856</v>
      </c>
      <c r="B4408" t="str">
        <f>"1551765557843690"</f>
        <v>1551765557843690</v>
      </c>
      <c r="C4408" t="s">
        <v>40</v>
      </c>
      <c r="D4408">
        <v>4.009506</v>
      </c>
      <c r="E4408">
        <v>0.54343439999999998</v>
      </c>
      <c r="F4408" t="s">
        <v>42</v>
      </c>
      <c r="G4408">
        <v>-418.45209999999997</v>
      </c>
      <c r="H4408" s="1">
        <v>-5.1117559999999998E-7</v>
      </c>
      <c r="I4408">
        <v>109.94</v>
      </c>
      <c r="J4408">
        <v>-417.35399999999998</v>
      </c>
      <c r="K4408">
        <v>1.115669</v>
      </c>
      <c r="L4408">
        <v>121.1199</v>
      </c>
      <c r="M4408">
        <v>-0.32260709999999998</v>
      </c>
      <c r="N4408">
        <v>-1.410347E-2</v>
      </c>
      <c r="O4408">
        <v>-0.94642789999999999</v>
      </c>
      <c r="P4408">
        <v>6.8196289999999998E-3</v>
      </c>
      <c r="Q4408">
        <v>-3.7518129999999997E-2</v>
      </c>
      <c r="R4408">
        <v>-0.99927259999999996</v>
      </c>
      <c r="S4408">
        <v>-0.31021120000000002</v>
      </c>
      <c r="T4408">
        <v>-0.29110839999999999</v>
      </c>
      <c r="U4408">
        <v>-2.990936</v>
      </c>
      <c r="V4408">
        <v>-0.32846839999999999</v>
      </c>
      <c r="W4408">
        <v>-2.9038939999999999E-2</v>
      </c>
      <c r="X4408">
        <v>0.94406849999999998</v>
      </c>
      <c r="Y4408">
        <v>-0.22337109999999999</v>
      </c>
      <c r="Z4408">
        <v>7.3894589999999996E-2</v>
      </c>
      <c r="AA4408">
        <v>0.97192849999999997</v>
      </c>
      <c r="AB4408">
        <v>30</v>
      </c>
      <c r="AC4408">
        <v>-1.0980999999999299</v>
      </c>
      <c r="AD4408">
        <v>-1.1156695111756001</v>
      </c>
      <c r="AE4408">
        <v>-11.1799</v>
      </c>
      <c r="AF4408">
        <v>-2.5426191878854998</v>
      </c>
      <c r="AG4408">
        <v>-1.1156695111756001</v>
      </c>
      <c r="AH4408">
        <v>10.8294963536403</v>
      </c>
      <c r="AI4408">
        <v>95.727276870280306</v>
      </c>
      <c r="AJ4408">
        <v>103.21295639173501</v>
      </c>
      <c r="AK4408">
        <v>11.17978631577</v>
      </c>
      <c r="AL4408">
        <v>91.664042560859301</v>
      </c>
      <c r="AM4408">
        <v>109.184245808892</v>
      </c>
      <c r="AN4408">
        <v>1.0000000412635599</v>
      </c>
    </row>
    <row r="4409" spans="1:40" x14ac:dyDescent="0.25">
      <c r="A4409" t="str">
        <f>"20190305135917877"</f>
        <v>20190305135917877</v>
      </c>
      <c r="B4409" t="str">
        <f>"1551765557873947"</f>
        <v>1551765557873947</v>
      </c>
      <c r="C4409" t="s">
        <v>40</v>
      </c>
      <c r="D4409">
        <v>4.034484</v>
      </c>
      <c r="E4409">
        <v>0.54392969999999996</v>
      </c>
      <c r="F4409" t="s">
        <v>42</v>
      </c>
      <c r="G4409">
        <v>-418.73750000000001</v>
      </c>
      <c r="H4409" s="1">
        <v>-4.647571E-6</v>
      </c>
      <c r="I4409">
        <v>108.9893</v>
      </c>
      <c r="J4409">
        <v>-417.44260000000003</v>
      </c>
      <c r="K4409">
        <v>1.115629</v>
      </c>
      <c r="L4409">
        <v>120.8365</v>
      </c>
      <c r="M4409">
        <v>-0.31568190000000002</v>
      </c>
      <c r="N4409">
        <v>-1.40965E-2</v>
      </c>
      <c r="O4409">
        <v>-0.94876039999999995</v>
      </c>
      <c r="P4409">
        <v>1.4156749999999999E-2</v>
      </c>
      <c r="Q4409">
        <v>-3.7321029999999998E-2</v>
      </c>
      <c r="R4409">
        <v>-0.99920339999999996</v>
      </c>
      <c r="S4409">
        <v>-0.34149170000000001</v>
      </c>
      <c r="T4409">
        <v>-0.27538030000000002</v>
      </c>
      <c r="U4409">
        <v>-2.9941710000000001</v>
      </c>
      <c r="V4409">
        <v>-0.32850869999999999</v>
      </c>
      <c r="W4409">
        <v>-2.8818940000000001E-2</v>
      </c>
      <c r="X4409">
        <v>0.94406120000000004</v>
      </c>
      <c r="Y4409">
        <v>-0.2062764</v>
      </c>
      <c r="Z4409">
        <v>6.9570480000000004E-2</v>
      </c>
      <c r="AA4409">
        <v>0.97601740000000003</v>
      </c>
      <c r="AB4409">
        <v>30</v>
      </c>
      <c r="AC4409">
        <v>-1.29489999999998</v>
      </c>
      <c r="AD4409">
        <v>-1.115633647571</v>
      </c>
      <c r="AE4409">
        <v>-11.847200000000001</v>
      </c>
      <c r="AF4409">
        <v>-2.4898278032155701</v>
      </c>
      <c r="AG4409">
        <v>-1.115633647571</v>
      </c>
      <c r="AH4409">
        <v>11.5488846531648</v>
      </c>
      <c r="AI4409">
        <v>95.394521733922602</v>
      </c>
      <c r="AJ4409">
        <v>102.166205016392</v>
      </c>
      <c r="AK4409">
        <v>11.8667863239111</v>
      </c>
      <c r="AL4409">
        <v>91.651432241714303</v>
      </c>
      <c r="AM4409">
        <v>109.186565007564</v>
      </c>
      <c r="AN4409">
        <v>1.0000000233119199</v>
      </c>
    </row>
    <row r="4410" spans="1:40" x14ac:dyDescent="0.25">
      <c r="A4410" t="str">
        <f>"20190305135917902"</f>
        <v>20190305135917902</v>
      </c>
      <c r="B4410" t="str">
        <f>"1551765557893466"</f>
        <v>1551765557893466</v>
      </c>
      <c r="C4410" t="s">
        <v>40</v>
      </c>
      <c r="D4410">
        <v>4.0770520000000001</v>
      </c>
      <c r="E4410">
        <v>0.54371429999999998</v>
      </c>
      <c r="F4410" t="s">
        <v>42</v>
      </c>
      <c r="G4410">
        <v>-418.7201</v>
      </c>
      <c r="H4410" s="1">
        <v>-4.6685159999999999E-6</v>
      </c>
      <c r="I4410">
        <v>109.0271</v>
      </c>
      <c r="J4410">
        <v>-417.53339999999997</v>
      </c>
      <c r="K4410">
        <v>1.1155790000000001</v>
      </c>
      <c r="L4410">
        <v>120.538</v>
      </c>
      <c r="M4410">
        <v>-0.3084459</v>
      </c>
      <c r="N4410">
        <v>-1.408853E-2</v>
      </c>
      <c r="O4410">
        <v>-0.95113760000000003</v>
      </c>
      <c r="P4410">
        <v>2.1775920000000001E-2</v>
      </c>
      <c r="Q4410">
        <v>-3.6821899999999998E-2</v>
      </c>
      <c r="R4410">
        <v>-0.99908459999999999</v>
      </c>
      <c r="S4410">
        <v>-0.3241272</v>
      </c>
      <c r="T4410">
        <v>-0.28307059999999901</v>
      </c>
      <c r="U4410">
        <v>-2.9964140000000001</v>
      </c>
      <c r="V4410">
        <v>-0.32853259999999901</v>
      </c>
      <c r="W4410">
        <v>-2.8287240000000002E-2</v>
      </c>
      <c r="X4410">
        <v>0.94406889999999999</v>
      </c>
      <c r="Y4410">
        <v>-0.20450960000000001</v>
      </c>
      <c r="Z4410">
        <v>7.2180839999999996E-2</v>
      </c>
      <c r="AA4410">
        <v>0.97619959999999995</v>
      </c>
      <c r="AB4410">
        <v>30</v>
      </c>
      <c r="AC4410">
        <v>-1.1867000000000301</v>
      </c>
      <c r="AD4410">
        <v>-1.1155836685160001</v>
      </c>
      <c r="AE4410">
        <v>-11.5108999999999</v>
      </c>
      <c r="AF4410">
        <v>-2.3997126881709798</v>
      </c>
      <c r="AG4410">
        <v>-1.1155836685160001</v>
      </c>
      <c r="AH4410">
        <v>11.2114082548349</v>
      </c>
      <c r="AI4410">
        <v>95.5574099707828</v>
      </c>
      <c r="AJ4410">
        <v>102.081407817768</v>
      </c>
      <c r="AK4410">
        <v>11.519497513512</v>
      </c>
      <c r="AL4410">
        <v>91.620955748575597</v>
      </c>
      <c r="AM4410">
        <v>109.18771378184999</v>
      </c>
      <c r="AN4410">
        <v>0.99999996257839296</v>
      </c>
    </row>
    <row r="4411" spans="1:40" x14ac:dyDescent="0.25">
      <c r="A4411" t="str">
        <f>"20190305135917922"</f>
        <v>20190305135917922</v>
      </c>
      <c r="B4411" t="str">
        <f>"1551765557913962"</f>
        <v>1551765557913962</v>
      </c>
      <c r="C4411" t="s">
        <v>40</v>
      </c>
      <c r="D4411">
        <v>4.0878319999999997</v>
      </c>
      <c r="E4411">
        <v>0.54092479999999998</v>
      </c>
      <c r="F4411" t="s">
        <v>42</v>
      </c>
      <c r="G4411">
        <v>-418.69729999999998</v>
      </c>
      <c r="H4411" s="1">
        <v>-4.5972309999999996E-6</v>
      </c>
      <c r="I4411">
        <v>108.8677</v>
      </c>
      <c r="J4411">
        <v>-417.6148</v>
      </c>
      <c r="K4411">
        <v>1.1155280000000001</v>
      </c>
      <c r="L4411">
        <v>120.2636</v>
      </c>
      <c r="M4411">
        <v>-0.301846</v>
      </c>
      <c r="N4411">
        <v>-1.4080570000000001E-2</v>
      </c>
      <c r="O4411">
        <v>-0.95325280000000001</v>
      </c>
      <c r="P4411">
        <v>2.806204E-2</v>
      </c>
      <c r="Q4411">
        <v>-3.6243089999999999E-2</v>
      </c>
      <c r="R4411">
        <v>-0.99894879999999997</v>
      </c>
      <c r="S4411">
        <v>-0.29907230000000001</v>
      </c>
      <c r="T4411">
        <v>-0.28665279999999999</v>
      </c>
      <c r="U4411">
        <v>-2.9987180000000002</v>
      </c>
      <c r="V4411">
        <v>-0.32794810000000002</v>
      </c>
      <c r="W4411">
        <v>-2.7661450000000001E-2</v>
      </c>
      <c r="X4411">
        <v>0.94429070000000004</v>
      </c>
      <c r="Y4411">
        <v>-0.20588010000000001</v>
      </c>
      <c r="Z4411">
        <v>7.3498350000000004E-2</v>
      </c>
      <c r="AA4411">
        <v>0.97581320000000005</v>
      </c>
      <c r="AB4411">
        <v>30</v>
      </c>
      <c r="AC4411">
        <v>-1.08249999999998</v>
      </c>
      <c r="AD4411">
        <v>-1.115532597231</v>
      </c>
      <c r="AE4411">
        <v>-11.3958999999999</v>
      </c>
      <c r="AF4411">
        <v>-2.38549521512385</v>
      </c>
      <c r="AG4411">
        <v>-1.115532597231</v>
      </c>
      <c r="AH4411">
        <v>11.0857538743145</v>
      </c>
      <c r="AI4411">
        <v>95.618435266241704</v>
      </c>
      <c r="AJ4411">
        <v>102.144047080869</v>
      </c>
      <c r="AK4411">
        <v>11.3942502762904</v>
      </c>
      <c r="AL4411">
        <v>91.585086493451797</v>
      </c>
      <c r="AM4411">
        <v>109.151894400036</v>
      </c>
      <c r="AN4411">
        <v>1.0000000191081</v>
      </c>
    </row>
    <row r="4412" spans="1:40" x14ac:dyDescent="0.25">
      <c r="A4412" t="str">
        <f>"20190305135917945"</f>
        <v>20190305135917945</v>
      </c>
      <c r="B4412" t="str">
        <f>"1551765557933482"</f>
        <v>1551765557933482</v>
      </c>
      <c r="C4412" t="s">
        <v>40</v>
      </c>
      <c r="D4412">
        <v>4.1601749999999997</v>
      </c>
      <c r="E4412">
        <v>0.52151049999999999</v>
      </c>
      <c r="F4412" t="s">
        <v>42</v>
      </c>
      <c r="G4412">
        <v>-418.67570000000001</v>
      </c>
      <c r="H4412" s="1">
        <v>-4.138527E-6</v>
      </c>
      <c r="I4412">
        <v>107.8892</v>
      </c>
      <c r="J4412">
        <v>-417.69740000000002</v>
      </c>
      <c r="K4412">
        <v>1.1154660000000001</v>
      </c>
      <c r="L4412">
        <v>119.97790000000001</v>
      </c>
      <c r="M4412">
        <v>-0.29502689999999998</v>
      </c>
      <c r="N4412">
        <v>-1.407196E-2</v>
      </c>
      <c r="O4412">
        <v>-0.9553855</v>
      </c>
      <c r="P4412">
        <v>3.4930589999999997E-2</v>
      </c>
      <c r="Q4412">
        <v>-3.5996569999999999E-2</v>
      </c>
      <c r="R4412">
        <v>-0.99874160000000001</v>
      </c>
      <c r="S4412">
        <v>-0.25723269999999998</v>
      </c>
      <c r="T4412">
        <v>-0.27049519999999999</v>
      </c>
      <c r="U4412">
        <v>-3.0005489999999999</v>
      </c>
      <c r="V4412">
        <v>-0.327704</v>
      </c>
      <c r="W4412">
        <v>-2.7372830000000001E-2</v>
      </c>
      <c r="X4412">
        <v>0.94438390000000005</v>
      </c>
      <c r="Y4412">
        <v>-0.21240519999999999</v>
      </c>
      <c r="Z4412">
        <v>6.8804630000000006E-2</v>
      </c>
      <c r="AA4412">
        <v>0.97475639999999997</v>
      </c>
      <c r="AB4412">
        <v>30</v>
      </c>
      <c r="AC4412">
        <v>-0.97829999999998996</v>
      </c>
      <c r="AD4412">
        <v>-1.1154701385270001</v>
      </c>
      <c r="AE4412">
        <v>-12.088699999999999</v>
      </c>
      <c r="AF4412">
        <v>-2.61001991876774</v>
      </c>
      <c r="AG4412">
        <v>-1.1154701385270001</v>
      </c>
      <c r="AH4412">
        <v>11.739855666064001</v>
      </c>
      <c r="AI4412">
        <v>95.299086350044902</v>
      </c>
      <c r="AJ4412">
        <v>102.53421693901301</v>
      </c>
      <c r="AK4412">
        <v>12.0781078264074</v>
      </c>
      <c r="AL4412">
        <v>91.568543446377205</v>
      </c>
      <c r="AM4412">
        <v>109.13692507916799</v>
      </c>
      <c r="AN4412">
        <v>1.0000000670086999</v>
      </c>
    </row>
    <row r="4413" spans="1:40" x14ac:dyDescent="0.25">
      <c r="A4413" t="str">
        <f>"20190305135917967"</f>
        <v>20190305135917967</v>
      </c>
      <c r="B4413" t="str">
        <f>"1551765557963738"</f>
        <v>1551765557963738</v>
      </c>
      <c r="C4413" t="s">
        <v>40</v>
      </c>
      <c r="D4413">
        <v>4.162528</v>
      </c>
      <c r="E4413">
        <v>0.52296860000000001</v>
      </c>
      <c r="F4413" t="s">
        <v>42</v>
      </c>
      <c r="G4413">
        <v>-418.1567</v>
      </c>
      <c r="H4413" s="1">
        <v>-1.080957E-6</v>
      </c>
      <c r="I4413">
        <v>101.18210000000001</v>
      </c>
      <c r="J4413">
        <v>-417.7783</v>
      </c>
      <c r="K4413">
        <v>1.115402</v>
      </c>
      <c r="L4413">
        <v>119.6906</v>
      </c>
      <c r="M4413">
        <v>-0.28823680000000002</v>
      </c>
      <c r="N4413">
        <v>-1.4063559999999999E-2</v>
      </c>
      <c r="O4413">
        <v>-0.95745619999999998</v>
      </c>
      <c r="P4413">
        <v>4.114665E-2</v>
      </c>
      <c r="Q4413">
        <v>-3.565542E-2</v>
      </c>
      <c r="R4413">
        <v>-0.99851690000000004</v>
      </c>
      <c r="S4413">
        <v>-7.3303220000000002E-2</v>
      </c>
      <c r="T4413">
        <v>-0.17803559999999999</v>
      </c>
      <c r="U4413">
        <v>-2.999924</v>
      </c>
      <c r="V4413">
        <v>-0.32689049999999997</v>
      </c>
      <c r="W4413">
        <v>-2.697631E-2</v>
      </c>
      <c r="X4413">
        <v>0.94467710000000005</v>
      </c>
      <c r="Y4413">
        <v>-0.26466109999999998</v>
      </c>
      <c r="Z4413">
        <v>4.041869E-2</v>
      </c>
      <c r="AA4413">
        <v>0.96349410000000002</v>
      </c>
      <c r="AB4413">
        <v>30</v>
      </c>
      <c r="AC4413">
        <v>-0.37839999999999901</v>
      </c>
      <c r="AD4413">
        <v>-1.1154030809569999</v>
      </c>
      <c r="AE4413">
        <v>-18.508500000000002</v>
      </c>
      <c r="AF4413">
        <v>-4.9550315453592502</v>
      </c>
      <c r="AG4413">
        <v>-1.1154030809569999</v>
      </c>
      <c r="AH4413">
        <v>17.767404351337401</v>
      </c>
      <c r="AI4413">
        <v>93.4604910950479</v>
      </c>
      <c r="AJ4413">
        <v>105.582896167299</v>
      </c>
      <c r="AK4413">
        <v>18.479099518981901</v>
      </c>
      <c r="AL4413">
        <v>91.545816279378997</v>
      </c>
      <c r="AM4413">
        <v>109.087365491944</v>
      </c>
      <c r="AN4413">
        <v>0.99999997177793698</v>
      </c>
    </row>
    <row r="4414" spans="1:40" x14ac:dyDescent="0.25">
      <c r="A4414" t="str">
        <f>"20190305135917992"</f>
        <v>20190305135917992</v>
      </c>
      <c r="B4414" t="str">
        <f>"1551765557983258"</f>
        <v>1551765557983258</v>
      </c>
      <c r="C4414" t="s">
        <v>40</v>
      </c>
      <c r="D4414">
        <v>4.1339439999999996</v>
      </c>
      <c r="E4414">
        <v>0.52438379999999996</v>
      </c>
      <c r="F4414" t="s">
        <v>42</v>
      </c>
      <c r="G4414">
        <v>-418.2199</v>
      </c>
      <c r="H4414" s="1">
        <v>-4.4877549999999999E-6</v>
      </c>
      <c r="I4414">
        <v>99.357799999999997</v>
      </c>
      <c r="J4414">
        <v>-417.86160000000001</v>
      </c>
      <c r="K4414">
        <v>1.1153299999999999</v>
      </c>
      <c r="L4414">
        <v>119.3865</v>
      </c>
      <c r="M4414">
        <v>-0.28112890000000001</v>
      </c>
      <c r="N4414">
        <v>-1.405404E-2</v>
      </c>
      <c r="O4414">
        <v>-0.95956710000000001</v>
      </c>
      <c r="P4414">
        <v>4.6841800000000003E-2</v>
      </c>
      <c r="Q4414">
        <v>-3.5313329999999997E-2</v>
      </c>
      <c r="R4414">
        <v>-0.998278</v>
      </c>
      <c r="S4414">
        <v>-6.5185549999999995E-2</v>
      </c>
      <c r="T4414">
        <v>-0.1646416</v>
      </c>
      <c r="U4414">
        <v>-3.0012660000000002</v>
      </c>
      <c r="V4414">
        <v>-0.32528689999999999</v>
      </c>
      <c r="W4414">
        <v>-2.655793E-2</v>
      </c>
      <c r="X4414">
        <v>0.94524229999999998</v>
      </c>
      <c r="Y4414">
        <v>-0.26013170000000002</v>
      </c>
      <c r="Z4414">
        <v>3.6522649999999997E-2</v>
      </c>
      <c r="AA4414">
        <v>0.96488209999999996</v>
      </c>
      <c r="AB4414">
        <v>30</v>
      </c>
      <c r="AC4414">
        <v>-0.35829999999998502</v>
      </c>
      <c r="AD4414">
        <v>-1.115334487755</v>
      </c>
      <c r="AE4414">
        <v>-20.028700000000001</v>
      </c>
      <c r="AF4414">
        <v>-5.2710154169402301</v>
      </c>
      <c r="AG4414">
        <v>-1.115334487755</v>
      </c>
      <c r="AH4414">
        <v>19.261806208658399</v>
      </c>
      <c r="AI4414">
        <v>93.196677398937496</v>
      </c>
      <c r="AJ4414">
        <v>105.30437671850299</v>
      </c>
      <c r="AK4414">
        <v>20.0011187928352</v>
      </c>
      <c r="AL4414">
        <v>91.521836313861698</v>
      </c>
      <c r="AM4414">
        <v>108.989913256625</v>
      </c>
      <c r="AN4414">
        <v>0.99999994833339101</v>
      </c>
    </row>
    <row r="4415" spans="1:40" x14ac:dyDescent="0.25">
      <c r="A4415" t="str">
        <f>"20190305135918012"</f>
        <v>20190305135918012</v>
      </c>
      <c r="B4415" t="str">
        <f>"1551765558003755"</f>
        <v>1551765558003755</v>
      </c>
      <c r="C4415" t="s">
        <v>40</v>
      </c>
      <c r="D4415">
        <v>4.0511410000000003</v>
      </c>
      <c r="E4415">
        <v>0.52511719999999995</v>
      </c>
      <c r="F4415" t="s">
        <v>42</v>
      </c>
      <c r="G4415">
        <v>-418.27440000000001</v>
      </c>
      <c r="H4415" s="1">
        <v>-4.1104639999999997E-6</v>
      </c>
      <c r="I4415">
        <v>98.500829999999993</v>
      </c>
      <c r="J4415">
        <v>-417.93450000000001</v>
      </c>
      <c r="K4415">
        <v>1.11527</v>
      </c>
      <c r="L4415">
        <v>119.1135</v>
      </c>
      <c r="M4415">
        <v>-0.27482380000000001</v>
      </c>
      <c r="N4415">
        <v>-1.404475E-2</v>
      </c>
      <c r="O4415">
        <v>-0.96139209999999997</v>
      </c>
      <c r="P4415">
        <v>5.1425789999999999E-2</v>
      </c>
      <c r="Q4415">
        <v>-3.4570070000000001E-2</v>
      </c>
      <c r="R4415">
        <v>-0.99807820000000003</v>
      </c>
      <c r="S4415">
        <v>-5.9326169999999998E-2</v>
      </c>
      <c r="T4415">
        <v>-0.1603279</v>
      </c>
      <c r="U4415">
        <v>-3.0022890000000002</v>
      </c>
      <c r="V4415">
        <v>-0.32344479999999998</v>
      </c>
      <c r="W4415">
        <v>-2.573508E-2</v>
      </c>
      <c r="X4415">
        <v>0.94589699999999999</v>
      </c>
      <c r="Y4415">
        <v>-0.25568489999999999</v>
      </c>
      <c r="Z4415">
        <v>3.5367530000000001E-2</v>
      </c>
      <c r="AA4415">
        <v>0.966113</v>
      </c>
      <c r="AB4415">
        <v>30</v>
      </c>
      <c r="AC4415">
        <v>-0.33989999999999998</v>
      </c>
      <c r="AD4415">
        <v>-1.115274110464</v>
      </c>
      <c r="AE4415">
        <v>-20.612669999999898</v>
      </c>
      <c r="AF4415">
        <v>-5.3230224573921996</v>
      </c>
      <c r="AG4415">
        <v>-1.115274110464</v>
      </c>
      <c r="AH4415">
        <v>19.854126379211799</v>
      </c>
      <c r="AI4415">
        <v>93.105664453082298</v>
      </c>
      <c r="AJ4415">
        <v>105.008414685095</v>
      </c>
      <c r="AK4415">
        <v>20.585546840079001</v>
      </c>
      <c r="AL4415">
        <v>91.474674301955105</v>
      </c>
      <c r="AM4415">
        <v>108.877869367887</v>
      </c>
      <c r="AN4415">
        <v>0.99999998379932298</v>
      </c>
    </row>
    <row r="4416" spans="1:40" x14ac:dyDescent="0.25">
      <c r="A4416" t="str">
        <f>"20190305135918034"</f>
        <v>20190305135918034</v>
      </c>
      <c r="B4416" t="str">
        <f>"1551765558023274"</f>
        <v>1551765558023274</v>
      </c>
      <c r="C4416" t="s">
        <v>40</v>
      </c>
      <c r="D4416">
        <v>4.0856199999999996</v>
      </c>
      <c r="E4416">
        <v>0.52616019999999997</v>
      </c>
      <c r="F4416" t="s">
        <v>42</v>
      </c>
      <c r="G4416">
        <v>-418.2953</v>
      </c>
      <c r="H4416" s="1">
        <v>-3.8229019999999999E-6</v>
      </c>
      <c r="I4416">
        <v>97.839200000000005</v>
      </c>
      <c r="J4416">
        <v>-418.00799999999998</v>
      </c>
      <c r="K4416">
        <v>1.1152059999999999</v>
      </c>
      <c r="L4416">
        <v>118.831</v>
      </c>
      <c r="M4416">
        <v>-0.26837529999999998</v>
      </c>
      <c r="N4416">
        <v>-1.4034799999999899E-2</v>
      </c>
      <c r="O4416">
        <v>-0.96321230000000002</v>
      </c>
      <c r="P4416">
        <v>5.5687439999999998E-2</v>
      </c>
      <c r="Q4416">
        <v>-3.378602E-2</v>
      </c>
      <c r="R4416">
        <v>-0.9978764</v>
      </c>
      <c r="S4416">
        <v>-5.0933840000000001E-2</v>
      </c>
      <c r="T4416">
        <v>-0.15742579999999901</v>
      </c>
      <c r="U4416">
        <v>-3.0029599999999999</v>
      </c>
      <c r="V4416">
        <v>-0.32116830000000002</v>
      </c>
      <c r="W4416">
        <v>-2.4859829999999999E-2</v>
      </c>
      <c r="X4416">
        <v>0.94669579999999998</v>
      </c>
      <c r="Y4416">
        <v>-0.25191190000000002</v>
      </c>
      <c r="Z4416">
        <v>3.4638139999999998E-2</v>
      </c>
      <c r="AA4416">
        <v>0.96713009999999999</v>
      </c>
      <c r="AB4416">
        <v>30</v>
      </c>
      <c r="AC4416">
        <v>-0.28729999999995898</v>
      </c>
      <c r="AD4416">
        <v>-1.115209822902</v>
      </c>
      <c r="AE4416">
        <v>-20.991800000000001</v>
      </c>
      <c r="AF4416">
        <v>-5.3424014275823399</v>
      </c>
      <c r="AG4416">
        <v>-1.115209822902</v>
      </c>
      <c r="AH4416">
        <v>20.241542892136</v>
      </c>
      <c r="AI4416">
        <v>93.049315376378999</v>
      </c>
      <c r="AJ4416">
        <v>104.78506315356999</v>
      </c>
      <c r="AK4416">
        <v>20.964374653604899</v>
      </c>
      <c r="AL4416">
        <v>91.424510072912099</v>
      </c>
      <c r="AM4416">
        <v>108.739600360957</v>
      </c>
      <c r="AN4416">
        <v>1.0000000129050699</v>
      </c>
    </row>
    <row r="4417" spans="1:40" x14ac:dyDescent="0.25">
      <c r="A4417" t="str">
        <f>"20190305135918057"</f>
        <v>20190305135918057</v>
      </c>
      <c r="B4417" t="str">
        <f>"1551765558053531"</f>
        <v>1551765558053531</v>
      </c>
      <c r="C4417" t="s">
        <v>40</v>
      </c>
      <c r="D4417">
        <v>4.0162750000000003</v>
      </c>
      <c r="E4417">
        <v>0.52732519999999905</v>
      </c>
      <c r="F4417" t="s">
        <v>42</v>
      </c>
      <c r="G4417">
        <v>-418.34449999999998</v>
      </c>
      <c r="H4417" s="1">
        <v>-3.5264970000000002E-6</v>
      </c>
      <c r="I4417">
        <v>97.168599999999998</v>
      </c>
      <c r="J4417">
        <v>-418.07990000000001</v>
      </c>
      <c r="K4417">
        <v>1.1151390000000001</v>
      </c>
      <c r="L4417">
        <v>118.547</v>
      </c>
      <c r="M4417">
        <v>-0.26196429999999998</v>
      </c>
      <c r="N4417">
        <v>-1.4024770000000001E-2</v>
      </c>
      <c r="O4417">
        <v>-0.96497569999999999</v>
      </c>
      <c r="P4417">
        <v>5.9298549999999998E-2</v>
      </c>
      <c r="Q4417">
        <v>-3.3899730000000003E-2</v>
      </c>
      <c r="R4417">
        <v>-0.99766460000000001</v>
      </c>
      <c r="S4417">
        <v>-4.6661380000000002E-2</v>
      </c>
      <c r="T4417">
        <v>-0.1546371</v>
      </c>
      <c r="U4417">
        <v>-3.0037539999999998</v>
      </c>
      <c r="V4417">
        <v>-0.3183011</v>
      </c>
      <c r="W4417">
        <v>-2.487294E-2</v>
      </c>
      <c r="X4417">
        <v>0.94766329999999999</v>
      </c>
      <c r="Y4417">
        <v>-0.2468574</v>
      </c>
      <c r="Z4417">
        <v>3.3941970000000002E-2</v>
      </c>
      <c r="AA4417">
        <v>0.96845720000000002</v>
      </c>
      <c r="AB4417">
        <v>30</v>
      </c>
      <c r="AC4417">
        <v>-0.26459999999997302</v>
      </c>
      <c r="AD4417">
        <v>-1.1151425264970001</v>
      </c>
      <c r="AE4417">
        <v>-21.378399999999999</v>
      </c>
      <c r="AF4417">
        <v>-5.3310675211245799</v>
      </c>
      <c r="AG4417">
        <v>-1.1151425264970001</v>
      </c>
      <c r="AH4417">
        <v>20.644823696708499</v>
      </c>
      <c r="AI4417">
        <v>92.993842332531102</v>
      </c>
      <c r="AJ4417">
        <v>104.479065386522</v>
      </c>
      <c r="AK4417">
        <v>21.351172549472899</v>
      </c>
      <c r="AL4417">
        <v>91.425261483016996</v>
      </c>
      <c r="AM4417">
        <v>108.566167593489</v>
      </c>
      <c r="AN4417">
        <v>0.99999999178617105</v>
      </c>
    </row>
    <row r="4418" spans="1:40" x14ac:dyDescent="0.25">
      <c r="A4418" t="str">
        <f>"20190305135918080"</f>
        <v>20190305135918080</v>
      </c>
      <c r="B4418" t="str">
        <f>"1551765558073050"</f>
        <v>1551765558073050</v>
      </c>
      <c r="C4418" t="s">
        <v>40</v>
      </c>
      <c r="D4418">
        <v>4.0242000000000004</v>
      </c>
      <c r="E4418">
        <v>0.53320259999999997</v>
      </c>
      <c r="F4418" t="s">
        <v>42</v>
      </c>
      <c r="G4418">
        <v>-418.4076</v>
      </c>
      <c r="H4418" s="1">
        <v>-3.2534710000000001E-6</v>
      </c>
      <c r="I4418">
        <v>96.558239999999998</v>
      </c>
      <c r="J4418">
        <v>-418.15260000000001</v>
      </c>
      <c r="K4418">
        <v>1.115065</v>
      </c>
      <c r="L4418">
        <v>118.2516</v>
      </c>
      <c r="M4418">
        <v>-0.25537219999999999</v>
      </c>
      <c r="N4418">
        <v>-1.4014469999999999E-2</v>
      </c>
      <c r="O4418">
        <v>-0.96674130000000003</v>
      </c>
      <c r="P4418">
        <v>6.3569139999999996E-2</v>
      </c>
      <c r="Q4418">
        <v>-3.4562199999999897E-2</v>
      </c>
      <c r="R4418">
        <v>-0.99737889999999996</v>
      </c>
      <c r="S4418">
        <v>-4.4769290000000003E-2</v>
      </c>
      <c r="T4418">
        <v>-0.152370799999999</v>
      </c>
      <c r="U4418">
        <v>-3.0045009999999999</v>
      </c>
      <c r="V4418">
        <v>-0.3158802</v>
      </c>
      <c r="W4418">
        <v>-2.544546E-2</v>
      </c>
      <c r="X4418">
        <v>0.94845780000000002</v>
      </c>
      <c r="Y4418">
        <v>-0.24085690000000001</v>
      </c>
      <c r="Z4418">
        <v>3.3409880000000003E-2</v>
      </c>
      <c r="AA4418">
        <v>0.9699854</v>
      </c>
      <c r="AB4418">
        <v>30</v>
      </c>
      <c r="AC4418">
        <v>-0.25499999999999501</v>
      </c>
      <c r="AD4418">
        <v>-1.1150682534709999</v>
      </c>
      <c r="AE4418">
        <v>-21.693359999999998</v>
      </c>
      <c r="AF4418">
        <v>-5.2799334675913299</v>
      </c>
      <c r="AG4418">
        <v>-1.1150682534709999</v>
      </c>
      <c r="AH4418">
        <v>20.9836188650156</v>
      </c>
      <c r="AI4418">
        <v>92.9500476081611</v>
      </c>
      <c r="AJ4418">
        <v>104.12365994445</v>
      </c>
      <c r="AK4418">
        <v>21.6664103003781</v>
      </c>
      <c r="AL4418">
        <v>91.458074859739796</v>
      </c>
      <c r="AM4418">
        <v>108.420137575265</v>
      </c>
      <c r="AN4418">
        <v>0.99999998528374501</v>
      </c>
    </row>
    <row r="4419" spans="1:40" x14ac:dyDescent="0.25">
      <c r="A4419" t="str">
        <f>"20190305135918102"</f>
        <v>20190305135918102</v>
      </c>
      <c r="B4419" t="str">
        <f>"1551765558093546"</f>
        <v>1551765558093546</v>
      </c>
      <c r="C4419" t="s">
        <v>40</v>
      </c>
      <c r="D4419">
        <v>4.0413489999999896</v>
      </c>
      <c r="E4419">
        <v>0.53255330000000001</v>
      </c>
      <c r="F4419" t="s">
        <v>42</v>
      </c>
      <c r="G4419">
        <v>-418.57229999999998</v>
      </c>
      <c r="H4419" s="1">
        <v>-2.0950240000000001E-6</v>
      </c>
      <c r="I4419">
        <v>103.5275</v>
      </c>
      <c r="J4419">
        <v>-418.22210000000001</v>
      </c>
      <c r="K4419">
        <v>1.1150040000000001</v>
      </c>
      <c r="L4419">
        <v>117.9611</v>
      </c>
      <c r="M4419">
        <v>-0.24895790000000001</v>
      </c>
      <c r="N4419">
        <v>-1.400475E-2</v>
      </c>
      <c r="O4419">
        <v>-0.96841319999999997</v>
      </c>
      <c r="P4419">
        <v>6.7927109999999999E-2</v>
      </c>
      <c r="Q4419">
        <v>-3.494129E-2</v>
      </c>
      <c r="R4419">
        <v>-0.99707840000000003</v>
      </c>
      <c r="S4419">
        <v>-8.5662840000000004E-2</v>
      </c>
      <c r="T4419">
        <v>-0.22760440000000001</v>
      </c>
      <c r="U4419">
        <v>-3.0054470000000002</v>
      </c>
      <c r="V4419">
        <v>-0.3137337</v>
      </c>
      <c r="W4419">
        <v>-2.57462E-2</v>
      </c>
      <c r="X4419">
        <v>0.9491619</v>
      </c>
      <c r="Y4419">
        <v>-0.22118579999999999</v>
      </c>
      <c r="Z4419">
        <v>5.7083879999999997E-2</v>
      </c>
      <c r="AA4419">
        <v>0.97355959999999997</v>
      </c>
      <c r="AB4419">
        <v>30</v>
      </c>
      <c r="AC4419">
        <v>-0.35019999999997198</v>
      </c>
      <c r="AD4419">
        <v>-1.1150060950239999</v>
      </c>
      <c r="AE4419">
        <v>-14.433599999999901</v>
      </c>
      <c r="AF4419">
        <v>-3.2352436168209899</v>
      </c>
      <c r="AG4419">
        <v>-1.1150060950239999</v>
      </c>
      <c r="AH4419">
        <v>13.982855202248899</v>
      </c>
      <c r="AI4419">
        <v>94.442305995606205</v>
      </c>
      <c r="AJ4419">
        <v>103.027411883989</v>
      </c>
      <c r="AK4419">
        <v>14.395495109900899</v>
      </c>
      <c r="AL4419">
        <v>91.475311608167999</v>
      </c>
      <c r="AM4419">
        <v>108.290662957359</v>
      </c>
      <c r="AN4419">
        <v>1.0000000068708601</v>
      </c>
    </row>
    <row r="4420" spans="1:40" x14ac:dyDescent="0.25">
      <c r="A4420" t="str">
        <f>"20190305135918123"</f>
        <v>20190305135918123</v>
      </c>
      <c r="B4420" t="str">
        <f>"1551765558114042"</f>
        <v>1551765558114042</v>
      </c>
      <c r="C4420" t="s">
        <v>40</v>
      </c>
      <c r="D4420">
        <v>4.0323989999999998</v>
      </c>
      <c r="E4420">
        <v>0.53282410000000002</v>
      </c>
      <c r="F4420" t="s">
        <v>42</v>
      </c>
      <c r="G4420">
        <v>-418.5471</v>
      </c>
      <c r="H4420" s="1">
        <v>-2.0687019999999998E-6</v>
      </c>
      <c r="I4420">
        <v>103.4624</v>
      </c>
      <c r="J4420">
        <v>-418.28559999999999</v>
      </c>
      <c r="K4420">
        <v>1.114962</v>
      </c>
      <c r="L4420">
        <v>117.68770000000001</v>
      </c>
      <c r="M4420">
        <v>-0.24296490000000001</v>
      </c>
      <c r="N4420">
        <v>-1.3996110000000001E-2</v>
      </c>
      <c r="O4420">
        <v>-0.96993430000000003</v>
      </c>
      <c r="P4420">
        <v>7.202037E-2</v>
      </c>
      <c r="Q4420">
        <v>-3.4268069999999998E-2</v>
      </c>
      <c r="R4420">
        <v>-0.99681450000000005</v>
      </c>
      <c r="S4420">
        <v>-6.7382810000000001E-2</v>
      </c>
      <c r="T4420">
        <v>-0.2311182</v>
      </c>
      <c r="U4420">
        <v>-3.0052949999999998</v>
      </c>
      <c r="V4420">
        <v>-0.31177909999999998</v>
      </c>
      <c r="W4420">
        <v>-2.5006770000000001E-2</v>
      </c>
      <c r="X4420">
        <v>0.94982549999999999</v>
      </c>
      <c r="Y4420">
        <v>-0.22107180000000001</v>
      </c>
      <c r="Z4420">
        <v>5.8355579999999997E-2</v>
      </c>
      <c r="AA4420">
        <v>0.97351010000000004</v>
      </c>
      <c r="AB4420">
        <v>30</v>
      </c>
      <c r="AC4420">
        <v>-0.261500000000012</v>
      </c>
      <c r="AD4420">
        <v>-1.1149640687019999</v>
      </c>
      <c r="AE4420">
        <v>-14.225300000000001</v>
      </c>
      <c r="AF4420">
        <v>-3.1833742031912098</v>
      </c>
      <c r="AG4420">
        <v>-1.1149640687019999</v>
      </c>
      <c r="AH4420">
        <v>13.777884391729399</v>
      </c>
      <c r="AI4420">
        <v>94.508271519020397</v>
      </c>
      <c r="AJ4420">
        <v>103.00986573226599</v>
      </c>
      <c r="AK4420">
        <v>14.1847493634502</v>
      </c>
      <c r="AL4420">
        <v>91.432931732529596</v>
      </c>
      <c r="AM4420">
        <v>108.17236110277101</v>
      </c>
      <c r="AN4420">
        <v>1.0000000130964399</v>
      </c>
    </row>
    <row r="4421" spans="1:40" x14ac:dyDescent="0.25">
      <c r="A4421" t="str">
        <f>"20190305135918146"</f>
        <v>20190305135918146</v>
      </c>
      <c r="B4421" t="str">
        <f>"1551765558143323"</f>
        <v>1551765558143323</v>
      </c>
      <c r="C4421" t="s">
        <v>40</v>
      </c>
      <c r="D4421">
        <v>3.9920309999999999</v>
      </c>
      <c r="E4421">
        <v>0.53326409999999902</v>
      </c>
      <c r="F4421" t="s">
        <v>42</v>
      </c>
      <c r="G4421">
        <v>-418.56319999999999</v>
      </c>
      <c r="H4421" s="1">
        <v>-1.9422510000000002E-6</v>
      </c>
      <c r="I4421">
        <v>103.2009</v>
      </c>
      <c r="J4421">
        <v>-418.35120000000001</v>
      </c>
      <c r="K4421">
        <v>1.114911</v>
      </c>
      <c r="L4421">
        <v>117.3974</v>
      </c>
      <c r="M4421">
        <v>-0.23664360000000001</v>
      </c>
      <c r="N4421">
        <v>-1.3987640000000001E-2</v>
      </c>
      <c r="O4421">
        <v>-0.97149600000000003</v>
      </c>
      <c r="P4421">
        <v>7.7001890000000003E-2</v>
      </c>
      <c r="Q4421">
        <v>-3.4111280000000001E-2</v>
      </c>
      <c r="R4421">
        <v>-0.99644750000000004</v>
      </c>
      <c r="S4421">
        <v>-5.758667E-2</v>
      </c>
      <c r="T4421">
        <v>-0.23133809999999999</v>
      </c>
      <c r="U4421">
        <v>-3.005798</v>
      </c>
      <c r="V4421">
        <v>-0.31034830000000002</v>
      </c>
      <c r="W4421">
        <v>-2.4796209999999999E-2</v>
      </c>
      <c r="X4421">
        <v>0.95029940000000002</v>
      </c>
      <c r="Y4421">
        <v>-0.2178977</v>
      </c>
      <c r="Z4421">
        <v>5.8622639999999997E-2</v>
      </c>
      <c r="AA4421">
        <v>0.9742094</v>
      </c>
      <c r="AB4421">
        <v>30</v>
      </c>
      <c r="AC4421">
        <v>-0.211999999999989</v>
      </c>
      <c r="AD4421">
        <v>-1.114912942251</v>
      </c>
      <c r="AE4421">
        <v>-14.1965</v>
      </c>
      <c r="AF4421">
        <v>-3.1345333725271098</v>
      </c>
      <c r="AG4421">
        <v>-1.114912942251</v>
      </c>
      <c r="AH4421">
        <v>13.758524704015</v>
      </c>
      <c r="AI4421">
        <v>94.517543793425503</v>
      </c>
      <c r="AJ4421">
        <v>102.834341229293</v>
      </c>
      <c r="AK4421">
        <v>14.1550461801887</v>
      </c>
      <c r="AL4421">
        <v>91.420863902890403</v>
      </c>
      <c r="AM4421">
        <v>108.085976370178</v>
      </c>
      <c r="AN4421">
        <v>0.99999993449180402</v>
      </c>
    </row>
    <row r="4422" spans="1:40" x14ac:dyDescent="0.25">
      <c r="A4422" t="str">
        <f>"20190305135918168"</f>
        <v>20190305135918168</v>
      </c>
      <c r="B4422" t="str">
        <f>"1551765558163819"</f>
        <v>1551765558163819</v>
      </c>
      <c r="C4422" t="s">
        <v>40</v>
      </c>
      <c r="D4422">
        <v>3.9844979999999999</v>
      </c>
      <c r="E4422">
        <v>0.53398100000000004</v>
      </c>
      <c r="F4422" t="s">
        <v>42</v>
      </c>
      <c r="G4422">
        <v>-418.57010000000002</v>
      </c>
      <c r="H4422" s="1">
        <v>-1.9279120000000001E-6</v>
      </c>
      <c r="I4422">
        <v>103.17310000000001</v>
      </c>
      <c r="J4422">
        <v>-418.41419999999999</v>
      </c>
      <c r="K4422">
        <v>1.1148629999999999</v>
      </c>
      <c r="L4422">
        <v>117.10980000000001</v>
      </c>
      <c r="M4422">
        <v>-0.23042090000000001</v>
      </c>
      <c r="N4422">
        <v>-1.3979510000000001E-2</v>
      </c>
      <c r="O4422">
        <v>-0.97299089999999999</v>
      </c>
      <c r="P4422">
        <v>8.1970199999999993E-2</v>
      </c>
      <c r="Q4422">
        <v>-3.3310439999999997E-2</v>
      </c>
      <c r="R4422">
        <v>-0.99607829999999997</v>
      </c>
      <c r="S4422">
        <v>-4.6264649999999997E-2</v>
      </c>
      <c r="T4422">
        <v>-0.23562900000000001</v>
      </c>
      <c r="U4422">
        <v>-3.006195</v>
      </c>
      <c r="V4422">
        <v>-0.30902449999999998</v>
      </c>
      <c r="W4422">
        <v>-2.3945709999999999E-2</v>
      </c>
      <c r="X4422">
        <v>0.95075259999999995</v>
      </c>
      <c r="Y4422">
        <v>-0.21532209999999999</v>
      </c>
      <c r="Z4422">
        <v>6.0152009999999999E-2</v>
      </c>
      <c r="AA4422">
        <v>0.97468880000000002</v>
      </c>
      <c r="AB4422">
        <v>30</v>
      </c>
      <c r="AC4422">
        <v>-0.15590000000003101</v>
      </c>
      <c r="AD4422">
        <v>-1.114864927912</v>
      </c>
      <c r="AE4422">
        <v>-13.9367</v>
      </c>
      <c r="AF4422">
        <v>-3.0404618647897701</v>
      </c>
      <c r="AG4422">
        <v>-1.114864927912</v>
      </c>
      <c r="AH4422">
        <v>13.511081078906701</v>
      </c>
      <c r="AI4422">
        <v>94.602482716564495</v>
      </c>
      <c r="AJ4422">
        <v>102.68227498282999</v>
      </c>
      <c r="AK4422">
        <v>13.893762776135199</v>
      </c>
      <c r="AL4422">
        <v>91.372119239036806</v>
      </c>
      <c r="AM4422">
        <v>108.00579160383801</v>
      </c>
      <c r="AN4422">
        <v>1.0000000225172001</v>
      </c>
    </row>
    <row r="4423" spans="1:40" x14ac:dyDescent="0.25">
      <c r="A4423" t="str">
        <f>"20190305135918192"</f>
        <v>20190305135918192</v>
      </c>
      <c r="B4423" t="str">
        <f>"1551765558183338"</f>
        <v>1551765558183338</v>
      </c>
      <c r="C4423" t="s">
        <v>40</v>
      </c>
      <c r="D4423">
        <v>3.933748</v>
      </c>
      <c r="E4423">
        <v>0.53412490000000001</v>
      </c>
      <c r="F4423" t="s">
        <v>42</v>
      </c>
      <c r="G4423">
        <v>-418.59190000000001</v>
      </c>
      <c r="H4423" s="1">
        <v>-1.6803410000000001E-6</v>
      </c>
      <c r="I4423">
        <v>102.6576</v>
      </c>
      <c r="J4423">
        <v>-418.47980000000001</v>
      </c>
      <c r="K4423">
        <v>1.1148020000000001</v>
      </c>
      <c r="L4423">
        <v>116.80159999999999</v>
      </c>
      <c r="M4423">
        <v>-0.2237961</v>
      </c>
      <c r="N4423">
        <v>-1.3970720000000001E-2</v>
      </c>
      <c r="O4423">
        <v>-0.97453590000000001</v>
      </c>
      <c r="P4423">
        <v>8.7238220000000005E-2</v>
      </c>
      <c r="Q4423">
        <v>-3.2883160000000002E-2</v>
      </c>
      <c r="R4423">
        <v>-0.9956448</v>
      </c>
      <c r="S4423">
        <v>-3.6956790000000003E-2</v>
      </c>
      <c r="T4423">
        <v>-0.2319716</v>
      </c>
      <c r="U4423">
        <v>-3.0070950000000001</v>
      </c>
      <c r="V4423">
        <v>-0.30759779999999998</v>
      </c>
      <c r="W4423">
        <v>-2.346467E-2</v>
      </c>
      <c r="X4423">
        <v>0.95122709999999999</v>
      </c>
      <c r="Y4423">
        <v>-0.21170230000000001</v>
      </c>
      <c r="Z4423">
        <v>5.9198809999999998E-2</v>
      </c>
      <c r="AA4423">
        <v>0.97553970000000001</v>
      </c>
      <c r="AB4423">
        <v>30</v>
      </c>
      <c r="AC4423">
        <v>-0.11209999999999801</v>
      </c>
      <c r="AD4423">
        <v>-1.114803680341</v>
      </c>
      <c r="AE4423">
        <v>-14.143999999999901</v>
      </c>
      <c r="AF4423">
        <v>-3.0375556938089701</v>
      </c>
      <c r="AG4423">
        <v>-1.114803680341</v>
      </c>
      <c r="AH4423">
        <v>13.725011956947499</v>
      </c>
      <c r="AI4423">
        <v>94.534366191655394</v>
      </c>
      <c r="AJ4423">
        <v>102.479282911819</v>
      </c>
      <c r="AK4423">
        <v>14.101258279212001</v>
      </c>
      <c r="AL4423">
        <v>91.344549965367705</v>
      </c>
      <c r="AM4423">
        <v>107.91962353051299</v>
      </c>
      <c r="AN4423">
        <v>0.99999999653872895</v>
      </c>
    </row>
    <row r="4424" spans="1:40" x14ac:dyDescent="0.25">
      <c r="A4424" t="str">
        <f>"20190305135918213"</f>
        <v>20190305135918213</v>
      </c>
      <c r="B4424" t="str">
        <f>"1551765558203835"</f>
        <v>1551765558203835</v>
      </c>
      <c r="C4424" t="s">
        <v>40</v>
      </c>
      <c r="D4424">
        <v>3.941805</v>
      </c>
      <c r="E4424">
        <v>0.53458399999999995</v>
      </c>
      <c r="F4424" t="s">
        <v>42</v>
      </c>
      <c r="G4424">
        <v>-418.58699999999999</v>
      </c>
      <c r="H4424" s="1">
        <v>-1.5353440000000001E-6</v>
      </c>
      <c r="I4424">
        <v>102.349</v>
      </c>
      <c r="J4424">
        <v>-418.53620000000001</v>
      </c>
      <c r="K4424">
        <v>1.1147609999999999</v>
      </c>
      <c r="L4424">
        <v>116.5278</v>
      </c>
      <c r="M4424">
        <v>-0.21795439999999999</v>
      </c>
      <c r="N4424">
        <v>-1.3962769999999999E-2</v>
      </c>
      <c r="O4424">
        <v>-0.97585909999999998</v>
      </c>
      <c r="P4424">
        <v>9.1088009999999997E-2</v>
      </c>
      <c r="Q4424">
        <v>-3.3316810000000002E-2</v>
      </c>
      <c r="R4424">
        <v>-0.99528550000000005</v>
      </c>
      <c r="S4424">
        <v>-2.2308350000000001E-2</v>
      </c>
      <c r="T4424">
        <v>-0.23197789999999999</v>
      </c>
      <c r="U4424">
        <v>-3.0074160000000001</v>
      </c>
      <c r="V4424">
        <v>-0.30557279999999998</v>
      </c>
      <c r="W4424">
        <v>-2.383569E-2</v>
      </c>
      <c r="X4424">
        <v>0.95187029999999995</v>
      </c>
      <c r="Y4424">
        <v>-0.21060119999999999</v>
      </c>
      <c r="Z4424">
        <v>5.9355730000000002E-2</v>
      </c>
      <c r="AA4424">
        <v>0.97576839999999998</v>
      </c>
      <c r="AB4424">
        <v>30</v>
      </c>
      <c r="AC4424">
        <v>-5.0799999999980999E-2</v>
      </c>
      <c r="AD4424">
        <v>-1.114762535344</v>
      </c>
      <c r="AE4424">
        <v>-14.178800000000001</v>
      </c>
      <c r="AF4424">
        <v>-3.0223723577038002</v>
      </c>
      <c r="AG4424">
        <v>-1.114762535344</v>
      </c>
      <c r="AH4424">
        <v>13.763854124581201</v>
      </c>
      <c r="AI4424">
        <v>94.523092735474705</v>
      </c>
      <c r="AJ4424">
        <v>102.38488127082999</v>
      </c>
      <c r="AK4424">
        <v>14.135809511364</v>
      </c>
      <c r="AL4424">
        <v>91.365813826627402</v>
      </c>
      <c r="AM4424">
        <v>107.797854400158</v>
      </c>
      <c r="AN4424">
        <v>0.99999997211985203</v>
      </c>
    </row>
    <row r="4425" spans="1:40" x14ac:dyDescent="0.25">
      <c r="A4425" t="str">
        <f>"20190305135918235"</f>
        <v>20190305135918235</v>
      </c>
      <c r="B4425" t="str">
        <f>"1551765558223355"</f>
        <v>1551765558223355</v>
      </c>
      <c r="C4425" t="s">
        <v>40</v>
      </c>
      <c r="D4425">
        <v>3.9915660000000002</v>
      </c>
      <c r="E4425">
        <v>0.53494889999999995</v>
      </c>
      <c r="F4425" t="s">
        <v>42</v>
      </c>
      <c r="G4425">
        <v>-418.60180000000003</v>
      </c>
      <c r="H4425" s="1">
        <v>-1.4277999999999999E-6</v>
      </c>
      <c r="I4425">
        <v>102.1271</v>
      </c>
      <c r="J4425">
        <v>-418.59190000000001</v>
      </c>
      <c r="K4425">
        <v>1.1147089999999999</v>
      </c>
      <c r="L4425">
        <v>116.2492</v>
      </c>
      <c r="M4425">
        <v>-0.21205769999999999</v>
      </c>
      <c r="N4425">
        <v>-1.3954309999999999E-2</v>
      </c>
      <c r="O4425">
        <v>-0.97715739999999995</v>
      </c>
      <c r="P4425">
        <v>9.5973779999999995E-2</v>
      </c>
      <c r="Q4425">
        <v>-3.2979950000000001E-2</v>
      </c>
      <c r="R4425">
        <v>-0.99483739999999998</v>
      </c>
      <c r="S4425">
        <v>-1.370239E-2</v>
      </c>
      <c r="T4425">
        <v>-0.23282159999999999</v>
      </c>
      <c r="U4425">
        <v>-3.0076450000000001</v>
      </c>
      <c r="V4425">
        <v>-0.30450830000000001</v>
      </c>
      <c r="W4425">
        <v>-2.3447840000000001E-2</v>
      </c>
      <c r="X4425">
        <v>0.95222099999999998</v>
      </c>
      <c r="Y4425">
        <v>-0.20749190000000001</v>
      </c>
      <c r="Z4425">
        <v>5.9795290000000001E-2</v>
      </c>
      <c r="AA4425">
        <v>0.97640749999999998</v>
      </c>
      <c r="AB4425">
        <v>30</v>
      </c>
      <c r="AC4425">
        <v>-9.9000000000160002E-3</v>
      </c>
      <c r="AD4425">
        <v>-1.1147104278</v>
      </c>
      <c r="AE4425">
        <v>-14.1221</v>
      </c>
      <c r="AF4425">
        <v>-2.9668322386486601</v>
      </c>
      <c r="AG4425">
        <v>-1.1147104278</v>
      </c>
      <c r="AH4425">
        <v>13.717492065266599</v>
      </c>
      <c r="AI4425">
        <v>94.541214851493294</v>
      </c>
      <c r="AJ4425">
        <v>102.204012096532</v>
      </c>
      <c r="AK4425">
        <v>14.078858669323401</v>
      </c>
      <c r="AL4425">
        <v>91.343585448474798</v>
      </c>
      <c r="AM4425">
        <v>107.733622550928</v>
      </c>
      <c r="AN4425">
        <v>0.99999996940527702</v>
      </c>
    </row>
    <row r="4426" spans="1:40" x14ac:dyDescent="0.25">
      <c r="A4426" t="str">
        <f>"20190305135918257"</f>
        <v>20190305135918257</v>
      </c>
      <c r="B4426" t="str">
        <f>"1551765558253611"</f>
        <v>1551765558253611</v>
      </c>
      <c r="C4426" t="s">
        <v>40</v>
      </c>
      <c r="D4426">
        <v>3.9243600000000001</v>
      </c>
      <c r="E4426">
        <v>0.53542239999999997</v>
      </c>
      <c r="F4426" t="s">
        <v>42</v>
      </c>
      <c r="G4426">
        <v>-418.60230000000001</v>
      </c>
      <c r="H4426" s="1">
        <v>-1.320258E-6</v>
      </c>
      <c r="I4426">
        <v>101.8997</v>
      </c>
      <c r="J4426">
        <v>-418.64780000000002</v>
      </c>
      <c r="K4426">
        <v>1.1146529999999999</v>
      </c>
      <c r="L4426">
        <v>115.9611</v>
      </c>
      <c r="M4426">
        <v>-0.2060237</v>
      </c>
      <c r="N4426">
        <v>-1.394514E-2</v>
      </c>
      <c r="O4426">
        <v>-0.97844759999999997</v>
      </c>
      <c r="P4426">
        <v>0.1001731</v>
      </c>
      <c r="Q4426">
        <v>-3.2170339999999999E-2</v>
      </c>
      <c r="R4426">
        <v>-0.99444999999999995</v>
      </c>
      <c r="S4426">
        <v>-2.166748E-3</v>
      </c>
      <c r="T4426">
        <v>-0.2336742</v>
      </c>
      <c r="U4426">
        <v>-3.008041</v>
      </c>
      <c r="V4426">
        <v>-0.30267169999999999</v>
      </c>
      <c r="W4426">
        <v>-2.2568919999999999E-2</v>
      </c>
      <c r="X4426">
        <v>0.9528276</v>
      </c>
      <c r="Y4426">
        <v>-0.2052013</v>
      </c>
      <c r="Z4426">
        <v>6.0225979999999998E-2</v>
      </c>
      <c r="AA4426">
        <v>0.97686499999999998</v>
      </c>
      <c r="AB4426">
        <v>30</v>
      </c>
      <c r="AC4426">
        <v>4.5500000000004003E-2</v>
      </c>
      <c r="AD4426">
        <v>-1.1146543202579999</v>
      </c>
      <c r="AE4426">
        <v>-14.061400000000001</v>
      </c>
      <c r="AF4426">
        <v>-2.9234171508845002</v>
      </c>
      <c r="AG4426">
        <v>-1.1146543202579999</v>
      </c>
      <c r="AH4426">
        <v>13.6644425779358</v>
      </c>
      <c r="AI4426">
        <v>94.560724666967999</v>
      </c>
      <c r="AJ4426">
        <v>102.076003049508</v>
      </c>
      <c r="AK4426">
        <v>14.0180531122357</v>
      </c>
      <c r="AL4426">
        <v>91.293213697094998</v>
      </c>
      <c r="AM4426">
        <v>107.622778728584</v>
      </c>
      <c r="AN4426">
        <v>0.99999997472630797</v>
      </c>
    </row>
    <row r="4427" spans="1:40" x14ac:dyDescent="0.25">
      <c r="A4427" t="str">
        <f>"20190305135918280"</f>
        <v>20190305135918280</v>
      </c>
      <c r="B4427" t="str">
        <f>"1551765558273134"</f>
        <v>1551765558273134</v>
      </c>
      <c r="C4427" t="s">
        <v>40</v>
      </c>
      <c r="D4427">
        <v>3.9007429999999998</v>
      </c>
      <c r="E4427">
        <v>0.53590839999999995</v>
      </c>
      <c r="F4427" t="s">
        <v>42</v>
      </c>
      <c r="G4427">
        <v>-418.61810000000003</v>
      </c>
      <c r="H4427" s="1">
        <v>-1.1799079999999999E-6</v>
      </c>
      <c r="I4427">
        <v>101.6087</v>
      </c>
      <c r="J4427">
        <v>-418.70389999999998</v>
      </c>
      <c r="K4427">
        <v>1.114574</v>
      </c>
      <c r="L4427">
        <v>115.6613</v>
      </c>
      <c r="M4427">
        <v>-0.1998325</v>
      </c>
      <c r="N4427">
        <v>-1.393496E-2</v>
      </c>
      <c r="O4427">
        <v>-0.97973129999999997</v>
      </c>
      <c r="P4427">
        <v>0.10379869999999999</v>
      </c>
      <c r="Q4427">
        <v>-3.1835130000000003E-2</v>
      </c>
      <c r="R4427">
        <v>-0.99408879999999999</v>
      </c>
      <c r="S4427">
        <v>6.225586E-3</v>
      </c>
      <c r="T4427">
        <v>-0.23365520000000001</v>
      </c>
      <c r="U4427">
        <v>-3.0085600000000001</v>
      </c>
      <c r="V4427">
        <v>-0.30013139999999999</v>
      </c>
      <c r="W4427">
        <v>-2.2146019999999999E-2</v>
      </c>
      <c r="X4427">
        <v>0.95364079999999996</v>
      </c>
      <c r="Y4427">
        <v>-0.20173920000000001</v>
      </c>
      <c r="Z4427">
        <v>6.0389940000000003E-2</v>
      </c>
      <c r="AA4427">
        <v>0.97757579999999999</v>
      </c>
      <c r="AB4427">
        <v>30</v>
      </c>
      <c r="AC4427">
        <v>8.5799999999949195E-2</v>
      </c>
      <c r="AD4427">
        <v>-1.1145751799079999</v>
      </c>
      <c r="AE4427">
        <v>-14.052599999999901</v>
      </c>
      <c r="AF4427">
        <v>-2.8744253339596999</v>
      </c>
      <c r="AG4427">
        <v>-1.1145751799079999</v>
      </c>
      <c r="AH4427">
        <v>13.665990651979801</v>
      </c>
      <c r="AI4427">
        <v>94.563215819960007</v>
      </c>
      <c r="AJ4427">
        <v>101.878117859889</v>
      </c>
      <c r="AK4427">
        <v>14.0094218057768</v>
      </c>
      <c r="AL4427">
        <v>91.268977170875004</v>
      </c>
      <c r="AM4427">
        <v>107.469917175014</v>
      </c>
      <c r="AN4427">
        <v>1.0000000394462101</v>
      </c>
    </row>
    <row r="4428" spans="1:40" x14ac:dyDescent="0.25">
      <c r="A4428" t="str">
        <f>"20190305135918304"</f>
        <v>20190305135918304</v>
      </c>
      <c r="B4428" t="str">
        <f>"1551765558293627"</f>
        <v>1551765558293627</v>
      </c>
      <c r="C4428" t="s">
        <v>40</v>
      </c>
      <c r="D4428">
        <v>3.9307479999999999</v>
      </c>
      <c r="E4428">
        <v>0.53623129999999997</v>
      </c>
      <c r="F4428" t="s">
        <v>42</v>
      </c>
      <c r="G4428">
        <v>-418.6377</v>
      </c>
      <c r="H4428" s="1">
        <v>-9.9888039999999992E-7</v>
      </c>
      <c r="I4428">
        <v>101.23309999999999</v>
      </c>
      <c r="J4428">
        <v>-418.75740000000002</v>
      </c>
      <c r="K4428">
        <v>1.114492</v>
      </c>
      <c r="L4428">
        <v>115.3665</v>
      </c>
      <c r="M4428">
        <v>-0.19384699999999999</v>
      </c>
      <c r="N4428">
        <v>-1.392417E-2</v>
      </c>
      <c r="O4428">
        <v>-0.9809329</v>
      </c>
      <c r="P4428">
        <v>0.1071781</v>
      </c>
      <c r="Q4428">
        <v>-3.168489E-2</v>
      </c>
      <c r="R4428">
        <v>-0.99373489999999998</v>
      </c>
      <c r="S4428">
        <v>1.382446E-2</v>
      </c>
      <c r="T4428">
        <v>-0.23244229999999999</v>
      </c>
      <c r="U4428">
        <v>-3.0089570000000001</v>
      </c>
      <c r="V4428">
        <v>-0.29755859999999901</v>
      </c>
      <c r="W4428">
        <v>-2.1902999999999999E-2</v>
      </c>
      <c r="X4428">
        <v>0.95445230000000003</v>
      </c>
      <c r="Y4428">
        <v>-0.19822999999999999</v>
      </c>
      <c r="Z4428">
        <v>6.0169680000000003E-2</v>
      </c>
      <c r="AA4428">
        <v>0.97830689999999998</v>
      </c>
      <c r="AB4428">
        <v>30</v>
      </c>
      <c r="AC4428">
        <v>0.119700000000023</v>
      </c>
      <c r="AD4428">
        <v>-1.1144929988804</v>
      </c>
      <c r="AE4428">
        <v>-14.1334</v>
      </c>
      <c r="AF4428">
        <v>-2.8397552552180301</v>
      </c>
      <c r="AG4428">
        <v>-1.1144929988804</v>
      </c>
      <c r="AH4428">
        <v>13.7565221912062</v>
      </c>
      <c r="AI4428">
        <v>94.5364993209446</v>
      </c>
      <c r="AJ4428">
        <v>101.663718195391</v>
      </c>
      <c r="AK4428">
        <v>14.090713514625101</v>
      </c>
      <c r="AL4428">
        <v>91.255049787808304</v>
      </c>
      <c r="AM4428">
        <v>107.31531048713499</v>
      </c>
      <c r="AN4428">
        <v>1.0000000274091201</v>
      </c>
    </row>
    <row r="4429" spans="1:40" x14ac:dyDescent="0.25">
      <c r="A4429" t="str">
        <f>"20190305135918324"</f>
        <v>20190305135918324</v>
      </c>
      <c r="B4429" t="str">
        <f>"1551765558313147"</f>
        <v>1551765558313147</v>
      </c>
      <c r="C4429" t="s">
        <v>40</v>
      </c>
      <c r="D4429">
        <v>3.9311600000000002</v>
      </c>
      <c r="E4429">
        <v>0.54842009999999997</v>
      </c>
      <c r="F4429" t="s">
        <v>42</v>
      </c>
      <c r="G4429">
        <v>-418.65429999999998</v>
      </c>
      <c r="H4429" s="1">
        <v>-8.4306279999999997E-7</v>
      </c>
      <c r="I4429">
        <v>100.9074</v>
      </c>
      <c r="J4429">
        <v>-418.80489999999998</v>
      </c>
      <c r="K4429">
        <v>1.114417</v>
      </c>
      <c r="L4429">
        <v>115.096</v>
      </c>
      <c r="M4429">
        <v>-0.18843579999999999</v>
      </c>
      <c r="N4429">
        <v>-1.3914019999999999E-2</v>
      </c>
      <c r="O4429">
        <v>-0.98198700000000005</v>
      </c>
      <c r="P4429">
        <v>0.11039649999999999</v>
      </c>
      <c r="Q4429">
        <v>-3.1127289999999998E-2</v>
      </c>
      <c r="R4429">
        <v>-0.99339999999999995</v>
      </c>
      <c r="S4429">
        <v>2.1453860000000002E-2</v>
      </c>
      <c r="T4429">
        <v>-0.23194680000000001</v>
      </c>
      <c r="U4429">
        <v>-3.009201</v>
      </c>
      <c r="V4429">
        <v>-0.29540240000000001</v>
      </c>
      <c r="W4429">
        <v>-2.1264040000000001E-2</v>
      </c>
      <c r="X4429">
        <v>0.95513619999999999</v>
      </c>
      <c r="Y4429">
        <v>-0.1953077</v>
      </c>
      <c r="Z4429">
        <v>6.015678E-2</v>
      </c>
      <c r="AA4429">
        <v>0.97889530000000002</v>
      </c>
      <c r="AB4429">
        <v>30</v>
      </c>
      <c r="AC4429">
        <v>0.15059999999999699</v>
      </c>
      <c r="AD4429">
        <v>-1.1144178430628</v>
      </c>
      <c r="AE4429">
        <v>-14.188599999999999</v>
      </c>
      <c r="AF4429">
        <v>-2.8045013203502598</v>
      </c>
      <c r="AG4429">
        <v>-1.1144178430628</v>
      </c>
      <c r="AH4429">
        <v>13.8207366922004</v>
      </c>
      <c r="AI4429">
        <v>94.518307213292999</v>
      </c>
      <c r="AJ4429">
        <v>101.470700458157</v>
      </c>
      <c r="AK4429">
        <v>14.146374712268701</v>
      </c>
      <c r="AL4429">
        <v>91.218431642271398</v>
      </c>
      <c r="AM4429">
        <v>107.18567611637501</v>
      </c>
      <c r="AN4429">
        <v>0.999999948936659</v>
      </c>
    </row>
    <row r="4430" spans="1:40" x14ac:dyDescent="0.25">
      <c r="A4430" t="str">
        <f>"20190305135918347"</f>
        <v>20190305135918347</v>
      </c>
      <c r="B4430" t="str">
        <f>"1551765558343403"</f>
        <v>1551765558343403</v>
      </c>
      <c r="C4430" t="s">
        <v>40</v>
      </c>
      <c r="D4430">
        <v>3.929532</v>
      </c>
      <c r="E4430">
        <v>0.54784480000000002</v>
      </c>
      <c r="F4430" t="s">
        <v>42</v>
      </c>
      <c r="G4430">
        <v>-419.4588</v>
      </c>
      <c r="H4430" s="1">
        <v>-3.8553119999999997E-6</v>
      </c>
      <c r="I4430">
        <v>78.395809999999997</v>
      </c>
      <c r="J4430">
        <v>-418.85390000000001</v>
      </c>
      <c r="K4430">
        <v>1.114333</v>
      </c>
      <c r="L4430">
        <v>114.8078</v>
      </c>
      <c r="M4430">
        <v>-0.1827782</v>
      </c>
      <c r="N4430">
        <v>-1.39031E-2</v>
      </c>
      <c r="O4430">
        <v>-0.98305589999999998</v>
      </c>
      <c r="P4430">
        <v>0.1136955</v>
      </c>
      <c r="Q4430">
        <v>-3.0928779999999999E-2</v>
      </c>
      <c r="R4430">
        <v>-0.99303410000000003</v>
      </c>
      <c r="S4430">
        <v>-5.386353E-2</v>
      </c>
      <c r="T4430">
        <v>-9.1795799999999997E-2</v>
      </c>
      <c r="U4430">
        <v>-3.0230260000000002</v>
      </c>
      <c r="V4430">
        <v>-0.29308289999999998</v>
      </c>
      <c r="W4430">
        <v>-2.0975009999999999E-2</v>
      </c>
      <c r="X4430">
        <v>0.95585690000000001</v>
      </c>
      <c r="Y4430">
        <v>-0.1652025</v>
      </c>
      <c r="Z4430">
        <v>1.549739E-2</v>
      </c>
      <c r="AA4430">
        <v>0.98613790000000001</v>
      </c>
      <c r="AB4430">
        <v>30</v>
      </c>
      <c r="AC4430">
        <v>-0.604899999999986</v>
      </c>
      <c r="AD4430">
        <v>-1.1143368553120001</v>
      </c>
      <c r="AE4430">
        <v>-36.411990000000003</v>
      </c>
      <c r="AF4430">
        <v>-6.0555831402632601</v>
      </c>
      <c r="AG4430">
        <v>-1.1143368553120001</v>
      </c>
      <c r="AH4430">
        <v>35.875462687114698</v>
      </c>
      <c r="AI4430">
        <v>91.754306592409804</v>
      </c>
      <c r="AJ4430">
        <v>99.580905623179405</v>
      </c>
      <c r="AK4430">
        <v>36.400009022118503</v>
      </c>
      <c r="AL4430">
        <v>91.201867716083598</v>
      </c>
      <c r="AM4430">
        <v>107.046480537569</v>
      </c>
      <c r="AN4430">
        <v>0.99999997529725904</v>
      </c>
    </row>
    <row r="4431" spans="1:40" x14ac:dyDescent="0.25">
      <c r="A4431" t="str">
        <f>"20190305135918370"</f>
        <v>20190305135918370</v>
      </c>
      <c r="B4431" t="str">
        <f>"1551765558363898"</f>
        <v>1551765558363898</v>
      </c>
      <c r="C4431" t="s">
        <v>40</v>
      </c>
      <c r="D4431">
        <v>4.208869</v>
      </c>
      <c r="E4431">
        <v>0.54696909999999999</v>
      </c>
      <c r="F4431" t="s">
        <v>42</v>
      </c>
      <c r="G4431">
        <v>-419.25029999999998</v>
      </c>
      <c r="H4431" s="1">
        <v>-2.8027240000000001E-6</v>
      </c>
      <c r="I4431">
        <v>85.855999999999995</v>
      </c>
      <c r="J4431">
        <v>-418.90429999999998</v>
      </c>
      <c r="K4431">
        <v>1.114233</v>
      </c>
      <c r="L4431">
        <v>114.5013</v>
      </c>
      <c r="M4431">
        <v>-0.1769106</v>
      </c>
      <c r="N4431">
        <v>-1.38903E-2</v>
      </c>
      <c r="O4431">
        <v>-0.98412889999999997</v>
      </c>
      <c r="P4431">
        <v>0.1178285</v>
      </c>
      <c r="Q4431">
        <v>-3.0399559999999999E-2</v>
      </c>
      <c r="R4431">
        <v>-0.99256869999999997</v>
      </c>
      <c r="S4431">
        <v>-4.1381840000000003E-2</v>
      </c>
      <c r="T4431">
        <v>-0.1163208</v>
      </c>
      <c r="U4431">
        <v>-3.0221559999999998</v>
      </c>
      <c r="V4431">
        <v>-0.29137459999999998</v>
      </c>
      <c r="W4431">
        <v>-2.0351709999999999E-2</v>
      </c>
      <c r="X4431">
        <v>0.95639249999999998</v>
      </c>
      <c r="Y4431">
        <v>-0.16337869999999999</v>
      </c>
      <c r="Z4431">
        <v>2.3424480000000001E-2</v>
      </c>
      <c r="AA4431">
        <v>0.98628530000000003</v>
      </c>
      <c r="AB4431">
        <v>30</v>
      </c>
      <c r="AC4431">
        <v>-0.34600000000000303</v>
      </c>
      <c r="AD4431">
        <v>-1.114235802724</v>
      </c>
      <c r="AE4431">
        <v>-28.645299999999899</v>
      </c>
      <c r="AF4431">
        <v>-4.7204635632808696</v>
      </c>
      <c r="AG4431">
        <v>-1.114235802724</v>
      </c>
      <c r="AH4431">
        <v>28.211925354363899</v>
      </c>
      <c r="AI4431">
        <v>92.230753975634798</v>
      </c>
      <c r="AJ4431">
        <v>99.498827225223593</v>
      </c>
      <c r="AK4431">
        <v>28.6258105540531</v>
      </c>
      <c r="AL4431">
        <v>91.166147621023299</v>
      </c>
      <c r="AM4431">
        <v>106.94388492115</v>
      </c>
      <c r="AN4431">
        <v>0.99999998184066596</v>
      </c>
    </row>
    <row r="4432" spans="1:40" x14ac:dyDescent="0.25">
      <c r="A4432" t="str">
        <f>"20190305135918393"</f>
        <v>20190305135918393</v>
      </c>
      <c r="B4432" t="str">
        <f>"1551765558383419"</f>
        <v>1551765558383419</v>
      </c>
      <c r="C4432" t="s">
        <v>40</v>
      </c>
      <c r="D4432">
        <v>3.9649920000000001</v>
      </c>
      <c r="E4432">
        <v>0.54687649999999999</v>
      </c>
      <c r="F4432" t="s">
        <v>42</v>
      </c>
      <c r="G4432">
        <v>-419.09320000000002</v>
      </c>
      <c r="H4432" s="1">
        <v>-7.7588020000000002E-7</v>
      </c>
      <c r="I4432">
        <v>91.066419999999994</v>
      </c>
      <c r="J4432">
        <v>-418.9502</v>
      </c>
      <c r="K4432">
        <v>1.114123</v>
      </c>
      <c r="L4432">
        <v>114.2132</v>
      </c>
      <c r="M4432">
        <v>-0.1715585</v>
      </c>
      <c r="N4432">
        <v>-1.387676E-2</v>
      </c>
      <c r="O4432">
        <v>-0.98507610000000001</v>
      </c>
      <c r="P4432">
        <v>0.121795899999999</v>
      </c>
      <c r="Q4432">
        <v>-2.8703300000000001E-2</v>
      </c>
      <c r="R4432">
        <v>-0.99214009999999997</v>
      </c>
      <c r="S4432">
        <v>-2.4353030000000001E-2</v>
      </c>
      <c r="T4432">
        <v>-0.14363399999999901</v>
      </c>
      <c r="U4432">
        <v>-3.02095</v>
      </c>
      <c r="V4432">
        <v>-0.29003279999999998</v>
      </c>
      <c r="W4432">
        <v>-1.8558330000000001E-2</v>
      </c>
      <c r="X4432">
        <v>0.95683680000000004</v>
      </c>
      <c r="Y4432">
        <v>-0.16356080000000001</v>
      </c>
      <c r="Z4432">
        <v>3.2260110000000002E-2</v>
      </c>
      <c r="AA4432">
        <v>0.98600569999999998</v>
      </c>
      <c r="AB4432">
        <v>30</v>
      </c>
      <c r="AC4432">
        <v>-0.14300000000002899</v>
      </c>
      <c r="AD4432">
        <v>-1.1141237758802001</v>
      </c>
      <c r="AE4432">
        <v>-23.14678</v>
      </c>
      <c r="AF4432">
        <v>-3.8216765107650401</v>
      </c>
      <c r="AG4432">
        <v>-1.1141237758802001</v>
      </c>
      <c r="AH4432">
        <v>22.775309412133598</v>
      </c>
      <c r="AI4432">
        <v>92.762012090991206</v>
      </c>
      <c r="AJ4432">
        <v>99.525440848183706</v>
      </c>
      <c r="AK4432">
        <v>23.120579619882701</v>
      </c>
      <c r="AL4432">
        <v>91.063374977164102</v>
      </c>
      <c r="AM4432">
        <v>106.86290984568799</v>
      </c>
      <c r="AN4432">
        <v>1.00000004926123</v>
      </c>
    </row>
    <row r="4433" spans="1:40" x14ac:dyDescent="0.25">
      <c r="A4433" t="str">
        <f>"20190305135918414"</f>
        <v>20190305135918414</v>
      </c>
      <c r="B4433" t="str">
        <f>"1551765558403915"</f>
        <v>1551765558403915</v>
      </c>
      <c r="C4433" t="s">
        <v>40</v>
      </c>
      <c r="D4433">
        <v>3.9190610000000001</v>
      </c>
      <c r="E4433">
        <v>0.546875</v>
      </c>
      <c r="F4433" t="s">
        <v>42</v>
      </c>
      <c r="G4433">
        <v>-419.04390000000001</v>
      </c>
      <c r="H4433" s="1">
        <v>-1.2620749999999999E-6</v>
      </c>
      <c r="I4433">
        <v>92.179349999999999</v>
      </c>
      <c r="J4433">
        <v>-418.99299999999999</v>
      </c>
      <c r="K4433">
        <v>1.1139840000000001</v>
      </c>
      <c r="L4433">
        <v>113.9358</v>
      </c>
      <c r="M4433">
        <v>-0.1665816</v>
      </c>
      <c r="N4433">
        <v>-1.3862609999999999E-2</v>
      </c>
      <c r="O4433">
        <v>-0.98593030000000004</v>
      </c>
      <c r="P4433">
        <v>0.12545300000000001</v>
      </c>
      <c r="Q4433">
        <v>-2.696819E-2</v>
      </c>
      <c r="R4433">
        <v>-0.99173299999999998</v>
      </c>
      <c r="S4433">
        <v>-1.2847900000000001E-2</v>
      </c>
      <c r="T4433">
        <v>-0.15275039999999901</v>
      </c>
      <c r="U4433">
        <v>-3.0209199999999998</v>
      </c>
      <c r="V4433">
        <v>-0.2887612</v>
      </c>
      <c r="W4433">
        <v>-1.6716539999999998E-2</v>
      </c>
      <c r="X4433">
        <v>0.95725519999999997</v>
      </c>
      <c r="Y4433">
        <v>-0.162331</v>
      </c>
      <c r="Z4433">
        <v>3.5261790000000001E-2</v>
      </c>
      <c r="AA4433">
        <v>0.98610609999999999</v>
      </c>
      <c r="AB4433">
        <v>29</v>
      </c>
      <c r="AC4433">
        <v>-5.0899999999955897E-2</v>
      </c>
      <c r="AD4433">
        <v>-1.1139852620749999</v>
      </c>
      <c r="AE4433">
        <v>-21.756450000000001</v>
      </c>
      <c r="AF4433">
        <v>-3.5650371783550501</v>
      </c>
      <c r="AG4433">
        <v>-1.1139852620749999</v>
      </c>
      <c r="AH4433">
        <v>21.4047662271071</v>
      </c>
      <c r="AI4433">
        <v>92.938792102165294</v>
      </c>
      <c r="AJ4433">
        <v>99.456009316384296</v>
      </c>
      <c r="AK4433">
        <v>21.728195288248902</v>
      </c>
      <c r="AL4433">
        <v>90.957831807631607</v>
      </c>
      <c r="AM4433">
        <v>106.786220519266</v>
      </c>
      <c r="AN4433">
        <v>0.99999999563102504</v>
      </c>
    </row>
    <row r="4434" spans="1:40" x14ac:dyDescent="0.25">
      <c r="A4434" t="str">
        <f>"20190305135918437"</f>
        <v>20190305135918437</v>
      </c>
      <c r="B4434" t="str">
        <f>"1551765558433195"</f>
        <v>1551765558433195</v>
      </c>
      <c r="C4434" t="s">
        <v>40</v>
      </c>
      <c r="D4434">
        <v>3.92598</v>
      </c>
      <c r="E4434">
        <v>0.5472397</v>
      </c>
      <c r="F4434" t="s">
        <v>42</v>
      </c>
      <c r="G4434">
        <v>-419.01389999999998</v>
      </c>
      <c r="H4434" s="1">
        <v>-1.556736E-6</v>
      </c>
      <c r="I4434">
        <v>92.853809999999996</v>
      </c>
      <c r="J4434">
        <v>-419.03559999999999</v>
      </c>
      <c r="K4434">
        <v>1.1138250000000001</v>
      </c>
      <c r="L4434">
        <v>113.65130000000001</v>
      </c>
      <c r="M4434">
        <v>-0.16167909999999999</v>
      </c>
      <c r="N4434">
        <v>-1.384703E-2</v>
      </c>
      <c r="O4434">
        <v>-0.98674640000000002</v>
      </c>
      <c r="P4434">
        <v>0.12878980000000001</v>
      </c>
      <c r="Q4434">
        <v>-2.4407970000000001E-2</v>
      </c>
      <c r="R4434">
        <v>-0.99137160000000002</v>
      </c>
      <c r="S4434">
        <v>-2.9907229999999998E-3</v>
      </c>
      <c r="T4434">
        <v>-0.15963359999999999</v>
      </c>
      <c r="U4434">
        <v>-3.021042</v>
      </c>
      <c r="V4434">
        <v>-0.28726819999999997</v>
      </c>
      <c r="W4434">
        <v>-1.403128E-2</v>
      </c>
      <c r="X4434">
        <v>0.95774740000000003</v>
      </c>
      <c r="Y4434">
        <v>-0.16064229999999999</v>
      </c>
      <c r="Z4434">
        <v>3.75517E-2</v>
      </c>
      <c r="AA4434">
        <v>0.98629809999999996</v>
      </c>
      <c r="AB4434">
        <v>29</v>
      </c>
      <c r="AC4434">
        <v>2.1700000000009802E-2</v>
      </c>
      <c r="AD4434">
        <v>-1.113826556736</v>
      </c>
      <c r="AE4434">
        <v>-20.79749</v>
      </c>
      <c r="AF4434">
        <v>-3.3745767328281602</v>
      </c>
      <c r="AG4434">
        <v>-1.113826556736</v>
      </c>
      <c r="AH4434">
        <v>20.461615484151999</v>
      </c>
      <c r="AI4434">
        <v>93.074367840748806</v>
      </c>
      <c r="AJ4434">
        <v>99.365051274484202</v>
      </c>
      <c r="AK4434">
        <v>20.767910004271599</v>
      </c>
      <c r="AL4434">
        <v>90.803959515745007</v>
      </c>
      <c r="AM4434">
        <v>106.696169587087</v>
      </c>
      <c r="AN4434">
        <v>0.99999998887821895</v>
      </c>
    </row>
    <row r="4435" spans="1:40" x14ac:dyDescent="0.25">
      <c r="A4435" t="str">
        <f>"20190305135918460"</f>
        <v>20190305135918460</v>
      </c>
      <c r="B4435" t="str">
        <f>"1551765558453694"</f>
        <v>1551765558453694</v>
      </c>
      <c r="C4435" t="s">
        <v>40</v>
      </c>
      <c r="D4435">
        <v>3.9260130000000002</v>
      </c>
      <c r="E4435">
        <v>0.54750880000000002</v>
      </c>
      <c r="F4435" t="s">
        <v>42</v>
      </c>
      <c r="G4435">
        <v>-419.01429999999999</v>
      </c>
      <c r="H4435" s="1">
        <v>-1.7377769999999999E-6</v>
      </c>
      <c r="I4435">
        <v>93.275980000000004</v>
      </c>
      <c r="J4435">
        <v>-419.07889999999998</v>
      </c>
      <c r="K4435">
        <v>1.1136349999999999</v>
      </c>
      <c r="L4435">
        <v>113.35380000000001</v>
      </c>
      <c r="M4435">
        <v>-0.156809</v>
      </c>
      <c r="N4435">
        <v>-1.382972E-2</v>
      </c>
      <c r="O4435">
        <v>-0.98753210000000002</v>
      </c>
      <c r="P4435">
        <v>0.13190479999999999</v>
      </c>
      <c r="Q4435">
        <v>-2.2972369999999999E-2</v>
      </c>
      <c r="R4435">
        <v>-0.99099619999999999</v>
      </c>
      <c r="S4435">
        <v>3.1738280000000001E-3</v>
      </c>
      <c r="T4435">
        <v>-0.1651803</v>
      </c>
      <c r="U4435">
        <v>-3.021652</v>
      </c>
      <c r="V4435">
        <v>-0.28557850000000001</v>
      </c>
      <c r="W4435">
        <v>-1.245187E-2</v>
      </c>
      <c r="X4435">
        <v>0.95827439999999997</v>
      </c>
      <c r="Y4435">
        <v>-0.15778399999999901</v>
      </c>
      <c r="Z4435">
        <v>3.9414200000000003E-2</v>
      </c>
      <c r="AA4435">
        <v>0.98668679999999997</v>
      </c>
      <c r="AB4435">
        <v>29</v>
      </c>
      <c r="AC4435">
        <v>6.4599999999984406E-2</v>
      </c>
      <c r="AD4435">
        <v>-1.113636737777</v>
      </c>
      <c r="AE4435">
        <v>-20.077819999999999</v>
      </c>
      <c r="AF4435">
        <v>-3.20263199243331</v>
      </c>
      <c r="AG4435">
        <v>-1.113636737777</v>
      </c>
      <c r="AH4435">
        <v>19.758471681860001</v>
      </c>
      <c r="AI4435">
        <v>93.1844461169065</v>
      </c>
      <c r="AJ4435">
        <v>99.206945058469302</v>
      </c>
      <c r="AK4435">
        <v>20.0473001091306</v>
      </c>
      <c r="AL4435">
        <v>90.713458051948393</v>
      </c>
      <c r="AM4435">
        <v>106.594755566693</v>
      </c>
      <c r="AN4435">
        <v>0.99999997721205303</v>
      </c>
    </row>
    <row r="4436" spans="1:40" x14ac:dyDescent="0.25">
      <c r="A4436" t="str">
        <f>"20190305135918481"</f>
        <v>20190305135918481</v>
      </c>
      <c r="B4436" t="str">
        <f>"1551765558473214"</f>
        <v>1551765558473214</v>
      </c>
      <c r="C4436" t="s">
        <v>40</v>
      </c>
      <c r="D4436">
        <v>3.92639</v>
      </c>
      <c r="E4436">
        <v>0.54744890000000002</v>
      </c>
      <c r="F4436" t="s">
        <v>42</v>
      </c>
      <c r="G4436">
        <v>-419.01139999999998</v>
      </c>
      <c r="H4436" s="1">
        <v>-1.758264E-6</v>
      </c>
      <c r="I4436">
        <v>93.322540000000004</v>
      </c>
      <c r="J4436">
        <v>-419.12</v>
      </c>
      <c r="K4436">
        <v>1.1134310000000001</v>
      </c>
      <c r="L4436">
        <v>113.0634</v>
      </c>
      <c r="M4436">
        <v>-0.1523235</v>
      </c>
      <c r="N4436">
        <v>-1.381218E-2</v>
      </c>
      <c r="O4436">
        <v>-0.98823439999999996</v>
      </c>
      <c r="P4436">
        <v>0.13497339999999999</v>
      </c>
      <c r="Q4436">
        <v>-2.3307660000000001E-2</v>
      </c>
      <c r="R4436">
        <v>-0.99057539999999999</v>
      </c>
      <c r="S4436">
        <v>1.019287E-2</v>
      </c>
      <c r="T4436">
        <v>-0.16800689999999999</v>
      </c>
      <c r="U4436">
        <v>-3.0219879999999999</v>
      </c>
      <c r="V4436">
        <v>-0.284197599999999</v>
      </c>
      <c r="W4436">
        <v>-1.264584E-2</v>
      </c>
      <c r="X4436">
        <v>0.95868240000000005</v>
      </c>
      <c r="Y4436">
        <v>-0.15559149999999999</v>
      </c>
      <c r="Z4436">
        <v>4.0399890000000001E-2</v>
      </c>
      <c r="AA4436">
        <v>0.98699499999999996</v>
      </c>
      <c r="AB4436">
        <v>29</v>
      </c>
      <c r="AC4436">
        <v>0.108600000000024</v>
      </c>
      <c r="AD4436">
        <v>-1.113432758264</v>
      </c>
      <c r="AE4436">
        <v>-19.740860000000001</v>
      </c>
      <c r="AF4436">
        <v>-3.1047389405391401</v>
      </c>
      <c r="AG4436">
        <v>-1.113432758264</v>
      </c>
      <c r="AH4436">
        <v>19.432093554182401</v>
      </c>
      <c r="AI4436">
        <v>93.238400330886506</v>
      </c>
      <c r="AJ4436">
        <v>99.077638267220493</v>
      </c>
      <c r="AK4436">
        <v>19.710032884157599</v>
      </c>
      <c r="AL4436">
        <v>90.724572523514496</v>
      </c>
      <c r="AM4436">
        <v>106.512248248571</v>
      </c>
      <c r="AN4436">
        <v>1.00000006859241</v>
      </c>
    </row>
    <row r="4437" spans="1:40" x14ac:dyDescent="0.25">
      <c r="A4437" t="str">
        <f>"20190305135918503"</f>
        <v>20190305135918503</v>
      </c>
      <c r="B4437" t="str">
        <f>"1551765558493707"</f>
        <v>1551765558493707</v>
      </c>
      <c r="C4437" t="s">
        <v>40</v>
      </c>
      <c r="D4437">
        <v>3.8615330000000001</v>
      </c>
      <c r="E4437">
        <v>0.54748180000000002</v>
      </c>
      <c r="F4437" t="s">
        <v>42</v>
      </c>
      <c r="G4437">
        <v>-418.9973</v>
      </c>
      <c r="H4437" s="1">
        <v>-2.1230720000000001E-6</v>
      </c>
      <c r="I4437">
        <v>94.167090000000002</v>
      </c>
      <c r="J4437">
        <v>-419.15890000000002</v>
      </c>
      <c r="K4437">
        <v>1.1132470000000001</v>
      </c>
      <c r="L4437">
        <v>112.7801</v>
      </c>
      <c r="M4437">
        <v>-0.148153799999999</v>
      </c>
      <c r="N4437">
        <v>-1.379562E-2</v>
      </c>
      <c r="O4437">
        <v>-0.98886819999999997</v>
      </c>
      <c r="P4437">
        <v>0.13760139999999901</v>
      </c>
      <c r="Q4437">
        <v>-2.3720310000000001E-2</v>
      </c>
      <c r="R4437">
        <v>-0.99020359999999996</v>
      </c>
      <c r="S4437">
        <v>1.9622799999999999E-2</v>
      </c>
      <c r="T4437">
        <v>-0.17804739999999999</v>
      </c>
      <c r="U4437">
        <v>-3.0216829999999999</v>
      </c>
      <c r="V4437">
        <v>-0.2826977</v>
      </c>
      <c r="W4437">
        <v>-1.292975E-2</v>
      </c>
      <c r="X4437">
        <v>0.95912189999999997</v>
      </c>
      <c r="Y4437">
        <v>-0.15450129999999901</v>
      </c>
      <c r="Z4437">
        <v>4.3710110000000003E-2</v>
      </c>
      <c r="AA4437">
        <v>0.98702520000000005</v>
      </c>
      <c r="AB4437">
        <v>29</v>
      </c>
      <c r="AC4437">
        <v>0.161600000000021</v>
      </c>
      <c r="AD4437">
        <v>-1.1132491230720001</v>
      </c>
      <c r="AE4437">
        <v>-18.613009999999999</v>
      </c>
      <c r="AF4437">
        <v>-2.9072673587090399</v>
      </c>
      <c r="AG4437">
        <v>-1.1132491230720001</v>
      </c>
      <c r="AH4437">
        <v>18.318096001921202</v>
      </c>
      <c r="AI4437">
        <v>93.434883346523506</v>
      </c>
      <c r="AJ4437">
        <v>99.0182029494337</v>
      </c>
      <c r="AK4437">
        <v>18.5807472465624</v>
      </c>
      <c r="AL4437">
        <v>90.740840753022695</v>
      </c>
      <c r="AM4437">
        <v>106.42268985984499</v>
      </c>
      <c r="AN4437">
        <v>0.99999999353998104</v>
      </c>
    </row>
    <row r="4438" spans="1:40" x14ac:dyDescent="0.25">
      <c r="A4438" t="str">
        <f>"20190305135918525"</f>
        <v>20190305135918525</v>
      </c>
      <c r="B4438" t="str">
        <f>"1551765558513227"</f>
        <v>1551765558513227</v>
      </c>
      <c r="C4438" t="s">
        <v>40</v>
      </c>
      <c r="D4438">
        <v>3.9702609999999998</v>
      </c>
      <c r="E4438">
        <v>0.54767940000000004</v>
      </c>
      <c r="F4438" t="s">
        <v>42</v>
      </c>
      <c r="G4438">
        <v>-418.99900000000002</v>
      </c>
      <c r="H4438" s="1">
        <v>-2.3864230000000001E-6</v>
      </c>
      <c r="I4438">
        <v>94.781670000000005</v>
      </c>
      <c r="J4438">
        <v>-419.19650000000001</v>
      </c>
      <c r="K4438">
        <v>1.113083</v>
      </c>
      <c r="L4438">
        <v>112.5</v>
      </c>
      <c r="M4438">
        <v>-0.14424310000000001</v>
      </c>
      <c r="N4438">
        <v>-1.378009E-2</v>
      </c>
      <c r="O4438">
        <v>-0.98944650000000001</v>
      </c>
      <c r="P4438">
        <v>0.1396452</v>
      </c>
      <c r="Q4438">
        <v>-2.4256840000000002E-2</v>
      </c>
      <c r="R4438">
        <v>-0.98990449999999996</v>
      </c>
      <c r="S4438">
        <v>2.6855469999999999E-2</v>
      </c>
      <c r="T4438">
        <v>-0.18688560000000001</v>
      </c>
      <c r="U4438">
        <v>-3.0214690000000002</v>
      </c>
      <c r="V4438">
        <v>-0.280885</v>
      </c>
      <c r="W4438">
        <v>-1.334229E-2</v>
      </c>
      <c r="X4438">
        <v>0.95964870000000002</v>
      </c>
      <c r="Y4438">
        <v>-0.1529546</v>
      </c>
      <c r="Z4438">
        <v>4.6633550000000003E-2</v>
      </c>
      <c r="AA4438">
        <v>0.98713229999999996</v>
      </c>
      <c r="AB4438">
        <v>29</v>
      </c>
      <c r="AC4438">
        <v>0.19749999999998999</v>
      </c>
      <c r="AD4438">
        <v>-1.1130853864229999</v>
      </c>
      <c r="AE4438">
        <v>-17.718330000000002</v>
      </c>
      <c r="AF4438">
        <v>-2.74060885934168</v>
      </c>
      <c r="AG4438">
        <v>-1.1130853864229999</v>
      </c>
      <c r="AH4438">
        <v>17.4357093112184</v>
      </c>
      <c r="AI4438">
        <v>93.6085849565779</v>
      </c>
      <c r="AJ4438">
        <v>98.932872396852005</v>
      </c>
      <c r="AK4438">
        <v>17.684848180933798</v>
      </c>
      <c r="AL4438">
        <v>90.764479578422197</v>
      </c>
      <c r="AM4438">
        <v>106.31452388711099</v>
      </c>
      <c r="AN4438">
        <v>1.0000000136695599</v>
      </c>
    </row>
    <row r="4439" spans="1:40" x14ac:dyDescent="0.25">
      <c r="A4439" t="str">
        <f>"20190305135918549"</f>
        <v>20190305135918549</v>
      </c>
      <c r="B4439" t="str">
        <f>"1551765558543483"</f>
        <v>1551765558543483</v>
      </c>
      <c r="C4439" t="s">
        <v>40</v>
      </c>
      <c r="D4439">
        <v>3.9274800000000001</v>
      </c>
      <c r="E4439">
        <v>0.5480583</v>
      </c>
      <c r="F4439" t="s">
        <v>42</v>
      </c>
      <c r="G4439">
        <v>-419.01310000000001</v>
      </c>
      <c r="H4439" s="1">
        <v>-2.3234519999999998E-6</v>
      </c>
      <c r="I4439">
        <v>94.640720000000002</v>
      </c>
      <c r="J4439">
        <v>-419.23579999999998</v>
      </c>
      <c r="K4439">
        <v>1.1128960000000001</v>
      </c>
      <c r="L4439">
        <v>112.1994</v>
      </c>
      <c r="M4439">
        <v>-0.14030229999999999</v>
      </c>
      <c r="N4439">
        <v>-1.3762999999999999E-2</v>
      </c>
      <c r="O4439">
        <v>-0.99001309999999998</v>
      </c>
      <c r="P4439">
        <v>0.14140639999999999</v>
      </c>
      <c r="Q4439">
        <v>-2.4642790000000001E-2</v>
      </c>
      <c r="R4439">
        <v>-0.98964479999999999</v>
      </c>
      <c r="S4439">
        <v>3.1036379999999999E-2</v>
      </c>
      <c r="T4439">
        <v>-0.1883225</v>
      </c>
      <c r="U4439">
        <v>-3.0216059999999998</v>
      </c>
      <c r="V4439">
        <v>-0.27877299999999999</v>
      </c>
      <c r="W4439">
        <v>-1.3591860000000001E-2</v>
      </c>
      <c r="X4439">
        <v>0.96026089999999997</v>
      </c>
      <c r="Y4439">
        <v>-0.150385299999999</v>
      </c>
      <c r="Z4439">
        <v>4.717445E-2</v>
      </c>
      <c r="AA4439">
        <v>0.98750130000000003</v>
      </c>
      <c r="AB4439">
        <v>29</v>
      </c>
      <c r="AC4439">
        <v>0.222699999999974</v>
      </c>
      <c r="AD4439">
        <v>-1.11289832345199</v>
      </c>
      <c r="AE4439">
        <v>-17.558679999999899</v>
      </c>
      <c r="AF4439">
        <v>-2.6735148083162499</v>
      </c>
      <c r="AG4439">
        <v>-1.11289832345199</v>
      </c>
      <c r="AH4439">
        <v>17.2842968173373</v>
      </c>
      <c r="AI4439">
        <v>93.640886172947702</v>
      </c>
      <c r="AJ4439">
        <v>98.792762153200599</v>
      </c>
      <c r="AK4439">
        <v>17.525214423180199</v>
      </c>
      <c r="AL4439">
        <v>90.778780146626502</v>
      </c>
      <c r="AM4439">
        <v>106.188522656506</v>
      </c>
      <c r="AN4439">
        <v>1.0000000601280301</v>
      </c>
    </row>
    <row r="4440" spans="1:40" x14ac:dyDescent="0.25">
      <c r="A4440" t="str">
        <f>"20190305135918571"</f>
        <v>20190305135918571</v>
      </c>
      <c r="B4440" t="str">
        <f>"1551765558563978"</f>
        <v>1551765558563978</v>
      </c>
      <c r="C4440" t="s">
        <v>40</v>
      </c>
      <c r="D4440">
        <v>3.9053979999999999</v>
      </c>
      <c r="E4440">
        <v>0.54824219999999901</v>
      </c>
      <c r="F4440" t="s">
        <v>42</v>
      </c>
      <c r="G4440">
        <v>-419.03379999999999</v>
      </c>
      <c r="H4440" s="1">
        <v>-2.119683E-6</v>
      </c>
      <c r="I4440">
        <v>94.174289999999999</v>
      </c>
      <c r="J4440">
        <v>-419.27339999999998</v>
      </c>
      <c r="K4440">
        <v>1.11269</v>
      </c>
      <c r="L4440">
        <v>111.90479999999999</v>
      </c>
      <c r="M4440">
        <v>-0.13670260000000001</v>
      </c>
      <c r="N4440">
        <v>-1.373633E-2</v>
      </c>
      <c r="O4440">
        <v>-0.99051699999999998</v>
      </c>
      <c r="P4440">
        <v>0.1425999</v>
      </c>
      <c r="Q4440">
        <v>-2.4151490000000001E-2</v>
      </c>
      <c r="R4440">
        <v>-0.98948599999999998</v>
      </c>
      <c r="S4440">
        <v>3.3874509999999997E-2</v>
      </c>
      <c r="T4440">
        <v>-0.1865752</v>
      </c>
      <c r="U4440">
        <v>-3.021881</v>
      </c>
      <c r="V4440">
        <v>-0.27645199999999998</v>
      </c>
      <c r="W4440">
        <v>-1.296337E-2</v>
      </c>
      <c r="X4440">
        <v>0.96094029999999997</v>
      </c>
      <c r="Y4440">
        <v>-0.14772009999999999</v>
      </c>
      <c r="Z4440">
        <v>4.6689990000000001E-2</v>
      </c>
      <c r="AA4440">
        <v>0.98792650000000004</v>
      </c>
      <c r="AB4440">
        <v>29</v>
      </c>
      <c r="AC4440">
        <v>0.23959999999999501</v>
      </c>
      <c r="AD4440">
        <v>-1.112692119683</v>
      </c>
      <c r="AE4440">
        <v>-17.730509999999899</v>
      </c>
      <c r="AF4440">
        <v>-2.6509472097406199</v>
      </c>
      <c r="AG4440">
        <v>-1.112692119683</v>
      </c>
      <c r="AH4440">
        <v>17.4625099318922</v>
      </c>
      <c r="AI4440">
        <v>93.604706749595096</v>
      </c>
      <c r="AJ4440">
        <v>98.632045102101799</v>
      </c>
      <c r="AK4440">
        <v>17.6975946948581</v>
      </c>
      <c r="AL4440">
        <v>90.742767187326194</v>
      </c>
      <c r="AM4440">
        <v>106.049947500085</v>
      </c>
      <c r="AN4440">
        <v>1.0000000087149199</v>
      </c>
    </row>
    <row r="4441" spans="1:40" x14ac:dyDescent="0.25">
      <c r="A4441" t="str">
        <f>"20190305135918594"</f>
        <v>20190305135918594</v>
      </c>
      <c r="B4441" t="str">
        <f>"1551765558583499"</f>
        <v>1551765558583499</v>
      </c>
      <c r="C4441" t="s">
        <v>40</v>
      </c>
      <c r="D4441">
        <v>3.9114100000000001</v>
      </c>
      <c r="E4441">
        <v>0.5484658</v>
      </c>
      <c r="F4441" t="s">
        <v>42</v>
      </c>
      <c r="G4441">
        <v>-419.06380000000001</v>
      </c>
      <c r="H4441" s="1">
        <v>-2.165391E-6</v>
      </c>
      <c r="I4441">
        <v>94.293229999999994</v>
      </c>
      <c r="J4441">
        <v>-419.3091</v>
      </c>
      <c r="K4441">
        <v>1.1124639999999999</v>
      </c>
      <c r="L4441">
        <v>111.6195</v>
      </c>
      <c r="M4441">
        <v>-0.13347020000000001</v>
      </c>
      <c r="N4441">
        <v>-1.366507E-2</v>
      </c>
      <c r="O4441">
        <v>-0.99095860000000002</v>
      </c>
      <c r="P4441">
        <v>0.14356559999999999</v>
      </c>
      <c r="Q4441">
        <v>-2.381132E-2</v>
      </c>
      <c r="R4441">
        <v>-0.98935459999999997</v>
      </c>
      <c r="S4441">
        <v>3.598022E-2</v>
      </c>
      <c r="T4441">
        <v>-0.19093070000000001</v>
      </c>
      <c r="U4441">
        <v>-3.0220340000000001</v>
      </c>
      <c r="V4441">
        <v>-0.27426400000000001</v>
      </c>
      <c r="W4441">
        <v>-1.252519E-2</v>
      </c>
      <c r="X4441">
        <v>0.96157289999999995</v>
      </c>
      <c r="Y4441">
        <v>-0.1451799</v>
      </c>
      <c r="Z4441">
        <v>4.821698E-2</v>
      </c>
      <c r="AA4441">
        <v>0.98822969999999999</v>
      </c>
      <c r="AB4441">
        <v>29</v>
      </c>
      <c r="AC4441">
        <v>0.245299999999986</v>
      </c>
      <c r="AD4441">
        <v>-1.112466165391</v>
      </c>
      <c r="AE4441">
        <v>-17.326269999999901</v>
      </c>
      <c r="AF4441">
        <v>-2.54537028883622</v>
      </c>
      <c r="AG4441">
        <v>-1.112466165391</v>
      </c>
      <c r="AH4441">
        <v>17.068126771981301</v>
      </c>
      <c r="AI4441">
        <v>93.688473542039802</v>
      </c>
      <c r="AJ4441">
        <v>98.482010739998401</v>
      </c>
      <c r="AK4441">
        <v>17.292699106295</v>
      </c>
      <c r="AL4441">
        <v>90.717659266877405</v>
      </c>
      <c r="AM4441">
        <v>105.91943958323201</v>
      </c>
      <c r="AN4441">
        <v>1.00000003204747</v>
      </c>
    </row>
    <row r="4442" spans="1:40" x14ac:dyDescent="0.25">
      <c r="A4442" t="str">
        <f>"20190305135918615"</f>
        <v>20190305135918615</v>
      </c>
      <c r="B4442" t="str">
        <f>"1551765558603995"</f>
        <v>1551765558603995</v>
      </c>
      <c r="C4442" t="s">
        <v>40</v>
      </c>
      <c r="D4442">
        <v>3.9760499999999999</v>
      </c>
      <c r="E4442">
        <v>0.54869599999999996</v>
      </c>
      <c r="F4442" t="s">
        <v>42</v>
      </c>
      <c r="G4442">
        <v>-419.10059999999999</v>
      </c>
      <c r="H4442" s="1">
        <v>-2.1349390000000001E-6</v>
      </c>
      <c r="I4442">
        <v>94.237489999999994</v>
      </c>
      <c r="J4442">
        <v>-419.3442</v>
      </c>
      <c r="K4442">
        <v>1.1122069999999999</v>
      </c>
      <c r="L4442">
        <v>111.3342</v>
      </c>
      <c r="M4442">
        <v>-0.13052230000000001</v>
      </c>
      <c r="N4442">
        <v>-1.3547299999999899E-2</v>
      </c>
      <c r="O4442">
        <v>-0.99135280000000003</v>
      </c>
      <c r="P4442">
        <v>0.14392569999999999</v>
      </c>
      <c r="Q4442">
        <v>-2.3305340000000001E-2</v>
      </c>
      <c r="R4442">
        <v>-0.98931389999999997</v>
      </c>
      <c r="S4442">
        <v>3.6254880000000003E-2</v>
      </c>
      <c r="T4442">
        <v>-0.19343379999999999</v>
      </c>
      <c r="U4442">
        <v>-3.022354</v>
      </c>
      <c r="V4442">
        <v>-0.27176509999999998</v>
      </c>
      <c r="W4442">
        <v>-1.1952030000000001E-2</v>
      </c>
      <c r="X4442">
        <v>0.96228939999999996</v>
      </c>
      <c r="Y4442">
        <v>-0.14232600000000001</v>
      </c>
      <c r="Z4442">
        <v>4.918753E-2</v>
      </c>
      <c r="AA4442">
        <v>0.9885969</v>
      </c>
      <c r="AB4442">
        <v>29</v>
      </c>
      <c r="AC4442">
        <v>0.243600000000014</v>
      </c>
      <c r="AD4442">
        <v>-1.112209134939</v>
      </c>
      <c r="AE4442">
        <v>-17.096709999999899</v>
      </c>
      <c r="AF4442">
        <v>-2.4628019362153899</v>
      </c>
      <c r="AG4442">
        <v>-1.112209134939</v>
      </c>
      <c r="AH4442">
        <v>16.847345070634798</v>
      </c>
      <c r="AI4442">
        <v>93.737399992894396</v>
      </c>
      <c r="AJ4442">
        <v>98.316782823143996</v>
      </c>
      <c r="AK4442">
        <v>17.062691419172801</v>
      </c>
      <c r="AL4442">
        <v>90.684817177338303</v>
      </c>
      <c r="AM4442">
        <v>105.77048332628399</v>
      </c>
      <c r="AN4442">
        <v>1.00000000497574</v>
      </c>
    </row>
    <row r="4443" spans="1:40" x14ac:dyDescent="0.25">
      <c r="A4443" t="str">
        <f>"20190305135918638"</f>
        <v>20190305135918638</v>
      </c>
      <c r="B4443" t="str">
        <f>"1551765558633275"</f>
        <v>1551765558633275</v>
      </c>
      <c r="C4443" t="s">
        <v>40</v>
      </c>
      <c r="D4443">
        <v>3.9580220000000002</v>
      </c>
      <c r="E4443">
        <v>0.54906739999999998</v>
      </c>
      <c r="F4443" t="s">
        <v>42</v>
      </c>
      <c r="G4443">
        <v>-419.13900000000001</v>
      </c>
      <c r="H4443" s="1">
        <v>-1.9660279999999998E-6</v>
      </c>
      <c r="I4443">
        <v>93.859620000000007</v>
      </c>
      <c r="J4443">
        <v>-419.37880000000001</v>
      </c>
      <c r="K4443">
        <v>1.111934</v>
      </c>
      <c r="L4443">
        <v>111.048</v>
      </c>
      <c r="M4443">
        <v>-0.12788769999999999</v>
      </c>
      <c r="N4443">
        <v>-1.342367E-2</v>
      </c>
      <c r="O4443">
        <v>-0.99169819999999997</v>
      </c>
      <c r="P4443">
        <v>0.14387449999999999</v>
      </c>
      <c r="Q4443">
        <v>-2.3389719999999999E-2</v>
      </c>
      <c r="R4443">
        <v>-0.98931970000000002</v>
      </c>
      <c r="S4443">
        <v>3.549194E-2</v>
      </c>
      <c r="T4443">
        <v>-0.19238759999999999</v>
      </c>
      <c r="U4443">
        <v>-3.0227200000000001</v>
      </c>
      <c r="V4443">
        <v>-0.26916380000000001</v>
      </c>
      <c r="W4443">
        <v>-1.196035E-2</v>
      </c>
      <c r="X4443">
        <v>0.96302010000000005</v>
      </c>
      <c r="Y4443">
        <v>-0.13944709999999999</v>
      </c>
      <c r="Z4443">
        <v>4.9011680000000002E-2</v>
      </c>
      <c r="AA4443">
        <v>0.98901589999999995</v>
      </c>
      <c r="AB4443">
        <v>29</v>
      </c>
      <c r="AC4443">
        <v>0.23980000000000201</v>
      </c>
      <c r="AD4443">
        <v>-1.1119359660279999</v>
      </c>
      <c r="AE4443">
        <v>-17.188379999999899</v>
      </c>
      <c r="AF4443">
        <v>-2.4260592244946202</v>
      </c>
      <c r="AG4443">
        <v>-1.1119359660279999</v>
      </c>
      <c r="AH4443">
        <v>16.9456418639319</v>
      </c>
      <c r="AI4443">
        <v>93.716454976366094</v>
      </c>
      <c r="AJ4443">
        <v>98.147508370638107</v>
      </c>
      <c r="AK4443">
        <v>17.154502124338801</v>
      </c>
      <c r="AL4443">
        <v>90.685293945105698</v>
      </c>
      <c r="AM4443">
        <v>105.615660284218</v>
      </c>
      <c r="AN4443">
        <v>0.99999995710328504</v>
      </c>
    </row>
    <row r="4444" spans="1:40" x14ac:dyDescent="0.25">
      <c r="A4444" t="str">
        <f>"20190305135918660"</f>
        <v>20190305135918660</v>
      </c>
      <c r="B4444" t="str">
        <f>"1551765558653774"</f>
        <v>1551765558653774</v>
      </c>
      <c r="C4444" t="s">
        <v>40</v>
      </c>
      <c r="D4444">
        <v>3.9383149999999998</v>
      </c>
      <c r="E4444">
        <v>0.54923089999999997</v>
      </c>
      <c r="F4444" t="s">
        <v>42</v>
      </c>
      <c r="G4444">
        <v>-419.19959999999998</v>
      </c>
      <c r="H4444" s="1">
        <v>-2.0583930000000001E-6</v>
      </c>
      <c r="I4444">
        <v>94.099990000000005</v>
      </c>
      <c r="J4444">
        <v>-419.41379999999998</v>
      </c>
      <c r="K4444">
        <v>1.111637</v>
      </c>
      <c r="L4444">
        <v>110.7548</v>
      </c>
      <c r="M4444">
        <v>-0.1255627</v>
      </c>
      <c r="N4444">
        <v>-1.330479E-2</v>
      </c>
      <c r="O4444">
        <v>-0.99199680000000001</v>
      </c>
      <c r="P4444">
        <v>0.14412829999999999</v>
      </c>
      <c r="Q4444">
        <v>-2.2649550000000001E-2</v>
      </c>
      <c r="R4444">
        <v>-0.98929999999999996</v>
      </c>
      <c r="S4444">
        <v>3.1951899999999998E-2</v>
      </c>
      <c r="T4444">
        <v>-0.19833719999999999</v>
      </c>
      <c r="U4444">
        <v>-3.0230410000000001</v>
      </c>
      <c r="V4444">
        <v>-0.26716649999999997</v>
      </c>
      <c r="W4444">
        <v>-1.113167E-2</v>
      </c>
      <c r="X4444">
        <v>0.9635861</v>
      </c>
      <c r="Y4444">
        <v>-0.13596520000000001</v>
      </c>
      <c r="Z4444">
        <v>5.1094199999999902E-2</v>
      </c>
      <c r="AA4444">
        <v>0.98939520000000003</v>
      </c>
      <c r="AB4444">
        <v>29</v>
      </c>
      <c r="AC4444">
        <v>0.214200000000005</v>
      </c>
      <c r="AD4444">
        <v>-1.111639058393</v>
      </c>
      <c r="AE4444">
        <v>-16.654809999999902</v>
      </c>
      <c r="AF4444">
        <v>-2.2936950569574401</v>
      </c>
      <c r="AG4444">
        <v>-1.111639058393</v>
      </c>
      <c r="AH4444">
        <v>16.422925239246901</v>
      </c>
      <c r="AI4444">
        <v>93.835232402351295</v>
      </c>
      <c r="AJ4444">
        <v>97.950740624999696</v>
      </c>
      <c r="AK4444">
        <v>16.6195442724628</v>
      </c>
      <c r="AL4444">
        <v>90.637810874740893</v>
      </c>
      <c r="AM4444">
        <v>105.496710497179</v>
      </c>
      <c r="AN4444">
        <v>1.0000000124562201</v>
      </c>
    </row>
    <row r="4445" spans="1:40" x14ac:dyDescent="0.25">
      <c r="A4445" t="str">
        <f>"20190305135918683"</f>
        <v>20190305135918683</v>
      </c>
      <c r="B4445" t="str">
        <f>"1551765558673295"</f>
        <v>1551765558673295</v>
      </c>
      <c r="C4445" t="s">
        <v>40</v>
      </c>
      <c r="D4445">
        <v>3.888433</v>
      </c>
      <c r="E4445">
        <v>0.54944999999999999</v>
      </c>
      <c r="F4445" t="s">
        <v>42</v>
      </c>
      <c r="G4445">
        <v>-419.23610000000002</v>
      </c>
      <c r="H4445" s="1">
        <v>-1.9585680000000002E-6</v>
      </c>
      <c r="I4445">
        <v>93.882400000000004</v>
      </c>
      <c r="J4445">
        <v>-419.44740000000002</v>
      </c>
      <c r="K4445">
        <v>1.111361</v>
      </c>
      <c r="L4445">
        <v>110.4705</v>
      </c>
      <c r="M4445">
        <v>-0.123638</v>
      </c>
      <c r="N4445">
        <v>-1.3192769999999999E-2</v>
      </c>
      <c r="O4445">
        <v>-0.99223980000000001</v>
      </c>
      <c r="P4445">
        <v>0.14473629999999901</v>
      </c>
      <c r="Q4445">
        <v>-2.215493E-2</v>
      </c>
      <c r="R4445">
        <v>-0.9892223</v>
      </c>
      <c r="S4445">
        <v>3.1829830000000003E-2</v>
      </c>
      <c r="T4445">
        <v>-0.19918620000000001</v>
      </c>
      <c r="U4445">
        <v>-3.0232389999999998</v>
      </c>
      <c r="V4445">
        <v>-0.26589970000000002</v>
      </c>
      <c r="W4445">
        <v>-1.0557230000000001E-2</v>
      </c>
      <c r="X4445">
        <v>0.96394290000000005</v>
      </c>
      <c r="Y4445">
        <v>-0.1340035</v>
      </c>
      <c r="Z4445">
        <v>5.1509369999999999E-2</v>
      </c>
      <c r="AA4445">
        <v>0.9896412</v>
      </c>
      <c r="AB4445">
        <v>29</v>
      </c>
      <c r="AC4445">
        <v>0.21129999999999399</v>
      </c>
      <c r="AD4445">
        <v>-1.111362958568</v>
      </c>
      <c r="AE4445">
        <v>-16.588099999999901</v>
      </c>
      <c r="AF4445">
        <v>-2.25067535476922</v>
      </c>
      <c r="AG4445">
        <v>-1.111362958568</v>
      </c>
      <c r="AH4445">
        <v>16.361248275023701</v>
      </c>
      <c r="AI4445">
        <v>93.8497909446357</v>
      </c>
      <c r="AJ4445">
        <v>97.832526196606906</v>
      </c>
      <c r="AK4445">
        <v>16.552676892128598</v>
      </c>
      <c r="AL4445">
        <v>90.604895953103906</v>
      </c>
      <c r="AM4445">
        <v>105.421300592815</v>
      </c>
      <c r="AN4445">
        <v>1.0000000100128801</v>
      </c>
    </row>
    <row r="4446" spans="1:40" x14ac:dyDescent="0.25">
      <c r="A4446" t="str">
        <f>"20190305135918704"</f>
        <v>20190305135918704</v>
      </c>
      <c r="B4446" t="str">
        <f>"1551765558693787"</f>
        <v>1551765558693787</v>
      </c>
      <c r="C4446" t="s">
        <v>40</v>
      </c>
      <c r="D4446">
        <v>3.9126189999999998</v>
      </c>
      <c r="E4446">
        <v>0.54962180000000005</v>
      </c>
      <c r="F4446" t="s">
        <v>42</v>
      </c>
      <c r="G4446">
        <v>-419.27530000000002</v>
      </c>
      <c r="H4446" s="1">
        <v>-1.873103E-6</v>
      </c>
      <c r="I4446">
        <v>93.699359999999999</v>
      </c>
      <c r="J4446">
        <v>-419.48099999999999</v>
      </c>
      <c r="K4446">
        <v>1.1111139999999999</v>
      </c>
      <c r="L4446">
        <v>110.1858</v>
      </c>
      <c r="M4446">
        <v>-0.12198680000000001</v>
      </c>
      <c r="N4446">
        <v>-1.308669E-2</v>
      </c>
      <c r="O4446">
        <v>-0.99244560000000004</v>
      </c>
      <c r="P4446">
        <v>0.14585819999999999</v>
      </c>
      <c r="Q4446">
        <v>-2.1906120000000001E-2</v>
      </c>
      <c r="R4446">
        <v>-0.98906340000000004</v>
      </c>
      <c r="S4446">
        <v>3.1036379999999999E-2</v>
      </c>
      <c r="T4446">
        <v>-0.20036780000000001</v>
      </c>
      <c r="U4446">
        <v>-3.023666</v>
      </c>
      <c r="V4446">
        <v>-0.26539629999999997</v>
      </c>
      <c r="W4446">
        <v>-1.0251420000000001E-2</v>
      </c>
      <c r="X4446">
        <v>0.96408490000000002</v>
      </c>
      <c r="Y4446">
        <v>-0.13209409999999999</v>
      </c>
      <c r="Z4446">
        <v>5.201774E-2</v>
      </c>
      <c r="AA4446">
        <v>0.98987130000000001</v>
      </c>
      <c r="AB4446">
        <v>29</v>
      </c>
      <c r="AC4446">
        <v>0.20569999999997801</v>
      </c>
      <c r="AD4446">
        <v>-1.111115873103</v>
      </c>
      <c r="AE4446">
        <v>-16.486439999999899</v>
      </c>
      <c r="AF4446">
        <v>-2.2054475016708301</v>
      </c>
      <c r="AG4446">
        <v>-1.111115873103</v>
      </c>
      <c r="AH4446">
        <v>16.264334596708402</v>
      </c>
      <c r="AI4446">
        <v>93.872817685530805</v>
      </c>
      <c r="AJ4446">
        <v>97.722220136884303</v>
      </c>
      <c r="AK4446">
        <v>16.4507494370248</v>
      </c>
      <c r="AL4446">
        <v>90.5873733935899</v>
      </c>
      <c r="AM4446">
        <v>105.39133127500401</v>
      </c>
      <c r="AN4446">
        <v>0.99999999103685799</v>
      </c>
    </row>
    <row r="4447" spans="1:40" x14ac:dyDescent="0.25">
      <c r="A4447" t="str">
        <f>"20190305135918726"</f>
        <v>20190305135918726</v>
      </c>
      <c r="B4447" t="str">
        <f>"1551765558724043"</f>
        <v>1551765558724043</v>
      </c>
      <c r="C4447" t="s">
        <v>40</v>
      </c>
      <c r="D4447">
        <v>3.8798520000000001</v>
      </c>
      <c r="E4447">
        <v>0.54992479999999999</v>
      </c>
      <c r="F4447" t="s">
        <v>42</v>
      </c>
      <c r="G4447">
        <v>-419.3005</v>
      </c>
      <c r="H4447" s="1">
        <v>-1.8162470000000001E-6</v>
      </c>
      <c r="I4447">
        <v>93.577240000000003</v>
      </c>
      <c r="J4447">
        <v>-419.51499999999999</v>
      </c>
      <c r="K4447">
        <v>1.1108929999999999</v>
      </c>
      <c r="L4447">
        <v>109.8951</v>
      </c>
      <c r="M4447">
        <v>-0.1205905</v>
      </c>
      <c r="N4447">
        <v>-1.2984280000000001E-2</v>
      </c>
      <c r="O4447">
        <v>-0.99261750000000004</v>
      </c>
      <c r="P4447">
        <v>0.14696210000000001</v>
      </c>
      <c r="Q4447">
        <v>-2.1736490000000001E-2</v>
      </c>
      <c r="R4447">
        <v>-0.98890359999999999</v>
      </c>
      <c r="S4447">
        <v>3.2867430000000003E-2</v>
      </c>
      <c r="T4447">
        <v>-0.2022959</v>
      </c>
      <c r="U4447">
        <v>-3.0238489999999998</v>
      </c>
      <c r="V4447">
        <v>-0.26512200000000002</v>
      </c>
      <c r="W4447">
        <v>-1.003678E-2</v>
      </c>
      <c r="X4447">
        <v>0.96416259999999998</v>
      </c>
      <c r="Y4447">
        <v>-0.13129830000000001</v>
      </c>
      <c r="Z4447">
        <v>5.2760189999999998E-2</v>
      </c>
      <c r="AA4447">
        <v>0.98993799999999998</v>
      </c>
      <c r="AB4447">
        <v>29</v>
      </c>
      <c r="AC4447">
        <v>0.21449999999998601</v>
      </c>
      <c r="AD4447">
        <v>-1.110894816247</v>
      </c>
      <c r="AE4447">
        <v>-16.3178599999999</v>
      </c>
      <c r="AF4447">
        <v>-2.1708197104951599</v>
      </c>
      <c r="AG4447">
        <v>-1.110894816247</v>
      </c>
      <c r="AH4447">
        <v>16.098291302667199</v>
      </c>
      <c r="AI4447">
        <v>93.912253470265398</v>
      </c>
      <c r="AJ4447">
        <v>97.679885168043796</v>
      </c>
      <c r="AK4447">
        <v>16.281938716681399</v>
      </c>
      <c r="AL4447">
        <v>90.575074809209497</v>
      </c>
      <c r="AM4447">
        <v>105.374996297677</v>
      </c>
      <c r="AN4447">
        <v>0.99999996553776305</v>
      </c>
    </row>
    <row r="4448" spans="1:40" x14ac:dyDescent="0.25">
      <c r="A4448" t="str">
        <f>"20190305135918749"</f>
        <v>20190305135918749</v>
      </c>
      <c r="B4448" t="str">
        <f>"1551765558743563"</f>
        <v>1551765558743563</v>
      </c>
      <c r="C4448" t="s">
        <v>40</v>
      </c>
      <c r="D4448">
        <v>3.9497460000000002</v>
      </c>
      <c r="E4448">
        <v>0.55012050000000001</v>
      </c>
      <c r="F4448" t="s">
        <v>42</v>
      </c>
      <c r="G4448">
        <v>-419.3349</v>
      </c>
      <c r="H4448" s="1">
        <v>-1.8279290000000001E-6</v>
      </c>
      <c r="I4448">
        <v>93.618719999999996</v>
      </c>
      <c r="J4448">
        <v>-419.54899999999998</v>
      </c>
      <c r="K4448">
        <v>1.1106830000000001</v>
      </c>
      <c r="L4448">
        <v>109.6027</v>
      </c>
      <c r="M4448">
        <v>-0.1194833</v>
      </c>
      <c r="N4448">
        <v>-1.2882040000000001E-2</v>
      </c>
      <c r="O4448">
        <v>-0.99275270000000004</v>
      </c>
      <c r="P4448">
        <v>0.147511</v>
      </c>
      <c r="Q4448">
        <v>-2.0412039999999999E-2</v>
      </c>
      <c r="R4448">
        <v>-0.98884970000000005</v>
      </c>
      <c r="S4448">
        <v>3.3447270000000001E-2</v>
      </c>
      <c r="T4448">
        <v>-0.20640420000000001</v>
      </c>
      <c r="U4448">
        <v>-3.0241389999999999</v>
      </c>
      <c r="V4448">
        <v>-0.26459339999999998</v>
      </c>
      <c r="W4448">
        <v>-8.6699340000000007E-3</v>
      </c>
      <c r="X4448">
        <v>0.96432110000000004</v>
      </c>
      <c r="Y4448">
        <v>-0.1303802</v>
      </c>
      <c r="Z4448">
        <v>5.4203420000000002E-2</v>
      </c>
      <c r="AA4448">
        <v>0.98998129999999995</v>
      </c>
      <c r="AB4448">
        <v>29</v>
      </c>
      <c r="AC4448">
        <v>0.21410000000002999</v>
      </c>
      <c r="AD4448">
        <v>-1.110684827929</v>
      </c>
      <c r="AE4448">
        <v>-15.983980000000001</v>
      </c>
      <c r="AF4448">
        <v>-2.1123453950209901</v>
      </c>
      <c r="AG4448">
        <v>-1.110684827929</v>
      </c>
      <c r="AH4448">
        <v>15.767750723768</v>
      </c>
      <c r="AI4448">
        <v>93.993714426672099</v>
      </c>
      <c r="AJ4448">
        <v>97.6302667271963</v>
      </c>
      <c r="AK4448">
        <v>15.9473379202218</v>
      </c>
      <c r="AL4448">
        <v>90.496756845623693</v>
      </c>
      <c r="AM4448">
        <v>105.34338468318001</v>
      </c>
      <c r="AN4448">
        <v>1.0000000094921599</v>
      </c>
    </row>
    <row r="4449" spans="1:40" x14ac:dyDescent="0.25">
      <c r="A4449" t="str">
        <f>"20190305135918784"</f>
        <v>20190305135918784</v>
      </c>
      <c r="B4449" t="str">
        <f>"1551765558773820"</f>
        <v>1551765558773820</v>
      </c>
      <c r="C4449" t="s">
        <v>40</v>
      </c>
      <c r="D4449">
        <v>3.9561009999999999</v>
      </c>
      <c r="E4449">
        <v>0.55016399999999999</v>
      </c>
      <c r="F4449" t="s">
        <v>42</v>
      </c>
      <c r="G4449">
        <v>-419.36259999999999</v>
      </c>
      <c r="H4449" s="1">
        <v>-1.558231E-6</v>
      </c>
      <c r="I4449">
        <v>93.001499999999993</v>
      </c>
      <c r="J4449">
        <v>-419.601</v>
      </c>
      <c r="K4449">
        <v>1.110347</v>
      </c>
      <c r="L4449">
        <v>109.1563</v>
      </c>
      <c r="M4449">
        <v>-0.1183366</v>
      </c>
      <c r="N4449">
        <v>-1.273523E-2</v>
      </c>
      <c r="O4449">
        <v>-0.99289210000000006</v>
      </c>
      <c r="P4449">
        <v>0.14833689999999999</v>
      </c>
      <c r="Q4449">
        <v>-1.7822629999999999E-2</v>
      </c>
      <c r="R4449">
        <v>-0.98877660000000001</v>
      </c>
      <c r="S4449">
        <v>3.3966059999999999E-2</v>
      </c>
      <c r="T4449">
        <v>-0.2023556</v>
      </c>
      <c r="U4449">
        <v>-3.0245820000000001</v>
      </c>
      <c r="V4449">
        <v>-0.26430229999999999</v>
      </c>
      <c r="W4449">
        <v>-6.0011469999999897E-3</v>
      </c>
      <c r="X4449">
        <v>0.96442119999999998</v>
      </c>
      <c r="Y4449">
        <v>-0.1294063</v>
      </c>
      <c r="Z4449">
        <v>5.304772E-2</v>
      </c>
      <c r="AA4449">
        <v>0.99017169999999999</v>
      </c>
      <c r="AB4449">
        <v>29</v>
      </c>
      <c r="AC4449">
        <v>0.23840000000001199</v>
      </c>
      <c r="AD4449">
        <v>-1.110348558231</v>
      </c>
      <c r="AE4449">
        <v>-16.154800000000002</v>
      </c>
      <c r="AF4449">
        <v>-2.1384832056659802</v>
      </c>
      <c r="AG4449">
        <v>-1.110348558231</v>
      </c>
      <c r="AH4449">
        <v>15.937782113166501</v>
      </c>
      <c r="AI4449">
        <v>93.949941582401607</v>
      </c>
      <c r="AJ4449">
        <v>97.642130241441805</v>
      </c>
      <c r="AK4449">
        <v>16.118898319316099</v>
      </c>
      <c r="AL4449">
        <v>90.343842464263602</v>
      </c>
      <c r="AM4449">
        <v>105.325782459639</v>
      </c>
      <c r="AN4449">
        <v>0.99999998528002199</v>
      </c>
    </row>
    <row r="4450" spans="1:40" x14ac:dyDescent="0.25">
      <c r="A4450" t="str">
        <f>"20190305135918806"</f>
        <v>20190305135918806</v>
      </c>
      <c r="B4450" t="str">
        <f>"1551765558793338"</f>
        <v>1551765558793338</v>
      </c>
      <c r="C4450" t="s">
        <v>40</v>
      </c>
      <c r="D4450">
        <v>3.9352100000000001</v>
      </c>
      <c r="E4450">
        <v>0.55020349999999996</v>
      </c>
      <c r="F4450" t="s">
        <v>42</v>
      </c>
      <c r="G4450">
        <v>-419.38249999999999</v>
      </c>
      <c r="H4450" s="1">
        <v>-8.0482299999999895E-7</v>
      </c>
      <c r="I4450">
        <v>91.253510000000006</v>
      </c>
      <c r="J4450">
        <v>-419.63350000000003</v>
      </c>
      <c r="K4450">
        <v>1.110139</v>
      </c>
      <c r="L4450">
        <v>108.8783</v>
      </c>
      <c r="M4450">
        <v>-0.11793430000000001</v>
      </c>
      <c r="N4450">
        <v>-1.2650150000000001E-2</v>
      </c>
      <c r="O4450">
        <v>-0.99294090000000002</v>
      </c>
      <c r="P4450">
        <v>0.14904039999999999</v>
      </c>
      <c r="Q4450">
        <v>-1.5638389999999999E-2</v>
      </c>
      <c r="R4450">
        <v>-0.98870780000000003</v>
      </c>
      <c r="S4450">
        <v>3.6926269999999997E-2</v>
      </c>
      <c r="T4450">
        <v>-0.18762000000000001</v>
      </c>
      <c r="U4450">
        <v>-3.0251160000000001</v>
      </c>
      <c r="V4450">
        <v>-0.26460790000000001</v>
      </c>
      <c r="W4450">
        <v>-3.7614240000000002E-3</v>
      </c>
      <c r="X4450">
        <v>0.96434869999999995</v>
      </c>
      <c r="Y4450">
        <v>-0.1299785</v>
      </c>
      <c r="Z4450">
        <v>4.8349250000000003E-2</v>
      </c>
      <c r="AA4450">
        <v>0.99033729999999998</v>
      </c>
      <c r="AB4450">
        <v>29</v>
      </c>
      <c r="AC4450">
        <v>0.25100000000003297</v>
      </c>
      <c r="AD4450">
        <v>-1.110139804823</v>
      </c>
      <c r="AE4450">
        <v>-17.624790000000001</v>
      </c>
      <c r="AF4450">
        <v>-2.31878382342052</v>
      </c>
      <c r="AG4450">
        <v>-1.110139804823</v>
      </c>
      <c r="AH4450">
        <v>17.4031385859411</v>
      </c>
      <c r="AI4450">
        <v>93.618043625227202</v>
      </c>
      <c r="AJ4450">
        <v>97.589355587576605</v>
      </c>
      <c r="AK4450">
        <v>17.5919982221316</v>
      </c>
      <c r="AL4450">
        <v>90.215514238673293</v>
      </c>
      <c r="AM4450">
        <v>105.343767429111</v>
      </c>
      <c r="AN4450">
        <v>0.99999995212230197</v>
      </c>
    </row>
    <row r="4451" spans="1:40" x14ac:dyDescent="0.25">
      <c r="A4451" t="str">
        <f>"20190305135918827"</f>
        <v>20190305135918827</v>
      </c>
      <c r="B4451" t="str">
        <f>"1551765558823596"</f>
        <v>1551765558823596</v>
      </c>
      <c r="C4451" t="s">
        <v>40</v>
      </c>
      <c r="D4451">
        <v>3.945141</v>
      </c>
      <c r="E4451">
        <v>0.5503403</v>
      </c>
      <c r="F4451" t="s">
        <v>42</v>
      </c>
      <c r="G4451">
        <v>-419.38510000000002</v>
      </c>
      <c r="H4451" s="1">
        <v>-2.1043869999999999E-7</v>
      </c>
      <c r="I4451">
        <v>89.785640000000001</v>
      </c>
      <c r="J4451">
        <v>-419.6669</v>
      </c>
      <c r="K4451">
        <v>1.1099330000000001</v>
      </c>
      <c r="L4451">
        <v>108.5936</v>
      </c>
      <c r="M4451">
        <v>-0.1177232</v>
      </c>
      <c r="N4451">
        <v>-1.256755E-2</v>
      </c>
      <c r="O4451">
        <v>-0.99296700000000004</v>
      </c>
      <c r="P4451">
        <v>0.14946219999999999</v>
      </c>
      <c r="Q4451">
        <v>-1.3463620000000001E-2</v>
      </c>
      <c r="R4451">
        <v>-0.98867590000000005</v>
      </c>
      <c r="S4451">
        <v>3.9367680000000002E-2</v>
      </c>
      <c r="T4451">
        <v>-0.17592079999999999</v>
      </c>
      <c r="U4451">
        <v>-3.0255580000000002</v>
      </c>
      <c r="V4451">
        <v>-0.26482099999999997</v>
      </c>
      <c r="W4451">
        <v>-1.5391059999999999E-3</v>
      </c>
      <c r="X4451">
        <v>0.96429640000000005</v>
      </c>
      <c r="Y4451">
        <v>-0.13057060000000001</v>
      </c>
      <c r="Z4451">
        <v>4.4630080000000003E-2</v>
      </c>
      <c r="AA4451">
        <v>0.99043400000000004</v>
      </c>
      <c r="AB4451">
        <v>29</v>
      </c>
      <c r="AC4451">
        <v>0.28179999999997501</v>
      </c>
      <c r="AD4451">
        <v>-1.1099332104387001</v>
      </c>
      <c r="AE4451">
        <v>-18.807959999999898</v>
      </c>
      <c r="AF4451">
        <v>-2.4854939425356202</v>
      </c>
      <c r="AG4451">
        <v>-1.1099332104387001</v>
      </c>
      <c r="AH4451">
        <v>18.579289437766398</v>
      </c>
      <c r="AI4451">
        <v>93.388689493047195</v>
      </c>
      <c r="AJ4451">
        <v>97.619655505397205</v>
      </c>
      <c r="AK4451">
        <v>18.7776363763471</v>
      </c>
      <c r="AL4451">
        <v>90.088184309402493</v>
      </c>
      <c r="AM4451">
        <v>105.35633488686</v>
      </c>
      <c r="AN4451">
        <v>1.0000000389706101</v>
      </c>
    </row>
    <row r="4452" spans="1:40" x14ac:dyDescent="0.25">
      <c r="A4452" t="str">
        <f>"20190305135918850"</f>
        <v>20190305135918850</v>
      </c>
      <c r="B4452" t="str">
        <f>"1551765558843801"</f>
        <v>1551765558843801</v>
      </c>
      <c r="C4452" t="s">
        <v>40</v>
      </c>
      <c r="D4452">
        <v>3.9304030000000001</v>
      </c>
      <c r="E4452">
        <v>0.55040279999999997</v>
      </c>
      <c r="F4452" t="s">
        <v>42</v>
      </c>
      <c r="G4452">
        <v>-419.39280000000002</v>
      </c>
      <c r="H4452" s="1">
        <v>-3.6454580000000002E-6</v>
      </c>
      <c r="I4452">
        <v>87.879359999999906</v>
      </c>
      <c r="J4452">
        <v>-419.70269999999999</v>
      </c>
      <c r="K4452">
        <v>1.10975</v>
      </c>
      <c r="L4452">
        <v>108.2903</v>
      </c>
      <c r="M4452">
        <v>-0.117721699999999</v>
      </c>
      <c r="N4452">
        <v>-1.2483370000000001E-2</v>
      </c>
      <c r="O4452">
        <v>-0.99296839999999997</v>
      </c>
      <c r="P4452">
        <v>0.149317899999999</v>
      </c>
      <c r="Q4452">
        <v>-1.318336E-2</v>
      </c>
      <c r="R4452">
        <v>-0.98870150000000001</v>
      </c>
      <c r="S4452">
        <v>4.0039060000000001E-2</v>
      </c>
      <c r="T4452">
        <v>-0.1621493</v>
      </c>
      <c r="U4452">
        <v>-3.0261230000000001</v>
      </c>
      <c r="V4452">
        <v>-0.26467990000000002</v>
      </c>
      <c r="W4452">
        <v>-1.219326E-3</v>
      </c>
      <c r="X4452">
        <v>0.96433559999999996</v>
      </c>
      <c r="Y4452">
        <v>-0.13079299999999999</v>
      </c>
      <c r="Z4452">
        <v>4.0236899999999999E-2</v>
      </c>
      <c r="AA4452">
        <v>0.99059280000000005</v>
      </c>
      <c r="AB4452">
        <v>29</v>
      </c>
      <c r="AC4452">
        <v>0.30989999999996998</v>
      </c>
      <c r="AD4452">
        <v>-1.1097536454579999</v>
      </c>
      <c r="AE4452">
        <v>-20.41094</v>
      </c>
      <c r="AF4452">
        <v>-2.7027541206816799</v>
      </c>
      <c r="AG4452">
        <v>-1.1097536454579999</v>
      </c>
      <c r="AH4452">
        <v>20.172887749299299</v>
      </c>
      <c r="AI4452">
        <v>93.120958397605705</v>
      </c>
      <c r="AJ4452">
        <v>97.631018195383305</v>
      </c>
      <c r="AK4452">
        <v>20.383371486000499</v>
      </c>
      <c r="AL4452">
        <v>90.069862247970093</v>
      </c>
      <c r="AM4452">
        <v>105.347944293742</v>
      </c>
      <c r="AN4452">
        <v>1.00000004282363</v>
      </c>
    </row>
    <row r="4453" spans="1:40" x14ac:dyDescent="0.25">
      <c r="A4453" t="str">
        <f>"20190305135918872"</f>
        <v>20190305135918872</v>
      </c>
      <c r="B4453" t="str">
        <f>"1551765558863321"</f>
        <v>1551765558863321</v>
      </c>
      <c r="C4453" t="s">
        <v>40</v>
      </c>
      <c r="D4453">
        <v>3.9212769999999999</v>
      </c>
      <c r="E4453">
        <v>0.55051879999999997</v>
      </c>
      <c r="F4453" t="s">
        <v>42</v>
      </c>
      <c r="G4453">
        <v>-419.42529999999999</v>
      </c>
      <c r="H4453" s="1">
        <v>-3.2469549999999998E-6</v>
      </c>
      <c r="I4453">
        <v>86.963859999999997</v>
      </c>
      <c r="J4453">
        <v>-419.7364</v>
      </c>
      <c r="K4453">
        <v>1.109583</v>
      </c>
      <c r="L4453">
        <v>108.0063</v>
      </c>
      <c r="M4453">
        <v>-0.11792420000000001</v>
      </c>
      <c r="N4453">
        <v>-1.2412029999999999E-2</v>
      </c>
      <c r="O4453">
        <v>-0.99294490000000002</v>
      </c>
      <c r="P4453">
        <v>0.1496432</v>
      </c>
      <c r="Q4453">
        <v>-1.351633E-2</v>
      </c>
      <c r="R4453">
        <v>-0.98864770000000002</v>
      </c>
      <c r="S4453">
        <v>3.9367680000000002E-2</v>
      </c>
      <c r="T4453">
        <v>-0.15747549999999999</v>
      </c>
      <c r="U4453">
        <v>-3.0262449999999999</v>
      </c>
      <c r="V4453">
        <v>-0.26519379999999998</v>
      </c>
      <c r="W4453">
        <v>-1.521547E-3</v>
      </c>
      <c r="X4453">
        <v>0.96419390000000005</v>
      </c>
      <c r="Y4453">
        <v>-0.13077730000000001</v>
      </c>
      <c r="Z4453">
        <v>3.8788330000000003E-2</v>
      </c>
      <c r="AA4453">
        <v>0.99065270000000005</v>
      </c>
      <c r="AB4453">
        <v>29</v>
      </c>
      <c r="AC4453">
        <v>0.31110000000000998</v>
      </c>
      <c r="AD4453">
        <v>-1.109586246955</v>
      </c>
      <c r="AE4453">
        <v>-21.042439999999999</v>
      </c>
      <c r="AF4453">
        <v>-2.78279736890592</v>
      </c>
      <c r="AG4453">
        <v>-1.109586246955</v>
      </c>
      <c r="AH4453">
        <v>20.801080976365402</v>
      </c>
      <c r="AI4453">
        <v>93.026506350342004</v>
      </c>
      <c r="AJ4453">
        <v>97.619864801025699</v>
      </c>
      <c r="AK4453">
        <v>21.015711090066201</v>
      </c>
      <c r="AL4453">
        <v>90.087178257533097</v>
      </c>
      <c r="AM4453">
        <v>105.378487426901</v>
      </c>
      <c r="AN4453">
        <v>0.99999997173046096</v>
      </c>
    </row>
    <row r="4454" spans="1:40" x14ac:dyDescent="0.25">
      <c r="A4454" t="str">
        <f>"20190305135918893"</f>
        <v>20190305135918893</v>
      </c>
      <c r="B4454" t="str">
        <f>"1551765558883813"</f>
        <v>1551765558883813</v>
      </c>
      <c r="C4454" t="s">
        <v>40</v>
      </c>
      <c r="D4454">
        <v>3.8993829999999998</v>
      </c>
      <c r="E4454">
        <v>0.55054309999999995</v>
      </c>
      <c r="F4454" t="s">
        <v>42</v>
      </c>
      <c r="G4454">
        <v>-419.45389999999998</v>
      </c>
      <c r="H4454" s="1">
        <v>-3.0964460000000001E-6</v>
      </c>
      <c r="I4454">
        <v>86.624870000000001</v>
      </c>
      <c r="J4454">
        <v>-419.76990000000001</v>
      </c>
      <c r="K4454">
        <v>1.1094219999999999</v>
      </c>
      <c r="L4454">
        <v>107.7264</v>
      </c>
      <c r="M4454">
        <v>-0.1182935</v>
      </c>
      <c r="N4454">
        <v>-1.2349290000000001E-2</v>
      </c>
      <c r="O4454">
        <v>-0.99290219999999996</v>
      </c>
      <c r="P4454">
        <v>0.1504412</v>
      </c>
      <c r="Q4454">
        <v>-1.4284699999999999E-2</v>
      </c>
      <c r="R4454">
        <v>-0.98851630000000001</v>
      </c>
      <c r="S4454">
        <v>3.9978029999999998E-2</v>
      </c>
      <c r="T4454">
        <v>-0.1570473</v>
      </c>
      <c r="U4454">
        <v>-3.0262600000000002</v>
      </c>
      <c r="V4454">
        <v>-0.26632979999999901</v>
      </c>
      <c r="W4454">
        <v>-2.2602500000000001E-3</v>
      </c>
      <c r="X4454">
        <v>0.96387929999999999</v>
      </c>
      <c r="Y4454">
        <v>-0.13134579999999901</v>
      </c>
      <c r="Z4454">
        <v>3.8706289999999997E-2</v>
      </c>
      <c r="AA4454">
        <v>0.99058069999999998</v>
      </c>
      <c r="AB4454">
        <v>29</v>
      </c>
      <c r="AC4454">
        <v>0.31600000000002998</v>
      </c>
      <c r="AD4454">
        <v>-1.109425096446</v>
      </c>
      <c r="AE4454">
        <v>-21.10153</v>
      </c>
      <c r="AF4454">
        <v>-2.8023996975907299</v>
      </c>
      <c r="AG4454">
        <v>-1.109425096446</v>
      </c>
      <c r="AH4454">
        <v>20.858319662087101</v>
      </c>
      <c r="AI4454">
        <v>93.017551779631205</v>
      </c>
      <c r="AJ4454">
        <v>97.652096822937395</v>
      </c>
      <c r="AK4454">
        <v>21.074955924876502</v>
      </c>
      <c r="AL4454">
        <v>90.129502897460199</v>
      </c>
      <c r="AM4454">
        <v>105.446025338982</v>
      </c>
      <c r="AN4454">
        <v>0.99999998803329604</v>
      </c>
    </row>
    <row r="4455" spans="1:40" x14ac:dyDescent="0.25">
      <c r="A4455" t="str">
        <f>"20190305135918916"</f>
        <v>20190305135918916</v>
      </c>
      <c r="B4455" t="str">
        <f>"1551765558913094"</f>
        <v>1551765558913094</v>
      </c>
      <c r="C4455" t="s">
        <v>40</v>
      </c>
      <c r="D4455">
        <v>3.9043100000000002</v>
      </c>
      <c r="E4455">
        <v>0.55061939999999998</v>
      </c>
      <c r="F4455" t="s">
        <v>42</v>
      </c>
      <c r="G4455">
        <v>-419.4776</v>
      </c>
      <c r="H4455" s="1">
        <v>-3.1809380000000001E-6</v>
      </c>
      <c r="I4455">
        <v>86.831609999999998</v>
      </c>
      <c r="J4455">
        <v>-419.80540000000002</v>
      </c>
      <c r="K4455">
        <v>1.1092759999999999</v>
      </c>
      <c r="L4455">
        <v>107.43210000000001</v>
      </c>
      <c r="M4455">
        <v>-0.11882520000000001</v>
      </c>
      <c r="N4455">
        <v>-1.2290229999999999E-2</v>
      </c>
      <c r="O4455">
        <v>-0.99283909999999997</v>
      </c>
      <c r="P4455">
        <v>0.15047530000000001</v>
      </c>
      <c r="Q4455">
        <v>-1.435054E-2</v>
      </c>
      <c r="R4455">
        <v>-0.98850950000000004</v>
      </c>
      <c r="S4455">
        <v>4.2327879999999998E-2</v>
      </c>
      <c r="T4455">
        <v>-0.16067219999999999</v>
      </c>
      <c r="U4455">
        <v>-3.0260769999999999</v>
      </c>
      <c r="V4455">
        <v>-0.26687939999999999</v>
      </c>
      <c r="W4455">
        <v>-2.2923969999999998E-3</v>
      </c>
      <c r="X4455">
        <v>0.96372720000000001</v>
      </c>
      <c r="Y4455">
        <v>-0.1326444</v>
      </c>
      <c r="Z4455">
        <v>3.993377E-2</v>
      </c>
      <c r="AA4455">
        <v>0.99035890000000004</v>
      </c>
      <c r="AB4455">
        <v>29</v>
      </c>
      <c r="AC4455">
        <v>0.32780000000002402</v>
      </c>
      <c r="AD4455">
        <v>-1.1092791809379901</v>
      </c>
      <c r="AE4455">
        <v>-20.600490000000001</v>
      </c>
      <c r="AF4455">
        <v>-2.76550292868068</v>
      </c>
      <c r="AG4455">
        <v>-1.1092791809379901</v>
      </c>
      <c r="AH4455">
        <v>20.356554072406801</v>
      </c>
      <c r="AI4455">
        <v>93.090768871763402</v>
      </c>
      <c r="AJ4455">
        <v>97.736451879766093</v>
      </c>
      <c r="AK4455">
        <v>20.573473222881599</v>
      </c>
      <c r="AL4455">
        <v>90.131344789075399</v>
      </c>
      <c r="AM4455">
        <v>105.47869882005701</v>
      </c>
      <c r="AN4455">
        <v>0.999999992624102</v>
      </c>
    </row>
    <row r="4456" spans="1:40" x14ac:dyDescent="0.25">
      <c r="A4456" t="str">
        <f>"20190305135918941"</f>
        <v>20190305135918941</v>
      </c>
      <c r="B4456" t="str">
        <f>"1551765558933589"</f>
        <v>1551765558933589</v>
      </c>
      <c r="C4456" t="s">
        <v>40</v>
      </c>
      <c r="D4456">
        <v>3.8391649999999999</v>
      </c>
      <c r="E4456">
        <v>0.5507455</v>
      </c>
      <c r="F4456" t="s">
        <v>42</v>
      </c>
      <c r="G4456">
        <v>-419.51909999999998</v>
      </c>
      <c r="H4456" s="1">
        <v>-3.0717090000000002E-6</v>
      </c>
      <c r="I4456">
        <v>86.594169999999906</v>
      </c>
      <c r="J4456">
        <v>-419.84300000000002</v>
      </c>
      <c r="K4456">
        <v>1.109148</v>
      </c>
      <c r="L4456">
        <v>107.1225</v>
      </c>
      <c r="M4456">
        <v>-0.1195071</v>
      </c>
      <c r="N4456">
        <v>-1.222913E-2</v>
      </c>
      <c r="O4456">
        <v>-0.99275800000000003</v>
      </c>
      <c r="P4456">
        <v>0.15026589999999901</v>
      </c>
      <c r="Q4456">
        <v>-1.343924E-2</v>
      </c>
      <c r="R4456">
        <v>-0.9885545</v>
      </c>
      <c r="S4456">
        <v>4.1564940000000002E-2</v>
      </c>
      <c r="T4456">
        <v>-0.16109509999999999</v>
      </c>
      <c r="U4456">
        <v>-3.0261840000000002</v>
      </c>
      <c r="V4456">
        <v>-0.26733899999999999</v>
      </c>
      <c r="W4456">
        <v>-1.3598359999999999E-3</v>
      </c>
      <c r="X4456">
        <v>0.96360159999999995</v>
      </c>
      <c r="Y4456">
        <v>-0.1330749</v>
      </c>
      <c r="Z4456">
        <v>4.0122360000000003E-2</v>
      </c>
      <c r="AA4456">
        <v>0.99029350000000005</v>
      </c>
      <c r="AB4456">
        <v>29</v>
      </c>
      <c r="AC4456">
        <v>0.32390000000003699</v>
      </c>
      <c r="AD4456">
        <v>-1.1091510717090001</v>
      </c>
      <c r="AE4456">
        <v>-20.52833</v>
      </c>
      <c r="AF4456">
        <v>-2.7669675791360002</v>
      </c>
      <c r="AG4456">
        <v>-1.1091510717090001</v>
      </c>
      <c r="AH4456">
        <v>20.283279605799098</v>
      </c>
      <c r="AI4456">
        <v>93.101322222930506</v>
      </c>
      <c r="AJ4456">
        <v>97.768121726590294</v>
      </c>
      <c r="AK4456">
        <v>20.501164777906801</v>
      </c>
      <c r="AL4456">
        <v>90.077912886333195</v>
      </c>
      <c r="AM4456">
        <v>105.50599743887901</v>
      </c>
      <c r="AN4456">
        <v>1.0000000167987499</v>
      </c>
    </row>
    <row r="4457" spans="1:40" x14ac:dyDescent="0.25">
      <c r="A4457" t="str">
        <f>"20190305135918962"</f>
        <v>20190305135918962</v>
      </c>
      <c r="B4457" t="str">
        <f>"1551765558953754"</f>
        <v>1551765558953754</v>
      </c>
      <c r="C4457" t="s">
        <v>40</v>
      </c>
      <c r="D4457">
        <v>3.8886400000000001</v>
      </c>
      <c r="E4457">
        <v>0.52493269999999903</v>
      </c>
      <c r="F4457" t="s">
        <v>42</v>
      </c>
      <c r="G4457">
        <v>-419.55840000000001</v>
      </c>
      <c r="H4457" s="1">
        <v>-2.6963290000000001E-6</v>
      </c>
      <c r="I4457">
        <v>85.735369999999904</v>
      </c>
      <c r="J4457">
        <v>-419.87790000000001</v>
      </c>
      <c r="K4457">
        <v>1.109054</v>
      </c>
      <c r="L4457">
        <v>106.8386</v>
      </c>
      <c r="M4457">
        <v>-0.1202048</v>
      </c>
      <c r="N4457">
        <v>-1.2177210000000001E-2</v>
      </c>
      <c r="O4457">
        <v>-0.99267479999999997</v>
      </c>
      <c r="P4457">
        <v>0.14944640000000001</v>
      </c>
      <c r="Q4457">
        <v>-1.2795590000000001E-2</v>
      </c>
      <c r="R4457">
        <v>-0.98868739999999999</v>
      </c>
      <c r="S4457">
        <v>4.0283199999999998E-2</v>
      </c>
      <c r="T4457">
        <v>-0.15695580000000001</v>
      </c>
      <c r="U4457">
        <v>-3.0264890000000002</v>
      </c>
      <c r="V4457">
        <v>-0.26721729999999999</v>
      </c>
      <c r="W4457">
        <v>-7.1266389999999997E-4</v>
      </c>
      <c r="X4457">
        <v>0.96363600000000005</v>
      </c>
      <c r="Y4457">
        <v>-0.13335259999999999</v>
      </c>
      <c r="Z4457">
        <v>3.8819840000000001E-2</v>
      </c>
      <c r="AA4457">
        <v>0.99030810000000002</v>
      </c>
      <c r="AB4457">
        <v>29</v>
      </c>
      <c r="AC4457">
        <v>0.319500000000005</v>
      </c>
      <c r="AD4457">
        <v>-1.1090566963290001</v>
      </c>
      <c r="AE4457">
        <v>-21.10323</v>
      </c>
      <c r="AF4457">
        <v>-2.84622049864375</v>
      </c>
      <c r="AG4457">
        <v>-1.1090566963290001</v>
      </c>
      <c r="AH4457">
        <v>20.854197750839901</v>
      </c>
      <c r="AI4457">
        <v>93.016294707553001</v>
      </c>
      <c r="AJ4457">
        <v>97.771818130382499</v>
      </c>
      <c r="AK4457">
        <v>21.0767298629011</v>
      </c>
      <c r="AL4457">
        <v>90.040832638489206</v>
      </c>
      <c r="AM4457">
        <v>105.498751417671</v>
      </c>
      <c r="AN4457">
        <v>0.99999996690256099</v>
      </c>
    </row>
    <row r="4458" spans="1:40" x14ac:dyDescent="0.25">
      <c r="A4458" t="str">
        <f>"20190305135918984"</f>
        <v>20190305135918984</v>
      </c>
      <c r="B4458" t="str">
        <f>"1551765558973271"</f>
        <v>1551765558973271</v>
      </c>
      <c r="C4458" t="s">
        <v>40</v>
      </c>
      <c r="D4458">
        <v>3.9383889999999999</v>
      </c>
      <c r="E4458">
        <v>0.5128431</v>
      </c>
      <c r="F4458" t="s">
        <v>42</v>
      </c>
      <c r="G4458">
        <v>-415.69380000000001</v>
      </c>
      <c r="H4458" s="1">
        <v>-3.7378419999999999E-6</v>
      </c>
      <c r="I4458">
        <v>56.565249999999999</v>
      </c>
      <c r="J4458">
        <v>-419.9128</v>
      </c>
      <c r="K4458">
        <v>1.108995</v>
      </c>
      <c r="L4458">
        <v>106.5569</v>
      </c>
      <c r="M4458">
        <v>-0.12094199999999999</v>
      </c>
      <c r="N4458">
        <v>-1.213004E-2</v>
      </c>
      <c r="O4458">
        <v>-0.99258539999999995</v>
      </c>
      <c r="P4458">
        <v>0.1483024</v>
      </c>
      <c r="Q4458">
        <v>-1.431845E-2</v>
      </c>
      <c r="R4458">
        <v>-0.98883829999999995</v>
      </c>
      <c r="S4458">
        <v>0.24932860000000001</v>
      </c>
      <c r="T4458">
        <v>-6.6088800000000003E-2</v>
      </c>
      <c r="U4458">
        <v>-2.9957889999999998</v>
      </c>
      <c r="V4458">
        <v>-0.266818</v>
      </c>
      <c r="W4458">
        <v>-2.248842E-3</v>
      </c>
      <c r="X4458">
        <v>0.9637443</v>
      </c>
      <c r="Y4458">
        <v>-0.202819</v>
      </c>
      <c r="Z4458">
        <v>9.3555140000000005E-3</v>
      </c>
      <c r="AA4458">
        <v>0.97917160000000003</v>
      </c>
      <c r="AB4458">
        <v>29</v>
      </c>
      <c r="AC4458">
        <v>4.2189999999999896</v>
      </c>
      <c r="AD4458">
        <v>-1.1089987378419901</v>
      </c>
      <c r="AE4458">
        <v>-49.99165</v>
      </c>
      <c r="AF4458">
        <v>-10.229562990146601</v>
      </c>
      <c r="AG4458">
        <v>-1.1089987378419901</v>
      </c>
      <c r="AH4458">
        <v>49.090356660592903</v>
      </c>
      <c r="AI4458">
        <v>91.266941207470893</v>
      </c>
      <c r="AJ4458">
        <v>101.770979530806</v>
      </c>
      <c r="AK4458">
        <v>50.157122667016402</v>
      </c>
      <c r="AL4458">
        <v>90.1288492654012</v>
      </c>
      <c r="AM4458">
        <v>105.475046969405</v>
      </c>
      <c r="AN4458">
        <v>0.99999998909841503</v>
      </c>
    </row>
    <row r="4459" spans="1:40" x14ac:dyDescent="0.25">
      <c r="A4459" t="str">
        <f>"20190305135919007"</f>
        <v>20190305135919007</v>
      </c>
      <c r="B4459" t="str">
        <f>"1551765558993767"</f>
        <v>1551765558993767</v>
      </c>
      <c r="C4459" t="s">
        <v>40</v>
      </c>
      <c r="D4459">
        <v>3.8977940000000002</v>
      </c>
      <c r="E4459">
        <v>0.50963179999999997</v>
      </c>
      <c r="F4459" t="s">
        <v>42</v>
      </c>
      <c r="G4459">
        <v>-415.42649999999998</v>
      </c>
      <c r="H4459" s="1">
        <v>-4.072594E-6</v>
      </c>
      <c r="I4459">
        <v>67.235029999999995</v>
      </c>
      <c r="J4459">
        <v>-419.94990000000001</v>
      </c>
      <c r="K4459">
        <v>1.1089500000000001</v>
      </c>
      <c r="L4459">
        <v>106.26</v>
      </c>
      <c r="M4459">
        <v>-0.1217424</v>
      </c>
      <c r="N4459">
        <v>-1.208002E-2</v>
      </c>
      <c r="O4459">
        <v>-0.99248860000000005</v>
      </c>
      <c r="P4459">
        <v>0.14680079999999901</v>
      </c>
      <c r="Q4459">
        <v>-1.68921E-2</v>
      </c>
      <c r="R4459">
        <v>-0.98902239999999997</v>
      </c>
      <c r="S4459">
        <v>0.34017940000000002</v>
      </c>
      <c r="T4459">
        <v>-8.4091310000000002E-2</v>
      </c>
      <c r="U4459">
        <v>-2.9816280000000002</v>
      </c>
      <c r="V4459">
        <v>-0.26613120000000001</v>
      </c>
      <c r="W4459">
        <v>-4.8547010000000003E-3</v>
      </c>
      <c r="X4459">
        <v>0.96392460000000002</v>
      </c>
      <c r="Y4459">
        <v>-0.23340929999999999</v>
      </c>
      <c r="Z4459">
        <v>1.523705E-2</v>
      </c>
      <c r="AA4459">
        <v>0.97225919999999999</v>
      </c>
      <c r="AB4459">
        <v>29</v>
      </c>
      <c r="AC4459">
        <v>4.5234000000000298</v>
      </c>
      <c r="AD4459">
        <v>-1.1089540725939999</v>
      </c>
      <c r="AE4459">
        <v>-39.024970000000003</v>
      </c>
      <c r="AF4459">
        <v>-9.2337298362603093</v>
      </c>
      <c r="AG4459">
        <v>-1.1089540725939999</v>
      </c>
      <c r="AH4459">
        <v>38.153519400220503</v>
      </c>
      <c r="AI4459">
        <v>91.618177027669603</v>
      </c>
      <c r="AJ4459">
        <v>103.604854734014</v>
      </c>
      <c r="AK4459">
        <v>39.270632646383099</v>
      </c>
      <c r="AL4459">
        <v>90.278154968169503</v>
      </c>
      <c r="AM4459">
        <v>105.43436598654399</v>
      </c>
      <c r="AN4459">
        <v>1.0000000091101899</v>
      </c>
    </row>
    <row r="4460" spans="1:40" x14ac:dyDescent="0.25">
      <c r="A4460" t="str">
        <f>"20190305135919030"</f>
        <v>20190305135919030</v>
      </c>
      <c r="B4460" t="str">
        <f>"1551765559023048"</f>
        <v>1551765559023048</v>
      </c>
      <c r="C4460" t="s">
        <v>40</v>
      </c>
      <c r="D4460">
        <v>3.8879030000000001</v>
      </c>
      <c r="E4460">
        <v>0.5087045</v>
      </c>
      <c r="F4460" t="s">
        <v>42</v>
      </c>
      <c r="G4460">
        <v>-415.60390000000001</v>
      </c>
      <c r="H4460" s="1">
        <v>-1.4202570000000001E-6</v>
      </c>
      <c r="I4460">
        <v>70.384339999999995</v>
      </c>
      <c r="J4460">
        <v>-419.98770000000002</v>
      </c>
      <c r="K4460">
        <v>1.108932</v>
      </c>
      <c r="L4460">
        <v>105.95869999999999</v>
      </c>
      <c r="M4460">
        <v>-0.1225478</v>
      </c>
      <c r="N4460">
        <v>-1.2030040000000001E-2</v>
      </c>
      <c r="O4460">
        <v>-0.99238990000000005</v>
      </c>
      <c r="P4460">
        <v>0.14528429999999901</v>
      </c>
      <c r="Q4460">
        <v>-1.892363E-2</v>
      </c>
      <c r="R4460">
        <v>-0.98920889999999995</v>
      </c>
      <c r="S4460">
        <v>0.36077880000000001</v>
      </c>
      <c r="T4460">
        <v>-9.2058059999999997E-2</v>
      </c>
      <c r="U4460">
        <v>-2.9781650000000002</v>
      </c>
      <c r="V4460">
        <v>-0.26543369999999999</v>
      </c>
      <c r="W4460">
        <v>-6.9317559999999999E-3</v>
      </c>
      <c r="X4460">
        <v>0.96410419999999997</v>
      </c>
      <c r="Y4460">
        <v>-0.24094070000000001</v>
      </c>
      <c r="Z4460">
        <v>1.7865349999999999E-2</v>
      </c>
      <c r="AA4460">
        <v>0.9703754</v>
      </c>
      <c r="AB4460">
        <v>29</v>
      </c>
      <c r="AC4460">
        <v>4.3837999999999999</v>
      </c>
      <c r="AD4460">
        <v>-1.108933420257</v>
      </c>
      <c r="AE4460">
        <v>-35.574359999999899</v>
      </c>
      <c r="AF4460">
        <v>-8.7022973710166394</v>
      </c>
      <c r="AG4460">
        <v>-1.108933420257</v>
      </c>
      <c r="AH4460">
        <v>34.735671468446199</v>
      </c>
      <c r="AI4460">
        <v>91.773760762084805</v>
      </c>
      <c r="AJ4460">
        <v>104.06477319899101</v>
      </c>
      <c r="AK4460">
        <v>35.826339266355298</v>
      </c>
      <c r="AL4460">
        <v>90.397163542676296</v>
      </c>
      <c r="AM4460">
        <v>105.39310383428899</v>
      </c>
      <c r="AN4460">
        <v>1.00000000339728</v>
      </c>
    </row>
    <row r="4461" spans="1:40" x14ac:dyDescent="0.25">
      <c r="A4461" t="str">
        <f>"20190305135919052"</f>
        <v>20190305135919052</v>
      </c>
      <c r="B4461" t="str">
        <f>"1551765559043543"</f>
        <v>1551765559043543</v>
      </c>
      <c r="C4461" t="s">
        <v>40</v>
      </c>
      <c r="D4461">
        <v>3.7687170000000001</v>
      </c>
      <c r="E4461">
        <v>0.50849179999999905</v>
      </c>
      <c r="F4461" t="s">
        <v>42</v>
      </c>
      <c r="G4461">
        <v>-415.7867</v>
      </c>
      <c r="H4461" s="1">
        <v>-1.7963059999999901E-6</v>
      </c>
      <c r="I4461">
        <v>71.632359999999906</v>
      </c>
      <c r="J4461">
        <v>-420.02429999999998</v>
      </c>
      <c r="K4461">
        <v>1.108932</v>
      </c>
      <c r="L4461">
        <v>105.6692</v>
      </c>
      <c r="M4461">
        <v>-0.1232868</v>
      </c>
      <c r="N4461">
        <v>-1.1978839999999999E-2</v>
      </c>
      <c r="O4461">
        <v>-0.99229880000000004</v>
      </c>
      <c r="P4461">
        <v>0.14349339999999999</v>
      </c>
      <c r="Q4461">
        <v>-2.0739850000000001E-2</v>
      </c>
      <c r="R4461">
        <v>-0.98943389999999998</v>
      </c>
      <c r="S4461">
        <v>0.36437989999999998</v>
      </c>
      <c r="T4461">
        <v>-9.6185450000000006E-2</v>
      </c>
      <c r="U4461">
        <v>-2.9773559999999999</v>
      </c>
      <c r="V4461">
        <v>-0.26440459999999999</v>
      </c>
      <c r="W4461">
        <v>-8.8042109999999993E-3</v>
      </c>
      <c r="X4461">
        <v>0.96437169999999905</v>
      </c>
      <c r="Y4461">
        <v>-0.24284549999999999</v>
      </c>
      <c r="Z4461">
        <v>1.925282E-2</v>
      </c>
      <c r="AA4461">
        <v>0.96987389999999996</v>
      </c>
      <c r="AB4461">
        <v>29</v>
      </c>
      <c r="AC4461">
        <v>4.23759999999998</v>
      </c>
      <c r="AD4461">
        <v>-1.108933796306</v>
      </c>
      <c r="AE4461">
        <v>-34.036839999999998</v>
      </c>
      <c r="AF4461">
        <v>-8.3930880246916999</v>
      </c>
      <c r="AG4461">
        <v>-1.108933796306</v>
      </c>
      <c r="AH4461">
        <v>33.2199365879707</v>
      </c>
      <c r="AI4461">
        <v>91.853707192985894</v>
      </c>
      <c r="AJ4461">
        <v>104.179171721675</v>
      </c>
      <c r="AK4461">
        <v>34.281742191195697</v>
      </c>
      <c r="AL4461">
        <v>90.504450628612503</v>
      </c>
      <c r="AM4461">
        <v>105.33218523969499</v>
      </c>
      <c r="AN4461">
        <v>1.0000000411966901</v>
      </c>
    </row>
    <row r="4462" spans="1:40" x14ac:dyDescent="0.25">
      <c r="A4462" t="str">
        <f>"20190305135919073"</f>
        <v>20190305135919073</v>
      </c>
      <c r="B4462" t="str">
        <f>"1551765559063063"</f>
        <v>1551765559063063</v>
      </c>
      <c r="C4462" t="s">
        <v>40</v>
      </c>
      <c r="D4462">
        <v>3.8146800000000001</v>
      </c>
      <c r="E4462">
        <v>0.50817259999999997</v>
      </c>
      <c r="F4462" t="s">
        <v>42</v>
      </c>
      <c r="G4462">
        <v>-415.89580000000001</v>
      </c>
      <c r="H4462" s="1">
        <v>-1.7404549999999999E-6</v>
      </c>
      <c r="I4462">
        <v>71.553469999999905</v>
      </c>
      <c r="J4462">
        <v>-420.06</v>
      </c>
      <c r="K4462">
        <v>1.108948</v>
      </c>
      <c r="L4462">
        <v>105.3875</v>
      </c>
      <c r="M4462">
        <v>-0.1239513</v>
      </c>
      <c r="N4462">
        <v>-1.192929E-2</v>
      </c>
      <c r="O4462">
        <v>-0.99221649999999995</v>
      </c>
      <c r="P4462">
        <v>0.1422158</v>
      </c>
      <c r="Q4462">
        <v>-2.1516049999999998E-2</v>
      </c>
      <c r="R4462">
        <v>-0.98960170000000003</v>
      </c>
      <c r="S4462">
        <v>0.36035159999999999</v>
      </c>
      <c r="T4462">
        <v>-9.679198E-2</v>
      </c>
      <c r="U4462">
        <v>-2.9777529999999999</v>
      </c>
      <c r="V4462">
        <v>-0.26380369999999997</v>
      </c>
      <c r="W4462">
        <v>-9.6450589999999992E-3</v>
      </c>
      <c r="X4462">
        <v>0.9645281</v>
      </c>
      <c r="Y4462">
        <v>-0.24218619999999999</v>
      </c>
      <c r="Z4462">
        <v>1.9497649999999998E-2</v>
      </c>
      <c r="AA4462">
        <v>0.9700339</v>
      </c>
      <c r="AB4462">
        <v>29</v>
      </c>
      <c r="AC4462">
        <v>4.1641999999999904</v>
      </c>
      <c r="AD4462">
        <v>-1.1089497404549999</v>
      </c>
      <c r="AE4462">
        <v>-33.834029999999998</v>
      </c>
      <c r="AF4462">
        <v>-8.3173513706319593</v>
      </c>
      <c r="AG4462">
        <v>-1.1089497404549999</v>
      </c>
      <c r="AH4462">
        <v>33.021934732863699</v>
      </c>
      <c r="AI4462">
        <v>91.865185274870001</v>
      </c>
      <c r="AJ4462">
        <v>104.137229940678</v>
      </c>
      <c r="AK4462">
        <v>34.071340989912898</v>
      </c>
      <c r="AL4462">
        <v>90.5526297768875</v>
      </c>
      <c r="AM4462">
        <v>105.29661047174299</v>
      </c>
      <c r="AN4462">
        <v>0.99999993749320404</v>
      </c>
    </row>
    <row r="4463" spans="1:40" x14ac:dyDescent="0.25">
      <c r="A4463" t="str">
        <f>"20190305135919096"</f>
        <v>20190305135919096</v>
      </c>
      <c r="B4463" t="str">
        <f>"1551765559093320"</f>
        <v>1551765559093320</v>
      </c>
      <c r="C4463" t="s">
        <v>40</v>
      </c>
      <c r="D4463">
        <v>3.7862170000000002</v>
      </c>
      <c r="E4463">
        <v>0.50802369999999997</v>
      </c>
      <c r="F4463" t="s">
        <v>42</v>
      </c>
      <c r="G4463">
        <v>-415.92309999999998</v>
      </c>
      <c r="H4463" s="1">
        <v>-1.589883E-6</v>
      </c>
      <c r="I4463">
        <v>71.132390000000001</v>
      </c>
      <c r="J4463">
        <v>-420.0967</v>
      </c>
      <c r="K4463">
        <v>1.1089869999999999</v>
      </c>
      <c r="L4463">
        <v>105.09910000000001</v>
      </c>
      <c r="M4463">
        <v>-0.1245598</v>
      </c>
      <c r="N4463">
        <v>-1.1878089999999999E-2</v>
      </c>
      <c r="O4463">
        <v>-0.99214100000000005</v>
      </c>
      <c r="P4463">
        <v>0.14076620000000001</v>
      </c>
      <c r="Q4463">
        <v>-2.0139150000000001E-2</v>
      </c>
      <c r="R4463">
        <v>-0.989838</v>
      </c>
      <c r="S4463">
        <v>0.35961910000000002</v>
      </c>
      <c r="T4463">
        <v>-9.6399659999999998E-2</v>
      </c>
      <c r="U4463">
        <v>-2.9777529999999999</v>
      </c>
      <c r="V4463">
        <v>-0.26298349999999998</v>
      </c>
      <c r="W4463">
        <v>-8.3432530000000001E-3</v>
      </c>
      <c r="X4463">
        <v>0.96476419999999996</v>
      </c>
      <c r="Y4463">
        <v>-0.2425466</v>
      </c>
      <c r="Z4463">
        <v>1.9416639999999999E-2</v>
      </c>
      <c r="AA4463">
        <v>0.96994539999999996</v>
      </c>
      <c r="AB4463">
        <v>29</v>
      </c>
      <c r="AC4463">
        <v>4.17360000000002</v>
      </c>
      <c r="AD4463">
        <v>-1.1089885898829901</v>
      </c>
      <c r="AE4463">
        <v>-33.966709999999999</v>
      </c>
      <c r="AF4463">
        <v>-8.3634942549612195</v>
      </c>
      <c r="AG4463">
        <v>-1.1089885898829901</v>
      </c>
      <c r="AH4463">
        <v>33.147434994580102</v>
      </c>
      <c r="AI4463">
        <v>91.858000505870606</v>
      </c>
      <c r="AJ4463">
        <v>104.160848885438</v>
      </c>
      <c r="AK4463">
        <v>34.204244452482399</v>
      </c>
      <c r="AL4463">
        <v>90.478038756091607</v>
      </c>
      <c r="AM4463">
        <v>105.24771083833301</v>
      </c>
      <c r="AN4463">
        <v>0.99999994637225398</v>
      </c>
    </row>
    <row r="4464" spans="1:40" x14ac:dyDescent="0.25">
      <c r="A4464" t="str">
        <f>"20190305135919118"</f>
        <v>20190305135919118</v>
      </c>
      <c r="B4464" t="str">
        <f>"1551765559113815"</f>
        <v>1551765559113815</v>
      </c>
      <c r="C4464" t="s">
        <v>40</v>
      </c>
      <c r="D4464">
        <v>3.8136830000000002</v>
      </c>
      <c r="E4464">
        <v>0.50803739999999997</v>
      </c>
      <c r="F4464" t="s">
        <v>42</v>
      </c>
      <c r="G4464">
        <v>-415.57380000000001</v>
      </c>
      <c r="H4464" s="1">
        <v>-4.0929579999999997E-6</v>
      </c>
      <c r="I4464">
        <v>67.343389999999999</v>
      </c>
      <c r="J4464">
        <v>-420.13350000000003</v>
      </c>
      <c r="K4464">
        <v>1.1090340000000001</v>
      </c>
      <c r="L4464">
        <v>104.8111</v>
      </c>
      <c r="M4464">
        <v>-0.12508430000000001</v>
      </c>
      <c r="N4464">
        <v>-1.1828170000000001E-2</v>
      </c>
      <c r="O4464">
        <v>-0.9920755</v>
      </c>
      <c r="P4464">
        <v>0.139763</v>
      </c>
      <c r="Q4464">
        <v>-1.9086369999999998E-2</v>
      </c>
      <c r="R4464">
        <v>-0.99000080000000001</v>
      </c>
      <c r="S4464">
        <v>0.35678100000000001</v>
      </c>
      <c r="T4464">
        <v>-8.7480310000000006E-2</v>
      </c>
      <c r="U4464">
        <v>-2.9782709999999999</v>
      </c>
      <c r="V4464">
        <v>-0.26251570000000002</v>
      </c>
      <c r="W4464">
        <v>-7.3737780000000001E-3</v>
      </c>
      <c r="X4464">
        <v>0.96489950000000002</v>
      </c>
      <c r="Y4464">
        <v>-0.2421392</v>
      </c>
      <c r="Z4464">
        <v>1.6560789999999999E-2</v>
      </c>
      <c r="AA4464">
        <v>0.97010019999999997</v>
      </c>
      <c r="AB4464">
        <v>29</v>
      </c>
      <c r="AC4464">
        <v>4.5597000000000198</v>
      </c>
      <c r="AD4464">
        <v>-1.1090380929579999</v>
      </c>
      <c r="AE4464">
        <v>-37.467709999999997</v>
      </c>
      <c r="AF4464">
        <v>-9.2028888286524797</v>
      </c>
      <c r="AG4464">
        <v>-1.1090380929579999</v>
      </c>
      <c r="AH4464">
        <v>36.571440291819101</v>
      </c>
      <c r="AI4464">
        <v>91.684492928252894</v>
      </c>
      <c r="AJ4464">
        <v>104.124723022336</v>
      </c>
      <c r="AK4464">
        <v>37.7278858843463</v>
      </c>
      <c r="AL4464">
        <v>90.422490206091396</v>
      </c>
      <c r="AM4464">
        <v>105.219811883896</v>
      </c>
      <c r="AN4464">
        <v>0.99999995522436502</v>
      </c>
    </row>
    <row r="4465" spans="1:40" x14ac:dyDescent="0.25">
      <c r="A4465" t="str">
        <f>"20190305135919141"</f>
        <v>20190305135919141</v>
      </c>
      <c r="B4465" t="str">
        <f>"1551765559133338"</f>
        <v>1551765559133338</v>
      </c>
      <c r="C4465" t="s">
        <v>40</v>
      </c>
      <c r="D4465">
        <v>3.792427</v>
      </c>
      <c r="E4465">
        <v>0.50806519999999999</v>
      </c>
      <c r="F4465" t="s">
        <v>42</v>
      </c>
      <c r="G4465">
        <v>-415.35239999999999</v>
      </c>
      <c r="H4465" s="1">
        <v>-2.9168359999999999E-6</v>
      </c>
      <c r="I4465">
        <v>64.510279999999995</v>
      </c>
      <c r="J4465">
        <v>-420.17160000000001</v>
      </c>
      <c r="K4465">
        <v>1.1090899999999999</v>
      </c>
      <c r="L4465">
        <v>104.51390000000001</v>
      </c>
      <c r="M4465">
        <v>-0.1255184</v>
      </c>
      <c r="N4465">
        <v>-1.17737E-2</v>
      </c>
      <c r="O4465">
        <v>-0.99202140000000005</v>
      </c>
      <c r="P4465">
        <v>0.13916679999999901</v>
      </c>
      <c r="Q4465">
        <v>-1.8632599999999999E-2</v>
      </c>
      <c r="R4465">
        <v>-0.99009369999999997</v>
      </c>
      <c r="S4465">
        <v>0.35339359999999997</v>
      </c>
      <c r="T4465">
        <v>-8.1974149999999996E-2</v>
      </c>
      <c r="U4465">
        <v>-2.9788209999999999</v>
      </c>
      <c r="V4465">
        <v>-0.2623567</v>
      </c>
      <c r="W4465">
        <v>-7.017489E-3</v>
      </c>
      <c r="X4465">
        <v>0.96494539999999995</v>
      </c>
      <c r="Y4465">
        <v>-0.24146119999999999</v>
      </c>
      <c r="Z4465">
        <v>1.4821819999999999E-2</v>
      </c>
      <c r="AA4465">
        <v>0.97029730000000003</v>
      </c>
      <c r="AB4465">
        <v>29</v>
      </c>
      <c r="AC4465">
        <v>4.8192000000000199</v>
      </c>
      <c r="AD4465">
        <v>-1.109092916836</v>
      </c>
      <c r="AE4465">
        <v>-40.003619999999998</v>
      </c>
      <c r="AF4465">
        <v>-9.7951980895782107</v>
      </c>
      <c r="AG4465">
        <v>-1.109092916836</v>
      </c>
      <c r="AH4465">
        <v>39.052669756497998</v>
      </c>
      <c r="AI4465">
        <v>91.577907780881802</v>
      </c>
      <c r="AJ4465">
        <v>104.08046408839</v>
      </c>
      <c r="AK4465">
        <v>40.277624158114698</v>
      </c>
      <c r="AL4465">
        <v>90.402075821034799</v>
      </c>
      <c r="AM4465">
        <v>105.210330745601</v>
      </c>
      <c r="AN4465">
        <v>0.99999995408395603</v>
      </c>
    </row>
    <row r="4466" spans="1:40" x14ac:dyDescent="0.25">
      <c r="A4466" t="str">
        <f>"20190305135919162"</f>
        <v>20190305135919162</v>
      </c>
      <c r="B4466" t="str">
        <f>"1551765559153834"</f>
        <v>1551765559153834</v>
      </c>
      <c r="C4466" t="s">
        <v>40</v>
      </c>
      <c r="D4466">
        <v>3.7819590000000001</v>
      </c>
      <c r="E4466">
        <v>0.50787789999999999</v>
      </c>
      <c r="F4466" t="s">
        <v>42</v>
      </c>
      <c r="G4466">
        <v>-415.25360000000001</v>
      </c>
      <c r="H4466" s="1">
        <v>-2.36137E-6</v>
      </c>
      <c r="I4466">
        <v>62.875950000000003</v>
      </c>
      <c r="J4466">
        <v>-420.20780000000002</v>
      </c>
      <c r="K4466">
        <v>1.1091420000000001</v>
      </c>
      <c r="L4466">
        <v>104.23050000000001</v>
      </c>
      <c r="M4466">
        <v>-0.125833</v>
      </c>
      <c r="N4466">
        <v>-1.171265E-2</v>
      </c>
      <c r="O4466">
        <v>-0.99198249999999999</v>
      </c>
      <c r="P4466">
        <v>0.13852159999999999</v>
      </c>
      <c r="Q4466">
        <v>-2.0074410000000001E-2</v>
      </c>
      <c r="R4466">
        <v>-0.99015609999999998</v>
      </c>
      <c r="S4466">
        <v>0.35186770000000001</v>
      </c>
      <c r="T4466">
        <v>-7.9352019999999995E-2</v>
      </c>
      <c r="U4466">
        <v>-2.9790649999999999</v>
      </c>
      <c r="V4466">
        <v>-0.26203009999999999</v>
      </c>
      <c r="W4466">
        <v>-8.5656459999999997E-3</v>
      </c>
      <c r="X4466">
        <v>0.96502169999999998</v>
      </c>
      <c r="Y4466">
        <v>-0.2412724</v>
      </c>
      <c r="Z4466">
        <v>1.402814E-2</v>
      </c>
      <c r="AA4466">
        <v>0.970356</v>
      </c>
      <c r="AB4466">
        <v>29</v>
      </c>
      <c r="AC4466">
        <v>4.9542000000000099</v>
      </c>
      <c r="AD4466">
        <v>-1.1091443613700001</v>
      </c>
      <c r="AE4466">
        <v>-41.354550000000003</v>
      </c>
      <c r="AF4466">
        <v>-10.111768019733899</v>
      </c>
      <c r="AG4466">
        <v>-1.1091443613700001</v>
      </c>
      <c r="AH4466">
        <v>40.3737199569916</v>
      </c>
      <c r="AI4466">
        <v>91.526505053959198</v>
      </c>
      <c r="AJ4466">
        <v>104.060734166873</v>
      </c>
      <c r="AK4466">
        <v>41.635505483479498</v>
      </c>
      <c r="AL4466">
        <v>90.490781360038099</v>
      </c>
      <c r="AM4466">
        <v>105.19112579899</v>
      </c>
      <c r="AN4466">
        <v>1.0000000125341399</v>
      </c>
    </row>
    <row r="4467" spans="1:40" x14ac:dyDescent="0.25">
      <c r="A4467" t="str">
        <f>"20190305135919185"</f>
        <v>20190305135919185</v>
      </c>
      <c r="B4467" t="str">
        <f>"1551765559173351"</f>
        <v>1551765559173351</v>
      </c>
      <c r="C4467" t="s">
        <v>40</v>
      </c>
      <c r="D4467">
        <v>3.7886829999999998</v>
      </c>
      <c r="E4467">
        <v>0.50774849999999905</v>
      </c>
      <c r="F4467" t="s">
        <v>42</v>
      </c>
      <c r="G4467">
        <v>-415.47379999999998</v>
      </c>
      <c r="H4467" s="1">
        <v>-2.7068949999999999E-6</v>
      </c>
      <c r="I4467">
        <v>64.063490000000002</v>
      </c>
      <c r="J4467">
        <v>-420.24509999999998</v>
      </c>
      <c r="K4467">
        <v>1.1091899999999999</v>
      </c>
      <c r="L4467">
        <v>103.9391</v>
      </c>
      <c r="M4467">
        <v>-0.12606600000000001</v>
      </c>
      <c r="N4467">
        <v>-1.164858E-2</v>
      </c>
      <c r="O4467">
        <v>-0.99195339999999999</v>
      </c>
      <c r="P4467">
        <v>0.1370294</v>
      </c>
      <c r="Q4467">
        <v>-2.2052599999999999E-2</v>
      </c>
      <c r="R4467">
        <v>-0.99032160000000002</v>
      </c>
      <c r="S4467">
        <v>0.35110469999999999</v>
      </c>
      <c r="T4467">
        <v>-8.2261089999999995E-2</v>
      </c>
      <c r="U4467">
        <v>-2.979034</v>
      </c>
      <c r="V4467">
        <v>-0.260797</v>
      </c>
      <c r="W4467">
        <v>-1.065085E-2</v>
      </c>
      <c r="X4467">
        <v>0.96533500000000005</v>
      </c>
      <c r="Y4467">
        <v>-0.24125360000000001</v>
      </c>
      <c r="Z4467">
        <v>1.5038549999999999E-2</v>
      </c>
      <c r="AA4467">
        <v>0.97034560000000003</v>
      </c>
      <c r="AB4467">
        <v>29</v>
      </c>
      <c r="AC4467">
        <v>4.7712999999999903</v>
      </c>
      <c r="AD4467">
        <v>-1.1091927068949901</v>
      </c>
      <c r="AE4467">
        <v>-39.875610000000002</v>
      </c>
      <c r="AF4467">
        <v>-9.75308883704054</v>
      </c>
      <c r="AG4467">
        <v>-1.1091927068949901</v>
      </c>
      <c r="AH4467">
        <v>38.926199794611499</v>
      </c>
      <c r="AI4467">
        <v>91.583273711224606</v>
      </c>
      <c r="AJ4467">
        <v>104.066077942505</v>
      </c>
      <c r="AK4467">
        <v>40.144764051794503</v>
      </c>
      <c r="AL4467">
        <v>90.610260237319906</v>
      </c>
      <c r="AM4467">
        <v>105.118235177922</v>
      </c>
      <c r="AN4467">
        <v>1.0000000890198499</v>
      </c>
    </row>
    <row r="4468" spans="1:40" x14ac:dyDescent="0.25">
      <c r="A4468" t="str">
        <f>"20190305135919207"</f>
        <v>20190305135919207</v>
      </c>
      <c r="B4468" t="str">
        <f>"1551765559203609"</f>
        <v>1551765559203609</v>
      </c>
      <c r="C4468" t="s">
        <v>40</v>
      </c>
      <c r="D4468">
        <v>3.7887529999999998</v>
      </c>
      <c r="E4468">
        <v>0.50745209999999996</v>
      </c>
      <c r="F4468" t="s">
        <v>42</v>
      </c>
      <c r="G4468">
        <v>-415.90300000000002</v>
      </c>
      <c r="H4468" s="1">
        <v>-3.7881650000000001E-6</v>
      </c>
      <c r="I4468">
        <v>66.769030000000001</v>
      </c>
      <c r="J4468">
        <v>-420.28219999999999</v>
      </c>
      <c r="K4468">
        <v>1.1092439999999999</v>
      </c>
      <c r="L4468">
        <v>103.64919999999999</v>
      </c>
      <c r="M4468">
        <v>-0.12620410000000001</v>
      </c>
      <c r="N4468">
        <v>-1.1577779999999999E-2</v>
      </c>
      <c r="O4468">
        <v>-0.99193699999999996</v>
      </c>
      <c r="P4468">
        <v>0.13515779999999999</v>
      </c>
      <c r="Q4468">
        <v>-2.367406E-2</v>
      </c>
      <c r="R4468">
        <v>-0.99054169999999997</v>
      </c>
      <c r="S4468">
        <v>0.34802250000000001</v>
      </c>
      <c r="T4468">
        <v>-8.8902120000000001E-2</v>
      </c>
      <c r="U4468">
        <v>-2.979187</v>
      </c>
      <c r="V4468">
        <v>-0.25910119999999998</v>
      </c>
      <c r="W4468">
        <v>-1.238268E-2</v>
      </c>
      <c r="X4468">
        <v>0.96577080000000004</v>
      </c>
      <c r="Y4468">
        <v>-0.2403856</v>
      </c>
      <c r="Z4468">
        <v>1.7273279999999998E-2</v>
      </c>
      <c r="AA4468">
        <v>0.97052380000000005</v>
      </c>
      <c r="AB4468">
        <v>29</v>
      </c>
      <c r="AC4468">
        <v>4.37919999999996</v>
      </c>
      <c r="AD4468">
        <v>-1.109247788165</v>
      </c>
      <c r="AE4468">
        <v>-36.8801699999999</v>
      </c>
      <c r="AF4468">
        <v>-8.9908995697858494</v>
      </c>
      <c r="AG4468">
        <v>-1.109247788165</v>
      </c>
      <c r="AH4468">
        <v>36.000423391960503</v>
      </c>
      <c r="AI4468">
        <v>91.712284509755705</v>
      </c>
      <c r="AJ4468">
        <v>104.02245245059299</v>
      </c>
      <c r="AK4468">
        <v>37.122731447590702</v>
      </c>
      <c r="AL4468">
        <v>90.709493434782004</v>
      </c>
      <c r="AM4468">
        <v>105.017915727735</v>
      </c>
      <c r="AN4468">
        <v>1.0000000003690299</v>
      </c>
    </row>
    <row r="4469" spans="1:40" x14ac:dyDescent="0.25">
      <c r="A4469" t="str">
        <f>"20190305135919230"</f>
        <v>20190305135919230</v>
      </c>
      <c r="B4469" t="str">
        <f>"1551765559223127"</f>
        <v>1551765559223127</v>
      </c>
      <c r="C4469" t="s">
        <v>40</v>
      </c>
      <c r="D4469">
        <v>3.7604829999999998</v>
      </c>
      <c r="E4469">
        <v>0.50719639999999999</v>
      </c>
      <c r="F4469" t="s">
        <v>42</v>
      </c>
      <c r="G4469">
        <v>-416.17939999999999</v>
      </c>
      <c r="H4469" s="1">
        <v>-4.33351E-6</v>
      </c>
      <c r="I4469">
        <v>68.154539999999997</v>
      </c>
      <c r="J4469">
        <v>-420.3211</v>
      </c>
      <c r="K4469">
        <v>1.109307</v>
      </c>
      <c r="L4469">
        <v>103.3446</v>
      </c>
      <c r="M4469">
        <v>-0.12624389999999999</v>
      </c>
      <c r="N4469">
        <v>-1.150175E-2</v>
      </c>
      <c r="O4469">
        <v>-0.9919327</v>
      </c>
      <c r="P4469">
        <v>0.13380810000000001</v>
      </c>
      <c r="Q4469">
        <v>-2.3911669999999999E-2</v>
      </c>
      <c r="R4469">
        <v>-0.99071900000000002</v>
      </c>
      <c r="S4469">
        <v>0.3443909</v>
      </c>
      <c r="T4469">
        <v>-9.3110559999999995E-2</v>
      </c>
      <c r="U4469">
        <v>-2.9794309999999999</v>
      </c>
      <c r="V4469">
        <v>-0.25782090000000002</v>
      </c>
      <c r="W4469">
        <v>-1.2739149999999999E-2</v>
      </c>
      <c r="X4469">
        <v>0.96610870000000004</v>
      </c>
      <c r="Y4469">
        <v>-0.2392437</v>
      </c>
      <c r="Z4469">
        <v>1.8723320000000002E-2</v>
      </c>
      <c r="AA4469">
        <v>0.97077899999999995</v>
      </c>
      <c r="AB4469">
        <v>29</v>
      </c>
      <c r="AC4469">
        <v>4.1417000000000099</v>
      </c>
      <c r="AD4469">
        <v>-1.10931133351</v>
      </c>
      <c r="AE4469">
        <v>-35.190059999999903</v>
      </c>
      <c r="AF4469">
        <v>-8.54300904882931</v>
      </c>
      <c r="AG4469">
        <v>-1.10931133351</v>
      </c>
      <c r="AH4469">
        <v>34.351906330287797</v>
      </c>
      <c r="AI4469">
        <v>91.794949016376705</v>
      </c>
      <c r="AJ4469">
        <v>103.965631959992</v>
      </c>
      <c r="AK4469">
        <v>35.415632759671297</v>
      </c>
      <c r="AL4469">
        <v>90.729919301334704</v>
      </c>
      <c r="AM4469">
        <v>104.94204259019099</v>
      </c>
      <c r="AN4469">
        <v>0.99999996131761004</v>
      </c>
    </row>
    <row r="4470" spans="1:40" x14ac:dyDescent="0.25">
      <c r="A4470" t="str">
        <f>"20190305135919251"</f>
        <v>20190305135919251</v>
      </c>
      <c r="B4470" t="str">
        <f>"1551765559243158"</f>
        <v>1551765559243158</v>
      </c>
      <c r="C4470" t="s">
        <v>40</v>
      </c>
      <c r="D4470">
        <v>3.7202570000000001</v>
      </c>
      <c r="E4470">
        <v>0.50713279999999905</v>
      </c>
      <c r="F4470" t="s">
        <v>42</v>
      </c>
      <c r="G4470">
        <v>-416.25670000000002</v>
      </c>
      <c r="H4470" s="1">
        <v>-4.2449120000000001E-6</v>
      </c>
      <c r="I4470">
        <v>67.979979999999998</v>
      </c>
      <c r="J4470">
        <v>-420.35750000000002</v>
      </c>
      <c r="K4470">
        <v>1.1093820000000001</v>
      </c>
      <c r="L4470">
        <v>103.05800000000001</v>
      </c>
      <c r="M4470">
        <v>-0.1261582</v>
      </c>
      <c r="N4470">
        <v>-1.1431800000000001E-2</v>
      </c>
      <c r="O4470">
        <v>-0.99194459999999995</v>
      </c>
      <c r="P4470">
        <v>0.13340360000000001</v>
      </c>
      <c r="Q4470">
        <v>-2.2962750000000001E-2</v>
      </c>
      <c r="R4470">
        <v>-0.99079609999999996</v>
      </c>
      <c r="S4470">
        <v>0.34243770000000001</v>
      </c>
      <c r="T4470">
        <v>-9.3463900000000003E-2</v>
      </c>
      <c r="U4470">
        <v>-2.9796140000000002</v>
      </c>
      <c r="V4470">
        <v>-0.25734299999999999</v>
      </c>
      <c r="W4470">
        <v>-1.191058E-2</v>
      </c>
      <c r="X4470">
        <v>0.96624670000000001</v>
      </c>
      <c r="Y4470">
        <v>-0.23852490000000001</v>
      </c>
      <c r="Z4470">
        <v>1.8911790000000001E-2</v>
      </c>
      <c r="AA4470">
        <v>0.97095220000000004</v>
      </c>
      <c r="AB4470">
        <v>29</v>
      </c>
      <c r="AC4470">
        <v>4.1007999999999898</v>
      </c>
      <c r="AD4470">
        <v>-1.10938624491199</v>
      </c>
      <c r="AE4470">
        <v>-35.078019999999903</v>
      </c>
      <c r="AF4470">
        <v>-8.4853257067599994</v>
      </c>
      <c r="AG4470">
        <v>-1.10938624491199</v>
      </c>
      <c r="AH4470">
        <v>34.246539360581998</v>
      </c>
      <c r="AI4470">
        <v>91.800976234909598</v>
      </c>
      <c r="AJ4470">
        <v>103.916022383485</v>
      </c>
      <c r="AK4470">
        <v>35.299531843440803</v>
      </c>
      <c r="AL4470">
        <v>90.682442112945793</v>
      </c>
      <c r="AM4470">
        <v>104.913546057826</v>
      </c>
      <c r="AN4470">
        <v>0.99999998341291296</v>
      </c>
    </row>
    <row r="4471" spans="1:40" x14ac:dyDescent="0.25">
      <c r="A4471" t="str">
        <f>"20190305135919274"</f>
        <v>20190305135919274</v>
      </c>
      <c r="B4471" t="str">
        <f>"1551765559263654"</f>
        <v>1551765559263654</v>
      </c>
      <c r="C4471" t="s">
        <v>40</v>
      </c>
      <c r="D4471">
        <v>3.682804</v>
      </c>
      <c r="E4471">
        <v>0.50727330000000004</v>
      </c>
      <c r="F4471" t="s">
        <v>42</v>
      </c>
      <c r="G4471">
        <v>-416.10820000000001</v>
      </c>
      <c r="H4471" s="1">
        <v>-3.447263E-6</v>
      </c>
      <c r="I4471">
        <v>66.059219999999996</v>
      </c>
      <c r="J4471">
        <v>-420.3931</v>
      </c>
      <c r="K4471">
        <v>1.1094809999999999</v>
      </c>
      <c r="L4471">
        <v>102.7775</v>
      </c>
      <c r="M4471">
        <v>-0.1259323</v>
      </c>
      <c r="N4471">
        <v>-1.136538E-2</v>
      </c>
      <c r="O4471">
        <v>-0.99197389999999996</v>
      </c>
      <c r="P4471">
        <v>0.1332536</v>
      </c>
      <c r="Q4471">
        <v>-2.1992479999999998E-2</v>
      </c>
      <c r="R4471">
        <v>-0.99083810000000005</v>
      </c>
      <c r="S4471">
        <v>0.34222409999999998</v>
      </c>
      <c r="T4471">
        <v>-8.9344740000000006E-2</v>
      </c>
      <c r="U4471">
        <v>-2.9797060000000002</v>
      </c>
      <c r="V4471">
        <v>-0.25697639999999999</v>
      </c>
      <c r="W4471">
        <v>-1.106994E-2</v>
      </c>
      <c r="X4471">
        <v>0.9663543</v>
      </c>
      <c r="Y4471">
        <v>-0.2382367</v>
      </c>
      <c r="Z4471">
        <v>1.764048E-2</v>
      </c>
      <c r="AA4471">
        <v>0.97104690000000005</v>
      </c>
      <c r="AB4471">
        <v>29</v>
      </c>
      <c r="AC4471">
        <v>4.2848999999999897</v>
      </c>
      <c r="AD4471">
        <v>-1.1094844472630001</v>
      </c>
      <c r="AE4471">
        <v>-36.71828</v>
      </c>
      <c r="AF4471">
        <v>-8.8671111231784199</v>
      </c>
      <c r="AG4471">
        <v>-1.1094844472630001</v>
      </c>
      <c r="AH4471">
        <v>35.853984511813302</v>
      </c>
      <c r="AI4471">
        <v>91.7206192411995</v>
      </c>
      <c r="AJ4471">
        <v>103.89118616278201</v>
      </c>
      <c r="AK4471">
        <v>36.950843302729403</v>
      </c>
      <c r="AL4471">
        <v>90.634273781414805</v>
      </c>
      <c r="AM4471">
        <v>104.891660980823</v>
      </c>
      <c r="AN4471">
        <v>1.00000002342852</v>
      </c>
    </row>
    <row r="4472" spans="1:40" x14ac:dyDescent="0.25">
      <c r="A4472" t="str">
        <f>"20190305135919296"</f>
        <v>20190305135919296</v>
      </c>
      <c r="B4472" t="str">
        <f>"1551765559293907"</f>
        <v>1551765559293907</v>
      </c>
      <c r="C4472" t="s">
        <v>40</v>
      </c>
      <c r="D4472">
        <v>3.6706590000000001</v>
      </c>
      <c r="E4472">
        <v>0.51255079999999997</v>
      </c>
      <c r="F4472" t="s">
        <v>42</v>
      </c>
      <c r="G4472">
        <v>-415.83409999999998</v>
      </c>
      <c r="H4472" s="1">
        <v>-2.2187980000000002E-6</v>
      </c>
      <c r="I4472">
        <v>62.910939999999997</v>
      </c>
      <c r="J4472">
        <v>-420.4298</v>
      </c>
      <c r="K4472">
        <v>1.109604</v>
      </c>
      <c r="L4472">
        <v>102.4862</v>
      </c>
      <c r="M4472">
        <v>-0.12552779999999999</v>
      </c>
      <c r="N4472">
        <v>-1.130215E-2</v>
      </c>
      <c r="O4472">
        <v>-0.99202590000000002</v>
      </c>
      <c r="P4472">
        <v>0.132264299999999</v>
      </c>
      <c r="Q4472">
        <v>-2.1416500000000002E-2</v>
      </c>
      <c r="R4472">
        <v>-0.99098319999999995</v>
      </c>
      <c r="S4472">
        <v>0.34078979999999998</v>
      </c>
      <c r="T4472">
        <v>-8.2935209999999995E-2</v>
      </c>
      <c r="U4472">
        <v>-2.9800719999999998</v>
      </c>
      <c r="V4472">
        <v>-0.25561620000000002</v>
      </c>
      <c r="W4472">
        <v>-1.0634920000000001E-2</v>
      </c>
      <c r="X4472">
        <v>0.96671989999999997</v>
      </c>
      <c r="Y4472">
        <v>-0.2373731</v>
      </c>
      <c r="Z4472">
        <v>1.562184E-2</v>
      </c>
      <c r="AA4472">
        <v>0.97129299999999996</v>
      </c>
      <c r="AB4472">
        <v>29</v>
      </c>
      <c r="AC4472">
        <v>4.5957000000000203</v>
      </c>
      <c r="AD4472">
        <v>-1.109606218798</v>
      </c>
      <c r="AE4472">
        <v>-39.575259999999901</v>
      </c>
      <c r="AF4472">
        <v>-9.5200712357100201</v>
      </c>
      <c r="AG4472">
        <v>-1.109606218798</v>
      </c>
      <c r="AH4472">
        <v>38.655275401817903</v>
      </c>
      <c r="AI4472">
        <v>91.596553047827697</v>
      </c>
      <c r="AJ4472">
        <v>103.83553580126301</v>
      </c>
      <c r="AK4472">
        <v>39.825786855807102</v>
      </c>
      <c r="AL4472">
        <v>90.609347485190895</v>
      </c>
      <c r="AM4472">
        <v>104.81095689563401</v>
      </c>
      <c r="AN4472">
        <v>1.00000005414092</v>
      </c>
    </row>
    <row r="4473" spans="1:40" x14ac:dyDescent="0.25">
      <c r="A4473" t="str">
        <f>"20190305135919320"</f>
        <v>20190305135919320</v>
      </c>
      <c r="B4473" t="str">
        <f>"1551765559313426"</f>
        <v>1551765559313426</v>
      </c>
      <c r="C4473" t="s">
        <v>40</v>
      </c>
      <c r="D4473">
        <v>3.63652</v>
      </c>
      <c r="E4473">
        <v>0.50668340000000001</v>
      </c>
      <c r="F4473" t="s">
        <v>83</v>
      </c>
      <c r="G4473">
        <v>-409.995</v>
      </c>
      <c r="H4473">
        <v>2.79996</v>
      </c>
      <c r="I4473">
        <v>0.57914540000000003</v>
      </c>
      <c r="J4473">
        <v>-420.4665</v>
      </c>
      <c r="K4473">
        <v>1.1097509999999999</v>
      </c>
      <c r="L4473">
        <v>102.1914</v>
      </c>
      <c r="M4473">
        <v>-0.1249178</v>
      </c>
      <c r="N4473">
        <v>-1.1244799999999999E-2</v>
      </c>
      <c r="O4473">
        <v>-0.99210350000000003</v>
      </c>
      <c r="P4473">
        <v>0.1313378</v>
      </c>
      <c r="Q4473">
        <v>-2.0716769999999999E-2</v>
      </c>
      <c r="R4473">
        <v>-0.99112129999999998</v>
      </c>
      <c r="S4473">
        <v>0.30590820000000002</v>
      </c>
      <c r="T4473">
        <v>4.9554590000000003E-2</v>
      </c>
      <c r="U4473">
        <v>-2.987549</v>
      </c>
      <c r="V4473">
        <v>-0.25411640000000002</v>
      </c>
      <c r="W4473">
        <v>-1.008305E-2</v>
      </c>
      <c r="X4473">
        <v>0.96712109999999996</v>
      </c>
      <c r="Y4473">
        <v>-0.22530749999999999</v>
      </c>
      <c r="Z4473">
        <v>-2.7448500000000001E-2</v>
      </c>
      <c r="AA4473">
        <v>0.97390100000000002</v>
      </c>
      <c r="AB4473">
        <v>29</v>
      </c>
      <c r="AC4473">
        <v>10.471499999999899</v>
      </c>
      <c r="AD4473">
        <v>1.6902090000000001</v>
      </c>
      <c r="AE4473">
        <v>-101.6122546</v>
      </c>
      <c r="AF4473">
        <v>-23.077129534699701</v>
      </c>
      <c r="AG4473">
        <v>1.6902090000000001</v>
      </c>
      <c r="AH4473">
        <v>99.480839472756998</v>
      </c>
      <c r="AI4473">
        <v>89.051795005659898</v>
      </c>
      <c r="AJ4473">
        <v>103.060225615742</v>
      </c>
      <c r="AK4473">
        <v>102.13641924519099</v>
      </c>
      <c r="AL4473">
        <v>90.577725989238701</v>
      </c>
      <c r="AM4473">
        <v>104.721999069329</v>
      </c>
      <c r="AN4473">
        <v>1.00000001735573</v>
      </c>
    </row>
    <row r="4474" spans="1:40" x14ac:dyDescent="0.25">
      <c r="A4474" t="str">
        <f>"20190305135919342"</f>
        <v>20190305135919342</v>
      </c>
      <c r="B4474" t="str">
        <f>"1551765559333922"</f>
        <v>1551765559333922</v>
      </c>
      <c r="C4474" t="s">
        <v>40</v>
      </c>
      <c r="D4474">
        <v>3.6161799999999999</v>
      </c>
      <c r="E4474">
        <v>0.50295820000000002</v>
      </c>
      <c r="F4474" t="s">
        <v>83</v>
      </c>
      <c r="G4474">
        <v>-408.56580000000002</v>
      </c>
      <c r="H4474">
        <v>2.6399970000000001</v>
      </c>
      <c r="I4474">
        <v>0.59367939999999997</v>
      </c>
      <c r="J4474">
        <v>-420.5043</v>
      </c>
      <c r="K4474">
        <v>1.10991</v>
      </c>
      <c r="L4474">
        <v>101.8845</v>
      </c>
      <c r="M4474">
        <v>-0.1240385</v>
      </c>
      <c r="N4474">
        <v>-1.1185550000000001E-2</v>
      </c>
      <c r="O4474">
        <v>-0.9922147</v>
      </c>
      <c r="P4474">
        <v>0.1306542</v>
      </c>
      <c r="Q4474">
        <v>-1.9929490000000001E-2</v>
      </c>
      <c r="R4474">
        <v>-0.991228</v>
      </c>
      <c r="S4474">
        <v>0.34924319999999998</v>
      </c>
      <c r="T4474">
        <v>4.4906740000000001E-2</v>
      </c>
      <c r="U4474">
        <v>-2.9815369999999999</v>
      </c>
      <c r="V4474">
        <v>-0.2525907</v>
      </c>
      <c r="W4474">
        <v>-9.4544239999999995E-3</v>
      </c>
      <c r="X4474">
        <v>0.96752700000000003</v>
      </c>
      <c r="Y4474">
        <v>-0.23861089999999999</v>
      </c>
      <c r="Z4474">
        <v>-2.5882459999999999E-2</v>
      </c>
      <c r="AA4474">
        <v>0.97077029999999997</v>
      </c>
      <c r="AB4474">
        <v>30</v>
      </c>
      <c r="AC4474">
        <v>11.9384999999999</v>
      </c>
      <c r="AD4474">
        <v>1.530087</v>
      </c>
      <c r="AE4474">
        <v>-101.29082059999899</v>
      </c>
      <c r="AF4474">
        <v>-24.4055428057451</v>
      </c>
      <c r="AG4474">
        <v>1.530087</v>
      </c>
      <c r="AH4474">
        <v>99.005286971026706</v>
      </c>
      <c r="AI4474">
        <v>89.140317677425699</v>
      </c>
      <c r="AJ4474">
        <v>103.847753034731</v>
      </c>
      <c r="AK4474">
        <v>101.98048114264699</v>
      </c>
      <c r="AL4474">
        <v>90.541706678588497</v>
      </c>
      <c r="AM4474">
        <v>104.63153854438499</v>
      </c>
      <c r="AN4474">
        <v>0.99999997179432998</v>
      </c>
    </row>
    <row r="4475" spans="1:40" x14ac:dyDescent="0.25">
      <c r="A4475" t="str">
        <f>"20190305135919363"</f>
        <v>20190305135919363</v>
      </c>
      <c r="B4475" t="str">
        <f>"1551765559353949"</f>
        <v>1551765559353949</v>
      </c>
      <c r="C4475" t="s">
        <v>40</v>
      </c>
      <c r="D4475">
        <v>3.6547900000000002</v>
      </c>
      <c r="E4475">
        <v>0.50100889999999998</v>
      </c>
      <c r="F4475" t="s">
        <v>83</v>
      </c>
      <c r="G4475">
        <v>-407.70269999999999</v>
      </c>
      <c r="H4475">
        <v>2.5110070000000002</v>
      </c>
      <c r="I4475">
        <v>0.60245899999999997</v>
      </c>
      <c r="J4475">
        <v>-420.53879999999998</v>
      </c>
      <c r="K4475">
        <v>1.1100429999999999</v>
      </c>
      <c r="L4475">
        <v>101.6011</v>
      </c>
      <c r="M4475">
        <v>-0.12305720000000001</v>
      </c>
      <c r="N4475">
        <v>-1.113482E-2</v>
      </c>
      <c r="O4475">
        <v>-0.99233700000000002</v>
      </c>
      <c r="P4475">
        <v>0.13008110000000001</v>
      </c>
      <c r="Q4475">
        <v>-2.0900729999999999E-2</v>
      </c>
      <c r="R4475">
        <v>-0.99128300000000003</v>
      </c>
      <c r="S4475">
        <v>0.37637330000000002</v>
      </c>
      <c r="T4475">
        <v>4.1192289999999999E-2</v>
      </c>
      <c r="U4475">
        <v>-2.9777529999999999</v>
      </c>
      <c r="V4475">
        <v>-0.25106659999999997</v>
      </c>
      <c r="W4475">
        <v>-1.0557779999999999E-2</v>
      </c>
      <c r="X4475">
        <v>0.96791229999999995</v>
      </c>
      <c r="Y4475">
        <v>-0.24650279999999999</v>
      </c>
      <c r="Z4475">
        <v>-2.4626970000000001E-2</v>
      </c>
      <c r="AA4475">
        <v>0.9688291</v>
      </c>
      <c r="AB4475">
        <v>30</v>
      </c>
      <c r="AC4475">
        <v>12.836099999999901</v>
      </c>
      <c r="AD4475">
        <v>1.4009639999999901</v>
      </c>
      <c r="AE4475">
        <v>-100.99864100000001</v>
      </c>
      <c r="AF4475">
        <v>-25.163145328512002</v>
      </c>
      <c r="AG4475">
        <v>1.4009639999999901</v>
      </c>
      <c r="AH4475">
        <v>98.632564493688804</v>
      </c>
      <c r="AI4475">
        <v>89.211485877648698</v>
      </c>
      <c r="AJ4475">
        <v>104.31201035807101</v>
      </c>
      <c r="AK4475">
        <v>101.80142121579</v>
      </c>
      <c r="AL4475">
        <v>90.604927435833304</v>
      </c>
      <c r="AM4475">
        <v>104.54146444697599</v>
      </c>
      <c r="AN4475">
        <v>1.0000000624226799</v>
      </c>
    </row>
    <row r="4476" spans="1:40" x14ac:dyDescent="0.25">
      <c r="A4476" t="str">
        <f>"20190305135919386"</f>
        <v>20190305135919386</v>
      </c>
      <c r="B4476" t="str">
        <f>"1551765559373470"</f>
        <v>1551765559373470</v>
      </c>
      <c r="C4476" t="s">
        <v>40</v>
      </c>
      <c r="D4476">
        <v>3.6442580000000002</v>
      </c>
      <c r="E4476">
        <v>0.4998282</v>
      </c>
      <c r="F4476" t="s">
        <v>83</v>
      </c>
      <c r="G4476">
        <v>-407.3082</v>
      </c>
      <c r="H4476">
        <v>2.3394370000000002</v>
      </c>
      <c r="I4476">
        <v>0.60647010000000001</v>
      </c>
      <c r="J4476">
        <v>-420.57369999999997</v>
      </c>
      <c r="K4476">
        <v>1.1101650000000001</v>
      </c>
      <c r="L4476">
        <v>101.31019999999999</v>
      </c>
      <c r="M4476">
        <v>-0.1218742</v>
      </c>
      <c r="N4476">
        <v>-1.108872E-2</v>
      </c>
      <c r="O4476">
        <v>-0.99248389999999997</v>
      </c>
      <c r="P4476">
        <v>0.12880129999999901</v>
      </c>
      <c r="Q4476">
        <v>-2.1576629999999999E-2</v>
      </c>
      <c r="R4476">
        <v>-0.99143610000000004</v>
      </c>
      <c r="S4476">
        <v>0.38986209999999999</v>
      </c>
      <c r="T4476">
        <v>3.6225319999999998E-2</v>
      </c>
      <c r="U4476">
        <v>-2.9759829999999998</v>
      </c>
      <c r="V4476">
        <v>-0.2486563</v>
      </c>
      <c r="W4476">
        <v>-1.134917E-2</v>
      </c>
      <c r="X4476">
        <v>0.96852530000000003</v>
      </c>
      <c r="Y4476">
        <v>-0.2497405</v>
      </c>
      <c r="Z4476">
        <v>-2.2967930000000001E-2</v>
      </c>
      <c r="AA4476">
        <v>0.96804040000000002</v>
      </c>
      <c r="AB4476">
        <v>30</v>
      </c>
      <c r="AC4476">
        <v>13.2654999999999</v>
      </c>
      <c r="AD4476">
        <v>1.2292719999999899</v>
      </c>
      <c r="AE4476">
        <v>-100.7037299</v>
      </c>
      <c r="AF4476">
        <v>-25.436812945240401</v>
      </c>
      <c r="AG4476">
        <v>1.2292719999999899</v>
      </c>
      <c r="AH4476">
        <v>98.321725461643894</v>
      </c>
      <c r="AI4476">
        <v>89.3065234434074</v>
      </c>
      <c r="AJ4476">
        <v>104.50496261475701</v>
      </c>
      <c r="AK4476">
        <v>101.566255519321</v>
      </c>
      <c r="AL4476">
        <v>90.650273496907602</v>
      </c>
      <c r="AM4476">
        <v>104.39896044525</v>
      </c>
      <c r="AN4476">
        <v>1.00000000796473</v>
      </c>
    </row>
    <row r="4477" spans="1:40" x14ac:dyDescent="0.25">
      <c r="A4477" t="str">
        <f>"20190305135919409"</f>
        <v>20190305135919409</v>
      </c>
      <c r="B4477" t="str">
        <f>"1551765559403726"</f>
        <v>1551765559403726</v>
      </c>
      <c r="C4477" t="s">
        <v>40</v>
      </c>
      <c r="D4477">
        <v>3.6516769999999998</v>
      </c>
      <c r="E4477">
        <v>0.49837740000000003</v>
      </c>
      <c r="F4477" t="s">
        <v>83</v>
      </c>
      <c r="G4477">
        <v>-407.19850000000002</v>
      </c>
      <c r="H4477">
        <v>2.213263</v>
      </c>
      <c r="I4477">
        <v>0.60758400000000001</v>
      </c>
      <c r="J4477">
        <v>-420.60969999999998</v>
      </c>
      <c r="K4477">
        <v>1.1102909999999999</v>
      </c>
      <c r="L4477">
        <v>101.0051</v>
      </c>
      <c r="M4477">
        <v>-0.1204479</v>
      </c>
      <c r="N4477">
        <v>-1.104599E-2</v>
      </c>
      <c r="O4477">
        <v>-0.99265809999999999</v>
      </c>
      <c r="P4477">
        <v>0.12680749999999999</v>
      </c>
      <c r="Q4477">
        <v>-2.2420450000000001E-2</v>
      </c>
      <c r="R4477">
        <v>-0.99167400000000006</v>
      </c>
      <c r="S4477">
        <v>0.39517210000000003</v>
      </c>
      <c r="T4477">
        <v>3.2590389999999997E-2</v>
      </c>
      <c r="U4477">
        <v>-2.9752809999999998</v>
      </c>
      <c r="V4477">
        <v>-0.24530840000000001</v>
      </c>
      <c r="W4477">
        <v>-1.229767E-2</v>
      </c>
      <c r="X4477">
        <v>0.96936710000000004</v>
      </c>
      <c r="Y4477">
        <v>-0.25007859999999998</v>
      </c>
      <c r="Z4477">
        <v>-2.1745799999999999E-2</v>
      </c>
      <c r="AA4477">
        <v>0.96798130000000004</v>
      </c>
      <c r="AB4477">
        <v>30</v>
      </c>
      <c r="AC4477">
        <v>13.4111999999999</v>
      </c>
      <c r="AD4477">
        <v>1.1029719999999901</v>
      </c>
      <c r="AE4477">
        <v>-100.397516</v>
      </c>
      <c r="AF4477">
        <v>-25.403946355811001</v>
      </c>
      <c r="AG4477">
        <v>1.1029719999999901</v>
      </c>
      <c r="AH4477">
        <v>98.039422439100093</v>
      </c>
      <c r="AI4477">
        <v>89.376038357855904</v>
      </c>
      <c r="AJ4477">
        <v>104.526962626375</v>
      </c>
      <c r="AK4477">
        <v>101.283292747985</v>
      </c>
      <c r="AL4477">
        <v>90.704622343458695</v>
      </c>
      <c r="AM4477">
        <v>104.201156225284</v>
      </c>
      <c r="AN4477">
        <v>1.0000000091801899</v>
      </c>
    </row>
    <row r="4478" spans="1:40" x14ac:dyDescent="0.25">
      <c r="A4478" t="str">
        <f>"20190305135919433"</f>
        <v>20190305135919433</v>
      </c>
      <c r="B4478" t="str">
        <f>"1551765559423246"</f>
        <v>1551765559423246</v>
      </c>
      <c r="C4478" t="s">
        <v>40</v>
      </c>
      <c r="D4478">
        <v>3.6673689999999999</v>
      </c>
      <c r="E4478">
        <v>0.49754019999999999</v>
      </c>
      <c r="F4478" t="s">
        <v>83</v>
      </c>
      <c r="G4478">
        <v>-407.09899999999999</v>
      </c>
      <c r="H4478">
        <v>1.9862040000000001</v>
      </c>
      <c r="I4478">
        <v>0.60859490000000005</v>
      </c>
      <c r="J4478">
        <v>-420.64449999999999</v>
      </c>
      <c r="K4478">
        <v>1.1104149999999999</v>
      </c>
      <c r="L4478">
        <v>100.70529999999999</v>
      </c>
      <c r="M4478">
        <v>-0.11888940000000001</v>
      </c>
      <c r="N4478">
        <v>-1.10092E-2</v>
      </c>
      <c r="O4478">
        <v>-0.99284649999999997</v>
      </c>
      <c r="P4478">
        <v>0.12486369999999999</v>
      </c>
      <c r="Q4478">
        <v>-2.2397E-2</v>
      </c>
      <c r="R4478">
        <v>-0.9919211</v>
      </c>
      <c r="S4478">
        <v>0.40029910000000002</v>
      </c>
      <c r="T4478">
        <v>2.5951149999999999E-2</v>
      </c>
      <c r="U4478">
        <v>-2.9745789999999999</v>
      </c>
      <c r="V4478">
        <v>-0.2418815</v>
      </c>
      <c r="W4478">
        <v>-1.2365330000000001E-2</v>
      </c>
      <c r="X4478">
        <v>0.97022699999999995</v>
      </c>
      <c r="Y4478">
        <v>-0.25023060000000003</v>
      </c>
      <c r="Z4478">
        <v>-1.9550620000000001E-2</v>
      </c>
      <c r="AA4478">
        <v>0.96798879999999998</v>
      </c>
      <c r="AB4478">
        <v>30</v>
      </c>
      <c r="AC4478">
        <v>13.545500000000001</v>
      </c>
      <c r="AD4478">
        <v>0.87578900000000004</v>
      </c>
      <c r="AE4478">
        <v>-100.09670509999999</v>
      </c>
      <c r="AF4478">
        <v>-25.348669375135199</v>
      </c>
      <c r="AG4478">
        <v>0.87578900000000004</v>
      </c>
      <c r="AH4478">
        <v>97.768819483796094</v>
      </c>
      <c r="AI4478">
        <v>89.503197770277694</v>
      </c>
      <c r="AJ4478">
        <v>104.53511274049499</v>
      </c>
      <c r="AK4478">
        <v>101.005267727567</v>
      </c>
      <c r="AL4478">
        <v>90.708499279650596</v>
      </c>
      <c r="AM4478">
        <v>103.998706776246</v>
      </c>
      <c r="AN4478">
        <v>0.99999999647862903</v>
      </c>
    </row>
    <row r="4479" spans="1:40" x14ac:dyDescent="0.25">
      <c r="A4479" t="str">
        <f>"20190305135919453"</f>
        <v>20190305135919453</v>
      </c>
      <c r="B4479" t="str">
        <f>"1551765559443273"</f>
        <v>1551765559443273</v>
      </c>
      <c r="C4479" t="s">
        <v>40</v>
      </c>
      <c r="D4479">
        <v>4.0028689999999996</v>
      </c>
      <c r="E4479">
        <v>0.49785360000000001</v>
      </c>
      <c r="F4479" t="s">
        <v>83</v>
      </c>
      <c r="G4479">
        <v>-407.14679999999998</v>
      </c>
      <c r="H4479">
        <v>1.8828769999999999</v>
      </c>
      <c r="I4479">
        <v>0.60811040000000005</v>
      </c>
      <c r="J4479">
        <v>-420.67649999999998</v>
      </c>
      <c r="K4479">
        <v>1.1105229999999999</v>
      </c>
      <c r="L4479">
        <v>100.425</v>
      </c>
      <c r="M4479">
        <v>-0.1173197</v>
      </c>
      <c r="N4479">
        <v>-1.0979010000000001E-2</v>
      </c>
      <c r="O4479">
        <v>-0.99303370000000002</v>
      </c>
      <c r="P4479">
        <v>0.1241276</v>
      </c>
      <c r="Q4479">
        <v>-2.1615519999999999E-2</v>
      </c>
      <c r="R4479">
        <v>-0.9920312</v>
      </c>
      <c r="S4479">
        <v>0.40109250000000002</v>
      </c>
      <c r="T4479">
        <v>2.295351E-2</v>
      </c>
      <c r="U4479">
        <v>-2.9744570000000001</v>
      </c>
      <c r="V4479">
        <v>-0.23962890000000001</v>
      </c>
      <c r="W4479">
        <v>-1.166183E-2</v>
      </c>
      <c r="X4479">
        <v>0.9707945</v>
      </c>
      <c r="Y4479">
        <v>-0.24895999999999999</v>
      </c>
      <c r="Z4479">
        <v>-1.8546460000000001E-2</v>
      </c>
      <c r="AA4479">
        <v>0.96833619999999998</v>
      </c>
      <c r="AB4479">
        <v>30</v>
      </c>
      <c r="AC4479">
        <v>13.529699999999901</v>
      </c>
      <c r="AD4479">
        <v>0.77235399999999998</v>
      </c>
      <c r="AE4479">
        <v>-99.816889599999996</v>
      </c>
      <c r="AF4479">
        <v>-25.145968099569298</v>
      </c>
      <c r="AG4479">
        <v>0.77235399999999998</v>
      </c>
      <c r="AH4479">
        <v>97.534360938321598</v>
      </c>
      <c r="AI4479">
        <v>89.560662080965599</v>
      </c>
      <c r="AJ4479">
        <v>104.45697059262299</v>
      </c>
      <c r="AK4479">
        <v>100.726698575961</v>
      </c>
      <c r="AL4479">
        <v>90.668188796685897</v>
      </c>
      <c r="AM4479">
        <v>103.865600727678</v>
      </c>
      <c r="AN4479">
        <v>0.99999998461220396</v>
      </c>
    </row>
    <row r="4480" spans="1:40" x14ac:dyDescent="0.25">
      <c r="A4480" t="str">
        <f>"20190305135919475"</f>
        <v>20190305135919475</v>
      </c>
      <c r="B4480" t="str">
        <f>"1551765559463769"</f>
        <v>1551765559463769</v>
      </c>
      <c r="C4480" t="s">
        <v>40</v>
      </c>
      <c r="D4480">
        <v>3.6730710000000002</v>
      </c>
      <c r="E4480">
        <v>0.53542509999999999</v>
      </c>
      <c r="F4480" t="s">
        <v>83</v>
      </c>
      <c r="G4480">
        <v>-407.38889999999998</v>
      </c>
      <c r="H4480">
        <v>1.8605320000000001</v>
      </c>
      <c r="I4480">
        <v>0.60564609999999997</v>
      </c>
      <c r="J4480">
        <v>-420.70890000000003</v>
      </c>
      <c r="K4480">
        <v>1.110617</v>
      </c>
      <c r="L4480">
        <v>100.1369</v>
      </c>
      <c r="M4480">
        <v>-0.1156257</v>
      </c>
      <c r="N4480">
        <v>-1.094694E-2</v>
      </c>
      <c r="O4480">
        <v>-0.99323269999999997</v>
      </c>
      <c r="P4480">
        <v>0.12431150000000001</v>
      </c>
      <c r="Q4480">
        <v>-1.9458570000000001E-2</v>
      </c>
      <c r="R4480">
        <v>-0.99205279999999996</v>
      </c>
      <c r="S4480">
        <v>0.39602660000000001</v>
      </c>
      <c r="T4480">
        <v>2.235258E-2</v>
      </c>
      <c r="U4480">
        <v>-2.9750369999999999</v>
      </c>
      <c r="V4480">
        <v>-0.23816229999999999</v>
      </c>
      <c r="W4480">
        <v>-9.5782939999999994E-3</v>
      </c>
      <c r="X4480">
        <v>0.97117810000000004</v>
      </c>
      <c r="Y4480">
        <v>-0.24566209999999999</v>
      </c>
      <c r="Z4480">
        <v>-1.8320759999999998E-2</v>
      </c>
      <c r="AA4480">
        <v>0.9691824</v>
      </c>
      <c r="AB4480">
        <v>30</v>
      </c>
      <c r="AC4480">
        <v>13.32</v>
      </c>
      <c r="AD4480">
        <v>0.749915</v>
      </c>
      <c r="AE4480">
        <v>-99.531253899999996</v>
      </c>
      <c r="AF4480">
        <v>-24.738329082651301</v>
      </c>
      <c r="AG4480">
        <v>0.749915</v>
      </c>
      <c r="AH4480">
        <v>97.317949660752504</v>
      </c>
      <c r="AI4480">
        <v>89.572105498083403</v>
      </c>
      <c r="AJ4480">
        <v>104.262564310187</v>
      </c>
      <c r="AK4480">
        <v>100.41578872110399</v>
      </c>
      <c r="AL4480">
        <v>90.548804233003096</v>
      </c>
      <c r="AM4480">
        <v>103.77874822518299</v>
      </c>
      <c r="AN4480">
        <v>0.99999996338842401</v>
      </c>
    </row>
    <row r="4481" spans="1:40" x14ac:dyDescent="0.25">
      <c r="A4481" t="str">
        <f>"20190305135919497"</f>
        <v>20190305135919497</v>
      </c>
      <c r="B4481" t="str">
        <f>"1551765559493049"</f>
        <v>1551765559493049</v>
      </c>
      <c r="C4481" t="s">
        <v>40</v>
      </c>
      <c r="D4481">
        <v>3.6568800000000001</v>
      </c>
      <c r="E4481">
        <v>0.60402670000000003</v>
      </c>
      <c r="F4481" t="s">
        <v>83</v>
      </c>
      <c r="G4481">
        <v>-417.49770000000001</v>
      </c>
      <c r="H4481">
        <v>1.4354089999999999</v>
      </c>
      <c r="I4481">
        <v>0.50283999999999995</v>
      </c>
      <c r="J4481">
        <v>-420.74110000000002</v>
      </c>
      <c r="K4481">
        <v>1.1106799999999999</v>
      </c>
      <c r="L4481">
        <v>99.844179999999994</v>
      </c>
      <c r="M4481">
        <v>-0.1138489</v>
      </c>
      <c r="N4481">
        <v>-1.091465E-2</v>
      </c>
      <c r="O4481">
        <v>-0.99343820000000005</v>
      </c>
      <c r="P4481">
        <v>0.12446649999999999</v>
      </c>
      <c r="Q4481">
        <v>-1.681558E-2</v>
      </c>
      <c r="R4481">
        <v>-0.99208160000000001</v>
      </c>
      <c r="S4481">
        <v>9.7076419999999997E-2</v>
      </c>
      <c r="T4481">
        <v>9.8180769999999997E-3</v>
      </c>
      <c r="U4481">
        <v>-3.012054</v>
      </c>
      <c r="V4481">
        <v>-0.2365893</v>
      </c>
      <c r="W4481">
        <v>-6.9939399999999997E-3</v>
      </c>
      <c r="X4481">
        <v>0.97158460000000002</v>
      </c>
      <c r="Y4481">
        <v>-0.14579029999999901</v>
      </c>
      <c r="Z4481">
        <v>-1.414402E-2</v>
      </c>
      <c r="AA4481">
        <v>0.98921440000000005</v>
      </c>
      <c r="AB4481">
        <v>30</v>
      </c>
      <c r="AC4481">
        <v>3.2433999999999998</v>
      </c>
      <c r="AD4481">
        <v>0.32472899999999999</v>
      </c>
      <c r="AE4481">
        <v>-99.341340000000002</v>
      </c>
      <c r="AF4481">
        <v>-14.5327291416111</v>
      </c>
      <c r="AG4481">
        <v>0.32472899999999999</v>
      </c>
      <c r="AH4481">
        <v>98.325024107710504</v>
      </c>
      <c r="AI4481">
        <v>89.812808796278702</v>
      </c>
      <c r="AJ4481">
        <v>98.407614723976195</v>
      </c>
      <c r="AK4481">
        <v>99.393742413739105</v>
      </c>
      <c r="AL4481">
        <v>90.400726501726098</v>
      </c>
      <c r="AM4481">
        <v>103.685666010625</v>
      </c>
      <c r="AN4481">
        <v>1.0000000235141799</v>
      </c>
    </row>
    <row r="4482" spans="1:40" x14ac:dyDescent="0.25">
      <c r="A4482" t="str">
        <f>"20190305135919521"</f>
        <v>20190305135919521</v>
      </c>
      <c r="B4482" t="str">
        <f>"1551765559513545"</f>
        <v>1551765559513545</v>
      </c>
      <c r="C4482" t="s">
        <v>40</v>
      </c>
      <c r="D4482">
        <v>3.6546099999999999</v>
      </c>
      <c r="E4482">
        <v>0.60294199999999998</v>
      </c>
      <c r="F4482" t="s">
        <v>83</v>
      </c>
      <c r="G4482">
        <v>-435.86689999999999</v>
      </c>
      <c r="H4482">
        <v>6.2886509999999998</v>
      </c>
      <c r="I4482">
        <v>-6.8782670000000001</v>
      </c>
      <c r="J4482">
        <v>-420.7747</v>
      </c>
      <c r="K4482">
        <v>1.1107260000000001</v>
      </c>
      <c r="L4482">
        <v>99.533839999999998</v>
      </c>
      <c r="M4482">
        <v>-0.1119272</v>
      </c>
      <c r="N4482">
        <v>-1.088393E-2</v>
      </c>
      <c r="O4482">
        <v>-0.99365709999999996</v>
      </c>
      <c r="P4482">
        <v>0.12535260000000001</v>
      </c>
      <c r="Q4482">
        <v>-1.383705E-2</v>
      </c>
      <c r="R4482">
        <v>-0.99201600000000001</v>
      </c>
      <c r="S4482">
        <v>-0.4367065</v>
      </c>
      <c r="T4482">
        <v>0.14949660000000001</v>
      </c>
      <c r="U4482">
        <v>-3.0812680000000001</v>
      </c>
      <c r="V4482">
        <v>-0.23559279999999999</v>
      </c>
      <c r="W4482">
        <v>-4.0619519999999998E-3</v>
      </c>
      <c r="X4482">
        <v>0.97184340000000002</v>
      </c>
      <c r="Y4482">
        <v>2.8382600000000001E-2</v>
      </c>
      <c r="Z4482">
        <v>-5.8540580000000002E-2</v>
      </c>
      <c r="AA4482">
        <v>0.99788149999999998</v>
      </c>
      <c r="AB4482">
        <v>30</v>
      </c>
      <c r="AC4482">
        <v>-15.092199999999901</v>
      </c>
      <c r="AD4482">
        <v>5.1779250000000001</v>
      </c>
      <c r="AE4482">
        <v>-106.41210700000001</v>
      </c>
      <c r="AF4482">
        <v>3.0790977248073701</v>
      </c>
      <c r="AG4482">
        <v>5.1779250000000001</v>
      </c>
      <c r="AH4482">
        <v>107.18392822656899</v>
      </c>
      <c r="AI4482">
        <v>87.235399599568495</v>
      </c>
      <c r="AJ4482">
        <v>88.354503319371702</v>
      </c>
      <c r="AK4482">
        <v>107.353091339667</v>
      </c>
      <c r="AL4482">
        <v>90.232733339085996</v>
      </c>
      <c r="AM4482">
        <v>103.626683033036</v>
      </c>
      <c r="AN4482">
        <v>1.0000000304947201</v>
      </c>
    </row>
    <row r="4483" spans="1:40" x14ac:dyDescent="0.25">
      <c r="A4483" t="str">
        <f>"20190305135919542"</f>
        <v>20190305135919542</v>
      </c>
      <c r="B4483" t="str">
        <f>"1551765559534041"</f>
        <v>1551765559534041</v>
      </c>
      <c r="C4483" t="s">
        <v>40</v>
      </c>
      <c r="D4483">
        <v>3.6815120000000001</v>
      </c>
      <c r="E4483">
        <v>0.60209499999999905</v>
      </c>
      <c r="F4483" t="s">
        <v>83</v>
      </c>
      <c r="G4483">
        <v>-435.42439999999999</v>
      </c>
      <c r="H4483">
        <v>6.8580229999999904</v>
      </c>
      <c r="I4483">
        <v>-6.5159510000000003</v>
      </c>
      <c r="J4483">
        <v>-420.80509999999998</v>
      </c>
      <c r="K4483">
        <v>1.110754</v>
      </c>
      <c r="L4483">
        <v>99.247339999999994</v>
      </c>
      <c r="M4483">
        <v>-0.1101404</v>
      </c>
      <c r="N4483">
        <v>-1.0852840000000001E-2</v>
      </c>
      <c r="O4483">
        <v>-0.99385699999999999</v>
      </c>
      <c r="P4483">
        <v>0.12684860000000001</v>
      </c>
      <c r="Q4483">
        <v>-9.5874370000000007E-3</v>
      </c>
      <c r="R4483">
        <v>-0.99187590000000003</v>
      </c>
      <c r="S4483">
        <v>-0.42550660000000001</v>
      </c>
      <c r="T4483">
        <v>0.16693189999999999</v>
      </c>
      <c r="U4483">
        <v>-3.0802610000000001</v>
      </c>
      <c r="V4483">
        <v>-0.2353306</v>
      </c>
      <c r="W4483">
        <v>1.4764539999999999E-4</v>
      </c>
      <c r="X4483">
        <v>0.97191539999999998</v>
      </c>
      <c r="Y4483">
        <v>2.6619919999999998E-2</v>
      </c>
      <c r="Z4483">
        <v>-6.4112370000000002E-2</v>
      </c>
      <c r="AA4483">
        <v>0.99758760000000002</v>
      </c>
      <c r="AB4483">
        <v>30</v>
      </c>
      <c r="AC4483">
        <v>-14.619300000000001</v>
      </c>
      <c r="AD4483">
        <v>5.7472689999999904</v>
      </c>
      <c r="AE4483">
        <v>-105.763291</v>
      </c>
      <c r="AF4483">
        <v>2.8725281678002399</v>
      </c>
      <c r="AG4483">
        <v>5.7472689999999904</v>
      </c>
      <c r="AH4483">
        <v>106.421661610127</v>
      </c>
      <c r="AI4483">
        <v>86.909885265112607</v>
      </c>
      <c r="AJ4483">
        <v>88.453850602245893</v>
      </c>
      <c r="AK4483">
        <v>106.615442497293</v>
      </c>
      <c r="AL4483">
        <v>89.991540541929396</v>
      </c>
      <c r="AM4483">
        <v>103.61111105697</v>
      </c>
      <c r="AN4483">
        <v>1.00000002892634</v>
      </c>
    </row>
    <row r="4484" spans="1:40" x14ac:dyDescent="0.25">
      <c r="A4484" t="str">
        <f>"20190305135919563"</f>
        <v>20190305135919563</v>
      </c>
      <c r="B4484" t="str">
        <f>"1551765559554040"</f>
        <v>1551765559554040</v>
      </c>
      <c r="C4484" t="s">
        <v>40</v>
      </c>
      <c r="D4484">
        <v>3.6791209999999999</v>
      </c>
      <c r="E4484">
        <v>0.600595199999999</v>
      </c>
      <c r="F4484" t="s">
        <v>83</v>
      </c>
      <c r="G4484">
        <v>-434.99380000000002</v>
      </c>
      <c r="H4484">
        <v>7.2642259999999998</v>
      </c>
      <c r="I4484">
        <v>-6.163462</v>
      </c>
      <c r="J4484">
        <v>-420.83499999999998</v>
      </c>
      <c r="K4484">
        <v>1.110827</v>
      </c>
      <c r="L4484">
        <v>98.960570000000004</v>
      </c>
      <c r="M4484">
        <v>-0.1083548</v>
      </c>
      <c r="N4484">
        <v>-1.0823019999999999E-2</v>
      </c>
      <c r="O4484">
        <v>-0.99405370000000004</v>
      </c>
      <c r="P4484">
        <v>0.13026209999999999</v>
      </c>
      <c r="Q4484">
        <v>-5.506787E-4</v>
      </c>
      <c r="R4484">
        <v>-0.99148000000000003</v>
      </c>
      <c r="S4484">
        <v>-0.41448970000000002</v>
      </c>
      <c r="T4484">
        <v>0.17975759999999999</v>
      </c>
      <c r="U4484">
        <v>-3.0793149999999998</v>
      </c>
      <c r="V4484">
        <v>-0.23696600000000001</v>
      </c>
      <c r="W4484">
        <v>9.1387589999999998E-3</v>
      </c>
      <c r="X4484">
        <v>0.97147490000000003</v>
      </c>
      <c r="Y4484">
        <v>2.4917120000000001E-2</v>
      </c>
      <c r="Z4484">
        <v>-6.8219479999999999E-2</v>
      </c>
      <c r="AA4484">
        <v>0.9973592</v>
      </c>
      <c r="AB4484">
        <v>30</v>
      </c>
      <c r="AC4484">
        <v>-14.158799999999999</v>
      </c>
      <c r="AD4484">
        <v>6.1533989999999896</v>
      </c>
      <c r="AE4484">
        <v>-105.124032</v>
      </c>
      <c r="AF4484">
        <v>2.6750680926725598</v>
      </c>
      <c r="AG4484">
        <v>6.1533989999999896</v>
      </c>
      <c r="AH4484">
        <v>105.68363002458</v>
      </c>
      <c r="AI4484">
        <v>86.668796466273093</v>
      </c>
      <c r="AJ4484">
        <v>88.550036644161906</v>
      </c>
      <c r="AK4484">
        <v>105.89641147709401</v>
      </c>
      <c r="AL4484">
        <v>89.476380360097096</v>
      </c>
      <c r="AM4484">
        <v>103.708124566419</v>
      </c>
      <c r="AN4484">
        <v>0.99999994170103301</v>
      </c>
    </row>
    <row r="4485" spans="1:40" x14ac:dyDescent="0.25">
      <c r="A4485" t="str">
        <f>"20190305135919587"</f>
        <v>20190305135919587</v>
      </c>
      <c r="B4485" t="str">
        <f>"1551765559583320"</f>
        <v>1551765559583320</v>
      </c>
      <c r="C4485" t="s">
        <v>40</v>
      </c>
      <c r="D4485">
        <v>3.6831610000000001</v>
      </c>
      <c r="E4485">
        <v>0.59987299999999999</v>
      </c>
      <c r="F4485" t="s">
        <v>83</v>
      </c>
      <c r="G4485">
        <v>-433.93329999999997</v>
      </c>
      <c r="H4485">
        <v>7.6693679999999897</v>
      </c>
      <c r="I4485">
        <v>-3.4533459999999998</v>
      </c>
      <c r="J4485">
        <v>-420.86559999999997</v>
      </c>
      <c r="K4485">
        <v>1.1109370000000001</v>
      </c>
      <c r="L4485">
        <v>98.662260000000003</v>
      </c>
      <c r="M4485">
        <v>-0.1065078</v>
      </c>
      <c r="N4485">
        <v>-1.0795600000000001E-2</v>
      </c>
      <c r="O4485">
        <v>-0.99425319999999995</v>
      </c>
      <c r="P4485">
        <v>0.1374658</v>
      </c>
      <c r="Q4485">
        <v>2.0200679999999999E-2</v>
      </c>
      <c r="R4485">
        <v>-0.99030050000000003</v>
      </c>
      <c r="S4485">
        <v>-0.39361570000000001</v>
      </c>
      <c r="T4485">
        <v>0.19708780000000001</v>
      </c>
      <c r="U4485">
        <v>-3.0776059999999998</v>
      </c>
      <c r="V4485">
        <v>-0.2422706</v>
      </c>
      <c r="W4485">
        <v>2.9823470000000001E-2</v>
      </c>
      <c r="X4485">
        <v>0.96975020000000001</v>
      </c>
      <c r="Y4485">
        <v>2.0146130000000002E-2</v>
      </c>
      <c r="Z4485">
        <v>-7.3799760000000006E-2</v>
      </c>
      <c r="AA4485">
        <v>0.9970696</v>
      </c>
      <c r="AB4485">
        <v>30</v>
      </c>
      <c r="AC4485">
        <v>-13.0677</v>
      </c>
      <c r="AD4485">
        <v>6.5584309999999997</v>
      </c>
      <c r="AE4485">
        <v>-102.115606</v>
      </c>
      <c r="AF4485">
        <v>2.10806198657124</v>
      </c>
      <c r="AG4485">
        <v>6.5584309999999997</v>
      </c>
      <c r="AH4485">
        <v>102.510549176472</v>
      </c>
      <c r="AI4485">
        <v>86.340085310071203</v>
      </c>
      <c r="AJ4485">
        <v>88.821916046665194</v>
      </c>
      <c r="AK4485">
        <v>102.741761883778</v>
      </c>
      <c r="AL4485">
        <v>88.290987573941095</v>
      </c>
      <c r="AM4485">
        <v>104.02695941028701</v>
      </c>
      <c r="AN4485">
        <v>0.99999996669361901</v>
      </c>
    </row>
    <row r="4486" spans="1:40" x14ac:dyDescent="0.25">
      <c r="A4486" t="str">
        <f>"20190305135919610"</f>
        <v>20190305135919610</v>
      </c>
      <c r="B4486" t="str">
        <f>"1551765559603816"</f>
        <v>1551765559603816</v>
      </c>
      <c r="C4486" t="s">
        <v>40</v>
      </c>
      <c r="D4486">
        <v>3.8561390000000002</v>
      </c>
      <c r="E4486">
        <v>0.59976450000000003</v>
      </c>
      <c r="F4486" t="s">
        <v>83</v>
      </c>
      <c r="G4486">
        <v>-433.24529999999999</v>
      </c>
      <c r="H4486">
        <v>9.1628310000000006</v>
      </c>
      <c r="I4486">
        <v>-4.7317679999999998</v>
      </c>
      <c r="J4486">
        <v>-420.8965</v>
      </c>
      <c r="K4486">
        <v>1.1110009999999999</v>
      </c>
      <c r="L4486">
        <v>98.354280000000003</v>
      </c>
      <c r="M4486">
        <v>-0.10461330000000001</v>
      </c>
      <c r="N4486">
        <v>-1.0770160000000001E-2</v>
      </c>
      <c r="O4486">
        <v>-0.99445459999999997</v>
      </c>
      <c r="P4486">
        <v>0.14599719999999999</v>
      </c>
      <c r="Q4486">
        <v>3.7715609999999997E-2</v>
      </c>
      <c r="R4486">
        <v>-0.9885659</v>
      </c>
      <c r="S4486">
        <v>-0.36825560000000002</v>
      </c>
      <c r="T4486">
        <v>0.2395158</v>
      </c>
      <c r="U4486">
        <v>-3.0756230000000002</v>
      </c>
      <c r="V4486">
        <v>-0.24878700000000001</v>
      </c>
      <c r="W4486">
        <v>4.7263479999999997E-2</v>
      </c>
      <c r="X4486">
        <v>0.96740440000000005</v>
      </c>
      <c r="Y4486">
        <v>1.390245E-2</v>
      </c>
      <c r="Z4486">
        <v>-8.7394570000000005E-2</v>
      </c>
      <c r="AA4486">
        <v>0.99607679999999998</v>
      </c>
      <c r="AB4486">
        <v>30</v>
      </c>
      <c r="AC4486">
        <v>-12.348799999999899</v>
      </c>
      <c r="AD4486">
        <v>8.0518300000000007</v>
      </c>
      <c r="AE4486">
        <v>-103.08604800000001</v>
      </c>
      <c r="AF4486">
        <v>1.48729080932734</v>
      </c>
      <c r="AG4486">
        <v>8.0518300000000007</v>
      </c>
      <c r="AH4486">
        <v>103.191621157879</v>
      </c>
      <c r="AI4486">
        <v>85.5388296333564</v>
      </c>
      <c r="AJ4486">
        <v>89.174258671317105</v>
      </c>
      <c r="AK4486">
        <v>103.515963394501</v>
      </c>
      <c r="AL4486">
        <v>87.290992961818901</v>
      </c>
      <c r="AM4486">
        <v>104.422210194888</v>
      </c>
      <c r="AN4486">
        <v>1.00000004052503</v>
      </c>
    </row>
    <row r="4487" spans="1:40" x14ac:dyDescent="0.25">
      <c r="A4487" t="str">
        <f>"20190305135919633"</f>
        <v>20190305135919633</v>
      </c>
      <c r="B4487" t="str">
        <f>"1551765559623336"</f>
        <v>1551765559623336</v>
      </c>
      <c r="C4487" t="s">
        <v>40</v>
      </c>
      <c r="D4487">
        <v>3.8040479999999999</v>
      </c>
      <c r="E4487">
        <v>0.57595299999999905</v>
      </c>
      <c r="F4487" t="s">
        <v>83</v>
      </c>
      <c r="G4487">
        <v>-432.27949999999998</v>
      </c>
      <c r="H4487">
        <v>10.600580000000001</v>
      </c>
      <c r="I4487">
        <v>-3.9409260000000002</v>
      </c>
      <c r="J4487">
        <v>-420.92619999999999</v>
      </c>
      <c r="K4487">
        <v>1.111035</v>
      </c>
      <c r="L4487">
        <v>98.05359</v>
      </c>
      <c r="M4487">
        <v>-0.1027739</v>
      </c>
      <c r="N4487">
        <v>-1.074776E-2</v>
      </c>
      <c r="O4487">
        <v>-0.99464669999999999</v>
      </c>
      <c r="P4487">
        <v>0.1535359</v>
      </c>
      <c r="Q4487">
        <v>4.1528210000000003E-2</v>
      </c>
      <c r="R4487">
        <v>-0.98726990000000003</v>
      </c>
      <c r="S4487">
        <v>-0.34210210000000002</v>
      </c>
      <c r="T4487">
        <v>0.28519549999999999</v>
      </c>
      <c r="U4487">
        <v>-3.074341</v>
      </c>
      <c r="V4487">
        <v>-0.25437549999999998</v>
      </c>
      <c r="W4487">
        <v>5.1014499999999997E-2</v>
      </c>
      <c r="X4487">
        <v>0.96575909999999998</v>
      </c>
      <c r="Y4487">
        <v>7.2825160000000002E-3</v>
      </c>
      <c r="Z4487">
        <v>-0.1019948</v>
      </c>
      <c r="AA4487">
        <v>0.99475820000000004</v>
      </c>
      <c r="AB4487">
        <v>30</v>
      </c>
      <c r="AC4487">
        <v>-11.3532999999999</v>
      </c>
      <c r="AD4487">
        <v>9.4895449999999997</v>
      </c>
      <c r="AE4487">
        <v>-101.994516</v>
      </c>
      <c r="AF4487">
        <v>0.803326166667645</v>
      </c>
      <c r="AG4487">
        <v>9.4895449999999997</v>
      </c>
      <c r="AH4487">
        <v>101.751237532338</v>
      </c>
      <c r="AI4487">
        <v>84.672046267917906</v>
      </c>
      <c r="AJ4487">
        <v>89.547659136472205</v>
      </c>
      <c r="AK4487">
        <v>102.195944814847</v>
      </c>
      <c r="AL4487">
        <v>87.075815184163105</v>
      </c>
      <c r="AM4487">
        <v>104.75623306617901</v>
      </c>
      <c r="AN4487">
        <v>1.0000000067216499</v>
      </c>
    </row>
    <row r="4488" spans="1:40" x14ac:dyDescent="0.25">
      <c r="A4488" t="str">
        <f>"20190305135919654"</f>
        <v>20190305135919654</v>
      </c>
      <c r="B4488" t="str">
        <f>"1551765559643363"</f>
        <v>1551765559643363</v>
      </c>
      <c r="C4488" t="s">
        <v>40</v>
      </c>
      <c r="D4488">
        <v>3.9236230000000001</v>
      </c>
      <c r="E4488">
        <v>0.57648409999999894</v>
      </c>
      <c r="F4488" t="s">
        <v>82</v>
      </c>
      <c r="G4488">
        <v>-424.17129999999997</v>
      </c>
      <c r="H4488" s="1">
        <v>-5.6354599999999901E-6</v>
      </c>
      <c r="I4488">
        <v>30.270510000000002</v>
      </c>
      <c r="J4488">
        <v>-420.95350000000002</v>
      </c>
      <c r="K4488">
        <v>1.111032</v>
      </c>
      <c r="L4488">
        <v>97.772059999999996</v>
      </c>
      <c r="M4488">
        <v>-0.1010573</v>
      </c>
      <c r="N4488">
        <v>-1.0729270000000001E-2</v>
      </c>
      <c r="O4488">
        <v>-0.99482269999999995</v>
      </c>
      <c r="P4488">
        <v>0.15734389999999901</v>
      </c>
      <c r="Q4488">
        <v>3.9216309999999997E-2</v>
      </c>
      <c r="R4488">
        <v>-0.986765</v>
      </c>
      <c r="S4488">
        <v>-0.14666750000000001</v>
      </c>
      <c r="T4488">
        <v>-5.0215839999999998E-2</v>
      </c>
      <c r="U4488">
        <v>-3.063599</v>
      </c>
      <c r="V4488">
        <v>-0.25643719999999998</v>
      </c>
      <c r="W4488">
        <v>4.8670900000000003E-2</v>
      </c>
      <c r="X4488">
        <v>0.96533469999999999</v>
      </c>
      <c r="Y4488">
        <v>-5.3365830000000003E-2</v>
      </c>
      <c r="Z4488">
        <v>5.5393949999999999E-3</v>
      </c>
      <c r="AA4488">
        <v>0.99855970000000005</v>
      </c>
      <c r="AB4488">
        <v>30</v>
      </c>
      <c r="AC4488">
        <v>-3.2177999999999498</v>
      </c>
      <c r="AD4488">
        <v>-1.11103763546</v>
      </c>
      <c r="AE4488">
        <v>-67.501549999999995</v>
      </c>
      <c r="AF4488">
        <v>-3.6196141112145699</v>
      </c>
      <c r="AG4488">
        <v>-1.11103763546</v>
      </c>
      <c r="AH4488">
        <v>67.462908878046093</v>
      </c>
      <c r="AI4488">
        <v>90.942156378043194</v>
      </c>
      <c r="AJ4488">
        <v>93.071168382901206</v>
      </c>
      <c r="AK4488">
        <v>67.569076397632202</v>
      </c>
      <c r="AL4488">
        <v>87.210260657395594</v>
      </c>
      <c r="AM4488">
        <v>104.876800268461</v>
      </c>
      <c r="AN4488">
        <v>0.99999998853736904</v>
      </c>
    </row>
    <row r="4489" spans="1:40" x14ac:dyDescent="0.25">
      <c r="A4489" t="str">
        <f>"20190305135919675"</f>
        <v>20190305135919675</v>
      </c>
      <c r="B4489" t="str">
        <f>"1551765559663860"</f>
        <v>1551765559663860</v>
      </c>
      <c r="C4489" t="s">
        <v>40</v>
      </c>
      <c r="D4489">
        <v>3.9069090000000002</v>
      </c>
      <c r="E4489">
        <v>0.57695410000000003</v>
      </c>
      <c r="F4489" t="s">
        <v>42</v>
      </c>
      <c r="G4489">
        <v>-422.7989</v>
      </c>
      <c r="H4489" s="1">
        <v>-4.1131779999999997E-6</v>
      </c>
      <c r="I4489">
        <v>57.614620000000002</v>
      </c>
      <c r="J4489">
        <v>-420.9812</v>
      </c>
      <c r="K4489">
        <v>1.1109990000000001</v>
      </c>
      <c r="L4489">
        <v>97.481449999999995</v>
      </c>
      <c r="M4489">
        <v>-9.9287329999999993E-2</v>
      </c>
      <c r="N4489">
        <v>-1.070754E-2</v>
      </c>
      <c r="O4489">
        <v>-0.99500129999999998</v>
      </c>
      <c r="P4489">
        <v>0.15708029999999901</v>
      </c>
      <c r="Q4489">
        <v>3.2659779999999999E-2</v>
      </c>
      <c r="R4489">
        <v>-0.98704579999999997</v>
      </c>
      <c r="S4489">
        <v>-0.14089969999999999</v>
      </c>
      <c r="T4489">
        <v>-8.4828970000000004E-2</v>
      </c>
      <c r="U4489">
        <v>-3.066071</v>
      </c>
      <c r="V4489">
        <v>-0.25446099999999999</v>
      </c>
      <c r="W4489">
        <v>4.2107829999999999E-2</v>
      </c>
      <c r="X4489">
        <v>0.96616590000000002</v>
      </c>
      <c r="Y4489">
        <v>-5.3504599999999902E-2</v>
      </c>
      <c r="Z4489">
        <v>1.6736750000000002E-2</v>
      </c>
      <c r="AA4489">
        <v>0.99842730000000002</v>
      </c>
      <c r="AB4489">
        <v>30</v>
      </c>
      <c r="AC4489">
        <v>-1.8177000000000001</v>
      </c>
      <c r="AD4489">
        <v>-1.111003113178</v>
      </c>
      <c r="AE4489">
        <v>-39.86683</v>
      </c>
      <c r="AF4489">
        <v>-2.1481154531500599</v>
      </c>
      <c r="AG4489">
        <v>-1.111003113178</v>
      </c>
      <c r="AH4489">
        <v>39.819442218306698</v>
      </c>
      <c r="AI4489">
        <v>91.595876865611501</v>
      </c>
      <c r="AJ4489">
        <v>93.087907720100901</v>
      </c>
      <c r="AK4489">
        <v>39.892815223980101</v>
      </c>
      <c r="AL4489">
        <v>87.586685555179301</v>
      </c>
      <c r="AM4489">
        <v>104.755032525186</v>
      </c>
      <c r="AN4489">
        <v>1.00000000809555</v>
      </c>
    </row>
    <row r="4490" spans="1:40" x14ac:dyDescent="0.25">
      <c r="A4490" t="str">
        <f>"20190305135919692"</f>
        <v>20190305135919692</v>
      </c>
      <c r="B4490" t="str">
        <f>"1551765559683379"</f>
        <v>1551765559683379</v>
      </c>
      <c r="C4490" t="s">
        <v>40</v>
      </c>
      <c r="D4490">
        <v>3.8924910000000001</v>
      </c>
      <c r="E4490">
        <v>0.57757119999999995</v>
      </c>
      <c r="F4490" t="s">
        <v>42</v>
      </c>
      <c r="G4490">
        <v>-422.3218</v>
      </c>
      <c r="H4490" s="1">
        <v>-4.6708290000000004E-6</v>
      </c>
      <c r="I4490">
        <v>69.501980000000003</v>
      </c>
      <c r="J4490">
        <v>-421.00209999999998</v>
      </c>
      <c r="K4490">
        <v>1.110975</v>
      </c>
      <c r="L4490">
        <v>97.257660000000001</v>
      </c>
      <c r="M4490">
        <v>-9.7925440000000002E-2</v>
      </c>
      <c r="N4490">
        <v>-1.069031E-2</v>
      </c>
      <c r="O4490">
        <v>-0.99513649999999998</v>
      </c>
      <c r="P4490">
        <v>0.1561196</v>
      </c>
      <c r="Q4490">
        <v>2.8947819999999999E-2</v>
      </c>
      <c r="R4490">
        <v>-0.98731420000000003</v>
      </c>
      <c r="S4490">
        <v>-0.14694209999999999</v>
      </c>
      <c r="T4490">
        <v>-0.12177490000000001</v>
      </c>
      <c r="U4490">
        <v>-3.0667719999999998</v>
      </c>
      <c r="V4490">
        <v>-0.25219540000000001</v>
      </c>
      <c r="W4490">
        <v>3.8394379999999999E-2</v>
      </c>
      <c r="X4490">
        <v>0.96691439999999995</v>
      </c>
      <c r="Y4490">
        <v>-5.0195709999999998E-2</v>
      </c>
      <c r="Z4490">
        <v>2.86842E-2</v>
      </c>
      <c r="AA4490">
        <v>0.99832739999999998</v>
      </c>
      <c r="AB4490">
        <v>30</v>
      </c>
      <c r="AC4490">
        <v>-1.3197000000000101</v>
      </c>
      <c r="AD4490">
        <v>-1.1109796708290001</v>
      </c>
      <c r="AE4490">
        <v>-27.755680000000002</v>
      </c>
      <c r="AF4490">
        <v>-1.40254353664565</v>
      </c>
      <c r="AG4490">
        <v>-1.1109796708290001</v>
      </c>
      <c r="AH4490">
        <v>27.7072121821585</v>
      </c>
      <c r="AI4490">
        <v>92.293233162447194</v>
      </c>
      <c r="AJ4490">
        <v>92.897848113181993</v>
      </c>
      <c r="AK4490">
        <v>27.764924114939301</v>
      </c>
      <c r="AL4490">
        <v>87.799623352406897</v>
      </c>
      <c r="AM4490">
        <v>104.61848057396701</v>
      </c>
      <c r="AN4490">
        <v>1.00000005256205</v>
      </c>
    </row>
    <row r="4491" spans="1:40" x14ac:dyDescent="0.25">
      <c r="A4491" t="str">
        <f>"20190305135919710"</f>
        <v>20190305135919710</v>
      </c>
      <c r="B4491" t="str">
        <f>"1551765559703878"</f>
        <v>1551765559703878</v>
      </c>
      <c r="C4491" t="s">
        <v>40</v>
      </c>
      <c r="D4491">
        <v>3.9533839999999998</v>
      </c>
      <c r="E4491">
        <v>0.57803649999999995</v>
      </c>
      <c r="F4491" t="s">
        <v>42</v>
      </c>
      <c r="G4491">
        <v>-422.17750000000001</v>
      </c>
      <c r="H4491" s="1">
        <v>-2.5521099999999999E-6</v>
      </c>
      <c r="I4491">
        <v>74.187609999999907</v>
      </c>
      <c r="J4491">
        <v>-421.02409999999998</v>
      </c>
      <c r="K4491">
        <v>1.1109290000000001</v>
      </c>
      <c r="L4491">
        <v>97.018680000000003</v>
      </c>
      <c r="M4491">
        <v>-9.6470879999999995E-2</v>
      </c>
      <c r="N4491">
        <v>-1.0673409999999999E-2</v>
      </c>
      <c r="O4491">
        <v>-0.99527880000000002</v>
      </c>
      <c r="P4491">
        <v>0.15178559999999999</v>
      </c>
      <c r="Q4491">
        <v>2.2912410000000001E-2</v>
      </c>
      <c r="R4491">
        <v>-0.98814820000000003</v>
      </c>
      <c r="S4491">
        <v>-0.15628049999999999</v>
      </c>
      <c r="T4491">
        <v>-0.14772389999999999</v>
      </c>
      <c r="U4491">
        <v>-3.0675659999999998</v>
      </c>
      <c r="V4491">
        <v>-0.24652689999999999</v>
      </c>
      <c r="W4491">
        <v>3.237951E-2</v>
      </c>
      <c r="X4491">
        <v>0.96859490000000004</v>
      </c>
      <c r="Y4491">
        <v>-4.5729369999999998E-2</v>
      </c>
      <c r="Z4491">
        <v>3.707125E-2</v>
      </c>
      <c r="AA4491">
        <v>0.99826570000000003</v>
      </c>
      <c r="AB4491">
        <v>30</v>
      </c>
      <c r="AC4491">
        <v>-1.15340000000003</v>
      </c>
      <c r="AD4491">
        <v>-1.1109315521100001</v>
      </c>
      <c r="AE4491">
        <v>-22.83107</v>
      </c>
      <c r="AF4491">
        <v>-1.0521538713181799</v>
      </c>
      <c r="AG4491">
        <v>-1.1109315521100001</v>
      </c>
      <c r="AH4491">
        <v>22.782042047906302</v>
      </c>
      <c r="AI4491">
        <v>92.788762142877005</v>
      </c>
      <c r="AJ4491">
        <v>92.644239295962905</v>
      </c>
      <c r="AK4491">
        <v>22.833366737189099</v>
      </c>
      <c r="AL4491">
        <v>88.144466427829002</v>
      </c>
      <c r="AM4491">
        <v>104.279733039313</v>
      </c>
      <c r="AN4491">
        <v>1.0000000126987301</v>
      </c>
    </row>
    <row r="4492" spans="1:40" x14ac:dyDescent="0.25">
      <c r="A4492" t="str">
        <f>"20190305135919732"</f>
        <v>20190305135919732</v>
      </c>
      <c r="B4492" t="str">
        <f>"1551765559723395"</f>
        <v>1551765559723395</v>
      </c>
      <c r="C4492" t="s">
        <v>40</v>
      </c>
      <c r="D4492">
        <v>3.9368979999999998</v>
      </c>
      <c r="E4492">
        <v>0.57860489999999998</v>
      </c>
      <c r="F4492" t="s">
        <v>42</v>
      </c>
      <c r="G4492">
        <v>-422.15109999999999</v>
      </c>
      <c r="H4492" s="1">
        <v>-3.8237250000000004E-6</v>
      </c>
      <c r="I4492">
        <v>77.16816</v>
      </c>
      <c r="J4492">
        <v>-421.05099999999999</v>
      </c>
      <c r="K4492">
        <v>1.1108819999999999</v>
      </c>
      <c r="L4492">
        <v>96.721559999999997</v>
      </c>
      <c r="M4492">
        <v>-9.4661609999999993E-2</v>
      </c>
      <c r="N4492">
        <v>-1.0654540000000001E-2</v>
      </c>
      <c r="O4492">
        <v>-0.99545269999999997</v>
      </c>
      <c r="P4492">
        <v>0.1476094</v>
      </c>
      <c r="Q4492">
        <v>1.5897129999999999E-2</v>
      </c>
      <c r="R4492">
        <v>-0.98891799999999996</v>
      </c>
      <c r="S4492">
        <v>-0.174102799999999</v>
      </c>
      <c r="T4492">
        <v>-0.17162839999999999</v>
      </c>
      <c r="U4492">
        <v>-3.0667110000000002</v>
      </c>
      <c r="V4492">
        <v>-0.24065590000000001</v>
      </c>
      <c r="W4492">
        <v>2.538296E-2</v>
      </c>
      <c r="X4492">
        <v>0.97027859999999999</v>
      </c>
      <c r="Y4492">
        <v>-3.8132449999999998E-2</v>
      </c>
      <c r="Z4492">
        <v>4.4824410000000002E-2</v>
      </c>
      <c r="AA4492">
        <v>0.99826680000000001</v>
      </c>
      <c r="AB4492">
        <v>30</v>
      </c>
      <c r="AC4492">
        <v>-1.1000999999999901</v>
      </c>
      <c r="AD4492">
        <v>-1.1108858237250001</v>
      </c>
      <c r="AE4492">
        <v>-19.5534</v>
      </c>
      <c r="AF4492">
        <v>-0.75347722688720498</v>
      </c>
      <c r="AG4492">
        <v>-1.1108858237250001</v>
      </c>
      <c r="AH4492">
        <v>19.506964654625101</v>
      </c>
      <c r="AI4492">
        <v>93.256945518202301</v>
      </c>
      <c r="AJ4492">
        <v>92.212010684727204</v>
      </c>
      <c r="AK4492">
        <v>19.553093496467099</v>
      </c>
      <c r="AL4492">
        <v>88.545507391133597</v>
      </c>
      <c r="AM4492">
        <v>103.929833198558</v>
      </c>
      <c r="AN4492">
        <v>1.00000005924056</v>
      </c>
    </row>
    <row r="4493" spans="1:40" x14ac:dyDescent="0.25">
      <c r="A4493" t="str">
        <f>"20190305135919753"</f>
        <v>20190305135919753</v>
      </c>
      <c r="B4493" t="str">
        <f>"1551765559743891"</f>
        <v>1551765559743891</v>
      </c>
      <c r="C4493" t="s">
        <v>40</v>
      </c>
      <c r="D4493">
        <v>3.9430399999999999</v>
      </c>
      <c r="E4493">
        <v>0.57907779999999998</v>
      </c>
      <c r="F4493" t="s">
        <v>42</v>
      </c>
      <c r="G4493">
        <v>-422.14319999999998</v>
      </c>
      <c r="H4493" s="1">
        <v>-4.5708179999999996E-6</v>
      </c>
      <c r="I4493">
        <v>79.301169999999999</v>
      </c>
      <c r="J4493">
        <v>-421.07650000000001</v>
      </c>
      <c r="K4493">
        <v>1.110835</v>
      </c>
      <c r="L4493">
        <v>96.435000000000002</v>
      </c>
      <c r="M4493">
        <v>-9.2915960000000006E-2</v>
      </c>
      <c r="N4493">
        <v>-1.063799E-2</v>
      </c>
      <c r="O4493">
        <v>-0.99561719999999998</v>
      </c>
      <c r="P4493">
        <v>0.143459</v>
      </c>
      <c r="Q4493">
        <v>8.8788200000000008E-3</v>
      </c>
      <c r="R4493">
        <v>-0.98961659999999996</v>
      </c>
      <c r="S4493">
        <v>-0.1921997</v>
      </c>
      <c r="T4493">
        <v>-0.1954824</v>
      </c>
      <c r="U4493">
        <v>-3.0654599999999999</v>
      </c>
      <c r="V4493">
        <v>-0.23486119999999999</v>
      </c>
      <c r="W4493">
        <v>1.8385149999999999E-2</v>
      </c>
      <c r="X4493">
        <v>0.97185500000000002</v>
      </c>
      <c r="Y4493">
        <v>-3.0509040000000001E-2</v>
      </c>
      <c r="Z4493">
        <v>5.2562169999999998E-2</v>
      </c>
      <c r="AA4493">
        <v>0.99815149999999997</v>
      </c>
      <c r="AB4493">
        <v>30</v>
      </c>
      <c r="AC4493">
        <v>-1.06669999999996</v>
      </c>
      <c r="AD4493">
        <v>-1.1108395708179899</v>
      </c>
      <c r="AE4493">
        <v>-17.13383</v>
      </c>
      <c r="AF4493">
        <v>-0.52780138702630996</v>
      </c>
      <c r="AG4493">
        <v>-1.1108395708179899</v>
      </c>
      <c r="AH4493">
        <v>17.0872727513743</v>
      </c>
      <c r="AI4493">
        <v>93.717782885521601</v>
      </c>
      <c r="AJ4493">
        <v>91.769222053343796</v>
      </c>
      <c r="AK4493">
        <v>17.131474803300001</v>
      </c>
      <c r="AL4493">
        <v>88.946549114145498</v>
      </c>
      <c r="AM4493">
        <v>103.58578186131</v>
      </c>
      <c r="AN4493">
        <v>0.99999996901548005</v>
      </c>
    </row>
    <row r="4494" spans="1:40" x14ac:dyDescent="0.25">
      <c r="A4494" t="str">
        <f>"20190305135919777"</f>
        <v>20190305135919777</v>
      </c>
      <c r="B4494" t="str">
        <f>"1551765559773172"</f>
        <v>1551765559773172</v>
      </c>
      <c r="C4494" t="s">
        <v>40</v>
      </c>
      <c r="D4494">
        <v>3.9576820000000001</v>
      </c>
      <c r="E4494">
        <v>0.57955279999999998</v>
      </c>
      <c r="F4494" t="s">
        <v>42</v>
      </c>
      <c r="G4494">
        <v>-422.14120000000003</v>
      </c>
      <c r="H4494" s="1">
        <v>-1.122758E-6</v>
      </c>
      <c r="I4494">
        <v>80.878270000000001</v>
      </c>
      <c r="J4494">
        <v>-421.1028</v>
      </c>
      <c r="K4494">
        <v>1.1107819999999999</v>
      </c>
      <c r="L4494">
        <v>96.132199999999997</v>
      </c>
      <c r="M4494">
        <v>-9.1071289999999999E-2</v>
      </c>
      <c r="N4494">
        <v>-1.062229E-2</v>
      </c>
      <c r="O4494">
        <v>-0.99578800000000001</v>
      </c>
      <c r="P4494">
        <v>0.13780419999999999</v>
      </c>
      <c r="Q4494">
        <v>1.1859710000000001E-3</v>
      </c>
      <c r="R4494">
        <v>-0.99045899999999998</v>
      </c>
      <c r="S4494">
        <v>-0.20968629999999999</v>
      </c>
      <c r="T4494">
        <v>-0.21877540000000001</v>
      </c>
      <c r="U4494">
        <v>-3.0638429999999999</v>
      </c>
      <c r="V4494">
        <v>-0.22747870000000001</v>
      </c>
      <c r="W4494">
        <v>1.0720830000000001E-2</v>
      </c>
      <c r="X4494">
        <v>0.97372409999999998</v>
      </c>
      <c r="Y4494">
        <v>-2.2982430000000002E-2</v>
      </c>
      <c r="Z4494">
        <v>6.0123179999999998E-2</v>
      </c>
      <c r="AA4494">
        <v>0.99792639999999999</v>
      </c>
      <c r="AB4494">
        <v>30</v>
      </c>
      <c r="AC4494">
        <v>-1.03840000000002</v>
      </c>
      <c r="AD4494">
        <v>-1.1107831227579901</v>
      </c>
      <c r="AE4494">
        <v>-15.253929999999899</v>
      </c>
      <c r="AF4494">
        <v>-0.35332384473935102</v>
      </c>
      <c r="AG4494">
        <v>-1.1107831227579901</v>
      </c>
      <c r="AH4494">
        <v>15.204852507862901</v>
      </c>
      <c r="AI4494">
        <v>94.177169133883794</v>
      </c>
      <c r="AJ4494">
        <v>91.331175193177302</v>
      </c>
      <c r="AK4494">
        <v>15.2494661110129</v>
      </c>
      <c r="AL4494">
        <v>89.385729957026797</v>
      </c>
      <c r="AM4494">
        <v>103.149446038417</v>
      </c>
      <c r="AN4494">
        <v>1.0000000590351901</v>
      </c>
    </row>
    <row r="4495" spans="1:40" x14ac:dyDescent="0.25">
      <c r="A4495" t="str">
        <f>"20190305135919813"</f>
        <v>20190305135919813</v>
      </c>
      <c r="B4495" t="str">
        <f>"1551765559803427"</f>
        <v>1551765559803427</v>
      </c>
      <c r="C4495" t="s">
        <v>40</v>
      </c>
      <c r="D4495">
        <v>3.9493689999999999</v>
      </c>
      <c r="E4495">
        <v>0.57962130000000001</v>
      </c>
      <c r="F4495" t="s">
        <v>42</v>
      </c>
      <c r="G4495">
        <v>-422.166</v>
      </c>
      <c r="H4495" s="1">
        <v>-1.639579E-6</v>
      </c>
      <c r="I4495">
        <v>82.067589999999996</v>
      </c>
      <c r="J4495">
        <v>-421.1422</v>
      </c>
      <c r="K4495">
        <v>1.1107499999999999</v>
      </c>
      <c r="L4495">
        <v>95.666169999999994</v>
      </c>
      <c r="M4495">
        <v>-8.8231989999999996E-2</v>
      </c>
      <c r="N4495">
        <v>-1.060197E-2</v>
      </c>
      <c r="O4495">
        <v>-0.99604340000000002</v>
      </c>
      <c r="P4495">
        <v>0.1324719</v>
      </c>
      <c r="Q4495">
        <v>-3.371214E-3</v>
      </c>
      <c r="R4495">
        <v>-0.99118130000000004</v>
      </c>
      <c r="S4495">
        <v>-0.2314148</v>
      </c>
      <c r="T4495">
        <v>-0.24178089999999999</v>
      </c>
      <c r="U4495">
        <v>-3.061401</v>
      </c>
      <c r="V4495">
        <v>-0.21943760000000001</v>
      </c>
      <c r="W4495">
        <v>6.1900849999999997E-3</v>
      </c>
      <c r="X4495">
        <v>0.97560690000000005</v>
      </c>
      <c r="Y4495">
        <v>-1.307094E-2</v>
      </c>
      <c r="Z4495">
        <v>6.7620169999999993E-2</v>
      </c>
      <c r="AA4495">
        <v>0.99762550000000005</v>
      </c>
      <c r="AB4495">
        <v>30</v>
      </c>
      <c r="AC4495">
        <v>-1.0237999999999901</v>
      </c>
      <c r="AD4495">
        <v>-1.11075163957899</v>
      </c>
      <c r="AE4495">
        <v>-13.598579999999901</v>
      </c>
      <c r="AF4495">
        <v>-0.17890379334466799</v>
      </c>
      <c r="AG4495">
        <v>-1.11075163957899</v>
      </c>
      <c r="AH4495">
        <v>13.5460082486475</v>
      </c>
      <c r="AI4495">
        <v>94.687270505828195</v>
      </c>
      <c r="AJ4495">
        <v>90.7566683988356</v>
      </c>
      <c r="AK4495">
        <v>13.59264930926</v>
      </c>
      <c r="AL4495">
        <v>89.645331989807303</v>
      </c>
      <c r="AM4495">
        <v>102.676249591998</v>
      </c>
      <c r="AN4495">
        <v>1.0000000003868299</v>
      </c>
    </row>
    <row r="4496" spans="1:40" x14ac:dyDescent="0.25">
      <c r="A4496" t="str">
        <f>"20190305135919833"</f>
        <v>20190305135919833</v>
      </c>
      <c r="B4496" t="str">
        <f>"1551765559823924"</f>
        <v>1551765559823924</v>
      </c>
      <c r="C4496" t="s">
        <v>40</v>
      </c>
      <c r="D4496">
        <v>3.9877259999999999</v>
      </c>
      <c r="E4496">
        <v>0.57958500000000002</v>
      </c>
      <c r="F4496" t="s">
        <v>42</v>
      </c>
      <c r="G4496">
        <v>-422.21899999999999</v>
      </c>
      <c r="H4496" s="1">
        <v>-1.7885300000000001E-6</v>
      </c>
      <c r="I4496">
        <v>82.381919999999994</v>
      </c>
      <c r="J4496">
        <v>-421.16579999999999</v>
      </c>
      <c r="K4496">
        <v>1.110741</v>
      </c>
      <c r="L4496">
        <v>95.37894</v>
      </c>
      <c r="M4496">
        <v>-8.6481829999999996E-2</v>
      </c>
      <c r="N4496">
        <v>-1.0591389999999999E-2</v>
      </c>
      <c r="O4496">
        <v>-0.99619709999999995</v>
      </c>
      <c r="P4496">
        <v>0.12974269999999999</v>
      </c>
      <c r="Q4496">
        <v>-5.0586889999999999E-3</v>
      </c>
      <c r="R4496">
        <v>-0.99153469999999999</v>
      </c>
      <c r="S4496">
        <v>-0.24795529999999999</v>
      </c>
      <c r="T4496">
        <v>-0.25577250000000001</v>
      </c>
      <c r="U4496">
        <v>-3.0589599999999999</v>
      </c>
      <c r="V4496">
        <v>-0.21502850000000001</v>
      </c>
      <c r="W4496">
        <v>4.5168880000000002E-3</v>
      </c>
      <c r="X4496">
        <v>0.9765973</v>
      </c>
      <c r="Y4496">
        <v>-5.9217849999999997E-3</v>
      </c>
      <c r="Z4496">
        <v>7.2198750000000006E-2</v>
      </c>
      <c r="AA4496">
        <v>0.9973727</v>
      </c>
      <c r="AB4496">
        <v>30</v>
      </c>
      <c r="AC4496">
        <v>-1.0531999999999999</v>
      </c>
      <c r="AD4496">
        <v>-1.1107427885299901</v>
      </c>
      <c r="AE4496">
        <v>-12.997019999999999</v>
      </c>
      <c r="AF4496">
        <v>-7.4276536697735998E-2</v>
      </c>
      <c r="AG4496">
        <v>-1.1107427885299901</v>
      </c>
      <c r="AH4496">
        <v>12.9454757264318</v>
      </c>
      <c r="AI4496">
        <v>94.903979479101693</v>
      </c>
      <c r="AJ4496">
        <v>90.328739202800804</v>
      </c>
      <c r="AK4496">
        <v>12.993252415381299</v>
      </c>
      <c r="AL4496">
        <v>89.741200493857704</v>
      </c>
      <c r="AM4496">
        <v>102.417328385099</v>
      </c>
      <c r="AN4496">
        <v>0.999999972228371</v>
      </c>
    </row>
    <row r="4497" spans="1:40" x14ac:dyDescent="0.25">
      <c r="A4497" t="str">
        <f>"20190305135919855"</f>
        <v>20190305135919855</v>
      </c>
      <c r="B4497" t="str">
        <f>"1551765559843443"</f>
        <v>1551765559843443</v>
      </c>
      <c r="C4497" t="s">
        <v>40</v>
      </c>
      <c r="D4497">
        <v>3.9468589999999999</v>
      </c>
      <c r="E4497">
        <v>0.57925019999999905</v>
      </c>
      <c r="F4497" t="s">
        <v>41</v>
      </c>
      <c r="G4497">
        <v>-421.23289999999997</v>
      </c>
      <c r="H4497">
        <v>1.0425120000000001</v>
      </c>
      <c r="I4497">
        <v>94.576740000000001</v>
      </c>
      <c r="J4497">
        <v>-421.18920000000003</v>
      </c>
      <c r="K4497">
        <v>1.1107419999999999</v>
      </c>
      <c r="L4497">
        <v>95.088679999999997</v>
      </c>
      <c r="M4497">
        <v>-8.4712780000000001E-2</v>
      </c>
      <c r="N4497">
        <v>-1.0577420000000001E-2</v>
      </c>
      <c r="O4497">
        <v>-0.99634959999999995</v>
      </c>
      <c r="P4497">
        <v>0.1275249</v>
      </c>
      <c r="Q4497">
        <v>-6.1449410000000001E-3</v>
      </c>
      <c r="R4497">
        <v>-0.99181680000000005</v>
      </c>
      <c r="S4497">
        <v>-0.25561519999999999</v>
      </c>
      <c r="T4497">
        <v>-0.26009480000000001</v>
      </c>
      <c r="U4497">
        <v>-3.0577390000000002</v>
      </c>
      <c r="V4497">
        <v>-0.21110390000000001</v>
      </c>
      <c r="W4497">
        <v>3.438768E-3</v>
      </c>
      <c r="X4497">
        <v>0.97745760000000004</v>
      </c>
      <c r="Y4497">
        <v>-1.643261E-3</v>
      </c>
      <c r="Z4497">
        <v>7.3646799999999998E-2</v>
      </c>
      <c r="AA4497">
        <v>0.99728300000000003</v>
      </c>
      <c r="AB4497">
        <v>30</v>
      </c>
      <c r="AC4497">
        <v>-4.3699999999944297E-2</v>
      </c>
      <c r="AD4497">
        <v>-6.8229999999999999E-2</v>
      </c>
      <c r="AE4497">
        <v>-0.51194000000000905</v>
      </c>
      <c r="AF4497">
        <v>1.6963512092403599E-4</v>
      </c>
      <c r="AG4497">
        <v>-6.8229999999999999E-2</v>
      </c>
      <c r="AH4497">
        <v>0.50489818251278595</v>
      </c>
      <c r="AI4497">
        <v>97.696108784568594</v>
      </c>
      <c r="AJ4497">
        <v>89.980749829456599</v>
      </c>
      <c r="AK4497">
        <v>0.50948752328274804</v>
      </c>
      <c r="AL4497">
        <v>89.8029727226521</v>
      </c>
      <c r="AM4497">
        <v>102.18712435011</v>
      </c>
      <c r="AN4497">
        <v>1.0000000207591599</v>
      </c>
    </row>
    <row r="4498" spans="1:40" x14ac:dyDescent="0.25">
      <c r="A4498" t="str">
        <f>"20190305135919877"</f>
        <v>20190305135919877</v>
      </c>
      <c r="B4498" t="str">
        <f>"1551765559873700"</f>
        <v>1551765559873700</v>
      </c>
      <c r="C4498" t="s">
        <v>40</v>
      </c>
      <c r="D4498">
        <v>3.9704079999999999</v>
      </c>
      <c r="E4498">
        <v>0.57884840000000004</v>
      </c>
      <c r="F4498" t="s">
        <v>41</v>
      </c>
      <c r="G4498">
        <v>-421.25599999999997</v>
      </c>
      <c r="H4498">
        <v>1.0438609999999999</v>
      </c>
      <c r="I4498">
        <v>94.305009999999996</v>
      </c>
      <c r="J4498">
        <v>-421.21269999999998</v>
      </c>
      <c r="K4498">
        <v>1.1107320000000001</v>
      </c>
      <c r="L4498">
        <v>94.790859999999995</v>
      </c>
      <c r="M4498">
        <v>-8.2898100000000002E-2</v>
      </c>
      <c r="N4498">
        <v>-1.054035E-2</v>
      </c>
      <c r="O4498">
        <v>-0.99650249999999996</v>
      </c>
      <c r="P4498">
        <v>0.1268397</v>
      </c>
      <c r="Q4498">
        <v>-7.2769690000000003E-3</v>
      </c>
      <c r="R4498">
        <v>-0.99189660000000002</v>
      </c>
      <c r="S4498">
        <v>-0.2587585</v>
      </c>
      <c r="T4498">
        <v>-0.26114880000000001</v>
      </c>
      <c r="U4498">
        <v>-3.0563959999999999</v>
      </c>
      <c r="V4498">
        <v>-0.20864350000000001</v>
      </c>
      <c r="W4498">
        <v>2.2838730000000001E-3</v>
      </c>
      <c r="X4498">
        <v>0.97798909999999994</v>
      </c>
      <c r="Y4498">
        <v>1.2286619999999999E-3</v>
      </c>
      <c r="Z4498">
        <v>7.4074749999999995E-2</v>
      </c>
      <c r="AA4498">
        <v>0.99725189999999997</v>
      </c>
      <c r="AB4498">
        <v>30</v>
      </c>
      <c r="AC4498">
        <v>-4.3299999999987897E-2</v>
      </c>
      <c r="AD4498">
        <v>-6.6870999999999903E-2</v>
      </c>
      <c r="AE4498">
        <v>-0.485849999999999</v>
      </c>
      <c r="AF4498">
        <v>2.8196802928618699E-3</v>
      </c>
      <c r="AG4498">
        <v>-6.6870999999999903E-2</v>
      </c>
      <c r="AH4498">
        <v>0.478768902371284</v>
      </c>
      <c r="AI4498">
        <v>97.951087446520106</v>
      </c>
      <c r="AJ4498">
        <v>89.662563897288805</v>
      </c>
      <c r="AK4498">
        <v>0.48342459920421799</v>
      </c>
      <c r="AL4498">
        <v>89.869143602781605</v>
      </c>
      <c r="AM4498">
        <v>102.042901565484</v>
      </c>
      <c r="AN4498">
        <v>1.0000000029434699</v>
      </c>
    </row>
    <row r="4499" spans="1:40" x14ac:dyDescent="0.25">
      <c r="A4499" t="str">
        <f>"20190305135919902"</f>
        <v>20190305135919902</v>
      </c>
      <c r="B4499" t="str">
        <f>"1551765559893219"</f>
        <v>1551765559893219</v>
      </c>
      <c r="C4499" t="s">
        <v>40</v>
      </c>
      <c r="D4499">
        <v>3.9494440000000002</v>
      </c>
      <c r="E4499">
        <v>0.57412799999999997</v>
      </c>
      <c r="F4499" t="s">
        <v>42</v>
      </c>
      <c r="G4499">
        <v>-422.31240000000003</v>
      </c>
      <c r="H4499" s="1">
        <v>-1.5395550000000001E-6</v>
      </c>
      <c r="I4499">
        <v>81.743650000000002</v>
      </c>
      <c r="J4499">
        <v>-421.23809999999997</v>
      </c>
      <c r="K4499">
        <v>1.110697</v>
      </c>
      <c r="L4499">
        <v>94.459779999999995</v>
      </c>
      <c r="M4499">
        <v>-8.0885819999999997E-2</v>
      </c>
      <c r="N4499">
        <v>-1.042119E-2</v>
      </c>
      <c r="O4499">
        <v>-0.99666920000000003</v>
      </c>
      <c r="P4499">
        <v>0.1270307</v>
      </c>
      <c r="Q4499">
        <v>-9.0844250000000001E-3</v>
      </c>
      <c r="R4499">
        <v>-0.99185749999999995</v>
      </c>
      <c r="S4499">
        <v>-0.25753779999999998</v>
      </c>
      <c r="T4499">
        <v>-0.26012410000000002</v>
      </c>
      <c r="U4499">
        <v>-3.055542</v>
      </c>
      <c r="V4499">
        <v>-0.2068487</v>
      </c>
      <c r="W4499">
        <v>3.7128109999999998E-4</v>
      </c>
      <c r="X4499">
        <v>0.97837289999999999</v>
      </c>
      <c r="Y4499">
        <v>2.876076E-3</v>
      </c>
      <c r="Z4499">
        <v>7.3907979999999998E-2</v>
      </c>
      <c r="AA4499">
        <v>0.99726090000000001</v>
      </c>
      <c r="AB4499">
        <v>30</v>
      </c>
      <c r="AC4499">
        <v>-1.07430000000005</v>
      </c>
      <c r="AD4499">
        <v>-1.110698539555</v>
      </c>
      <c r="AE4499">
        <v>-12.71613</v>
      </c>
      <c r="AF4499">
        <v>4.1852356565110098E-2</v>
      </c>
      <c r="AG4499">
        <v>-1.110698539555</v>
      </c>
      <c r="AH4499">
        <v>12.665416830468899</v>
      </c>
      <c r="AI4499">
        <v>95.011726568723901</v>
      </c>
      <c r="AJ4499">
        <v>89.810669108023504</v>
      </c>
      <c r="AK4499">
        <v>12.7140940044914</v>
      </c>
      <c r="AL4499">
        <v>89.978727160042595</v>
      </c>
      <c r="AM4499">
        <v>101.937742146502</v>
      </c>
      <c r="AN4499">
        <v>1.0000000269978699</v>
      </c>
    </row>
    <row r="4500" spans="1:40" x14ac:dyDescent="0.25">
      <c r="A4500" t="str">
        <f>"20190305135919922"</f>
        <v>20190305135919922</v>
      </c>
      <c r="B4500" t="str">
        <f>"1551765559913719"</f>
        <v>1551765559913719</v>
      </c>
      <c r="C4500" t="s">
        <v>40</v>
      </c>
      <c r="D4500">
        <v>3.9241609999999998</v>
      </c>
      <c r="E4500">
        <v>0.5560967</v>
      </c>
      <c r="F4500" t="s">
        <v>41</v>
      </c>
      <c r="G4500">
        <v>-421.30689999999998</v>
      </c>
      <c r="H4500">
        <v>1.040759</v>
      </c>
      <c r="I4500">
        <v>93.496369999999999</v>
      </c>
      <c r="J4500">
        <v>-421.25920000000002</v>
      </c>
      <c r="K4500">
        <v>1.110646</v>
      </c>
      <c r="L4500">
        <v>94.176760000000002</v>
      </c>
      <c r="M4500">
        <v>-7.9178189999999996E-2</v>
      </c>
      <c r="N4500">
        <v>-1.02603E-2</v>
      </c>
      <c r="O4500">
        <v>-0.99680789999999997</v>
      </c>
      <c r="P4500">
        <v>0.12797890000000001</v>
      </c>
      <c r="Q4500">
        <v>-9.5744320000000008E-3</v>
      </c>
      <c r="R4500">
        <v>-0.99173109999999998</v>
      </c>
      <c r="S4500">
        <v>-0.21704100000000001</v>
      </c>
      <c r="T4500">
        <v>-0.2215443</v>
      </c>
      <c r="U4500">
        <v>-3.0504150000000001</v>
      </c>
      <c r="V4500">
        <v>-0.20610500000000001</v>
      </c>
      <c r="W4500">
        <v>-2.6814779999999999E-4</v>
      </c>
      <c r="X4500">
        <v>0.97852989999999995</v>
      </c>
      <c r="Y4500">
        <v>-8.3661959999999994E-3</v>
      </c>
      <c r="Z4500">
        <v>6.1796230000000001E-2</v>
      </c>
      <c r="AA4500">
        <v>0.99805370000000004</v>
      </c>
      <c r="AB4500">
        <v>30</v>
      </c>
      <c r="AC4500">
        <v>-4.7699999999963397E-2</v>
      </c>
      <c r="AD4500">
        <v>-6.9887000000000005E-2</v>
      </c>
      <c r="AE4500">
        <v>-0.68039000000000205</v>
      </c>
      <c r="AF4500">
        <v>-6.2589308921933099E-3</v>
      </c>
      <c r="AG4500">
        <v>-6.9887000000000005E-2</v>
      </c>
      <c r="AH4500">
        <v>0.67494443775344104</v>
      </c>
      <c r="AI4500">
        <v>95.911361671933506</v>
      </c>
      <c r="AJ4500">
        <v>90.531303060674404</v>
      </c>
      <c r="AK4500">
        <v>0.67858187497104705</v>
      </c>
      <c r="AL4500">
        <v>90.015363736579204</v>
      </c>
      <c r="AM4500">
        <v>101.894192125092</v>
      </c>
      <c r="AN4500">
        <v>1.00000005406112</v>
      </c>
    </row>
    <row r="4501" spans="1:40" x14ac:dyDescent="0.25">
      <c r="A4501" t="str">
        <f>"20190305135919943"</f>
        <v>20190305135919943</v>
      </c>
      <c r="B4501" t="str">
        <f>"1551765559933235"</f>
        <v>1551765559933235</v>
      </c>
      <c r="C4501" t="s">
        <v>40</v>
      </c>
      <c r="D4501">
        <v>3.887486</v>
      </c>
      <c r="E4501">
        <v>0.54479009999999894</v>
      </c>
      <c r="F4501" t="s">
        <v>42</v>
      </c>
      <c r="G4501">
        <v>-421.7937</v>
      </c>
      <c r="H4501" s="1">
        <v>-5.8533710000000004E-7</v>
      </c>
      <c r="I4501">
        <v>69.841059999999999</v>
      </c>
      <c r="J4501">
        <v>-421.28059999999999</v>
      </c>
      <c r="K4501">
        <v>1.1105879999999999</v>
      </c>
      <c r="L4501">
        <v>93.884640000000005</v>
      </c>
      <c r="M4501">
        <v>-7.7432539999999994E-2</v>
      </c>
      <c r="N4501">
        <v>-1.007599E-2</v>
      </c>
      <c r="O4501">
        <v>-0.99694689999999997</v>
      </c>
      <c r="P4501">
        <v>0.12909689999999999</v>
      </c>
      <c r="Q4501">
        <v>-1.081121E-2</v>
      </c>
      <c r="R4501">
        <v>-0.99157340000000005</v>
      </c>
      <c r="S4501">
        <v>-6.658936E-2</v>
      </c>
      <c r="T4501">
        <v>-0.13838789999999901</v>
      </c>
      <c r="U4501">
        <v>-3.032257</v>
      </c>
      <c r="V4501">
        <v>-0.2054887</v>
      </c>
      <c r="W4501">
        <v>-1.675869E-3</v>
      </c>
      <c r="X4501">
        <v>0.97865800000000003</v>
      </c>
      <c r="Y4501">
        <v>-5.5526730000000003E-2</v>
      </c>
      <c r="Z4501">
        <v>3.5286049999999999E-2</v>
      </c>
      <c r="AA4501">
        <v>0.99783350000000004</v>
      </c>
      <c r="AB4501">
        <v>30</v>
      </c>
      <c r="AC4501">
        <v>-0.51310000000000799</v>
      </c>
      <c r="AD4501">
        <v>-1.11058858533709</v>
      </c>
      <c r="AE4501">
        <v>-24.043579999999999</v>
      </c>
      <c r="AF4501">
        <v>-1.3474167537239701</v>
      </c>
      <c r="AG4501">
        <v>-1.11058858533709</v>
      </c>
      <c r="AH4501">
        <v>23.9600194832447</v>
      </c>
      <c r="AI4501">
        <v>92.649679044251897</v>
      </c>
      <c r="AJ4501">
        <v>93.218697902862303</v>
      </c>
      <c r="AK4501">
        <v>24.0235607800251</v>
      </c>
      <c r="AL4501">
        <v>90.0960202706882</v>
      </c>
      <c r="AM4501">
        <v>101.858126094902</v>
      </c>
      <c r="AN4501">
        <v>0.99999994766429601</v>
      </c>
    </row>
    <row r="4502" spans="1:40" x14ac:dyDescent="0.25">
      <c r="A4502" t="str">
        <f>"20190305135919966"</f>
        <v>20190305135919966</v>
      </c>
      <c r="B4502" t="str">
        <f>"1551765559963491"</f>
        <v>1551765559963491</v>
      </c>
      <c r="C4502" t="s">
        <v>40</v>
      </c>
      <c r="D4502">
        <v>3.8154629999999998</v>
      </c>
      <c r="E4502">
        <v>0.53963879999999997</v>
      </c>
      <c r="F4502" t="s">
        <v>42</v>
      </c>
      <c r="G4502">
        <v>-421.07119999999998</v>
      </c>
      <c r="H4502" s="1">
        <v>-6.2637880000000002E-7</v>
      </c>
      <c r="I4502">
        <v>70.384799999999998</v>
      </c>
      <c r="J4502">
        <v>-421.30239999999998</v>
      </c>
      <c r="K4502">
        <v>1.110501</v>
      </c>
      <c r="L4502">
        <v>93.58081</v>
      </c>
      <c r="M4502">
        <v>-7.5641689999999998E-2</v>
      </c>
      <c r="N4502">
        <v>-9.8289850000000002E-3</v>
      </c>
      <c r="O4502">
        <v>-0.99708669999999999</v>
      </c>
      <c r="P4502">
        <v>0.13068689999999999</v>
      </c>
      <c r="Q4502">
        <v>-1.3277789999999999E-2</v>
      </c>
      <c r="R4502">
        <v>-0.99133499999999997</v>
      </c>
      <c r="S4502">
        <v>2.6916499999999999E-2</v>
      </c>
      <c r="T4502">
        <v>-0.1427445</v>
      </c>
      <c r="U4502">
        <v>-3.0204469999999999</v>
      </c>
      <c r="V4502">
        <v>-0.20528830000000001</v>
      </c>
      <c r="W4502">
        <v>-4.3740150000000002E-3</v>
      </c>
      <c r="X4502">
        <v>0.9786918</v>
      </c>
      <c r="Y4502">
        <v>-8.4497859999999994E-2</v>
      </c>
      <c r="Z4502">
        <v>3.709494E-2</v>
      </c>
      <c r="AA4502">
        <v>0.99573299999999998</v>
      </c>
      <c r="AB4502">
        <v>30</v>
      </c>
      <c r="AC4502">
        <v>0.23120000000000099</v>
      </c>
      <c r="AD4502">
        <v>-1.1105016263787999</v>
      </c>
      <c r="AE4502">
        <v>-23.196010000000001</v>
      </c>
      <c r="AF4502">
        <v>-1.9806683672946801</v>
      </c>
      <c r="AG4502">
        <v>-1.1105016263787999</v>
      </c>
      <c r="AH4502">
        <v>23.059213154445299</v>
      </c>
      <c r="AI4502">
        <v>92.747060189471597</v>
      </c>
      <c r="AJ4502">
        <v>94.909364170312898</v>
      </c>
      <c r="AK4502">
        <v>23.1707482042668</v>
      </c>
      <c r="AL4502">
        <v>90.250613390947507</v>
      </c>
      <c r="AM4502">
        <v>101.84649099425</v>
      </c>
      <c r="AN4502">
        <v>1.0000000287556701</v>
      </c>
    </row>
    <row r="4503" spans="1:40" x14ac:dyDescent="0.25">
      <c r="A4503" t="str">
        <f>"20190305135919989"</f>
        <v>20190305135919989</v>
      </c>
      <c r="B4503" t="str">
        <f>"1551765559984000"</f>
        <v>1551765559984000</v>
      </c>
      <c r="C4503" t="s">
        <v>40</v>
      </c>
      <c r="D4503">
        <v>3.8330470000000001</v>
      </c>
      <c r="E4503">
        <v>0.53844769999999997</v>
      </c>
      <c r="F4503" t="s">
        <v>42</v>
      </c>
      <c r="G4503">
        <v>-420.74290000000002</v>
      </c>
      <c r="H4503" s="1">
        <v>-4.8039629999999895E-7</v>
      </c>
      <c r="I4503">
        <v>70.248149999999995</v>
      </c>
      <c r="J4503">
        <v>-421.32459999999998</v>
      </c>
      <c r="K4503">
        <v>1.110395</v>
      </c>
      <c r="L4503">
        <v>93.263729999999995</v>
      </c>
      <c r="M4503">
        <v>-7.3815790000000006E-2</v>
      </c>
      <c r="N4503">
        <v>-9.517157E-3</v>
      </c>
      <c r="O4503">
        <v>-0.99722670000000002</v>
      </c>
      <c r="P4503">
        <v>0.1326061</v>
      </c>
      <c r="Q4503">
        <v>-1.6455640000000001E-2</v>
      </c>
      <c r="R4503">
        <v>-0.99103269999999999</v>
      </c>
      <c r="S4503">
        <v>7.2296139999999995E-2</v>
      </c>
      <c r="T4503">
        <v>-0.1434859</v>
      </c>
      <c r="U4503">
        <v>-3.0147710000000001</v>
      </c>
      <c r="V4503">
        <v>-0.2053758</v>
      </c>
      <c r="W4503">
        <v>-7.8449000000000001E-3</v>
      </c>
      <c r="X4503">
        <v>0.97865179999999996</v>
      </c>
      <c r="Y4503">
        <v>-9.7662410000000005E-2</v>
      </c>
      <c r="Z4503">
        <v>3.770855E-2</v>
      </c>
      <c r="AA4503">
        <v>0.99450499999999997</v>
      </c>
      <c r="AB4503">
        <v>31</v>
      </c>
      <c r="AC4503">
        <v>0.58169999999995503</v>
      </c>
      <c r="AD4503">
        <v>-1.1103954803963001</v>
      </c>
      <c r="AE4503">
        <v>-23.01558</v>
      </c>
      <c r="AF4503">
        <v>-2.2738135221464302</v>
      </c>
      <c r="AG4503">
        <v>-1.1103954803963001</v>
      </c>
      <c r="AH4503">
        <v>22.8566771654333</v>
      </c>
      <c r="AI4503">
        <v>92.767647735705594</v>
      </c>
      <c r="AJ4503">
        <v>95.681170440955697</v>
      </c>
      <c r="AK4503">
        <v>22.9963235561952</v>
      </c>
      <c r="AL4503">
        <v>90.449484247055906</v>
      </c>
      <c r="AM4503">
        <v>101.85186825143499</v>
      </c>
      <c r="AN4503">
        <v>1.00000005366244</v>
      </c>
    </row>
    <row r="4504" spans="1:40" x14ac:dyDescent="0.25">
      <c r="A4504" t="str">
        <f>"20190305135920012"</f>
        <v>20190305135920012</v>
      </c>
      <c r="B4504" t="str">
        <f>"1551765560003507"</f>
        <v>1551765560003507</v>
      </c>
      <c r="C4504" t="s">
        <v>40</v>
      </c>
      <c r="D4504">
        <v>3.752942</v>
      </c>
      <c r="E4504">
        <v>0.53873439999999995</v>
      </c>
      <c r="F4504" t="s">
        <v>42</v>
      </c>
      <c r="G4504">
        <v>-420.66109999999998</v>
      </c>
      <c r="H4504" s="1">
        <v>-5.8232399999999899E-7</v>
      </c>
      <c r="I4504">
        <v>70.536450000000002</v>
      </c>
      <c r="J4504">
        <v>-421.34559999999999</v>
      </c>
      <c r="K4504">
        <v>1.1102890000000001</v>
      </c>
      <c r="L4504">
        <v>92.957120000000003</v>
      </c>
      <c r="M4504">
        <v>-7.2106779999999995E-2</v>
      </c>
      <c r="N4504">
        <v>-9.1907829999999992E-3</v>
      </c>
      <c r="O4504">
        <v>-0.99735469999999904</v>
      </c>
      <c r="P4504">
        <v>0.13462209999999999</v>
      </c>
      <c r="Q4504">
        <v>-2.019102E-2</v>
      </c>
      <c r="R4504">
        <v>-0.9906914</v>
      </c>
      <c r="S4504">
        <v>8.7951660000000001E-2</v>
      </c>
      <c r="T4504">
        <v>-0.14720440000000001</v>
      </c>
      <c r="U4504">
        <v>-3.0129389999999998</v>
      </c>
      <c r="V4504">
        <v>-0.2056714</v>
      </c>
      <c r="W4504">
        <v>-1.1885730000000001E-2</v>
      </c>
      <c r="X4504">
        <v>0.97854890000000005</v>
      </c>
      <c r="Y4504">
        <v>-0.10113229999999999</v>
      </c>
      <c r="Z4504">
        <v>3.9281669999999998E-2</v>
      </c>
      <c r="AA4504">
        <v>0.99409720000000001</v>
      </c>
      <c r="AB4504">
        <v>31</v>
      </c>
      <c r="AC4504">
        <v>0.68450000000001399</v>
      </c>
      <c r="AD4504">
        <v>-1.11028958232399</v>
      </c>
      <c r="AE4504">
        <v>-22.420669999999902</v>
      </c>
      <c r="AF4504">
        <v>-2.2938484487226498</v>
      </c>
      <c r="AG4504">
        <v>-1.11028958232399</v>
      </c>
      <c r="AH4504">
        <v>22.258409380044199</v>
      </c>
      <c r="AI4504">
        <v>92.840630211227193</v>
      </c>
      <c r="AJ4504">
        <v>95.883866310558801</v>
      </c>
      <c r="AK4504">
        <v>22.403822704886</v>
      </c>
      <c r="AL4504">
        <v>90.681018219425894</v>
      </c>
      <c r="AM4504">
        <v>101.869655962305</v>
      </c>
      <c r="AN4504">
        <v>0.999999972523401</v>
      </c>
    </row>
    <row r="4505" spans="1:40" x14ac:dyDescent="0.25">
      <c r="A4505" t="str">
        <f>"20190305135920034"</f>
        <v>20190305135920034</v>
      </c>
      <c r="B4505" t="str">
        <f>"1551765560024006"</f>
        <v>1551765560024006</v>
      </c>
      <c r="C4505" t="s">
        <v>40</v>
      </c>
      <c r="D4505">
        <v>3.7522329999999999</v>
      </c>
      <c r="E4505">
        <v>0.53891959999999905</v>
      </c>
      <c r="F4505" t="s">
        <v>42</v>
      </c>
      <c r="G4505">
        <v>-420.65570000000002</v>
      </c>
      <c r="H4505" s="1">
        <v>-5.5091099999999998E-7</v>
      </c>
      <c r="I4505">
        <v>70.4666</v>
      </c>
      <c r="J4505">
        <v>-421.36630000000002</v>
      </c>
      <c r="K4505">
        <v>1.110174</v>
      </c>
      <c r="L4505">
        <v>92.647829999999999</v>
      </c>
      <c r="M4505">
        <v>-7.0450509999999994E-2</v>
      </c>
      <c r="N4505">
        <v>-8.8618969999999901E-3</v>
      </c>
      <c r="O4505">
        <v>-0.99747589999999997</v>
      </c>
      <c r="P4505">
        <v>0.13714309999999999</v>
      </c>
      <c r="Q4505">
        <v>-2.181963E-2</v>
      </c>
      <c r="R4505">
        <v>-0.99031069999999999</v>
      </c>
      <c r="S4505">
        <v>9.2407230000000007E-2</v>
      </c>
      <c r="T4505">
        <v>-0.1487231</v>
      </c>
      <c r="U4505">
        <v>-3.0126040000000001</v>
      </c>
      <c r="V4505">
        <v>-0.2065295</v>
      </c>
      <c r="W4505">
        <v>-1.382098E-2</v>
      </c>
      <c r="X4505">
        <v>0.97834279999999996</v>
      </c>
      <c r="Y4505">
        <v>-0.1009521</v>
      </c>
      <c r="Z4505">
        <v>4.0123060000000002E-2</v>
      </c>
      <c r="AA4505">
        <v>0.99408189999999996</v>
      </c>
      <c r="AB4505">
        <v>31</v>
      </c>
      <c r="AC4505">
        <v>0.71059999999999901</v>
      </c>
      <c r="AD4505">
        <v>-1.1101745509109999</v>
      </c>
      <c r="AE4505">
        <v>-22.181229999999999</v>
      </c>
      <c r="AF4505">
        <v>-2.2659042464044399</v>
      </c>
      <c r="AG4505">
        <v>-1.1101745509109999</v>
      </c>
      <c r="AH4505">
        <v>22.020940976695599</v>
      </c>
      <c r="AI4505">
        <v>92.8709609527928</v>
      </c>
      <c r="AJ4505">
        <v>95.874927872944397</v>
      </c>
      <c r="AK4505">
        <v>22.165032169759499</v>
      </c>
      <c r="AL4505">
        <v>90.791909000862105</v>
      </c>
      <c r="AM4505">
        <v>101.920203924159</v>
      </c>
      <c r="AN4505">
        <v>1.00000004408512</v>
      </c>
    </row>
    <row r="4506" spans="1:40" x14ac:dyDescent="0.25">
      <c r="A4506" t="str">
        <f>"20190305135920057"</f>
        <v>20190305135920057</v>
      </c>
      <c r="B4506" t="str">
        <f>"1551765560053284"</f>
        <v>1551765560053284</v>
      </c>
      <c r="C4506" t="s">
        <v>40</v>
      </c>
      <c r="D4506">
        <v>3.7772450000000002</v>
      </c>
      <c r="E4506">
        <v>0.53857549999999998</v>
      </c>
      <c r="F4506" t="s">
        <v>42</v>
      </c>
      <c r="G4506">
        <v>-420.62240000000003</v>
      </c>
      <c r="H4506" s="1">
        <v>-3.466682E-7</v>
      </c>
      <c r="I4506">
        <v>70.011160000000004</v>
      </c>
      <c r="J4506">
        <v>-421.38659999999999</v>
      </c>
      <c r="K4506">
        <v>1.1100779999999999</v>
      </c>
      <c r="L4506">
        <v>92.337919999999997</v>
      </c>
      <c r="M4506">
        <v>-6.8865599999999999E-2</v>
      </c>
      <c r="N4506">
        <v>-8.5488319999999993E-3</v>
      </c>
      <c r="O4506">
        <v>-0.99758950000000002</v>
      </c>
      <c r="P4506">
        <v>0.13971600000000001</v>
      </c>
      <c r="Q4506">
        <v>-2.2257530000000001E-2</v>
      </c>
      <c r="R4506">
        <v>-0.98994199999999999</v>
      </c>
      <c r="S4506">
        <v>9.8999019999999993E-2</v>
      </c>
      <c r="T4506">
        <v>-0.14773729999999999</v>
      </c>
      <c r="U4506">
        <v>-3.0123899999999999</v>
      </c>
      <c r="V4506">
        <v>-0.20751530000000001</v>
      </c>
      <c r="W4506">
        <v>-1.454742E-2</v>
      </c>
      <c r="X4506">
        <v>0.97812359999999998</v>
      </c>
      <c r="Y4506">
        <v>-0.1015474</v>
      </c>
      <c r="Z4506">
        <v>4.0120120000000002E-2</v>
      </c>
      <c r="AA4506">
        <v>0.99402140000000005</v>
      </c>
      <c r="AB4506">
        <v>31</v>
      </c>
      <c r="AC4506">
        <v>0.76419999999995902</v>
      </c>
      <c r="AD4506">
        <v>-1.1100783466681901</v>
      </c>
      <c r="AE4506">
        <v>-22.32676</v>
      </c>
      <c r="AF4506">
        <v>-2.2943222226991802</v>
      </c>
      <c r="AG4506">
        <v>-1.1100783466681901</v>
      </c>
      <c r="AH4506">
        <v>22.166390086137799</v>
      </c>
      <c r="AI4506">
        <v>92.851730609932503</v>
      </c>
      <c r="AJ4506">
        <v>95.909331205452702</v>
      </c>
      <c r="AK4506">
        <v>22.312441324250901</v>
      </c>
      <c r="AL4506">
        <v>90.833535168700905</v>
      </c>
      <c r="AM4506">
        <v>101.978068366884</v>
      </c>
      <c r="AN4506">
        <v>1.0000000020198501</v>
      </c>
    </row>
    <row r="4507" spans="1:40" x14ac:dyDescent="0.25">
      <c r="A4507" t="str">
        <f>"20190305135920079"</f>
        <v>20190305135920079</v>
      </c>
      <c r="B4507" t="str">
        <f>"1551765560073779"</f>
        <v>1551765560073779</v>
      </c>
      <c r="C4507" t="s">
        <v>40</v>
      </c>
      <c r="D4507">
        <v>3.807604</v>
      </c>
      <c r="E4507">
        <v>0.53832250000000004</v>
      </c>
      <c r="F4507" t="s">
        <v>42</v>
      </c>
      <c r="G4507">
        <v>-420.54950000000002</v>
      </c>
      <c r="H4507" s="1">
        <v>-4.3224630000000002E-6</v>
      </c>
      <c r="I4507">
        <v>69.402109999999993</v>
      </c>
      <c r="J4507">
        <v>-421.40589999999997</v>
      </c>
      <c r="K4507">
        <v>1.1099939999999999</v>
      </c>
      <c r="L4507">
        <v>92.037480000000002</v>
      </c>
      <c r="M4507">
        <v>-6.7404930000000002E-2</v>
      </c>
      <c r="N4507">
        <v>-8.2681179999999996E-3</v>
      </c>
      <c r="O4507">
        <v>-0.99769160000000001</v>
      </c>
      <c r="P4507">
        <v>0.141617299999999</v>
      </c>
      <c r="Q4507">
        <v>-2.2650130000000001E-2</v>
      </c>
      <c r="R4507">
        <v>-0.9896625</v>
      </c>
      <c r="S4507">
        <v>0.1099243</v>
      </c>
      <c r="T4507">
        <v>-0.14576439999999999</v>
      </c>
      <c r="U4507">
        <v>-3.0116879999999999</v>
      </c>
      <c r="V4507">
        <v>-0.20796049999999999</v>
      </c>
      <c r="W4507">
        <v>-1.5194279999999999E-2</v>
      </c>
      <c r="X4507">
        <v>0.97801919999999998</v>
      </c>
      <c r="Y4507">
        <v>-0.103701</v>
      </c>
      <c r="Z4507">
        <v>3.976147E-2</v>
      </c>
      <c r="AA4507">
        <v>0.99381350000000002</v>
      </c>
      <c r="AB4507">
        <v>31</v>
      </c>
      <c r="AC4507">
        <v>0.85639999999995098</v>
      </c>
      <c r="AD4507">
        <v>-1.1099983224629999</v>
      </c>
      <c r="AE4507">
        <v>-22.635370000000002</v>
      </c>
      <c r="AF4507">
        <v>-2.37453760095597</v>
      </c>
      <c r="AG4507">
        <v>-1.1099983224629999</v>
      </c>
      <c r="AH4507">
        <v>22.472196648937</v>
      </c>
      <c r="AI4507">
        <v>92.812156175034602</v>
      </c>
      <c r="AJ4507">
        <v>96.031809177170402</v>
      </c>
      <c r="AK4507">
        <v>22.624547450119799</v>
      </c>
      <c r="AL4507">
        <v>90.8706016214702</v>
      </c>
      <c r="AM4507">
        <v>102.004265509939</v>
      </c>
      <c r="AN4507">
        <v>0.99999999563680397</v>
      </c>
    </row>
    <row r="4508" spans="1:40" x14ac:dyDescent="0.25">
      <c r="A4508" t="str">
        <f>"20190305135920103"</f>
        <v>20190305135920103</v>
      </c>
      <c r="B4508" t="str">
        <f>"1551765560093299"</f>
        <v>1551765560093299</v>
      </c>
      <c r="C4508" t="s">
        <v>40</v>
      </c>
      <c r="D4508">
        <v>3.8066719999999998</v>
      </c>
      <c r="E4508">
        <v>0.53814700000000004</v>
      </c>
      <c r="F4508" t="s">
        <v>42</v>
      </c>
      <c r="G4508">
        <v>-420.50729999999999</v>
      </c>
      <c r="H4508" s="1">
        <v>-4.2028769999999996E-6</v>
      </c>
      <c r="I4508">
        <v>69.072689999999994</v>
      </c>
      <c r="J4508">
        <v>-421.42649999999998</v>
      </c>
      <c r="K4508">
        <v>1.1099159999999999</v>
      </c>
      <c r="L4508">
        <v>91.710660000000004</v>
      </c>
      <c r="M4508">
        <v>-6.5899189999999996E-2</v>
      </c>
      <c r="N4508">
        <v>-7.9923400000000006E-3</v>
      </c>
      <c r="O4508">
        <v>-0.99779430000000002</v>
      </c>
      <c r="P4508">
        <v>0.1432937</v>
      </c>
      <c r="Q4508">
        <v>-2.3287390000000002E-2</v>
      </c>
      <c r="R4508">
        <v>-0.98940620000000001</v>
      </c>
      <c r="S4508">
        <v>0.1178284</v>
      </c>
      <c r="T4508">
        <v>-0.145542899999999</v>
      </c>
      <c r="U4508">
        <v>-3.011139</v>
      </c>
      <c r="V4508">
        <v>-0.20813950000000001</v>
      </c>
      <c r="W4508">
        <v>-1.6078889999999998E-2</v>
      </c>
      <c r="X4508">
        <v>0.97796700000000003</v>
      </c>
      <c r="Y4508">
        <v>-0.10481169999999999</v>
      </c>
      <c r="Z4508">
        <v>3.9974870000000003E-2</v>
      </c>
      <c r="AA4508">
        <v>0.99368829999999997</v>
      </c>
      <c r="AB4508">
        <v>31</v>
      </c>
      <c r="AC4508">
        <v>0.91919999999998903</v>
      </c>
      <c r="AD4508">
        <v>-1.1099202028770001</v>
      </c>
      <c r="AE4508">
        <v>-22.637969999999999</v>
      </c>
      <c r="AF4508">
        <v>-2.4033056028705402</v>
      </c>
      <c r="AG4508">
        <v>-1.1099202028770001</v>
      </c>
      <c r="AH4508">
        <v>22.474245971883899</v>
      </c>
      <c r="AI4508">
        <v>92.811327743290903</v>
      </c>
      <c r="AJ4508">
        <v>96.103784862448194</v>
      </c>
      <c r="AK4508">
        <v>22.629616273421</v>
      </c>
      <c r="AL4508">
        <v>90.921292219977801</v>
      </c>
      <c r="AM4508">
        <v>102.01492060433</v>
      </c>
      <c r="AN4508">
        <v>1.0000000176264401</v>
      </c>
    </row>
    <row r="4509" spans="1:40" x14ac:dyDescent="0.25">
      <c r="A4509" t="str">
        <f>"20190305135920122"</f>
        <v>20190305135920122</v>
      </c>
      <c r="B4509" t="str">
        <f>"1551765560113796"</f>
        <v>1551765560113796</v>
      </c>
      <c r="C4509" t="s">
        <v>40</v>
      </c>
      <c r="D4509">
        <v>4.0825529999999999</v>
      </c>
      <c r="E4509">
        <v>0.53822550000000002</v>
      </c>
      <c r="F4509" t="s">
        <v>42</v>
      </c>
      <c r="G4509">
        <v>-420.48329999999999</v>
      </c>
      <c r="H4509" s="1">
        <v>-4.113105E-6</v>
      </c>
      <c r="I4509">
        <v>68.877069999999904</v>
      </c>
      <c r="J4509">
        <v>-421.4443</v>
      </c>
      <c r="K4509">
        <v>1.1098600000000001</v>
      </c>
      <c r="L4509">
        <v>91.421840000000003</v>
      </c>
      <c r="M4509">
        <v>-6.4620319999999995E-2</v>
      </c>
      <c r="N4509">
        <v>-7.7718419999999898E-3</v>
      </c>
      <c r="O4509">
        <v>-0.99787990000000004</v>
      </c>
      <c r="P4509">
        <v>0.14405770000000001</v>
      </c>
      <c r="Q4509">
        <v>-2.3766889999999999E-2</v>
      </c>
      <c r="R4509">
        <v>-0.98928430000000001</v>
      </c>
      <c r="S4509">
        <v>0.1243591</v>
      </c>
      <c r="T4509">
        <v>-0.14634639999999999</v>
      </c>
      <c r="U4509">
        <v>-3.0106809999999999</v>
      </c>
      <c r="V4509">
        <v>-0.20763960000000001</v>
      </c>
      <c r="W4509">
        <v>-1.6754769999999999E-2</v>
      </c>
      <c r="X4509">
        <v>0.97806190000000004</v>
      </c>
      <c r="Y4509">
        <v>-0.1056945</v>
      </c>
      <c r="Z4509">
        <v>4.0468499999999998E-2</v>
      </c>
      <c r="AA4509">
        <v>0.99357490000000004</v>
      </c>
      <c r="AB4509">
        <v>31</v>
      </c>
      <c r="AC4509">
        <v>0.96100000000001196</v>
      </c>
      <c r="AD4509">
        <v>-1.109864113105</v>
      </c>
      <c r="AE4509">
        <v>-22.54477</v>
      </c>
      <c r="AF4509">
        <v>-2.41005497433577</v>
      </c>
      <c r="AG4509">
        <v>-1.109864113105</v>
      </c>
      <c r="AH4509">
        <v>22.381401309472</v>
      </c>
      <c r="AI4509">
        <v>92.822605926395696</v>
      </c>
      <c r="AJ4509">
        <v>96.145993554497807</v>
      </c>
      <c r="AK4509">
        <v>22.538129645214902</v>
      </c>
      <c r="AL4509">
        <v>90.960022525011993</v>
      </c>
      <c r="AM4509">
        <v>101.985769925049</v>
      </c>
      <c r="AN4509">
        <v>1.0000000030187599</v>
      </c>
    </row>
    <row r="4510" spans="1:40" x14ac:dyDescent="0.25">
      <c r="A4510" t="str">
        <f>"20190305135920145"</f>
        <v>20190305135920145</v>
      </c>
      <c r="B4510" t="str">
        <f>"1551765560133315"</f>
        <v>1551765560133315</v>
      </c>
      <c r="C4510" t="s">
        <v>40</v>
      </c>
      <c r="D4510">
        <v>3.792319</v>
      </c>
      <c r="E4510">
        <v>0.53818089999999996</v>
      </c>
      <c r="F4510" t="s">
        <v>42</v>
      </c>
      <c r="G4510">
        <v>-420.47519999999997</v>
      </c>
      <c r="H4510" s="1">
        <v>-3.8630059999999999E-6</v>
      </c>
      <c r="I4510">
        <v>68.299160000000001</v>
      </c>
      <c r="J4510">
        <v>-421.46300000000002</v>
      </c>
      <c r="K4510">
        <v>1.109812</v>
      </c>
      <c r="L4510">
        <v>91.114590000000007</v>
      </c>
      <c r="M4510">
        <v>-6.3309799999999999E-2</v>
      </c>
      <c r="N4510">
        <v>-7.562175E-3</v>
      </c>
      <c r="O4510">
        <v>-0.99796560000000001</v>
      </c>
      <c r="P4510">
        <v>0.14442659999999999</v>
      </c>
      <c r="Q4510">
        <v>-2.359588E-2</v>
      </c>
      <c r="R4510">
        <v>-0.98923470000000002</v>
      </c>
      <c r="S4510">
        <v>0.1261902</v>
      </c>
      <c r="T4510">
        <v>-0.14450940000000001</v>
      </c>
      <c r="U4510">
        <v>-3.0106809999999999</v>
      </c>
      <c r="V4510">
        <v>-0.20672119999999999</v>
      </c>
      <c r="W4510">
        <v>-1.676975E-2</v>
      </c>
      <c r="X4510">
        <v>0.97825620000000002</v>
      </c>
      <c r="Y4510">
        <v>-0.1049935</v>
      </c>
      <c r="Z4510">
        <v>4.0081169999999999E-2</v>
      </c>
      <c r="AA4510">
        <v>0.99366489999999996</v>
      </c>
      <c r="AB4510">
        <v>31</v>
      </c>
      <c r="AC4510">
        <v>0.98780000000004897</v>
      </c>
      <c r="AD4510">
        <v>-1.109815863006</v>
      </c>
      <c r="AE4510">
        <v>-22.815429999999999</v>
      </c>
      <c r="AF4510">
        <v>-2.4245732235843902</v>
      </c>
      <c r="AG4510">
        <v>-1.109815863006</v>
      </c>
      <c r="AH4510">
        <v>22.653616852402099</v>
      </c>
      <c r="AI4510">
        <v>92.788814090753704</v>
      </c>
      <c r="AJ4510">
        <v>96.109002144326098</v>
      </c>
      <c r="AK4510">
        <v>22.8100110272165</v>
      </c>
      <c r="AL4510">
        <v>90.960880904752599</v>
      </c>
      <c r="AM4510">
        <v>101.931977191199</v>
      </c>
      <c r="AN4510">
        <v>1.00000003594147</v>
      </c>
    </row>
    <row r="4511" spans="1:40" x14ac:dyDescent="0.25">
      <c r="A4511" t="str">
        <f>"20190305135920167"</f>
        <v>20190305135920167</v>
      </c>
      <c r="B4511" t="str">
        <f>"1551765560163572"</f>
        <v>1551765560163572</v>
      </c>
      <c r="C4511" t="s">
        <v>40</v>
      </c>
      <c r="D4511">
        <v>3.7813789999999998</v>
      </c>
      <c r="E4511">
        <v>0.53819229999999996</v>
      </c>
      <c r="F4511" t="s">
        <v>42</v>
      </c>
      <c r="G4511">
        <v>-420.4599</v>
      </c>
      <c r="H4511" s="1">
        <v>-3.5303349999999998E-6</v>
      </c>
      <c r="I4511">
        <v>67.53313</v>
      </c>
      <c r="J4511">
        <v>-421.48169999999999</v>
      </c>
      <c r="K4511">
        <v>1.1097680000000001</v>
      </c>
      <c r="L4511">
        <v>90.798490000000001</v>
      </c>
      <c r="M4511">
        <v>-6.2007960000000001E-2</v>
      </c>
      <c r="N4511">
        <v>-7.3712630000000003E-3</v>
      </c>
      <c r="O4511">
        <v>-0.99804850000000001</v>
      </c>
      <c r="P4511">
        <v>0.1442852</v>
      </c>
      <c r="Q4511">
        <v>-2.2561810000000002E-2</v>
      </c>
      <c r="R4511">
        <v>-0.98927900000000002</v>
      </c>
      <c r="S4511">
        <v>0.12805179999999999</v>
      </c>
      <c r="T4511">
        <v>-0.14168749999999999</v>
      </c>
      <c r="U4511">
        <v>-3.0105900000000001</v>
      </c>
      <c r="V4511">
        <v>-0.2053104</v>
      </c>
      <c r="W4511">
        <v>-1.5902840000000001E-2</v>
      </c>
      <c r="X4511">
        <v>0.97856770000000004</v>
      </c>
      <c r="Y4511">
        <v>-0.10431310000000001</v>
      </c>
      <c r="Z4511">
        <v>3.9351850000000001E-2</v>
      </c>
      <c r="AA4511">
        <v>0.99376569999999997</v>
      </c>
      <c r="AB4511">
        <v>31</v>
      </c>
      <c r="AC4511">
        <v>1.0217999999999801</v>
      </c>
      <c r="AD4511">
        <v>-1.109771530335</v>
      </c>
      <c r="AE4511">
        <v>-23.265360000000001</v>
      </c>
      <c r="AF4511">
        <v>-2.45693060340616</v>
      </c>
      <c r="AG4511">
        <v>-1.109771530335</v>
      </c>
      <c r="AH4511">
        <v>23.104755416655401</v>
      </c>
      <c r="AI4511">
        <v>92.734533231326495</v>
      </c>
      <c r="AJ4511">
        <v>96.069950128164805</v>
      </c>
      <c r="AK4511">
        <v>23.261509488916701</v>
      </c>
      <c r="AL4511">
        <v>90.911204022430894</v>
      </c>
      <c r="AM4511">
        <v>101.849190300046</v>
      </c>
      <c r="AN4511">
        <v>1.00000000207575</v>
      </c>
    </row>
    <row r="4512" spans="1:40" x14ac:dyDescent="0.25">
      <c r="A4512" t="str">
        <f>"20190305135920190"</f>
        <v>20190305135920190</v>
      </c>
      <c r="B4512" t="str">
        <f>"1551765560184067"</f>
        <v>1551765560184067</v>
      </c>
      <c r="C4512" t="s">
        <v>40</v>
      </c>
      <c r="D4512">
        <v>3.7990789999999999</v>
      </c>
      <c r="E4512">
        <v>0.53812919999999997</v>
      </c>
      <c r="F4512" t="s">
        <v>42</v>
      </c>
      <c r="G4512">
        <v>-420.4427</v>
      </c>
      <c r="H4512" s="1">
        <v>-2.999554E-6</v>
      </c>
      <c r="I4512">
        <v>66.306529999999995</v>
      </c>
      <c r="J4512">
        <v>-421.5009</v>
      </c>
      <c r="K4512">
        <v>1.1097379999999999</v>
      </c>
      <c r="L4512">
        <v>90.468779999999995</v>
      </c>
      <c r="M4512">
        <v>-6.0692089999999997E-2</v>
      </c>
      <c r="N4512">
        <v>-7.1937909999999997E-3</v>
      </c>
      <c r="O4512">
        <v>-0.99813059999999998</v>
      </c>
      <c r="P4512">
        <v>0.14423620000000001</v>
      </c>
      <c r="Q4512">
        <v>-2.1350149999999998E-2</v>
      </c>
      <c r="R4512">
        <v>-0.9893132</v>
      </c>
      <c r="S4512">
        <v>0.1277161</v>
      </c>
      <c r="T4512">
        <v>-0.13642309999999999</v>
      </c>
      <c r="U4512">
        <v>-3.0107729999999999</v>
      </c>
      <c r="V4512">
        <v>-0.2039772</v>
      </c>
      <c r="W4512">
        <v>-1.484657E-2</v>
      </c>
      <c r="X4512">
        <v>0.97886309999999999</v>
      </c>
      <c r="Y4512">
        <v>-0.1028927</v>
      </c>
      <c r="Z4512">
        <v>3.7802849999999999E-2</v>
      </c>
      <c r="AA4512">
        <v>0.99397389999999997</v>
      </c>
      <c r="AB4512">
        <v>32</v>
      </c>
      <c r="AC4512">
        <v>1.05819999999999</v>
      </c>
      <c r="AD4512">
        <v>-1.109740999554</v>
      </c>
      <c r="AE4512">
        <v>-24.16225</v>
      </c>
      <c r="AF4512">
        <v>-2.51744431367552</v>
      </c>
      <c r="AG4512">
        <v>-1.109740999554</v>
      </c>
      <c r="AH4512">
        <v>24.002943425091502</v>
      </c>
      <c r="AI4512">
        <v>92.632681983121699</v>
      </c>
      <c r="AJ4512">
        <v>95.987329196213096</v>
      </c>
      <c r="AK4512">
        <v>24.160098179160901</v>
      </c>
      <c r="AL4512">
        <v>90.850677017191899</v>
      </c>
      <c r="AM4512">
        <v>101.770947258307</v>
      </c>
      <c r="AN4512">
        <v>1.0000000436511001</v>
      </c>
    </row>
    <row r="4513" spans="1:40" x14ac:dyDescent="0.25">
      <c r="A4513" t="str">
        <f>"20190305135920213"</f>
        <v>20190305135920213</v>
      </c>
      <c r="B4513" t="str">
        <f>"1551765560203587"</f>
        <v>1551765560203587</v>
      </c>
      <c r="C4513" t="s">
        <v>40</v>
      </c>
      <c r="D4513">
        <v>3.9073190000000002</v>
      </c>
      <c r="E4513">
        <v>0.53833089999999995</v>
      </c>
      <c r="F4513" t="s">
        <v>42</v>
      </c>
      <c r="G4513">
        <v>-420.41950000000003</v>
      </c>
      <c r="H4513" s="1">
        <v>-2.4422519999999998E-6</v>
      </c>
      <c r="I4513">
        <v>65.021900000000002</v>
      </c>
      <c r="J4513">
        <v>-421.51900000000001</v>
      </c>
      <c r="K4513">
        <v>1.1097049999999999</v>
      </c>
      <c r="L4513">
        <v>90.150970000000001</v>
      </c>
      <c r="M4513">
        <v>-5.9458520000000001E-2</v>
      </c>
      <c r="N4513">
        <v>-7.0370569999999898E-3</v>
      </c>
      <c r="O4513">
        <v>-0.99820609999999999</v>
      </c>
      <c r="P4513">
        <v>0.1437621</v>
      </c>
      <c r="Q4513">
        <v>-2.1520520000000001E-2</v>
      </c>
      <c r="R4513">
        <v>-0.98937839999999999</v>
      </c>
      <c r="S4513">
        <v>0.1279602</v>
      </c>
      <c r="T4513">
        <v>-0.1313066</v>
      </c>
      <c r="U4513">
        <v>-3.0109249999999999</v>
      </c>
      <c r="V4513">
        <v>-0.20229800000000001</v>
      </c>
      <c r="W4513">
        <v>-1.515201E-2</v>
      </c>
      <c r="X4513">
        <v>0.97920680000000004</v>
      </c>
      <c r="Y4513">
        <v>-0.1017453</v>
      </c>
      <c r="Z4513">
        <v>3.6280100000000003E-2</v>
      </c>
      <c r="AA4513">
        <v>0.9941487</v>
      </c>
      <c r="AB4513">
        <v>32</v>
      </c>
      <c r="AC4513">
        <v>1.0994999999999699</v>
      </c>
      <c r="AD4513">
        <v>-1.1097074422519999</v>
      </c>
      <c r="AE4513">
        <v>-25.129069999999999</v>
      </c>
      <c r="AF4513">
        <v>-2.5866940034695598</v>
      </c>
      <c r="AG4513">
        <v>-1.1097074422519999</v>
      </c>
      <c r="AH4513">
        <v>24.970629634165899</v>
      </c>
      <c r="AI4513">
        <v>92.531053137936993</v>
      </c>
      <c r="AJ4513">
        <v>95.914144520197297</v>
      </c>
      <c r="AK4513">
        <v>25.128764012614301</v>
      </c>
      <c r="AL4513">
        <v>90.868179436953298</v>
      </c>
      <c r="AM4513">
        <v>101.672730814392</v>
      </c>
      <c r="AN4513">
        <v>1.00000001068864</v>
      </c>
    </row>
    <row r="4514" spans="1:40" x14ac:dyDescent="0.25">
      <c r="A4514" t="str">
        <f>"20190305135920235"</f>
        <v>20190305135920235</v>
      </c>
      <c r="B4514" t="str">
        <f>"1551765560224084"</f>
        <v>1551765560224084</v>
      </c>
      <c r="C4514" t="s">
        <v>40</v>
      </c>
      <c r="D4514">
        <v>3.804621</v>
      </c>
      <c r="E4514">
        <v>0.53831419999999996</v>
      </c>
      <c r="F4514" t="s">
        <v>42</v>
      </c>
      <c r="G4514">
        <v>-420.44600000000003</v>
      </c>
      <c r="H4514" s="1">
        <v>-2.1242949999999998E-6</v>
      </c>
      <c r="I4514">
        <v>64.264259999999993</v>
      </c>
      <c r="J4514">
        <v>-421.53629999999998</v>
      </c>
      <c r="K4514">
        <v>1.109667</v>
      </c>
      <c r="L4514">
        <v>89.842770000000002</v>
      </c>
      <c r="M4514">
        <v>-5.8291990000000002E-2</v>
      </c>
      <c r="N4514">
        <v>-6.8917049999999997E-3</v>
      </c>
      <c r="O4514">
        <v>-0.99827600000000005</v>
      </c>
      <c r="P4514">
        <v>0.14356189999999999</v>
      </c>
      <c r="Q4514">
        <v>-2.160198E-2</v>
      </c>
      <c r="R4514">
        <v>-0.9894058</v>
      </c>
      <c r="S4514">
        <v>0.124816899999999</v>
      </c>
      <c r="T4514">
        <v>-0.12908629999999999</v>
      </c>
      <c r="U4514">
        <v>-3.0112610000000002</v>
      </c>
      <c r="V4514">
        <v>-0.2009552</v>
      </c>
      <c r="W4514">
        <v>-1.5359630000000001E-2</v>
      </c>
      <c r="X4514">
        <v>0.97948000000000002</v>
      </c>
      <c r="Y4514">
        <v>-9.9543770000000004E-2</v>
      </c>
      <c r="Z4514">
        <v>3.5699910000000001E-2</v>
      </c>
      <c r="AA4514">
        <v>0.99439259999999996</v>
      </c>
      <c r="AB4514">
        <v>32</v>
      </c>
      <c r="AC4514">
        <v>1.09030000000001</v>
      </c>
      <c r="AD4514">
        <v>-1.1096691242950001</v>
      </c>
      <c r="AE4514">
        <v>-25.578510000000001</v>
      </c>
      <c r="AF4514">
        <v>-2.5746663612403702</v>
      </c>
      <c r="AG4514">
        <v>-1.1096691242950001</v>
      </c>
      <c r="AH4514">
        <v>25.4236939195624</v>
      </c>
      <c r="AI4514">
        <v>92.486503462141599</v>
      </c>
      <c r="AJ4514">
        <v>95.782649034329694</v>
      </c>
      <c r="AK4514">
        <v>25.577812356663902</v>
      </c>
      <c r="AL4514">
        <v>90.880076588891299</v>
      </c>
      <c r="AM4514">
        <v>101.594208890381</v>
      </c>
      <c r="AN4514">
        <v>0.99999999052038802</v>
      </c>
    </row>
    <row r="4515" spans="1:40" x14ac:dyDescent="0.25">
      <c r="A4515" t="str">
        <f>"20190305135920257"</f>
        <v>20190305135920257</v>
      </c>
      <c r="B4515" t="str">
        <f>"1551765560253364"</f>
        <v>1551765560253364</v>
      </c>
      <c r="C4515" t="s">
        <v>40</v>
      </c>
      <c r="D4515">
        <v>3.847753</v>
      </c>
      <c r="E4515">
        <v>0.5381724</v>
      </c>
      <c r="F4515" t="s">
        <v>42</v>
      </c>
      <c r="G4515">
        <v>-420.45740000000001</v>
      </c>
      <c r="H4515" s="1">
        <v>-1.9238149999999999E-6</v>
      </c>
      <c r="I4515">
        <v>63.789869999999901</v>
      </c>
      <c r="J4515">
        <v>-421.55380000000002</v>
      </c>
      <c r="K4515">
        <v>1.109623</v>
      </c>
      <c r="L4515">
        <v>89.522369999999995</v>
      </c>
      <c r="M4515">
        <v>-5.7109130000000001E-2</v>
      </c>
      <c r="N4515">
        <v>-6.7466160000000004E-3</v>
      </c>
      <c r="O4515">
        <v>-0.99834520000000004</v>
      </c>
      <c r="P4515">
        <v>0.14389089999999999</v>
      </c>
      <c r="Q4515">
        <v>-2.2229510000000001E-2</v>
      </c>
      <c r="R4515">
        <v>-0.9893438</v>
      </c>
      <c r="S4515">
        <v>0.12469479999999999</v>
      </c>
      <c r="T4515">
        <v>-0.12825699999999901</v>
      </c>
      <c r="U4515">
        <v>-3.0112299999999999</v>
      </c>
      <c r="V4515">
        <v>-0.20011860000000001</v>
      </c>
      <c r="W4515">
        <v>-1.6115109999999998E-2</v>
      </c>
      <c r="X4515">
        <v>0.97963920000000004</v>
      </c>
      <c r="Y4515">
        <v>-9.8325750000000003E-2</v>
      </c>
      <c r="Z4515">
        <v>3.5579449999999999E-2</v>
      </c>
      <c r="AA4515">
        <v>0.99451800000000001</v>
      </c>
      <c r="AB4515">
        <v>32</v>
      </c>
      <c r="AC4515">
        <v>1.09640000000001</v>
      </c>
      <c r="AD4515">
        <v>-1.109624923815</v>
      </c>
      <c r="AE4515">
        <v>-25.732500000000002</v>
      </c>
      <c r="AF4515">
        <v>-2.55945398891788</v>
      </c>
      <c r="AG4515">
        <v>-1.109624923815</v>
      </c>
      <c r="AH4515">
        <v>25.580405561172999</v>
      </c>
      <c r="AI4515">
        <v>92.471490058475993</v>
      </c>
      <c r="AJ4515">
        <v>95.7137276255758</v>
      </c>
      <c r="AK4515">
        <v>25.732066004637701</v>
      </c>
      <c r="AL4515">
        <v>90.923367706086793</v>
      </c>
      <c r="AM4515">
        <v>101.545413733844</v>
      </c>
      <c r="AN4515">
        <v>1.00000005650645</v>
      </c>
    </row>
    <row r="4516" spans="1:40" x14ac:dyDescent="0.25">
      <c r="A4516" t="str">
        <f>"20190305135920280"</f>
        <v>20190305135920280</v>
      </c>
      <c r="B4516" t="str">
        <f>"1551765560273860"</f>
        <v>1551765560273860</v>
      </c>
      <c r="C4516" t="s">
        <v>40</v>
      </c>
      <c r="D4516">
        <v>3.8464200000000002</v>
      </c>
      <c r="E4516">
        <v>0.53808339999999999</v>
      </c>
      <c r="F4516" t="s">
        <v>42</v>
      </c>
      <c r="G4516">
        <v>-420.46859999999998</v>
      </c>
      <c r="H4516" s="1">
        <v>-1.886243E-6</v>
      </c>
      <c r="I4516">
        <v>63.695369999999997</v>
      </c>
      <c r="J4516">
        <v>-421.57130000000001</v>
      </c>
      <c r="K4516">
        <v>1.1095759999999999</v>
      </c>
      <c r="L4516">
        <v>89.197850000000003</v>
      </c>
      <c r="M4516">
        <v>-5.5946669999999997E-2</v>
      </c>
      <c r="N4516">
        <v>-6.6075930000000001E-3</v>
      </c>
      <c r="O4516">
        <v>-0.99841210000000002</v>
      </c>
      <c r="P4516">
        <v>0.14478089999999999</v>
      </c>
      <c r="Q4516">
        <v>-2.3191219999999999E-2</v>
      </c>
      <c r="R4516">
        <v>-0.98919210000000002</v>
      </c>
      <c r="S4516">
        <v>0.1265259</v>
      </c>
      <c r="T4516">
        <v>-0.1293646</v>
      </c>
      <c r="U4516">
        <v>-3.0110169999999998</v>
      </c>
      <c r="V4516">
        <v>-0.1998567</v>
      </c>
      <c r="W4516">
        <v>-1.720085E-2</v>
      </c>
      <c r="X4516">
        <v>0.97967420000000005</v>
      </c>
      <c r="Y4516">
        <v>-9.7773200000000005E-2</v>
      </c>
      <c r="Z4516">
        <v>3.6091449999999997E-2</v>
      </c>
      <c r="AA4516">
        <v>0.9945541</v>
      </c>
      <c r="AB4516">
        <v>32</v>
      </c>
      <c r="AC4516">
        <v>1.10270000000002</v>
      </c>
      <c r="AD4516">
        <v>-1.1095778862429999</v>
      </c>
      <c r="AE4516">
        <v>-25.502479999999998</v>
      </c>
      <c r="AF4516">
        <v>-2.5230153607255201</v>
      </c>
      <c r="AG4516">
        <v>-1.1095778862429999</v>
      </c>
      <c r="AH4516">
        <v>25.352937935249098</v>
      </c>
      <c r="AI4516">
        <v>92.493663694732206</v>
      </c>
      <c r="AJ4516">
        <v>95.683118201156802</v>
      </c>
      <c r="AK4516">
        <v>25.502318160212202</v>
      </c>
      <c r="AL4516">
        <v>90.985584660624497</v>
      </c>
      <c r="AM4516">
        <v>101.530307995645</v>
      </c>
      <c r="AN4516">
        <v>1.00000005396062</v>
      </c>
    </row>
    <row r="4517" spans="1:40" x14ac:dyDescent="0.25">
      <c r="A4517" t="str">
        <f>"20190305135920302"</f>
        <v>20190305135920302</v>
      </c>
      <c r="B4517" t="str">
        <f>"1551765560293383"</f>
        <v>1551765560293383</v>
      </c>
      <c r="C4517" t="s">
        <v>40</v>
      </c>
      <c r="D4517">
        <v>3.8805369999999999</v>
      </c>
      <c r="E4517">
        <v>0.53794189999999997</v>
      </c>
      <c r="F4517" t="s">
        <v>42</v>
      </c>
      <c r="G4517">
        <v>-420.4776</v>
      </c>
      <c r="H4517" s="1">
        <v>-1.9814300000000002E-6</v>
      </c>
      <c r="I4517">
        <v>63.911659999999998</v>
      </c>
      <c r="J4517">
        <v>-421.58769999999998</v>
      </c>
      <c r="K4517">
        <v>1.109529</v>
      </c>
      <c r="L4517">
        <v>88.88467</v>
      </c>
      <c r="M4517">
        <v>-5.4862580000000001E-2</v>
      </c>
      <c r="N4517">
        <v>-6.4760069999999998E-3</v>
      </c>
      <c r="O4517">
        <v>-0.99847300000000005</v>
      </c>
      <c r="P4517">
        <v>0.14547779999999999</v>
      </c>
      <c r="Q4517">
        <v>-2.3813609999999999E-2</v>
      </c>
      <c r="R4517">
        <v>-0.98907520000000004</v>
      </c>
      <c r="S4517">
        <v>0.13021849999999999</v>
      </c>
      <c r="T4517">
        <v>-0.13210829999999901</v>
      </c>
      <c r="U4517">
        <v>-3.0106199999999999</v>
      </c>
      <c r="V4517">
        <v>-0.1994813</v>
      </c>
      <c r="W4517">
        <v>-1.7938869999999999E-2</v>
      </c>
      <c r="X4517">
        <v>0.97973739999999998</v>
      </c>
      <c r="Y4517">
        <v>-9.7914109999999999E-2</v>
      </c>
      <c r="Z4517">
        <v>3.7135469999999997E-2</v>
      </c>
      <c r="AA4517">
        <v>0.99450179999999999</v>
      </c>
      <c r="AB4517">
        <v>32</v>
      </c>
      <c r="AC4517">
        <v>1.1100999999999801</v>
      </c>
      <c r="AD4517">
        <v>-1.1095309814299901</v>
      </c>
      <c r="AE4517">
        <v>-24.973009999999999</v>
      </c>
      <c r="AF4517">
        <v>-2.4736671194004001</v>
      </c>
      <c r="AG4517">
        <v>-1.1095309814299901</v>
      </c>
      <c r="AH4517">
        <v>24.825584790210701</v>
      </c>
      <c r="AI4517">
        <v>92.5464267600711</v>
      </c>
      <c r="AJ4517">
        <v>95.690274932879802</v>
      </c>
      <c r="AK4517">
        <v>24.973180578218201</v>
      </c>
      <c r="AL4517">
        <v>91.027876692193303</v>
      </c>
      <c r="AM4517">
        <v>101.508505911553</v>
      </c>
      <c r="AN4517">
        <v>0.99999998253266298</v>
      </c>
    </row>
    <row r="4518" spans="1:40" x14ac:dyDescent="0.25">
      <c r="A4518" t="str">
        <f>"20190305135920323"</f>
        <v>20190305135920323</v>
      </c>
      <c r="B4518" t="str">
        <f>"1551765560313876"</f>
        <v>1551765560313876</v>
      </c>
      <c r="C4518" t="s">
        <v>40</v>
      </c>
      <c r="D4518">
        <v>3.8321420000000002</v>
      </c>
      <c r="E4518">
        <v>0.53652540000000004</v>
      </c>
      <c r="F4518" t="s">
        <v>42</v>
      </c>
      <c r="G4518">
        <v>-420.47239999999999</v>
      </c>
      <c r="H4518" s="1">
        <v>-1.907486E-6</v>
      </c>
      <c r="I4518">
        <v>63.742530000000002</v>
      </c>
      <c r="J4518">
        <v>-421.60419999999999</v>
      </c>
      <c r="K4518">
        <v>1.1094850000000001</v>
      </c>
      <c r="L4518">
        <v>88.565730000000002</v>
      </c>
      <c r="M4518">
        <v>-5.3792880000000001E-2</v>
      </c>
      <c r="N4518">
        <v>-6.3475379999999998E-3</v>
      </c>
      <c r="O4518">
        <v>-0.99853219999999998</v>
      </c>
      <c r="P4518">
        <v>0.14646770000000001</v>
      </c>
      <c r="Q4518">
        <v>-2.4753279999999999E-2</v>
      </c>
      <c r="R4518">
        <v>-0.98890610000000001</v>
      </c>
      <c r="S4518">
        <v>0.13354489999999999</v>
      </c>
      <c r="T4518">
        <v>-0.13284609999999999</v>
      </c>
      <c r="U4518">
        <v>-3.0103149999999999</v>
      </c>
      <c r="V4518">
        <v>-0.1994097</v>
      </c>
      <c r="W4518">
        <v>-1.899226E-2</v>
      </c>
      <c r="X4518">
        <v>0.97973220000000005</v>
      </c>
      <c r="Y4518">
        <v>-9.7948729999999998E-2</v>
      </c>
      <c r="Z4518">
        <v>3.7514270000000002E-2</v>
      </c>
      <c r="AA4518">
        <v>0.99448409999999998</v>
      </c>
      <c r="AB4518">
        <v>32</v>
      </c>
      <c r="AC4518">
        <v>1.1317999999999899</v>
      </c>
      <c r="AD4518">
        <v>-1.1094869074860001</v>
      </c>
      <c r="AE4518">
        <v>-24.8232</v>
      </c>
      <c r="AF4518">
        <v>-2.4605938770461702</v>
      </c>
      <c r="AG4518">
        <v>-1.1094869074860001</v>
      </c>
      <c r="AH4518">
        <v>24.677178268215702</v>
      </c>
      <c r="AI4518">
        <v>92.561601258465899</v>
      </c>
      <c r="AJ4518">
        <v>95.694215961704401</v>
      </c>
      <c r="AK4518">
        <v>24.824355192168401</v>
      </c>
      <c r="AL4518">
        <v>91.088241706373395</v>
      </c>
      <c r="AM4518">
        <v>101.504544740044</v>
      </c>
      <c r="AN4518">
        <v>1.0000000590554099</v>
      </c>
    </row>
    <row r="4519" spans="1:40" x14ac:dyDescent="0.25">
      <c r="A4519" t="str">
        <f>"20190305135920346"</f>
        <v>20190305135920346</v>
      </c>
      <c r="B4519" t="str">
        <f>"1551765560333396"</f>
        <v>1551765560333396</v>
      </c>
      <c r="C4519" t="s">
        <v>40</v>
      </c>
      <c r="D4519">
        <v>3.8939159999999999</v>
      </c>
      <c r="E4519">
        <v>0.46124340000000003</v>
      </c>
      <c r="F4519" t="s">
        <v>42</v>
      </c>
      <c r="G4519">
        <v>-420.36270000000002</v>
      </c>
      <c r="H4519" s="1">
        <v>-1.7220089999999901E-6</v>
      </c>
      <c r="I4519">
        <v>63.378160000000001</v>
      </c>
      <c r="J4519">
        <v>-421.62049999999999</v>
      </c>
      <c r="K4519">
        <v>1.1094349999999999</v>
      </c>
      <c r="L4519">
        <v>88.245609999999999</v>
      </c>
      <c r="M4519">
        <v>-5.2763009999999999E-2</v>
      </c>
      <c r="N4519">
        <v>-6.2162440000000001E-3</v>
      </c>
      <c r="O4519">
        <v>-0.99858780000000003</v>
      </c>
      <c r="P4519">
        <v>0.1477263</v>
      </c>
      <c r="Q4519">
        <v>-2.599249E-2</v>
      </c>
      <c r="R4519">
        <v>-0.98868670000000003</v>
      </c>
      <c r="S4519">
        <v>0.1482849</v>
      </c>
      <c r="T4519">
        <v>-0.13251660000000001</v>
      </c>
      <c r="U4519">
        <v>-3.0083920000000002</v>
      </c>
      <c r="V4519">
        <v>-0.19964299999999999</v>
      </c>
      <c r="W4519">
        <v>-2.034739E-2</v>
      </c>
      <c r="X4519">
        <v>0.97965740000000001</v>
      </c>
      <c r="Y4519">
        <v>-0.10181129999999999</v>
      </c>
      <c r="Z4519">
        <v>3.7554320000000002E-2</v>
      </c>
      <c r="AA4519">
        <v>0.99409460000000005</v>
      </c>
      <c r="AB4519">
        <v>32</v>
      </c>
      <c r="AC4519">
        <v>1.2577999999999701</v>
      </c>
      <c r="AD4519">
        <v>-1.109436722009</v>
      </c>
      <c r="AE4519">
        <v>-24.867450000000002</v>
      </c>
      <c r="AF4519">
        <v>-2.56306611298867</v>
      </c>
      <c r="AG4519">
        <v>-1.109436722009</v>
      </c>
      <c r="AH4519">
        <v>24.7173711049067</v>
      </c>
      <c r="AI4519">
        <v>92.556301940386504</v>
      </c>
      <c r="AJ4519">
        <v>95.920123472708198</v>
      </c>
      <c r="AK4519">
        <v>24.874657627339701</v>
      </c>
      <c r="AL4519">
        <v>91.165900051157095</v>
      </c>
      <c r="AM4519">
        <v>101.518500944238</v>
      </c>
      <c r="AN4519">
        <v>0.99999998255178502</v>
      </c>
    </row>
    <row r="4520" spans="1:40" x14ac:dyDescent="0.25">
      <c r="A4520" t="str">
        <f>"20190305135920370"</f>
        <v>20190305135920370</v>
      </c>
      <c r="B4520" t="str">
        <f>"1551765560363652"</f>
        <v>1551765560363652</v>
      </c>
      <c r="C4520" t="s">
        <v>40</v>
      </c>
      <c r="D4520">
        <v>3.8146230000000001</v>
      </c>
      <c r="E4520">
        <v>0.46225290000000002</v>
      </c>
      <c r="F4520" t="s">
        <v>83</v>
      </c>
      <c r="G4520">
        <v>-399.09649999999999</v>
      </c>
      <c r="H4520">
        <v>0.20516419999999999</v>
      </c>
      <c r="I4520">
        <v>0.68997569999999997</v>
      </c>
      <c r="J4520">
        <v>-421.6379</v>
      </c>
      <c r="K4520">
        <v>1.1093729999999999</v>
      </c>
      <c r="L4520">
        <v>87.895049999999998</v>
      </c>
      <c r="M4520">
        <v>-5.1704380000000001E-2</v>
      </c>
      <c r="N4520">
        <v>-6.0712159999999999E-3</v>
      </c>
      <c r="O4520">
        <v>-0.99864410000000003</v>
      </c>
      <c r="P4520">
        <v>0.14948629999999999</v>
      </c>
      <c r="Q4520">
        <v>-2.733292E-2</v>
      </c>
      <c r="R4520">
        <v>-0.98838619999999999</v>
      </c>
      <c r="S4520">
        <v>0.75149540000000004</v>
      </c>
      <c r="T4520">
        <v>-3.0171159999999999E-2</v>
      </c>
      <c r="U4520">
        <v>-2.9212340000000001</v>
      </c>
      <c r="V4520">
        <v>-0.20034540000000001</v>
      </c>
      <c r="W4520">
        <v>-2.1812499999999999E-2</v>
      </c>
      <c r="X4520">
        <v>0.97948250000000003</v>
      </c>
      <c r="Y4520">
        <v>-0.29886629999999997</v>
      </c>
      <c r="Z4520">
        <v>3.7986140000000001E-3</v>
      </c>
      <c r="AA4520">
        <v>0.95428740000000001</v>
      </c>
      <c r="AB4520">
        <v>32</v>
      </c>
      <c r="AC4520">
        <v>22.541399999999999</v>
      </c>
      <c r="AD4520">
        <v>-0.90420880000000003</v>
      </c>
      <c r="AE4520">
        <v>-87.205074299999893</v>
      </c>
      <c r="AF4520">
        <v>-27.017492379850101</v>
      </c>
      <c r="AG4520">
        <v>-0.90420880000000003</v>
      </c>
      <c r="AH4520">
        <v>85.914258788502096</v>
      </c>
      <c r="AI4520">
        <v>90.575220146060005</v>
      </c>
      <c r="AJ4520">
        <v>107.456819011989</v>
      </c>
      <c r="AK4520">
        <v>90.066766075101</v>
      </c>
      <c r="AL4520">
        <v>91.249863294896102</v>
      </c>
      <c r="AM4520">
        <v>101.559945892305</v>
      </c>
      <c r="AN4520">
        <v>1.0000000161318201</v>
      </c>
    </row>
    <row r="4521" spans="1:40" x14ac:dyDescent="0.25">
      <c r="A4521" t="str">
        <f>"20190305135920391"</f>
        <v>20190305135920391</v>
      </c>
      <c r="B4521" t="str">
        <f>"1551765560384163"</f>
        <v>1551765560384163</v>
      </c>
      <c r="C4521" t="s">
        <v>40</v>
      </c>
      <c r="D4521">
        <v>3.8008259999999998</v>
      </c>
      <c r="E4521">
        <v>0.46385169999999998</v>
      </c>
      <c r="F4521" t="s">
        <v>83</v>
      </c>
      <c r="G4521">
        <v>-399.262</v>
      </c>
      <c r="H4521">
        <v>0.27031349999999998</v>
      </c>
      <c r="I4521">
        <v>0.6882935</v>
      </c>
      <c r="J4521">
        <v>-421.65379999999999</v>
      </c>
      <c r="K4521">
        <v>1.1092919999999999</v>
      </c>
      <c r="L4521">
        <v>87.572719999999904</v>
      </c>
      <c r="M4521">
        <v>-5.0816100000000003E-2</v>
      </c>
      <c r="N4521">
        <v>-5.9383509999999997E-3</v>
      </c>
      <c r="O4521">
        <v>-0.99869050000000004</v>
      </c>
      <c r="P4521">
        <v>0.15175620000000001</v>
      </c>
      <c r="Q4521">
        <v>-2.837259E-2</v>
      </c>
      <c r="R4521">
        <v>-0.98801090000000003</v>
      </c>
      <c r="S4521">
        <v>0.749511699999999</v>
      </c>
      <c r="T4521">
        <v>-2.8106329999999999E-2</v>
      </c>
      <c r="U4521">
        <v>-2.9211119999999999</v>
      </c>
      <c r="V4521">
        <v>-0.2017226</v>
      </c>
      <c r="W4521">
        <v>-2.2961079999999998E-2</v>
      </c>
      <c r="X4521">
        <v>0.97917350000000003</v>
      </c>
      <c r="Y4521">
        <v>-0.29742039999999997</v>
      </c>
      <c r="Z4521">
        <v>3.258904E-3</v>
      </c>
      <c r="AA4521">
        <v>0.95474110000000001</v>
      </c>
      <c r="AB4521">
        <v>33</v>
      </c>
      <c r="AC4521">
        <v>22.3918</v>
      </c>
      <c r="AD4521">
        <v>-0.83897849999999896</v>
      </c>
      <c r="AE4521">
        <v>-86.884426499999904</v>
      </c>
      <c r="AF4521">
        <v>-26.775733226412999</v>
      </c>
      <c r="AG4521">
        <v>-0.83897849999999896</v>
      </c>
      <c r="AH4521">
        <v>85.626799545631997</v>
      </c>
      <c r="AI4521">
        <v>90.535787828927099</v>
      </c>
      <c r="AJ4521">
        <v>107.36460572601101</v>
      </c>
      <c r="AK4521">
        <v>89.719521706055403</v>
      </c>
      <c r="AL4521">
        <v>91.315688627196806</v>
      </c>
      <c r="AM4521">
        <v>101.64082223086599</v>
      </c>
      <c r="AN4521">
        <v>0.99999998082388797</v>
      </c>
    </row>
    <row r="4522" spans="1:40" x14ac:dyDescent="0.25">
      <c r="A4522" t="str">
        <f>"20190305135920413"</f>
        <v>20190305135920413</v>
      </c>
      <c r="B4522" t="str">
        <f>"1551765560403668"</f>
        <v>1551765560403668</v>
      </c>
      <c r="C4522" t="s">
        <v>40</v>
      </c>
      <c r="D4522">
        <v>3.8134480000000002</v>
      </c>
      <c r="E4522">
        <v>0.4649896</v>
      </c>
      <c r="F4522" t="s">
        <v>83</v>
      </c>
      <c r="G4522">
        <v>-399.5385</v>
      </c>
      <c r="H4522">
        <v>0.21736069999999999</v>
      </c>
      <c r="I4522">
        <v>0.68548199999999904</v>
      </c>
      <c r="J4522">
        <v>-421.66899999999998</v>
      </c>
      <c r="K4522">
        <v>1.1092029999999999</v>
      </c>
      <c r="L4522">
        <v>87.259190000000004</v>
      </c>
      <c r="M4522">
        <v>-5.0053859999999999E-2</v>
      </c>
      <c r="N4522">
        <v>-5.815443E-3</v>
      </c>
      <c r="O4522">
        <v>-0.9987298</v>
      </c>
      <c r="P4522">
        <v>0.15365379999999901</v>
      </c>
      <c r="Q4522">
        <v>-3.0109460000000001E-2</v>
      </c>
      <c r="R4522">
        <v>-0.98766589999999999</v>
      </c>
      <c r="S4522">
        <v>0.74356080000000002</v>
      </c>
      <c r="T4522">
        <v>-2.998936E-2</v>
      </c>
      <c r="U4522">
        <v>-2.9213260000000001</v>
      </c>
      <c r="V4522">
        <v>-0.2028537</v>
      </c>
      <c r="W4522">
        <v>-2.4787679999999999E-2</v>
      </c>
      <c r="X4522">
        <v>0.97889519999999997</v>
      </c>
      <c r="Y4522">
        <v>-0.29484749999999998</v>
      </c>
      <c r="Z4522">
        <v>4.0085249999999998E-3</v>
      </c>
      <c r="AA4522">
        <v>0.95553589999999999</v>
      </c>
      <c r="AB4522">
        <v>33</v>
      </c>
      <c r="AC4522">
        <v>22.130500000000001</v>
      </c>
      <c r="AD4522">
        <v>-0.89184229999999998</v>
      </c>
      <c r="AE4522">
        <v>-86.573707999999996</v>
      </c>
      <c r="AF4522">
        <v>-26.433546443903001</v>
      </c>
      <c r="AG4522">
        <v>-0.89184229999999998</v>
      </c>
      <c r="AH4522">
        <v>85.348948685966903</v>
      </c>
      <c r="AI4522">
        <v>90.571884651112896</v>
      </c>
      <c r="AJ4522">
        <v>107.208351630563</v>
      </c>
      <c r="AK4522">
        <v>89.353068229859105</v>
      </c>
      <c r="AL4522">
        <v>91.420375022232705</v>
      </c>
      <c r="AM4522">
        <v>101.70753443098199</v>
      </c>
      <c r="AN4522">
        <v>0.99999993263325304</v>
      </c>
    </row>
    <row r="4523" spans="1:40" x14ac:dyDescent="0.25">
      <c r="A4523" t="str">
        <f>"20190305135920436"</f>
        <v>20190305135920436</v>
      </c>
      <c r="B4523" t="str">
        <f>"1551765560423188"</f>
        <v>1551765560423188</v>
      </c>
      <c r="C4523" t="s">
        <v>40</v>
      </c>
      <c r="D4523">
        <v>3.8205450000000001</v>
      </c>
      <c r="E4523">
        <v>0.46584930000000002</v>
      </c>
      <c r="F4523" t="s">
        <v>83</v>
      </c>
      <c r="G4523">
        <v>-399.73129999999998</v>
      </c>
      <c r="H4523">
        <v>0.1459792</v>
      </c>
      <c r="I4523">
        <v>0.6835194</v>
      </c>
      <c r="J4523">
        <v>-421.68509999999998</v>
      </c>
      <c r="K4523">
        <v>1.1090880000000001</v>
      </c>
      <c r="L4523">
        <v>86.924710000000005</v>
      </c>
      <c r="M4523">
        <v>-4.9373159999999999E-2</v>
      </c>
      <c r="N4523">
        <v>-5.6956890000000003E-3</v>
      </c>
      <c r="O4523">
        <v>-0.99876430000000005</v>
      </c>
      <c r="P4523">
        <v>0.1557125</v>
      </c>
      <c r="Q4523">
        <v>-3.1040160000000001E-2</v>
      </c>
      <c r="R4523">
        <v>-0.9873149</v>
      </c>
      <c r="S4523">
        <v>0.74023439999999996</v>
      </c>
      <c r="T4523">
        <v>-3.2502650000000001E-2</v>
      </c>
      <c r="U4523">
        <v>-2.9212950000000002</v>
      </c>
      <c r="V4523">
        <v>-0.20422899999999999</v>
      </c>
      <c r="W4523">
        <v>-2.579277E-2</v>
      </c>
      <c r="X4523">
        <v>0.97858330000000004</v>
      </c>
      <c r="Y4523">
        <v>-0.29317470000000001</v>
      </c>
      <c r="Z4523">
        <v>4.9609420000000003E-3</v>
      </c>
      <c r="AA4523">
        <v>0.95604599999999995</v>
      </c>
      <c r="AB4523">
        <v>33</v>
      </c>
      <c r="AC4523">
        <v>21.953800000000001</v>
      </c>
      <c r="AD4523">
        <v>-0.96310879999999999</v>
      </c>
      <c r="AE4523">
        <v>-86.241190599999996</v>
      </c>
      <c r="AF4523">
        <v>-26.182026316385599</v>
      </c>
      <c r="AG4523">
        <v>-0.96310879999999999</v>
      </c>
      <c r="AH4523">
        <v>85.042101086881402</v>
      </c>
      <c r="AI4523">
        <v>90.620129897876495</v>
      </c>
      <c r="AJ4523">
        <v>107.11209956213</v>
      </c>
      <c r="AK4523">
        <v>88.986431762735094</v>
      </c>
      <c r="AL4523">
        <v>91.477980749591794</v>
      </c>
      <c r="AM4523">
        <v>101.788347128775</v>
      </c>
      <c r="AN4523">
        <v>1.0000000132320801</v>
      </c>
    </row>
    <row r="4524" spans="1:40" x14ac:dyDescent="0.25">
      <c r="A4524" t="str">
        <f>"20190305135920460"</f>
        <v>20190305135920460</v>
      </c>
      <c r="B4524" t="str">
        <f>"1551765560453445"</f>
        <v>1551765560453445</v>
      </c>
      <c r="C4524" t="s">
        <v>40</v>
      </c>
      <c r="D4524">
        <v>3.791979</v>
      </c>
      <c r="E4524">
        <v>0.46656069999999999</v>
      </c>
      <c r="F4524" t="s">
        <v>83</v>
      </c>
      <c r="G4524">
        <v>-399.8503</v>
      </c>
      <c r="H4524">
        <v>0.12671830000000001</v>
      </c>
      <c r="I4524">
        <v>0.68230819999999903</v>
      </c>
      <c r="J4524">
        <v>-421.70150000000001</v>
      </c>
      <c r="K4524">
        <v>1.108948</v>
      </c>
      <c r="L4524">
        <v>86.582949999999997</v>
      </c>
      <c r="M4524">
        <v>-4.8848059999999999E-2</v>
      </c>
      <c r="N4524">
        <v>-5.5821669999999999E-3</v>
      </c>
      <c r="O4524">
        <v>-0.99879059999999997</v>
      </c>
      <c r="P4524">
        <v>0.15770010000000001</v>
      </c>
      <c r="Q4524">
        <v>-3.23197E-2</v>
      </c>
      <c r="R4524">
        <v>-0.98695820000000001</v>
      </c>
      <c r="S4524">
        <v>0.73950199999999999</v>
      </c>
      <c r="T4524">
        <v>-3.3271910000000002E-2</v>
      </c>
      <c r="U4524">
        <v>-2.920868</v>
      </c>
      <c r="V4524">
        <v>-0.20568810000000001</v>
      </c>
      <c r="W4524">
        <v>-2.7129110000000001E-2</v>
      </c>
      <c r="X4524">
        <v>0.97824149999999999</v>
      </c>
      <c r="Y4524">
        <v>-0.29247970000000001</v>
      </c>
      <c r="Z4524">
        <v>5.3321000000000002E-3</v>
      </c>
      <c r="AA4524">
        <v>0.95625689999999997</v>
      </c>
      <c r="AB4524">
        <v>33</v>
      </c>
      <c r="AC4524">
        <v>21.851199999999999</v>
      </c>
      <c r="AD4524">
        <v>-0.98222969999999898</v>
      </c>
      <c r="AE4524">
        <v>-85.900641799999903</v>
      </c>
      <c r="AF4524">
        <v>-26.018063804409099</v>
      </c>
      <c r="AG4524">
        <v>-0.98222969999999898</v>
      </c>
      <c r="AH4524">
        <v>84.720283072963696</v>
      </c>
      <c r="AI4524">
        <v>90.634979319843694</v>
      </c>
      <c r="AJ4524">
        <v>107.072009442549</v>
      </c>
      <c r="AK4524">
        <v>88.630868117586203</v>
      </c>
      <c r="AL4524">
        <v>91.554574224231004</v>
      </c>
      <c r="AM4524">
        <v>101.874216710658</v>
      </c>
      <c r="AN4524">
        <v>1.00000000770662</v>
      </c>
    </row>
    <row r="4525" spans="1:40" x14ac:dyDescent="0.25">
      <c r="A4525" t="str">
        <f>"20190305135920481"</f>
        <v>20190305135920481</v>
      </c>
      <c r="B4525" t="str">
        <f>"1551765560473940"</f>
        <v>1551765560473940</v>
      </c>
      <c r="C4525" t="s">
        <v>40</v>
      </c>
      <c r="D4525">
        <v>3.7896559999999999</v>
      </c>
      <c r="E4525">
        <v>0.46698810000000002</v>
      </c>
      <c r="F4525" t="s">
        <v>43</v>
      </c>
      <c r="G4525">
        <v>-396.65910000000002</v>
      </c>
      <c r="H4525">
        <v>-0.05</v>
      </c>
      <c r="I4525">
        <v>-12.24818</v>
      </c>
      <c r="J4525">
        <v>-421.71730000000002</v>
      </c>
      <c r="K4525">
        <v>1.108819</v>
      </c>
      <c r="L4525">
        <v>86.251829999999998</v>
      </c>
      <c r="M4525">
        <v>-4.8511899999999997E-2</v>
      </c>
      <c r="N4525">
        <v>-5.4821669999999996E-3</v>
      </c>
      <c r="O4525">
        <v>-0.99880749999999996</v>
      </c>
      <c r="P4525">
        <v>0.15970090000000001</v>
      </c>
      <c r="Q4525">
        <v>-3.29751E-2</v>
      </c>
      <c r="R4525">
        <v>-0.98661489999999996</v>
      </c>
      <c r="S4525">
        <v>0.7399597</v>
      </c>
      <c r="T4525">
        <v>-3.424489E-2</v>
      </c>
      <c r="U4525">
        <v>-2.9202880000000002</v>
      </c>
      <c r="V4525">
        <v>-0.2073477</v>
      </c>
      <c r="W4525">
        <v>-2.7824999999999999E-2</v>
      </c>
      <c r="X4525">
        <v>0.9778715</v>
      </c>
      <c r="Y4525">
        <v>-0.29234329999999997</v>
      </c>
      <c r="Z4525">
        <v>5.7555330000000002E-3</v>
      </c>
      <c r="AA4525">
        <v>0.95629609999999998</v>
      </c>
      <c r="AB4525">
        <v>33</v>
      </c>
      <c r="AC4525">
        <v>25.058199999999999</v>
      </c>
      <c r="AD4525">
        <v>-1.158819</v>
      </c>
      <c r="AE4525">
        <v>-98.500010000000003</v>
      </c>
      <c r="AF4525">
        <v>-29.803316170738199</v>
      </c>
      <c r="AG4525">
        <v>-1.158819</v>
      </c>
      <c r="AH4525">
        <v>97.155764127093306</v>
      </c>
      <c r="AI4525">
        <v>90.653314402820797</v>
      </c>
      <c r="AJ4525">
        <v>107.05381849467901</v>
      </c>
      <c r="AK4525">
        <v>101.630817271963</v>
      </c>
      <c r="AL4525">
        <v>91.594460880897401</v>
      </c>
      <c r="AM4525">
        <v>101.971669920198</v>
      </c>
      <c r="AN4525">
        <v>0.99999998491626896</v>
      </c>
    </row>
    <row r="4526" spans="1:40" x14ac:dyDescent="0.25">
      <c r="A4526" t="str">
        <f>"20190305135920504"</f>
        <v>20190305135920504</v>
      </c>
      <c r="B4526" t="str">
        <f>"1551765560493460"</f>
        <v>1551765560493460</v>
      </c>
      <c r="C4526" t="s">
        <v>40</v>
      </c>
      <c r="D4526">
        <v>3.793031</v>
      </c>
      <c r="E4526">
        <v>0.46731020000000001</v>
      </c>
      <c r="F4526" t="s">
        <v>83</v>
      </c>
      <c r="G4526">
        <v>-399.93470000000002</v>
      </c>
      <c r="H4526">
        <v>0.14047460000000001</v>
      </c>
      <c r="I4526">
        <v>0.68144989999999905</v>
      </c>
      <c r="J4526">
        <v>-421.73320000000001</v>
      </c>
      <c r="K4526">
        <v>1.1087</v>
      </c>
      <c r="L4526">
        <v>85.920779999999993</v>
      </c>
      <c r="M4526">
        <v>-4.8305569999999999E-2</v>
      </c>
      <c r="N4526">
        <v>-5.3932219999999996E-3</v>
      </c>
      <c r="O4526">
        <v>-0.99881819999999999</v>
      </c>
      <c r="P4526">
        <v>0.16127639999999999</v>
      </c>
      <c r="Q4526">
        <v>-3.3263199999999903E-2</v>
      </c>
      <c r="R4526">
        <v>-0.98634869999999997</v>
      </c>
      <c r="S4526">
        <v>0.7431335</v>
      </c>
      <c r="T4526">
        <v>-3.3036709999999997E-2</v>
      </c>
      <c r="U4526">
        <v>-2.9193120000000001</v>
      </c>
      <c r="V4526">
        <v>-0.20871419999999999</v>
      </c>
      <c r="W4526">
        <v>-2.814668E-2</v>
      </c>
      <c r="X4526">
        <v>0.97757150000000004</v>
      </c>
      <c r="Y4526">
        <v>-0.2931994</v>
      </c>
      <c r="Z4526">
        <v>5.4482009999999997E-3</v>
      </c>
      <c r="AA4526">
        <v>0.95603579999999999</v>
      </c>
      <c r="AB4526">
        <v>33</v>
      </c>
      <c r="AC4526">
        <v>21.798499999999901</v>
      </c>
      <c r="AD4526">
        <v>-0.96822540000000001</v>
      </c>
      <c r="AE4526">
        <v>-85.239330100000004</v>
      </c>
      <c r="AF4526">
        <v>-25.887510371841199</v>
      </c>
      <c r="AG4526">
        <v>-0.96822540000000001</v>
      </c>
      <c r="AH4526">
        <v>84.076633047365505</v>
      </c>
      <c r="AI4526">
        <v>90.630576711575799</v>
      </c>
      <c r="AJ4526">
        <v>107.11379515706101</v>
      </c>
      <c r="AK4526">
        <v>87.977161117296504</v>
      </c>
      <c r="AL4526">
        <v>91.612899073464902</v>
      </c>
      <c r="AM4526">
        <v>102.051858941906</v>
      </c>
      <c r="AN4526">
        <v>0.99999994524445401</v>
      </c>
    </row>
    <row r="4527" spans="1:40" x14ac:dyDescent="0.25">
      <c r="A4527" t="str">
        <f>"20190305135920524"</f>
        <v>20190305135920524</v>
      </c>
      <c r="B4527" t="str">
        <f>"1551765560513956"</f>
        <v>1551765560513956</v>
      </c>
      <c r="C4527" t="s">
        <v>40</v>
      </c>
      <c r="D4527">
        <v>3.814006</v>
      </c>
      <c r="E4527">
        <v>0.46777770000000002</v>
      </c>
      <c r="F4527" t="s">
        <v>83</v>
      </c>
      <c r="G4527">
        <v>-399.97129999999999</v>
      </c>
      <c r="H4527">
        <v>0.14995790000000001</v>
      </c>
      <c r="I4527">
        <v>0.68107989999999996</v>
      </c>
      <c r="J4527">
        <v>-421.74860000000001</v>
      </c>
      <c r="K4527">
        <v>1.1086069999999999</v>
      </c>
      <c r="L4527">
        <v>85.599429999999998</v>
      </c>
      <c r="M4527">
        <v>-4.8216229999999999E-2</v>
      </c>
      <c r="N4527">
        <v>-5.3170619999999896E-3</v>
      </c>
      <c r="O4527">
        <v>-0.99882300000000002</v>
      </c>
      <c r="P4527">
        <v>0.16251599999999999</v>
      </c>
      <c r="Q4527">
        <v>-3.264835E-2</v>
      </c>
      <c r="R4527">
        <v>-0.98616579999999998</v>
      </c>
      <c r="S4527">
        <v>0.74511719999999904</v>
      </c>
      <c r="T4527">
        <v>-3.2827969999999998E-2</v>
      </c>
      <c r="U4527">
        <v>-2.9185789999999998</v>
      </c>
      <c r="V4527">
        <v>-0.20986279999999999</v>
      </c>
      <c r="W4527">
        <v>-2.7560250000000001E-2</v>
      </c>
      <c r="X4527">
        <v>0.9773423</v>
      </c>
      <c r="Y4527">
        <v>-0.29378159999999998</v>
      </c>
      <c r="Z4527">
        <v>5.4569110000000001E-3</v>
      </c>
      <c r="AA4527">
        <v>0.95585699999999996</v>
      </c>
      <c r="AB4527">
        <v>33</v>
      </c>
      <c r="AC4527">
        <v>21.7773</v>
      </c>
      <c r="AD4527">
        <v>-0.95864910000000003</v>
      </c>
      <c r="AE4527">
        <v>-84.918350099999998</v>
      </c>
      <c r="AF4527">
        <v>-25.8433798929298</v>
      </c>
      <c r="AG4527">
        <v>-0.95864910000000003</v>
      </c>
      <c r="AH4527">
        <v>83.759530849576194</v>
      </c>
      <c r="AI4527">
        <v>90.626591254432597</v>
      </c>
      <c r="AJ4527">
        <v>107.147220819108</v>
      </c>
      <c r="AK4527">
        <v>87.661042091275206</v>
      </c>
      <c r="AL4527">
        <v>91.579286031854807</v>
      </c>
      <c r="AM4527">
        <v>102.118985836389</v>
      </c>
      <c r="AN4527">
        <v>0.99999996678659497</v>
      </c>
    </row>
    <row r="4528" spans="1:40" x14ac:dyDescent="0.25">
      <c r="A4528" t="str">
        <f>"20190305135920547"</f>
        <v>20190305135920547</v>
      </c>
      <c r="B4528" t="str">
        <f>"1551765560543236"</f>
        <v>1551765560543236</v>
      </c>
      <c r="C4528" t="s">
        <v>40</v>
      </c>
      <c r="D4528">
        <v>3.787299</v>
      </c>
      <c r="E4528">
        <v>0.4679953</v>
      </c>
      <c r="F4528" t="s">
        <v>45</v>
      </c>
      <c r="G4528">
        <v>-408.2885</v>
      </c>
      <c r="H4528">
        <v>0.58888980000000002</v>
      </c>
      <c r="I4528">
        <v>32.871729999999999</v>
      </c>
      <c r="J4528">
        <v>-421.76459999999997</v>
      </c>
      <c r="K4528">
        <v>1.108527</v>
      </c>
      <c r="L4528">
        <v>85.265410000000003</v>
      </c>
      <c r="M4528">
        <v>-4.8240669999999999E-2</v>
      </c>
      <c r="N4528">
        <v>-5.2477030000000003E-3</v>
      </c>
      <c r="O4528">
        <v>-0.99882219999999999</v>
      </c>
      <c r="P4528">
        <v>0.162987299999999</v>
      </c>
      <c r="Q4528">
        <v>-3.157687E-2</v>
      </c>
      <c r="R4528">
        <v>-0.98612299999999997</v>
      </c>
      <c r="S4528">
        <v>0.74499510000000002</v>
      </c>
      <c r="T4528">
        <v>-2.8765559999999999E-2</v>
      </c>
      <c r="U4528">
        <v>-2.918396</v>
      </c>
      <c r="V4528">
        <v>-0.21036189999999999</v>
      </c>
      <c r="W4528">
        <v>-2.651003E-2</v>
      </c>
      <c r="X4528">
        <v>0.97726409999999997</v>
      </c>
      <c r="Y4528">
        <v>-0.29378459999999901</v>
      </c>
      <c r="Z4528">
        <v>4.190114E-3</v>
      </c>
      <c r="AA4528">
        <v>0.95586249999999995</v>
      </c>
      <c r="AB4528">
        <v>34</v>
      </c>
      <c r="AC4528">
        <v>13.476099999999899</v>
      </c>
      <c r="AD4528">
        <v>-0.51963720000000002</v>
      </c>
      <c r="AE4528">
        <v>-52.393679999999897</v>
      </c>
      <c r="AF4528">
        <v>-15.9864753785942</v>
      </c>
      <c r="AG4528">
        <v>-0.51963720000000002</v>
      </c>
      <c r="AH4528">
        <v>51.6778057700974</v>
      </c>
      <c r="AI4528">
        <v>90.550376966986903</v>
      </c>
      <c r="AJ4528">
        <v>107.18939841089001</v>
      </c>
      <c r="AK4528">
        <v>54.096515849562202</v>
      </c>
      <c r="AL4528">
        <v>91.519090776573904</v>
      </c>
      <c r="AM4528">
        <v>102.14789566945799</v>
      </c>
      <c r="AN4528">
        <v>1.00000001590551</v>
      </c>
    </row>
    <row r="4529" spans="1:40" x14ac:dyDescent="0.25">
      <c r="A4529" t="str">
        <f>"20190305135920570"</f>
        <v>20190305135920570</v>
      </c>
      <c r="B4529" t="str">
        <f>"1551765560563735"</f>
        <v>1551765560563735</v>
      </c>
      <c r="C4529" t="s">
        <v>40</v>
      </c>
      <c r="D4529">
        <v>3.9173589999999998</v>
      </c>
      <c r="E4529">
        <v>0.46830149999999998</v>
      </c>
      <c r="F4529" t="s">
        <v>45</v>
      </c>
      <c r="G4529">
        <v>-408.38099999999997</v>
      </c>
      <c r="H4529">
        <v>0.722670699999999</v>
      </c>
      <c r="I4529">
        <v>32.841790000000003</v>
      </c>
      <c r="J4529">
        <v>-421.78210000000001</v>
      </c>
      <c r="K4529">
        <v>1.108444</v>
      </c>
      <c r="L4529">
        <v>84.90598</v>
      </c>
      <c r="M4529">
        <v>-4.8387479999999997E-2</v>
      </c>
      <c r="N4529">
        <v>-5.1833169999999998E-3</v>
      </c>
      <c r="O4529">
        <v>-0.99881540000000002</v>
      </c>
      <c r="P4529">
        <v>0.16298770000000001</v>
      </c>
      <c r="Q4529">
        <v>-2.8759369999999999E-2</v>
      </c>
      <c r="R4529">
        <v>-0.986209</v>
      </c>
      <c r="S4529">
        <v>0.74505619999999995</v>
      </c>
      <c r="T4529">
        <v>-2.1480200000000001E-2</v>
      </c>
      <c r="U4529">
        <v>-2.9183650000000001</v>
      </c>
      <c r="V4529">
        <v>-0.21051600000000001</v>
      </c>
      <c r="W4529">
        <v>-2.37057E-2</v>
      </c>
      <c r="X4529">
        <v>0.97730300000000003</v>
      </c>
      <c r="Y4529">
        <v>-0.29394989999999999</v>
      </c>
      <c r="Z4529">
        <v>1.856318E-3</v>
      </c>
      <c r="AA4529">
        <v>0.95581899999999997</v>
      </c>
      <c r="AB4529">
        <v>34</v>
      </c>
      <c r="AC4529">
        <v>13.4011</v>
      </c>
      <c r="AD4529">
        <v>-0.38577329999999999</v>
      </c>
      <c r="AE4529">
        <v>-52.064190000000004</v>
      </c>
      <c r="AF4529">
        <v>-15.903871442063901</v>
      </c>
      <c r="AG4529">
        <v>-0.38577329999999999</v>
      </c>
      <c r="AH4529">
        <v>51.352104296020698</v>
      </c>
      <c r="AI4529">
        <v>90.411150237781399</v>
      </c>
      <c r="AJ4529">
        <v>107.207880138935</v>
      </c>
      <c r="AK4529">
        <v>53.759841550306703</v>
      </c>
      <c r="AL4529">
        <v>91.358363736948704</v>
      </c>
      <c r="AM4529">
        <v>102.156060514354</v>
      </c>
      <c r="AN4529">
        <v>1.00000005013874</v>
      </c>
    </row>
    <row r="4530" spans="1:40" x14ac:dyDescent="0.25">
      <c r="A4530" t="str">
        <f>"20190305135920593"</f>
        <v>20190305135920593</v>
      </c>
      <c r="B4530" t="str">
        <f>"1551765560583255"</f>
        <v>1551765560583255</v>
      </c>
      <c r="C4530" t="s">
        <v>40</v>
      </c>
      <c r="D4530">
        <v>3.7883810000000002</v>
      </c>
      <c r="E4530">
        <v>0.4682984</v>
      </c>
      <c r="F4530" t="s">
        <v>45</v>
      </c>
      <c r="G4530">
        <v>-408.52589999999998</v>
      </c>
      <c r="H4530">
        <v>0.86846849999999998</v>
      </c>
      <c r="I4530">
        <v>32.809150000000002</v>
      </c>
      <c r="J4530">
        <v>-421.798</v>
      </c>
      <c r="K4530">
        <v>1.108374</v>
      </c>
      <c r="L4530">
        <v>84.579830000000001</v>
      </c>
      <c r="M4530">
        <v>-4.860826E-2</v>
      </c>
      <c r="N4530">
        <v>-5.133238E-3</v>
      </c>
      <c r="O4530">
        <v>-0.9988049</v>
      </c>
      <c r="P4530">
        <v>0.16333879999999901</v>
      </c>
      <c r="Q4530">
        <v>-2.5456570000000001E-2</v>
      </c>
      <c r="R4530">
        <v>-0.98624179999999995</v>
      </c>
      <c r="S4530">
        <v>0.74270630000000004</v>
      </c>
      <c r="T4530">
        <v>-1.344514E-2</v>
      </c>
      <c r="U4530">
        <v>-2.9188230000000002</v>
      </c>
      <c r="V4530">
        <v>-0.2110891</v>
      </c>
      <c r="W4530">
        <v>-2.0409429999999999E-2</v>
      </c>
      <c r="X4530">
        <v>0.9772537</v>
      </c>
      <c r="Y4530">
        <v>-0.29340509999999997</v>
      </c>
      <c r="Z4530">
        <v>-7.3836829999999998E-4</v>
      </c>
      <c r="AA4530">
        <v>0.9559879</v>
      </c>
      <c r="AB4530">
        <v>34</v>
      </c>
      <c r="AC4530">
        <v>13.2721</v>
      </c>
      <c r="AD4530">
        <v>-0.23990549999999999</v>
      </c>
      <c r="AE4530">
        <v>-51.770679999999999</v>
      </c>
      <c r="AF4530">
        <v>-15.7726084924426</v>
      </c>
      <c r="AG4530">
        <v>-0.23990549999999999</v>
      </c>
      <c r="AH4530">
        <v>51.063310327452299</v>
      </c>
      <c r="AI4530">
        <v>90.257195171901998</v>
      </c>
      <c r="AJ4530">
        <v>107.16504998259001</v>
      </c>
      <c r="AK4530">
        <v>53.444311155655299</v>
      </c>
      <c r="AL4530">
        <v>91.169455430201296</v>
      </c>
      <c r="AM4530">
        <v>102.188762083258</v>
      </c>
      <c r="AN4530">
        <v>0.99999997356771197</v>
      </c>
    </row>
    <row r="4531" spans="1:40" x14ac:dyDescent="0.25">
      <c r="A4531" t="str">
        <f>"20190305135920614"</f>
        <v>20190305135920614</v>
      </c>
      <c r="B4531" t="str">
        <f>"1551765560603748"</f>
        <v>1551765560603748</v>
      </c>
      <c r="C4531" t="s">
        <v>40</v>
      </c>
      <c r="D4531">
        <v>3.8722279999999998</v>
      </c>
      <c r="E4531">
        <v>0.46813919999999998</v>
      </c>
      <c r="F4531" t="s">
        <v>45</v>
      </c>
      <c r="G4531">
        <v>-408.56509999999997</v>
      </c>
      <c r="H4531">
        <v>1.0730280000000001</v>
      </c>
      <c r="I4531">
        <v>32.679270000000002</v>
      </c>
      <c r="J4531">
        <v>-421.81450000000001</v>
      </c>
      <c r="K4531">
        <v>1.1083099999999999</v>
      </c>
      <c r="L4531">
        <v>84.245239999999995</v>
      </c>
      <c r="M4531">
        <v>-4.8896620000000002E-2</v>
      </c>
      <c r="N4531">
        <v>-5.0892380000000003E-3</v>
      </c>
      <c r="O4531">
        <v>-0.99879070000000003</v>
      </c>
      <c r="P4531">
        <v>0.16410659999999999</v>
      </c>
      <c r="Q4531">
        <v>-2.2335669999999998E-2</v>
      </c>
      <c r="R4531">
        <v>-0.98618969999999995</v>
      </c>
      <c r="S4531">
        <v>0.74414060000000004</v>
      </c>
      <c r="T4531">
        <v>-1.9876960000000002E-3</v>
      </c>
      <c r="U4531">
        <v>-2.9185789999999998</v>
      </c>
      <c r="V4531">
        <v>-0.2121383</v>
      </c>
      <c r="W4531">
        <v>-1.729342E-2</v>
      </c>
      <c r="X4531">
        <v>0.97708660000000003</v>
      </c>
      <c r="Y4531">
        <v>-0.29414179999999901</v>
      </c>
      <c r="Z4531">
        <v>-4.4662909999999998E-3</v>
      </c>
      <c r="AA4531">
        <v>0.95575140000000003</v>
      </c>
      <c r="AB4531">
        <v>34</v>
      </c>
      <c r="AC4531">
        <v>13.2494</v>
      </c>
      <c r="AD4531">
        <v>-3.5282000000000001E-2</v>
      </c>
      <c r="AE4531">
        <v>-51.565969999999901</v>
      </c>
      <c r="AF4531">
        <v>-15.754979071484501</v>
      </c>
      <c r="AG4531">
        <v>-3.5282000000000001E-2</v>
      </c>
      <c r="AH4531">
        <v>50.856405763881597</v>
      </c>
      <c r="AI4531">
        <v>90.037969106800901</v>
      </c>
      <c r="AJ4531">
        <v>107.212636306218</v>
      </c>
      <c r="AK4531">
        <v>53.240911126529497</v>
      </c>
      <c r="AL4531">
        <v>90.990889400603805</v>
      </c>
      <c r="AM4531">
        <v>102.249552186491</v>
      </c>
      <c r="AN4531">
        <v>0.99999997230087201</v>
      </c>
    </row>
    <row r="4532" spans="1:40" x14ac:dyDescent="0.25">
      <c r="A4532" t="str">
        <f>"20190305135920637"</f>
        <v>20190305135920637</v>
      </c>
      <c r="B4532" t="str">
        <f>"1551765560634003"</f>
        <v>1551765560634003</v>
      </c>
      <c r="C4532" t="s">
        <v>40</v>
      </c>
      <c r="D4532">
        <v>3.8122850000000001</v>
      </c>
      <c r="E4532">
        <v>0.46830620000000001</v>
      </c>
      <c r="F4532" t="s">
        <v>45</v>
      </c>
      <c r="G4532">
        <v>-408.59480000000002</v>
      </c>
      <c r="H4532">
        <v>1.187918</v>
      </c>
      <c r="I4532">
        <v>32.642119999999998</v>
      </c>
      <c r="J4532">
        <v>-421.83240000000001</v>
      </c>
      <c r="K4532">
        <v>1.1082449999999999</v>
      </c>
      <c r="L4532">
        <v>83.886080000000007</v>
      </c>
      <c r="M4532">
        <v>-4.9253440000000002E-2</v>
      </c>
      <c r="N4532">
        <v>-5.0490919999999998E-3</v>
      </c>
      <c r="O4532">
        <v>-0.99877360000000004</v>
      </c>
      <c r="P4532">
        <v>0.1648607</v>
      </c>
      <c r="Q4532">
        <v>-2.0207280000000001E-2</v>
      </c>
      <c r="R4532">
        <v>-0.98610980000000004</v>
      </c>
      <c r="S4532">
        <v>0.74746699999999999</v>
      </c>
      <c r="T4532">
        <v>4.5011039999999997E-3</v>
      </c>
      <c r="U4532">
        <v>-2.9177249999999999</v>
      </c>
      <c r="V4532">
        <v>-0.2132376</v>
      </c>
      <c r="W4532">
        <v>-1.517111E-2</v>
      </c>
      <c r="X4532">
        <v>0.97688260000000005</v>
      </c>
      <c r="Y4532">
        <v>-0.29557149999999999</v>
      </c>
      <c r="Z4532">
        <v>-6.5620069999999999E-3</v>
      </c>
      <c r="AA4532">
        <v>0.95529810000000004</v>
      </c>
      <c r="AB4532">
        <v>34</v>
      </c>
      <c r="AC4532">
        <v>13.237599999999899</v>
      </c>
      <c r="AD4532">
        <v>7.96729999999998E-2</v>
      </c>
      <c r="AE4532">
        <v>-51.243960000000001</v>
      </c>
      <c r="AF4532">
        <v>-15.7454709621751</v>
      </c>
      <c r="AG4532">
        <v>7.96729999999998E-2</v>
      </c>
      <c r="AH4532">
        <v>50.529644159544503</v>
      </c>
      <c r="AI4532">
        <v>89.913748998814398</v>
      </c>
      <c r="AJ4532">
        <v>107.30748254255199</v>
      </c>
      <c r="AK4532">
        <v>52.926091320801497</v>
      </c>
      <c r="AL4532">
        <v>90.869273899336903</v>
      </c>
      <c r="AM4532">
        <v>102.313590733955</v>
      </c>
      <c r="AN4532">
        <v>1.00000002540757</v>
      </c>
    </row>
    <row r="4533" spans="1:40" x14ac:dyDescent="0.25">
      <c r="A4533" t="str">
        <f>"20190305135920661"</f>
        <v>20190305135920661</v>
      </c>
      <c r="B4533" t="str">
        <f>"1551765560653524"</f>
        <v>1551765560653524</v>
      </c>
      <c r="C4533" t="s">
        <v>40</v>
      </c>
      <c r="D4533">
        <v>3.8192979999999999</v>
      </c>
      <c r="E4533">
        <v>0.46852339999999998</v>
      </c>
      <c r="F4533" t="s">
        <v>83</v>
      </c>
      <c r="G4533">
        <v>-400.48079999999999</v>
      </c>
      <c r="H4533">
        <v>1.4641409999999999</v>
      </c>
      <c r="I4533">
        <v>0.67589949999999999</v>
      </c>
      <c r="J4533">
        <v>-421.84960000000001</v>
      </c>
      <c r="K4533">
        <v>1.1081939999999999</v>
      </c>
      <c r="L4533">
        <v>83.543180000000007</v>
      </c>
      <c r="M4533">
        <v>-4.9625040000000002E-2</v>
      </c>
      <c r="N4533">
        <v>-5.0268559999999997E-3</v>
      </c>
      <c r="O4533">
        <v>-0.99875530000000001</v>
      </c>
      <c r="P4533">
        <v>0.16569059999999999</v>
      </c>
      <c r="Q4533">
        <v>-2.0089889999999999E-2</v>
      </c>
      <c r="R4533">
        <v>-0.98597319999999999</v>
      </c>
      <c r="S4533">
        <v>0.74859619999999905</v>
      </c>
      <c r="T4533">
        <v>1.2476920000000001E-2</v>
      </c>
      <c r="U4533">
        <v>-2.917389</v>
      </c>
      <c r="V4533">
        <v>-0.2144247</v>
      </c>
      <c r="W4533">
        <v>-1.505244E-2</v>
      </c>
      <c r="X4533">
        <v>0.97662450000000001</v>
      </c>
      <c r="Y4533">
        <v>-0.29629709999999998</v>
      </c>
      <c r="Z4533">
        <v>-9.1646190000000006E-3</v>
      </c>
      <c r="AA4533">
        <v>0.95505180000000001</v>
      </c>
      <c r="AB4533">
        <v>34</v>
      </c>
      <c r="AC4533">
        <v>21.3688</v>
      </c>
      <c r="AD4533">
        <v>0.35594699999999901</v>
      </c>
      <c r="AE4533">
        <v>-82.867280500000007</v>
      </c>
      <c r="AF4533">
        <v>-25.454374814886702</v>
      </c>
      <c r="AG4533">
        <v>0.35594699999999901</v>
      </c>
      <c r="AH4533">
        <v>81.703324312605503</v>
      </c>
      <c r="AI4533">
        <v>89.761685580591703</v>
      </c>
      <c r="AJ4533">
        <v>107.304233727918</v>
      </c>
      <c r="AK4533">
        <v>85.577363240604399</v>
      </c>
      <c r="AL4533">
        <v>90.862473879818396</v>
      </c>
      <c r="AM4533">
        <v>102.38320348599601</v>
      </c>
      <c r="AN4533">
        <v>0.99999997096014603</v>
      </c>
    </row>
    <row r="4534" spans="1:40" x14ac:dyDescent="0.25">
      <c r="A4534" t="str">
        <f>"20190305135920682"</f>
        <v>20190305135920682</v>
      </c>
      <c r="B4534" t="str">
        <f>"1551765560674020"</f>
        <v>1551765560674020</v>
      </c>
      <c r="C4534" t="s">
        <v>40</v>
      </c>
      <c r="D4534">
        <v>3.7779820000000002</v>
      </c>
      <c r="E4534">
        <v>0.4684178</v>
      </c>
      <c r="F4534" t="s">
        <v>83</v>
      </c>
      <c r="G4534">
        <v>-400.57</v>
      </c>
      <c r="H4534">
        <v>1.4477979999999999</v>
      </c>
      <c r="I4534">
        <v>0.67499160000000002</v>
      </c>
      <c r="J4534">
        <v>-421.86709999999999</v>
      </c>
      <c r="K4534">
        <v>1.108166</v>
      </c>
      <c r="L4534">
        <v>83.196039999999996</v>
      </c>
      <c r="M4534">
        <v>-5.0013299999999997E-2</v>
      </c>
      <c r="N4534">
        <v>-5.0152199999999999E-3</v>
      </c>
      <c r="O4534">
        <v>-0.99873630000000002</v>
      </c>
      <c r="P4534">
        <v>0.16734009999999999</v>
      </c>
      <c r="Q4534">
        <v>-2.1710879999999998E-2</v>
      </c>
      <c r="R4534">
        <v>-0.98566039999999999</v>
      </c>
      <c r="S4534">
        <v>0.749054</v>
      </c>
      <c r="T4534">
        <v>1.195335E-2</v>
      </c>
      <c r="U4534">
        <v>-2.9170229999999999</v>
      </c>
      <c r="V4534">
        <v>-0.21643889999999999</v>
      </c>
      <c r="W4534">
        <v>-1.6669280000000002E-2</v>
      </c>
      <c r="X4534">
        <v>0.97615390000000002</v>
      </c>
      <c r="Y4534">
        <v>-0.29683799999999999</v>
      </c>
      <c r="Z4534">
        <v>-8.9808230000000006E-3</v>
      </c>
      <c r="AA4534">
        <v>0.9548856</v>
      </c>
      <c r="AB4534">
        <v>34</v>
      </c>
      <c r="AC4534">
        <v>21.2971</v>
      </c>
      <c r="AD4534">
        <v>0.33963199999999899</v>
      </c>
      <c r="AE4534">
        <v>-82.521048399999998</v>
      </c>
      <c r="AF4534">
        <v>-25.397244244244199</v>
      </c>
      <c r="AG4534">
        <v>0.33963199999999899</v>
      </c>
      <c r="AH4534">
        <v>81.351331814224594</v>
      </c>
      <c r="AI4534">
        <v>89.771666757629305</v>
      </c>
      <c r="AJ4534">
        <v>107.337952097653</v>
      </c>
      <c r="AK4534">
        <v>85.224260354932298</v>
      </c>
      <c r="AL4534">
        <v>90.955123580364898</v>
      </c>
      <c r="AM4534">
        <v>102.501722584492</v>
      </c>
      <c r="AN4534">
        <v>1.00000004940706</v>
      </c>
    </row>
    <row r="4535" spans="1:40" x14ac:dyDescent="0.25">
      <c r="A4535" t="str">
        <f>"20190305135920703"</f>
        <v>20190305135920703</v>
      </c>
      <c r="B4535" t="str">
        <f>"1551765560693541"</f>
        <v>1551765560693541</v>
      </c>
      <c r="C4535" t="s">
        <v>40</v>
      </c>
      <c r="D4535">
        <v>3.7756180000000001</v>
      </c>
      <c r="E4535">
        <v>0.46817690000000001</v>
      </c>
      <c r="F4535" t="s">
        <v>83</v>
      </c>
      <c r="G4535">
        <v>-400.50150000000002</v>
      </c>
      <c r="H4535">
        <v>1.27457</v>
      </c>
      <c r="I4535">
        <v>0.67569159999999995</v>
      </c>
      <c r="J4535">
        <v>-421.8836</v>
      </c>
      <c r="K4535">
        <v>1.108141</v>
      </c>
      <c r="L4535">
        <v>82.871119999999905</v>
      </c>
      <c r="M4535">
        <v>-5.0378079999999999E-2</v>
      </c>
      <c r="N4535">
        <v>-5.0086339999999997E-3</v>
      </c>
      <c r="O4535">
        <v>-0.99871770000000004</v>
      </c>
      <c r="P4535">
        <v>0.16900379999999901</v>
      </c>
      <c r="Q4535">
        <v>-2.3109620000000001E-2</v>
      </c>
      <c r="R4535">
        <v>-0.98534440000000001</v>
      </c>
      <c r="S4535">
        <v>0.75488279999999996</v>
      </c>
      <c r="T4535">
        <v>5.8784479999999997E-3</v>
      </c>
      <c r="U4535">
        <v>-2.9155880000000001</v>
      </c>
      <c r="V4535">
        <v>-0.218443</v>
      </c>
      <c r="W4535">
        <v>-1.806468E-2</v>
      </c>
      <c r="X4535">
        <v>0.97568250000000001</v>
      </c>
      <c r="Y4535">
        <v>-0.29909170000000002</v>
      </c>
      <c r="Z4535">
        <v>-6.9751800000000001E-3</v>
      </c>
      <c r="AA4535">
        <v>0.95419889999999996</v>
      </c>
      <c r="AB4535">
        <v>35</v>
      </c>
      <c r="AC4535">
        <v>21.382099999999902</v>
      </c>
      <c r="AD4535">
        <v>0.16642899999999899</v>
      </c>
      <c r="AE4535">
        <v>-82.195428399999997</v>
      </c>
      <c r="AF4535">
        <v>-25.4957504592535</v>
      </c>
      <c r="AG4535">
        <v>0.16642899999999899</v>
      </c>
      <c r="AH4535">
        <v>81.013541842608007</v>
      </c>
      <c r="AI4535">
        <v>89.887724170387798</v>
      </c>
      <c r="AJ4535">
        <v>107.469296463698</v>
      </c>
      <c r="AK4535">
        <v>84.930883381586</v>
      </c>
      <c r="AL4535">
        <v>91.035086215363407</v>
      </c>
      <c r="AM4535">
        <v>102.61969245586</v>
      </c>
      <c r="AN4535">
        <v>1.0000000088593699</v>
      </c>
    </row>
    <row r="4536" spans="1:40" x14ac:dyDescent="0.25">
      <c r="A4536" t="str">
        <f>"20190305135920726"</f>
        <v>20190305135920726</v>
      </c>
      <c r="B4536" t="str">
        <f>"1551765560714036"</f>
        <v>1551765560714036</v>
      </c>
      <c r="C4536" t="s">
        <v>40</v>
      </c>
      <c r="D4536">
        <v>3.792999</v>
      </c>
      <c r="E4536">
        <v>0.46792240000000002</v>
      </c>
      <c r="F4536" t="s">
        <v>83</v>
      </c>
      <c r="G4536">
        <v>-400.40039999999999</v>
      </c>
      <c r="H4536">
        <v>1.076608</v>
      </c>
      <c r="I4536">
        <v>0.67671969999999904</v>
      </c>
      <c r="J4536">
        <v>-421.90170000000001</v>
      </c>
      <c r="K4536">
        <v>1.1081270000000001</v>
      </c>
      <c r="L4536">
        <v>82.518860000000004</v>
      </c>
      <c r="M4536">
        <v>-5.0763179999999998E-2</v>
      </c>
      <c r="N4536">
        <v>-5.0048499999999999E-3</v>
      </c>
      <c r="O4536">
        <v>-0.99869819999999998</v>
      </c>
      <c r="P4536">
        <v>0.17087959999999999</v>
      </c>
      <c r="Q4536">
        <v>-2.4054610000000001E-2</v>
      </c>
      <c r="R4536">
        <v>-0.98499820000000005</v>
      </c>
      <c r="S4536">
        <v>0.76162719999999995</v>
      </c>
      <c r="T4536">
        <v>-1.1188979999999999E-3</v>
      </c>
      <c r="U4536">
        <v>-2.9139710000000001</v>
      </c>
      <c r="V4536">
        <v>-0.22067639999999999</v>
      </c>
      <c r="W4536">
        <v>-1.9007420000000001E-2</v>
      </c>
      <c r="X4536">
        <v>0.97516190000000003</v>
      </c>
      <c r="Y4536">
        <v>-0.30165710000000001</v>
      </c>
      <c r="Z4536">
        <v>-4.6695290000000004E-3</v>
      </c>
      <c r="AA4536">
        <v>0.95340499999999995</v>
      </c>
      <c r="AB4536">
        <v>35</v>
      </c>
      <c r="AC4536">
        <v>21.501300000000001</v>
      </c>
      <c r="AD4536">
        <v>-3.1518999999999998E-2</v>
      </c>
      <c r="AE4536">
        <v>-81.842140299999997</v>
      </c>
      <c r="AF4536">
        <v>-25.628193768524401</v>
      </c>
      <c r="AG4536">
        <v>-3.1518999999999998E-2</v>
      </c>
      <c r="AH4536">
        <v>80.645120917781099</v>
      </c>
      <c r="AI4536">
        <v>90.021341512358404</v>
      </c>
      <c r="AJ4536">
        <v>107.62972382998301</v>
      </c>
      <c r="AK4536">
        <v>84.619388068739497</v>
      </c>
      <c r="AL4536">
        <v>91.089110484245495</v>
      </c>
      <c r="AM4536">
        <v>102.751106122732</v>
      </c>
      <c r="AN4536">
        <v>1.0000000433718099</v>
      </c>
    </row>
    <row r="4537" spans="1:40" x14ac:dyDescent="0.25">
      <c r="A4537" t="str">
        <f>"20190305135920749"</f>
        <v>20190305135920749</v>
      </c>
      <c r="B4537" t="str">
        <f>"1551765560743319"</f>
        <v>1551765560743319</v>
      </c>
      <c r="C4537" t="s">
        <v>40</v>
      </c>
      <c r="D4537">
        <v>3.7967879999999998</v>
      </c>
      <c r="E4537">
        <v>0.4676593</v>
      </c>
      <c r="F4537" t="s">
        <v>83</v>
      </c>
      <c r="G4537">
        <v>-400.29059999999998</v>
      </c>
      <c r="H4537">
        <v>0.93308380000000002</v>
      </c>
      <c r="I4537">
        <v>0.67783359999999904</v>
      </c>
      <c r="J4537">
        <v>-421.91950000000003</v>
      </c>
      <c r="K4537">
        <v>1.1081190000000001</v>
      </c>
      <c r="L4537">
        <v>82.1738</v>
      </c>
      <c r="M4537">
        <v>-5.111893E-2</v>
      </c>
      <c r="N4537">
        <v>-5.0062170000000003E-3</v>
      </c>
      <c r="O4537">
        <v>-0.99868009999999996</v>
      </c>
      <c r="P4537">
        <v>0.1722957</v>
      </c>
      <c r="Q4537">
        <v>-2.436895E-2</v>
      </c>
      <c r="R4537">
        <v>-0.98474399999999995</v>
      </c>
      <c r="S4537">
        <v>0.7689819</v>
      </c>
      <c r="T4537">
        <v>-6.2294009999999999E-3</v>
      </c>
      <c r="U4537">
        <v>-2.91214</v>
      </c>
      <c r="V4537">
        <v>-0.22242500000000001</v>
      </c>
      <c r="W4537">
        <v>-1.9319409999999999E-2</v>
      </c>
      <c r="X4537">
        <v>0.97475840000000002</v>
      </c>
      <c r="Y4537">
        <v>-0.30439490000000002</v>
      </c>
      <c r="Z4537">
        <v>-2.9905510000000001E-3</v>
      </c>
      <c r="AA4537">
        <v>0.95254119999999998</v>
      </c>
      <c r="AB4537">
        <v>35</v>
      </c>
      <c r="AC4537">
        <v>21.628900000000002</v>
      </c>
      <c r="AD4537">
        <v>-0.1750352</v>
      </c>
      <c r="AE4537">
        <v>-81.4959664</v>
      </c>
      <c r="AF4537">
        <v>-25.766548540560301</v>
      </c>
      <c r="AG4537">
        <v>-0.1750352</v>
      </c>
      <c r="AH4537">
        <v>80.283407729994096</v>
      </c>
      <c r="AI4537">
        <v>90.118941317181296</v>
      </c>
      <c r="AJ4537">
        <v>107.793766956345</v>
      </c>
      <c r="AK4537">
        <v>84.317087341503694</v>
      </c>
      <c r="AL4537">
        <v>91.106989492583693</v>
      </c>
      <c r="AM4537">
        <v>102.853944658351</v>
      </c>
      <c r="AN4537">
        <v>1.00000002929915</v>
      </c>
    </row>
    <row r="4538" spans="1:40" x14ac:dyDescent="0.25">
      <c r="A4538" t="str">
        <f>"20190305135920772"</f>
        <v>20190305135920772</v>
      </c>
      <c r="B4538" t="str">
        <f>"1551765560763815"</f>
        <v>1551765560763815</v>
      </c>
      <c r="C4538" t="s">
        <v>40</v>
      </c>
      <c r="D4538">
        <v>3.7198030000000002</v>
      </c>
      <c r="E4538">
        <v>0.46752919999999998</v>
      </c>
      <c r="F4538" t="s">
        <v>45</v>
      </c>
      <c r="G4538">
        <v>-408.67880000000002</v>
      </c>
      <c r="H4538">
        <v>0.94264820000000005</v>
      </c>
      <c r="I4538">
        <v>32.464120000000001</v>
      </c>
      <c r="J4538">
        <v>-421.93889999999999</v>
      </c>
      <c r="K4538">
        <v>1.108125</v>
      </c>
      <c r="L4538">
        <v>81.800809999999998</v>
      </c>
      <c r="M4538">
        <v>-5.146879E-2</v>
      </c>
      <c r="N4538">
        <v>-5.0146779999999998E-3</v>
      </c>
      <c r="O4538">
        <v>-0.99866220000000006</v>
      </c>
      <c r="P4538">
        <v>0.17318</v>
      </c>
      <c r="Q4538">
        <v>-2.452524E-2</v>
      </c>
      <c r="R4538">
        <v>-0.98458500000000004</v>
      </c>
      <c r="S4538">
        <v>0.77526859999999997</v>
      </c>
      <c r="T4538">
        <v>-9.6886160000000006E-3</v>
      </c>
      <c r="U4538">
        <v>-2.9105829999999999</v>
      </c>
      <c r="V4538">
        <v>-0.22364100000000001</v>
      </c>
      <c r="W4538">
        <v>-1.9471599999999999E-2</v>
      </c>
      <c r="X4538">
        <v>0.97447709999999998</v>
      </c>
      <c r="Y4538">
        <v>-0.30677520000000003</v>
      </c>
      <c r="Z4538">
        <v>-1.8623100000000001E-3</v>
      </c>
      <c r="AA4538">
        <v>0.95178019999999997</v>
      </c>
      <c r="AB4538">
        <v>35</v>
      </c>
      <c r="AC4538">
        <v>13.2600999999999</v>
      </c>
      <c r="AD4538">
        <v>-0.16547679999999901</v>
      </c>
      <c r="AE4538">
        <v>-49.336689999999997</v>
      </c>
      <c r="AF4538">
        <v>-15.781690289781499</v>
      </c>
      <c r="AG4538">
        <v>-0.16547679999999901</v>
      </c>
      <c r="AH4538">
        <v>48.588298174382302</v>
      </c>
      <c r="AI4538">
        <v>90.185587014775194</v>
      </c>
      <c r="AJ4538">
        <v>107.994021696836</v>
      </c>
      <c r="AK4538">
        <v>51.087296370591098</v>
      </c>
      <c r="AL4538">
        <v>91.115710977671696</v>
      </c>
      <c r="AM4538">
        <v>102.925469514356</v>
      </c>
      <c r="AN4538">
        <v>1.0000000292559801</v>
      </c>
    </row>
    <row r="4539" spans="1:40" x14ac:dyDescent="0.25">
      <c r="A4539" t="str">
        <f>"20190305135920793"</f>
        <v>20190305135920793</v>
      </c>
      <c r="B4539" t="str">
        <f>"1551765560783332"</f>
        <v>1551765560783332</v>
      </c>
      <c r="C4539" t="s">
        <v>40</v>
      </c>
      <c r="D4539">
        <v>3.7370719999999999</v>
      </c>
      <c r="E4539">
        <v>0.46748279999999998</v>
      </c>
      <c r="F4539" t="s">
        <v>83</v>
      </c>
      <c r="G4539">
        <v>-400.221</v>
      </c>
      <c r="H4539">
        <v>0.78608109999999998</v>
      </c>
      <c r="I4539">
        <v>0.67854119999999996</v>
      </c>
      <c r="J4539">
        <v>-421.95589999999999</v>
      </c>
      <c r="K4539">
        <v>1.1081319999999999</v>
      </c>
      <c r="L4539">
        <v>81.475369999999998</v>
      </c>
      <c r="M4539">
        <v>-5.1739309999999997E-2</v>
      </c>
      <c r="N4539">
        <v>-5.024939E-3</v>
      </c>
      <c r="O4539">
        <v>-0.99864810000000004</v>
      </c>
      <c r="P4539">
        <v>0.1737021</v>
      </c>
      <c r="Q4539">
        <v>-2.4080689999999998E-2</v>
      </c>
      <c r="R4539">
        <v>-0.98450369999999998</v>
      </c>
      <c r="S4539">
        <v>0.77896119999999902</v>
      </c>
      <c r="T4539">
        <v>-1.155162E-2</v>
      </c>
      <c r="U4539">
        <v>-2.909637</v>
      </c>
      <c r="V4539">
        <v>-0.22442110000000001</v>
      </c>
      <c r="W4539">
        <v>-1.9025070000000002E-2</v>
      </c>
      <c r="X4539">
        <v>0.97430649999999996</v>
      </c>
      <c r="Y4539">
        <v>-0.30823679999999998</v>
      </c>
      <c r="Z4539">
        <v>-1.260728E-3</v>
      </c>
      <c r="AA4539">
        <v>0.95130879999999995</v>
      </c>
      <c r="AB4539">
        <v>35</v>
      </c>
      <c r="AC4539">
        <v>21.7348999999999</v>
      </c>
      <c r="AD4539">
        <v>-0.32205089999999897</v>
      </c>
      <c r="AE4539">
        <v>-80.7968288</v>
      </c>
      <c r="AF4539">
        <v>-25.885829037022098</v>
      </c>
      <c r="AG4539">
        <v>-0.32205089999999897</v>
      </c>
      <c r="AH4539">
        <v>79.562867270215705</v>
      </c>
      <c r="AI4539">
        <v>90.220539239349804</v>
      </c>
      <c r="AJ4539">
        <v>108.02233013617101</v>
      </c>
      <c r="AK4539">
        <v>83.668570622271801</v>
      </c>
      <c r="AL4539">
        <v>91.090122017951202</v>
      </c>
      <c r="AM4539">
        <v>102.97122814467301</v>
      </c>
      <c r="AN4539">
        <v>0.99999996967798099</v>
      </c>
    </row>
    <row r="4540" spans="1:40" x14ac:dyDescent="0.25">
      <c r="A4540" t="str">
        <f>"20190305135920815"</f>
        <v>20190305135920815</v>
      </c>
      <c r="B4540" t="str">
        <f>"1551765560803828"</f>
        <v>1551765560803828</v>
      </c>
      <c r="C4540" t="s">
        <v>40</v>
      </c>
      <c r="D4540">
        <v>3.7274120000000002</v>
      </c>
      <c r="E4540">
        <v>0.46743370000000001</v>
      </c>
      <c r="F4540" t="s">
        <v>83</v>
      </c>
      <c r="G4540">
        <v>-400.2629</v>
      </c>
      <c r="H4540">
        <v>0.79248830000000003</v>
      </c>
      <c r="I4540">
        <v>0.67811580000000005</v>
      </c>
      <c r="J4540">
        <v>-421.9744</v>
      </c>
      <c r="K4540">
        <v>1.1081460000000001</v>
      </c>
      <c r="L4540">
        <v>81.121459999999999</v>
      </c>
      <c r="M4540">
        <v>-5.1993869999999998E-2</v>
      </c>
      <c r="N4540">
        <v>-5.0369990000000003E-3</v>
      </c>
      <c r="O4540">
        <v>-0.99863469999999999</v>
      </c>
      <c r="P4540">
        <v>0.174507299999999</v>
      </c>
      <c r="Q4540">
        <v>-2.4712109999999999E-2</v>
      </c>
      <c r="R4540">
        <v>-0.98434580000000005</v>
      </c>
      <c r="S4540">
        <v>0.78106690000000001</v>
      </c>
      <c r="T4540">
        <v>-1.136589E-2</v>
      </c>
      <c r="U4540">
        <v>-2.9091490000000002</v>
      </c>
      <c r="V4540">
        <v>-0.225465</v>
      </c>
      <c r="W4540">
        <v>-1.965716E-2</v>
      </c>
      <c r="X4540">
        <v>0.97405299999999995</v>
      </c>
      <c r="Y4540">
        <v>-0.30916149999999998</v>
      </c>
      <c r="Z4540">
        <v>-1.33459999999999E-3</v>
      </c>
      <c r="AA4540">
        <v>0.95100859999999998</v>
      </c>
      <c r="AB4540">
        <v>35</v>
      </c>
      <c r="AC4540">
        <v>21.711500000000001</v>
      </c>
      <c r="AD4540">
        <v>-0.31565769999999899</v>
      </c>
      <c r="AE4540">
        <v>-80.443344199999999</v>
      </c>
      <c r="AF4540">
        <v>-25.864375002395001</v>
      </c>
      <c r="AG4540">
        <v>-0.31565769999999899</v>
      </c>
      <c r="AH4540">
        <v>79.204518108426498</v>
      </c>
      <c r="AI4540">
        <v>90.217062389126696</v>
      </c>
      <c r="AJ4540">
        <v>108.084540449106</v>
      </c>
      <c r="AK4540">
        <v>83.321193119374797</v>
      </c>
      <c r="AL4540">
        <v>91.126344784619704</v>
      </c>
      <c r="AM4540">
        <v>103.032785096534</v>
      </c>
      <c r="AN4540">
        <v>1.00000005848663</v>
      </c>
    </row>
    <row r="4541" spans="1:40" x14ac:dyDescent="0.25">
      <c r="A4541" t="str">
        <f>"20190305135920850"</f>
        <v>20190305135920850</v>
      </c>
      <c r="B4541" t="str">
        <f>"1551765560843844"</f>
        <v>1551765560843844</v>
      </c>
      <c r="C4541" t="s">
        <v>40</v>
      </c>
      <c r="D4541">
        <v>4.1927949999999896</v>
      </c>
      <c r="E4541">
        <v>0.50534309999999905</v>
      </c>
      <c r="F4541" t="s">
        <v>83</v>
      </c>
      <c r="G4541">
        <v>-400.30360000000002</v>
      </c>
      <c r="H4541">
        <v>0.72156209999999998</v>
      </c>
      <c r="I4541">
        <v>0.67770200000000003</v>
      </c>
      <c r="J4541">
        <v>-422.00369999999998</v>
      </c>
      <c r="K4541">
        <v>1.1081749999999999</v>
      </c>
      <c r="L4541">
        <v>80.565089999999998</v>
      </c>
      <c r="M4541">
        <v>-5.2305600000000001E-2</v>
      </c>
      <c r="N4541">
        <v>-5.057097E-3</v>
      </c>
      <c r="O4541">
        <v>-0.99861849999999996</v>
      </c>
      <c r="P4541">
        <v>0.173614299999999</v>
      </c>
      <c r="Q4541">
        <v>-2.824229E-2</v>
      </c>
      <c r="R4541">
        <v>-0.98440910000000004</v>
      </c>
      <c r="S4541">
        <v>0.78350830000000005</v>
      </c>
      <c r="T4541">
        <v>-1.397789E-2</v>
      </c>
      <c r="U4541">
        <v>-2.9084469999999998</v>
      </c>
      <c r="V4541">
        <v>-0.22488030000000001</v>
      </c>
      <c r="W4541">
        <v>-2.3190800000000001E-2</v>
      </c>
      <c r="X4541">
        <v>0.97411040000000004</v>
      </c>
      <c r="Y4541">
        <v>-0.31025950000000002</v>
      </c>
      <c r="Z4541">
        <v>-4.9673000000000002E-4</v>
      </c>
      <c r="AA4541">
        <v>0.95065180000000005</v>
      </c>
      <c r="AB4541">
        <v>35</v>
      </c>
      <c r="AC4541">
        <v>21.7000999999999</v>
      </c>
      <c r="AD4541">
        <v>-0.38661289999999898</v>
      </c>
      <c r="AE4541">
        <v>-79.887388000000001</v>
      </c>
      <c r="AF4541">
        <v>-25.848441190855301</v>
      </c>
      <c r="AG4541">
        <v>-0.38661289999999898</v>
      </c>
      <c r="AH4541">
        <v>78.6412630887028</v>
      </c>
      <c r="AI4541">
        <v>90.267589110676397</v>
      </c>
      <c r="AJ4541">
        <v>108.195074861123</v>
      </c>
      <c r="AK4541">
        <v>82.781275912600705</v>
      </c>
      <c r="AL4541">
        <v>91.328854071691893</v>
      </c>
      <c r="AM4541">
        <v>102.99939656774301</v>
      </c>
      <c r="AN4541">
        <v>1.0000000169604399</v>
      </c>
    </row>
    <row r="4542" spans="1:40" x14ac:dyDescent="0.25">
      <c r="A4542" t="str">
        <f>"20190305135920872"</f>
        <v>20190305135920872</v>
      </c>
      <c r="B4542" t="str">
        <f>"1551765560863364"</f>
        <v>1551765560863364</v>
      </c>
      <c r="C4542" t="s">
        <v>40</v>
      </c>
      <c r="D4542">
        <v>4.0590900000000003</v>
      </c>
      <c r="E4542">
        <v>0.51885809999999999</v>
      </c>
      <c r="F4542" t="s">
        <v>42</v>
      </c>
      <c r="G4542">
        <v>-417.35019999999997</v>
      </c>
      <c r="H4542" s="1">
        <v>-1.3916229999999999E-6</v>
      </c>
      <c r="I4542">
        <v>51.66563</v>
      </c>
      <c r="J4542">
        <v>-422.0222</v>
      </c>
      <c r="K4542">
        <v>1.108196</v>
      </c>
      <c r="L4542">
        <v>80.214969999999994</v>
      </c>
      <c r="M4542">
        <v>-5.2458949999999997E-2</v>
      </c>
      <c r="N4542">
        <v>-5.0701820000000003E-3</v>
      </c>
      <c r="O4542">
        <v>-0.99861029999999995</v>
      </c>
      <c r="P4542">
        <v>0.17271210000000001</v>
      </c>
      <c r="Q4542">
        <v>-2.9237240000000001E-2</v>
      </c>
      <c r="R4542">
        <v>-0.98453829999999998</v>
      </c>
      <c r="S4542">
        <v>0.47665410000000002</v>
      </c>
      <c r="T4542">
        <v>-0.1135106</v>
      </c>
      <c r="U4542">
        <v>-2.960175</v>
      </c>
      <c r="V4542">
        <v>-0.224135</v>
      </c>
      <c r="W4542">
        <v>-2.4186610000000001E-2</v>
      </c>
      <c r="X4542">
        <v>0.97425790000000001</v>
      </c>
      <c r="Y4542">
        <v>-0.21044089999999999</v>
      </c>
      <c r="Z4542">
        <v>3.2479550000000003E-2</v>
      </c>
      <c r="AA4542">
        <v>0.97706689999999996</v>
      </c>
      <c r="AB4542">
        <v>35</v>
      </c>
      <c r="AC4542">
        <v>4.6720000000000201</v>
      </c>
      <c r="AD4542">
        <v>-1.1081973916229999</v>
      </c>
      <c r="AE4542">
        <v>-28.549339999999901</v>
      </c>
      <c r="AF4542">
        <v>-6.1542233449929897</v>
      </c>
      <c r="AG4542">
        <v>-1.1081973916229999</v>
      </c>
      <c r="AH4542">
        <v>28.223520803181302</v>
      </c>
      <c r="AI4542">
        <v>92.196993948608196</v>
      </c>
      <c r="AJ4542">
        <v>102.300970201402</v>
      </c>
      <c r="AK4542">
        <v>28.907952071471001</v>
      </c>
      <c r="AL4542">
        <v>91.385925859475094</v>
      </c>
      <c r="AM4542">
        <v>102.95587464502999</v>
      </c>
      <c r="AN4542">
        <v>0.99999997302035004</v>
      </c>
    </row>
    <row r="4543" spans="1:40" x14ac:dyDescent="0.25">
      <c r="A4543" t="str">
        <f>"20190305135920893"</f>
        <v>20190305135920893</v>
      </c>
      <c r="B4543" t="str">
        <f>"1551765560883861"</f>
        <v>1551765560883861</v>
      </c>
      <c r="C4543" t="s">
        <v>40</v>
      </c>
      <c r="D4543">
        <v>3.8134920000000001</v>
      </c>
      <c r="E4543">
        <v>0.52265709999999999</v>
      </c>
      <c r="F4543" t="s">
        <v>42</v>
      </c>
      <c r="G4543">
        <v>-418.9325</v>
      </c>
      <c r="H4543" s="1">
        <v>-2.5442359999999999E-6</v>
      </c>
      <c r="I4543">
        <v>55.122030000000002</v>
      </c>
      <c r="J4543">
        <v>-422.04</v>
      </c>
      <c r="K4543">
        <v>1.10822</v>
      </c>
      <c r="L4543">
        <v>79.876040000000003</v>
      </c>
      <c r="M4543">
        <v>-5.2583930000000001E-2</v>
      </c>
      <c r="N4543">
        <v>-5.0830160000000001E-3</v>
      </c>
      <c r="O4543">
        <v>-0.99860389999999999</v>
      </c>
      <c r="P4543">
        <v>0.17275260000000001</v>
      </c>
      <c r="Q4543">
        <v>-2.849558E-2</v>
      </c>
      <c r="R4543">
        <v>-0.98455309999999996</v>
      </c>
      <c r="S4543">
        <v>0.36679079999999997</v>
      </c>
      <c r="T4543">
        <v>-0.1315587</v>
      </c>
      <c r="U4543">
        <v>-2.978882</v>
      </c>
      <c r="V4543">
        <v>-0.224296</v>
      </c>
      <c r="W4543">
        <v>-2.3443680000000001E-2</v>
      </c>
      <c r="X4543">
        <v>0.97423910000000002</v>
      </c>
      <c r="Y4543">
        <v>-0.1741164</v>
      </c>
      <c r="Z4543">
        <v>3.8433009999999997E-2</v>
      </c>
      <c r="AA4543">
        <v>0.98397480000000004</v>
      </c>
      <c r="AB4543">
        <v>36</v>
      </c>
      <c r="AC4543">
        <v>3.1075000000000101</v>
      </c>
      <c r="AD4543">
        <v>-1.1082225442360001</v>
      </c>
      <c r="AE4543">
        <v>-24.754010000000001</v>
      </c>
      <c r="AF4543">
        <v>-4.3962055956584596</v>
      </c>
      <c r="AG4543">
        <v>-1.1082225442360001</v>
      </c>
      <c r="AH4543">
        <v>24.5079962545211</v>
      </c>
      <c r="AI4543">
        <v>92.548462611813207</v>
      </c>
      <c r="AJ4543">
        <v>100.169473641447</v>
      </c>
      <c r="AK4543">
        <v>24.923817148632601</v>
      </c>
      <c r="AL4543">
        <v>91.343346906923699</v>
      </c>
      <c r="AM4543">
        <v>102.96510847188399</v>
      </c>
      <c r="AN4543">
        <v>1.0000000628583701</v>
      </c>
    </row>
    <row r="4544" spans="1:40" x14ac:dyDescent="0.25">
      <c r="A4544" t="str">
        <f>"20190305135920916"</f>
        <v>20190305135920916</v>
      </c>
      <c r="B4544" t="str">
        <f>"1551765560903381"</f>
        <v>1551765560903381</v>
      </c>
      <c r="C4544" t="s">
        <v>40</v>
      </c>
      <c r="D4544">
        <v>3.8206389999999999</v>
      </c>
      <c r="E4544">
        <v>0.52490619999999999</v>
      </c>
      <c r="F4544" t="s">
        <v>42</v>
      </c>
      <c r="G4544">
        <v>-419.089</v>
      </c>
      <c r="H4544" s="1">
        <v>-1.9241450000000001E-6</v>
      </c>
      <c r="I4544">
        <v>53.741329999999998</v>
      </c>
      <c r="J4544">
        <v>-422.05930000000001</v>
      </c>
      <c r="K4544">
        <v>1.1082510000000001</v>
      </c>
      <c r="L4544">
        <v>79.512509999999907</v>
      </c>
      <c r="M4544">
        <v>-5.2700469999999999E-2</v>
      </c>
      <c r="N4544">
        <v>-5.0966819999999999E-3</v>
      </c>
      <c r="O4544">
        <v>-0.99859770000000003</v>
      </c>
      <c r="P4544">
        <v>0.17299139999999999</v>
      </c>
      <c r="Q4544">
        <v>-2.720467E-2</v>
      </c>
      <c r="R4544">
        <v>-0.98454790000000003</v>
      </c>
      <c r="S4544">
        <v>0.33697510000000003</v>
      </c>
      <c r="T4544">
        <v>-0.12654749999999901</v>
      </c>
      <c r="U4544">
        <v>-2.9843139999999999</v>
      </c>
      <c r="V4544">
        <v>-0.22464690000000001</v>
      </c>
      <c r="W4544">
        <v>-2.2148709999999999E-2</v>
      </c>
      <c r="X4544">
        <v>0.97418850000000001</v>
      </c>
      <c r="Y4544">
        <v>-0.16431889999999999</v>
      </c>
      <c r="Z4544">
        <v>3.6749230000000001E-2</v>
      </c>
      <c r="AA4544">
        <v>0.98572249999999995</v>
      </c>
      <c r="AB4544">
        <v>36</v>
      </c>
      <c r="AC4544">
        <v>2.9702999999999999</v>
      </c>
      <c r="AD4544">
        <v>-1.1082529241449901</v>
      </c>
      <c r="AE4544">
        <v>-25.771179999999902</v>
      </c>
      <c r="AF4544">
        <v>-4.3164649153211796</v>
      </c>
      <c r="AG4544">
        <v>-1.1082529241449901</v>
      </c>
      <c r="AH4544">
        <v>25.532230428719501</v>
      </c>
      <c r="AI4544">
        <v>92.450690872536995</v>
      </c>
      <c r="AJ4544">
        <v>99.595661486068096</v>
      </c>
      <c r="AK4544">
        <v>25.918234596019602</v>
      </c>
      <c r="AL4544">
        <v>91.269131366269804</v>
      </c>
      <c r="AM4544">
        <v>102.985356436709</v>
      </c>
      <c r="AN4544">
        <v>1.0000000142832599</v>
      </c>
    </row>
    <row r="4545" spans="1:40" x14ac:dyDescent="0.25">
      <c r="A4545" t="str">
        <f>"20190305135920939"</f>
        <v>20190305135920939</v>
      </c>
      <c r="B4545" t="str">
        <f>"1551765560933636"</f>
        <v>1551765560933636</v>
      </c>
      <c r="C4545" t="s">
        <v>40</v>
      </c>
      <c r="D4545">
        <v>3.8132259999999998</v>
      </c>
      <c r="E4545">
        <v>0.52627860000000004</v>
      </c>
      <c r="F4545" t="s">
        <v>42</v>
      </c>
      <c r="G4545">
        <v>-419.20389999999998</v>
      </c>
      <c r="H4545" s="1">
        <v>-1.5226499999999999E-6</v>
      </c>
      <c r="I4545">
        <v>52.852919999999997</v>
      </c>
      <c r="J4545">
        <v>-422.07870000000003</v>
      </c>
      <c r="K4545">
        <v>1.1082730000000001</v>
      </c>
      <c r="L4545">
        <v>79.146550000000005</v>
      </c>
      <c r="M4545">
        <v>-5.280576E-2</v>
      </c>
      <c r="N4545">
        <v>-5.1102780000000002E-3</v>
      </c>
      <c r="O4545">
        <v>-0.99859189999999998</v>
      </c>
      <c r="P4545">
        <v>0.1735187</v>
      </c>
      <c r="Q4545">
        <v>-2.5458140000000001E-2</v>
      </c>
      <c r="R4545">
        <v>-0.98450179999999998</v>
      </c>
      <c r="S4545">
        <v>0.31997680000000001</v>
      </c>
      <c r="T4545">
        <v>-0.1241888</v>
      </c>
      <c r="U4545">
        <v>-2.9874269999999998</v>
      </c>
      <c r="V4545">
        <v>-0.2252721</v>
      </c>
      <c r="W4545">
        <v>-2.0395699999999999E-2</v>
      </c>
      <c r="X4545">
        <v>0.97408240000000001</v>
      </c>
      <c r="Y4545">
        <v>-0.1587682</v>
      </c>
      <c r="Z4545">
        <v>3.5946100000000002E-2</v>
      </c>
      <c r="AA4545">
        <v>0.98666129999999996</v>
      </c>
      <c r="AB4545">
        <v>36</v>
      </c>
      <c r="AC4545">
        <v>2.8748000000000502</v>
      </c>
      <c r="AD4545">
        <v>-1.1082745226499999</v>
      </c>
      <c r="AE4545">
        <v>-26.29363</v>
      </c>
      <c r="AF4545">
        <v>-4.25179740802613</v>
      </c>
      <c r="AG4545">
        <v>-1.1082745226499999</v>
      </c>
      <c r="AH4545">
        <v>26.059385672842001</v>
      </c>
      <c r="AI4545">
        <v>92.403510275333403</v>
      </c>
      <c r="AJ4545">
        <v>99.266613459061205</v>
      </c>
      <c r="AK4545">
        <v>26.427213914114699</v>
      </c>
      <c r="AL4545">
        <v>91.168668549485204</v>
      </c>
      <c r="AM4545">
        <v>103.02163524874</v>
      </c>
      <c r="AN4545">
        <v>1.00000001280333</v>
      </c>
    </row>
    <row r="4546" spans="1:40" x14ac:dyDescent="0.25">
      <c r="A4546" t="str">
        <f>"20190305135920960"</f>
        <v>20190305135920960</v>
      </c>
      <c r="B4546" t="str">
        <f>"1551765560953160"</f>
        <v>1551765560953160</v>
      </c>
      <c r="C4546" t="s">
        <v>40</v>
      </c>
      <c r="D4546">
        <v>3.8319040000000002</v>
      </c>
      <c r="E4546">
        <v>0.52671650000000003</v>
      </c>
      <c r="F4546" t="s">
        <v>42</v>
      </c>
      <c r="G4546">
        <v>-419.40300000000002</v>
      </c>
      <c r="H4546" s="1">
        <v>-1.687018E-6</v>
      </c>
      <c r="I4546">
        <v>53.318379999999998</v>
      </c>
      <c r="J4546">
        <v>-422.09829999999999</v>
      </c>
      <c r="K4546">
        <v>1.1082799999999999</v>
      </c>
      <c r="L4546">
        <v>78.778589999999994</v>
      </c>
      <c r="M4546">
        <v>-5.2905069999999998E-2</v>
      </c>
      <c r="N4546">
        <v>-5.1284850000000003E-3</v>
      </c>
      <c r="O4546">
        <v>-0.99858670000000005</v>
      </c>
      <c r="P4546">
        <v>0.17393040000000001</v>
      </c>
      <c r="Q4546">
        <v>-2.560786E-2</v>
      </c>
      <c r="R4546">
        <v>-0.9844252</v>
      </c>
      <c r="S4546">
        <v>0.30969239999999998</v>
      </c>
      <c r="T4546">
        <v>-0.1282703</v>
      </c>
      <c r="U4546">
        <v>-2.9893190000000001</v>
      </c>
      <c r="V4546">
        <v>-0.2257759</v>
      </c>
      <c r="W4546">
        <v>-2.0532680000000001E-2</v>
      </c>
      <c r="X4546">
        <v>0.97396280000000002</v>
      </c>
      <c r="Y4546">
        <v>-0.15543689999999999</v>
      </c>
      <c r="Z4546">
        <v>3.7267759999999997E-2</v>
      </c>
      <c r="AA4546">
        <v>0.98714259999999998</v>
      </c>
      <c r="AB4546">
        <v>36</v>
      </c>
      <c r="AC4546">
        <v>2.6952999999999698</v>
      </c>
      <c r="AD4546">
        <v>-1.1082816870179999</v>
      </c>
      <c r="AE4546">
        <v>-25.46021</v>
      </c>
      <c r="AF4546">
        <v>-4.0309632857145203</v>
      </c>
      <c r="AG4546">
        <v>-1.1082816870179999</v>
      </c>
      <c r="AH4546">
        <v>25.234670226168799</v>
      </c>
      <c r="AI4546">
        <v>92.483314640785096</v>
      </c>
      <c r="AJ4546">
        <v>99.075700489521395</v>
      </c>
      <c r="AK4546">
        <v>25.578614793065899</v>
      </c>
      <c r="AL4546">
        <v>91.176518652626996</v>
      </c>
      <c r="AM4546">
        <v>103.05130885865699</v>
      </c>
      <c r="AN4546">
        <v>0.99999994187631402</v>
      </c>
    </row>
    <row r="4547" spans="1:40" x14ac:dyDescent="0.25">
      <c r="A4547" t="str">
        <f>"20190305135920983"</f>
        <v>20190305135920983</v>
      </c>
      <c r="B4547" t="str">
        <f>"1551765560973656"</f>
        <v>1551765560973656</v>
      </c>
      <c r="C4547" t="s">
        <v>40</v>
      </c>
      <c r="D4547">
        <v>3.8174869999999999</v>
      </c>
      <c r="E4547">
        <v>0.52714740000000004</v>
      </c>
      <c r="F4547" t="s">
        <v>42</v>
      </c>
      <c r="G4547">
        <v>-419.38760000000002</v>
      </c>
      <c r="H4547" s="1">
        <v>-1.3168339999999999E-6</v>
      </c>
      <c r="I4547">
        <v>52.449129999999997</v>
      </c>
      <c r="J4547">
        <v>-422.11709999999999</v>
      </c>
      <c r="K4547">
        <v>1.108276</v>
      </c>
      <c r="L4547">
        <v>78.424869999999999</v>
      </c>
      <c r="M4547">
        <v>-5.2998610000000002E-2</v>
      </c>
      <c r="N4547">
        <v>-5.1491230000000002E-3</v>
      </c>
      <c r="O4547">
        <v>-0.99858139999999995</v>
      </c>
      <c r="P4547">
        <v>0.1745322</v>
      </c>
      <c r="Q4547">
        <v>-2.6572470000000001E-2</v>
      </c>
      <c r="R4547">
        <v>-0.98429319999999998</v>
      </c>
      <c r="S4547">
        <v>0.30780030000000003</v>
      </c>
      <c r="T4547">
        <v>-0.12584819999999999</v>
      </c>
      <c r="U4547">
        <v>-2.9897770000000001</v>
      </c>
      <c r="V4547">
        <v>-0.226461</v>
      </c>
      <c r="W4547">
        <v>-2.1481170000000001E-2</v>
      </c>
      <c r="X4547">
        <v>0.97378330000000002</v>
      </c>
      <c r="Y4547">
        <v>-0.15489929999999999</v>
      </c>
      <c r="Z4547">
        <v>3.644414E-2</v>
      </c>
      <c r="AA4547">
        <v>0.98725779999999996</v>
      </c>
      <c r="AB4547">
        <v>36</v>
      </c>
      <c r="AC4547">
        <v>2.7294999999999701</v>
      </c>
      <c r="AD4547">
        <v>-1.1082773168340001</v>
      </c>
      <c r="AE4547">
        <v>-25.975739999999899</v>
      </c>
      <c r="AF4547">
        <v>-4.0949870575149303</v>
      </c>
      <c r="AG4547">
        <v>-1.1082773168340001</v>
      </c>
      <c r="AH4547">
        <v>25.7482112235584</v>
      </c>
      <c r="AI4547">
        <v>92.434100489670698</v>
      </c>
      <c r="AJ4547">
        <v>99.036619557080598</v>
      </c>
      <c r="AK4547">
        <v>26.095355502947299</v>
      </c>
      <c r="AL4547">
        <v>91.230875091613001</v>
      </c>
      <c r="AM4547">
        <v>103.091880083083</v>
      </c>
      <c r="AN4547">
        <v>0.99999997027222898</v>
      </c>
    </row>
    <row r="4548" spans="1:40" x14ac:dyDescent="0.25">
      <c r="A4548" t="str">
        <f>"20190305135921005"</f>
        <v>20190305135921005</v>
      </c>
      <c r="B4548" t="str">
        <f>"1551765561003910"</f>
        <v>1551765561003910</v>
      </c>
      <c r="C4548" t="s">
        <v>40</v>
      </c>
      <c r="D4548">
        <v>3.865694</v>
      </c>
      <c r="E4548">
        <v>0.52709510000000004</v>
      </c>
      <c r="F4548" t="s">
        <v>42</v>
      </c>
      <c r="G4548">
        <v>-419.3963</v>
      </c>
      <c r="H4548" s="1">
        <v>-1.08055E-6</v>
      </c>
      <c r="I4548">
        <v>51.901940000000003</v>
      </c>
      <c r="J4548">
        <v>-422.13659999999999</v>
      </c>
      <c r="K4548">
        <v>1.108266</v>
      </c>
      <c r="L4548">
        <v>78.059200000000004</v>
      </c>
      <c r="M4548">
        <v>-5.3095400000000001E-2</v>
      </c>
      <c r="N4548">
        <v>-5.1790619999999999E-3</v>
      </c>
      <c r="O4548">
        <v>-0.99857620000000002</v>
      </c>
      <c r="P4548">
        <v>0.17579049999999999</v>
      </c>
      <c r="Q4548">
        <v>-2.9972439999999999E-2</v>
      </c>
      <c r="R4548">
        <v>-0.98397140000000005</v>
      </c>
      <c r="S4548">
        <v>0.30673220000000001</v>
      </c>
      <c r="T4548">
        <v>-0.1249437</v>
      </c>
      <c r="U4548">
        <v>-2.9901119999999999</v>
      </c>
      <c r="V4548">
        <v>-0.227796</v>
      </c>
      <c r="W4548">
        <v>-2.4856389999999999E-2</v>
      </c>
      <c r="X4548">
        <v>0.97339160000000002</v>
      </c>
      <c r="Y4548">
        <v>-0.154636</v>
      </c>
      <c r="Z4548">
        <v>3.6112310000000002E-2</v>
      </c>
      <c r="AA4548">
        <v>0.9873113</v>
      </c>
      <c r="AB4548">
        <v>36</v>
      </c>
      <c r="AC4548">
        <v>2.7402999999999902</v>
      </c>
      <c r="AD4548">
        <v>-1.1082670805499999</v>
      </c>
      <c r="AE4548">
        <v>-26.157260000000001</v>
      </c>
      <c r="AF4548">
        <v>-4.1179709187206299</v>
      </c>
      <c r="AG4548">
        <v>-1.1082670805499999</v>
      </c>
      <c r="AH4548">
        <v>25.9288223019452</v>
      </c>
      <c r="AI4548">
        <v>92.417226138454595</v>
      </c>
      <c r="AJ4548">
        <v>99.024247167172305</v>
      </c>
      <c r="AK4548">
        <v>26.2771719630388</v>
      </c>
      <c r="AL4548">
        <v>91.424312886814505</v>
      </c>
      <c r="AM4548">
        <v>103.171490032409</v>
      </c>
      <c r="AN4548">
        <v>1.0000000323451901</v>
      </c>
    </row>
    <row r="4549" spans="1:40" x14ac:dyDescent="0.25">
      <c r="A4549" t="str">
        <f>"20190305135921030"</f>
        <v>20190305135921030</v>
      </c>
      <c r="B4549" t="str">
        <f>"1551765561023428"</f>
        <v>1551765561023428</v>
      </c>
      <c r="C4549" t="s">
        <v>40</v>
      </c>
      <c r="D4549">
        <v>3.863747</v>
      </c>
      <c r="E4549">
        <v>0.52707459999999995</v>
      </c>
      <c r="F4549" t="s">
        <v>42</v>
      </c>
      <c r="G4549">
        <v>-419.59559999999999</v>
      </c>
      <c r="H4549" s="1">
        <v>-1.783218E-6</v>
      </c>
      <c r="I4549">
        <v>53.622280000000003</v>
      </c>
      <c r="J4549">
        <v>-422.15719999999999</v>
      </c>
      <c r="K4549">
        <v>1.108258</v>
      </c>
      <c r="L4549">
        <v>77.674009999999996</v>
      </c>
      <c r="M4549">
        <v>-5.319865E-2</v>
      </c>
      <c r="N4549">
        <v>-5.2438160000000001E-3</v>
      </c>
      <c r="O4549">
        <v>-0.99857019999999996</v>
      </c>
      <c r="P4549">
        <v>0.1774318</v>
      </c>
      <c r="Q4549">
        <v>-3.3869610000000001E-2</v>
      </c>
      <c r="R4549">
        <v>-0.98355049999999999</v>
      </c>
      <c r="S4549">
        <v>0.31082149999999997</v>
      </c>
      <c r="T4549">
        <v>-0.13556660000000001</v>
      </c>
      <c r="U4549">
        <v>-2.9891969999999999</v>
      </c>
      <c r="V4549">
        <v>-0.229514</v>
      </c>
      <c r="W4549">
        <v>-2.8695229999999999E-2</v>
      </c>
      <c r="X4549">
        <v>0.97288229999999998</v>
      </c>
      <c r="Y4549">
        <v>-0.1560897</v>
      </c>
      <c r="Z4549">
        <v>3.955753E-2</v>
      </c>
      <c r="AA4549">
        <v>0.98695049999999995</v>
      </c>
      <c r="AB4549">
        <v>36</v>
      </c>
      <c r="AC4549">
        <v>2.5615999999999901</v>
      </c>
      <c r="AD4549">
        <v>-1.1082597832179999</v>
      </c>
      <c r="AE4549">
        <v>-24.0517299999999</v>
      </c>
      <c r="AF4549">
        <v>-3.8294701477897299</v>
      </c>
      <c r="AG4549">
        <v>-1.1082597832179999</v>
      </c>
      <c r="AH4549">
        <v>23.831363861349399</v>
      </c>
      <c r="AI4549">
        <v>92.628902731867399</v>
      </c>
      <c r="AJ4549">
        <v>99.128839470335194</v>
      </c>
      <c r="AK4549">
        <v>24.162511973135999</v>
      </c>
      <c r="AL4549">
        <v>91.644341235659795</v>
      </c>
      <c r="AM4549">
        <v>103.27402620154901</v>
      </c>
      <c r="AN4549">
        <v>1.0000000310370201</v>
      </c>
    </row>
    <row r="4550" spans="1:40" x14ac:dyDescent="0.25">
      <c r="A4550" t="str">
        <f>"20190305135921052"</f>
        <v>20190305135921052</v>
      </c>
      <c r="B4550" t="str">
        <f>"1551765561043924"</f>
        <v>1551765561043924</v>
      </c>
      <c r="C4550" t="s">
        <v>40</v>
      </c>
      <c r="D4550">
        <v>3.842212</v>
      </c>
      <c r="E4550">
        <v>0.52704799999999996</v>
      </c>
      <c r="F4550" t="s">
        <v>42</v>
      </c>
      <c r="G4550">
        <v>-419.7747</v>
      </c>
      <c r="H4550" s="1">
        <v>-2.4012640000000001E-6</v>
      </c>
      <c r="I4550">
        <v>55.137009999999997</v>
      </c>
      <c r="J4550">
        <v>-422.17680000000001</v>
      </c>
      <c r="K4550">
        <v>1.1082669999999999</v>
      </c>
      <c r="L4550">
        <v>77.30789</v>
      </c>
      <c r="M4550">
        <v>-5.3297799999999999E-2</v>
      </c>
      <c r="N4550">
        <v>-5.4074609999999997E-3</v>
      </c>
      <c r="O4550">
        <v>-0.99856400000000001</v>
      </c>
      <c r="P4550">
        <v>0.1795852</v>
      </c>
      <c r="Q4550">
        <v>-3.9948379999999999E-2</v>
      </c>
      <c r="R4550">
        <v>-0.98293079999999999</v>
      </c>
      <c r="S4550">
        <v>0.31588749999999999</v>
      </c>
      <c r="T4550">
        <v>-0.14694170000000001</v>
      </c>
      <c r="U4550">
        <v>-2.9881289999999998</v>
      </c>
      <c r="V4550">
        <v>-0.23172960000000001</v>
      </c>
      <c r="W4550">
        <v>-3.4620169999999999E-2</v>
      </c>
      <c r="X4550">
        <v>0.97216400000000003</v>
      </c>
      <c r="Y4550">
        <v>-0.15786059999999999</v>
      </c>
      <c r="Z4550">
        <v>4.3151179999999997E-2</v>
      </c>
      <c r="AA4550">
        <v>0.98651809999999995</v>
      </c>
      <c r="AB4550">
        <v>37</v>
      </c>
      <c r="AC4550">
        <v>2.4021000000000101</v>
      </c>
      <c r="AD4550">
        <v>-1.108269401264</v>
      </c>
      <c r="AE4550">
        <v>-22.17088</v>
      </c>
      <c r="AF4550">
        <v>-3.5715412484084101</v>
      </c>
      <c r="AG4550">
        <v>-1.108269401264</v>
      </c>
      <c r="AH4550">
        <v>21.9571092372022</v>
      </c>
      <c r="AI4550">
        <v>92.852090164245197</v>
      </c>
      <c r="AJ4550">
        <v>99.238812054745296</v>
      </c>
      <c r="AK4550">
        <v>22.273275780838599</v>
      </c>
      <c r="AL4550">
        <v>91.983986074955496</v>
      </c>
      <c r="AM4550">
        <v>103.407108725732</v>
      </c>
      <c r="AN4550">
        <v>1.00000000329149</v>
      </c>
    </row>
    <row r="4551" spans="1:40" x14ac:dyDescent="0.25">
      <c r="A4551" t="str">
        <f>"20190305135921075"</f>
        <v>20190305135921075</v>
      </c>
      <c r="B4551" t="str">
        <f>"1551765561063446"</f>
        <v>1551765561063446</v>
      </c>
      <c r="C4551" t="s">
        <v>40</v>
      </c>
      <c r="D4551">
        <v>3.848789</v>
      </c>
      <c r="E4551">
        <v>0.52704629999999997</v>
      </c>
      <c r="F4551" t="s">
        <v>42</v>
      </c>
      <c r="G4551">
        <v>-420.0136</v>
      </c>
      <c r="H4551" s="1">
        <v>-3.3075530000000001E-6</v>
      </c>
      <c r="I4551">
        <v>57.290649999999999</v>
      </c>
      <c r="J4551">
        <v>-422.19650000000001</v>
      </c>
      <c r="K4551">
        <v>1.108325</v>
      </c>
      <c r="L4551">
        <v>76.939059999999998</v>
      </c>
      <c r="M4551">
        <v>-5.3396510000000001E-2</v>
      </c>
      <c r="N4551">
        <v>-5.7635789999999996E-3</v>
      </c>
      <c r="O4551">
        <v>-0.99855689999999997</v>
      </c>
      <c r="P4551">
        <v>0.18241089999999999</v>
      </c>
      <c r="Q4551">
        <v>-4.642222E-2</v>
      </c>
      <c r="R4551">
        <v>-0.98212600000000005</v>
      </c>
      <c r="S4551">
        <v>0.32272339999999999</v>
      </c>
      <c r="T4551">
        <v>-0.1653454</v>
      </c>
      <c r="U4551">
        <v>-2.9864199999999999</v>
      </c>
      <c r="V4551">
        <v>-0.23460619999999999</v>
      </c>
      <c r="W4551">
        <v>-4.0754169999999999E-2</v>
      </c>
      <c r="X4551">
        <v>0.97123579999999998</v>
      </c>
      <c r="Y4551">
        <v>-0.1602161</v>
      </c>
      <c r="Z4551">
        <v>4.8874720000000003E-2</v>
      </c>
      <c r="AA4551">
        <v>0.98587130000000001</v>
      </c>
      <c r="AB4551">
        <v>37</v>
      </c>
      <c r="AC4551">
        <v>2.1829000000000098</v>
      </c>
      <c r="AD4551">
        <v>-1.1083283075529999</v>
      </c>
      <c r="AE4551">
        <v>-19.648409999999998</v>
      </c>
      <c r="AF4551">
        <v>-3.2188424873672798</v>
      </c>
      <c r="AG4551">
        <v>-1.1083283075529999</v>
      </c>
      <c r="AH4551">
        <v>19.442707427909699</v>
      </c>
      <c r="AI4551">
        <v>93.218885182235098</v>
      </c>
      <c r="AJ4551">
        <v>99.400353215538601</v>
      </c>
      <c r="AK4551">
        <v>19.738495655016401</v>
      </c>
      <c r="AL4551">
        <v>92.335688859256095</v>
      </c>
      <c r="AM4551">
        <v>103.57990907587001</v>
      </c>
      <c r="AN4551">
        <v>0.99999997532623397</v>
      </c>
    </row>
    <row r="4552" spans="1:40" x14ac:dyDescent="0.25">
      <c r="A4552" t="str">
        <f>"20190305135921094"</f>
        <v>20190305135921094</v>
      </c>
      <c r="B4552" t="str">
        <f>"1551765561083941"</f>
        <v>1551765561083941</v>
      </c>
      <c r="C4552" t="s">
        <v>40</v>
      </c>
      <c r="D4552">
        <v>3.886498</v>
      </c>
      <c r="E4552">
        <v>0.52708259999999996</v>
      </c>
      <c r="F4552" t="s">
        <v>42</v>
      </c>
      <c r="G4552">
        <v>-420.21140000000003</v>
      </c>
      <c r="H4552" s="1">
        <v>-4.1043319999999999E-6</v>
      </c>
      <c r="I4552">
        <v>59.025289999999998</v>
      </c>
      <c r="J4552">
        <v>-422.21460000000002</v>
      </c>
      <c r="K4552">
        <v>1.108425</v>
      </c>
      <c r="L4552">
        <v>76.601349999999996</v>
      </c>
      <c r="M4552">
        <v>-5.348029E-2</v>
      </c>
      <c r="N4552">
        <v>-6.2922580000000002E-3</v>
      </c>
      <c r="O4552">
        <v>-0.99854920000000003</v>
      </c>
      <c r="P4552">
        <v>0.185284</v>
      </c>
      <c r="Q4552">
        <v>-5.2160690000000003E-2</v>
      </c>
      <c r="R4552">
        <v>-0.9812999</v>
      </c>
      <c r="S4552">
        <v>0.33071899999999999</v>
      </c>
      <c r="T4552">
        <v>-0.1846478</v>
      </c>
      <c r="U4552">
        <v>-2.9844360000000001</v>
      </c>
      <c r="V4552">
        <v>-0.23751369999999999</v>
      </c>
      <c r="W4552">
        <v>-4.5987E-2</v>
      </c>
      <c r="X4552">
        <v>0.97029500000000002</v>
      </c>
      <c r="Y4552">
        <v>-0.1629381</v>
      </c>
      <c r="Z4552">
        <v>5.4720669999999999E-2</v>
      </c>
      <c r="AA4552">
        <v>0.98511769999999999</v>
      </c>
      <c r="AB4552">
        <v>37</v>
      </c>
      <c r="AC4552">
        <v>2.0031999999999899</v>
      </c>
      <c r="AD4552">
        <v>-1.108429104332</v>
      </c>
      <c r="AE4552">
        <v>-17.576059999999899</v>
      </c>
      <c r="AF4552">
        <v>-2.9288253716764898</v>
      </c>
      <c r="AG4552">
        <v>-1.108429104332</v>
      </c>
      <c r="AH4552">
        <v>17.3755530263</v>
      </c>
      <c r="AI4552">
        <v>93.599451937935896</v>
      </c>
      <c r="AJ4552">
        <v>99.567844714802405</v>
      </c>
      <c r="AK4552">
        <v>17.655494218709102</v>
      </c>
      <c r="AL4552">
        <v>92.635790667318105</v>
      </c>
      <c r="AM4552">
        <v>103.75468120915301</v>
      </c>
      <c r="AN4552">
        <v>0.99999997444084399</v>
      </c>
    </row>
    <row r="4553" spans="1:40" x14ac:dyDescent="0.25">
      <c r="A4553" t="str">
        <f>"20190305135921118"</f>
        <v>20190305135921118</v>
      </c>
      <c r="B4553" t="str">
        <f>"1551765561113221"</f>
        <v>1551765561113221</v>
      </c>
      <c r="C4553" t="s">
        <v>40</v>
      </c>
      <c r="D4553">
        <v>3.846711</v>
      </c>
      <c r="E4553">
        <v>0.52709139999999999</v>
      </c>
      <c r="F4553" t="s">
        <v>42</v>
      </c>
      <c r="G4553">
        <v>-420.34129999999999</v>
      </c>
      <c r="H4553" s="1">
        <v>-3.3132220000000002E-7</v>
      </c>
      <c r="I4553">
        <v>60.149749999999997</v>
      </c>
      <c r="J4553">
        <v>-422.23430000000002</v>
      </c>
      <c r="K4553">
        <v>1.108565</v>
      </c>
      <c r="L4553">
        <v>76.235019999999906</v>
      </c>
      <c r="M4553">
        <v>-5.35524E-2</v>
      </c>
      <c r="N4553">
        <v>-7.002355E-3</v>
      </c>
      <c r="O4553">
        <v>-0.9985406</v>
      </c>
      <c r="P4553">
        <v>0.18769520000000001</v>
      </c>
      <c r="Q4553">
        <v>-5.7673309999999998E-2</v>
      </c>
      <c r="R4553">
        <v>-0.98053290000000004</v>
      </c>
      <c r="S4553">
        <v>0.339599599999999</v>
      </c>
      <c r="T4553">
        <v>-0.20093849999999999</v>
      </c>
      <c r="U4553">
        <v>-2.9823909999999998</v>
      </c>
      <c r="V4553">
        <v>-0.23995040000000001</v>
      </c>
      <c r="W4553">
        <v>-5.0822539999999999E-2</v>
      </c>
      <c r="X4553">
        <v>0.96945389999999998</v>
      </c>
      <c r="Y4553">
        <v>-0.16594100000000001</v>
      </c>
      <c r="Z4553">
        <v>5.93886E-2</v>
      </c>
      <c r="AA4553">
        <v>0.98434580000000005</v>
      </c>
      <c r="AB4553">
        <v>37</v>
      </c>
      <c r="AC4553">
        <v>1.89300000000002</v>
      </c>
      <c r="AD4553">
        <v>-1.1085653313221999</v>
      </c>
      <c r="AE4553">
        <v>-16.085269999999898</v>
      </c>
      <c r="AF4553">
        <v>-2.7388781944596299</v>
      </c>
      <c r="AG4553">
        <v>-1.1085653313221999</v>
      </c>
      <c r="AH4553">
        <v>15.886385256015</v>
      </c>
      <c r="AI4553">
        <v>93.933828510778497</v>
      </c>
      <c r="AJ4553">
        <v>99.781868537852404</v>
      </c>
      <c r="AK4553">
        <v>16.158824442403802</v>
      </c>
      <c r="AL4553">
        <v>92.913172067654202</v>
      </c>
      <c r="AM4553">
        <v>103.901938837773</v>
      </c>
      <c r="AN4553">
        <v>0.99999999462871003</v>
      </c>
    </row>
    <row r="4554" spans="1:40" x14ac:dyDescent="0.25">
      <c r="A4554" t="str">
        <f>"20190305135921140"</f>
        <v>20190305135921140</v>
      </c>
      <c r="B4554" t="str">
        <f>"1551765561133716"</f>
        <v>1551765561133716</v>
      </c>
      <c r="C4554" t="s">
        <v>40</v>
      </c>
      <c r="D4554">
        <v>4.2073879999999999</v>
      </c>
      <c r="E4554">
        <v>0.52776619999999996</v>
      </c>
      <c r="F4554" t="s">
        <v>42</v>
      </c>
      <c r="G4554">
        <v>-420.48410000000001</v>
      </c>
      <c r="H4554" s="1">
        <v>-8.1050919999999897E-7</v>
      </c>
      <c r="I4554">
        <v>61.178170000000001</v>
      </c>
      <c r="J4554">
        <v>-422.25459999999998</v>
      </c>
      <c r="K4554">
        <v>1.1087020000000001</v>
      </c>
      <c r="L4554">
        <v>75.858609999999999</v>
      </c>
      <c r="M4554">
        <v>-5.3603869999999998E-2</v>
      </c>
      <c r="N4554">
        <v>-7.7459999999999899E-3</v>
      </c>
      <c r="O4554">
        <v>-0.99853230000000004</v>
      </c>
      <c r="P4554">
        <v>0.1898668</v>
      </c>
      <c r="Q4554">
        <v>-6.2000439999999997E-2</v>
      </c>
      <c r="R4554">
        <v>-0.97985040000000001</v>
      </c>
      <c r="S4554">
        <v>0.34643550000000001</v>
      </c>
      <c r="T4554">
        <v>-0.21942909999999999</v>
      </c>
      <c r="U4554">
        <v>-2.9803470000000001</v>
      </c>
      <c r="V4554">
        <v>-0.24213119999999999</v>
      </c>
      <c r="W4554">
        <v>-5.4445210000000001E-2</v>
      </c>
      <c r="X4554">
        <v>0.96871470000000004</v>
      </c>
      <c r="Y4554">
        <v>-0.16824729999999999</v>
      </c>
      <c r="Z4554">
        <v>6.4750509999999997E-2</v>
      </c>
      <c r="AA4554">
        <v>0.98361589999999999</v>
      </c>
      <c r="AB4554">
        <v>37</v>
      </c>
      <c r="AC4554">
        <v>1.77049999999997</v>
      </c>
      <c r="AD4554">
        <v>-1.1087028105092001</v>
      </c>
      <c r="AE4554">
        <v>-14.680440000000001</v>
      </c>
      <c r="AF4554">
        <v>-2.54062326299423</v>
      </c>
      <c r="AG4554">
        <v>-1.1087028105092001</v>
      </c>
      <c r="AH4554">
        <v>14.4830023026596</v>
      </c>
      <c r="AI4554">
        <v>94.311980180976903</v>
      </c>
      <c r="AJ4554">
        <v>99.949650565607897</v>
      </c>
      <c r="AK4554">
        <v>14.7458924513012</v>
      </c>
      <c r="AL4554">
        <v>93.121024025251401</v>
      </c>
      <c r="AM4554">
        <v>104.033600646709</v>
      </c>
      <c r="AN4554">
        <v>0.99999998445073701</v>
      </c>
    </row>
    <row r="4555" spans="1:40" x14ac:dyDescent="0.25">
      <c r="A4555" t="str">
        <f>"20190305135921162"</f>
        <v>20190305135921162</v>
      </c>
      <c r="B4555" t="str">
        <f>"1551765561153746"</f>
        <v>1551765561153746</v>
      </c>
      <c r="C4555" t="s">
        <v>40</v>
      </c>
      <c r="D4555">
        <v>3.8498079999999999</v>
      </c>
      <c r="E4555">
        <v>0.52861999999999998</v>
      </c>
      <c r="F4555" t="s">
        <v>42</v>
      </c>
      <c r="G4555">
        <v>-420.57569999999998</v>
      </c>
      <c r="H4555" s="1">
        <v>-9.691934999999999E-7</v>
      </c>
      <c r="I4555">
        <v>61.491219999999998</v>
      </c>
      <c r="J4555">
        <v>-422.27420000000001</v>
      </c>
      <c r="K4555">
        <v>1.108819</v>
      </c>
      <c r="L4555">
        <v>75.493840000000006</v>
      </c>
      <c r="M4555">
        <v>-5.3625140000000002E-2</v>
      </c>
      <c r="N4555">
        <v>-8.4233629999999997E-3</v>
      </c>
      <c r="O4555">
        <v>-0.99852560000000001</v>
      </c>
      <c r="P4555">
        <v>0.1914034</v>
      </c>
      <c r="Q4555">
        <v>-6.5656930000000002E-2</v>
      </c>
      <c r="R4555">
        <v>-0.97931330000000005</v>
      </c>
      <c r="S4555">
        <v>0.34817500000000001</v>
      </c>
      <c r="T4555">
        <v>-0.22993559999999999</v>
      </c>
      <c r="U4555">
        <v>-2.9796749999999999</v>
      </c>
      <c r="V4555">
        <v>-0.24365500000000001</v>
      </c>
      <c r="W4555">
        <v>-5.7464090000000002E-2</v>
      </c>
      <c r="X4555">
        <v>0.96815810000000002</v>
      </c>
      <c r="Y4555">
        <v>-0.16883110000000001</v>
      </c>
      <c r="Z4555">
        <v>6.7536349999999995E-2</v>
      </c>
      <c r="AA4555">
        <v>0.98332850000000005</v>
      </c>
      <c r="AB4555">
        <v>37</v>
      </c>
      <c r="AC4555">
        <v>1.6985000000000201</v>
      </c>
      <c r="AD4555">
        <v>-1.1088199691934999</v>
      </c>
      <c r="AE4555">
        <v>-14.00262</v>
      </c>
      <c r="AF4555">
        <v>-2.4319465752040501</v>
      </c>
      <c r="AG4555">
        <v>-1.1088199691934999</v>
      </c>
      <c r="AH4555">
        <v>13.806069254489101</v>
      </c>
      <c r="AI4555">
        <v>94.522462220108693</v>
      </c>
      <c r="AJ4555">
        <v>99.990195312774404</v>
      </c>
      <c r="AK4555">
        <v>14.062410679839999</v>
      </c>
      <c r="AL4555">
        <v>93.294264561077597</v>
      </c>
      <c r="AM4555">
        <v>104.126188425</v>
      </c>
      <c r="AN4555">
        <v>0.99999999363006897</v>
      </c>
    </row>
    <row r="4556" spans="1:40" x14ac:dyDescent="0.25">
      <c r="A4556" t="str">
        <f>"20190305135921184"</f>
        <v>20190305135921184</v>
      </c>
      <c r="B4556" t="str">
        <f>"1551765561173264"</f>
        <v>1551765561173264</v>
      </c>
      <c r="C4556" t="s">
        <v>40</v>
      </c>
      <c r="D4556">
        <v>3.8887990000000001</v>
      </c>
      <c r="E4556">
        <v>0.52955319999999995</v>
      </c>
      <c r="F4556" t="s">
        <v>42</v>
      </c>
      <c r="G4556">
        <v>-420.68009999999998</v>
      </c>
      <c r="H4556" s="1">
        <v>-1.112135E-6</v>
      </c>
      <c r="I4556">
        <v>61.7596699999999</v>
      </c>
      <c r="J4556">
        <v>-422.29259999999999</v>
      </c>
      <c r="K4556">
        <v>1.10891299999999</v>
      </c>
      <c r="L4556">
        <v>75.151340000000005</v>
      </c>
      <c r="M4556">
        <v>-5.3613420000000002E-2</v>
      </c>
      <c r="N4556">
        <v>-9.0207970000000005E-3</v>
      </c>
      <c r="O4556">
        <v>-0.99852129999999995</v>
      </c>
      <c r="P4556">
        <v>0.1930415</v>
      </c>
      <c r="Q4556">
        <v>-6.5825869999999995E-2</v>
      </c>
      <c r="R4556">
        <v>-0.97898010000000002</v>
      </c>
      <c r="S4556">
        <v>0.3458252</v>
      </c>
      <c r="T4556">
        <v>-0.2405601</v>
      </c>
      <c r="U4556">
        <v>-2.9796450000000001</v>
      </c>
      <c r="V4556">
        <v>-0.24525839999999999</v>
      </c>
      <c r="W4556">
        <v>-5.7073459999999999E-2</v>
      </c>
      <c r="X4556">
        <v>0.96777630000000003</v>
      </c>
      <c r="Y4556">
        <v>-0.16802549999999999</v>
      </c>
      <c r="Z4556">
        <v>7.0438860000000006E-2</v>
      </c>
      <c r="AA4556">
        <v>0.98326279999999999</v>
      </c>
      <c r="AB4556">
        <v>37</v>
      </c>
      <c r="AC4556">
        <v>1.61250000000001</v>
      </c>
      <c r="AD4556">
        <v>-1.1089141121349999</v>
      </c>
      <c r="AE4556">
        <v>-13.39167</v>
      </c>
      <c r="AF4556">
        <v>-2.3125526326785599</v>
      </c>
      <c r="AG4556">
        <v>-1.1089141121349999</v>
      </c>
      <c r="AH4556">
        <v>13.1967576367511</v>
      </c>
      <c r="AI4556">
        <v>94.731476984988404</v>
      </c>
      <c r="AJ4556">
        <v>99.939388621655596</v>
      </c>
      <c r="AK4556">
        <v>13.4436603017983</v>
      </c>
      <c r="AL4556">
        <v>93.271846248456896</v>
      </c>
      <c r="AM4556">
        <v>104.22077155759401</v>
      </c>
      <c r="AN4556">
        <v>1.00000001472431</v>
      </c>
    </row>
    <row r="4557" spans="1:40" x14ac:dyDescent="0.25">
      <c r="A4557" t="str">
        <f>"20190305135921206"</f>
        <v>20190305135921206</v>
      </c>
      <c r="B4557" t="str">
        <f>"1551765561203521"</f>
        <v>1551765561203521</v>
      </c>
      <c r="C4557" t="s">
        <v>40</v>
      </c>
      <c r="D4557">
        <v>3.8538160000000001</v>
      </c>
      <c r="E4557">
        <v>0.54440129999999998</v>
      </c>
      <c r="F4557" t="s">
        <v>42</v>
      </c>
      <c r="G4557">
        <v>-420.65899999999999</v>
      </c>
      <c r="H4557" s="1">
        <v>-7.8390719999999999E-7</v>
      </c>
      <c r="I4557">
        <v>61.007660000000001</v>
      </c>
      <c r="J4557">
        <v>-422.31209999999999</v>
      </c>
      <c r="K4557">
        <v>1.10902099999999</v>
      </c>
      <c r="L4557">
        <v>74.787930000000003</v>
      </c>
      <c r="M4557">
        <v>-5.352908E-2</v>
      </c>
      <c r="N4557">
        <v>-9.6093440000000006E-3</v>
      </c>
      <c r="O4557">
        <v>-0.99852039999999997</v>
      </c>
      <c r="P4557">
        <v>0.19337209999999999</v>
      </c>
      <c r="Q4557">
        <v>-6.3118670000000002E-2</v>
      </c>
      <c r="R4557">
        <v>-0.9790934</v>
      </c>
      <c r="S4557">
        <v>0.34426879999999999</v>
      </c>
      <c r="T4557">
        <v>-0.23370540000000001</v>
      </c>
      <c r="U4557">
        <v>-2.980804</v>
      </c>
      <c r="V4557">
        <v>-0.24550669999999999</v>
      </c>
      <c r="W4557">
        <v>-5.3823049999999997E-2</v>
      </c>
      <c r="X4557">
        <v>0.96789959999999997</v>
      </c>
      <c r="Y4557">
        <v>-0.16741210000000001</v>
      </c>
      <c r="Z4557">
        <v>6.7575469999999999E-2</v>
      </c>
      <c r="AA4557">
        <v>0.98356840000000001</v>
      </c>
      <c r="AB4557">
        <v>37</v>
      </c>
      <c r="AC4557">
        <v>1.65309999999999</v>
      </c>
      <c r="AD4557">
        <v>-1.1090217839072001</v>
      </c>
      <c r="AE4557">
        <v>-13.78027</v>
      </c>
      <c r="AF4557">
        <v>-2.3732555128392798</v>
      </c>
      <c r="AG4557">
        <v>-1.1090217839072001</v>
      </c>
      <c r="AH4557">
        <v>13.585276616885301</v>
      </c>
      <c r="AI4557">
        <v>94.597618629842401</v>
      </c>
      <c r="AJ4557">
        <v>99.909188890856996</v>
      </c>
      <c r="AK4557">
        <v>13.8355343880781</v>
      </c>
      <c r="AL4557">
        <v>93.0853243383322</v>
      </c>
      <c r="AM4557">
        <v>104.23284417155899</v>
      </c>
      <c r="AN4557">
        <v>1.0000000480681701</v>
      </c>
    </row>
    <row r="4558" spans="1:40" x14ac:dyDescent="0.25">
      <c r="A4558" t="str">
        <f>"20190305135921229"</f>
        <v>20190305135921229</v>
      </c>
      <c r="B4558" t="str">
        <f>"1551765561224016"</f>
        <v>1551765561224016</v>
      </c>
      <c r="C4558" t="s">
        <v>40</v>
      </c>
      <c r="D4558">
        <v>3.874171</v>
      </c>
      <c r="E4558">
        <v>0.54323580000000005</v>
      </c>
      <c r="F4558" t="s">
        <v>42</v>
      </c>
      <c r="G4558">
        <v>-420.7663</v>
      </c>
      <c r="H4558" s="1">
        <v>-2.4885009999999998E-6</v>
      </c>
      <c r="I4558">
        <v>54.914560000000002</v>
      </c>
      <c r="J4558">
        <v>-422.33210000000003</v>
      </c>
      <c r="K4558">
        <v>1.1091580000000001</v>
      </c>
      <c r="L4558">
        <v>74.41122</v>
      </c>
      <c r="M4558">
        <v>-5.3311890000000001E-2</v>
      </c>
      <c r="N4558">
        <v>-1.0164889999999999E-2</v>
      </c>
      <c r="O4558">
        <v>-0.99852649999999998</v>
      </c>
      <c r="P4558">
        <v>0.1930163</v>
      </c>
      <c r="Q4558">
        <v>-5.971245E-2</v>
      </c>
      <c r="R4558">
        <v>-0.97937739999999995</v>
      </c>
      <c r="S4558">
        <v>0.2338867</v>
      </c>
      <c r="T4558">
        <v>-0.16780690000000001</v>
      </c>
      <c r="U4558">
        <v>-3.00705</v>
      </c>
      <c r="V4558">
        <v>-0.2449462</v>
      </c>
      <c r="W4558">
        <v>-4.9926150000000002E-2</v>
      </c>
      <c r="X4558">
        <v>0.96825030000000001</v>
      </c>
      <c r="Y4558">
        <v>-0.1304661</v>
      </c>
      <c r="Z4558">
        <v>4.510451E-2</v>
      </c>
      <c r="AA4558">
        <v>0.99042620000000003</v>
      </c>
      <c r="AB4558">
        <v>36</v>
      </c>
      <c r="AC4558">
        <v>1.5658000000000201</v>
      </c>
      <c r="AD4558">
        <v>-1.109160488501</v>
      </c>
      <c r="AE4558">
        <v>-19.496659999999999</v>
      </c>
      <c r="AF4558">
        <v>-2.5946864724830001</v>
      </c>
      <c r="AG4558">
        <v>-1.109160488501</v>
      </c>
      <c r="AH4558">
        <v>19.323313030674001</v>
      </c>
      <c r="AI4558">
        <v>93.256020908667693</v>
      </c>
      <c r="AJ4558">
        <v>97.647789517495099</v>
      </c>
      <c r="AK4558">
        <v>19.528263142459799</v>
      </c>
      <c r="AL4558">
        <v>92.861747534399797</v>
      </c>
      <c r="AM4558">
        <v>104.19673032612</v>
      </c>
      <c r="AN4558">
        <v>0.99999995239917505</v>
      </c>
    </row>
    <row r="4559" spans="1:40" x14ac:dyDescent="0.25">
      <c r="A4559" t="str">
        <f>"20190305135921252"</f>
        <v>20190305135921252</v>
      </c>
      <c r="B4559" t="str">
        <f>"1551765561243536"</f>
        <v>1551765561243536</v>
      </c>
      <c r="C4559" t="s">
        <v>40</v>
      </c>
      <c r="D4559">
        <v>3.8632209999999998</v>
      </c>
      <c r="E4559">
        <v>0.54322269999999995</v>
      </c>
      <c r="F4559" t="s">
        <v>42</v>
      </c>
      <c r="G4559">
        <v>-420.83170000000001</v>
      </c>
      <c r="H4559" s="1">
        <v>-2.8176669999999999E-6</v>
      </c>
      <c r="I4559">
        <v>55.641300000000001</v>
      </c>
      <c r="J4559">
        <v>-422.35239999999999</v>
      </c>
      <c r="K4559">
        <v>1.1093230000000001</v>
      </c>
      <c r="L4559">
        <v>74.025210000000001</v>
      </c>
      <c r="M4559">
        <v>-5.2896350000000002E-2</v>
      </c>
      <c r="N4559">
        <v>-1.0675810000000001E-2</v>
      </c>
      <c r="O4559">
        <v>-0.99854310000000002</v>
      </c>
      <c r="P4559">
        <v>0.1933675</v>
      </c>
      <c r="Q4559">
        <v>-5.8262149999999999E-2</v>
      </c>
      <c r="R4559">
        <v>-0.97939529999999997</v>
      </c>
      <c r="S4559">
        <v>0.2402039</v>
      </c>
      <c r="T4559">
        <v>-0.17757310000000001</v>
      </c>
      <c r="U4559">
        <v>-3.0050050000000001</v>
      </c>
      <c r="V4559">
        <v>-0.2448795</v>
      </c>
      <c r="W4559">
        <v>-4.8062939999999998E-2</v>
      </c>
      <c r="X4559">
        <v>0.96836149999999999</v>
      </c>
      <c r="Y4559">
        <v>-0.13215929999999901</v>
      </c>
      <c r="Z4559">
        <v>4.7830739999999997E-2</v>
      </c>
      <c r="AA4559">
        <v>0.9900738</v>
      </c>
      <c r="AB4559">
        <v>36</v>
      </c>
      <c r="AC4559">
        <v>1.52069999999997</v>
      </c>
      <c r="AD4559">
        <v>-1.109325817667</v>
      </c>
      <c r="AE4559">
        <v>-18.38391</v>
      </c>
      <c r="AF4559">
        <v>-2.4820914648630001</v>
      </c>
      <c r="AG4559">
        <v>-1.109325817667</v>
      </c>
      <c r="AH4559">
        <v>18.211863631013401</v>
      </c>
      <c r="AI4559">
        <v>93.453857215971595</v>
      </c>
      <c r="AJ4559">
        <v>97.761013353593299</v>
      </c>
      <c r="AK4559">
        <v>18.413673145907602</v>
      </c>
      <c r="AL4559">
        <v>92.754864937899399</v>
      </c>
      <c r="AM4559">
        <v>104.19145674586601</v>
      </c>
      <c r="AN4559">
        <v>1.00000000520197</v>
      </c>
    </row>
    <row r="4560" spans="1:40" x14ac:dyDescent="0.25">
      <c r="A4560" t="str">
        <f>"20190305135921274"</f>
        <v>20190305135921274</v>
      </c>
      <c r="B4560" t="str">
        <f>"1551765561263563"</f>
        <v>1551765561263563</v>
      </c>
      <c r="C4560" t="s">
        <v>40</v>
      </c>
      <c r="D4560">
        <v>3.865164</v>
      </c>
      <c r="E4560">
        <v>0.54308610000000002</v>
      </c>
      <c r="F4560" t="s">
        <v>42</v>
      </c>
      <c r="G4560">
        <v>-420.89519999999999</v>
      </c>
      <c r="H4560" s="1">
        <v>-2.909076E-6</v>
      </c>
      <c r="I4560">
        <v>55.815010000000001</v>
      </c>
      <c r="J4560">
        <v>-422.37009999999998</v>
      </c>
      <c r="K4560">
        <v>1.1095060000000001</v>
      </c>
      <c r="L4560">
        <v>73.680239999999998</v>
      </c>
      <c r="M4560">
        <v>-5.2308460000000001E-2</v>
      </c>
      <c r="N4560">
        <v>-1.1082959999999999E-2</v>
      </c>
      <c r="O4560">
        <v>-0.9985695</v>
      </c>
      <c r="P4560">
        <v>0.1944459</v>
      </c>
      <c r="Q4560">
        <v>-6.0260250000000001E-2</v>
      </c>
      <c r="R4560">
        <v>-0.97906079999999995</v>
      </c>
      <c r="S4560">
        <v>0.240448</v>
      </c>
      <c r="T4560">
        <v>-0.1830436</v>
      </c>
      <c r="U4560">
        <v>-3.0047609999999998</v>
      </c>
      <c r="V4560">
        <v>-0.2453475</v>
      </c>
      <c r="W4560">
        <v>-4.9772579999999997E-2</v>
      </c>
      <c r="X4560">
        <v>0.96815660000000003</v>
      </c>
      <c r="Y4560">
        <v>-0.13165350000000001</v>
      </c>
      <c r="Z4560">
        <v>4.923015E-2</v>
      </c>
      <c r="AA4560">
        <v>0.99007259999999997</v>
      </c>
      <c r="AB4560">
        <v>36</v>
      </c>
      <c r="AC4560">
        <v>1.4748999999999901</v>
      </c>
      <c r="AD4560">
        <v>-1.109508909076</v>
      </c>
      <c r="AE4560">
        <v>-17.865229999999901</v>
      </c>
      <c r="AF4560">
        <v>-2.39825328727993</v>
      </c>
      <c r="AG4560">
        <v>-1.109508909076</v>
      </c>
      <c r="AH4560">
        <v>17.695824637371999</v>
      </c>
      <c r="AI4560">
        <v>93.555269058369305</v>
      </c>
      <c r="AJ4560">
        <v>97.718072336482507</v>
      </c>
      <c r="AK4560">
        <v>17.8920328203893</v>
      </c>
      <c r="AL4560">
        <v>92.852937664224498</v>
      </c>
      <c r="AM4560">
        <v>104.220366868654</v>
      </c>
      <c r="AN4560">
        <v>0.99999995379983198</v>
      </c>
    </row>
    <row r="4561" spans="1:40" x14ac:dyDescent="0.25">
      <c r="A4561" t="str">
        <f>"20190305135921295"</f>
        <v>20190305135921295</v>
      </c>
      <c r="B4561" t="str">
        <f>"1551765561284059"</f>
        <v>1551765561284059</v>
      </c>
      <c r="C4561" t="s">
        <v>40</v>
      </c>
      <c r="D4561">
        <v>3.8974959999999998</v>
      </c>
      <c r="E4561">
        <v>0.54287790000000002</v>
      </c>
      <c r="F4561" t="s">
        <v>42</v>
      </c>
      <c r="G4561">
        <v>-420.96280000000002</v>
      </c>
      <c r="H4561" s="1">
        <v>-3.170171E-6</v>
      </c>
      <c r="I4561">
        <v>56.381729999999997</v>
      </c>
      <c r="J4561">
        <v>-422.3877</v>
      </c>
      <c r="K4561">
        <v>1.109723</v>
      </c>
      <c r="L4561">
        <v>73.331119999999999</v>
      </c>
      <c r="M4561">
        <v>-5.146237E-2</v>
      </c>
      <c r="N4561">
        <v>-1.1451289999999999E-2</v>
      </c>
      <c r="O4561">
        <v>-0.99860919999999997</v>
      </c>
      <c r="P4561">
        <v>0.19607849999999999</v>
      </c>
      <c r="Q4561">
        <v>-6.245146E-2</v>
      </c>
      <c r="R4561">
        <v>-0.97859739999999995</v>
      </c>
      <c r="S4561">
        <v>0.24438480000000001</v>
      </c>
      <c r="T4561">
        <v>-0.19265969999999999</v>
      </c>
      <c r="U4561">
        <v>-3.003784</v>
      </c>
      <c r="V4561">
        <v>-0.2461062</v>
      </c>
      <c r="W4561">
        <v>-5.1738560000000003E-2</v>
      </c>
      <c r="X4561">
        <v>0.96786099999999997</v>
      </c>
      <c r="Y4561">
        <v>-0.13211239999999999</v>
      </c>
      <c r="Z4561">
        <v>5.203924E-2</v>
      </c>
      <c r="AA4561">
        <v>0.98986779999999996</v>
      </c>
      <c r="AB4561">
        <v>36</v>
      </c>
      <c r="AC4561">
        <v>1.4248999999999701</v>
      </c>
      <c r="AD4561">
        <v>-1.1097261701709999</v>
      </c>
      <c r="AE4561">
        <v>-16.949389999999902</v>
      </c>
      <c r="AF4561">
        <v>-2.2855957955678301</v>
      </c>
      <c r="AG4561">
        <v>-1.1097261701709999</v>
      </c>
      <c r="AH4561">
        <v>16.782159160885701</v>
      </c>
      <c r="AI4561">
        <v>93.748689813052806</v>
      </c>
      <c r="AJ4561">
        <v>97.755511200130101</v>
      </c>
      <c r="AK4561">
        <v>16.9733999662642</v>
      </c>
      <c r="AL4561">
        <v>92.965725196251796</v>
      </c>
      <c r="AM4561">
        <v>104.266727777147</v>
      </c>
      <c r="AN4561">
        <v>1.00000002779515</v>
      </c>
    </row>
    <row r="4562" spans="1:40" x14ac:dyDescent="0.25">
      <c r="A4562" t="str">
        <f>"20190305135921320"</f>
        <v>20190305135921320</v>
      </c>
      <c r="B4562" t="str">
        <f>"1551765561313342"</f>
        <v>1551765561313342</v>
      </c>
      <c r="C4562" t="s">
        <v>40</v>
      </c>
      <c r="D4562">
        <v>3.908274</v>
      </c>
      <c r="E4562">
        <v>0.54230449999999997</v>
      </c>
      <c r="F4562" t="s">
        <v>42</v>
      </c>
      <c r="G4562">
        <v>-421.005</v>
      </c>
      <c r="H4562" s="1">
        <v>-3.3644400000000002E-6</v>
      </c>
      <c r="I4562">
        <v>56.80836</v>
      </c>
      <c r="J4562">
        <v>-422.40589999999997</v>
      </c>
      <c r="K4562">
        <v>1.110001</v>
      </c>
      <c r="L4562">
        <v>72.956999999999994</v>
      </c>
      <c r="M4562">
        <v>-5.02453E-2</v>
      </c>
      <c r="N4562">
        <v>-1.180115E-2</v>
      </c>
      <c r="O4562">
        <v>-0.99866719999999998</v>
      </c>
      <c r="P4562">
        <v>0.19801650000000001</v>
      </c>
      <c r="Q4562">
        <v>-6.0514650000000003E-2</v>
      </c>
      <c r="R4562">
        <v>-0.97832889999999995</v>
      </c>
      <c r="S4562">
        <v>0.25125120000000001</v>
      </c>
      <c r="T4562">
        <v>-0.20165240000000001</v>
      </c>
      <c r="U4562">
        <v>-3.0024109999999999</v>
      </c>
      <c r="V4562">
        <v>-0.24682270000000001</v>
      </c>
      <c r="W4562">
        <v>-4.9617229999999998E-2</v>
      </c>
      <c r="X4562">
        <v>0.96778960000000003</v>
      </c>
      <c r="Y4562">
        <v>-0.13317300000000001</v>
      </c>
      <c r="Z4562">
        <v>5.466729E-2</v>
      </c>
      <c r="AA4562">
        <v>0.98958400000000002</v>
      </c>
      <c r="AB4562">
        <v>36</v>
      </c>
      <c r="AC4562">
        <v>1.4008999999999701</v>
      </c>
      <c r="AD4562">
        <v>-1.1100043644399999</v>
      </c>
      <c r="AE4562">
        <v>-16.148639999999901</v>
      </c>
      <c r="AF4562">
        <v>-2.2002620346713502</v>
      </c>
      <c r="AG4562">
        <v>-1.1100043644399999</v>
      </c>
      <c r="AH4562">
        <v>15.9828954898655</v>
      </c>
      <c r="AI4562">
        <v>93.935784478289406</v>
      </c>
      <c r="AJ4562">
        <v>97.838272809984005</v>
      </c>
      <c r="AK4562">
        <v>16.171772041129401</v>
      </c>
      <c r="AL4562">
        <v>92.844025586762996</v>
      </c>
      <c r="AM4562">
        <v>104.307572567287</v>
      </c>
      <c r="AN4562">
        <v>1.00000001230816</v>
      </c>
    </row>
    <row r="4563" spans="1:40" x14ac:dyDescent="0.25">
      <c r="A4563" t="str">
        <f>"20190305135921340"</f>
        <v>20190305135921340</v>
      </c>
      <c r="B4563" t="str">
        <f>"1551765561333835"</f>
        <v>1551765561333835</v>
      </c>
      <c r="C4563" t="s">
        <v>40</v>
      </c>
      <c r="D4563">
        <v>3.9391750000000001</v>
      </c>
      <c r="E4563">
        <v>0.54225069999999997</v>
      </c>
      <c r="F4563" t="s">
        <v>42</v>
      </c>
      <c r="G4563">
        <v>-420.95690000000002</v>
      </c>
      <c r="H4563" s="1">
        <v>-3.1251170000000002E-6</v>
      </c>
      <c r="I4563">
        <v>56.28031</v>
      </c>
      <c r="J4563">
        <v>-422.42230000000001</v>
      </c>
      <c r="K4563">
        <v>1.110279</v>
      </c>
      <c r="L4563">
        <v>72.603089999999995</v>
      </c>
      <c r="M4563">
        <v>-4.8768590000000001E-2</v>
      </c>
      <c r="N4563">
        <v>-1.209025E-2</v>
      </c>
      <c r="O4563">
        <v>-0.99873710000000004</v>
      </c>
      <c r="P4563">
        <v>0.19919329999999999</v>
      </c>
      <c r="Q4563">
        <v>-5.8101640000000003E-2</v>
      </c>
      <c r="R4563">
        <v>-0.97823629999999995</v>
      </c>
      <c r="S4563">
        <v>0.26077270000000002</v>
      </c>
      <c r="T4563">
        <v>-0.1997681</v>
      </c>
      <c r="U4563">
        <v>-3.001312</v>
      </c>
      <c r="V4563">
        <v>-0.24654019999999999</v>
      </c>
      <c r="W4563">
        <v>-4.7070500000000001E-2</v>
      </c>
      <c r="X4563">
        <v>0.96798879999999998</v>
      </c>
      <c r="Y4563">
        <v>-0.13485649999999999</v>
      </c>
      <c r="Z4563">
        <v>5.3773790000000002E-2</v>
      </c>
      <c r="AA4563">
        <v>0.98940490000000003</v>
      </c>
      <c r="AB4563">
        <v>36</v>
      </c>
      <c r="AC4563">
        <v>1.4653999999999801</v>
      </c>
      <c r="AD4563">
        <v>-1.1102821251170001</v>
      </c>
      <c r="AE4563">
        <v>-16.322780000000002</v>
      </c>
      <c r="AF4563">
        <v>-2.2494286979532498</v>
      </c>
      <c r="AG4563">
        <v>-1.1102821251170001</v>
      </c>
      <c r="AH4563">
        <v>16.157723613923999</v>
      </c>
      <c r="AI4563">
        <v>93.893482727494401</v>
      </c>
      <c r="AJ4563">
        <v>97.925601617609104</v>
      </c>
      <c r="AK4563">
        <v>16.3512901096056</v>
      </c>
      <c r="AL4563">
        <v>92.697937862812793</v>
      </c>
      <c r="AM4563">
        <v>104.289047477061</v>
      </c>
      <c r="AN4563">
        <v>1.0000000095558601</v>
      </c>
    </row>
    <row r="4564" spans="1:40" x14ac:dyDescent="0.25">
      <c r="A4564" t="str">
        <f>"20190305135921363"</f>
        <v>20190305135921363</v>
      </c>
      <c r="B4564" t="str">
        <f>"1551765561353355"</f>
        <v>1551765561353355</v>
      </c>
      <c r="C4564" t="s">
        <v>40</v>
      </c>
      <c r="D4564">
        <v>3.9751820000000002</v>
      </c>
      <c r="E4564">
        <v>0.54211709999999902</v>
      </c>
      <c r="F4564" t="s">
        <v>42</v>
      </c>
      <c r="G4564">
        <v>-420.89850000000001</v>
      </c>
      <c r="H4564" s="1">
        <v>-2.716508E-6</v>
      </c>
      <c r="I4564">
        <v>55.364080000000001</v>
      </c>
      <c r="J4564">
        <v>-422.43810000000002</v>
      </c>
      <c r="K4564">
        <v>1.1105430000000001</v>
      </c>
      <c r="L4564">
        <v>72.245509999999996</v>
      </c>
      <c r="M4564">
        <v>-4.7025459999999998E-2</v>
      </c>
      <c r="N4564">
        <v>-1.2346970000000001E-2</v>
      </c>
      <c r="O4564">
        <v>-0.99881770000000003</v>
      </c>
      <c r="P4564">
        <v>0.2009222</v>
      </c>
      <c r="Q4564">
        <v>-5.4955240000000002E-2</v>
      </c>
      <c r="R4564">
        <v>-0.97806479999999996</v>
      </c>
      <c r="S4564">
        <v>0.26528930000000001</v>
      </c>
      <c r="T4564">
        <v>-0.1932962</v>
      </c>
      <c r="U4564">
        <v>-3.0012509999999999</v>
      </c>
      <c r="V4564">
        <v>-0.24655560000000001</v>
      </c>
      <c r="W4564">
        <v>-4.3812249999999997E-2</v>
      </c>
      <c r="X4564">
        <v>0.96813780000000005</v>
      </c>
      <c r="Y4564">
        <v>-0.13461809999999999</v>
      </c>
      <c r="Z4564">
        <v>5.1397039999999998E-2</v>
      </c>
      <c r="AA4564">
        <v>0.98956370000000005</v>
      </c>
      <c r="AB4564">
        <v>36</v>
      </c>
      <c r="AC4564">
        <v>1.5396000000000001</v>
      </c>
      <c r="AD4564">
        <v>-1.1105457165079999</v>
      </c>
      <c r="AE4564">
        <v>-16.881429999999899</v>
      </c>
      <c r="AF4564">
        <v>-2.3218484302126101</v>
      </c>
      <c r="AG4564">
        <v>-1.1105457165079999</v>
      </c>
      <c r="AH4564">
        <v>16.718589442018299</v>
      </c>
      <c r="AI4564">
        <v>93.764312441001906</v>
      </c>
      <c r="AJ4564">
        <v>97.906564627733999</v>
      </c>
      <c r="AK4564">
        <v>16.915540926973101</v>
      </c>
      <c r="AL4564">
        <v>92.511060818033499</v>
      </c>
      <c r="AM4564">
        <v>104.287794264471</v>
      </c>
      <c r="AN4564">
        <v>0.99999998846513105</v>
      </c>
    </row>
    <row r="4565" spans="1:40" x14ac:dyDescent="0.25">
      <c r="A4565" t="str">
        <f>"20190305135921384"</f>
        <v>20190305135921384</v>
      </c>
      <c r="B4565" t="str">
        <f>"1551765561373851"</f>
        <v>1551765561373851</v>
      </c>
      <c r="C4565" t="s">
        <v>40</v>
      </c>
      <c r="D4565">
        <v>3.917751</v>
      </c>
      <c r="E4565">
        <v>0.5421916</v>
      </c>
      <c r="F4565" t="s">
        <v>42</v>
      </c>
      <c r="G4565">
        <v>-420.77679999999998</v>
      </c>
      <c r="H4565" s="1">
        <v>-2.0472129999999998E-6</v>
      </c>
      <c r="I4565">
        <v>53.879429999999999</v>
      </c>
      <c r="J4565">
        <v>-422.45319999999998</v>
      </c>
      <c r="K4565">
        <v>1.1107800000000001</v>
      </c>
      <c r="L4565">
        <v>71.88458</v>
      </c>
      <c r="M4565">
        <v>-4.5030800000000003E-2</v>
      </c>
      <c r="N4565">
        <v>-1.2573000000000001E-2</v>
      </c>
      <c r="O4565">
        <v>-0.99890670000000004</v>
      </c>
      <c r="P4565">
        <v>0.2032494</v>
      </c>
      <c r="Q4565">
        <v>-5.268813E-2</v>
      </c>
      <c r="R4565">
        <v>-0.97770869999999999</v>
      </c>
      <c r="S4565">
        <v>0.27148440000000001</v>
      </c>
      <c r="T4565">
        <v>-0.1814809</v>
      </c>
      <c r="U4565">
        <v>-3.001312</v>
      </c>
      <c r="V4565">
        <v>-0.24691879999999999</v>
      </c>
      <c r="W4565">
        <v>-4.145443E-2</v>
      </c>
      <c r="X4565">
        <v>0.96814909999999998</v>
      </c>
      <c r="Y4565">
        <v>-0.13468450000000001</v>
      </c>
      <c r="Z4565">
        <v>4.7287870000000003E-2</v>
      </c>
      <c r="AA4565">
        <v>0.98975959999999996</v>
      </c>
      <c r="AB4565">
        <v>36</v>
      </c>
      <c r="AC4565">
        <v>1.6763999999999999</v>
      </c>
      <c r="AD4565">
        <v>-1.1107820472129999</v>
      </c>
      <c r="AE4565">
        <v>-18.005149999999901</v>
      </c>
      <c r="AF4565">
        <v>-2.4762060639273198</v>
      </c>
      <c r="AG4565">
        <v>-1.1107820472129999</v>
      </c>
      <c r="AH4565">
        <v>17.8440570018805</v>
      </c>
      <c r="AI4565">
        <v>93.5283088435542</v>
      </c>
      <c r="AJ4565">
        <v>97.900436436393093</v>
      </c>
      <c r="AK4565">
        <v>18.049260469997101</v>
      </c>
      <c r="AL4565">
        <v>92.375844630702105</v>
      </c>
      <c r="AM4565">
        <v>104.307817837203</v>
      </c>
      <c r="AN4565">
        <v>1.0000000216954299</v>
      </c>
    </row>
    <row r="4566" spans="1:40" x14ac:dyDescent="0.25">
      <c r="A4566" t="str">
        <f>"20190305135921407"</f>
        <v>20190305135921407</v>
      </c>
      <c r="B4566" t="str">
        <f>"1551765561403130"</f>
        <v>1551765561403130</v>
      </c>
      <c r="C4566" t="s">
        <v>40</v>
      </c>
      <c r="D4566">
        <v>3.9279510000000002</v>
      </c>
      <c r="E4566">
        <v>0.54247080000000003</v>
      </c>
      <c r="F4566" t="s">
        <v>42</v>
      </c>
      <c r="G4566">
        <v>-420.6567</v>
      </c>
      <c r="H4566" s="1">
        <v>-1.4236959999999999E-6</v>
      </c>
      <c r="I4566">
        <v>52.500480000000003</v>
      </c>
      <c r="J4566">
        <v>-422.46730000000002</v>
      </c>
      <c r="K4566">
        <v>1.110989</v>
      </c>
      <c r="L4566">
        <v>71.528199999999998</v>
      </c>
      <c r="M4566">
        <v>-4.285448E-2</v>
      </c>
      <c r="N4566">
        <v>-1.276761E-2</v>
      </c>
      <c r="O4566">
        <v>-0.99899970000000005</v>
      </c>
      <c r="P4566">
        <v>0.2062341</v>
      </c>
      <c r="Q4566">
        <v>-5.2038870000000001E-2</v>
      </c>
      <c r="R4566">
        <v>-0.97711809999999999</v>
      </c>
      <c r="S4566">
        <v>0.27816770000000002</v>
      </c>
      <c r="T4566">
        <v>-0.17198629999999901</v>
      </c>
      <c r="U4566">
        <v>-3.001312</v>
      </c>
      <c r="V4566">
        <v>-0.247751</v>
      </c>
      <c r="W4566">
        <v>-4.0737500000000003E-2</v>
      </c>
      <c r="X4566">
        <v>0.96796689999999996</v>
      </c>
      <c r="Y4566">
        <v>-0.13472719999999999</v>
      </c>
      <c r="Z4566">
        <v>4.3972270000000001E-2</v>
      </c>
      <c r="AA4566">
        <v>0.98990650000000002</v>
      </c>
      <c r="AB4566">
        <v>36</v>
      </c>
      <c r="AC4566">
        <v>1.81060000000002</v>
      </c>
      <c r="AD4566">
        <v>-1.110990423696</v>
      </c>
      <c r="AE4566">
        <v>-19.027719999999899</v>
      </c>
      <c r="AF4566">
        <v>-2.6155889837264401</v>
      </c>
      <c r="AG4566">
        <v>-1.110990423696</v>
      </c>
      <c r="AH4566">
        <v>18.868888413312501</v>
      </c>
      <c r="AI4566">
        <v>93.337812896401303</v>
      </c>
      <c r="AJ4566">
        <v>97.891998868242098</v>
      </c>
      <c r="AK4566">
        <v>19.0816811473039</v>
      </c>
      <c r="AL4566">
        <v>92.334732862105398</v>
      </c>
      <c r="AM4566">
        <v>104.35664080859</v>
      </c>
      <c r="AN4566">
        <v>1.00000001070143</v>
      </c>
    </row>
    <row r="4567" spans="1:40" x14ac:dyDescent="0.25">
      <c r="A4567" t="str">
        <f>"20190305135921430"</f>
        <v>20190305135921430</v>
      </c>
      <c r="B4567" t="str">
        <f>"1551765561423627"</f>
        <v>1551765561423627</v>
      </c>
      <c r="C4567" t="s">
        <v>40</v>
      </c>
      <c r="D4567">
        <v>3.964683</v>
      </c>
      <c r="E4567">
        <v>0.54261079999999995</v>
      </c>
      <c r="F4567" t="s">
        <v>42</v>
      </c>
      <c r="G4567">
        <v>-420.62959999999998</v>
      </c>
      <c r="H4567" s="1">
        <v>-1.2838479999999999E-6</v>
      </c>
      <c r="I4567">
        <v>52.191270000000003</v>
      </c>
      <c r="J4567">
        <v>-422.48129999999998</v>
      </c>
      <c r="K4567">
        <v>1.1111869999999999</v>
      </c>
      <c r="L4567">
        <v>71.148380000000003</v>
      </c>
      <c r="M4567">
        <v>-4.0351360000000003E-2</v>
      </c>
      <c r="N4567">
        <v>-1.2947790000000001E-2</v>
      </c>
      <c r="O4567">
        <v>-0.99910160000000003</v>
      </c>
      <c r="P4567">
        <v>0.20991360000000001</v>
      </c>
      <c r="Q4567">
        <v>-5.1471169999999997E-2</v>
      </c>
      <c r="R4567">
        <v>-0.97636429999999996</v>
      </c>
      <c r="S4567">
        <v>0.28518680000000002</v>
      </c>
      <c r="T4567">
        <v>-0.17241379999999901</v>
      </c>
      <c r="U4567">
        <v>-3.0008849999999998</v>
      </c>
      <c r="V4567">
        <v>-0.2489576</v>
      </c>
      <c r="W4567">
        <v>-4.0115919999999999E-2</v>
      </c>
      <c r="X4567">
        <v>0.96768330000000002</v>
      </c>
      <c r="Y4567">
        <v>-0.1345519</v>
      </c>
      <c r="Z4567">
        <v>4.3944950000000003E-2</v>
      </c>
      <c r="AA4567">
        <v>0.98993160000000002</v>
      </c>
      <c r="AB4567">
        <v>36</v>
      </c>
      <c r="AC4567">
        <v>1.8516999999999899</v>
      </c>
      <c r="AD4567">
        <v>-1.1111882838480001</v>
      </c>
      <c r="AE4567">
        <v>-18.95711</v>
      </c>
      <c r="AF4567">
        <v>-2.6063307113062999</v>
      </c>
      <c r="AG4567">
        <v>-1.1111882838480001</v>
      </c>
      <c r="AH4567">
        <v>18.8029498659198</v>
      </c>
      <c r="AI4567">
        <v>93.350089414421305</v>
      </c>
      <c r="AJ4567">
        <v>97.891646295951702</v>
      </c>
      <c r="AK4567">
        <v>19.015220820152301</v>
      </c>
      <c r="AL4567">
        <v>92.299089673765806</v>
      </c>
      <c r="AM4567">
        <v>104.427701230254</v>
      </c>
      <c r="AN4567">
        <v>1.0000000713670401</v>
      </c>
    </row>
    <row r="4568" spans="1:40" x14ac:dyDescent="0.25">
      <c r="A4568" t="str">
        <f>"20190305135921452"</f>
        <v>20190305135921452</v>
      </c>
      <c r="B4568" t="str">
        <f>"1551765561443146"</f>
        <v>1551765561443146</v>
      </c>
      <c r="C4568" t="s">
        <v>40</v>
      </c>
      <c r="D4568">
        <v>3.953576</v>
      </c>
      <c r="E4568">
        <v>0.51766690000000004</v>
      </c>
      <c r="F4568" t="s">
        <v>42</v>
      </c>
      <c r="G4568">
        <v>-420.55790000000002</v>
      </c>
      <c r="H4568" s="1">
        <v>-1.0237940000000001E-6</v>
      </c>
      <c r="I4568">
        <v>51.629550000000002</v>
      </c>
      <c r="J4568">
        <v>-422.49349999999998</v>
      </c>
      <c r="K4568">
        <v>1.1113569999999999</v>
      </c>
      <c r="L4568">
        <v>70.789459999999906</v>
      </c>
      <c r="M4568">
        <v>-3.7860520000000002E-2</v>
      </c>
      <c r="N4568">
        <v>-1.309485E-2</v>
      </c>
      <c r="O4568">
        <v>-0.99919720000000001</v>
      </c>
      <c r="P4568">
        <v>0.21374219999999999</v>
      </c>
      <c r="Q4568">
        <v>-5.0398440000000003E-2</v>
      </c>
      <c r="R4568">
        <v>-0.97558889999999998</v>
      </c>
      <c r="S4568">
        <v>0.29562379999999999</v>
      </c>
      <c r="T4568">
        <v>-0.17079059999999999</v>
      </c>
      <c r="U4568">
        <v>-3.0000610000000001</v>
      </c>
      <c r="V4568">
        <v>-0.25033420000000001</v>
      </c>
      <c r="W4568">
        <v>-3.9002799999999997E-2</v>
      </c>
      <c r="X4568">
        <v>0.9673735</v>
      </c>
      <c r="Y4568">
        <v>-0.13552129999999901</v>
      </c>
      <c r="Z4568">
        <v>4.3274609999999998E-2</v>
      </c>
      <c r="AA4568">
        <v>0.98982890000000001</v>
      </c>
      <c r="AB4568">
        <v>36</v>
      </c>
      <c r="AC4568">
        <v>1.93559999999996</v>
      </c>
      <c r="AD4568">
        <v>-1.1113580237939999</v>
      </c>
      <c r="AE4568">
        <v>-19.159909999999901</v>
      </c>
      <c r="AF4568">
        <v>-2.6508496907562802</v>
      </c>
      <c r="AG4568">
        <v>-1.1113580237939999</v>
      </c>
      <c r="AH4568">
        <v>19.0095698877094</v>
      </c>
      <c r="AI4568">
        <v>93.313886334102804</v>
      </c>
      <c r="AJ4568">
        <v>97.938598182541995</v>
      </c>
      <c r="AK4568">
        <v>19.225656505194799</v>
      </c>
      <c r="AL4568">
        <v>92.235262885153702</v>
      </c>
      <c r="AM4568">
        <v>104.508571335133</v>
      </c>
      <c r="AN4568">
        <v>0.99999995929986396</v>
      </c>
    </row>
    <row r="4569" spans="1:40" x14ac:dyDescent="0.25">
      <c r="A4569" t="str">
        <f>"20190305135921475"</f>
        <v>20190305135921475</v>
      </c>
      <c r="B4569" t="str">
        <f>"1551765561463643"</f>
        <v>1551765561463643</v>
      </c>
      <c r="C4569" t="s">
        <v>40</v>
      </c>
      <c r="D4569">
        <v>3.8472810000000002</v>
      </c>
      <c r="E4569">
        <v>0.50419009999999997</v>
      </c>
      <c r="F4569" t="s">
        <v>42</v>
      </c>
      <c r="G4569">
        <v>-418.43680000000001</v>
      </c>
      <c r="H4569" s="1">
        <v>-3.4414950000000001E-6</v>
      </c>
      <c r="I4569">
        <v>47.00864</v>
      </c>
      <c r="J4569">
        <v>-422.50459999999998</v>
      </c>
      <c r="K4569">
        <v>1.1114869999999999</v>
      </c>
      <c r="L4569">
        <v>70.433139999999995</v>
      </c>
      <c r="M4569">
        <v>-3.5307520000000002E-2</v>
      </c>
      <c r="N4569">
        <v>-1.322078E-2</v>
      </c>
      <c r="O4569">
        <v>-0.99928930000000005</v>
      </c>
      <c r="P4569">
        <v>0.21796879999999999</v>
      </c>
      <c r="Q4569">
        <v>-4.9688549999999998E-2</v>
      </c>
      <c r="R4569">
        <v>-0.97469039999999996</v>
      </c>
      <c r="S4569">
        <v>0.50448609999999905</v>
      </c>
      <c r="T4569">
        <v>-0.13820950000000001</v>
      </c>
      <c r="U4569">
        <v>-2.9573969999999998</v>
      </c>
      <c r="V4569">
        <v>-0.2520482</v>
      </c>
      <c r="W4569">
        <v>-3.82592E-2</v>
      </c>
      <c r="X4569">
        <v>0.96695810000000004</v>
      </c>
      <c r="Y4569">
        <v>-0.2026898</v>
      </c>
      <c r="Z4569">
        <v>3.2573970000000001E-2</v>
      </c>
      <c r="AA4569">
        <v>0.97870109999999999</v>
      </c>
      <c r="AB4569">
        <v>36</v>
      </c>
      <c r="AC4569">
        <v>4.0677999999999699</v>
      </c>
      <c r="AD4569">
        <v>-1.111490441495</v>
      </c>
      <c r="AE4569">
        <v>-23.424499999999998</v>
      </c>
      <c r="AF4569">
        <v>-4.8817269156218996</v>
      </c>
      <c r="AG4569">
        <v>-1.111490441495</v>
      </c>
      <c r="AH4569">
        <v>23.215516237078202</v>
      </c>
      <c r="AI4569">
        <v>92.682483998489005</v>
      </c>
      <c r="AJ4569">
        <v>101.87506821730599</v>
      </c>
      <c r="AK4569">
        <v>23.749249732029099</v>
      </c>
      <c r="AL4569">
        <v>92.192625793451299</v>
      </c>
      <c r="AM4569">
        <v>104.609681298738</v>
      </c>
      <c r="AN4569">
        <v>1.00000001433174</v>
      </c>
    </row>
    <row r="4570" spans="1:40" x14ac:dyDescent="0.25">
      <c r="A4570" t="str">
        <f>"20190305135921496"</f>
        <v>20190305135921496</v>
      </c>
      <c r="B4570" t="str">
        <f>"1551765561493899"</f>
        <v>1551765561493899</v>
      </c>
      <c r="C4570" t="s">
        <v>40</v>
      </c>
      <c r="D4570">
        <v>3.7418550000000002</v>
      </c>
      <c r="E4570">
        <v>0.4986256</v>
      </c>
      <c r="F4570" t="s">
        <v>82</v>
      </c>
      <c r="G4570">
        <v>-412.30259999999998</v>
      </c>
      <c r="H4570" s="1">
        <v>-9.260972E-6</v>
      </c>
      <c r="I4570">
        <v>22.774329999999999</v>
      </c>
      <c r="J4570">
        <v>-422.51440000000002</v>
      </c>
      <c r="K4570">
        <v>1.111585</v>
      </c>
      <c r="L4570">
        <v>70.089389999999995</v>
      </c>
      <c r="M4570">
        <v>-3.2794490000000003E-2</v>
      </c>
      <c r="N4570">
        <v>-1.3325679999999999E-2</v>
      </c>
      <c r="O4570">
        <v>-0.99937330000000002</v>
      </c>
      <c r="P4570">
        <v>0.2224139</v>
      </c>
      <c r="Q4570">
        <v>-5.018885E-2</v>
      </c>
      <c r="R4570">
        <v>-0.97365959999999996</v>
      </c>
      <c r="S4570">
        <v>0.62805180000000005</v>
      </c>
      <c r="T4570">
        <v>-6.8425659999999999E-2</v>
      </c>
      <c r="U4570">
        <v>-2.9339599999999999</v>
      </c>
      <c r="V4570">
        <v>-0.25401560000000001</v>
      </c>
      <c r="W4570">
        <v>-3.8730699999999903E-2</v>
      </c>
      <c r="X4570">
        <v>0.96642430000000001</v>
      </c>
      <c r="Y4570">
        <v>-0.24121229999999999</v>
      </c>
      <c r="Z4570">
        <v>9.3251150000000001E-3</v>
      </c>
      <c r="AA4570">
        <v>0.97042759999999995</v>
      </c>
      <c r="AB4570">
        <v>36</v>
      </c>
      <c r="AC4570">
        <v>10.2118</v>
      </c>
      <c r="AD4570">
        <v>-1.111594260972</v>
      </c>
      <c r="AE4570">
        <v>-47.315060000000003</v>
      </c>
      <c r="AF4570">
        <v>-11.751919584046901</v>
      </c>
      <c r="AG4570">
        <v>-1.111594260972</v>
      </c>
      <c r="AH4570">
        <v>46.929935202433903</v>
      </c>
      <c r="AI4570">
        <v>91.316241999963495</v>
      </c>
      <c r="AJ4570">
        <v>104.05857422516701</v>
      </c>
      <c r="AK4570">
        <v>48.3917562588462</v>
      </c>
      <c r="AL4570">
        <v>92.219660912723896</v>
      </c>
      <c r="AM4570">
        <v>104.726562466641</v>
      </c>
      <c r="AN4570">
        <v>0.99999995989816903</v>
      </c>
    </row>
    <row r="4571" spans="1:40" x14ac:dyDescent="0.25">
      <c r="A4571" t="str">
        <f>"20190305135921521"</f>
        <v>20190305135921521</v>
      </c>
      <c r="B4571" t="str">
        <f>"1551765561513422"</f>
        <v>1551765561513422</v>
      </c>
      <c r="C4571" t="s">
        <v>40</v>
      </c>
      <c r="D4571">
        <v>3.736856</v>
      </c>
      <c r="E4571">
        <v>0.4979362</v>
      </c>
      <c r="F4571" t="s">
        <v>43</v>
      </c>
      <c r="G4571">
        <v>-404.81259999999997</v>
      </c>
      <c r="H4571">
        <v>-0.05</v>
      </c>
      <c r="I4571">
        <v>-5.2216950000000004</v>
      </c>
      <c r="J4571">
        <v>-422.52440000000001</v>
      </c>
      <c r="K4571">
        <v>1.111656</v>
      </c>
      <c r="L4571">
        <v>69.699100000000001</v>
      </c>
      <c r="M4571">
        <v>-2.9906889999999998E-2</v>
      </c>
      <c r="N4571">
        <v>-1.342745E-2</v>
      </c>
      <c r="O4571">
        <v>-0.99946270000000004</v>
      </c>
      <c r="P4571">
        <v>0.22801170000000001</v>
      </c>
      <c r="Q4571">
        <v>-5.0089960000000003E-2</v>
      </c>
      <c r="R4571">
        <v>-0.97236929999999999</v>
      </c>
      <c r="S4571">
        <v>0.68679809999999997</v>
      </c>
      <c r="T4571">
        <v>-4.5067429999999999E-2</v>
      </c>
      <c r="U4571">
        <v>-2.9219360000000001</v>
      </c>
      <c r="V4571">
        <v>-0.25677480000000003</v>
      </c>
      <c r="W4571">
        <v>-3.8603480000000003E-2</v>
      </c>
      <c r="X4571">
        <v>0.9657</v>
      </c>
      <c r="Y4571">
        <v>-0.25777810000000001</v>
      </c>
      <c r="Z4571">
        <v>1.473514E-3</v>
      </c>
      <c r="AA4571">
        <v>0.96620300000000003</v>
      </c>
      <c r="AB4571">
        <v>36</v>
      </c>
      <c r="AC4571">
        <v>17.7118</v>
      </c>
      <c r="AD4571">
        <v>-1.161656</v>
      </c>
      <c r="AE4571">
        <v>-74.920794999999998</v>
      </c>
      <c r="AF4571">
        <v>-19.9401853664782</v>
      </c>
      <c r="AG4571">
        <v>-1.161656</v>
      </c>
      <c r="AH4571">
        <v>74.340597403832106</v>
      </c>
      <c r="AI4571">
        <v>90.864678601306196</v>
      </c>
      <c r="AJ4571">
        <v>105.014871450602</v>
      </c>
      <c r="AK4571">
        <v>76.977171027977505</v>
      </c>
      <c r="AL4571">
        <v>92.212366180942894</v>
      </c>
      <c r="AM4571">
        <v>104.890131246341</v>
      </c>
      <c r="AN4571">
        <v>1.0000000082915701</v>
      </c>
    </row>
    <row r="4572" spans="1:40" x14ac:dyDescent="0.25">
      <c r="A4572" t="str">
        <f>"20190305135921542"</f>
        <v>20190305135921542</v>
      </c>
      <c r="B4572" t="str">
        <f>"1551765561533920"</f>
        <v>1551765561533920</v>
      </c>
      <c r="C4572" t="s">
        <v>40</v>
      </c>
      <c r="D4572">
        <v>3.7067410000000001</v>
      </c>
      <c r="E4572">
        <v>0.49784620000000002</v>
      </c>
      <c r="F4572" t="s">
        <v>83</v>
      </c>
      <c r="G4572">
        <v>-405.70620000000002</v>
      </c>
      <c r="H4572">
        <v>0.25540469999999998</v>
      </c>
      <c r="I4572">
        <v>0.62275309999999995</v>
      </c>
      <c r="J4572">
        <v>-422.53219999999999</v>
      </c>
      <c r="K4572">
        <v>1.1117030000000001</v>
      </c>
      <c r="L4572">
        <v>69.356659999999906</v>
      </c>
      <c r="M4572">
        <v>-2.7362049999999999E-2</v>
      </c>
      <c r="N4572">
        <v>-1.350402E-2</v>
      </c>
      <c r="O4572">
        <v>-0.99953449999999999</v>
      </c>
      <c r="P4572">
        <v>0.23367209999999999</v>
      </c>
      <c r="Q4572">
        <v>-5.0129569999999998E-2</v>
      </c>
      <c r="R4572">
        <v>-0.97102250000000001</v>
      </c>
      <c r="S4572">
        <v>0.71017459999999999</v>
      </c>
      <c r="T4572">
        <v>-3.6157849999999998E-2</v>
      </c>
      <c r="U4572">
        <v>-2.9168699999999999</v>
      </c>
      <c r="V4572">
        <v>-0.25993440000000001</v>
      </c>
      <c r="W4572">
        <v>-3.8627000000000002E-2</v>
      </c>
      <c r="X4572">
        <v>0.96485339999999997</v>
      </c>
      <c r="Y4572">
        <v>-0.2630152</v>
      </c>
      <c r="Z4572">
        <v>-1.5537109999999999E-3</v>
      </c>
      <c r="AA4572">
        <v>0.9647905</v>
      </c>
      <c r="AB4572">
        <v>36</v>
      </c>
      <c r="AC4572">
        <v>16.825999999999901</v>
      </c>
      <c r="AD4572">
        <v>-0.85629829999999996</v>
      </c>
      <c r="AE4572">
        <v>-68.733906899999994</v>
      </c>
      <c r="AF4572">
        <v>-18.697832935264302</v>
      </c>
      <c r="AG4572">
        <v>-0.85629829999999996</v>
      </c>
      <c r="AH4572">
        <v>68.237739600256404</v>
      </c>
      <c r="AI4572">
        <v>90.693395745750493</v>
      </c>
      <c r="AJ4572">
        <v>105.323510894693</v>
      </c>
      <c r="AK4572">
        <v>70.758259652185103</v>
      </c>
      <c r="AL4572">
        <v>92.213714778709402</v>
      </c>
      <c r="AM4572">
        <v>105.07768888179901</v>
      </c>
      <c r="AN4572">
        <v>1.00000001046196</v>
      </c>
    </row>
    <row r="4573" spans="1:40" x14ac:dyDescent="0.25">
      <c r="A4573" t="str">
        <f>"20190305135921563"</f>
        <v>20190305135921563</v>
      </c>
      <c r="B4573" t="str">
        <f>"1551765561553436"</f>
        <v>1551765561553436</v>
      </c>
      <c r="C4573" t="s">
        <v>40</v>
      </c>
      <c r="D4573">
        <v>4.1629719999999999</v>
      </c>
      <c r="E4573">
        <v>0.49907960000000001</v>
      </c>
      <c r="F4573" t="s">
        <v>83</v>
      </c>
      <c r="G4573">
        <v>-405.34570000000002</v>
      </c>
      <c r="H4573">
        <v>0.38444299999999998</v>
      </c>
      <c r="I4573">
        <v>0.6264229</v>
      </c>
      <c r="J4573">
        <v>-422.53910000000002</v>
      </c>
      <c r="K4573">
        <v>1.1117410000000001</v>
      </c>
      <c r="L4573">
        <v>69.016540000000006</v>
      </c>
      <c r="M4573">
        <v>-2.4834820000000001E-2</v>
      </c>
      <c r="N4573">
        <v>-1.3569950000000001E-2</v>
      </c>
      <c r="O4573">
        <v>-0.99959980000000004</v>
      </c>
      <c r="P4573">
        <v>0.2396163</v>
      </c>
      <c r="Q4573">
        <v>-5.0429710000000003E-2</v>
      </c>
      <c r="R4573">
        <v>-0.96955760000000002</v>
      </c>
      <c r="S4573">
        <v>0.72833249999999905</v>
      </c>
      <c r="T4573">
        <v>-3.082097E-2</v>
      </c>
      <c r="U4573">
        <v>-2.9126590000000001</v>
      </c>
      <c r="V4573">
        <v>-0.26339689999999999</v>
      </c>
      <c r="W4573">
        <v>-3.8917399999999998E-2</v>
      </c>
      <c r="X4573">
        <v>0.96390220000000004</v>
      </c>
      <c r="Y4573">
        <v>-0.26656479999999999</v>
      </c>
      <c r="Z4573">
        <v>-3.3843480000000001E-3</v>
      </c>
      <c r="AA4573">
        <v>0.96381099999999997</v>
      </c>
      <c r="AB4573">
        <v>36</v>
      </c>
      <c r="AC4573">
        <v>17.193399999999901</v>
      </c>
      <c r="AD4573">
        <v>-0.727298</v>
      </c>
      <c r="AE4573">
        <v>-68.390117099999998</v>
      </c>
      <c r="AF4573">
        <v>-18.884699337239599</v>
      </c>
      <c r="AG4573">
        <v>-0.727298</v>
      </c>
      <c r="AH4573">
        <v>67.934759110977197</v>
      </c>
      <c r="AI4573">
        <v>90.590968591047499</v>
      </c>
      <c r="AJ4573">
        <v>105.53501960305501</v>
      </c>
      <c r="AK4573">
        <v>70.514483100319495</v>
      </c>
      <c r="AL4573">
        <v>92.230366081348095</v>
      </c>
      <c r="AM4573">
        <v>105.283579223396</v>
      </c>
      <c r="AN4573">
        <v>0.99999997105860405</v>
      </c>
    </row>
    <row r="4574" spans="1:40" x14ac:dyDescent="0.25">
      <c r="A4574" t="str">
        <f>"20190305135921585"</f>
        <v>20190305135921585</v>
      </c>
      <c r="B4574" t="str">
        <f>"1551765561573931"</f>
        <v>1551765561573931</v>
      </c>
      <c r="C4574" t="s">
        <v>40</v>
      </c>
      <c r="D4574">
        <v>3.7089270000000001</v>
      </c>
      <c r="E4574">
        <v>0.49921680000000002</v>
      </c>
      <c r="F4574" t="s">
        <v>83</v>
      </c>
      <c r="G4574">
        <v>-405.22669999999999</v>
      </c>
      <c r="H4574">
        <v>0.39201259999999999</v>
      </c>
      <c r="I4574">
        <v>0.62763210000000003</v>
      </c>
      <c r="J4574">
        <v>-422.5455</v>
      </c>
      <c r="K4574">
        <v>1.1117680000000001</v>
      </c>
      <c r="L4574">
        <v>68.657749999999993</v>
      </c>
      <c r="M4574">
        <v>-2.2175770000000001E-2</v>
      </c>
      <c r="N4574">
        <v>-1.3630099999999999E-2</v>
      </c>
      <c r="O4574">
        <v>-0.99966129999999997</v>
      </c>
      <c r="P4574">
        <v>0.2446411</v>
      </c>
      <c r="Q4574">
        <v>-5.085721E-2</v>
      </c>
      <c r="R4574">
        <v>-0.968279</v>
      </c>
      <c r="S4574">
        <v>0.73678589999999999</v>
      </c>
      <c r="T4574">
        <v>-3.0631660000000002E-2</v>
      </c>
      <c r="U4574">
        <v>-2.9105219999999998</v>
      </c>
      <c r="V4574">
        <v>-0.26582410000000001</v>
      </c>
      <c r="W4574">
        <v>-3.9326739999999999E-2</v>
      </c>
      <c r="X4574">
        <v>0.96321900000000005</v>
      </c>
      <c r="Y4574">
        <v>-0.26679979999999998</v>
      </c>
      <c r="Z4574">
        <v>-3.4991499999999999E-3</v>
      </c>
      <c r="AA4574">
        <v>0.96374570000000004</v>
      </c>
      <c r="AB4574">
        <v>36</v>
      </c>
      <c r="AC4574">
        <v>17.3188</v>
      </c>
      <c r="AD4574">
        <v>-0.71975540000000005</v>
      </c>
      <c r="AE4574">
        <v>-68.030117899999993</v>
      </c>
      <c r="AF4574">
        <v>-18.821321960057901</v>
      </c>
      <c r="AG4574">
        <v>-0.71975540000000005</v>
      </c>
      <c r="AH4574">
        <v>67.622183359343595</v>
      </c>
      <c r="AI4574">
        <v>90.587490680098597</v>
      </c>
      <c r="AJ4574">
        <v>105.55351153067301</v>
      </c>
      <c r="AK4574">
        <v>70.196295418239004</v>
      </c>
      <c r="AL4574">
        <v>92.253837568007896</v>
      </c>
      <c r="AM4574">
        <v>105.428159469935</v>
      </c>
      <c r="AN4574">
        <v>0.99999994329041697</v>
      </c>
    </row>
    <row r="4575" spans="1:40" x14ac:dyDescent="0.25">
      <c r="A4575" t="str">
        <f>"20190305135921609"</f>
        <v>20190305135921609</v>
      </c>
      <c r="B4575" t="str">
        <f>"1551765561603215"</f>
        <v>1551765561603215</v>
      </c>
      <c r="C4575" t="s">
        <v>40</v>
      </c>
      <c r="D4575">
        <v>3.6733389999999999</v>
      </c>
      <c r="E4575">
        <v>0.49950489999999997</v>
      </c>
      <c r="F4575" t="s">
        <v>83</v>
      </c>
      <c r="G4575">
        <v>-404.9701</v>
      </c>
      <c r="H4575">
        <v>0.43012260000000002</v>
      </c>
      <c r="I4575">
        <v>0.63023949999999995</v>
      </c>
      <c r="J4575">
        <v>-422.55099999999999</v>
      </c>
      <c r="K4575">
        <v>1.1117889999999999</v>
      </c>
      <c r="L4575">
        <v>68.291139999999999</v>
      </c>
      <c r="M4575">
        <v>-1.946736E-2</v>
      </c>
      <c r="N4575">
        <v>-1.3682919999999999E-2</v>
      </c>
      <c r="O4575">
        <v>-0.99971699999999997</v>
      </c>
      <c r="P4575">
        <v>0.25007610000000002</v>
      </c>
      <c r="Q4575">
        <v>-5.2020919999999998E-2</v>
      </c>
      <c r="R4575">
        <v>-0.96682780000000001</v>
      </c>
      <c r="S4575">
        <v>0.75103759999999997</v>
      </c>
      <c r="T4575">
        <v>-2.9129510000000001E-2</v>
      </c>
      <c r="U4575">
        <v>-2.9069820000000002</v>
      </c>
      <c r="V4575">
        <v>-0.26861230000000003</v>
      </c>
      <c r="W4575">
        <v>-4.0479679999999997E-2</v>
      </c>
      <c r="X4575">
        <v>0.96239750000000002</v>
      </c>
      <c r="Y4575">
        <v>-0.26890140000000001</v>
      </c>
      <c r="Z4575">
        <v>-4.0432180000000003E-3</v>
      </c>
      <c r="AA4575">
        <v>0.96315919999999999</v>
      </c>
      <c r="AB4575">
        <v>36</v>
      </c>
      <c r="AC4575">
        <v>17.5808999999999</v>
      </c>
      <c r="AD4575">
        <v>-0.68166639999999901</v>
      </c>
      <c r="AE4575">
        <v>-67.660900499999997</v>
      </c>
      <c r="AF4575">
        <v>-18.8930735436265</v>
      </c>
      <c r="AG4575">
        <v>-0.68166639999999901</v>
      </c>
      <c r="AH4575">
        <v>67.299391287893997</v>
      </c>
      <c r="AI4575">
        <v>90.558723677596205</v>
      </c>
      <c r="AJ4575">
        <v>105.68111535464899</v>
      </c>
      <c r="AK4575">
        <v>69.904370140405604</v>
      </c>
      <c r="AL4575">
        <v>92.319948554649301</v>
      </c>
      <c r="AM4575">
        <v>105.594813304629</v>
      </c>
      <c r="AN4575">
        <v>1.0000000601052099</v>
      </c>
    </row>
    <row r="4576" spans="1:40" x14ac:dyDescent="0.25">
      <c r="A4576" t="str">
        <f>"20190305135921631"</f>
        <v>20190305135921631</v>
      </c>
      <c r="B4576" t="str">
        <f>"1551765561623711"</f>
        <v>1551765561623711</v>
      </c>
      <c r="C4576" t="s">
        <v>40</v>
      </c>
      <c r="D4576">
        <v>3.6497890000000002</v>
      </c>
      <c r="E4576">
        <v>0.49978939999999999</v>
      </c>
      <c r="F4576" t="s">
        <v>83</v>
      </c>
      <c r="G4576">
        <v>-404.7149</v>
      </c>
      <c r="H4576">
        <v>0.41005180000000002</v>
      </c>
      <c r="I4576">
        <v>0.63283540000000005</v>
      </c>
      <c r="J4576">
        <v>-422.55549999999999</v>
      </c>
      <c r="K4576">
        <v>1.11181</v>
      </c>
      <c r="L4576">
        <v>67.925690000000003</v>
      </c>
      <c r="M4576">
        <v>-1.677418E-2</v>
      </c>
      <c r="N4576">
        <v>-1.372807E-2</v>
      </c>
      <c r="O4576">
        <v>-0.99976500000000001</v>
      </c>
      <c r="P4576">
        <v>0.25517269999999997</v>
      </c>
      <c r="Q4576">
        <v>-5.319165E-2</v>
      </c>
      <c r="R4576">
        <v>-0.96543100000000004</v>
      </c>
      <c r="S4576">
        <v>0.76538090000000003</v>
      </c>
      <c r="T4576">
        <v>-3.011405E-2</v>
      </c>
      <c r="U4576">
        <v>-2.9033509999999998</v>
      </c>
      <c r="V4576">
        <v>-0.27108480000000001</v>
      </c>
      <c r="W4576">
        <v>-4.1640700000000003E-2</v>
      </c>
      <c r="X4576">
        <v>0.96165429999999996</v>
      </c>
      <c r="Y4576">
        <v>-0.2710515</v>
      </c>
      <c r="Z4576">
        <v>-3.7537619999999999E-3</v>
      </c>
      <c r="AA4576">
        <v>0.96255749999999995</v>
      </c>
      <c r="AB4576">
        <v>36</v>
      </c>
      <c r="AC4576">
        <v>17.840599999999899</v>
      </c>
      <c r="AD4576">
        <v>-0.701758199999999</v>
      </c>
      <c r="AE4576">
        <v>-67.292854599999998</v>
      </c>
      <c r="AF4576">
        <v>-18.9650512775567</v>
      </c>
      <c r="AG4576">
        <v>-0.701758199999999</v>
      </c>
      <c r="AH4576">
        <v>66.977289729963601</v>
      </c>
      <c r="AI4576">
        <v>90.577590802559001</v>
      </c>
      <c r="AJ4576">
        <v>105.80981172510999</v>
      </c>
      <c r="AK4576">
        <v>69.614100397140106</v>
      </c>
      <c r="AL4576">
        <v>92.386526498684404</v>
      </c>
      <c r="AM4576">
        <v>105.742838087862</v>
      </c>
      <c r="AN4576">
        <v>0.99999995469800895</v>
      </c>
    </row>
    <row r="4577" spans="1:40" x14ac:dyDescent="0.25">
      <c r="A4577" t="str">
        <f>"20190305135921654"</f>
        <v>20190305135921654</v>
      </c>
      <c r="B4577" t="str">
        <f>"1551765561643228"</f>
        <v>1551765561643228</v>
      </c>
      <c r="C4577" t="s">
        <v>40</v>
      </c>
      <c r="D4577">
        <v>3.6406890000000001</v>
      </c>
      <c r="E4577">
        <v>0.50007639999999998</v>
      </c>
      <c r="F4577" t="s">
        <v>83</v>
      </c>
      <c r="G4577">
        <v>-404.4846</v>
      </c>
      <c r="H4577">
        <v>0.3646991</v>
      </c>
      <c r="I4577">
        <v>0.63517950000000001</v>
      </c>
      <c r="J4577">
        <v>-422.5591</v>
      </c>
      <c r="K4577">
        <v>1.1118349999999999</v>
      </c>
      <c r="L4577">
        <v>67.564729999999997</v>
      </c>
      <c r="M4577">
        <v>-1.4117849999999999E-2</v>
      </c>
      <c r="N4577">
        <v>-1.376637E-2</v>
      </c>
      <c r="O4577">
        <v>-0.99980550000000001</v>
      </c>
      <c r="P4577">
        <v>0.25943680000000002</v>
      </c>
      <c r="Q4577">
        <v>-5.3356010000000002E-2</v>
      </c>
      <c r="R4577">
        <v>-0.96428510000000001</v>
      </c>
      <c r="S4577">
        <v>0.77874759999999998</v>
      </c>
      <c r="T4577">
        <v>-3.2197000000000003E-2</v>
      </c>
      <c r="U4577">
        <v>-2.8998110000000001</v>
      </c>
      <c r="V4577">
        <v>-0.27277659999999998</v>
      </c>
      <c r="W4577">
        <v>-4.1790870000000001E-2</v>
      </c>
      <c r="X4577">
        <v>0.9611693</v>
      </c>
      <c r="Y4577">
        <v>-0.27292519999999998</v>
      </c>
      <c r="Z4577">
        <v>-3.0917369999999998E-3</v>
      </c>
      <c r="AA4577">
        <v>0.9620303</v>
      </c>
      <c r="AB4577">
        <v>36</v>
      </c>
      <c r="AC4577">
        <v>18.0745</v>
      </c>
      <c r="AD4577">
        <v>-0.74713589999999996</v>
      </c>
      <c r="AE4577">
        <v>-66.929550500000005</v>
      </c>
      <c r="AF4577">
        <v>-19.015480774745001</v>
      </c>
      <c r="AG4577">
        <v>-0.74713589999999996</v>
      </c>
      <c r="AH4577">
        <v>66.659939556289601</v>
      </c>
      <c r="AI4577">
        <v>90.617522201862002</v>
      </c>
      <c r="AJ4577">
        <v>105.921381577986</v>
      </c>
      <c r="AK4577">
        <v>69.323114924215204</v>
      </c>
      <c r="AL4577">
        <v>92.395138025624505</v>
      </c>
      <c r="AM4577">
        <v>105.843762839661</v>
      </c>
      <c r="AN4577">
        <v>0.99999998679270297</v>
      </c>
    </row>
    <row r="4578" spans="1:40" x14ac:dyDescent="0.25">
      <c r="A4578" t="str">
        <f>"20190305135921675"</f>
        <v>20190305135921675</v>
      </c>
      <c r="B4578" t="str">
        <f>"1551765561663723"</f>
        <v>1551765561663723</v>
      </c>
      <c r="C4578" t="s">
        <v>40</v>
      </c>
      <c r="D4578">
        <v>3.7667510000000002</v>
      </c>
      <c r="E4578">
        <v>0.49964429999999999</v>
      </c>
      <c r="F4578" t="s">
        <v>83</v>
      </c>
      <c r="G4578">
        <v>-404.3082</v>
      </c>
      <c r="H4578">
        <v>0.38498139999999997</v>
      </c>
      <c r="I4578">
        <v>0.63697429999999999</v>
      </c>
      <c r="J4578">
        <v>-422.56139999999999</v>
      </c>
      <c r="K4578">
        <v>1.111856</v>
      </c>
      <c r="L4578">
        <v>67.225340000000003</v>
      </c>
      <c r="M4578">
        <v>-1.1621599999999999E-2</v>
      </c>
      <c r="N4578">
        <v>-1.379735E-2</v>
      </c>
      <c r="O4578">
        <v>-0.99983750000000005</v>
      </c>
      <c r="P4578">
        <v>0.26340209999999997</v>
      </c>
      <c r="Q4578">
        <v>-5.2831709999999997E-2</v>
      </c>
      <c r="R4578">
        <v>-0.9632385</v>
      </c>
      <c r="S4578">
        <v>0.78994750000000002</v>
      </c>
      <c r="T4578">
        <v>-3.146148E-2</v>
      </c>
      <c r="U4578">
        <v>-2.89682</v>
      </c>
      <c r="V4578">
        <v>-0.27433279999999999</v>
      </c>
      <c r="W4578">
        <v>-4.1255189999999997E-2</v>
      </c>
      <c r="X4578">
        <v>0.96074939999999998</v>
      </c>
      <c r="Y4578">
        <v>-0.27423710000000001</v>
      </c>
      <c r="Z4578">
        <v>-3.359215E-3</v>
      </c>
      <c r="AA4578">
        <v>0.96165630000000002</v>
      </c>
      <c r="AB4578">
        <v>36</v>
      </c>
      <c r="AC4578">
        <v>18.2532</v>
      </c>
      <c r="AD4578">
        <v>-0.72687459999999904</v>
      </c>
      <c r="AE4578">
        <v>-66.588365699999997</v>
      </c>
      <c r="AF4578">
        <v>-19.023795511963598</v>
      </c>
      <c r="AG4578">
        <v>-0.72687459999999904</v>
      </c>
      <c r="AH4578">
        <v>66.364361244808094</v>
      </c>
      <c r="AI4578">
        <v>90.603230079268698</v>
      </c>
      <c r="AJ4578">
        <v>105.995309989213</v>
      </c>
      <c r="AK4578">
        <v>69.041013794675095</v>
      </c>
      <c r="AL4578">
        <v>92.364419432493193</v>
      </c>
      <c r="AM4578">
        <v>105.936186244502</v>
      </c>
      <c r="AN4578">
        <v>0.999999942729066</v>
      </c>
    </row>
    <row r="4579" spans="1:40" x14ac:dyDescent="0.25">
      <c r="A4579" t="str">
        <f>"20190305135921697"</f>
        <v>20190305135921697</v>
      </c>
      <c r="B4579" t="str">
        <f>"1551765561693980"</f>
        <v>1551765561693980</v>
      </c>
      <c r="C4579" t="s">
        <v>40</v>
      </c>
      <c r="D4579">
        <v>3.6394000000000002</v>
      </c>
      <c r="E4579">
        <v>0.44439250000000002</v>
      </c>
      <c r="F4579" t="s">
        <v>83</v>
      </c>
      <c r="G4579">
        <v>-404.03059999999999</v>
      </c>
      <c r="H4579">
        <v>0.38882139999999998</v>
      </c>
      <c r="I4579">
        <v>0.63979719999999995</v>
      </c>
      <c r="J4579">
        <v>-422.56299999999999</v>
      </c>
      <c r="K4579">
        <v>1.1118729999999999</v>
      </c>
      <c r="L4579">
        <v>66.865390000000005</v>
      </c>
      <c r="M4579">
        <v>-8.9741660000000004E-3</v>
      </c>
      <c r="N4579">
        <v>-1.38257E-2</v>
      </c>
      <c r="O4579">
        <v>-0.99986430000000004</v>
      </c>
      <c r="P4579">
        <v>0.26741730000000002</v>
      </c>
      <c r="Q4579">
        <v>-5.2385389999999997E-2</v>
      </c>
      <c r="R4579">
        <v>-0.96215609999999996</v>
      </c>
      <c r="S4579">
        <v>0.80502320000000005</v>
      </c>
      <c r="T4579">
        <v>-3.1411649999999999E-2</v>
      </c>
      <c r="U4579">
        <v>-2.892639</v>
      </c>
      <c r="V4579">
        <v>-0.27579769999999998</v>
      </c>
      <c r="W4579">
        <v>-4.0797899999999998E-2</v>
      </c>
      <c r="X4579">
        <v>0.96034949999999997</v>
      </c>
      <c r="Y4579">
        <v>-0.2767</v>
      </c>
      <c r="Z4579">
        <v>-3.395468E-3</v>
      </c>
      <c r="AA4579">
        <v>0.96095039999999998</v>
      </c>
      <c r="AB4579">
        <v>36</v>
      </c>
      <c r="AC4579">
        <v>18.532399999999999</v>
      </c>
      <c r="AD4579">
        <v>-0.72305159999999902</v>
      </c>
      <c r="AE4579">
        <v>-66.225592800000001</v>
      </c>
      <c r="AF4579">
        <v>-19.123915690730598</v>
      </c>
      <c r="AG4579">
        <v>-0.72305159999999902</v>
      </c>
      <c r="AH4579">
        <v>66.049295274430804</v>
      </c>
      <c r="AI4579">
        <v>90.602457558468004</v>
      </c>
      <c r="AJ4579">
        <v>106.147846751492</v>
      </c>
      <c r="AK4579">
        <v>68.765953503251794</v>
      </c>
      <c r="AL4579">
        <v>92.338196429119094</v>
      </c>
      <c r="AM4579">
        <v>106.02325669827</v>
      </c>
      <c r="AN4579">
        <v>1.0000000010599699</v>
      </c>
    </row>
    <row r="4580" spans="1:40" x14ac:dyDescent="0.25">
      <c r="A4580" t="str">
        <f>"20190305135921722"</f>
        <v>20190305135921722</v>
      </c>
      <c r="B4580" t="str">
        <f>"1551765561713499"</f>
        <v>1551765561713499</v>
      </c>
      <c r="C4580" t="s">
        <v>40</v>
      </c>
      <c r="D4580">
        <v>3.6247729999999998</v>
      </c>
      <c r="E4580">
        <v>0.44108720000000001</v>
      </c>
      <c r="F4580" t="s">
        <v>83</v>
      </c>
      <c r="G4580">
        <v>-392.9</v>
      </c>
      <c r="H4580">
        <v>0.38186340000000002</v>
      </c>
      <c r="I4580">
        <v>0.75299450000000001</v>
      </c>
      <c r="J4580">
        <v>-422.56369999999998</v>
      </c>
      <c r="K4580">
        <v>1.111891</v>
      </c>
      <c r="L4580">
        <v>66.488919999999993</v>
      </c>
      <c r="M4580">
        <v>-6.2007059999999899E-3</v>
      </c>
      <c r="N4580">
        <v>-1.3850619999999999E-2</v>
      </c>
      <c r="O4580">
        <v>-0.99988520000000003</v>
      </c>
      <c r="P4580">
        <v>0.27147579999999999</v>
      </c>
      <c r="Q4580">
        <v>-5.2085960000000001E-2</v>
      </c>
      <c r="R4580">
        <v>-0.96103510000000003</v>
      </c>
      <c r="S4580">
        <v>1.2431950000000001</v>
      </c>
      <c r="T4580">
        <v>-3.059626E-2</v>
      </c>
      <c r="U4580">
        <v>-2.770813</v>
      </c>
      <c r="V4580">
        <v>-0.27718749999999998</v>
      </c>
      <c r="W4580">
        <v>-4.0490289999999998E-2</v>
      </c>
      <c r="X4580">
        <v>0.95996230000000005</v>
      </c>
      <c r="Y4580">
        <v>-0.41494059999999999</v>
      </c>
      <c r="Z4580">
        <v>-3.8086359999999998E-3</v>
      </c>
      <c r="AA4580">
        <v>0.90984050000000005</v>
      </c>
      <c r="AB4580">
        <v>36</v>
      </c>
      <c r="AC4580">
        <v>29.663699999999999</v>
      </c>
      <c r="AD4580">
        <v>-0.730027599999999</v>
      </c>
      <c r="AE4580">
        <v>-65.735925499999993</v>
      </c>
      <c r="AF4580">
        <v>-30.067696813264799</v>
      </c>
      <c r="AG4580">
        <v>-0.730027599999999</v>
      </c>
      <c r="AH4580">
        <v>65.543992025096202</v>
      </c>
      <c r="AI4580">
        <v>90.580018719532404</v>
      </c>
      <c r="AJ4580">
        <v>114.642850304142</v>
      </c>
      <c r="AK4580">
        <v>72.115284250545997</v>
      </c>
      <c r="AL4580">
        <v>92.320557111451905</v>
      </c>
      <c r="AM4580">
        <v>106.105984259862</v>
      </c>
      <c r="AN4580">
        <v>0.99999999558091202</v>
      </c>
    </row>
    <row r="4581" spans="1:40" x14ac:dyDescent="0.25">
      <c r="A4581" t="str">
        <f>"20190305135921742"</f>
        <v>20190305135921742</v>
      </c>
      <c r="B4581" t="str">
        <f>"1551765561733995"</f>
        <v>1551765561733995</v>
      </c>
      <c r="C4581" t="s">
        <v>40</v>
      </c>
      <c r="D4581">
        <v>3.5905819999999999</v>
      </c>
      <c r="E4581">
        <v>0.44104599999999999</v>
      </c>
      <c r="F4581" t="s">
        <v>83</v>
      </c>
      <c r="G4581">
        <v>-392.03410000000002</v>
      </c>
      <c r="H4581">
        <v>0.63375349999999997</v>
      </c>
      <c r="I4581">
        <v>0.76180079999999994</v>
      </c>
      <c r="J4581">
        <v>-422.5634</v>
      </c>
      <c r="K4581">
        <v>1.1119110000000001</v>
      </c>
      <c r="L4581">
        <v>66.151949999999999</v>
      </c>
      <c r="M4581">
        <v>-3.7089839999999998E-3</v>
      </c>
      <c r="N4581">
        <v>-1.3869869999999999E-2</v>
      </c>
      <c r="O4581">
        <v>-0.99989689999999998</v>
      </c>
      <c r="P4581">
        <v>0.27552270000000001</v>
      </c>
      <c r="Q4581">
        <v>-5.2077789999999999E-2</v>
      </c>
      <c r="R4581">
        <v>-0.95988289999999998</v>
      </c>
      <c r="S4581">
        <v>1.281342</v>
      </c>
      <c r="T4581">
        <v>-2.0068760000000001E-2</v>
      </c>
      <c r="U4581">
        <v>-2.7586059999999999</v>
      </c>
      <c r="V4581">
        <v>-0.27883829999999998</v>
      </c>
      <c r="W4581">
        <v>-4.0483270000000002E-2</v>
      </c>
      <c r="X4581">
        <v>0.95948440000000002</v>
      </c>
      <c r="Y4581">
        <v>-0.42455559999999998</v>
      </c>
      <c r="Z4581">
        <v>-7.2891259999999999E-3</v>
      </c>
      <c r="AA4581">
        <v>0.90537259999999997</v>
      </c>
      <c r="AB4581">
        <v>36</v>
      </c>
      <c r="AC4581">
        <v>30.5292999999999</v>
      </c>
      <c r="AD4581">
        <v>-0.47815750000000001</v>
      </c>
      <c r="AE4581">
        <v>-65.390149199999996</v>
      </c>
      <c r="AF4581">
        <v>-30.770293466378799</v>
      </c>
      <c r="AG4581">
        <v>-0.47815750000000001</v>
      </c>
      <c r="AH4581">
        <v>65.273590155605405</v>
      </c>
      <c r="AI4581">
        <v>90.3796422938766</v>
      </c>
      <c r="AJ4581">
        <v>115.239421914541</v>
      </c>
      <c r="AK4581">
        <v>72.164265162224396</v>
      </c>
      <c r="AL4581">
        <v>92.320154547169906</v>
      </c>
      <c r="AM4581">
        <v>106.20453265102</v>
      </c>
      <c r="AN4581">
        <v>1.00000000327007</v>
      </c>
    </row>
    <row r="4582" spans="1:40" x14ac:dyDescent="0.25">
      <c r="A4582" t="str">
        <f>"20190305135921765"</f>
        <v>20190305135921765</v>
      </c>
      <c r="B4582" t="str">
        <f>"1551765561753516"</f>
        <v>1551765561753516</v>
      </c>
      <c r="C4582" t="s">
        <v>40</v>
      </c>
      <c r="D4582">
        <v>3.6034359999999999</v>
      </c>
      <c r="E4582">
        <v>0.44105929999999999</v>
      </c>
      <c r="F4582" t="s">
        <v>83</v>
      </c>
      <c r="G4582">
        <v>-391.82400000000001</v>
      </c>
      <c r="H4582">
        <v>0.84087060000000002</v>
      </c>
      <c r="I4582">
        <v>0.76393889999999998</v>
      </c>
      <c r="J4582">
        <v>-422.56209999999999</v>
      </c>
      <c r="K4582">
        <v>1.111937</v>
      </c>
      <c r="L4582">
        <v>65.807680000000005</v>
      </c>
      <c r="M4582">
        <v>-1.1511760000000001E-3</v>
      </c>
      <c r="N4582">
        <v>-1.3886870000000001E-2</v>
      </c>
      <c r="O4582">
        <v>-0.99990310000000004</v>
      </c>
      <c r="P4582">
        <v>0.27969749999999999</v>
      </c>
      <c r="Q4582">
        <v>-5.0112700000000003E-2</v>
      </c>
      <c r="R4582">
        <v>-0.95877979999999996</v>
      </c>
      <c r="S4582">
        <v>1.2943119999999999</v>
      </c>
      <c r="T4582">
        <v>-1.141357E-2</v>
      </c>
      <c r="U4582">
        <v>-2.7532350000000001</v>
      </c>
      <c r="V4582">
        <v>-0.28056979999999998</v>
      </c>
      <c r="W4582">
        <v>-3.8522939999999999E-2</v>
      </c>
      <c r="X4582">
        <v>0.95906029999999998</v>
      </c>
      <c r="Y4582">
        <v>-0.4264097</v>
      </c>
      <c r="Z4582">
        <v>-1.013995E-2</v>
      </c>
      <c r="AA4582">
        <v>0.90447330000000004</v>
      </c>
      <c r="AB4582">
        <v>36</v>
      </c>
      <c r="AC4582">
        <v>30.7380999999999</v>
      </c>
      <c r="AD4582">
        <v>-0.27106639999999999</v>
      </c>
      <c r="AE4582">
        <v>-65.043741099999906</v>
      </c>
      <c r="AF4582">
        <v>-30.812526182930402</v>
      </c>
      <c r="AG4582">
        <v>-0.27106639999999999</v>
      </c>
      <c r="AH4582">
        <v>65.007386713073103</v>
      </c>
      <c r="AI4582">
        <v>90.215886494843403</v>
      </c>
      <c r="AJ4582">
        <v>115.36025000430899</v>
      </c>
      <c r="AK4582">
        <v>71.940569736623701</v>
      </c>
      <c r="AL4582">
        <v>92.207748064277197</v>
      </c>
      <c r="AM4582">
        <v>106.306655877376</v>
      </c>
      <c r="AN4582">
        <v>1.0000000443071799</v>
      </c>
    </row>
    <row r="4583" spans="1:40" x14ac:dyDescent="0.25">
      <c r="A4583" t="str">
        <f>"20190305135921787"</f>
        <v>20190305135921787</v>
      </c>
      <c r="B4583" t="str">
        <f>"1551765561783772"</f>
        <v>1551765561783772</v>
      </c>
      <c r="C4583" t="s">
        <v>40</v>
      </c>
      <c r="D4583">
        <v>3.747144</v>
      </c>
      <c r="E4583">
        <v>0.44107059999999998</v>
      </c>
      <c r="F4583" t="s">
        <v>83</v>
      </c>
      <c r="G4583">
        <v>-391.64030000000002</v>
      </c>
      <c r="H4583">
        <v>0.967387</v>
      </c>
      <c r="I4583">
        <v>0.76580619999999999</v>
      </c>
      <c r="J4583">
        <v>-422.5598</v>
      </c>
      <c r="K4583">
        <v>1.111972</v>
      </c>
      <c r="L4583">
        <v>65.443910000000002</v>
      </c>
      <c r="M4583">
        <v>1.582071E-3</v>
      </c>
      <c r="N4583">
        <v>-1.3902309999999999E-2</v>
      </c>
      <c r="O4583">
        <v>-0.99990219999999996</v>
      </c>
      <c r="P4583">
        <v>0.28287440000000003</v>
      </c>
      <c r="Q4583">
        <v>-4.6837240000000002E-2</v>
      </c>
      <c r="R4583">
        <v>-0.958013</v>
      </c>
      <c r="S4583">
        <v>1.306244</v>
      </c>
      <c r="T4583">
        <v>-6.1074500000000004E-3</v>
      </c>
      <c r="U4583">
        <v>-2.7475890000000001</v>
      </c>
      <c r="V4583">
        <v>-0.2811457</v>
      </c>
      <c r="W4583">
        <v>-3.5246970000000002E-2</v>
      </c>
      <c r="X4583">
        <v>0.95901760000000003</v>
      </c>
      <c r="Y4583">
        <v>-0.4278575</v>
      </c>
      <c r="Z4583">
        <v>-1.1889200000000001E-2</v>
      </c>
      <c r="AA4583">
        <v>0.90376800000000002</v>
      </c>
      <c r="AB4583">
        <v>36</v>
      </c>
      <c r="AC4583">
        <v>30.9194999999999</v>
      </c>
      <c r="AD4583">
        <v>-0.14458499999999899</v>
      </c>
      <c r="AE4583">
        <v>-64.678103799999903</v>
      </c>
      <c r="AF4583">
        <v>-30.8170007117489</v>
      </c>
      <c r="AG4583">
        <v>-0.14458499999999899</v>
      </c>
      <c r="AH4583">
        <v>64.726681122673696</v>
      </c>
      <c r="AI4583">
        <v>90.115556990449605</v>
      </c>
      <c r="AJ4583">
        <v>115.45957227244701</v>
      </c>
      <c r="AK4583">
        <v>71.688574311716096</v>
      </c>
      <c r="AL4583">
        <v>92.019920999301405</v>
      </c>
      <c r="AM4583">
        <v>106.339032201854</v>
      </c>
      <c r="AN4583">
        <v>1.0000000053162099</v>
      </c>
    </row>
    <row r="4584" spans="1:40" x14ac:dyDescent="0.25">
      <c r="A4584" t="str">
        <f>"20190305135921810"</f>
        <v>20190305135921810</v>
      </c>
      <c r="B4584" t="str">
        <f>"1551765561803291"</f>
        <v>1551765561803291</v>
      </c>
      <c r="C4584" t="s">
        <v>40</v>
      </c>
      <c r="D4584">
        <v>3.6063550000000002</v>
      </c>
      <c r="E4584">
        <v>0.44149739999999998</v>
      </c>
      <c r="F4584" t="s">
        <v>83</v>
      </c>
      <c r="G4584">
        <v>-391.6035</v>
      </c>
      <c r="H4584">
        <v>0.78036709999999998</v>
      </c>
      <c r="I4584">
        <v>0.76617999999999997</v>
      </c>
      <c r="J4584">
        <v>-422.55669999999998</v>
      </c>
      <c r="K4584">
        <v>1.112015</v>
      </c>
      <c r="L4584">
        <v>65.095060000000004</v>
      </c>
      <c r="M4584">
        <v>4.2570990000000003E-3</v>
      </c>
      <c r="N4584">
        <v>-1.3915439999999999E-2</v>
      </c>
      <c r="O4584">
        <v>-0.99989419999999996</v>
      </c>
      <c r="P4584">
        <v>0.28605029999999998</v>
      </c>
      <c r="Q4584">
        <v>-4.4351229999999998E-2</v>
      </c>
      <c r="R4584">
        <v>-0.95718749999999997</v>
      </c>
      <c r="S4584">
        <v>1.312927</v>
      </c>
      <c r="T4584">
        <v>-1.406515E-2</v>
      </c>
      <c r="U4584">
        <v>-2.743134</v>
      </c>
      <c r="V4584">
        <v>-0.281773</v>
      </c>
      <c r="W4584">
        <v>-3.2774230000000001E-2</v>
      </c>
      <c r="X4584">
        <v>0.95892120000000003</v>
      </c>
      <c r="Y4584">
        <v>-0.42780629999999997</v>
      </c>
      <c r="Z4584">
        <v>-9.2728949999999997E-3</v>
      </c>
      <c r="AA4584">
        <v>0.90382289999999998</v>
      </c>
      <c r="AB4584">
        <v>36</v>
      </c>
      <c r="AC4584">
        <v>30.953199999999899</v>
      </c>
      <c r="AD4584">
        <v>-0.3316479</v>
      </c>
      <c r="AE4584">
        <v>-64.328879999999998</v>
      </c>
      <c r="AF4584">
        <v>-30.678376446438602</v>
      </c>
      <c r="AG4584">
        <v>-0.3316479</v>
      </c>
      <c r="AH4584">
        <v>64.4586893860494</v>
      </c>
      <c r="AI4584">
        <v>90.2661818322497</v>
      </c>
      <c r="AJ4584">
        <v>115.45157861421499</v>
      </c>
      <c r="AK4584">
        <v>71.387641851276797</v>
      </c>
      <c r="AL4584">
        <v>91.878161357093603</v>
      </c>
      <c r="AM4584">
        <v>106.375095497174</v>
      </c>
      <c r="AN4584">
        <v>1.00000002074526</v>
      </c>
    </row>
    <row r="4585" spans="1:40" x14ac:dyDescent="0.25">
      <c r="A4585" t="str">
        <f>"20190305135921832"</f>
        <v>20190305135921832</v>
      </c>
      <c r="B4585" t="str">
        <f>"1551765561823791"</f>
        <v>1551765561823791</v>
      </c>
      <c r="C4585" t="s">
        <v>40</v>
      </c>
      <c r="D4585">
        <v>3.631834</v>
      </c>
      <c r="E4585">
        <v>0.44183539999999999</v>
      </c>
      <c r="F4585" t="s">
        <v>83</v>
      </c>
      <c r="G4585">
        <v>-391.5942</v>
      </c>
      <c r="H4585">
        <v>1.0155959999999999</v>
      </c>
      <c r="I4585">
        <v>0.76627539999999905</v>
      </c>
      <c r="J4585">
        <v>-422.5523</v>
      </c>
      <c r="K4585">
        <v>1.11207099999999</v>
      </c>
      <c r="L4585">
        <v>64.728359999999995</v>
      </c>
      <c r="M4585">
        <v>7.1603469999999897E-3</v>
      </c>
      <c r="N4585">
        <v>-1.392818E-2</v>
      </c>
      <c r="O4585">
        <v>-0.99987760000000003</v>
      </c>
      <c r="P4585">
        <v>0.28876810000000003</v>
      </c>
      <c r="Q4585">
        <v>-4.3572239999999998E-2</v>
      </c>
      <c r="R4585">
        <v>-0.95640740000000002</v>
      </c>
      <c r="S4585">
        <v>1.318756</v>
      </c>
      <c r="T4585">
        <v>-4.1077140000000002E-3</v>
      </c>
      <c r="U4585">
        <v>-2.7398989999999999</v>
      </c>
      <c r="V4585">
        <v>-0.2817132</v>
      </c>
      <c r="W4585">
        <v>-3.2021000000000001E-2</v>
      </c>
      <c r="X4585">
        <v>0.95896420000000004</v>
      </c>
      <c r="Y4585">
        <v>-0.42715340000000002</v>
      </c>
      <c r="Z4585">
        <v>-1.255245E-2</v>
      </c>
      <c r="AA4585">
        <v>0.90409200000000001</v>
      </c>
      <c r="AB4585">
        <v>36</v>
      </c>
      <c r="AC4585">
        <v>30.958100000000002</v>
      </c>
      <c r="AD4585">
        <v>-9.6474999999999797E-2</v>
      </c>
      <c r="AE4585">
        <v>-63.962084599999997</v>
      </c>
      <c r="AF4585">
        <v>-30.499214958887901</v>
      </c>
      <c r="AG4585">
        <v>-9.6474999999999797E-2</v>
      </c>
      <c r="AH4585">
        <v>64.182018463735702</v>
      </c>
      <c r="AI4585">
        <v>90.077787805445993</v>
      </c>
      <c r="AJ4585">
        <v>115.417008609798</v>
      </c>
      <c r="AK4585">
        <v>71.060135903426101</v>
      </c>
      <c r="AL4585">
        <v>91.834981820650796</v>
      </c>
      <c r="AM4585">
        <v>106.371111565959</v>
      </c>
      <c r="AN4585">
        <v>1.00000000418844</v>
      </c>
    </row>
    <row r="4586" spans="1:40" x14ac:dyDescent="0.25">
      <c r="A4586" t="str">
        <f>"20190305135921855"</f>
        <v>20190305135921855</v>
      </c>
      <c r="B4586" t="str">
        <f>"1551765561844284"</f>
        <v>1551765561844284</v>
      </c>
      <c r="C4586" t="s">
        <v>40</v>
      </c>
      <c r="D4586">
        <v>3.6400579999999998</v>
      </c>
      <c r="E4586">
        <v>0.442135</v>
      </c>
      <c r="F4586" t="s">
        <v>83</v>
      </c>
      <c r="G4586">
        <v>-391.61880000000002</v>
      </c>
      <c r="H4586">
        <v>1.0343709999999999</v>
      </c>
      <c r="I4586">
        <v>0.76602550000000003</v>
      </c>
      <c r="J4586">
        <v>-422.5471</v>
      </c>
      <c r="K4586">
        <v>1.1121319999999999</v>
      </c>
      <c r="L4586">
        <v>64.380830000000003</v>
      </c>
      <c r="M4586">
        <v>1.0027589999999999E-2</v>
      </c>
      <c r="N4586">
        <v>-1.3939729999999999E-2</v>
      </c>
      <c r="O4586">
        <v>-0.99985270000000004</v>
      </c>
      <c r="P4586">
        <v>0.29142899999999999</v>
      </c>
      <c r="Q4586">
        <v>-4.4596139999999999E-2</v>
      </c>
      <c r="R4586">
        <v>-0.95555250000000003</v>
      </c>
      <c r="S4586">
        <v>1.323639</v>
      </c>
      <c r="T4586">
        <v>-3.3258200000000002E-3</v>
      </c>
      <c r="U4586">
        <v>-2.7369379999999999</v>
      </c>
      <c r="V4586">
        <v>-0.28161920000000001</v>
      </c>
      <c r="W4586">
        <v>-3.3088060000000002E-2</v>
      </c>
      <c r="X4586">
        <v>0.95895560000000002</v>
      </c>
      <c r="Y4586">
        <v>-0.42624990000000001</v>
      </c>
      <c r="Z4586">
        <v>-1.2811400000000001E-2</v>
      </c>
      <c r="AA4586">
        <v>0.9045147</v>
      </c>
      <c r="AB4586">
        <v>36</v>
      </c>
      <c r="AC4586">
        <v>30.928299999999901</v>
      </c>
      <c r="AD4586">
        <v>-7.77609999999999E-2</v>
      </c>
      <c r="AE4586">
        <v>-63.614804499999998</v>
      </c>
      <c r="AF4586">
        <v>-30.288743023044798</v>
      </c>
      <c r="AG4586">
        <v>-7.77609999999999E-2</v>
      </c>
      <c r="AH4586">
        <v>63.921694635099001</v>
      </c>
      <c r="AI4586">
        <v>90.062987166650601</v>
      </c>
      <c r="AJ4586">
        <v>115.35352966409999</v>
      </c>
      <c r="AK4586">
        <v>70.734694780652205</v>
      </c>
      <c r="AL4586">
        <v>91.896152254057299</v>
      </c>
      <c r="AM4586">
        <v>106.366080252334</v>
      </c>
      <c r="AN4586">
        <v>1.0000000181472799</v>
      </c>
    </row>
    <row r="4587" spans="1:40" x14ac:dyDescent="0.25">
      <c r="A4587" t="str">
        <f>"20190305135921888"</f>
        <v>20190305135921888</v>
      </c>
      <c r="B4587" t="str">
        <f>"1551765561883324"</f>
        <v>1551765561883324</v>
      </c>
      <c r="C4587" t="s">
        <v>40</v>
      </c>
      <c r="D4587">
        <v>3.6157050000000002</v>
      </c>
      <c r="E4587">
        <v>0.44268580000000002</v>
      </c>
      <c r="F4587" t="s">
        <v>83</v>
      </c>
      <c r="G4587">
        <v>-391.61500000000001</v>
      </c>
      <c r="H4587">
        <v>0.9373262</v>
      </c>
      <c r="I4587">
        <v>0.76606750000000001</v>
      </c>
      <c r="J4587">
        <v>-422.53699999999998</v>
      </c>
      <c r="K4587">
        <v>1.1122829999999999</v>
      </c>
      <c r="L4587">
        <v>63.856110000000001</v>
      </c>
      <c r="M4587">
        <v>1.461498E-2</v>
      </c>
      <c r="N4587">
        <v>-1.3956410000000001E-2</v>
      </c>
      <c r="O4587">
        <v>-0.99979589999999996</v>
      </c>
      <c r="P4587">
        <v>0.29277969999999998</v>
      </c>
      <c r="Q4587">
        <v>-4.9493710000000003E-2</v>
      </c>
      <c r="R4587">
        <v>-0.95489820000000003</v>
      </c>
      <c r="S4587">
        <v>1.329285</v>
      </c>
      <c r="T4587">
        <v>-7.5131649999999996E-3</v>
      </c>
      <c r="U4587">
        <v>-2.7337950000000002</v>
      </c>
      <c r="V4587">
        <v>-0.27853329999999998</v>
      </c>
      <c r="W4587">
        <v>-3.8043929999999997E-2</v>
      </c>
      <c r="X4587">
        <v>0.95967279999999999</v>
      </c>
      <c r="Y4587">
        <v>-0.42402129999999999</v>
      </c>
      <c r="Z4587">
        <v>-1.1430289999999999E-2</v>
      </c>
      <c r="AA4587">
        <v>0.90558000000000005</v>
      </c>
      <c r="AB4587">
        <v>36</v>
      </c>
      <c r="AC4587">
        <v>30.921999999999901</v>
      </c>
      <c r="AD4587">
        <v>-0.1749568</v>
      </c>
      <c r="AE4587">
        <v>-63.090042500000003</v>
      </c>
      <c r="AF4587">
        <v>-29.996361328759299</v>
      </c>
      <c r="AG4587">
        <v>-0.1749568</v>
      </c>
      <c r="AH4587">
        <v>63.534877307601498</v>
      </c>
      <c r="AI4587">
        <v>90.142673937818302</v>
      </c>
      <c r="AJ4587">
        <v>115.273135892022</v>
      </c>
      <c r="AK4587">
        <v>70.260180311036294</v>
      </c>
      <c r="AL4587">
        <v>92.180282751274703</v>
      </c>
      <c r="AM4587">
        <v>106.18472496424801</v>
      </c>
      <c r="AN4587">
        <v>1.00000001143928</v>
      </c>
    </row>
    <row r="4588" spans="1:40" x14ac:dyDescent="0.25">
      <c r="A4588" t="str">
        <f>"20190305135921911"</f>
        <v>20190305135921911</v>
      </c>
      <c r="B4588" t="str">
        <f>"1551765561903819"</f>
        <v>1551765561903819</v>
      </c>
      <c r="C4588" t="s">
        <v>40</v>
      </c>
      <c r="D4588">
        <v>3.663729</v>
      </c>
      <c r="E4588">
        <v>0.44275769999999998</v>
      </c>
      <c r="F4588" t="s">
        <v>83</v>
      </c>
      <c r="G4588">
        <v>-391.86</v>
      </c>
      <c r="H4588">
        <v>0.52960560000000001</v>
      </c>
      <c r="I4588">
        <v>0.76357269999999999</v>
      </c>
      <c r="J4588">
        <v>-422.5283</v>
      </c>
      <c r="K4588">
        <v>1.112401</v>
      </c>
      <c r="L4588">
        <v>63.487789999999997</v>
      </c>
      <c r="M4588">
        <v>1.800363E-2</v>
      </c>
      <c r="N4588">
        <v>-1.396706E-2</v>
      </c>
      <c r="O4588">
        <v>-0.99974030000000003</v>
      </c>
      <c r="P4588">
        <v>0.29481410000000002</v>
      </c>
      <c r="Q4588">
        <v>-4.9783420000000002E-2</v>
      </c>
      <c r="R4588">
        <v>-0.95425689999999996</v>
      </c>
      <c r="S4588">
        <v>1.328827</v>
      </c>
      <c r="T4588">
        <v>-2.52409E-2</v>
      </c>
      <c r="U4588">
        <v>-2.732971</v>
      </c>
      <c r="V4588">
        <v>-0.27731450000000002</v>
      </c>
      <c r="W4588">
        <v>-3.8384090000000003E-2</v>
      </c>
      <c r="X4588">
        <v>0.96001210000000003</v>
      </c>
      <c r="Y4588">
        <v>-0.42093989999999998</v>
      </c>
      <c r="Z4588">
        <v>-5.5721290000000003E-3</v>
      </c>
      <c r="AA4588">
        <v>0.90707139999999997</v>
      </c>
      <c r="AB4588">
        <v>36</v>
      </c>
      <c r="AC4588">
        <v>30.668299999999899</v>
      </c>
      <c r="AD4588">
        <v>-0.58279539999999996</v>
      </c>
      <c r="AE4588">
        <v>-62.724217299999999</v>
      </c>
      <c r="AF4588">
        <v>-29.5318969271712</v>
      </c>
      <c r="AG4588">
        <v>-0.58279539999999996</v>
      </c>
      <c r="AH4588">
        <v>63.261836004826499</v>
      </c>
      <c r="AI4588">
        <v>90.478274588752001</v>
      </c>
      <c r="AJ4588">
        <v>115.02411224407901</v>
      </c>
      <c r="AK4588">
        <v>69.817852167600293</v>
      </c>
      <c r="AL4588">
        <v>92.199786862195495</v>
      </c>
      <c r="AM4588">
        <v>106.112188235852</v>
      </c>
      <c r="AN4588">
        <v>0.99999995121089202</v>
      </c>
    </row>
    <row r="4589" spans="1:40" x14ac:dyDescent="0.25">
      <c r="A4589" t="str">
        <f>"20190305135921932"</f>
        <v>20190305135921932</v>
      </c>
      <c r="B4589" t="str">
        <f>"1551765561923339"</f>
        <v>1551765561923339</v>
      </c>
      <c r="C4589" t="s">
        <v>40</v>
      </c>
      <c r="D4589">
        <v>3.6343139999999998</v>
      </c>
      <c r="E4589">
        <v>0.44275959999999998</v>
      </c>
      <c r="F4589" t="s">
        <v>83</v>
      </c>
      <c r="G4589">
        <v>-391.88119999999998</v>
      </c>
      <c r="H4589">
        <v>0.49526100000000001</v>
      </c>
      <c r="I4589">
        <v>0.76335909999999996</v>
      </c>
      <c r="J4589">
        <v>-422.51920000000001</v>
      </c>
      <c r="K4589">
        <v>1.1125069999999999</v>
      </c>
      <c r="L4589">
        <v>63.151339999999998</v>
      </c>
      <c r="M4589">
        <v>2.1205519999999999E-2</v>
      </c>
      <c r="N4589">
        <v>-1.3975349999999999E-2</v>
      </c>
      <c r="O4589">
        <v>-0.9996775</v>
      </c>
      <c r="P4589">
        <v>0.29636030000000002</v>
      </c>
      <c r="Q4589">
        <v>-5.0104889999999999E-2</v>
      </c>
      <c r="R4589">
        <v>-0.95376119999999998</v>
      </c>
      <c r="S4589">
        <v>1.334015</v>
      </c>
      <c r="T4589">
        <v>-2.686405E-2</v>
      </c>
      <c r="U4589">
        <v>-2.730286</v>
      </c>
      <c r="V4589">
        <v>-0.27578599999999998</v>
      </c>
      <c r="W4589">
        <v>-3.8739330000000002E-2</v>
      </c>
      <c r="X4589">
        <v>0.96043809999999996</v>
      </c>
      <c r="Y4589">
        <v>-0.41977740000000002</v>
      </c>
      <c r="Z4589">
        <v>-5.0277200000000003E-3</v>
      </c>
      <c r="AA4589">
        <v>0.90761320000000001</v>
      </c>
      <c r="AB4589">
        <v>35</v>
      </c>
      <c r="AC4589">
        <v>30.638000000000002</v>
      </c>
      <c r="AD4589">
        <v>-0.61724599999999996</v>
      </c>
      <c r="AE4589">
        <v>-62.387980900000002</v>
      </c>
      <c r="AF4589">
        <v>-29.305699397060799</v>
      </c>
      <c r="AG4589">
        <v>-0.61724599999999996</v>
      </c>
      <c r="AH4589">
        <v>63.018737630250101</v>
      </c>
      <c r="AI4589">
        <v>90.508847449406503</v>
      </c>
      <c r="AJ4589">
        <v>114.939912565893</v>
      </c>
      <c r="AK4589">
        <v>69.502275518760598</v>
      </c>
      <c r="AL4589">
        <v>92.220155660477502</v>
      </c>
      <c r="AM4589">
        <v>106.02120961694401</v>
      </c>
      <c r="AN4589">
        <v>0.99999999870822898</v>
      </c>
    </row>
    <row r="4590" spans="1:40" x14ac:dyDescent="0.25">
      <c r="A4590" t="str">
        <f>"20190305135921954"</f>
        <v>20190305135921954</v>
      </c>
      <c r="B4590" t="str">
        <f>"1551765561943836"</f>
        <v>1551765561943836</v>
      </c>
      <c r="C4590" t="s">
        <v>40</v>
      </c>
      <c r="D4590">
        <v>3.6424470000000002</v>
      </c>
      <c r="E4590">
        <v>0.44277030000000001</v>
      </c>
      <c r="F4590" t="s">
        <v>83</v>
      </c>
      <c r="G4590">
        <v>-391.90260000000001</v>
      </c>
      <c r="H4590">
        <v>0.46906639999999999</v>
      </c>
      <c r="I4590">
        <v>0.76313779999999998</v>
      </c>
      <c r="J4590">
        <v>-422.5086</v>
      </c>
      <c r="K4590">
        <v>1.112606</v>
      </c>
      <c r="L4590">
        <v>62.804749999999999</v>
      </c>
      <c r="M4590">
        <v>2.459035E-2</v>
      </c>
      <c r="N4590">
        <v>-1.3982339999999999E-2</v>
      </c>
      <c r="O4590">
        <v>-0.99959980000000004</v>
      </c>
      <c r="P4590">
        <v>0.29781659999999999</v>
      </c>
      <c r="Q4590">
        <v>-4.8938219999999998E-2</v>
      </c>
      <c r="R4590">
        <v>-0.95336790000000005</v>
      </c>
      <c r="S4590">
        <v>1.3387450000000001</v>
      </c>
      <c r="T4590">
        <v>-2.8136370000000001E-2</v>
      </c>
      <c r="U4590">
        <v>-2.7279969999999998</v>
      </c>
      <c r="V4590">
        <v>-0.27400180000000002</v>
      </c>
      <c r="W4590">
        <v>-3.759374E-2</v>
      </c>
      <c r="X4590">
        <v>0.96099409999999996</v>
      </c>
      <c r="Y4590">
        <v>-0.41827310000000001</v>
      </c>
      <c r="Z4590">
        <v>-4.5970430000000003E-3</v>
      </c>
      <c r="AA4590">
        <v>0.9083097</v>
      </c>
      <c r="AB4590">
        <v>35</v>
      </c>
      <c r="AC4590">
        <v>30.605999999999899</v>
      </c>
      <c r="AD4590">
        <v>-0.64353959999999999</v>
      </c>
      <c r="AE4590">
        <v>-62.041612200000003</v>
      </c>
      <c r="AF4590">
        <v>-29.068453722716999</v>
      </c>
      <c r="AG4590">
        <v>-0.64353959999999999</v>
      </c>
      <c r="AH4590">
        <v>62.7701019563629</v>
      </c>
      <c r="AI4590">
        <v>90.533017728425605</v>
      </c>
      <c r="AJ4590">
        <v>114.848568587519</v>
      </c>
      <c r="AK4590">
        <v>69.177126600189894</v>
      </c>
      <c r="AL4590">
        <v>92.154470392165706</v>
      </c>
      <c r="AM4590">
        <v>105.914085074974</v>
      </c>
      <c r="AN4590">
        <v>0.99999996796261803</v>
      </c>
    </row>
    <row r="4591" spans="1:40" x14ac:dyDescent="0.25">
      <c r="A4591" t="str">
        <f>"20190305135921977"</f>
        <v>20190305135921977</v>
      </c>
      <c r="B4591" t="str">
        <f>"1551765561974091"</f>
        <v>1551765561974091</v>
      </c>
      <c r="C4591" t="s">
        <v>40</v>
      </c>
      <c r="D4591">
        <v>3.6380509999999999</v>
      </c>
      <c r="E4591">
        <v>0.4425502</v>
      </c>
      <c r="F4591" t="s">
        <v>83</v>
      </c>
      <c r="G4591">
        <v>-391.95769999999999</v>
      </c>
      <c r="H4591">
        <v>0.55096080000000003</v>
      </c>
      <c r="I4591">
        <v>0.76258090000000001</v>
      </c>
      <c r="J4591">
        <v>-422.4966</v>
      </c>
      <c r="K4591">
        <v>1.11269</v>
      </c>
      <c r="L4591">
        <v>62.452640000000002</v>
      </c>
      <c r="M4591">
        <v>2.8094379999999999E-2</v>
      </c>
      <c r="N4591">
        <v>-1.398807E-2</v>
      </c>
      <c r="O4591">
        <v>-0.9995077</v>
      </c>
      <c r="P4591">
        <v>0.29962179999999999</v>
      </c>
      <c r="Q4591">
        <v>-4.7284899999999998E-2</v>
      </c>
      <c r="R4591">
        <v>-0.95288609999999896</v>
      </c>
      <c r="S4591">
        <v>1.3424069999999999</v>
      </c>
      <c r="T4591">
        <v>-2.4679900000000001E-2</v>
      </c>
      <c r="U4591">
        <v>-2.7261350000000002</v>
      </c>
      <c r="V4591">
        <v>-0.27245950000000002</v>
      </c>
      <c r="W4591">
        <v>-3.5953909999999999E-2</v>
      </c>
      <c r="X4591">
        <v>0.96149530000000005</v>
      </c>
      <c r="Y4591">
        <v>-0.41631669999999998</v>
      </c>
      <c r="Z4591">
        <v>-5.7289200000000002E-3</v>
      </c>
      <c r="AA4591">
        <v>0.90920160000000005</v>
      </c>
      <c r="AB4591">
        <v>35</v>
      </c>
      <c r="AC4591">
        <v>30.538900000000002</v>
      </c>
      <c r="AD4591">
        <v>-0.56172919999999904</v>
      </c>
      <c r="AE4591">
        <v>-61.690059099999999</v>
      </c>
      <c r="AF4591">
        <v>-28.7916128191643</v>
      </c>
      <c r="AG4591">
        <v>-0.56172919999999904</v>
      </c>
      <c r="AH4591">
        <v>62.519595487236998</v>
      </c>
      <c r="AI4591">
        <v>90.467582440292801</v>
      </c>
      <c r="AJ4591">
        <v>114.727082905312</v>
      </c>
      <c r="AK4591">
        <v>68.832930551521201</v>
      </c>
      <c r="AL4591">
        <v>92.060451304326605</v>
      </c>
      <c r="AM4591">
        <v>105.82117047467</v>
      </c>
      <c r="AN4591">
        <v>1.00000003735331</v>
      </c>
    </row>
    <row r="4592" spans="1:40" x14ac:dyDescent="0.25">
      <c r="A4592" t="str">
        <f>"20190305135922000"</f>
        <v>20190305135922000</v>
      </c>
      <c r="B4592" t="str">
        <f>"1551765561993626"</f>
        <v>1551765561993626</v>
      </c>
      <c r="C4592" t="s">
        <v>40</v>
      </c>
      <c r="D4592">
        <v>3.6377100000000002</v>
      </c>
      <c r="E4592">
        <v>0.44227670000000002</v>
      </c>
      <c r="F4592" t="s">
        <v>83</v>
      </c>
      <c r="G4592">
        <v>-391.94060000000002</v>
      </c>
      <c r="H4592">
        <v>0.65658589999999994</v>
      </c>
      <c r="I4592">
        <v>0.76275059999999995</v>
      </c>
      <c r="J4592">
        <v>-422.48259999999999</v>
      </c>
      <c r="K4592">
        <v>1.1127549999999999</v>
      </c>
      <c r="L4592">
        <v>62.083500000000001</v>
      </c>
      <c r="M4592">
        <v>3.1813080000000001E-2</v>
      </c>
      <c r="N4592">
        <v>-1.399268E-2</v>
      </c>
      <c r="O4592">
        <v>-0.99939599999999995</v>
      </c>
      <c r="P4592">
        <v>0.30168630000000002</v>
      </c>
      <c r="Q4592">
        <v>-4.4726509999999997E-2</v>
      </c>
      <c r="R4592">
        <v>-0.95235749999999997</v>
      </c>
      <c r="S4592">
        <v>1.348846</v>
      </c>
      <c r="T4592">
        <v>-2.0135159999999999E-2</v>
      </c>
      <c r="U4592">
        <v>-2.7232059999999998</v>
      </c>
      <c r="V4592">
        <v>-0.27097890000000002</v>
      </c>
      <c r="W4592">
        <v>-3.3400859999999997E-2</v>
      </c>
      <c r="X4592">
        <v>0.96200560000000002</v>
      </c>
      <c r="Y4592">
        <v>-0.4150488</v>
      </c>
      <c r="Z4592">
        <v>-7.2210119999999997E-3</v>
      </c>
      <c r="AA4592">
        <v>0.90977050000000004</v>
      </c>
      <c r="AB4592">
        <v>35</v>
      </c>
      <c r="AC4592">
        <v>30.541999999999899</v>
      </c>
      <c r="AD4592">
        <v>-0.45616909999999899</v>
      </c>
      <c r="AE4592">
        <v>-61.320749399999997</v>
      </c>
      <c r="AF4592">
        <v>-28.574278037230201</v>
      </c>
      <c r="AG4592">
        <v>-0.45616909999999899</v>
      </c>
      <c r="AH4592">
        <v>62.258674518589501</v>
      </c>
      <c r="AI4592">
        <v>90.381534514740906</v>
      </c>
      <c r="AJ4592">
        <v>114.653257845385</v>
      </c>
      <c r="AK4592">
        <v>68.504306495346697</v>
      </c>
      <c r="AL4592">
        <v>91.914084362317993</v>
      </c>
      <c r="AM4592">
        <v>105.731530623165</v>
      </c>
      <c r="AN4592">
        <v>0.99999997806265395</v>
      </c>
    </row>
    <row r="4593" spans="1:40" x14ac:dyDescent="0.25">
      <c r="A4593" t="str">
        <f>"20190305135922022"</f>
        <v>20190305135922022</v>
      </c>
      <c r="B4593" t="str">
        <f>"1551765562014107"</f>
        <v>1551765562014107</v>
      </c>
      <c r="C4593" t="s">
        <v>40</v>
      </c>
      <c r="D4593">
        <v>3.6057730000000001</v>
      </c>
      <c r="E4593">
        <v>0.44213669999999999</v>
      </c>
      <c r="F4593" t="s">
        <v>83</v>
      </c>
      <c r="G4593">
        <v>-391.89980000000003</v>
      </c>
      <c r="H4593">
        <v>0.84473869999999895</v>
      </c>
      <c r="I4593">
        <v>0.76316830000000002</v>
      </c>
      <c r="J4593">
        <v>-422.46769999999998</v>
      </c>
      <c r="K4593">
        <v>1.1128020000000001</v>
      </c>
      <c r="L4593">
        <v>61.725769999999997</v>
      </c>
      <c r="M4593">
        <v>3.5436769999999999E-2</v>
      </c>
      <c r="N4593">
        <v>-1.3996099999999999E-2</v>
      </c>
      <c r="O4593">
        <v>-0.99927390000000005</v>
      </c>
      <c r="P4593">
        <v>0.30401879999999998</v>
      </c>
      <c r="Q4593">
        <v>-4.3021410000000003E-2</v>
      </c>
      <c r="R4593">
        <v>-0.95169429999999999</v>
      </c>
      <c r="S4593">
        <v>1.356476</v>
      </c>
      <c r="T4593">
        <v>-1.1888859999999999E-2</v>
      </c>
      <c r="U4593">
        <v>-2.7198180000000001</v>
      </c>
      <c r="V4593">
        <v>-0.2698565</v>
      </c>
      <c r="W4593">
        <v>-3.1698459999999998E-2</v>
      </c>
      <c r="X4593">
        <v>0.96237870000000003</v>
      </c>
      <c r="Y4593">
        <v>-0.41424329999999998</v>
      </c>
      <c r="Z4593">
        <v>-9.9406110000000002E-3</v>
      </c>
      <c r="AA4593">
        <v>0.91011189999999997</v>
      </c>
      <c r="AB4593">
        <v>35</v>
      </c>
      <c r="AC4593">
        <v>30.567899999999899</v>
      </c>
      <c r="AD4593">
        <v>-0.2680633</v>
      </c>
      <c r="AE4593">
        <v>-60.9626017</v>
      </c>
      <c r="AF4593">
        <v>-28.3877292192924</v>
      </c>
      <c r="AG4593">
        <v>-0.2680633</v>
      </c>
      <c r="AH4593">
        <v>62.006680556856203</v>
      </c>
      <c r="AI4593">
        <v>90.225215867103302</v>
      </c>
      <c r="AJ4593">
        <v>114.59912484559</v>
      </c>
      <c r="AK4593">
        <v>68.196506228990103</v>
      </c>
      <c r="AL4593">
        <v>91.816492183921497</v>
      </c>
      <c r="AM4593">
        <v>105.66380066082</v>
      </c>
      <c r="AN4593">
        <v>1.0000000425861499</v>
      </c>
    </row>
    <row r="4594" spans="1:40" x14ac:dyDescent="0.25">
      <c r="A4594" t="str">
        <f>"20190305135922045"</f>
        <v>20190305135922045</v>
      </c>
      <c r="B4594" t="str">
        <f>"1551765562033628"</f>
        <v>1551765562033628</v>
      </c>
      <c r="C4594" t="s">
        <v>40</v>
      </c>
      <c r="D4594">
        <v>3.6597599999999999</v>
      </c>
      <c r="E4594">
        <v>0.44184240000000002</v>
      </c>
      <c r="F4594" t="s">
        <v>83</v>
      </c>
      <c r="G4594">
        <v>-391.8544</v>
      </c>
      <c r="H4594">
        <v>0.97695140000000003</v>
      </c>
      <c r="I4594">
        <v>0.76362989999999997</v>
      </c>
      <c r="J4594">
        <v>-422.4522</v>
      </c>
      <c r="K4594">
        <v>1.1128279999999999</v>
      </c>
      <c r="L4594">
        <v>61.382840000000002</v>
      </c>
      <c r="M4594">
        <v>3.8916359999999997E-2</v>
      </c>
      <c r="N4594">
        <v>-1.399854E-2</v>
      </c>
      <c r="O4594">
        <v>-0.99914440000000004</v>
      </c>
      <c r="P4594">
        <v>0.30689640000000001</v>
      </c>
      <c r="Q4594">
        <v>-4.1521210000000003E-2</v>
      </c>
      <c r="R4594">
        <v>-0.95083689999999998</v>
      </c>
      <c r="S4594">
        <v>1.3640139999999901</v>
      </c>
      <c r="T4594">
        <v>-6.0542819999999898E-3</v>
      </c>
      <c r="U4594">
        <v>-2.7162480000000002</v>
      </c>
      <c r="V4594">
        <v>-0.2694242</v>
      </c>
      <c r="W4594">
        <v>-3.0204680000000001E-2</v>
      </c>
      <c r="X4594">
        <v>0.96254779999999995</v>
      </c>
      <c r="Y4594">
        <v>-0.41356660000000001</v>
      </c>
      <c r="Z4594">
        <v>-1.1862910000000001E-2</v>
      </c>
      <c r="AA4594">
        <v>0.9103966</v>
      </c>
      <c r="AB4594">
        <v>35</v>
      </c>
      <c r="AC4594">
        <v>30.597799999999999</v>
      </c>
      <c r="AD4594">
        <v>-0.13587659999999999</v>
      </c>
      <c r="AE4594">
        <v>-60.619210099999997</v>
      </c>
      <c r="AF4594">
        <v>-28.215193565487901</v>
      </c>
      <c r="AG4594">
        <v>-0.13587659999999999</v>
      </c>
      <c r="AH4594">
        <v>61.763904712792403</v>
      </c>
      <c r="AI4594">
        <v>90.114650235689993</v>
      </c>
      <c r="AJ4594">
        <v>114.55202723075899</v>
      </c>
      <c r="AK4594">
        <v>67.903575279651406</v>
      </c>
      <c r="AL4594">
        <v>91.730863947083193</v>
      </c>
      <c r="AM4594">
        <v>105.63732359317</v>
      </c>
      <c r="AN4594">
        <v>0.99999999476219104</v>
      </c>
    </row>
    <row r="4595" spans="1:40" x14ac:dyDescent="0.25">
      <c r="A4595" t="str">
        <f>"20190305135922067"</f>
        <v>20190305135922067</v>
      </c>
      <c r="B4595" t="str">
        <f>"1551765562063884"</f>
        <v>1551765562063884</v>
      </c>
      <c r="C4595" t="s">
        <v>40</v>
      </c>
      <c r="D4595">
        <v>3.6623990000000002</v>
      </c>
      <c r="E4595">
        <v>0.44134709999999999</v>
      </c>
      <c r="F4595" t="s">
        <v>83</v>
      </c>
      <c r="G4595">
        <v>-391.73349999999999</v>
      </c>
      <c r="H4595">
        <v>1.0204949999999999</v>
      </c>
      <c r="I4595">
        <v>0.76486209999999999</v>
      </c>
      <c r="J4595">
        <v>-422.43520000000001</v>
      </c>
      <c r="K4595">
        <v>1.112846</v>
      </c>
      <c r="L4595">
        <v>61.033290000000001</v>
      </c>
      <c r="M4595">
        <v>4.2462590000000001E-2</v>
      </c>
      <c r="N4595">
        <v>-1.40004E-2</v>
      </c>
      <c r="O4595">
        <v>-0.99900009999999995</v>
      </c>
      <c r="P4595">
        <v>0.30986000000000002</v>
      </c>
      <c r="Q4595">
        <v>-4.1279320000000001E-2</v>
      </c>
      <c r="R4595">
        <v>-0.94988589999999995</v>
      </c>
      <c r="S4595">
        <v>1.3740540000000001</v>
      </c>
      <c r="T4595">
        <v>-4.131198E-3</v>
      </c>
      <c r="U4595">
        <v>-2.7114560000000001</v>
      </c>
      <c r="V4595">
        <v>-0.26900990000000002</v>
      </c>
      <c r="W4595">
        <v>-2.9967500000000001E-2</v>
      </c>
      <c r="X4595">
        <v>0.9626711</v>
      </c>
      <c r="Y4595">
        <v>-0.41366439999999999</v>
      </c>
      <c r="Z4595">
        <v>-1.248871E-2</v>
      </c>
      <c r="AA4595">
        <v>0.91034380000000004</v>
      </c>
      <c r="AB4595">
        <v>35</v>
      </c>
      <c r="AC4595">
        <v>30.701699999999999</v>
      </c>
      <c r="AD4595">
        <v>-9.2350999999999794E-2</v>
      </c>
      <c r="AE4595">
        <v>-60.268427899999999</v>
      </c>
      <c r="AF4595">
        <v>-28.1145469647604</v>
      </c>
      <c r="AG4595">
        <v>-9.2350999999999794E-2</v>
      </c>
      <c r="AH4595">
        <v>61.517745212475603</v>
      </c>
      <c r="AI4595">
        <v>90.078230305515802</v>
      </c>
      <c r="AJ4595">
        <v>114.56112291782</v>
      </c>
      <c r="AK4595">
        <v>67.637779796264695</v>
      </c>
      <c r="AL4595">
        <v>91.717268349710906</v>
      </c>
      <c r="AM4595">
        <v>105.612549186525</v>
      </c>
      <c r="AN4595">
        <v>1.0000000120647301</v>
      </c>
    </row>
    <row r="4596" spans="1:40" x14ac:dyDescent="0.25">
      <c r="A4596" t="str">
        <f>"20190305135922091"</f>
        <v>20190305135922091</v>
      </c>
      <c r="B4596" t="str">
        <f>"1551765562083403"</f>
        <v>1551765562083403</v>
      </c>
      <c r="C4596" t="s">
        <v>40</v>
      </c>
      <c r="D4596">
        <v>3.646531</v>
      </c>
      <c r="E4596">
        <v>0.4410366</v>
      </c>
      <c r="F4596" t="s">
        <v>83</v>
      </c>
      <c r="G4596">
        <v>-391.56540000000001</v>
      </c>
      <c r="H4596">
        <v>0.99424670000000004</v>
      </c>
      <c r="I4596">
        <v>0.766571</v>
      </c>
      <c r="J4596">
        <v>-422.4162</v>
      </c>
      <c r="K4596">
        <v>1.1128629999999999</v>
      </c>
      <c r="L4596">
        <v>60.669800000000002</v>
      </c>
      <c r="M4596">
        <v>4.6150259999999999E-2</v>
      </c>
      <c r="N4596">
        <v>-1.400176E-2</v>
      </c>
      <c r="O4596">
        <v>-0.99883639999999996</v>
      </c>
      <c r="P4596">
        <v>0.31317879999999998</v>
      </c>
      <c r="Q4596">
        <v>-4.1887639999999997E-2</v>
      </c>
      <c r="R4596">
        <v>-0.94877020000000001</v>
      </c>
      <c r="S4596">
        <v>1.3860170000000001</v>
      </c>
      <c r="T4596">
        <v>-5.3261519999999998E-3</v>
      </c>
      <c r="U4596">
        <v>-2.705902</v>
      </c>
      <c r="V4596">
        <v>-0.26881660000000002</v>
      </c>
      <c r="W4596">
        <v>-3.0582379999999999E-2</v>
      </c>
      <c r="X4596">
        <v>0.9627057</v>
      </c>
      <c r="Y4596">
        <v>-0.41425149999999999</v>
      </c>
      <c r="Z4596">
        <v>-1.207916E-2</v>
      </c>
      <c r="AA4596">
        <v>0.91008230000000001</v>
      </c>
      <c r="AB4596">
        <v>35</v>
      </c>
      <c r="AC4596">
        <v>30.8507999999999</v>
      </c>
      <c r="AD4596">
        <v>-0.11861629999999999</v>
      </c>
      <c r="AE4596">
        <v>-59.903229000000003</v>
      </c>
      <c r="AF4596">
        <v>-28.0530148128028</v>
      </c>
      <c r="AG4596">
        <v>-0.11861629999999999</v>
      </c>
      <c r="AH4596">
        <v>61.263112275305197</v>
      </c>
      <c r="AI4596">
        <v>90.100863005994896</v>
      </c>
      <c r="AJ4596">
        <v>114.60353492873099</v>
      </c>
      <c r="AK4596">
        <v>67.380669598710696</v>
      </c>
      <c r="AL4596">
        <v>91.7525146342592</v>
      </c>
      <c r="AM4596">
        <v>105.601343773721</v>
      </c>
      <c r="AN4596">
        <v>0.99999995560725596</v>
      </c>
    </row>
    <row r="4597" spans="1:40" x14ac:dyDescent="0.25">
      <c r="A4597" t="str">
        <f>"20190305135922112"</f>
        <v>20190305135922112</v>
      </c>
      <c r="B4597" t="str">
        <f>"1551765562103900"</f>
        <v>1551765562103900</v>
      </c>
      <c r="C4597" t="s">
        <v>40</v>
      </c>
      <c r="D4597">
        <v>3.7028089999999998</v>
      </c>
      <c r="E4597">
        <v>0.44084780000000001</v>
      </c>
      <c r="F4597" t="s">
        <v>83</v>
      </c>
      <c r="G4597">
        <v>-391.41629999999998</v>
      </c>
      <c r="H4597">
        <v>0.94940210000000003</v>
      </c>
      <c r="I4597">
        <v>0.76808549999999998</v>
      </c>
      <c r="J4597">
        <v>-422.39699999999999</v>
      </c>
      <c r="K4597">
        <v>1.112876</v>
      </c>
      <c r="L4597">
        <v>60.327390000000001</v>
      </c>
      <c r="M4597">
        <v>4.9634890000000001E-2</v>
      </c>
      <c r="N4597">
        <v>-1.400289E-2</v>
      </c>
      <c r="O4597">
        <v>-0.99866920000000003</v>
      </c>
      <c r="P4597">
        <v>0.31609579999999998</v>
      </c>
      <c r="Q4597">
        <v>-4.2066569999999998E-2</v>
      </c>
      <c r="R4597">
        <v>-0.94779400000000003</v>
      </c>
      <c r="S4597">
        <v>1.3974610000000001</v>
      </c>
      <c r="T4597">
        <v>-7.3699949999999998E-3</v>
      </c>
      <c r="U4597">
        <v>-2.700348</v>
      </c>
      <c r="V4597">
        <v>-0.26841710000000002</v>
      </c>
      <c r="W4597">
        <v>-3.076564E-2</v>
      </c>
      <c r="X4597">
        <v>0.96281139999999998</v>
      </c>
      <c r="Y4597">
        <v>-0.41488439999999999</v>
      </c>
      <c r="Z4597">
        <v>-1.1387629999999999E-2</v>
      </c>
      <c r="AA4597">
        <v>0.90980289999999997</v>
      </c>
      <c r="AB4597">
        <v>35</v>
      </c>
      <c r="AC4597">
        <v>30.980699999999999</v>
      </c>
      <c r="AD4597">
        <v>-0.16347389999999901</v>
      </c>
      <c r="AE4597">
        <v>-59.559304500000003</v>
      </c>
      <c r="AF4597">
        <v>-27.985831076963699</v>
      </c>
      <c r="AG4597">
        <v>-0.16347389999999901</v>
      </c>
      <c r="AH4597">
        <v>61.023391719804899</v>
      </c>
      <c r="AI4597">
        <v>90.139515826434504</v>
      </c>
      <c r="AJ4597">
        <v>114.636580654014</v>
      </c>
      <c r="AK4597">
        <v>67.134847894168104</v>
      </c>
      <c r="AL4597">
        <v>91.763019474692797</v>
      </c>
      <c r="AM4597">
        <v>105.57765747883801</v>
      </c>
      <c r="AN4597">
        <v>1.00000002807348</v>
      </c>
    </row>
    <row r="4598" spans="1:40" x14ac:dyDescent="0.25">
      <c r="A4598" t="str">
        <f>"20190305135922133"</f>
        <v>20190305135922133</v>
      </c>
      <c r="B4598" t="str">
        <f>"1551765562123420"</f>
        <v>1551765562123420</v>
      </c>
      <c r="C4598" t="s">
        <v>40</v>
      </c>
      <c r="D4598">
        <v>3.6768740000000002</v>
      </c>
      <c r="E4598">
        <v>0.4406062</v>
      </c>
      <c r="F4598" t="s">
        <v>83</v>
      </c>
      <c r="G4598">
        <v>-391.29899999999998</v>
      </c>
      <c r="H4598">
        <v>0.93634390000000001</v>
      </c>
      <c r="I4598">
        <v>0.7692795</v>
      </c>
      <c r="J4598">
        <v>-422.37740000000002</v>
      </c>
      <c r="K4598">
        <v>1.1128960000000001</v>
      </c>
      <c r="L4598">
        <v>59.997280000000003</v>
      </c>
      <c r="M4598">
        <v>5.30208E-2</v>
      </c>
      <c r="N4598">
        <v>-1.4004269999999999E-2</v>
      </c>
      <c r="O4598">
        <v>-0.99849520000000003</v>
      </c>
      <c r="P4598">
        <v>0.3182644</v>
      </c>
      <c r="Q4598">
        <v>-4.1506809999999998E-2</v>
      </c>
      <c r="R4598">
        <v>-0.94709290000000002</v>
      </c>
      <c r="S4598">
        <v>1.40744</v>
      </c>
      <c r="T4598">
        <v>-7.9907180000000008E-3</v>
      </c>
      <c r="U4598">
        <v>-2.6954959999999999</v>
      </c>
      <c r="V4598">
        <v>-0.2673587</v>
      </c>
      <c r="W4598">
        <v>-3.0205909999999999E-2</v>
      </c>
      <c r="X4598">
        <v>0.96312359999999997</v>
      </c>
      <c r="Y4598">
        <v>-0.41511890000000001</v>
      </c>
      <c r="Z4598">
        <v>-1.1168829999999999E-2</v>
      </c>
      <c r="AA4598">
        <v>0.90969860000000002</v>
      </c>
      <c r="AB4598">
        <v>35</v>
      </c>
      <c r="AC4598">
        <v>31.078399999999899</v>
      </c>
      <c r="AD4598">
        <v>-0.17655209999999899</v>
      </c>
      <c r="AE4598">
        <v>-59.2280005</v>
      </c>
      <c r="AF4598">
        <v>-27.893858478016199</v>
      </c>
      <c r="AG4598">
        <v>-0.17655209999999899</v>
      </c>
      <c r="AH4598">
        <v>60.792214208399201</v>
      </c>
      <c r="AI4598">
        <v>90.151237029566204</v>
      </c>
      <c r="AJ4598">
        <v>114.647518435091</v>
      </c>
      <c r="AK4598">
        <v>66.886409828869603</v>
      </c>
      <c r="AL4598">
        <v>91.730934322495997</v>
      </c>
      <c r="AM4598">
        <v>105.51441064340401</v>
      </c>
      <c r="AN4598">
        <v>1.0000000701707801</v>
      </c>
    </row>
    <row r="4599" spans="1:40" x14ac:dyDescent="0.25">
      <c r="A4599" t="str">
        <f>"20190305135922155"</f>
        <v>20190305135922155</v>
      </c>
      <c r="B4599" t="str">
        <f>"1551765562143916"</f>
        <v>1551765562143916</v>
      </c>
      <c r="C4599" t="s">
        <v>40</v>
      </c>
      <c r="D4599">
        <v>3.7995939999999999</v>
      </c>
      <c r="E4599">
        <v>0.4403743</v>
      </c>
      <c r="F4599" t="s">
        <v>83</v>
      </c>
      <c r="G4599">
        <v>-391.23509999999999</v>
      </c>
      <c r="H4599">
        <v>1.007844</v>
      </c>
      <c r="I4599">
        <v>0.76993180000000006</v>
      </c>
      <c r="J4599">
        <v>-422.35539999999997</v>
      </c>
      <c r="K4599">
        <v>1.112935</v>
      </c>
      <c r="L4599">
        <v>59.64911</v>
      </c>
      <c r="M4599">
        <v>5.6637449999999999E-2</v>
      </c>
      <c r="N4599">
        <v>-1.400623E-2</v>
      </c>
      <c r="O4599">
        <v>-0.99829670000000004</v>
      </c>
      <c r="P4599">
        <v>0.3205481</v>
      </c>
      <c r="Q4599">
        <v>-4.1743160000000001E-2</v>
      </c>
      <c r="R4599">
        <v>-0.94631220000000005</v>
      </c>
      <c r="S4599">
        <v>1.4153439999999999</v>
      </c>
      <c r="T4599">
        <v>-4.7755239999999997E-3</v>
      </c>
      <c r="U4599">
        <v>-2.6917420000000001</v>
      </c>
      <c r="V4599">
        <v>-0.26618960000000003</v>
      </c>
      <c r="W4599">
        <v>-3.0449420000000001E-2</v>
      </c>
      <c r="X4599">
        <v>0.96343959999999995</v>
      </c>
      <c r="Y4599">
        <v>-0.41443600000000003</v>
      </c>
      <c r="Z4599">
        <v>-1.2224540000000001E-2</v>
      </c>
      <c r="AA4599">
        <v>0.90999640000000004</v>
      </c>
      <c r="AB4599">
        <v>35</v>
      </c>
      <c r="AC4599">
        <v>31.120299999999901</v>
      </c>
      <c r="AD4599">
        <v>-0.105091</v>
      </c>
      <c r="AE4599">
        <v>-58.879178199999998</v>
      </c>
      <c r="AF4599">
        <v>-27.735173991370299</v>
      </c>
      <c r="AG4599">
        <v>-0.105091</v>
      </c>
      <c r="AH4599">
        <v>60.547243811024998</v>
      </c>
      <c r="AI4599">
        <v>90.090412977285197</v>
      </c>
      <c r="AJ4599">
        <v>114.61132803157901</v>
      </c>
      <c r="AK4599">
        <v>66.597444797541399</v>
      </c>
      <c r="AL4599">
        <v>91.744893018387202</v>
      </c>
      <c r="AM4599">
        <v>105.444991776048</v>
      </c>
      <c r="AN4599">
        <v>0.99999996658732704</v>
      </c>
    </row>
    <row r="4600" spans="1:40" x14ac:dyDescent="0.25">
      <c r="A4600" t="str">
        <f>"20190305135922179"</f>
        <v>20190305135922179</v>
      </c>
      <c r="B4600" t="str">
        <f>"1551765562174171"</f>
        <v>1551765562174171</v>
      </c>
      <c r="C4600" t="s">
        <v>40</v>
      </c>
      <c r="D4600">
        <v>3.9011170000000002</v>
      </c>
      <c r="E4600">
        <v>0.50060729999999998</v>
      </c>
      <c r="F4600" t="s">
        <v>83</v>
      </c>
      <c r="G4600">
        <v>-391.18169999999998</v>
      </c>
      <c r="H4600">
        <v>0.97389720000000002</v>
      </c>
      <c r="I4600">
        <v>0.77046969999999904</v>
      </c>
      <c r="J4600">
        <v>-422.33199999999999</v>
      </c>
      <c r="K4600">
        <v>1.112989</v>
      </c>
      <c r="L4600">
        <v>59.298340000000003</v>
      </c>
      <c r="M4600">
        <v>6.0345580000000003E-2</v>
      </c>
      <c r="N4600">
        <v>-1.400876E-2</v>
      </c>
      <c r="O4600">
        <v>-0.99807939999999995</v>
      </c>
      <c r="P4600">
        <v>0.322322099999999</v>
      </c>
      <c r="Q4600">
        <v>-4.2541420000000003E-2</v>
      </c>
      <c r="R4600">
        <v>-0.94567369999999995</v>
      </c>
      <c r="S4600">
        <v>1.4231259999999999</v>
      </c>
      <c r="T4600">
        <v>-6.3483719999999997E-3</v>
      </c>
      <c r="U4600">
        <v>-2.687897</v>
      </c>
      <c r="V4600">
        <v>-0.26440920000000001</v>
      </c>
      <c r="W4600">
        <v>-3.125526E-2</v>
      </c>
      <c r="X4600">
        <v>0.96390399999999998</v>
      </c>
      <c r="Y4600">
        <v>-0.41365299999999999</v>
      </c>
      <c r="Z4600">
        <v>-1.1689420000000001E-2</v>
      </c>
      <c r="AA4600">
        <v>0.91035960000000005</v>
      </c>
      <c r="AB4600">
        <v>35</v>
      </c>
      <c r="AC4600">
        <v>31.150300000000001</v>
      </c>
      <c r="AD4600">
        <v>-0.13909179999999999</v>
      </c>
      <c r="AE4600">
        <v>-58.527870299999996</v>
      </c>
      <c r="AF4600">
        <v>-27.561153221372201</v>
      </c>
      <c r="AG4600">
        <v>-0.13909179999999999</v>
      </c>
      <c r="AH4600">
        <v>60.3008866622162</v>
      </c>
      <c r="AI4600">
        <v>90.1201998328863</v>
      </c>
      <c r="AJ4600">
        <v>114.56326799479299</v>
      </c>
      <c r="AK4600">
        <v>66.301081783559397</v>
      </c>
      <c r="AL4600">
        <v>91.791086148789901</v>
      </c>
      <c r="AM4600">
        <v>105.33952859431101</v>
      </c>
      <c r="AN4600">
        <v>1.00000001876915</v>
      </c>
    </row>
    <row r="4601" spans="1:40" x14ac:dyDescent="0.25">
      <c r="A4601" t="str">
        <f>"20190305135922201"</f>
        <v>20190305135922201</v>
      </c>
      <c r="B4601" t="str">
        <f>"1551765562193695"</f>
        <v>1551765562193695</v>
      </c>
      <c r="C4601" t="s">
        <v>40</v>
      </c>
      <c r="D4601">
        <v>3.8916559999999998</v>
      </c>
      <c r="E4601">
        <v>0.52204759999999995</v>
      </c>
      <c r="F4601" t="s">
        <v>82</v>
      </c>
      <c r="G4601">
        <v>-411.16320000000002</v>
      </c>
      <c r="H4601" s="1">
        <v>-1.004109E-5</v>
      </c>
      <c r="I4601">
        <v>26.436610000000002</v>
      </c>
      <c r="J4601">
        <v>-422.30680000000001</v>
      </c>
      <c r="K4601">
        <v>1.1130599999999999</v>
      </c>
      <c r="L4601">
        <v>58.943759999999997</v>
      </c>
      <c r="M4601">
        <v>6.4176339999999998E-2</v>
      </c>
      <c r="N4601">
        <v>-1.401177E-2</v>
      </c>
      <c r="O4601">
        <v>-0.99784030000000001</v>
      </c>
      <c r="P4601">
        <v>0.32489089999999998</v>
      </c>
      <c r="Q4601">
        <v>-4.2837149999999997E-2</v>
      </c>
      <c r="R4601">
        <v>-0.94478090000000003</v>
      </c>
      <c r="S4601">
        <v>0.96493530000000005</v>
      </c>
      <c r="T4601">
        <v>-9.6158270000000004E-2</v>
      </c>
      <c r="U4601">
        <v>-2.8391109999999999</v>
      </c>
      <c r="V4601">
        <v>-0.26332349999999999</v>
      </c>
      <c r="W4601">
        <v>-3.1572049999999997E-2</v>
      </c>
      <c r="X4601">
        <v>0.96419080000000001</v>
      </c>
      <c r="Y4601">
        <v>-0.26022620000000002</v>
      </c>
      <c r="Z4601">
        <v>1.839795E-2</v>
      </c>
      <c r="AA4601">
        <v>0.96537240000000002</v>
      </c>
      <c r="AB4601">
        <v>35</v>
      </c>
      <c r="AC4601">
        <v>11.1435999999999</v>
      </c>
      <c r="AD4601">
        <v>-1.1130700410900001</v>
      </c>
      <c r="AE4601">
        <v>-32.507150000000003</v>
      </c>
      <c r="AF4601">
        <v>-9.0247610088794694</v>
      </c>
      <c r="AG4601">
        <v>-1.1130700410900001</v>
      </c>
      <c r="AH4601">
        <v>33.120603179220801</v>
      </c>
      <c r="AI4601">
        <v>91.857132210927205</v>
      </c>
      <c r="AJ4601">
        <v>105.24202613016701</v>
      </c>
      <c r="AK4601">
        <v>34.346172874705701</v>
      </c>
      <c r="AL4601">
        <v>91.809245912135495</v>
      </c>
      <c r="AM4601">
        <v>105.27515953392501</v>
      </c>
      <c r="AN4601">
        <v>0.99999997939904595</v>
      </c>
    </row>
    <row r="4602" spans="1:40" x14ac:dyDescent="0.25">
      <c r="A4602" t="str">
        <f>"20190305135922222"</f>
        <v>20190305135922222</v>
      </c>
      <c r="B4602" t="str">
        <f>"1551765562214188"</f>
        <v>1551765562214188</v>
      </c>
      <c r="C4602" t="s">
        <v>40</v>
      </c>
      <c r="D4602">
        <v>3.8056070000000002</v>
      </c>
      <c r="E4602">
        <v>0.53049279999999999</v>
      </c>
      <c r="F4602" t="s">
        <v>82</v>
      </c>
      <c r="G4602">
        <v>-414.9803</v>
      </c>
      <c r="H4602" s="1">
        <v>-5.24302699999999E-6</v>
      </c>
      <c r="I4602">
        <v>32.726700000000001</v>
      </c>
      <c r="J4602">
        <v>-422.28109999999998</v>
      </c>
      <c r="K4602">
        <v>1.1131260000000001</v>
      </c>
      <c r="L4602">
        <v>58.601990000000001</v>
      </c>
      <c r="M4602">
        <v>6.7933419999999994E-2</v>
      </c>
      <c r="N4602">
        <v>-1.4014540000000001E-2</v>
      </c>
      <c r="O4602">
        <v>-0.99759140000000002</v>
      </c>
      <c r="P4602">
        <v>0.32790459999999999</v>
      </c>
      <c r="Q4602">
        <v>-4.2860139999999998E-2</v>
      </c>
      <c r="R4602">
        <v>-0.94373819999999997</v>
      </c>
      <c r="S4602">
        <v>0.80813599999999997</v>
      </c>
      <c r="T4602">
        <v>-0.1227756</v>
      </c>
      <c r="U4602">
        <v>-2.8918460000000001</v>
      </c>
      <c r="V4602">
        <v>-0.26276640000000001</v>
      </c>
      <c r="W4602">
        <v>-3.1619040000000001E-2</v>
      </c>
      <c r="X4602">
        <v>0.96434129999999996</v>
      </c>
      <c r="Y4602">
        <v>-0.20291090000000001</v>
      </c>
      <c r="Z4602">
        <v>2.7168649999999999E-2</v>
      </c>
      <c r="AA4602">
        <v>0.97882020000000003</v>
      </c>
      <c r="AB4602">
        <v>35</v>
      </c>
      <c r="AC4602">
        <v>7.3007999999999802</v>
      </c>
      <c r="AD4602">
        <v>-1.113131243027</v>
      </c>
      <c r="AE4602">
        <v>-25.87529</v>
      </c>
      <c r="AF4602">
        <v>-5.5165049061814804</v>
      </c>
      <c r="AG4602">
        <v>-1.113131243027</v>
      </c>
      <c r="AH4602">
        <v>26.266494282392198</v>
      </c>
      <c r="AI4602">
        <v>92.374899448595599</v>
      </c>
      <c r="AJ4602">
        <v>101.860909592608</v>
      </c>
      <c r="AK4602">
        <v>26.862606154859002</v>
      </c>
      <c r="AL4602">
        <v>91.811939469044603</v>
      </c>
      <c r="AM4602">
        <v>105.24207939944201</v>
      </c>
      <c r="AN4602">
        <v>1.00000004377258</v>
      </c>
    </row>
    <row r="4603" spans="1:40" x14ac:dyDescent="0.25">
      <c r="A4603" t="str">
        <f>"20190305135922245"</f>
        <v>20190305135922245</v>
      </c>
      <c r="B4603" t="str">
        <f>"1551765562233707"</f>
        <v>1551765562233707</v>
      </c>
      <c r="C4603" t="s">
        <v>40</v>
      </c>
      <c r="D4603">
        <v>3.8223630000000002</v>
      </c>
      <c r="E4603">
        <v>0.53385939999999998</v>
      </c>
      <c r="F4603" t="s">
        <v>82</v>
      </c>
      <c r="G4603">
        <v>-414.88099999999997</v>
      </c>
      <c r="H4603" s="1">
        <v>-6.3558019999999998E-6</v>
      </c>
      <c r="I4603">
        <v>30.042719999999999</v>
      </c>
      <c r="J4603">
        <v>-422.25439999999998</v>
      </c>
      <c r="K4603">
        <v>1.113181</v>
      </c>
      <c r="L4603">
        <v>58.264679999999998</v>
      </c>
      <c r="M4603">
        <v>7.1697789999999997E-2</v>
      </c>
      <c r="N4603">
        <v>-1.4016600000000001E-2</v>
      </c>
      <c r="O4603">
        <v>-0.99732810000000005</v>
      </c>
      <c r="P4603">
        <v>0.33172839999999998</v>
      </c>
      <c r="Q4603">
        <v>-4.1600480000000002E-2</v>
      </c>
      <c r="R4603">
        <v>-0.94245749999999995</v>
      </c>
      <c r="S4603">
        <v>0.75442500000000001</v>
      </c>
      <c r="T4603">
        <v>-0.1134816</v>
      </c>
      <c r="U4603">
        <v>-2.9115600000000001</v>
      </c>
      <c r="V4603">
        <v>-0.2630403</v>
      </c>
      <c r="W4603">
        <v>-3.0388499999999999E-2</v>
      </c>
      <c r="X4603">
        <v>0.96430610000000005</v>
      </c>
      <c r="Y4603">
        <v>-0.1806355</v>
      </c>
      <c r="Z4603">
        <v>2.3970000000000002E-2</v>
      </c>
      <c r="AA4603">
        <v>0.98325799999999997</v>
      </c>
      <c r="AB4603">
        <v>35</v>
      </c>
      <c r="AC4603">
        <v>7.3734000000000002</v>
      </c>
      <c r="AD4603">
        <v>-1.113187355802</v>
      </c>
      <c r="AE4603">
        <v>-28.221959999999999</v>
      </c>
      <c r="AF4603">
        <v>-5.3230169973957198</v>
      </c>
      <c r="AG4603">
        <v>-1.113187355802</v>
      </c>
      <c r="AH4603">
        <v>28.636315675842301</v>
      </c>
      <c r="AI4603">
        <v>92.188699493256905</v>
      </c>
      <c r="AJ4603">
        <v>100.530152984</v>
      </c>
      <c r="AK4603">
        <v>29.1481092273611</v>
      </c>
      <c r="AL4603">
        <v>91.741400959333802</v>
      </c>
      <c r="AM4603">
        <v>105.25775813761101</v>
      </c>
      <c r="AN4603">
        <v>0.99999995742677406</v>
      </c>
    </row>
    <row r="4604" spans="1:40" x14ac:dyDescent="0.25">
      <c r="A4604" t="str">
        <f>"20190305135922268"</f>
        <v>20190305135922268</v>
      </c>
      <c r="B4604" t="str">
        <f>"1551765562263964"</f>
        <v>1551765562263964</v>
      </c>
      <c r="C4604" t="s">
        <v>40</v>
      </c>
      <c r="D4604">
        <v>3.854393</v>
      </c>
      <c r="E4604">
        <v>0.5358098</v>
      </c>
      <c r="F4604" t="s">
        <v>82</v>
      </c>
      <c r="G4604">
        <v>-414.4205</v>
      </c>
      <c r="H4604" s="1">
        <v>-8.9861410000000007E-6</v>
      </c>
      <c r="I4604">
        <v>27.443349999999999</v>
      </c>
      <c r="J4604">
        <v>-422.2242</v>
      </c>
      <c r="K4604">
        <v>1.113227</v>
      </c>
      <c r="L4604">
        <v>57.901060000000001</v>
      </c>
      <c r="M4604">
        <v>7.5806419999999999E-2</v>
      </c>
      <c r="N4604">
        <v>-1.401809E-2</v>
      </c>
      <c r="O4604">
        <v>-0.99702409999999997</v>
      </c>
      <c r="P4604">
        <v>0.33642040000000001</v>
      </c>
      <c r="Q4604">
        <v>-4.0729630000000003E-2</v>
      </c>
      <c r="R4604">
        <v>-0.94083090000000003</v>
      </c>
      <c r="S4604">
        <v>0.74154659999999994</v>
      </c>
      <c r="T4604">
        <v>-0.1053733</v>
      </c>
      <c r="U4604">
        <v>-2.9175110000000002</v>
      </c>
      <c r="V4604">
        <v>-0.26387359999999999</v>
      </c>
      <c r="W4604">
        <v>-2.9549559999999999E-2</v>
      </c>
      <c r="X4604">
        <v>0.96410450000000003</v>
      </c>
      <c r="Y4604">
        <v>-0.1720382</v>
      </c>
      <c r="Z4604">
        <v>2.123193E-2</v>
      </c>
      <c r="AA4604">
        <v>0.9848614</v>
      </c>
      <c r="AB4604">
        <v>35</v>
      </c>
      <c r="AC4604">
        <v>7.8036999999999903</v>
      </c>
      <c r="AD4604">
        <v>-1.1132359861409999</v>
      </c>
      <c r="AE4604">
        <v>-30.457709999999999</v>
      </c>
      <c r="AF4604">
        <v>-5.4652728176739602</v>
      </c>
      <c r="AG4604">
        <v>-1.1132359861409999</v>
      </c>
      <c r="AH4604">
        <v>30.9229152811956</v>
      </c>
      <c r="AI4604">
        <v>92.030338530757305</v>
      </c>
      <c r="AJ4604">
        <v>100.02287140407</v>
      </c>
      <c r="AK4604">
        <v>31.421890312653801</v>
      </c>
      <c r="AL4604">
        <v>91.693311612754997</v>
      </c>
      <c r="AM4604">
        <v>105.30688099179601</v>
      </c>
      <c r="AN4604">
        <v>0.99999997009670105</v>
      </c>
    </row>
    <row r="4605" spans="1:40" x14ac:dyDescent="0.25">
      <c r="A4605" t="str">
        <f>"20190305135922290"</f>
        <v>20190305135922290</v>
      </c>
      <c r="B4605" t="str">
        <f>"1551765562283484"</f>
        <v>1551765562283484</v>
      </c>
      <c r="C4605" t="s">
        <v>40</v>
      </c>
      <c r="D4605">
        <v>3.8647649999999998</v>
      </c>
      <c r="E4605">
        <v>0.53701359999999998</v>
      </c>
      <c r="F4605" t="s">
        <v>82</v>
      </c>
      <c r="G4605">
        <v>-416.09010000000001</v>
      </c>
      <c r="H4605" s="1">
        <v>-4.527092E-6</v>
      </c>
      <c r="I4605">
        <v>33.648859999999999</v>
      </c>
      <c r="J4605">
        <v>-422.19420000000002</v>
      </c>
      <c r="K4605">
        <v>1.113254</v>
      </c>
      <c r="L4605">
        <v>57.556429999999999</v>
      </c>
      <c r="M4605">
        <v>7.9732819999999996E-2</v>
      </c>
      <c r="N4605">
        <v>-1.401899E-2</v>
      </c>
      <c r="O4605">
        <v>-0.99671779999999999</v>
      </c>
      <c r="P4605">
        <v>0.34125260000000002</v>
      </c>
      <c r="Q4605">
        <v>-3.8607870000000002E-2</v>
      </c>
      <c r="R4605">
        <v>-0.93917850000000003</v>
      </c>
      <c r="S4605">
        <v>0.73828130000000003</v>
      </c>
      <c r="T4605">
        <v>-0.13398489999999999</v>
      </c>
      <c r="U4605">
        <v>-2.9189150000000001</v>
      </c>
      <c r="V4605">
        <v>-0.26504179999999999</v>
      </c>
      <c r="W4605">
        <v>-2.7455859999999999E-2</v>
      </c>
      <c r="X4605">
        <v>0.96384599999999998</v>
      </c>
      <c r="Y4605">
        <v>-0.1669378</v>
      </c>
      <c r="Z4605">
        <v>3.0742749999999999E-2</v>
      </c>
      <c r="AA4605">
        <v>0.98548800000000003</v>
      </c>
      <c r="AB4605">
        <v>35</v>
      </c>
      <c r="AC4605">
        <v>6.1041000000000096</v>
      </c>
      <c r="AD4605">
        <v>-1.1132585270919999</v>
      </c>
      <c r="AE4605">
        <v>-23.90757</v>
      </c>
      <c r="AF4605">
        <v>-4.1697692480841999</v>
      </c>
      <c r="AG4605">
        <v>-1.1132585270919999</v>
      </c>
      <c r="AH4605">
        <v>24.2687828993135</v>
      </c>
      <c r="AI4605">
        <v>92.588555497379005</v>
      </c>
      <c r="AJ4605">
        <v>99.749150731890595</v>
      </c>
      <c r="AK4605">
        <v>24.649546518027901</v>
      </c>
      <c r="AL4605">
        <v>91.573302536582702</v>
      </c>
      <c r="AM4605">
        <v>105.375375286984</v>
      </c>
      <c r="AN4605">
        <v>1.0000000458557801</v>
      </c>
    </row>
    <row r="4606" spans="1:40" x14ac:dyDescent="0.25">
      <c r="A4606" t="str">
        <f>"20190305135922312"</f>
        <v>20190305135922312</v>
      </c>
      <c r="B4606" t="str">
        <f>"1551765562303983"</f>
        <v>1551765562303983</v>
      </c>
      <c r="C4606" t="s">
        <v>40</v>
      </c>
      <c r="D4606">
        <v>3.8322020000000001</v>
      </c>
      <c r="E4606">
        <v>0.53752319999999998</v>
      </c>
      <c r="F4606" t="s">
        <v>82</v>
      </c>
      <c r="G4606">
        <v>-415.8605</v>
      </c>
      <c r="H4606" s="1">
        <v>-5.0529829999999999E-6</v>
      </c>
      <c r="I4606">
        <v>32.716670000000001</v>
      </c>
      <c r="J4606">
        <v>-422.16300000000001</v>
      </c>
      <c r="K4606">
        <v>1.1132709999999999</v>
      </c>
      <c r="L4606">
        <v>57.213990000000003</v>
      </c>
      <c r="M4606">
        <v>8.3648879999999995E-2</v>
      </c>
      <c r="N4606">
        <v>-1.401938E-2</v>
      </c>
      <c r="O4606">
        <v>-0.99639690000000003</v>
      </c>
      <c r="P4606">
        <v>0.34644000000000003</v>
      </c>
      <c r="Q4606">
        <v>-3.6844189999999999E-2</v>
      </c>
      <c r="R4606">
        <v>-0.93734850000000003</v>
      </c>
      <c r="S4606">
        <v>0.74417109999999997</v>
      </c>
      <c r="T4606">
        <v>-0.1308011</v>
      </c>
      <c r="U4606">
        <v>-2.9185180000000002</v>
      </c>
      <c r="V4606">
        <v>-0.26659060000000001</v>
      </c>
      <c r="W4606">
        <v>-2.5719619999999999E-2</v>
      </c>
      <c r="X4606">
        <v>0.96346659999999995</v>
      </c>
      <c r="Y4606">
        <v>-0.16497329999999999</v>
      </c>
      <c r="Z4606">
        <v>2.9672960000000002E-2</v>
      </c>
      <c r="AA4606">
        <v>0.98585160000000005</v>
      </c>
      <c r="AB4606">
        <v>35</v>
      </c>
      <c r="AC4606">
        <v>6.3025000000000002</v>
      </c>
      <c r="AD4606">
        <v>-1.1132760529829999</v>
      </c>
      <c r="AE4606">
        <v>-24.497319999999998</v>
      </c>
      <c r="AF4606">
        <v>-4.2228531642969998</v>
      </c>
      <c r="AG4606">
        <v>-1.1132760529829999</v>
      </c>
      <c r="AH4606">
        <v>24.8904825389758</v>
      </c>
      <c r="AI4606">
        <v>92.524927435868307</v>
      </c>
      <c r="AJ4606">
        <v>99.628962956301606</v>
      </c>
      <c r="AK4606">
        <v>25.270694360076799</v>
      </c>
      <c r="AL4606">
        <v>91.473788239051899</v>
      </c>
      <c r="AM4606">
        <v>105.466732866431</v>
      </c>
      <c r="AN4606">
        <v>0.99999996808843095</v>
      </c>
    </row>
    <row r="4607" spans="1:40" x14ac:dyDescent="0.25">
      <c r="A4607" t="str">
        <f>"20190305135922334"</f>
        <v>20190305135922334</v>
      </c>
      <c r="B4607" t="str">
        <f>"1551765562323500"</f>
        <v>1551765562323500</v>
      </c>
      <c r="C4607" t="s">
        <v>40</v>
      </c>
      <c r="D4607">
        <v>3.826403</v>
      </c>
      <c r="E4607">
        <v>0.53839550000000003</v>
      </c>
      <c r="F4607" t="s">
        <v>82</v>
      </c>
      <c r="G4607">
        <v>-416.04640000000001</v>
      </c>
      <c r="H4607" s="1">
        <v>-4.5599839999999999E-6</v>
      </c>
      <c r="I4607">
        <v>33.603340000000003</v>
      </c>
      <c r="J4607">
        <v>-422.1311</v>
      </c>
      <c r="K4607">
        <v>1.113273</v>
      </c>
      <c r="L4607">
        <v>56.878660000000004</v>
      </c>
      <c r="M4607">
        <v>8.7480550000000004E-2</v>
      </c>
      <c r="N4607">
        <v>-1.4019169999999999E-2</v>
      </c>
      <c r="O4607">
        <v>-0.99606760000000005</v>
      </c>
      <c r="P4607">
        <v>0.35035620000000001</v>
      </c>
      <c r="Q4607">
        <v>-3.6616620000000002E-2</v>
      </c>
      <c r="R4607">
        <v>-0.93590039999999997</v>
      </c>
      <c r="S4607">
        <v>0.75540160000000001</v>
      </c>
      <c r="T4607">
        <v>-0.13748850000000001</v>
      </c>
      <c r="U4607">
        <v>-2.9158940000000002</v>
      </c>
      <c r="V4607">
        <v>-0.2669147</v>
      </c>
      <c r="W4607">
        <v>-2.5498860000000002E-2</v>
      </c>
      <c r="X4607">
        <v>0.96338279999999998</v>
      </c>
      <c r="Y4607">
        <v>-0.1649341</v>
      </c>
      <c r="Z4607">
        <v>3.1900360000000003E-2</v>
      </c>
      <c r="AA4607">
        <v>0.98578860000000001</v>
      </c>
      <c r="AB4607">
        <v>35</v>
      </c>
      <c r="AC4607">
        <v>6.08469999999999</v>
      </c>
      <c r="AD4607">
        <v>-1.1132775599839999</v>
      </c>
      <c r="AE4607">
        <v>-23.275319999999901</v>
      </c>
      <c r="AF4607">
        <v>-4.0164292576500804</v>
      </c>
      <c r="AG4607">
        <v>-1.1132775599839999</v>
      </c>
      <c r="AH4607">
        <v>23.667732398641999</v>
      </c>
      <c r="AI4607">
        <v>92.655175750013299</v>
      </c>
      <c r="AJ4607">
        <v>99.631374015953597</v>
      </c>
      <c r="AK4607">
        <v>24.031908950414302</v>
      </c>
      <c r="AL4607">
        <v>91.461135376078204</v>
      </c>
      <c r="AM4607">
        <v>105.485916605673</v>
      </c>
      <c r="AN4607">
        <v>1.00000003413661</v>
      </c>
    </row>
    <row r="4608" spans="1:40" x14ac:dyDescent="0.25">
      <c r="A4608" t="str">
        <f>"20190305135922356"</f>
        <v>20190305135922356</v>
      </c>
      <c r="B4608" t="str">
        <f>"1551765562353756"</f>
        <v>1551765562353756</v>
      </c>
      <c r="C4608" t="s">
        <v>40</v>
      </c>
      <c r="D4608">
        <v>3.7876029999999998</v>
      </c>
      <c r="E4608">
        <v>0.53937139999999995</v>
      </c>
      <c r="F4608" t="s">
        <v>82</v>
      </c>
      <c r="G4608">
        <v>-416.02569999999997</v>
      </c>
      <c r="H4608" s="1">
        <v>-4.6265469999999999E-6</v>
      </c>
      <c r="I4608">
        <v>33.48169</v>
      </c>
      <c r="J4608">
        <v>-422.09750000000003</v>
      </c>
      <c r="K4608">
        <v>1.1132610000000001</v>
      </c>
      <c r="L4608">
        <v>56.538600000000002</v>
      </c>
      <c r="M4608">
        <v>9.134602E-2</v>
      </c>
      <c r="N4608">
        <v>-1.4018269999999999E-2</v>
      </c>
      <c r="O4608">
        <v>-0.99572070000000001</v>
      </c>
      <c r="P4608">
        <v>0.35380800000000001</v>
      </c>
      <c r="Q4608">
        <v>-3.7055619999999997E-2</v>
      </c>
      <c r="R4608">
        <v>-0.93458379999999996</v>
      </c>
      <c r="S4608">
        <v>0.76074219999999904</v>
      </c>
      <c r="T4608">
        <v>-0.13871539999999999</v>
      </c>
      <c r="U4608">
        <v>-2.9152830000000001</v>
      </c>
      <c r="V4608">
        <v>-0.26672879999999999</v>
      </c>
      <c r="W4608">
        <v>-2.5931940000000001E-2</v>
      </c>
      <c r="X4608">
        <v>0.96342269999999997</v>
      </c>
      <c r="Y4608">
        <v>-0.1628444</v>
      </c>
      <c r="Z4608">
        <v>3.2299710000000002E-2</v>
      </c>
      <c r="AA4608">
        <v>0.98612290000000002</v>
      </c>
      <c r="AB4608">
        <v>35</v>
      </c>
      <c r="AC4608">
        <v>6.0718000000000503</v>
      </c>
      <c r="AD4608">
        <v>-1.113265626547</v>
      </c>
      <c r="AE4608">
        <v>-23.056909999999998</v>
      </c>
      <c r="AF4608">
        <v>-3.9314754968344001</v>
      </c>
      <c r="AG4608">
        <v>-1.113265626547</v>
      </c>
      <c r="AH4608">
        <v>23.4640302588016</v>
      </c>
      <c r="AI4608">
        <v>92.679106222040005</v>
      </c>
      <c r="AJ4608">
        <v>99.5117419704887</v>
      </c>
      <c r="AK4608">
        <v>23.817148778210498</v>
      </c>
      <c r="AL4608">
        <v>91.485957278098994</v>
      </c>
      <c r="AM4608">
        <v>105.475037952419</v>
      </c>
      <c r="AN4608">
        <v>1.00000000856844</v>
      </c>
    </row>
    <row r="4609" spans="1:40" x14ac:dyDescent="0.25">
      <c r="A4609" t="str">
        <f>"20190305135922380"</f>
        <v>20190305135922380</v>
      </c>
      <c r="B4609" t="str">
        <f>"1551765562373279"</f>
        <v>1551765562373279</v>
      </c>
      <c r="C4609" t="s">
        <v>40</v>
      </c>
      <c r="D4609">
        <v>3.7952170000000001</v>
      </c>
      <c r="E4609">
        <v>0.53998210000000002</v>
      </c>
      <c r="F4609" t="s">
        <v>82</v>
      </c>
      <c r="G4609">
        <v>-416.04509999999999</v>
      </c>
      <c r="H4609" s="1">
        <v>-4.6383579999999996E-6</v>
      </c>
      <c r="I4609">
        <v>33.450060000000001</v>
      </c>
      <c r="J4609">
        <v>-422.06020000000001</v>
      </c>
      <c r="K4609">
        <v>1.113227</v>
      </c>
      <c r="L4609">
        <v>56.175569999999901</v>
      </c>
      <c r="M4609">
        <v>9.5426910000000004E-2</v>
      </c>
      <c r="N4609">
        <v>-1.401639E-2</v>
      </c>
      <c r="O4609">
        <v>-0.9953379</v>
      </c>
      <c r="P4609">
        <v>0.35646129999999998</v>
      </c>
      <c r="Q4609">
        <v>-3.8293029999999999E-2</v>
      </c>
      <c r="R4609">
        <v>-0.93352480000000004</v>
      </c>
      <c r="S4609">
        <v>0.76416019999999996</v>
      </c>
      <c r="T4609">
        <v>-0.14055799999999999</v>
      </c>
      <c r="U4609">
        <v>-2.9150999999999998</v>
      </c>
      <c r="V4609">
        <v>-0.26551229999999998</v>
      </c>
      <c r="W4609">
        <v>-2.7140930000000001E-2</v>
      </c>
      <c r="X4609">
        <v>0.96372530000000001</v>
      </c>
      <c r="Y4609">
        <v>-0.15989220000000001</v>
      </c>
      <c r="Z4609">
        <v>3.2901989999999999E-2</v>
      </c>
      <c r="AA4609">
        <v>0.98658599999999996</v>
      </c>
      <c r="AB4609">
        <v>35</v>
      </c>
      <c r="AC4609">
        <v>6.0151000000000101</v>
      </c>
      <c r="AD4609">
        <v>-1.1132316383580001</v>
      </c>
      <c r="AE4609">
        <v>-22.72551</v>
      </c>
      <c r="AF4609">
        <v>-3.8102617996114398</v>
      </c>
      <c r="AG4609">
        <v>-1.1132316383580001</v>
      </c>
      <c r="AH4609">
        <v>23.1439383194013</v>
      </c>
      <c r="AI4609">
        <v>92.7173019407834</v>
      </c>
      <c r="AJ4609">
        <v>99.348927627214294</v>
      </c>
      <c r="AK4609">
        <v>23.481892185138602</v>
      </c>
      <c r="AL4609">
        <v>91.555251826493603</v>
      </c>
      <c r="AM4609">
        <v>105.403211993442</v>
      </c>
      <c r="AN4609">
        <v>0.99999993269632004</v>
      </c>
    </row>
    <row r="4610" spans="1:40" x14ac:dyDescent="0.25">
      <c r="A4610" t="str">
        <f>"20190305135922401"</f>
        <v>20190305135922401</v>
      </c>
      <c r="B4610" t="str">
        <f>"1551765562393776"</f>
        <v>1551765562393776</v>
      </c>
      <c r="C4610" t="s">
        <v>40</v>
      </c>
      <c r="D4610">
        <v>3.7316150000000001</v>
      </c>
      <c r="E4610">
        <v>0.54052599999999995</v>
      </c>
      <c r="F4610" t="s">
        <v>82</v>
      </c>
      <c r="G4610">
        <v>-416.24310000000003</v>
      </c>
      <c r="H4610" s="1">
        <v>-4.2683430000000004E-6</v>
      </c>
      <c r="I4610">
        <v>34.090089999999996</v>
      </c>
      <c r="J4610">
        <v>-422.024</v>
      </c>
      <c r="K4610">
        <v>1.1131789999999999</v>
      </c>
      <c r="L4610">
        <v>55.837220000000002</v>
      </c>
      <c r="M4610">
        <v>9.9164050000000004E-2</v>
      </c>
      <c r="N4610">
        <v>-1.4013629999999999E-2</v>
      </c>
      <c r="O4610">
        <v>-0.99497259999999998</v>
      </c>
      <c r="P4610">
        <v>0.35793160000000002</v>
      </c>
      <c r="Q4610">
        <v>-3.9943590000000001E-2</v>
      </c>
      <c r="R4610">
        <v>-0.93289330000000004</v>
      </c>
      <c r="S4610">
        <v>0.76763919999999997</v>
      </c>
      <c r="T4610">
        <v>-0.14690510000000001</v>
      </c>
      <c r="U4610">
        <v>-2.9144589999999999</v>
      </c>
      <c r="V4610">
        <v>-0.26340669999999999</v>
      </c>
      <c r="W4610">
        <v>-2.874297E-2</v>
      </c>
      <c r="X4610">
        <v>0.96425660000000002</v>
      </c>
      <c r="Y4610">
        <v>-0.15732009999999999</v>
      </c>
      <c r="Z4610">
        <v>3.500524E-2</v>
      </c>
      <c r="AA4610">
        <v>0.98692709999999995</v>
      </c>
      <c r="AB4610">
        <v>35</v>
      </c>
      <c r="AC4610">
        <v>5.7808999999999697</v>
      </c>
      <c r="AD4610">
        <v>-1.1131832683429901</v>
      </c>
      <c r="AE4610">
        <v>-21.747129999999899</v>
      </c>
      <c r="AF4610">
        <v>-3.5868780778677598</v>
      </c>
      <c r="AG4610">
        <v>-1.1131832683429901</v>
      </c>
      <c r="AH4610">
        <v>22.159004666897999</v>
      </c>
      <c r="AI4610">
        <v>92.839010606744793</v>
      </c>
      <c r="AJ4610">
        <v>99.194715026901903</v>
      </c>
      <c r="AK4610">
        <v>22.475016332853102</v>
      </c>
      <c r="AL4610">
        <v>91.647077684166504</v>
      </c>
      <c r="AM4610">
        <v>105.278766381586</v>
      </c>
      <c r="AN4610">
        <v>1.00000001928643</v>
      </c>
    </row>
    <row r="4611" spans="1:40" x14ac:dyDescent="0.25">
      <c r="A4611" t="str">
        <f>"20190305135922424"</f>
        <v>20190305135922424</v>
      </c>
      <c r="B4611" t="str">
        <f>"1551765562414268"</f>
        <v>1551765562414268</v>
      </c>
      <c r="C4611" t="s">
        <v>40</v>
      </c>
      <c r="D4611">
        <v>3.8129499999999998</v>
      </c>
      <c r="E4611">
        <v>0.54099299999999995</v>
      </c>
      <c r="F4611" t="s">
        <v>82</v>
      </c>
      <c r="G4611">
        <v>-416.43799999999999</v>
      </c>
      <c r="H4611" s="1">
        <v>-3.9420830000000001E-6</v>
      </c>
      <c r="I4611">
        <v>34.643590000000003</v>
      </c>
      <c r="J4611">
        <v>-421.98630000000003</v>
      </c>
      <c r="K4611">
        <v>1.113119</v>
      </c>
      <c r="L4611">
        <v>55.495820000000002</v>
      </c>
      <c r="M4611">
        <v>0.10286919999999999</v>
      </c>
      <c r="N4611">
        <v>-1.4010170000000001E-2</v>
      </c>
      <c r="O4611">
        <v>-0.99459640000000005</v>
      </c>
      <c r="P4611">
        <v>0.35905740000000003</v>
      </c>
      <c r="Q4611">
        <v>-4.0800879999999998E-2</v>
      </c>
      <c r="R4611">
        <v>-0.93242340000000001</v>
      </c>
      <c r="S4611">
        <v>0.76818850000000005</v>
      </c>
      <c r="T4611">
        <v>-0.15308339999999901</v>
      </c>
      <c r="U4611">
        <v>-2.91452</v>
      </c>
      <c r="V4611">
        <v>-0.26097989999999999</v>
      </c>
      <c r="W4611">
        <v>-2.9540980000000001E-2</v>
      </c>
      <c r="X4611">
        <v>0.96489210000000003</v>
      </c>
      <c r="Y4611">
        <v>-0.15379039999999999</v>
      </c>
      <c r="Z4611">
        <v>3.704814E-2</v>
      </c>
      <c r="AA4611">
        <v>0.98740870000000003</v>
      </c>
      <c r="AB4611">
        <v>35</v>
      </c>
      <c r="AC4611">
        <v>5.5482999999999798</v>
      </c>
      <c r="AD4611">
        <v>-1.113122942083</v>
      </c>
      <c r="AE4611">
        <v>-20.852229999999899</v>
      </c>
      <c r="AF4611">
        <v>-3.36464357718171</v>
      </c>
      <c r="AG4611">
        <v>-1.113122942083</v>
      </c>
      <c r="AH4611">
        <v>21.255824473636501</v>
      </c>
      <c r="AI4611">
        <v>92.960922478767202</v>
      </c>
      <c r="AJ4611">
        <v>98.994876776216401</v>
      </c>
      <c r="AK4611">
        <v>21.549244607171399</v>
      </c>
      <c r="AL4611">
        <v>91.692819798425703</v>
      </c>
      <c r="AM4611">
        <v>105.134977626153</v>
      </c>
      <c r="AN4611">
        <v>0.99999997117288897</v>
      </c>
    </row>
    <row r="4612" spans="1:40" x14ac:dyDescent="0.25">
      <c r="A4612" t="str">
        <f>"20190305135922446"</f>
        <v>20190305135922446</v>
      </c>
      <c r="B4612" t="str">
        <f>"1551765562433788"</f>
        <v>1551765562433788</v>
      </c>
      <c r="C4612" t="s">
        <v>40</v>
      </c>
      <c r="D4612">
        <v>3.8199619999999999</v>
      </c>
      <c r="E4612">
        <v>0.59437249999999997</v>
      </c>
      <c r="F4612" t="s">
        <v>82</v>
      </c>
      <c r="G4612">
        <v>-416.64280000000002</v>
      </c>
      <c r="H4612" s="1">
        <v>-3.5901350000000001E-6</v>
      </c>
      <c r="I4612">
        <v>35.204070000000002</v>
      </c>
      <c r="J4612">
        <v>-421.9486</v>
      </c>
      <c r="K4612">
        <v>1.1130469999999999</v>
      </c>
      <c r="L4612">
        <v>55.165410000000001</v>
      </c>
      <c r="M4612">
        <v>0.1063581</v>
      </c>
      <c r="N4612">
        <v>-1.4006269999999999E-2</v>
      </c>
      <c r="O4612">
        <v>-0.99422940000000004</v>
      </c>
      <c r="P4612">
        <v>0.35891200000000001</v>
      </c>
      <c r="Q4612">
        <v>-4.0065480000000001E-2</v>
      </c>
      <c r="R4612">
        <v>-0.93251130000000004</v>
      </c>
      <c r="S4612">
        <v>0.76757810000000004</v>
      </c>
      <c r="T4612">
        <v>-0.15989539999999999</v>
      </c>
      <c r="U4612">
        <v>-2.914825</v>
      </c>
      <c r="V4612">
        <v>-0.25745220000000002</v>
      </c>
      <c r="W4612">
        <v>-2.8722620000000001E-2</v>
      </c>
      <c r="X4612">
        <v>0.9658641</v>
      </c>
      <c r="Y4612">
        <v>-0.1500812</v>
      </c>
      <c r="Z4612">
        <v>3.9298270000000003E-2</v>
      </c>
      <c r="AA4612">
        <v>0.98789229999999995</v>
      </c>
      <c r="AB4612">
        <v>35</v>
      </c>
      <c r="AC4612">
        <v>5.3057999999999703</v>
      </c>
      <c r="AD4612">
        <v>-1.1130505901350001</v>
      </c>
      <c r="AE4612">
        <v>-19.96134</v>
      </c>
      <c r="AF4612">
        <v>-3.1433125822072898</v>
      </c>
      <c r="AG4612">
        <v>-1.1130505901350001</v>
      </c>
      <c r="AH4612">
        <v>20.353358018987201</v>
      </c>
      <c r="AI4612">
        <v>93.093576169589696</v>
      </c>
      <c r="AJ4612">
        <v>98.7792324169137</v>
      </c>
      <c r="AK4612">
        <v>20.624705531345899</v>
      </c>
      <c r="AL4612">
        <v>91.645911196206995</v>
      </c>
      <c r="AM4612">
        <v>104.925238535509</v>
      </c>
      <c r="AN4612">
        <v>1.0000000419266499</v>
      </c>
    </row>
    <row r="4613" spans="1:40" x14ac:dyDescent="0.25">
      <c r="A4613" t="str">
        <f>"20190305135922469"</f>
        <v>20190305135922469</v>
      </c>
      <c r="B4613" t="str">
        <f>"1551765562464045"</f>
        <v>1551765562464045</v>
      </c>
      <c r="C4613" t="s">
        <v>40</v>
      </c>
      <c r="D4613">
        <v>3.7185609999999998</v>
      </c>
      <c r="E4613">
        <v>0.59709669999999904</v>
      </c>
      <c r="F4613" t="s">
        <v>82</v>
      </c>
      <c r="G4613">
        <v>-418.34379999999999</v>
      </c>
      <c r="H4613" s="1">
        <v>-7.3876269999999999E-6</v>
      </c>
      <c r="I4613">
        <v>25.474879999999999</v>
      </c>
      <c r="J4613">
        <v>-421.90660000000003</v>
      </c>
      <c r="K4613">
        <v>1.1129340000000001</v>
      </c>
      <c r="L4613">
        <v>54.806789999999999</v>
      </c>
      <c r="M4613">
        <v>0.10998670000000001</v>
      </c>
      <c r="N4613">
        <v>-1.400063E-2</v>
      </c>
      <c r="O4613">
        <v>-0.99383440000000001</v>
      </c>
      <c r="P4613">
        <v>0.35813600000000001</v>
      </c>
      <c r="Q4613">
        <v>-3.9829410000000003E-2</v>
      </c>
      <c r="R4613">
        <v>-0.93281950000000002</v>
      </c>
      <c r="S4613">
        <v>0.37258910000000001</v>
      </c>
      <c r="T4613">
        <v>-0.1150432</v>
      </c>
      <c r="U4613">
        <v>-3.068756</v>
      </c>
      <c r="V4613">
        <v>-0.25313069999999999</v>
      </c>
      <c r="W4613">
        <v>-2.8373010000000001E-2</v>
      </c>
      <c r="X4613">
        <v>0.96701590000000004</v>
      </c>
      <c r="Y4613">
        <v>-1.056551E-2</v>
      </c>
      <c r="Z4613">
        <v>2.308398E-2</v>
      </c>
      <c r="AA4613">
        <v>0.9996777</v>
      </c>
      <c r="AB4613">
        <v>35</v>
      </c>
      <c r="AC4613">
        <v>3.5628000000000299</v>
      </c>
      <c r="AD4613">
        <v>-1.112941387627</v>
      </c>
      <c r="AE4613">
        <v>-29.331909999999901</v>
      </c>
      <c r="AF4613">
        <v>-0.314298170834025</v>
      </c>
      <c r="AG4613">
        <v>-1.112941387627</v>
      </c>
      <c r="AH4613">
        <v>29.503960575684602</v>
      </c>
      <c r="AI4613">
        <v>92.160151075128198</v>
      </c>
      <c r="AJ4613">
        <v>90.610334246845795</v>
      </c>
      <c r="AK4613">
        <v>29.526617001004901</v>
      </c>
      <c r="AL4613">
        <v>91.625871977238802</v>
      </c>
      <c r="AM4613">
        <v>104.668887103654</v>
      </c>
      <c r="AN4613">
        <v>0.99999996491587895</v>
      </c>
    </row>
    <row r="4614" spans="1:40" x14ac:dyDescent="0.25">
      <c r="A4614" t="str">
        <f>"20190305135922492"</f>
        <v>20190305135922492</v>
      </c>
      <c r="B4614" t="str">
        <f>"1551765562483564"</f>
        <v>1551765562483564</v>
      </c>
      <c r="C4614" t="s">
        <v>40</v>
      </c>
      <c r="D4614">
        <v>3.7228819999999998</v>
      </c>
      <c r="E4614">
        <v>0.59761049999999905</v>
      </c>
      <c r="F4614" t="s">
        <v>82</v>
      </c>
      <c r="G4614">
        <v>-418.47710000000001</v>
      </c>
      <c r="H4614" s="1">
        <v>-7.2462369999999997E-6</v>
      </c>
      <c r="I4614">
        <v>24.633949999999999</v>
      </c>
      <c r="J4614">
        <v>-421.86369999999999</v>
      </c>
      <c r="K4614">
        <v>1.1127860000000001</v>
      </c>
      <c r="L4614">
        <v>54.450899999999997</v>
      </c>
      <c r="M4614">
        <v>0.1133676</v>
      </c>
      <c r="N4614">
        <v>-1.39931E-2</v>
      </c>
      <c r="O4614">
        <v>-0.99345479999999997</v>
      </c>
      <c r="P4614">
        <v>0.35747879999999999</v>
      </c>
      <c r="Q4614">
        <v>-4.0388029999999998E-2</v>
      </c>
      <c r="R4614">
        <v>-0.93304759999999998</v>
      </c>
      <c r="S4614">
        <v>0.34973140000000003</v>
      </c>
      <c r="T4614">
        <v>-0.1134955</v>
      </c>
      <c r="U4614">
        <v>-3.076965</v>
      </c>
      <c r="V4614">
        <v>-0.2491679</v>
      </c>
      <c r="W4614">
        <v>-2.879872E-2</v>
      </c>
      <c r="X4614">
        <v>0.968032</v>
      </c>
      <c r="Y4614">
        <v>4.7614290000000002E-4</v>
      </c>
      <c r="Z4614">
        <v>2.2490409999999999E-2</v>
      </c>
      <c r="AA4614">
        <v>0.99974689999999999</v>
      </c>
      <c r="AB4614">
        <v>35</v>
      </c>
      <c r="AC4614">
        <v>3.3865999999999801</v>
      </c>
      <c r="AD4614">
        <v>-1.1127932462369901</v>
      </c>
      <c r="AE4614">
        <v>-29.816949999999999</v>
      </c>
      <c r="AF4614">
        <v>1.58218260492697E-2</v>
      </c>
      <c r="AG4614">
        <v>-1.1127932462369901</v>
      </c>
      <c r="AH4614">
        <v>29.9674456365202</v>
      </c>
      <c r="AI4614">
        <v>92.126609900439803</v>
      </c>
      <c r="AJ4614">
        <v>89.969749714954702</v>
      </c>
      <c r="AK4614">
        <v>29.9881035932058</v>
      </c>
      <c r="AL4614">
        <v>91.650273310126806</v>
      </c>
      <c r="AM4614">
        <v>104.43439536808</v>
      </c>
      <c r="AN4614">
        <v>0.99999998084402397</v>
      </c>
    </row>
    <row r="4615" spans="1:40" x14ac:dyDescent="0.25">
      <c r="A4615" t="str">
        <f>"20190305135922512"</f>
        <v>20190305135922512</v>
      </c>
      <c r="B4615" t="str">
        <f>"1551765562504060"</f>
        <v>1551765562504060</v>
      </c>
      <c r="C4615" t="s">
        <v>40</v>
      </c>
      <c r="D4615">
        <v>3.6851539999999998</v>
      </c>
      <c r="E4615">
        <v>0.59774469999999902</v>
      </c>
      <c r="F4615" t="s">
        <v>82</v>
      </c>
      <c r="G4615">
        <v>-418.4796</v>
      </c>
      <c r="H4615" s="1">
        <v>-7.1909589999999998E-6</v>
      </c>
      <c r="I4615">
        <v>24.150020000000001</v>
      </c>
      <c r="J4615">
        <v>-421.8252</v>
      </c>
      <c r="K4615">
        <v>1.1125969999999901</v>
      </c>
      <c r="L4615">
        <v>54.137149999999998</v>
      </c>
      <c r="M4615">
        <v>0.1161003</v>
      </c>
      <c r="N4615">
        <v>-1.398493E-2</v>
      </c>
      <c r="O4615">
        <v>-0.99313910000000005</v>
      </c>
      <c r="P4615">
        <v>0.35678369999999998</v>
      </c>
      <c r="Q4615">
        <v>-4.1796319999999998E-2</v>
      </c>
      <c r="R4615">
        <v>-0.93325150000000001</v>
      </c>
      <c r="S4615">
        <v>0.34384160000000002</v>
      </c>
      <c r="T4615">
        <v>-0.1130625</v>
      </c>
      <c r="U4615">
        <v>-3.0786440000000002</v>
      </c>
      <c r="V4615">
        <v>-0.24579409999999999</v>
      </c>
      <c r="W4615">
        <v>-3.0065580000000001E-2</v>
      </c>
      <c r="X4615">
        <v>0.96885569999999999</v>
      </c>
      <c r="Y4615">
        <v>5.1750429999999998E-3</v>
      </c>
      <c r="Z4615">
        <v>2.232715E-2</v>
      </c>
      <c r="AA4615">
        <v>0.99973730000000005</v>
      </c>
      <c r="AB4615">
        <v>35</v>
      </c>
      <c r="AC4615">
        <v>3.3455999999999899</v>
      </c>
      <c r="AD4615">
        <v>-1.1126041909590001</v>
      </c>
      <c r="AE4615">
        <v>-29.987130000000001</v>
      </c>
      <c r="AF4615">
        <v>0.15866840431245699</v>
      </c>
      <c r="AG4615">
        <v>-1.1126041909590001</v>
      </c>
      <c r="AH4615">
        <v>30.131795390371501</v>
      </c>
      <c r="AI4615">
        <v>92.114633164064003</v>
      </c>
      <c r="AJ4615">
        <v>89.698293919593794</v>
      </c>
      <c r="AK4615">
        <v>30.1527470920227</v>
      </c>
      <c r="AL4615">
        <v>91.722890434059906</v>
      </c>
      <c r="AM4615">
        <v>104.235338149692</v>
      </c>
      <c r="AN4615">
        <v>1.00000002305901</v>
      </c>
    </row>
    <row r="4616" spans="1:40" x14ac:dyDescent="0.25">
      <c r="A4616" t="str">
        <f>"20190305135922536"</f>
        <v>20190305135922536</v>
      </c>
      <c r="B4616" t="str">
        <f>"1551765562523580"</f>
        <v>1551765562523580</v>
      </c>
      <c r="C4616" t="s">
        <v>40</v>
      </c>
      <c r="D4616">
        <v>3.68235</v>
      </c>
      <c r="E4616">
        <v>0.5978812</v>
      </c>
      <c r="F4616" t="s">
        <v>82</v>
      </c>
      <c r="G4616">
        <v>-418.53519999999997</v>
      </c>
      <c r="H4616" s="1">
        <v>-7.2001879999999998E-6</v>
      </c>
      <c r="I4616">
        <v>24.405830000000002</v>
      </c>
      <c r="J4616">
        <v>-421.78120000000001</v>
      </c>
      <c r="K4616">
        <v>1.112325</v>
      </c>
      <c r="L4616">
        <v>53.784970000000001</v>
      </c>
      <c r="M4616">
        <v>0.1188188</v>
      </c>
      <c r="N4616">
        <v>-1.3974459999999999E-2</v>
      </c>
      <c r="O4616">
        <v>-0.99281770000000003</v>
      </c>
      <c r="P4616">
        <v>0.35643900000000001</v>
      </c>
      <c r="Q4616">
        <v>-4.3722039999999997E-2</v>
      </c>
      <c r="R4616">
        <v>-0.93329519999999999</v>
      </c>
      <c r="S4616">
        <v>0.3407288</v>
      </c>
      <c r="T4616">
        <v>-0.11522830000000001</v>
      </c>
      <c r="U4616">
        <v>-3.0791629999999999</v>
      </c>
      <c r="V4616">
        <v>-0.2428013</v>
      </c>
      <c r="W4616">
        <v>-3.1807309999999998E-2</v>
      </c>
      <c r="X4616">
        <v>0.96955440000000004</v>
      </c>
      <c r="Y4616">
        <v>8.9299540000000004E-3</v>
      </c>
      <c r="Z4616">
        <v>2.3009370000000001E-2</v>
      </c>
      <c r="AA4616">
        <v>0.99969540000000001</v>
      </c>
      <c r="AB4616">
        <v>35</v>
      </c>
      <c r="AC4616">
        <v>3.2460000000000302</v>
      </c>
      <c r="AD4616">
        <v>-1.1123322001880001</v>
      </c>
      <c r="AE4616">
        <v>-29.37914</v>
      </c>
      <c r="AF4616">
        <v>0.267754872699</v>
      </c>
      <c r="AG4616">
        <v>-1.1123322001880001</v>
      </c>
      <c r="AH4616">
        <v>29.514900836592201</v>
      </c>
      <c r="AI4616">
        <v>92.158203906041607</v>
      </c>
      <c r="AJ4616">
        <v>89.480235308869894</v>
      </c>
      <c r="AK4616">
        <v>29.5370673390115</v>
      </c>
      <c r="AL4616">
        <v>91.822732134634705</v>
      </c>
      <c r="AM4616">
        <v>104.059195041325</v>
      </c>
      <c r="AN4616">
        <v>0.999999955405242</v>
      </c>
    </row>
    <row r="4617" spans="1:40" x14ac:dyDescent="0.25">
      <c r="A4617" t="str">
        <f>"20190305135922557"</f>
        <v>20190305135922557</v>
      </c>
      <c r="B4617" t="str">
        <f>"1551765562553836"</f>
        <v>1551765562553836</v>
      </c>
      <c r="C4617" t="s">
        <v>40</v>
      </c>
      <c r="D4617">
        <v>3.7124100000000002</v>
      </c>
      <c r="E4617">
        <v>0.59828199999999998</v>
      </c>
      <c r="F4617" t="s">
        <v>82</v>
      </c>
      <c r="G4617">
        <v>-418.95119999999997</v>
      </c>
      <c r="H4617" s="1">
        <v>-7.45330299999999E-6</v>
      </c>
      <c r="I4617">
        <v>27.954229999999999</v>
      </c>
      <c r="J4617">
        <v>-421.73869999999999</v>
      </c>
      <c r="K4617">
        <v>1.1120000000000001</v>
      </c>
      <c r="L4617">
        <v>53.449370000000002</v>
      </c>
      <c r="M4617">
        <v>0.1209755</v>
      </c>
      <c r="N4617">
        <v>-1.396386E-2</v>
      </c>
      <c r="O4617">
        <v>-0.99255740000000003</v>
      </c>
      <c r="P4617">
        <v>0.35635719999999999</v>
      </c>
      <c r="Q4617">
        <v>-4.468478E-2</v>
      </c>
      <c r="R4617">
        <v>-0.93328089999999997</v>
      </c>
      <c r="S4617">
        <v>0.3373718</v>
      </c>
      <c r="T4617">
        <v>-0.1326039</v>
      </c>
      <c r="U4617">
        <v>-3.0793460000000001</v>
      </c>
      <c r="V4617">
        <v>-0.24063590000000001</v>
      </c>
      <c r="W4617">
        <v>-3.2564620000000002E-2</v>
      </c>
      <c r="X4617">
        <v>0.97006910000000002</v>
      </c>
      <c r="Y4617">
        <v>1.2199669999999999E-2</v>
      </c>
      <c r="Z4617">
        <v>2.8558449999999999E-2</v>
      </c>
      <c r="AA4617">
        <v>0.99951769999999995</v>
      </c>
      <c r="AB4617">
        <v>35</v>
      </c>
      <c r="AC4617">
        <v>2.7875000000000201</v>
      </c>
      <c r="AD4617">
        <v>-1.112007453303</v>
      </c>
      <c r="AE4617">
        <v>-25.495139999999999</v>
      </c>
      <c r="AF4617">
        <v>0.31696860249917702</v>
      </c>
      <c r="AG4617">
        <v>-1.112007453303</v>
      </c>
      <c r="AH4617">
        <v>25.596985879093499</v>
      </c>
      <c r="AI4617">
        <v>92.4873406030338</v>
      </c>
      <c r="AJ4617">
        <v>89.290540102396704</v>
      </c>
      <c r="AK4617">
        <v>25.623089504696399</v>
      </c>
      <c r="AL4617">
        <v>91.866145073954101</v>
      </c>
      <c r="AM4617">
        <v>103.931611561682</v>
      </c>
      <c r="AN4617">
        <v>1.00000007480967</v>
      </c>
    </row>
    <row r="4618" spans="1:40" x14ac:dyDescent="0.25">
      <c r="A4618" t="str">
        <f>"20190305135922581"</f>
        <v>20190305135922581</v>
      </c>
      <c r="B4618" t="str">
        <f>"1551765562573359"</f>
        <v>1551765562573359</v>
      </c>
      <c r="C4618" t="s">
        <v>40</v>
      </c>
      <c r="D4618">
        <v>3.6818300000000002</v>
      </c>
      <c r="E4618">
        <v>0.59833119999999995</v>
      </c>
      <c r="F4618" t="s">
        <v>82</v>
      </c>
      <c r="G4618">
        <v>-419.01240000000001</v>
      </c>
      <c r="H4618" s="1">
        <v>-7.4725559999999999E-6</v>
      </c>
      <c r="I4618">
        <v>28.316549999999999</v>
      </c>
      <c r="J4618">
        <v>-421.69310000000002</v>
      </c>
      <c r="K4618">
        <v>1.111583</v>
      </c>
      <c r="L4618">
        <v>53.091250000000002</v>
      </c>
      <c r="M4618">
        <v>0.12266870000000001</v>
      </c>
      <c r="N4618">
        <v>-1.3953119999999999E-2</v>
      </c>
      <c r="O4618">
        <v>-0.9923497</v>
      </c>
      <c r="P4618">
        <v>0.35718870000000003</v>
      </c>
      <c r="Q4618">
        <v>-4.4360620000000003E-2</v>
      </c>
      <c r="R4618">
        <v>-0.93297830000000004</v>
      </c>
      <c r="S4618">
        <v>0.33413700000000002</v>
      </c>
      <c r="T4618">
        <v>-0.13629089999999999</v>
      </c>
      <c r="U4618">
        <v>-3.0803530000000001</v>
      </c>
      <c r="V4618">
        <v>-0.2398798</v>
      </c>
      <c r="W4618">
        <v>-3.1990020000000001E-2</v>
      </c>
      <c r="X4618">
        <v>0.97027540000000001</v>
      </c>
      <c r="Y4618">
        <v>1.4980790000000001E-2</v>
      </c>
      <c r="Z4618">
        <v>2.9721150000000002E-2</v>
      </c>
      <c r="AA4618">
        <v>0.99944599999999995</v>
      </c>
      <c r="AB4618">
        <v>35</v>
      </c>
      <c r="AC4618">
        <v>2.6806999999999999</v>
      </c>
      <c r="AD4618">
        <v>-1.111590472556</v>
      </c>
      <c r="AE4618">
        <v>-24.774699999999999</v>
      </c>
      <c r="AF4618">
        <v>0.37817274393467198</v>
      </c>
      <c r="AG4618">
        <v>-1.111590472556</v>
      </c>
      <c r="AH4618">
        <v>24.866945687140401</v>
      </c>
      <c r="AI4618">
        <v>92.559209449774102</v>
      </c>
      <c r="AJ4618">
        <v>89.128721627778503</v>
      </c>
      <c r="AK4618">
        <v>24.894650746899899</v>
      </c>
      <c r="AL4618">
        <v>91.833205866224503</v>
      </c>
      <c r="AM4618">
        <v>103.88669572570799</v>
      </c>
      <c r="AN4618">
        <v>1.0000000158364</v>
      </c>
    </row>
    <row r="4619" spans="1:40" x14ac:dyDescent="0.25">
      <c r="A4619" t="str">
        <f>"20190305135922602"</f>
        <v>20190305135922602</v>
      </c>
      <c r="B4619" t="str">
        <f>"1551765562593856"</f>
        <v>1551765562593856</v>
      </c>
      <c r="C4619" t="s">
        <v>40</v>
      </c>
      <c r="D4619">
        <v>3.6616810000000002</v>
      </c>
      <c r="E4619">
        <v>0.5982885</v>
      </c>
      <c r="F4619" t="s">
        <v>82</v>
      </c>
      <c r="G4619">
        <v>-419.16559999999998</v>
      </c>
      <c r="H4619" s="1">
        <v>-5.750007E-6</v>
      </c>
      <c r="I4619">
        <v>29.875160000000001</v>
      </c>
      <c r="J4619">
        <v>-421.65109999999999</v>
      </c>
      <c r="K4619">
        <v>1.1111740000000001</v>
      </c>
      <c r="L4619">
        <v>52.762149999999998</v>
      </c>
      <c r="M4619">
        <v>0.1237014</v>
      </c>
      <c r="N4619">
        <v>-1.3945259999999999E-2</v>
      </c>
      <c r="O4619">
        <v>-0.99222180000000004</v>
      </c>
      <c r="P4619">
        <v>0.35836600000000002</v>
      </c>
      <c r="Q4619">
        <v>-4.2599560000000002E-2</v>
      </c>
      <c r="R4619">
        <v>-0.93260900000000002</v>
      </c>
      <c r="S4619">
        <v>0.33532709999999999</v>
      </c>
      <c r="T4619">
        <v>-0.147476</v>
      </c>
      <c r="U4619">
        <v>-3.0801090000000002</v>
      </c>
      <c r="V4619">
        <v>-0.24012459999999999</v>
      </c>
      <c r="W4619">
        <v>-2.9982689999999999E-2</v>
      </c>
      <c r="X4619">
        <v>0.97027890000000006</v>
      </c>
      <c r="Y4619">
        <v>1.5642759999999999E-2</v>
      </c>
      <c r="Z4619">
        <v>3.3293490000000002E-2</v>
      </c>
      <c r="AA4619">
        <v>0.99932319999999997</v>
      </c>
      <c r="AB4619">
        <v>35</v>
      </c>
      <c r="AC4619">
        <v>2.4855</v>
      </c>
      <c r="AD4619">
        <v>-1.111179750007</v>
      </c>
      <c r="AE4619">
        <v>-22.886990000000001</v>
      </c>
      <c r="AF4619">
        <v>0.36417239359162401</v>
      </c>
      <c r="AG4619">
        <v>-1.111179750007</v>
      </c>
      <c r="AH4619">
        <v>22.965159741380599</v>
      </c>
      <c r="AI4619">
        <v>92.769774382167498</v>
      </c>
      <c r="AJ4619">
        <v>89.091502402239499</v>
      </c>
      <c r="AK4619">
        <v>22.994910391567299</v>
      </c>
      <c r="AL4619">
        <v>91.718139145588907</v>
      </c>
      <c r="AM4619">
        <v>103.900269757998</v>
      </c>
      <c r="AN4619">
        <v>0.99999996450500195</v>
      </c>
    </row>
    <row r="4620" spans="1:40" x14ac:dyDescent="0.25">
      <c r="A4620" t="str">
        <f>"20190305135922624"</f>
        <v>20190305135922624</v>
      </c>
      <c r="B4620" t="str">
        <f>"1551765562613372"</f>
        <v>1551765562613372</v>
      </c>
      <c r="C4620" t="s">
        <v>40</v>
      </c>
      <c r="D4620">
        <v>3.6950780000000001</v>
      </c>
      <c r="E4620">
        <v>0.59823099999999996</v>
      </c>
      <c r="F4620" t="s">
        <v>82</v>
      </c>
      <c r="G4620">
        <v>-419.17790000000002</v>
      </c>
      <c r="H4620" s="1">
        <v>-5.5865410000000003E-6</v>
      </c>
      <c r="I4620">
        <v>30.225940000000001</v>
      </c>
      <c r="J4620">
        <v>-421.60879999999997</v>
      </c>
      <c r="K4620">
        <v>1.1107750000000001</v>
      </c>
      <c r="L4620">
        <v>52.429110000000001</v>
      </c>
      <c r="M4620">
        <v>0.12428</v>
      </c>
      <c r="N4620">
        <v>-1.3938999999999899E-2</v>
      </c>
      <c r="O4620">
        <v>-0.99214939999999996</v>
      </c>
      <c r="P4620">
        <v>0.36002060000000002</v>
      </c>
      <c r="Q4620">
        <v>-4.0196009999999997E-2</v>
      </c>
      <c r="R4620">
        <v>-0.93207799999999996</v>
      </c>
      <c r="S4620">
        <v>0.3380127</v>
      </c>
      <c r="T4620">
        <v>-0.15186150000000001</v>
      </c>
      <c r="U4620">
        <v>-3.0799560000000001</v>
      </c>
      <c r="V4620">
        <v>-0.24130450000000001</v>
      </c>
      <c r="W4620">
        <v>-2.7341310000000001E-2</v>
      </c>
      <c r="X4620">
        <v>0.97006420000000004</v>
      </c>
      <c r="Y4620">
        <v>1.53647E-2</v>
      </c>
      <c r="Z4620">
        <v>3.4694950000000002E-2</v>
      </c>
      <c r="AA4620">
        <v>0.9992799</v>
      </c>
      <c r="AB4620">
        <v>34</v>
      </c>
      <c r="AC4620">
        <v>2.4308999999999501</v>
      </c>
      <c r="AD4620">
        <v>-1.1107805865410001</v>
      </c>
      <c r="AE4620">
        <v>-22.20317</v>
      </c>
      <c r="AF4620">
        <v>0.34677010429615601</v>
      </c>
      <c r="AG4620">
        <v>-1.1107805865410001</v>
      </c>
      <c r="AH4620">
        <v>22.278043913902899</v>
      </c>
      <c r="AI4620">
        <v>92.854051725082599</v>
      </c>
      <c r="AJ4620">
        <v>89.108231444042403</v>
      </c>
      <c r="AK4620">
        <v>22.308413741152801</v>
      </c>
      <c r="AL4620">
        <v>91.566736942860601</v>
      </c>
      <c r="AM4620">
        <v>103.968874173015</v>
      </c>
      <c r="AN4620">
        <v>0.99999998053720196</v>
      </c>
    </row>
    <row r="4621" spans="1:40" x14ac:dyDescent="0.25">
      <c r="A4621" t="str">
        <f>"20190305135922647"</f>
        <v>20190305135922647</v>
      </c>
      <c r="B4621" t="str">
        <f>"1551765562643628"</f>
        <v>1551765562643628</v>
      </c>
      <c r="C4621" t="s">
        <v>40</v>
      </c>
      <c r="D4621">
        <v>3.4709270000000001</v>
      </c>
      <c r="E4621">
        <v>0.60000279999999995</v>
      </c>
      <c r="F4621" t="s">
        <v>82</v>
      </c>
      <c r="G4621">
        <v>-419.14170000000001</v>
      </c>
      <c r="H4621" s="1">
        <v>-5.5723500000000001E-6</v>
      </c>
      <c r="I4621">
        <v>30.269539999999999</v>
      </c>
      <c r="J4621">
        <v>-421.5659</v>
      </c>
      <c r="K4621">
        <v>1.1103730000000001</v>
      </c>
      <c r="L4621">
        <v>52.088679999999997</v>
      </c>
      <c r="M4621">
        <v>0.1243392</v>
      </c>
      <c r="N4621">
        <v>-1.393279E-2</v>
      </c>
      <c r="O4621">
        <v>-0.99214199999999997</v>
      </c>
      <c r="P4621">
        <v>0.36155920000000003</v>
      </c>
      <c r="Q4621">
        <v>-3.7403180000000001E-2</v>
      </c>
      <c r="R4621">
        <v>-0.93159879999999995</v>
      </c>
      <c r="S4621">
        <v>0.34286499999999998</v>
      </c>
      <c r="T4621">
        <v>-0.15436730000000001</v>
      </c>
      <c r="U4621">
        <v>-3.0795590000000002</v>
      </c>
      <c r="V4621">
        <v>-0.24286679999999999</v>
      </c>
      <c r="W4621">
        <v>-2.430562E-2</v>
      </c>
      <c r="X4621">
        <v>0.96975509999999998</v>
      </c>
      <c r="Y4621">
        <v>1.385863E-2</v>
      </c>
      <c r="Z4621">
        <v>3.5503819999999998E-2</v>
      </c>
      <c r="AA4621">
        <v>0.99927339999999998</v>
      </c>
      <c r="AB4621">
        <v>34</v>
      </c>
      <c r="AC4621">
        <v>2.4241999999999799</v>
      </c>
      <c r="AD4621">
        <v>-1.1103785723499999</v>
      </c>
      <c r="AE4621">
        <v>-21.819139999999901</v>
      </c>
      <c r="AF4621">
        <v>0.30706809226905202</v>
      </c>
      <c r="AG4621">
        <v>-1.1103785723499999</v>
      </c>
      <c r="AH4621">
        <v>21.895224919209799</v>
      </c>
      <c r="AI4621">
        <v>92.902884553411198</v>
      </c>
      <c r="AJ4621">
        <v>89.196511913428395</v>
      </c>
      <c r="AK4621">
        <v>21.925512665614299</v>
      </c>
      <c r="AL4621">
        <v>91.392746598195004</v>
      </c>
      <c r="AM4621">
        <v>104.06004229931099</v>
      </c>
      <c r="AN4621">
        <v>0.99999999984091703</v>
      </c>
    </row>
    <row r="4622" spans="1:40" x14ac:dyDescent="0.25">
      <c r="A4622" t="str">
        <f>"20190305135922663"</f>
        <v>20190305135922663</v>
      </c>
      <c r="B4622" t="str">
        <f>"1551765562653388"</f>
        <v>1551765562653388</v>
      </c>
      <c r="C4622" t="s">
        <v>40</v>
      </c>
      <c r="D4622">
        <v>3.4738370000000001</v>
      </c>
      <c r="E4622">
        <v>0.60000279999999995</v>
      </c>
      <c r="F4622" t="s">
        <v>82</v>
      </c>
      <c r="G4622">
        <v>-418.93049999999999</v>
      </c>
      <c r="H4622" s="1">
        <v>-7.4459820000000003E-6</v>
      </c>
      <c r="I4622">
        <v>27.824629999999999</v>
      </c>
      <c r="J4622">
        <v>-421.53440000000001</v>
      </c>
      <c r="K4622">
        <v>1.110052</v>
      </c>
      <c r="L4622">
        <v>51.836979999999997</v>
      </c>
      <c r="M4622">
        <v>0.12403599999999999</v>
      </c>
      <c r="N4622">
        <v>-1.392899E-2</v>
      </c>
      <c r="O4622">
        <v>-0.99218010000000001</v>
      </c>
      <c r="P4622">
        <v>0.36213190000000001</v>
      </c>
      <c r="Q4622">
        <v>-3.5911289999999998E-2</v>
      </c>
      <c r="R4622">
        <v>-0.93143520000000002</v>
      </c>
      <c r="S4622">
        <v>0.33502199999999999</v>
      </c>
      <c r="T4622">
        <v>-0.14115829999999999</v>
      </c>
      <c r="U4622">
        <v>-3.0845950000000002</v>
      </c>
      <c r="V4622">
        <v>-0.2437725</v>
      </c>
      <c r="W4622">
        <v>-2.2624979999999999E-2</v>
      </c>
      <c r="X4622">
        <v>0.96956850000000006</v>
      </c>
      <c r="Y4622">
        <v>1.622672E-2</v>
      </c>
      <c r="Z4622">
        <v>3.122573E-2</v>
      </c>
      <c r="AA4622">
        <v>0.99938059999999995</v>
      </c>
      <c r="AB4622">
        <v>34</v>
      </c>
      <c r="AC4622">
        <v>2.6038999999999999</v>
      </c>
      <c r="AD4622">
        <v>-1.1100594459819999</v>
      </c>
      <c r="AE4622">
        <v>-24.012350000000001</v>
      </c>
      <c r="AF4622">
        <v>0.39406397083612899</v>
      </c>
      <c r="AG4622">
        <v>-1.1100594459819999</v>
      </c>
      <c r="AH4622">
        <v>24.0989892691927</v>
      </c>
      <c r="AI4622">
        <v>92.636970040724506</v>
      </c>
      <c r="AJ4622">
        <v>89.063189326910503</v>
      </c>
      <c r="AK4622">
        <v>24.127759991001898</v>
      </c>
      <c r="AL4622">
        <v>91.296426487690397</v>
      </c>
      <c r="AM4622">
        <v>104.112991378793</v>
      </c>
      <c r="AN4622">
        <v>0.99999999883424995</v>
      </c>
    </row>
    <row r="4623" spans="1:40" x14ac:dyDescent="0.25">
      <c r="A4623" t="str">
        <f>"20190305135922682"</f>
        <v>20190305135922682</v>
      </c>
      <c r="B4623" t="str">
        <f>"1551765562673875"</f>
        <v>1551765562673875</v>
      </c>
      <c r="C4623" t="s">
        <v>40</v>
      </c>
      <c r="D4623">
        <v>3.5252880000000002</v>
      </c>
      <c r="E4623">
        <v>0.61549779999999998</v>
      </c>
      <c r="F4623" t="s">
        <v>82</v>
      </c>
      <c r="G4623">
        <v>-418.79020000000003</v>
      </c>
      <c r="H4623" s="1">
        <v>-7.3698820000000003E-6</v>
      </c>
      <c r="I4623">
        <v>26.710080000000001</v>
      </c>
      <c r="J4623">
        <v>-421.49939999999998</v>
      </c>
      <c r="K4623">
        <v>1.109677</v>
      </c>
      <c r="L4623">
        <v>51.554229999999997</v>
      </c>
      <c r="M4623">
        <v>0.1233229</v>
      </c>
      <c r="N4623">
        <v>-1.39264E-2</v>
      </c>
      <c r="O4623">
        <v>-0.99226910000000001</v>
      </c>
      <c r="P4623">
        <v>0.36291060000000003</v>
      </c>
      <c r="Q4623">
        <v>-3.4640570000000002E-2</v>
      </c>
      <c r="R4623">
        <v>-0.93118009999999996</v>
      </c>
      <c r="S4623">
        <v>0.3368835</v>
      </c>
      <c r="T4623">
        <v>-0.13627300000000001</v>
      </c>
      <c r="U4623">
        <v>-3.084625</v>
      </c>
      <c r="V4623">
        <v>-0.24529429999999999</v>
      </c>
      <c r="W4623">
        <v>-2.1130679999999999E-2</v>
      </c>
      <c r="X4623">
        <v>0.96921829999999998</v>
      </c>
      <c r="Y4623">
        <v>1.4908660000000001E-2</v>
      </c>
      <c r="Z4623">
        <v>2.9675799999999999E-2</v>
      </c>
      <c r="AA4623">
        <v>0.99944840000000001</v>
      </c>
      <c r="AB4623">
        <v>34</v>
      </c>
      <c r="AC4623">
        <v>2.7091999999999499</v>
      </c>
      <c r="AD4623">
        <v>-1.109684369882</v>
      </c>
      <c r="AE4623">
        <v>-24.844149999999999</v>
      </c>
      <c r="AF4623">
        <v>0.37489438553117099</v>
      </c>
      <c r="AG4623">
        <v>-1.109684369882</v>
      </c>
      <c r="AH4623">
        <v>24.939436112461401</v>
      </c>
      <c r="AI4623">
        <v>92.547417400854798</v>
      </c>
      <c r="AJ4623">
        <v>89.138783721314397</v>
      </c>
      <c r="AK4623">
        <v>24.966926499042799</v>
      </c>
      <c r="AL4623">
        <v>91.210788950752701</v>
      </c>
      <c r="AM4623">
        <v>104.202464897627</v>
      </c>
      <c r="AN4623">
        <v>0.99999995615231996</v>
      </c>
    </row>
    <row r="4624" spans="1:40" x14ac:dyDescent="0.25">
      <c r="A4624" t="str">
        <f>"20190305135922704"</f>
        <v>20190305135922704</v>
      </c>
      <c r="B4624" t="str">
        <f>"1551765562693395"</f>
        <v>1551765562693395</v>
      </c>
      <c r="C4624" t="s">
        <v>40</v>
      </c>
      <c r="D4624">
        <v>3.5709460000000002</v>
      </c>
      <c r="E4624">
        <v>0.60581039999999997</v>
      </c>
      <c r="F4624" t="s">
        <v>83</v>
      </c>
      <c r="G4624">
        <v>-417.51310000000001</v>
      </c>
      <c r="H4624">
        <v>3.2814619999999999</v>
      </c>
      <c r="I4624">
        <v>1.79971699999999</v>
      </c>
      <c r="J4624">
        <v>-421.45859999999999</v>
      </c>
      <c r="K4624">
        <v>1.1091979999999999</v>
      </c>
      <c r="L4624">
        <v>51.218600000000002</v>
      </c>
      <c r="M4624">
        <v>0.121976399999999</v>
      </c>
      <c r="N4624">
        <v>-1.392641E-2</v>
      </c>
      <c r="O4624">
        <v>-0.99243550000000003</v>
      </c>
      <c r="P4624">
        <v>0.36249900000000002</v>
      </c>
      <c r="Q4624">
        <v>-3.4373920000000002E-2</v>
      </c>
      <c r="R4624">
        <v>-0.93135020000000002</v>
      </c>
      <c r="S4624">
        <v>0.25070189999999998</v>
      </c>
      <c r="T4624">
        <v>0.13658310000000001</v>
      </c>
      <c r="U4624">
        <v>-3.129089</v>
      </c>
      <c r="V4624">
        <v>-0.24620330000000001</v>
      </c>
      <c r="W4624">
        <v>-2.0578929999999999E-2</v>
      </c>
      <c r="X4624">
        <v>0.96899970000000002</v>
      </c>
      <c r="Y4624">
        <v>4.2470059999999997E-2</v>
      </c>
      <c r="Z4624">
        <v>-5.6873109999999998E-2</v>
      </c>
      <c r="AA4624">
        <v>0.99747770000000002</v>
      </c>
      <c r="AB4624">
        <v>34</v>
      </c>
      <c r="AC4624">
        <v>3.94549999999998</v>
      </c>
      <c r="AD4624">
        <v>2.17226399999999</v>
      </c>
      <c r="AE4624">
        <v>-49.418883000000001</v>
      </c>
      <c r="AF4624">
        <v>2.1084396010525199</v>
      </c>
      <c r="AG4624">
        <v>2.17226399999999</v>
      </c>
      <c r="AH4624">
        <v>49.436192177834499</v>
      </c>
      <c r="AI4624">
        <v>87.486280446212305</v>
      </c>
      <c r="AJ4624">
        <v>87.557831273516001</v>
      </c>
      <c r="AK4624">
        <v>49.528793095337697</v>
      </c>
      <c r="AL4624">
        <v>91.179169088282507</v>
      </c>
      <c r="AM4624">
        <v>104.25603918459601</v>
      </c>
      <c r="AN4624">
        <v>0.99999998794546197</v>
      </c>
    </row>
    <row r="4625" spans="1:40" x14ac:dyDescent="0.25">
      <c r="A4625" t="str">
        <f>"20190305135922725"</f>
        <v>20190305135922725</v>
      </c>
      <c r="B4625" t="str">
        <f>"1551765562713891"</f>
        <v>1551765562713891</v>
      </c>
      <c r="C4625" t="s">
        <v>40</v>
      </c>
      <c r="D4625">
        <v>3.5772900000000001</v>
      </c>
      <c r="E4625">
        <v>0.59986189999999995</v>
      </c>
      <c r="F4625" t="s">
        <v>83</v>
      </c>
      <c r="G4625">
        <v>-416.34059999999999</v>
      </c>
      <c r="H4625">
        <v>3.2098589999999998</v>
      </c>
      <c r="I4625">
        <v>1.811642</v>
      </c>
      <c r="J4625">
        <v>-421.42</v>
      </c>
      <c r="K4625">
        <v>1.108722</v>
      </c>
      <c r="L4625">
        <v>50.892760000000003</v>
      </c>
      <c r="M4625">
        <v>0.12022579999999999</v>
      </c>
      <c r="N4625">
        <v>-1.3928589999999999E-2</v>
      </c>
      <c r="O4625">
        <v>-0.992649</v>
      </c>
      <c r="P4625">
        <v>0.3612998</v>
      </c>
      <c r="Q4625">
        <v>-3.4576030000000001E-2</v>
      </c>
      <c r="R4625">
        <v>-0.93180839999999998</v>
      </c>
      <c r="S4625">
        <v>0.32122800000000001</v>
      </c>
      <c r="T4625">
        <v>0.1318444</v>
      </c>
      <c r="U4625">
        <v>-3.1009829999999998</v>
      </c>
      <c r="V4625">
        <v>-0.2466893</v>
      </c>
      <c r="W4625">
        <v>-2.0503420000000001E-2</v>
      </c>
      <c r="X4625">
        <v>0.96887769999999995</v>
      </c>
      <c r="Y4625">
        <v>1.747197E-2</v>
      </c>
      <c r="Z4625">
        <v>-5.5728029999999998E-2</v>
      </c>
      <c r="AA4625">
        <v>0.99829310000000004</v>
      </c>
      <c r="AB4625">
        <v>34</v>
      </c>
      <c r="AC4625">
        <v>5.0794000000000201</v>
      </c>
      <c r="AD4625">
        <v>2.101137</v>
      </c>
      <c r="AE4625">
        <v>-49.081117999999996</v>
      </c>
      <c r="AF4625">
        <v>0.85728408253004595</v>
      </c>
      <c r="AG4625">
        <v>2.101137</v>
      </c>
      <c r="AH4625">
        <v>49.246481257163197</v>
      </c>
      <c r="AI4625">
        <v>87.557285184532304</v>
      </c>
      <c r="AJ4625">
        <v>89.002694247773405</v>
      </c>
      <c r="AK4625">
        <v>49.298738613711599</v>
      </c>
      <c r="AL4625">
        <v>91.174841757591295</v>
      </c>
      <c r="AM4625">
        <v>104.284754806767</v>
      </c>
      <c r="AN4625">
        <v>0.99999999926173799</v>
      </c>
    </row>
    <row r="4626" spans="1:40" x14ac:dyDescent="0.25">
      <c r="A4626" t="str">
        <f>"20190305135922748"</f>
        <v>20190305135922748</v>
      </c>
      <c r="B4626" t="str">
        <f>"1551765562744146"</f>
        <v>1551765562744146</v>
      </c>
      <c r="C4626" t="s">
        <v>40</v>
      </c>
      <c r="D4626">
        <v>3.5948250000000002</v>
      </c>
      <c r="E4626">
        <v>0.59514849999999997</v>
      </c>
      <c r="F4626" t="s">
        <v>83</v>
      </c>
      <c r="G4626">
        <v>-415.6216</v>
      </c>
      <c r="H4626">
        <v>2.9925839999999999</v>
      </c>
      <c r="I4626">
        <v>1.278923</v>
      </c>
      <c r="J4626">
        <v>-421.3802</v>
      </c>
      <c r="K4626">
        <v>1.108244</v>
      </c>
      <c r="L4626">
        <v>50.547580000000004</v>
      </c>
      <c r="M4626">
        <v>0.1179424</v>
      </c>
      <c r="N4626">
        <v>-1.393138E-2</v>
      </c>
      <c r="O4626">
        <v>-0.99292270000000005</v>
      </c>
      <c r="P4626">
        <v>0.35825780000000002</v>
      </c>
      <c r="Q4626">
        <v>-3.6234719999999998E-2</v>
      </c>
      <c r="R4626">
        <v>-0.93291919999999995</v>
      </c>
      <c r="S4626">
        <v>0.36044310000000002</v>
      </c>
      <c r="T4626">
        <v>0.1171045</v>
      </c>
      <c r="U4626">
        <v>-3.0841370000000001</v>
      </c>
      <c r="V4626">
        <v>-0.24579219999999999</v>
      </c>
      <c r="W4626">
        <v>-2.1887790000000001E-2</v>
      </c>
      <c r="X4626">
        <v>0.96907540000000003</v>
      </c>
      <c r="Y4626">
        <v>2.0407659999999998E-3</v>
      </c>
      <c r="Z4626">
        <v>-5.1241410000000001E-2</v>
      </c>
      <c r="AA4626">
        <v>0.99868420000000002</v>
      </c>
      <c r="AB4626">
        <v>34</v>
      </c>
      <c r="AC4626">
        <v>5.7586000000000004</v>
      </c>
      <c r="AD4626">
        <v>1.8843399999999999</v>
      </c>
      <c r="AE4626">
        <v>-49.268656999999997</v>
      </c>
      <c r="AF4626">
        <v>9.2893968525569207E-2</v>
      </c>
      <c r="AG4626">
        <v>1.8843399999999999</v>
      </c>
      <c r="AH4626">
        <v>49.5324870669169</v>
      </c>
      <c r="AI4626">
        <v>87.821379304851106</v>
      </c>
      <c r="AJ4626">
        <v>89.892546762459702</v>
      </c>
      <c r="AK4626">
        <v>49.568403661599604</v>
      </c>
      <c r="AL4626">
        <v>91.254178137025804</v>
      </c>
      <c r="AM4626">
        <v>104.232136436839</v>
      </c>
      <c r="AN4626">
        <v>1.0000000059085401</v>
      </c>
    </row>
    <row r="4627" spans="1:40" x14ac:dyDescent="0.25">
      <c r="A4627" t="str">
        <f>"20190305135922771"</f>
        <v>20190305135922771</v>
      </c>
      <c r="B4627" t="str">
        <f>"1551765562763390"</f>
        <v>1551765562763390</v>
      </c>
      <c r="C4627" t="s">
        <v>40</v>
      </c>
      <c r="D4627">
        <v>3.7105160000000001</v>
      </c>
      <c r="E4627">
        <v>0.59043619999999997</v>
      </c>
      <c r="F4627" t="s">
        <v>83</v>
      </c>
      <c r="G4627">
        <v>-415.22919999999999</v>
      </c>
      <c r="H4627">
        <v>2.587332</v>
      </c>
      <c r="I4627">
        <v>1.2804719999999901</v>
      </c>
      <c r="J4627">
        <v>-421.34129999999999</v>
      </c>
      <c r="K4627">
        <v>1.1078170000000001</v>
      </c>
      <c r="L4627">
        <v>50.199710000000003</v>
      </c>
      <c r="M4627">
        <v>0.11526</v>
      </c>
      <c r="N4627">
        <v>-1.3933630000000001E-2</v>
      </c>
      <c r="O4627">
        <v>-0.99323779999999995</v>
      </c>
      <c r="P4627">
        <v>0.35346470000000002</v>
      </c>
      <c r="Q4627">
        <v>-3.9055609999999998E-2</v>
      </c>
      <c r="R4627">
        <v>-0.93463249999999998</v>
      </c>
      <c r="S4627">
        <v>0.38354490000000002</v>
      </c>
      <c r="T4627">
        <v>9.2225909999999994E-2</v>
      </c>
      <c r="U4627">
        <v>-3.0720209999999999</v>
      </c>
      <c r="V4627">
        <v>-0.24348310000000001</v>
      </c>
      <c r="W4627">
        <v>-2.447015E-2</v>
      </c>
      <c r="X4627">
        <v>0.96959640000000002</v>
      </c>
      <c r="Y4627">
        <v>-8.5634779999999994E-3</v>
      </c>
      <c r="Z4627">
        <v>-4.341793E-2</v>
      </c>
      <c r="AA4627">
        <v>0.99902029999999997</v>
      </c>
      <c r="AB4627">
        <v>34</v>
      </c>
      <c r="AC4627">
        <v>6.1120999999999901</v>
      </c>
      <c r="AD4627">
        <v>1.4795149999999999</v>
      </c>
      <c r="AE4627">
        <v>-48.919237999999901</v>
      </c>
      <c r="AF4627">
        <v>-0.43199021770630303</v>
      </c>
      <c r="AG4627">
        <v>1.4795149999999999</v>
      </c>
      <c r="AH4627">
        <v>49.253334662914902</v>
      </c>
      <c r="AI4627">
        <v>88.279482490942996</v>
      </c>
      <c r="AJ4627">
        <v>90.502515855800198</v>
      </c>
      <c r="AK4627">
        <v>49.277444694307299</v>
      </c>
      <c r="AL4627">
        <v>91.402176286276699</v>
      </c>
      <c r="AM4627">
        <v>104.096515744025</v>
      </c>
      <c r="AN4627">
        <v>0.99999999355979596</v>
      </c>
    </row>
    <row r="4628" spans="1:40" x14ac:dyDescent="0.25">
      <c r="A4628" t="str">
        <f>"20190305135922791"</f>
        <v>20190305135922791</v>
      </c>
      <c r="B4628" t="str">
        <f>"1551765562783887"</f>
        <v>1551765562783887</v>
      </c>
      <c r="C4628" t="s">
        <v>40</v>
      </c>
      <c r="D4628">
        <v>3.6955230000000001</v>
      </c>
      <c r="E4628">
        <v>0.58735179999999998</v>
      </c>
      <c r="F4628" t="s">
        <v>83</v>
      </c>
      <c r="G4628">
        <v>-414.86759999999998</v>
      </c>
      <c r="H4628">
        <v>1.726958</v>
      </c>
      <c r="I4628">
        <v>0.52958680000000002</v>
      </c>
      <c r="J4628">
        <v>-421.30549999999999</v>
      </c>
      <c r="K4628">
        <v>1.107472</v>
      </c>
      <c r="L4628">
        <v>49.869019999999999</v>
      </c>
      <c r="M4628">
        <v>0.1124265</v>
      </c>
      <c r="N4628">
        <v>-1.3934899999999899E-2</v>
      </c>
      <c r="O4628">
        <v>-0.99356239999999996</v>
      </c>
      <c r="P4628">
        <v>0.3487441</v>
      </c>
      <c r="Q4628">
        <v>-4.2774390000000002E-2</v>
      </c>
      <c r="R4628">
        <v>-0.93624160000000001</v>
      </c>
      <c r="S4628">
        <v>0.39889530000000001</v>
      </c>
      <c r="T4628">
        <v>3.814828E-2</v>
      </c>
      <c r="U4628">
        <v>-3.0605470000000001</v>
      </c>
      <c r="V4628">
        <v>-0.24141299999999999</v>
      </c>
      <c r="W4628">
        <v>-2.8005829999999999E-2</v>
      </c>
      <c r="X4628">
        <v>0.9700183</v>
      </c>
      <c r="Y4628">
        <v>-1.688301E-2</v>
      </c>
      <c r="Z4628">
        <v>-2.6123469999999999E-2</v>
      </c>
      <c r="AA4628">
        <v>0.99951610000000002</v>
      </c>
      <c r="AB4628">
        <v>34</v>
      </c>
      <c r="AC4628">
        <v>6.4379000000000097</v>
      </c>
      <c r="AD4628">
        <v>0.61948599999999998</v>
      </c>
      <c r="AE4628">
        <v>-49.339433200000002</v>
      </c>
      <c r="AF4628">
        <v>-0.84934635634114597</v>
      </c>
      <c r="AG4628">
        <v>0.61948599999999998</v>
      </c>
      <c r="AH4628">
        <v>49.742712916399</v>
      </c>
      <c r="AI4628">
        <v>89.286590453421098</v>
      </c>
      <c r="AJ4628">
        <v>90.978218320568402</v>
      </c>
      <c r="AK4628">
        <v>49.753820360053901</v>
      </c>
      <c r="AL4628">
        <v>91.604825639450098</v>
      </c>
      <c r="AM4628">
        <v>103.975544376298</v>
      </c>
      <c r="AN4628">
        <v>1.00000003270893</v>
      </c>
    </row>
    <row r="4629" spans="1:40" x14ac:dyDescent="0.25">
      <c r="A4629" t="str">
        <f>"20190305135922814"</f>
        <v>20190305135922814</v>
      </c>
      <c r="B4629" t="str">
        <f>"1551765562803403"</f>
        <v>1551765562803403</v>
      </c>
      <c r="C4629" t="s">
        <v>40</v>
      </c>
      <c r="D4629">
        <v>3.7606039999999998</v>
      </c>
      <c r="E4629">
        <v>0.58486090000000002</v>
      </c>
      <c r="F4629" t="s">
        <v>83</v>
      </c>
      <c r="G4629">
        <v>-414.79250000000002</v>
      </c>
      <c r="H4629">
        <v>1.030613</v>
      </c>
      <c r="I4629">
        <v>0.53034780000000004</v>
      </c>
      <c r="J4629">
        <v>-421.27019999999999</v>
      </c>
      <c r="K4629">
        <v>1.1071930000000001</v>
      </c>
      <c r="L4629">
        <v>49.531219999999998</v>
      </c>
      <c r="M4629">
        <v>0.1093295</v>
      </c>
      <c r="N4629">
        <v>-1.3934810000000001E-2</v>
      </c>
      <c r="O4629">
        <v>-0.99390789999999996</v>
      </c>
      <c r="P4629">
        <v>0.3444623</v>
      </c>
      <c r="Q4629">
        <v>-4.8014899999999999E-2</v>
      </c>
      <c r="R4629">
        <v>-0.9375713</v>
      </c>
      <c r="S4629">
        <v>0.40313719999999997</v>
      </c>
      <c r="T4629">
        <v>-4.7588350000000003E-3</v>
      </c>
      <c r="U4629">
        <v>-3.053925</v>
      </c>
      <c r="V4629">
        <v>-0.2400793</v>
      </c>
      <c r="W4629">
        <v>-3.310316E-2</v>
      </c>
      <c r="X4629">
        <v>0.97018870000000001</v>
      </c>
      <c r="Y4629">
        <v>-2.1674269999999999E-2</v>
      </c>
      <c r="Z4629">
        <v>-1.229744E-2</v>
      </c>
      <c r="AA4629">
        <v>0.99968950000000001</v>
      </c>
      <c r="AB4629">
        <v>34</v>
      </c>
      <c r="AC4629">
        <v>6.4776999999999703</v>
      </c>
      <c r="AD4629">
        <v>-7.6579999999999995E-2</v>
      </c>
      <c r="AE4629">
        <v>-49.000872200000003</v>
      </c>
      <c r="AF4629">
        <v>-1.08109870272292</v>
      </c>
      <c r="AG4629">
        <v>-7.6579999999999995E-2</v>
      </c>
      <c r="AH4629">
        <v>49.415236216121997</v>
      </c>
      <c r="AI4629">
        <v>90.088771357397704</v>
      </c>
      <c r="AJ4629">
        <v>91.253308043863299</v>
      </c>
      <c r="AK4629">
        <v>49.427120179073398</v>
      </c>
      <c r="AL4629">
        <v>91.897017926017099</v>
      </c>
      <c r="AM4629">
        <v>103.89899110787999</v>
      </c>
      <c r="AN4629">
        <v>1.00000000154908</v>
      </c>
    </row>
    <row r="4630" spans="1:40" x14ac:dyDescent="0.25">
      <c r="A4630" t="str">
        <f>"20190305135922837"</f>
        <v>20190305135922837</v>
      </c>
      <c r="B4630" t="str">
        <f>"1551765562833660"</f>
        <v>1551765562833660</v>
      </c>
      <c r="C4630" t="s">
        <v>40</v>
      </c>
      <c r="D4630">
        <v>3.8170259999999998</v>
      </c>
      <c r="E4630">
        <v>0.58247720000000003</v>
      </c>
      <c r="F4630" t="s">
        <v>83</v>
      </c>
      <c r="G4630">
        <v>-414.75130000000001</v>
      </c>
      <c r="H4630">
        <v>0.35522199999999998</v>
      </c>
      <c r="I4630">
        <v>0.5307655</v>
      </c>
      <c r="J4630">
        <v>-421.23570000000001</v>
      </c>
      <c r="K4630">
        <v>1.106973</v>
      </c>
      <c r="L4630">
        <v>49.189390000000003</v>
      </c>
      <c r="M4630">
        <v>0.1060647</v>
      </c>
      <c r="N4630">
        <v>-1.3933299999999999E-2</v>
      </c>
      <c r="O4630">
        <v>-0.99426170000000003</v>
      </c>
      <c r="P4630">
        <v>0.34124100000000002</v>
      </c>
      <c r="Q4630">
        <v>-5.3452920000000001E-2</v>
      </c>
      <c r="R4630">
        <v>-0.93845460000000003</v>
      </c>
      <c r="S4630">
        <v>0.40554810000000002</v>
      </c>
      <c r="T4630">
        <v>-4.6782369999999997E-2</v>
      </c>
      <c r="U4630">
        <v>-3.0483699999999998</v>
      </c>
      <c r="V4630">
        <v>-0.24001539999999999</v>
      </c>
      <c r="W4630">
        <v>-3.8434419999999997E-2</v>
      </c>
      <c r="X4630">
        <v>0.97000799999999998</v>
      </c>
      <c r="Y4630">
        <v>-2.5977839999999999E-2</v>
      </c>
      <c r="Z4630">
        <v>1.310685E-3</v>
      </c>
      <c r="AA4630">
        <v>0.99966169999999999</v>
      </c>
      <c r="AB4630">
        <v>34</v>
      </c>
      <c r="AC4630">
        <v>6.4843999999999902</v>
      </c>
      <c r="AD4630">
        <v>-0.75175099999999995</v>
      </c>
      <c r="AE4630">
        <v>-48.658624500000002</v>
      </c>
      <c r="AF4630">
        <v>-1.2860513012613599</v>
      </c>
      <c r="AG4630">
        <v>-0.75175099999999995</v>
      </c>
      <c r="AH4630">
        <v>49.060425925505299</v>
      </c>
      <c r="AI4630">
        <v>90.877570887032107</v>
      </c>
      <c r="AJ4630">
        <v>91.501585843391794</v>
      </c>
      <c r="AK4630">
        <v>49.083036270258098</v>
      </c>
      <c r="AL4630">
        <v>92.202672452017694</v>
      </c>
      <c r="AM4630">
        <v>103.897923303398</v>
      </c>
      <c r="AN4630">
        <v>1.0000000584709401</v>
      </c>
    </row>
    <row r="4631" spans="1:40" x14ac:dyDescent="0.25">
      <c r="A4631" t="str">
        <f>"20190305135922860"</f>
        <v>20190305135922860</v>
      </c>
      <c r="B4631" t="str">
        <f>"1551765562854155"</f>
        <v>1551765562854155</v>
      </c>
      <c r="C4631" t="s">
        <v>40</v>
      </c>
      <c r="D4631">
        <v>3.822241</v>
      </c>
      <c r="E4631">
        <v>0.58100699999999905</v>
      </c>
      <c r="F4631" t="s">
        <v>82</v>
      </c>
      <c r="G4631">
        <v>-415.44080000000002</v>
      </c>
      <c r="H4631">
        <v>7.9986570000000007E-2</v>
      </c>
      <c r="I4631">
        <v>6.4008260000000003</v>
      </c>
      <c r="J4631">
        <v>-421.20170000000002</v>
      </c>
      <c r="K4631">
        <v>1.1068249999999999</v>
      </c>
      <c r="L4631">
        <v>48.840910000000001</v>
      </c>
      <c r="M4631">
        <v>0.10266260000000001</v>
      </c>
      <c r="N4631">
        <v>-1.393089E-2</v>
      </c>
      <c r="O4631">
        <v>-0.99461889999999997</v>
      </c>
      <c r="P4631">
        <v>0.3394393</v>
      </c>
      <c r="Q4631">
        <v>-5.6985559999999998E-2</v>
      </c>
      <c r="R4631">
        <v>-0.93890030000000002</v>
      </c>
      <c r="S4631">
        <v>0.41207890000000003</v>
      </c>
      <c r="T4631">
        <v>-7.303047E-2</v>
      </c>
      <c r="U4631">
        <v>-3.0427550000000001</v>
      </c>
      <c r="V4631">
        <v>-0.2415283</v>
      </c>
      <c r="W4631">
        <v>-4.188716E-2</v>
      </c>
      <c r="X4631">
        <v>0.9694893</v>
      </c>
      <c r="Y4631">
        <v>-3.1736500000000001E-2</v>
      </c>
      <c r="Z4631">
        <v>9.8577490000000007E-3</v>
      </c>
      <c r="AA4631">
        <v>0.99944759999999999</v>
      </c>
      <c r="AB4631">
        <v>34</v>
      </c>
      <c r="AC4631">
        <v>5.7608999999999897</v>
      </c>
      <c r="AD4631">
        <v>-1.02683843</v>
      </c>
      <c r="AE4631">
        <v>-42.440083999999999</v>
      </c>
      <c r="AF4631">
        <v>-1.37223482133857</v>
      </c>
      <c r="AG4631">
        <v>-1.02683843</v>
      </c>
      <c r="AH4631">
        <v>42.782691510034702</v>
      </c>
      <c r="AI4631">
        <v>91.374200415700599</v>
      </c>
      <c r="AJ4631">
        <v>91.8371055144233</v>
      </c>
      <c r="AK4631">
        <v>42.817007349989098</v>
      </c>
      <c r="AL4631">
        <v>92.400659891724203</v>
      </c>
      <c r="AM4631">
        <v>103.989287060892</v>
      </c>
      <c r="AN4631">
        <v>0.99999997834412202</v>
      </c>
    </row>
    <row r="4632" spans="1:40" x14ac:dyDescent="0.25">
      <c r="A4632" t="str">
        <f>"20190305135922882"</f>
        <v>20190305135922882</v>
      </c>
      <c r="B4632" t="str">
        <f>"1551765562873675"</f>
        <v>1551765562873675</v>
      </c>
      <c r="C4632" t="s">
        <v>40</v>
      </c>
      <c r="D4632">
        <v>3.8247879999999999</v>
      </c>
      <c r="E4632">
        <v>0.58035550000000002</v>
      </c>
      <c r="F4632" t="s">
        <v>82</v>
      </c>
      <c r="G4632">
        <v>-416.1925</v>
      </c>
      <c r="H4632" s="1">
        <v>-1.3298639999999999E-5</v>
      </c>
      <c r="I4632">
        <v>12.293279999999999</v>
      </c>
      <c r="J4632">
        <v>-421.16919999999999</v>
      </c>
      <c r="K4632">
        <v>1.106735</v>
      </c>
      <c r="L4632">
        <v>48.494019999999999</v>
      </c>
      <c r="M4632">
        <v>9.9253720000000004E-2</v>
      </c>
      <c r="N4632">
        <v>-1.3928380000000001E-2</v>
      </c>
      <c r="O4632">
        <v>-0.99496470000000004</v>
      </c>
      <c r="P4632">
        <v>0.34022839999999999</v>
      </c>
      <c r="Q4632">
        <v>-5.6928399999999997E-2</v>
      </c>
      <c r="R4632">
        <v>-0.93861819999999896</v>
      </c>
      <c r="S4632">
        <v>0.41653440000000003</v>
      </c>
      <c r="T4632">
        <v>-9.2037439999999998E-2</v>
      </c>
      <c r="U4632">
        <v>-3.0390630000000001</v>
      </c>
      <c r="V4632">
        <v>-0.24566940000000001</v>
      </c>
      <c r="W4632">
        <v>-4.1763700000000001E-2</v>
      </c>
      <c r="X4632">
        <v>0.96845360000000003</v>
      </c>
      <c r="Y4632">
        <v>-3.6747269999999999E-2</v>
      </c>
      <c r="Z4632">
        <v>1.60666E-2</v>
      </c>
      <c r="AA4632">
        <v>0.99919550000000001</v>
      </c>
      <c r="AB4632">
        <v>34</v>
      </c>
      <c r="AC4632">
        <v>4.9766999999999904</v>
      </c>
      <c r="AD4632">
        <v>-1.1067482986399999</v>
      </c>
      <c r="AE4632">
        <v>-36.200740000000003</v>
      </c>
      <c r="AF4632">
        <v>-1.35746921072053</v>
      </c>
      <c r="AG4632">
        <v>-1.1067482986399999</v>
      </c>
      <c r="AH4632">
        <v>36.482488676131702</v>
      </c>
      <c r="AI4632">
        <v>91.736415357502693</v>
      </c>
      <c r="AJ4632">
        <v>92.130923496580294</v>
      </c>
      <c r="AK4632">
        <v>36.524506765440101</v>
      </c>
      <c r="AL4632">
        <v>92.393579864139198</v>
      </c>
      <c r="AM4632">
        <v>104.23407697537699</v>
      </c>
      <c r="AN4632">
        <v>1.0000000180435</v>
      </c>
    </row>
    <row r="4633" spans="1:40" x14ac:dyDescent="0.25">
      <c r="A4633" t="str">
        <f>"20190305135922915"</f>
        <v>20190305135922915</v>
      </c>
      <c r="B4633" t="str">
        <f>"1551765562903932"</f>
        <v>1551765562903932</v>
      </c>
      <c r="C4633" t="s">
        <v>40</v>
      </c>
      <c r="D4633">
        <v>3.7505419999999998</v>
      </c>
      <c r="E4633">
        <v>0.57883079999999998</v>
      </c>
      <c r="F4633" t="s">
        <v>82</v>
      </c>
      <c r="G4633">
        <v>-416.17500000000001</v>
      </c>
      <c r="H4633" s="1">
        <v>-1.321231E-5</v>
      </c>
      <c r="I4633">
        <v>12.722379999999999</v>
      </c>
      <c r="J4633">
        <v>-421.12459999999999</v>
      </c>
      <c r="K4633">
        <v>1.106706</v>
      </c>
      <c r="L4633">
        <v>47.99579</v>
      </c>
      <c r="M4633">
        <v>9.4375479999999998E-2</v>
      </c>
      <c r="N4633">
        <v>-1.3924829999999999E-2</v>
      </c>
      <c r="O4633">
        <v>-0.99543939999999997</v>
      </c>
      <c r="P4633">
        <v>0.34351419999999999</v>
      </c>
      <c r="Q4633">
        <v>-4.923545E-2</v>
      </c>
      <c r="R4633">
        <v>-0.93785609999999997</v>
      </c>
      <c r="S4633">
        <v>0.42398069999999999</v>
      </c>
      <c r="T4633">
        <v>-9.395742E-2</v>
      </c>
      <c r="U4633">
        <v>-3.036835</v>
      </c>
      <c r="V4633">
        <v>-0.25370730000000002</v>
      </c>
      <c r="W4633">
        <v>-3.3990439999999997E-2</v>
      </c>
      <c r="X4633">
        <v>0.96668359999999998</v>
      </c>
      <c r="Y4633">
        <v>-4.4143290000000002E-2</v>
      </c>
      <c r="Z4633">
        <v>1.672475E-2</v>
      </c>
      <c r="AA4633">
        <v>0.99888520000000003</v>
      </c>
      <c r="AB4633">
        <v>34</v>
      </c>
      <c r="AC4633">
        <v>4.94959999999997</v>
      </c>
      <c r="AD4633">
        <v>-1.10671921231</v>
      </c>
      <c r="AE4633">
        <v>-35.273409999999998</v>
      </c>
      <c r="AF4633">
        <v>-1.5966951610643301</v>
      </c>
      <c r="AG4633">
        <v>-1.10671921231</v>
      </c>
      <c r="AH4633">
        <v>35.548789652287702</v>
      </c>
      <c r="AI4633">
        <v>91.781384463609697</v>
      </c>
      <c r="AJ4633">
        <v>92.571745731650594</v>
      </c>
      <c r="AK4633">
        <v>35.601835747540598</v>
      </c>
      <c r="AL4633">
        <v>91.947884031461797</v>
      </c>
      <c r="AM4633">
        <v>104.705689695492</v>
      </c>
      <c r="AN4633">
        <v>0.99999996329682095</v>
      </c>
    </row>
    <row r="4634" spans="1:40" x14ac:dyDescent="0.25">
      <c r="A4634" t="str">
        <f>"20190305135922938"</f>
        <v>20190305135922938</v>
      </c>
      <c r="B4634" t="str">
        <f>"1551765562934188"</f>
        <v>1551765562934188</v>
      </c>
      <c r="C4634" t="s">
        <v>40</v>
      </c>
      <c r="D4634">
        <v>3.8623599999999998</v>
      </c>
      <c r="E4634">
        <v>0.57753679999999996</v>
      </c>
      <c r="F4634" t="s">
        <v>82</v>
      </c>
      <c r="G4634">
        <v>-415.40320000000003</v>
      </c>
      <c r="H4634">
        <v>7.9986550000000003E-2</v>
      </c>
      <c r="I4634">
        <v>8.9993569999999998</v>
      </c>
      <c r="J4634">
        <v>-421.09559999999999</v>
      </c>
      <c r="K4634">
        <v>1.1067070000000001</v>
      </c>
      <c r="L4634">
        <v>47.655850000000001</v>
      </c>
      <c r="M4634">
        <v>9.1090240000000003E-2</v>
      </c>
      <c r="N4634">
        <v>-1.392238E-2</v>
      </c>
      <c r="O4634">
        <v>-0.9957452</v>
      </c>
      <c r="P4634">
        <v>0.34558850000000002</v>
      </c>
      <c r="Q4634">
        <v>-4.4680619999999997E-2</v>
      </c>
      <c r="R4634">
        <v>-0.93732170000000004</v>
      </c>
      <c r="S4634">
        <v>0.44479370000000001</v>
      </c>
      <c r="T4634">
        <v>-7.9819680000000004E-2</v>
      </c>
      <c r="U4634">
        <v>-3.0316770000000002</v>
      </c>
      <c r="V4634">
        <v>-0.25897809999999999</v>
      </c>
      <c r="W4634">
        <v>-2.9399979999999999E-2</v>
      </c>
      <c r="X4634">
        <v>0.96543559999999995</v>
      </c>
      <c r="Y4634">
        <v>-5.439774E-2</v>
      </c>
      <c r="Z4634">
        <v>1.216938E-2</v>
      </c>
      <c r="AA4634">
        <v>0.99844520000000003</v>
      </c>
      <c r="AB4634">
        <v>34</v>
      </c>
      <c r="AC4634">
        <v>5.6923999999999602</v>
      </c>
      <c r="AD4634">
        <v>-1.02672044999999</v>
      </c>
      <c r="AE4634">
        <v>-38.656492999999998</v>
      </c>
      <c r="AF4634">
        <v>-2.1456775866156601</v>
      </c>
      <c r="AG4634">
        <v>-1.02672044999999</v>
      </c>
      <c r="AH4634">
        <v>38.987405765410003</v>
      </c>
      <c r="AI4634">
        <v>91.506238440951705</v>
      </c>
      <c r="AJ4634">
        <v>93.150103766635496</v>
      </c>
      <c r="AK4634">
        <v>39.059901376025998</v>
      </c>
      <c r="AL4634">
        <v>91.684737607625493</v>
      </c>
      <c r="AM4634">
        <v>105.01607928477701</v>
      </c>
      <c r="AN4634">
        <v>0.999999956425484</v>
      </c>
    </row>
    <row r="4635" spans="1:40" x14ac:dyDescent="0.25">
      <c r="A4635" t="str">
        <f>"20190305135922961"</f>
        <v>20190305135922961</v>
      </c>
      <c r="B4635" t="str">
        <f>"1551765562953707"</f>
        <v>1551765562953707</v>
      </c>
      <c r="C4635" t="s">
        <v>40</v>
      </c>
      <c r="D4635">
        <v>3.9081809999999999</v>
      </c>
      <c r="E4635">
        <v>0.57686700000000002</v>
      </c>
      <c r="F4635" t="s">
        <v>82</v>
      </c>
      <c r="G4635">
        <v>-415.30590000000001</v>
      </c>
      <c r="H4635">
        <v>7.9986559999999998E-2</v>
      </c>
      <c r="I4635">
        <v>9.4956340000000008</v>
      </c>
      <c r="J4635">
        <v>-421.0668</v>
      </c>
      <c r="K4635">
        <v>1.1067309999999999</v>
      </c>
      <c r="L4635">
        <v>47.304720000000003</v>
      </c>
      <c r="M4635">
        <v>8.777016E-2</v>
      </c>
      <c r="N4635">
        <v>-1.3919549999999999E-2</v>
      </c>
      <c r="O4635">
        <v>-0.99604369999999998</v>
      </c>
      <c r="P4635">
        <v>0.34686489999999998</v>
      </c>
      <c r="Q4635">
        <v>-4.186902E-2</v>
      </c>
      <c r="R4635">
        <v>-0.93698040000000005</v>
      </c>
      <c r="S4635">
        <v>0.45932010000000001</v>
      </c>
      <c r="T4635">
        <v>-8.1453079999999997E-2</v>
      </c>
      <c r="U4635">
        <v>-3.027374</v>
      </c>
      <c r="V4635">
        <v>-0.2634745</v>
      </c>
      <c r="W4635">
        <v>-2.6576209999999999E-2</v>
      </c>
      <c r="X4635">
        <v>0.96430020000000005</v>
      </c>
      <c r="Y4635">
        <v>-6.261129E-2</v>
      </c>
      <c r="Z4635">
        <v>1.273702E-2</v>
      </c>
      <c r="AA4635">
        <v>0.99795670000000003</v>
      </c>
      <c r="AB4635">
        <v>34</v>
      </c>
      <c r="AC4635">
        <v>5.7608999999999897</v>
      </c>
      <c r="AD4635">
        <v>-1.0267444400000001</v>
      </c>
      <c r="AE4635">
        <v>-37.809086000000001</v>
      </c>
      <c r="AF4635">
        <v>-2.4180898088453899</v>
      </c>
      <c r="AG4635">
        <v>-1.0267444400000001</v>
      </c>
      <c r="AH4635">
        <v>38.141337987977003</v>
      </c>
      <c r="AI4635">
        <v>91.538911270002302</v>
      </c>
      <c r="AJ4635">
        <v>93.627590779918094</v>
      </c>
      <c r="AK4635">
        <v>38.231701845220101</v>
      </c>
      <c r="AL4635">
        <v>91.522883984974499</v>
      </c>
      <c r="AM4635">
        <v>105.281856537214</v>
      </c>
      <c r="AN4635">
        <v>0.99999999140412699</v>
      </c>
    </row>
    <row r="4636" spans="1:40" x14ac:dyDescent="0.25">
      <c r="A4636" t="str">
        <f>"20190305135922982"</f>
        <v>20190305135922982</v>
      </c>
      <c r="B4636" t="str">
        <f>"1551765562973737"</f>
        <v>1551765562973737</v>
      </c>
      <c r="C4636" t="s">
        <v>40</v>
      </c>
      <c r="D4636">
        <v>4.3578000000000001</v>
      </c>
      <c r="E4636">
        <v>0.57621809999999996</v>
      </c>
      <c r="F4636" t="s">
        <v>82</v>
      </c>
      <c r="G4636">
        <v>-415.23809999999997</v>
      </c>
      <c r="H4636">
        <v>7.1545629999999999E-2</v>
      </c>
      <c r="I4636">
        <v>9.5947069999999997</v>
      </c>
      <c r="J4636">
        <v>-421.041</v>
      </c>
      <c r="K4636">
        <v>1.1067610000000001</v>
      </c>
      <c r="L4636">
        <v>46.976649999999999</v>
      </c>
      <c r="M4636">
        <v>8.4748009999999999E-2</v>
      </c>
      <c r="N4636">
        <v>-1.391645E-2</v>
      </c>
      <c r="O4636">
        <v>-0.99630529999999995</v>
      </c>
      <c r="P4636">
        <v>0.347697599999999</v>
      </c>
      <c r="Q4636">
        <v>-4.0645670000000002E-2</v>
      </c>
      <c r="R4636">
        <v>-0.93672529999999998</v>
      </c>
      <c r="S4636">
        <v>0.46755980000000003</v>
      </c>
      <c r="T4636">
        <v>-8.3038929999999997E-2</v>
      </c>
      <c r="U4636">
        <v>-3.0249630000000001</v>
      </c>
      <c r="V4636">
        <v>-0.26723799999999998</v>
      </c>
      <c r="W4636">
        <v>-2.5362039999999999E-2</v>
      </c>
      <c r="X4636">
        <v>0.96329670000000001</v>
      </c>
      <c r="Y4636">
        <v>-6.8408999999999998E-2</v>
      </c>
      <c r="Z4636">
        <v>1.327674E-2</v>
      </c>
      <c r="AA4636">
        <v>0.99756900000000004</v>
      </c>
      <c r="AB4636">
        <v>34</v>
      </c>
      <c r="AC4636">
        <v>5.8029000000000197</v>
      </c>
      <c r="AD4636">
        <v>-1.03521537</v>
      </c>
      <c r="AE4636">
        <v>-37.381943</v>
      </c>
      <c r="AF4636">
        <v>-2.6117118741596701</v>
      </c>
      <c r="AG4636">
        <v>-1.03521537</v>
      </c>
      <c r="AH4636">
        <v>37.711024056591903</v>
      </c>
      <c r="AI4636">
        <v>91.5686911684911</v>
      </c>
      <c r="AJ4636">
        <v>93.9617463031136</v>
      </c>
      <c r="AK4636">
        <v>37.815526509262902</v>
      </c>
      <c r="AL4636">
        <v>91.453293743882298</v>
      </c>
      <c r="AM4636">
        <v>105.505091179879</v>
      </c>
      <c r="AN4636">
        <v>0.99999995697392396</v>
      </c>
    </row>
    <row r="4637" spans="1:40" x14ac:dyDescent="0.25">
      <c r="A4637" t="str">
        <f>"20190305135923003"</f>
        <v>20190305135923003</v>
      </c>
      <c r="B4637" t="str">
        <f>"1551765562994229"</f>
        <v>1551765562994229</v>
      </c>
      <c r="C4637" t="s">
        <v>40</v>
      </c>
      <c r="D4637">
        <v>3.9893040000000002</v>
      </c>
      <c r="E4637">
        <v>0.50293840000000001</v>
      </c>
      <c r="F4637" t="s">
        <v>82</v>
      </c>
      <c r="G4637">
        <v>-414.89440000000002</v>
      </c>
      <c r="H4637">
        <v>7.9986559999999998E-2</v>
      </c>
      <c r="I4637">
        <v>7.8768009999999897</v>
      </c>
      <c r="J4637">
        <v>-421.01560000000001</v>
      </c>
      <c r="K4637">
        <v>1.1068039999999999</v>
      </c>
      <c r="L4637">
        <v>46.64246</v>
      </c>
      <c r="M4637">
        <v>8.1742990000000001E-2</v>
      </c>
      <c r="N4637">
        <v>-1.391306E-2</v>
      </c>
      <c r="O4637">
        <v>-0.99655629999999995</v>
      </c>
      <c r="P4637">
        <v>0.34655150000000001</v>
      </c>
      <c r="Q4637">
        <v>-4.0432759999999998E-2</v>
      </c>
      <c r="R4637">
        <v>-0.93715910000000002</v>
      </c>
      <c r="S4637">
        <v>0.47518919999999998</v>
      </c>
      <c r="T4637">
        <v>-7.9379560000000002E-2</v>
      </c>
      <c r="U4637">
        <v>-3.0227970000000002</v>
      </c>
      <c r="V4637">
        <v>-0.2689587</v>
      </c>
      <c r="W4637">
        <v>-2.5177000000000001E-2</v>
      </c>
      <c r="X4637">
        <v>0.96282259999999997</v>
      </c>
      <c r="Y4637">
        <v>-7.3983989999999999E-2</v>
      </c>
      <c r="Z4637">
        <v>1.210256E-2</v>
      </c>
      <c r="AA4637">
        <v>0.99718600000000002</v>
      </c>
      <c r="AB4637">
        <v>34</v>
      </c>
      <c r="AC4637">
        <v>6.1211999999999804</v>
      </c>
      <c r="AD4637">
        <v>-1.0268174400000001</v>
      </c>
      <c r="AE4637">
        <v>-38.765658999999999</v>
      </c>
      <c r="AF4637">
        <v>-2.9295779717501</v>
      </c>
      <c r="AG4637">
        <v>-1.0268174400000001</v>
      </c>
      <c r="AH4637">
        <v>39.109544042320302</v>
      </c>
      <c r="AI4637">
        <v>91.499750077874396</v>
      </c>
      <c r="AJ4637">
        <v>94.283853651837802</v>
      </c>
      <c r="AK4637">
        <v>39.232553018454503</v>
      </c>
      <c r="AL4637">
        <v>91.442688267329402</v>
      </c>
      <c r="AM4637">
        <v>105.60738610441901</v>
      </c>
      <c r="AN4637">
        <v>1.0000000113527201</v>
      </c>
    </row>
    <row r="4638" spans="1:40" x14ac:dyDescent="0.25">
      <c r="A4638" t="str">
        <f>"20190305135923027"</f>
        <v>20190305135923027</v>
      </c>
      <c r="B4638" t="str">
        <f>"1551765563023511"</f>
        <v>1551765563023511</v>
      </c>
      <c r="C4638" t="s">
        <v>40</v>
      </c>
      <c r="D4638">
        <v>4.0038799999999997</v>
      </c>
      <c r="E4638">
        <v>0.42680970000000001</v>
      </c>
      <c r="F4638" t="s">
        <v>82</v>
      </c>
      <c r="G4638">
        <v>-411.8723</v>
      </c>
      <c r="H4638" s="1">
        <v>-9.2701389999999996E-6</v>
      </c>
      <c r="I4638">
        <v>21.300059999999998</v>
      </c>
      <c r="J4638">
        <v>-420.99009999999998</v>
      </c>
      <c r="K4638">
        <v>1.1068739999999999</v>
      </c>
      <c r="L4638">
        <v>46.294739999999997</v>
      </c>
      <c r="M4638">
        <v>7.8716850000000005E-2</v>
      </c>
      <c r="N4638">
        <v>-1.390957E-2</v>
      </c>
      <c r="O4638">
        <v>-0.99680009999999997</v>
      </c>
      <c r="P4638">
        <v>0.34522720000000001</v>
      </c>
      <c r="Q4638">
        <v>-4.0755100000000002E-2</v>
      </c>
      <c r="R4638">
        <v>-0.93763399999999997</v>
      </c>
      <c r="S4638">
        <v>1.0173030000000001</v>
      </c>
      <c r="T4638">
        <v>-0.1231474</v>
      </c>
      <c r="U4638">
        <v>-2.8196720000000002</v>
      </c>
      <c r="V4638">
        <v>-0.27051999999999998</v>
      </c>
      <c r="W4638">
        <v>-2.5540750000000001E-2</v>
      </c>
      <c r="X4638">
        <v>0.96237550000000005</v>
      </c>
      <c r="Y4638">
        <v>-0.26404280000000002</v>
      </c>
      <c r="Z4638">
        <v>2.764366E-2</v>
      </c>
      <c r="AA4638">
        <v>0.96411469999999999</v>
      </c>
      <c r="AB4638">
        <v>34</v>
      </c>
      <c r="AC4638">
        <v>9.1177999999999795</v>
      </c>
      <c r="AD4638">
        <v>-1.1068832701389999</v>
      </c>
      <c r="AE4638">
        <v>-24.994679999999999</v>
      </c>
      <c r="AF4638">
        <v>-7.1095042884878801</v>
      </c>
      <c r="AG4638">
        <v>-1.1068832701389999</v>
      </c>
      <c r="AH4638">
        <v>25.5906080400547</v>
      </c>
      <c r="AI4638">
        <v>92.386426243190598</v>
      </c>
      <c r="AJ4638">
        <v>105.526193802873</v>
      </c>
      <c r="AK4638">
        <v>26.582879107829001</v>
      </c>
      <c r="AL4638">
        <v>91.463536325681602</v>
      </c>
      <c r="AM4638">
        <v>105.70046606682401</v>
      </c>
      <c r="AN4638">
        <v>1.0000000016554</v>
      </c>
    </row>
    <row r="4639" spans="1:40" x14ac:dyDescent="0.25">
      <c r="A4639" t="str">
        <f>"20190305135923050"</f>
        <v>20190305135923050</v>
      </c>
      <c r="B4639" t="str">
        <f>"1551765563044006"</f>
        <v>1551765563044006</v>
      </c>
      <c r="C4639" t="s">
        <v>40</v>
      </c>
      <c r="D4639">
        <v>3.8556889999999999</v>
      </c>
      <c r="E4639">
        <v>0.42798809999999898</v>
      </c>
      <c r="F4639" t="s">
        <v>42</v>
      </c>
      <c r="G4639">
        <v>-395.9615</v>
      </c>
      <c r="H4639">
        <v>7.9986559999999998E-2</v>
      </c>
      <c r="I4639">
        <v>5.2379020000000001</v>
      </c>
      <c r="J4639">
        <v>-420.96559999999999</v>
      </c>
      <c r="K4639">
        <v>1.1069560000000001</v>
      </c>
      <c r="L4639">
        <v>45.945860000000003</v>
      </c>
      <c r="M4639">
        <v>7.5815999999999995E-2</v>
      </c>
      <c r="N4639">
        <v>-1.3905539999999999E-2</v>
      </c>
      <c r="O4639">
        <v>-0.99702489999999999</v>
      </c>
      <c r="P4639">
        <v>0.34421390000000002</v>
      </c>
      <c r="Q4639">
        <v>-4.2393809999999997E-2</v>
      </c>
      <c r="R4639">
        <v>-0.93793369999999998</v>
      </c>
      <c r="S4639">
        <v>1.5915220000000001</v>
      </c>
      <c r="T4639">
        <v>-6.5297599999999997E-2</v>
      </c>
      <c r="U4639">
        <v>-2.6107179999999999</v>
      </c>
      <c r="V4639">
        <v>-0.27229019999999998</v>
      </c>
      <c r="W4639">
        <v>-2.72372E-2</v>
      </c>
      <c r="X4639">
        <v>0.96182959999999995</v>
      </c>
      <c r="Y4639">
        <v>-0.45415739999999999</v>
      </c>
      <c r="Z4639">
        <v>8.0678369999999996E-3</v>
      </c>
      <c r="AA4639">
        <v>0.89088489999999998</v>
      </c>
      <c r="AB4639">
        <v>34</v>
      </c>
      <c r="AC4639">
        <v>25.004099999999902</v>
      </c>
      <c r="AD4639">
        <v>-1.02696944</v>
      </c>
      <c r="AE4639">
        <v>-40.707957999999998</v>
      </c>
      <c r="AF4639">
        <v>-21.8354169381053</v>
      </c>
      <c r="AG4639">
        <v>-1.02696944</v>
      </c>
      <c r="AH4639">
        <v>42.467040833979098</v>
      </c>
      <c r="AI4639">
        <v>91.232036022294295</v>
      </c>
      <c r="AJ4639">
        <v>117.211015982541</v>
      </c>
      <c r="AK4639">
        <v>47.762848075533</v>
      </c>
      <c r="AL4639">
        <v>91.560769628347998</v>
      </c>
      <c r="AM4639">
        <v>105.80661030610899</v>
      </c>
      <c r="AN4639">
        <v>0.99999999875801904</v>
      </c>
    </row>
    <row r="4640" spans="1:40" x14ac:dyDescent="0.25">
      <c r="A4640" t="str">
        <f>"20190305135923073"</f>
        <v>20190305135923073</v>
      </c>
      <c r="B4640" t="str">
        <f>"1551765563064033"</f>
        <v>1551765563064033</v>
      </c>
      <c r="C4640" t="s">
        <v>40</v>
      </c>
      <c r="D4640">
        <v>3.8758919999999999</v>
      </c>
      <c r="E4640">
        <v>0.42877270000000001</v>
      </c>
      <c r="F4640" t="s">
        <v>42</v>
      </c>
      <c r="G4640">
        <v>-398.16239999999999</v>
      </c>
      <c r="H4640">
        <v>7.9985879999999995E-2</v>
      </c>
      <c r="I4640">
        <v>8.1971259999999901</v>
      </c>
      <c r="J4640">
        <v>-420.94240000000002</v>
      </c>
      <c r="K4640">
        <v>1.1070679999999999</v>
      </c>
      <c r="L4640">
        <v>45.603760000000001</v>
      </c>
      <c r="M4640">
        <v>7.3137779999999999E-2</v>
      </c>
      <c r="N4640">
        <v>-1.3900630000000001E-2</v>
      </c>
      <c r="O4640">
        <v>-0.99722509999999998</v>
      </c>
      <c r="P4640">
        <v>0.34371629999999997</v>
      </c>
      <c r="Q4640">
        <v>-4.4797829999999997E-2</v>
      </c>
      <c r="R4640">
        <v>-0.93800470000000002</v>
      </c>
      <c r="S4640">
        <v>1.5799559999999999</v>
      </c>
      <c r="T4640">
        <v>-7.1155189999999993E-2</v>
      </c>
      <c r="U4640">
        <v>-2.6154790000000001</v>
      </c>
      <c r="V4640">
        <v>-0.2743775</v>
      </c>
      <c r="W4640">
        <v>-2.971936E-2</v>
      </c>
      <c r="X4640">
        <v>0.96116270000000004</v>
      </c>
      <c r="Y4640">
        <v>-0.4529338</v>
      </c>
      <c r="Z4640">
        <v>1.000769E-2</v>
      </c>
      <c r="AA4640">
        <v>0.89148799999999995</v>
      </c>
      <c r="AB4640">
        <v>34</v>
      </c>
      <c r="AC4640">
        <v>22.78</v>
      </c>
      <c r="AD4640">
        <v>-1.02708212</v>
      </c>
      <c r="AE4640">
        <v>-37.406633999999997</v>
      </c>
      <c r="AF4640">
        <v>-19.971894241461701</v>
      </c>
      <c r="AG4640">
        <v>-1.02708212</v>
      </c>
      <c r="AH4640">
        <v>38.951252244181497</v>
      </c>
      <c r="AI4640">
        <v>91.344131271197398</v>
      </c>
      <c r="AJ4640">
        <v>117.14606305501501</v>
      </c>
      <c r="AK4640">
        <v>43.785060336411703</v>
      </c>
      <c r="AL4640">
        <v>91.703044669819903</v>
      </c>
      <c r="AM4640">
        <v>105.932145320806</v>
      </c>
      <c r="AN4640">
        <v>0.99999999436817399</v>
      </c>
    </row>
    <row r="4641" spans="1:40" x14ac:dyDescent="0.25">
      <c r="A4641" t="str">
        <f>"20190305135923094"</f>
        <v>20190305135923094</v>
      </c>
      <c r="B4641" t="str">
        <f>"1551765563083554"</f>
        <v>1551765563083554</v>
      </c>
      <c r="C4641" t="s">
        <v>40</v>
      </c>
      <c r="D4641">
        <v>3.833564</v>
      </c>
      <c r="E4641">
        <v>0.42899320000000002</v>
      </c>
      <c r="F4641" t="s">
        <v>42</v>
      </c>
      <c r="G4641">
        <v>-399.32979999999998</v>
      </c>
      <c r="H4641">
        <v>7.48379199999999E-3</v>
      </c>
      <c r="I4641">
        <v>9.6163240000000005</v>
      </c>
      <c r="J4641">
        <v>-420.92099999999999</v>
      </c>
      <c r="K4641">
        <v>1.1072150000000001</v>
      </c>
      <c r="L4641">
        <v>45.278959999999998</v>
      </c>
      <c r="M4641">
        <v>7.0789580000000005E-2</v>
      </c>
      <c r="N4641">
        <v>-1.3895029999999999E-2</v>
      </c>
      <c r="O4641">
        <v>-0.99739440000000001</v>
      </c>
      <c r="P4641">
        <v>0.34536559999999999</v>
      </c>
      <c r="Q4641">
        <v>-4.6744889999999997E-2</v>
      </c>
      <c r="R4641">
        <v>-0.93730349999999996</v>
      </c>
      <c r="S4641">
        <v>1.5724180000000001</v>
      </c>
      <c r="T4641">
        <v>-7.9999920000000002E-2</v>
      </c>
      <c r="U4641">
        <v>-2.6182560000000001</v>
      </c>
      <c r="V4641">
        <v>-0.27833400000000003</v>
      </c>
      <c r="W4641">
        <v>-3.1762690000000003E-2</v>
      </c>
      <c r="X4641">
        <v>0.95995900000000001</v>
      </c>
      <c r="Y4641">
        <v>-0.45270480000000002</v>
      </c>
      <c r="Z4641">
        <v>1.2941070000000001E-2</v>
      </c>
      <c r="AA4641">
        <v>0.89156650000000004</v>
      </c>
      <c r="AB4641">
        <v>34</v>
      </c>
      <c r="AC4641">
        <v>21.591200000000001</v>
      </c>
      <c r="AD4641">
        <v>-1.0997312079999999</v>
      </c>
      <c r="AE4641">
        <v>-35.662635999999999</v>
      </c>
      <c r="AF4641">
        <v>-18.9990153828956</v>
      </c>
      <c r="AG4641">
        <v>-1.0997312079999999</v>
      </c>
      <c r="AH4641">
        <v>37.0759307817032</v>
      </c>
      <c r="AI4641">
        <v>91.5121160151174</v>
      </c>
      <c r="AJ4641">
        <v>117.13220323753799</v>
      </c>
      <c r="AK4641">
        <v>41.674892172374001</v>
      </c>
      <c r="AL4641">
        <v>91.820174254458806</v>
      </c>
      <c r="AM4641">
        <v>106.169179918499</v>
      </c>
      <c r="AN4641">
        <v>0.99999998285651703</v>
      </c>
    </row>
    <row r="4642" spans="1:40" x14ac:dyDescent="0.25">
      <c r="A4642" t="str">
        <f>"20190305135923117"</f>
        <v>20190305135923117</v>
      </c>
      <c r="B4642" t="str">
        <f>"1551765563113809"</f>
        <v>1551765563113809</v>
      </c>
      <c r="C4642" t="s">
        <v>40</v>
      </c>
      <c r="D4642">
        <v>3.884347</v>
      </c>
      <c r="E4642">
        <v>0.42870639999999999</v>
      </c>
      <c r="F4642" t="s">
        <v>82</v>
      </c>
      <c r="G4642">
        <v>-400.9</v>
      </c>
      <c r="H4642" s="1">
        <v>-6.555715E-6</v>
      </c>
      <c r="I4642">
        <v>12.03558</v>
      </c>
      <c r="J4642">
        <v>-420.89909999999998</v>
      </c>
      <c r="K4642">
        <v>1.1074219999999999</v>
      </c>
      <c r="L4642">
        <v>44.938899999999997</v>
      </c>
      <c r="M4642">
        <v>6.8577289999999999E-2</v>
      </c>
      <c r="N4642">
        <v>-1.388843E-2</v>
      </c>
      <c r="O4642">
        <v>-0.99754920000000002</v>
      </c>
      <c r="P4642">
        <v>0.34850199999999998</v>
      </c>
      <c r="Q4642">
        <v>-4.6541979999999997E-2</v>
      </c>
      <c r="R4642">
        <v>-0.93615199999999998</v>
      </c>
      <c r="S4642">
        <v>1.5754090000000001</v>
      </c>
      <c r="T4642">
        <v>-8.7124709999999994E-2</v>
      </c>
      <c r="U4642">
        <v>-2.6158450000000002</v>
      </c>
      <c r="V4642">
        <v>-0.2836535</v>
      </c>
      <c r="W4642">
        <v>-3.1690349999999999E-2</v>
      </c>
      <c r="X4642">
        <v>0.95840309999999995</v>
      </c>
      <c r="Y4642">
        <v>-0.45576610000000001</v>
      </c>
      <c r="Z4642">
        <v>1.53022E-2</v>
      </c>
      <c r="AA4642">
        <v>0.88996810000000004</v>
      </c>
      <c r="AB4642">
        <v>34</v>
      </c>
      <c r="AC4642">
        <v>19.999099999999999</v>
      </c>
      <c r="AD4642">
        <v>-1.1074285557150001</v>
      </c>
      <c r="AE4642">
        <v>-32.903319999999901</v>
      </c>
      <c r="AF4642">
        <v>-17.6807456685479</v>
      </c>
      <c r="AG4642">
        <v>-1.1074285557150001</v>
      </c>
      <c r="AH4642">
        <v>34.169195842079802</v>
      </c>
      <c r="AI4642">
        <v>91.648794956722</v>
      </c>
      <c r="AJ4642">
        <v>117.35916662110399</v>
      </c>
      <c r="AK4642">
        <v>38.488558168581697</v>
      </c>
      <c r="AL4642">
        <v>91.816027278641897</v>
      </c>
      <c r="AM4642">
        <v>106.486894849717</v>
      </c>
      <c r="AN4642">
        <v>1.0000000442174899</v>
      </c>
    </row>
    <row r="4643" spans="1:40" x14ac:dyDescent="0.25">
      <c r="A4643" t="str">
        <f>"20190305135923139"</f>
        <v>20190305135923139</v>
      </c>
      <c r="B4643" t="str">
        <f>"1551765563133333"</f>
        <v>1551765563133333</v>
      </c>
      <c r="C4643" t="s">
        <v>40</v>
      </c>
      <c r="D4643">
        <v>3.838959</v>
      </c>
      <c r="E4643">
        <v>0.42803809999999898</v>
      </c>
      <c r="F4643" t="s">
        <v>42</v>
      </c>
      <c r="G4643">
        <v>-399.69400000000002</v>
      </c>
      <c r="H4643" s="1">
        <v>-2.6453560000000002E-6</v>
      </c>
      <c r="I4643">
        <v>10.0565</v>
      </c>
      <c r="J4643">
        <v>-420.87860000000001</v>
      </c>
      <c r="K4643">
        <v>1.1076839999999999</v>
      </c>
      <c r="L4643">
        <v>44.610959999999999</v>
      </c>
      <c r="M4643">
        <v>6.6748550000000004E-2</v>
      </c>
      <c r="N4643">
        <v>-1.3881650000000001E-2</v>
      </c>
      <c r="O4643">
        <v>-0.99767349999999999</v>
      </c>
      <c r="P4643">
        <v>0.35245389999999999</v>
      </c>
      <c r="Q4643">
        <v>-4.3471629999999997E-2</v>
      </c>
      <c r="R4643">
        <v>-0.93481899999999996</v>
      </c>
      <c r="S4643">
        <v>1.5865479999999901</v>
      </c>
      <c r="T4643">
        <v>-8.2856299999999994E-2</v>
      </c>
      <c r="U4643">
        <v>-2.6098629999999998</v>
      </c>
      <c r="V4643">
        <v>-0.28940779999999999</v>
      </c>
      <c r="W4643">
        <v>-2.8782439999999999E-2</v>
      </c>
      <c r="X4643">
        <v>0.95677299999999998</v>
      </c>
      <c r="Y4643">
        <v>-0.4610824</v>
      </c>
      <c r="Z4643">
        <v>1.38787999999999E-2</v>
      </c>
      <c r="AA4643">
        <v>0.88724879999999995</v>
      </c>
      <c r="AB4643">
        <v>34</v>
      </c>
      <c r="AC4643">
        <v>21.1845999999999</v>
      </c>
      <c r="AD4643">
        <v>-1.1076866453559999</v>
      </c>
      <c r="AE4643">
        <v>-34.554459999999999</v>
      </c>
      <c r="AF4643">
        <v>-18.816610102254401</v>
      </c>
      <c r="AG4643">
        <v>-1.1076866453559999</v>
      </c>
      <c r="AH4643">
        <v>35.864773446344898</v>
      </c>
      <c r="AI4643">
        <v>91.566619281613498</v>
      </c>
      <c r="AJ4643">
        <v>117.683946315697</v>
      </c>
      <c r="AK4643">
        <v>40.516339417600598</v>
      </c>
      <c r="AL4643">
        <v>91.649340217781599</v>
      </c>
      <c r="AM4643">
        <v>106.829686371991</v>
      </c>
      <c r="AN4643">
        <v>0.99999993854109404</v>
      </c>
    </row>
    <row r="4644" spans="1:40" x14ac:dyDescent="0.25">
      <c r="A4644" t="str">
        <f>"20190305135923162"</f>
        <v>20190305135923162</v>
      </c>
      <c r="B4644" t="str">
        <f>"1551765563153829"</f>
        <v>1551765563153829</v>
      </c>
      <c r="C4644" t="s">
        <v>40</v>
      </c>
      <c r="D4644">
        <v>3.875251</v>
      </c>
      <c r="E4644">
        <v>0.42772060000000001</v>
      </c>
      <c r="F4644" t="s">
        <v>42</v>
      </c>
      <c r="G4644">
        <v>-397.46550000000002</v>
      </c>
      <c r="H4644">
        <v>7.9986119999999994E-2</v>
      </c>
      <c r="I4644">
        <v>6.6051440000000001</v>
      </c>
      <c r="J4644">
        <v>-420.85700000000003</v>
      </c>
      <c r="K4644">
        <v>1.1080159999999999</v>
      </c>
      <c r="L4644">
        <v>44.262569999999997</v>
      </c>
      <c r="M4644">
        <v>6.5222559999999999E-2</v>
      </c>
      <c r="N4644">
        <v>-1.387441E-2</v>
      </c>
      <c r="O4644">
        <v>-0.9977743</v>
      </c>
      <c r="P4644">
        <v>0.35578969999999999</v>
      </c>
      <c r="Q4644">
        <v>-3.9308910000000002E-2</v>
      </c>
      <c r="R4644">
        <v>-0.93373910000000004</v>
      </c>
      <c r="S4644">
        <v>1.602722</v>
      </c>
      <c r="T4644">
        <v>-7.0350170000000004E-2</v>
      </c>
      <c r="U4644">
        <v>-2.6016539999999999</v>
      </c>
      <c r="V4644">
        <v>-0.29423080000000001</v>
      </c>
      <c r="W4644">
        <v>-2.483846E-2</v>
      </c>
      <c r="X4644">
        <v>0.95541160000000003</v>
      </c>
      <c r="Y4644">
        <v>-0.46771370000000001</v>
      </c>
      <c r="Z4644">
        <v>9.7221019999999998E-3</v>
      </c>
      <c r="AA4644">
        <v>0.88382659999999902</v>
      </c>
      <c r="AB4644">
        <v>34</v>
      </c>
      <c r="AC4644">
        <v>23.391499999999901</v>
      </c>
      <c r="AD4644">
        <v>-1.0280298799999901</v>
      </c>
      <c r="AE4644">
        <v>-37.657426000000001</v>
      </c>
      <c r="AF4644">
        <v>-20.874108316603198</v>
      </c>
      <c r="AG4644">
        <v>-1.0280298799999901</v>
      </c>
      <c r="AH4644">
        <v>39.082011464422401</v>
      </c>
      <c r="AI4644">
        <v>91.329155220877496</v>
      </c>
      <c r="AJ4644">
        <v>118.107138182219</v>
      </c>
      <c r="AK4644">
        <v>44.319170384301003</v>
      </c>
      <c r="AL4644">
        <v>91.423285275116399</v>
      </c>
      <c r="AM4644">
        <v>107.11686195192701</v>
      </c>
      <c r="AN4644">
        <v>1.00000001908918</v>
      </c>
    </row>
    <row r="4645" spans="1:40" x14ac:dyDescent="0.25">
      <c r="A4645" t="str">
        <f>"20190305135923182"</f>
        <v>20190305135923182</v>
      </c>
      <c r="B4645" t="str">
        <f>"1551765563173852"</f>
        <v>1551765563173852</v>
      </c>
      <c r="C4645" t="s">
        <v>40</v>
      </c>
      <c r="D4645">
        <v>3.885958</v>
      </c>
      <c r="E4645">
        <v>0.42772389999999999</v>
      </c>
      <c r="F4645" t="s">
        <v>83</v>
      </c>
      <c r="G4645">
        <v>-393.78800000000001</v>
      </c>
      <c r="H4645">
        <v>0.1808331</v>
      </c>
      <c r="I4645">
        <v>0.74396509999999905</v>
      </c>
      <c r="J4645">
        <v>-420.83730000000003</v>
      </c>
      <c r="K4645">
        <v>1.1083259999999999</v>
      </c>
      <c r="L4645">
        <v>43.941769999999998</v>
      </c>
      <c r="M4645">
        <v>6.4130010000000001E-2</v>
      </c>
      <c r="N4645">
        <v>-1.3868500000000001E-2</v>
      </c>
      <c r="O4645">
        <v>-0.99784519999999999</v>
      </c>
      <c r="P4645">
        <v>0.35877160000000002</v>
      </c>
      <c r="Q4645">
        <v>-3.5697800000000002E-2</v>
      </c>
      <c r="R4645">
        <v>-0.93274259999999998</v>
      </c>
      <c r="S4645">
        <v>1.6143799999999999</v>
      </c>
      <c r="T4645">
        <v>-5.529821E-2</v>
      </c>
      <c r="U4645">
        <v>-2.5954280000000001</v>
      </c>
      <c r="V4645">
        <v>-0.2982861</v>
      </c>
      <c r="W4645">
        <v>-2.1439960000000001E-2</v>
      </c>
      <c r="X4645">
        <v>0.95423570000000002</v>
      </c>
      <c r="Y4645">
        <v>-0.47252129999999998</v>
      </c>
      <c r="Z4645">
        <v>4.7273899999999997E-3</v>
      </c>
      <c r="AA4645">
        <v>0.88130659999999905</v>
      </c>
      <c r="AB4645">
        <v>34</v>
      </c>
      <c r="AC4645">
        <v>27.049299999999999</v>
      </c>
      <c r="AD4645">
        <v>-0.92749289999999895</v>
      </c>
      <c r="AE4645">
        <v>-43.197804900000001</v>
      </c>
      <c r="AF4645">
        <v>-24.215048747367199</v>
      </c>
      <c r="AG4645">
        <v>-0.92749289999999895</v>
      </c>
      <c r="AH4645">
        <v>44.828860803203398</v>
      </c>
      <c r="AI4645">
        <v>91.042877522466</v>
      </c>
      <c r="AJ4645">
        <v>118.37643168042599</v>
      </c>
      <c r="AK4645">
        <v>50.959352329380202</v>
      </c>
      <c r="AL4645">
        <v>91.228513327155</v>
      </c>
      <c r="AM4645">
        <v>107.358807830972</v>
      </c>
      <c r="AN4645">
        <v>1.00000002024625</v>
      </c>
    </row>
    <row r="4646" spans="1:40" x14ac:dyDescent="0.25">
      <c r="A4646" t="str">
        <f>"20190305135923206"</f>
        <v>20190305135923206</v>
      </c>
      <c r="B4646" t="str">
        <f>"1551765563193373"</f>
        <v>1551765563193373</v>
      </c>
      <c r="C4646" t="s">
        <v>40</v>
      </c>
      <c r="D4646">
        <v>3.9254259999999999</v>
      </c>
      <c r="E4646">
        <v>0.42770380000000002</v>
      </c>
      <c r="F4646" t="s">
        <v>83</v>
      </c>
      <c r="G4646">
        <v>-393.77749999999997</v>
      </c>
      <c r="H4646">
        <v>0.3952272</v>
      </c>
      <c r="I4646">
        <v>0.74407009999999996</v>
      </c>
      <c r="J4646">
        <v>-420.81650000000002</v>
      </c>
      <c r="K4646">
        <v>1.1086590000000001</v>
      </c>
      <c r="L4646">
        <v>43.602719999999998</v>
      </c>
      <c r="M4646">
        <v>6.3386209999999998E-2</v>
      </c>
      <c r="N4646">
        <v>-1.3862609999999999E-2</v>
      </c>
      <c r="O4646">
        <v>-0.99789300000000003</v>
      </c>
      <c r="P4646">
        <v>0.36171690000000001</v>
      </c>
      <c r="Q4646">
        <v>-3.2801089999999998E-2</v>
      </c>
      <c r="R4646">
        <v>-0.93171119999999996</v>
      </c>
      <c r="S4646">
        <v>1.6227419999999999</v>
      </c>
      <c r="T4646">
        <v>-4.276514E-2</v>
      </c>
      <c r="U4646">
        <v>-2.5905149999999999</v>
      </c>
      <c r="V4646">
        <v>-0.30197689999999999</v>
      </c>
      <c r="W4646">
        <v>-1.878927E-2</v>
      </c>
      <c r="X4646">
        <v>0.95313009999999998</v>
      </c>
      <c r="Y4646">
        <v>-0.4759873</v>
      </c>
      <c r="Z4646">
        <v>5.7345689999999995E-4</v>
      </c>
      <c r="AA4646">
        <v>0.87945200000000001</v>
      </c>
      <c r="AB4646">
        <v>34</v>
      </c>
      <c r="AC4646">
        <v>27.039000000000001</v>
      </c>
      <c r="AD4646">
        <v>-0.71343179999999995</v>
      </c>
      <c r="AE4646">
        <v>-42.858649900000003</v>
      </c>
      <c r="AF4646">
        <v>-24.262899179765601</v>
      </c>
      <c r="AG4646">
        <v>-0.71343179999999995</v>
      </c>
      <c r="AH4646">
        <v>44.4776960773262</v>
      </c>
      <c r="AI4646">
        <v>90.806747027566402</v>
      </c>
      <c r="AJ4646">
        <v>118.612780489383</v>
      </c>
      <c r="AK4646">
        <v>50.670136272638203</v>
      </c>
      <c r="AL4646">
        <v>91.076609185619603</v>
      </c>
      <c r="AM4646">
        <v>107.57958298470101</v>
      </c>
      <c r="AN4646">
        <v>1.0000000361633701</v>
      </c>
    </row>
    <row r="4647" spans="1:40" x14ac:dyDescent="0.25">
      <c r="A4647" t="str">
        <f>"20190305135923228"</f>
        <v>20190305135923228</v>
      </c>
      <c r="B4647" t="str">
        <f>"1551765563223629"</f>
        <v>1551765563223629</v>
      </c>
      <c r="C4647" t="s">
        <v>40</v>
      </c>
      <c r="D4647">
        <v>3.8928910000000001</v>
      </c>
      <c r="E4647">
        <v>0.42750270000000001</v>
      </c>
      <c r="F4647" t="s">
        <v>83</v>
      </c>
      <c r="G4647">
        <v>-393.78449999999998</v>
      </c>
      <c r="H4647">
        <v>0.56391359999999902</v>
      </c>
      <c r="I4647">
        <v>0.74400330000000003</v>
      </c>
      <c r="J4647">
        <v>-420.79539999999997</v>
      </c>
      <c r="K4647">
        <v>1.109022</v>
      </c>
      <c r="L4647">
        <v>43.2637</v>
      </c>
      <c r="M4647">
        <v>6.315113E-2</v>
      </c>
      <c r="N4647">
        <v>-1.3857609999999999E-2</v>
      </c>
      <c r="O4647">
        <v>-0.99790800000000002</v>
      </c>
      <c r="P4647">
        <v>0.3647205</v>
      </c>
      <c r="Q4647">
        <v>-3.1608919999999999E-2</v>
      </c>
      <c r="R4647">
        <v>-0.93058059999999998</v>
      </c>
      <c r="S4647">
        <v>1.630798</v>
      </c>
      <c r="T4647">
        <v>-3.2865169999999999E-2</v>
      </c>
      <c r="U4647">
        <v>-2.5856020000000002</v>
      </c>
      <c r="V4647">
        <v>-0.3052512</v>
      </c>
      <c r="W4647">
        <v>-1.7886050000000001E-2</v>
      </c>
      <c r="X4647">
        <v>0.9521039</v>
      </c>
      <c r="Y4647">
        <v>-0.4789137</v>
      </c>
      <c r="Z4647">
        <v>-2.7045469999999999E-3</v>
      </c>
      <c r="AA4647">
        <v>0.87785780000000002</v>
      </c>
      <c r="AB4647">
        <v>34</v>
      </c>
      <c r="AC4647">
        <v>27.0108999999999</v>
      </c>
      <c r="AD4647">
        <v>-0.54510839999999905</v>
      </c>
      <c r="AE4647">
        <v>-42.519696699999997</v>
      </c>
      <c r="AF4647">
        <v>-24.268709254133899</v>
      </c>
      <c r="AG4647">
        <v>-0.54510839999999905</v>
      </c>
      <c r="AH4647">
        <v>44.135574035499097</v>
      </c>
      <c r="AI4647">
        <v>90.620062174348604</v>
      </c>
      <c r="AJ4647">
        <v>118.804956388919</v>
      </c>
      <c r="AK4647">
        <v>50.370788037040498</v>
      </c>
      <c r="AL4647">
        <v>91.0248498038641</v>
      </c>
      <c r="AM4647">
        <v>107.776215445554</v>
      </c>
      <c r="AN4647">
        <v>1.0000000211406199</v>
      </c>
    </row>
    <row r="4648" spans="1:40" x14ac:dyDescent="0.25">
      <c r="A4648" t="str">
        <f>"20190305135923250"</f>
        <v>20190305135923250</v>
      </c>
      <c r="B4648" t="str">
        <f>"1551765563244124"</f>
        <v>1551765563244124</v>
      </c>
      <c r="C4648" t="s">
        <v>40</v>
      </c>
      <c r="D4648">
        <v>3.870063</v>
      </c>
      <c r="E4648">
        <v>0.4271857</v>
      </c>
      <c r="F4648" t="s">
        <v>83</v>
      </c>
      <c r="G4648">
        <v>-393.75920000000002</v>
      </c>
      <c r="H4648">
        <v>0.59381790000000001</v>
      </c>
      <c r="I4648">
        <v>0.74425699999999995</v>
      </c>
      <c r="J4648">
        <v>-420.77379999999999</v>
      </c>
      <c r="K4648">
        <v>1.1094740000000001</v>
      </c>
      <c r="L4648">
        <v>42.923029999999997</v>
      </c>
      <c r="M4648">
        <v>6.3525780000000004E-2</v>
      </c>
      <c r="N4648">
        <v>-1.385522E-2</v>
      </c>
      <c r="O4648">
        <v>-0.9978842</v>
      </c>
      <c r="P4648">
        <v>0.36829699999999999</v>
      </c>
      <c r="Q4648">
        <v>-3.4406800000000001E-2</v>
      </c>
      <c r="R4648">
        <v>-0.92907130000000004</v>
      </c>
      <c r="S4648">
        <v>1.6403810000000001</v>
      </c>
      <c r="T4648">
        <v>-3.126085E-2</v>
      </c>
      <c r="U4648">
        <v>-2.5798030000000001</v>
      </c>
      <c r="V4648">
        <v>-0.3085405</v>
      </c>
      <c r="W4648">
        <v>-2.1043119999999998E-2</v>
      </c>
      <c r="X4648">
        <v>0.95097849999999995</v>
      </c>
      <c r="Y4648">
        <v>-0.48179739999999999</v>
      </c>
      <c r="Z4648">
        <v>-3.2300720000000001E-3</v>
      </c>
      <c r="AA4648">
        <v>0.87627670000000002</v>
      </c>
      <c r="AB4648">
        <v>34</v>
      </c>
      <c r="AC4648">
        <v>27.014599999999898</v>
      </c>
      <c r="AD4648">
        <v>-0.51565609999999995</v>
      </c>
      <c r="AE4648">
        <v>-42.178773</v>
      </c>
      <c r="AF4648">
        <v>-24.277756107801899</v>
      </c>
      <c r="AG4648">
        <v>-0.51565609999999995</v>
      </c>
      <c r="AH4648">
        <v>43.805209112866997</v>
      </c>
      <c r="AI4648">
        <v>90.589898383963899</v>
      </c>
      <c r="AJ4648">
        <v>118.99612995391399</v>
      </c>
      <c r="AK4648">
        <v>50.085643534503902</v>
      </c>
      <c r="AL4648">
        <v>91.205770866665503</v>
      </c>
      <c r="AM4648">
        <v>107.975410958894</v>
      </c>
      <c r="AN4648">
        <v>1.0000000802509099</v>
      </c>
    </row>
    <row r="4649" spans="1:40" x14ac:dyDescent="0.25">
      <c r="A4649" t="str">
        <f>"20190305135923272"</f>
        <v>20190305135923272</v>
      </c>
      <c r="B4649" t="str">
        <f>"1551765563263644"</f>
        <v>1551765563263644</v>
      </c>
      <c r="C4649" t="s">
        <v>40</v>
      </c>
      <c r="D4649">
        <v>3.8251759999999999</v>
      </c>
      <c r="E4649">
        <v>0.42695319999999998</v>
      </c>
      <c r="F4649" t="s">
        <v>83</v>
      </c>
      <c r="G4649">
        <v>-393.67899999999997</v>
      </c>
      <c r="H4649">
        <v>0.43628529999999999</v>
      </c>
      <c r="I4649">
        <v>0.74507330000000005</v>
      </c>
      <c r="J4649">
        <v>-420.75220000000002</v>
      </c>
      <c r="K4649">
        <v>1.109982</v>
      </c>
      <c r="L4649">
        <v>42.59451</v>
      </c>
      <c r="M4649">
        <v>6.4558790000000005E-2</v>
      </c>
      <c r="N4649">
        <v>-1.38581E-2</v>
      </c>
      <c r="O4649">
        <v>-0.99781790000000004</v>
      </c>
      <c r="P4649">
        <v>0.373442</v>
      </c>
      <c r="Q4649">
        <v>-3.9640059999999998E-2</v>
      </c>
      <c r="R4649">
        <v>-0.92680660000000004</v>
      </c>
      <c r="S4649">
        <v>1.652496</v>
      </c>
      <c r="T4649">
        <v>-4.1059020000000002E-2</v>
      </c>
      <c r="U4649">
        <v>-2.5724179999999999</v>
      </c>
      <c r="V4649">
        <v>-0.3128051</v>
      </c>
      <c r="W4649">
        <v>-2.670289E-2</v>
      </c>
      <c r="X4649">
        <v>0.94944189999999995</v>
      </c>
      <c r="Y4649">
        <v>-0.48494559999999998</v>
      </c>
      <c r="Z4649" s="1">
        <v>2.680614E-5</v>
      </c>
      <c r="AA4649">
        <v>0.87454430000000005</v>
      </c>
      <c r="AB4649">
        <v>34</v>
      </c>
      <c r="AC4649">
        <v>27.0731999999999</v>
      </c>
      <c r="AD4649">
        <v>-0.67369669999999904</v>
      </c>
      <c r="AE4649">
        <v>-41.849436699999998</v>
      </c>
      <c r="AF4649">
        <v>-24.310262763514899</v>
      </c>
      <c r="AG4649">
        <v>-0.67369669999999904</v>
      </c>
      <c r="AH4649">
        <v>43.502151083846499</v>
      </c>
      <c r="AI4649">
        <v>90.774524185278494</v>
      </c>
      <c r="AJ4649">
        <v>119.197724069995</v>
      </c>
      <c r="AK4649">
        <v>49.838538218897803</v>
      </c>
      <c r="AL4649">
        <v>91.530144780821999</v>
      </c>
      <c r="AM4649">
        <v>108.235091518684</v>
      </c>
      <c r="AN4649">
        <v>0.99999999819798602</v>
      </c>
    </row>
    <row r="4650" spans="1:40" x14ac:dyDescent="0.25">
      <c r="A4650" t="str">
        <f>"20190305135923294"</f>
        <v>20190305135923294</v>
      </c>
      <c r="B4650" t="str">
        <f>"1551765563284140"</f>
        <v>1551765563284140</v>
      </c>
      <c r="C4650" t="s">
        <v>40</v>
      </c>
      <c r="D4650">
        <v>3.8260320000000001</v>
      </c>
      <c r="E4650">
        <v>0.42670279999999999</v>
      </c>
      <c r="F4650" t="s">
        <v>83</v>
      </c>
      <c r="G4650">
        <v>-393.50400000000002</v>
      </c>
      <c r="H4650">
        <v>0.1526043</v>
      </c>
      <c r="I4650">
        <v>0.74685290000000004</v>
      </c>
      <c r="J4650">
        <v>-420.72949999999997</v>
      </c>
      <c r="K4650">
        <v>1.1105590000000001</v>
      </c>
      <c r="L4650">
        <v>42.265470000000001</v>
      </c>
      <c r="M4650">
        <v>6.6308300000000001E-2</v>
      </c>
      <c r="N4650">
        <v>-1.386801E-2</v>
      </c>
      <c r="O4650">
        <v>-0.99770289999999995</v>
      </c>
      <c r="P4650">
        <v>0.3793089</v>
      </c>
      <c r="Q4650">
        <v>-4.521381E-2</v>
      </c>
      <c r="R4650">
        <v>-0.92416480000000001</v>
      </c>
      <c r="S4650">
        <v>1.6683349999999999</v>
      </c>
      <c r="T4650">
        <v>-5.8619259999999999E-2</v>
      </c>
      <c r="U4650">
        <v>-2.5622250000000002</v>
      </c>
      <c r="V4650">
        <v>-0.3171175</v>
      </c>
      <c r="W4650">
        <v>-3.2764099999999997E-2</v>
      </c>
      <c r="X4650">
        <v>0.94782010000000005</v>
      </c>
      <c r="Y4650">
        <v>-0.48876720000000001</v>
      </c>
      <c r="Z4650">
        <v>5.8621849999999998E-3</v>
      </c>
      <c r="AA4650">
        <v>0.87239460000000002</v>
      </c>
      <c r="AB4650">
        <v>34</v>
      </c>
      <c r="AC4650">
        <v>27.225499999999901</v>
      </c>
      <c r="AD4650">
        <v>-0.95795469999999905</v>
      </c>
      <c r="AE4650">
        <v>-41.5186171</v>
      </c>
      <c r="AF4650">
        <v>-24.403191893114101</v>
      </c>
      <c r="AG4650">
        <v>-0.95795469999999905</v>
      </c>
      <c r="AH4650">
        <v>43.216586070025897</v>
      </c>
      <c r="AI4650">
        <v>91.105770004026795</v>
      </c>
      <c r="AJ4650">
        <v>119.452196558789</v>
      </c>
      <c r="AK4650">
        <v>49.639769976575899</v>
      </c>
      <c r="AL4650">
        <v>91.877580737094604</v>
      </c>
      <c r="AM4650">
        <v>108.49898506568699</v>
      </c>
      <c r="AN4650">
        <v>0.99999996850953399</v>
      </c>
    </row>
    <row r="4651" spans="1:40" x14ac:dyDescent="0.25">
      <c r="A4651" t="str">
        <f>"20190305135923319"</f>
        <v>20190305135923319</v>
      </c>
      <c r="B4651" t="str">
        <f>"1551765563313421"</f>
        <v>1551765563313421</v>
      </c>
      <c r="C4651" t="s">
        <v>40</v>
      </c>
      <c r="D4651">
        <v>3.8204479999999998</v>
      </c>
      <c r="E4651">
        <v>0.42640640000000002</v>
      </c>
      <c r="F4651" t="s">
        <v>42</v>
      </c>
      <c r="G4651">
        <v>-398.05590000000001</v>
      </c>
      <c r="H4651">
        <v>7.9985909999999993E-2</v>
      </c>
      <c r="I4651">
        <v>7.9733999999999998</v>
      </c>
      <c r="J4651">
        <v>-420.7045</v>
      </c>
      <c r="K4651">
        <v>1.1112109999999999</v>
      </c>
      <c r="L4651">
        <v>41.92371</v>
      </c>
      <c r="M4651">
        <v>6.8898470000000003E-2</v>
      </c>
      <c r="N4651">
        <v>-1.388502E-2</v>
      </c>
      <c r="O4651">
        <v>-0.99752719999999995</v>
      </c>
      <c r="P4651">
        <v>0.38626339999999998</v>
      </c>
      <c r="Q4651">
        <v>-4.8672809999999997E-2</v>
      </c>
      <c r="R4651">
        <v>-0.92110340000000002</v>
      </c>
      <c r="S4651">
        <v>1.6862490000000001</v>
      </c>
      <c r="T4651">
        <v>-7.6644420000000005E-2</v>
      </c>
      <c r="U4651">
        <v>-2.5503230000000001</v>
      </c>
      <c r="V4651">
        <v>-0.32173930000000001</v>
      </c>
      <c r="W4651">
        <v>-3.6763480000000001E-2</v>
      </c>
      <c r="X4651">
        <v>0.94611429999999996</v>
      </c>
      <c r="Y4651">
        <v>-0.49258560000000001</v>
      </c>
      <c r="Z4651">
        <v>1.18587E-2</v>
      </c>
      <c r="AA4651">
        <v>0.87018320000000005</v>
      </c>
      <c r="AB4651">
        <v>34</v>
      </c>
      <c r="AC4651">
        <v>22.648599999999899</v>
      </c>
      <c r="AD4651">
        <v>-1.03122509</v>
      </c>
      <c r="AE4651">
        <v>-33.950309999999902</v>
      </c>
      <c r="AF4651">
        <v>-20.242495430116499</v>
      </c>
      <c r="AG4651">
        <v>-1.03122509</v>
      </c>
      <c r="AH4651">
        <v>35.407614924040999</v>
      </c>
      <c r="AI4651">
        <v>91.448363884336203</v>
      </c>
      <c r="AJ4651">
        <v>119.75655715364</v>
      </c>
      <c r="AK4651">
        <v>40.798544594552702</v>
      </c>
      <c r="AL4651">
        <v>92.106867017395601</v>
      </c>
      <c r="AM4651">
        <v>108.781313964977</v>
      </c>
      <c r="AN4651">
        <v>0.99999999964534503</v>
      </c>
    </row>
    <row r="4652" spans="1:40" x14ac:dyDescent="0.25">
      <c r="A4652" t="str">
        <f>"20190305135923340"</f>
        <v>20190305135923340</v>
      </c>
      <c r="B4652" t="str">
        <f>"1551765563333920"</f>
        <v>1551765563333920</v>
      </c>
      <c r="C4652" t="s">
        <v>40</v>
      </c>
      <c r="D4652">
        <v>3.807096</v>
      </c>
      <c r="E4652">
        <v>0.42620639999999999</v>
      </c>
      <c r="F4652" t="s">
        <v>42</v>
      </c>
      <c r="G4652">
        <v>-399.21850000000001</v>
      </c>
      <c r="H4652" s="1">
        <v>-2.8401289999999999E-6</v>
      </c>
      <c r="I4652">
        <v>10.0107</v>
      </c>
      <c r="J4652">
        <v>-420.67860000000002</v>
      </c>
      <c r="K4652">
        <v>1.11185</v>
      </c>
      <c r="L4652">
        <v>41.592129999999997</v>
      </c>
      <c r="M4652">
        <v>7.2210330000000003E-2</v>
      </c>
      <c r="N4652">
        <v>-1.390624E-2</v>
      </c>
      <c r="O4652">
        <v>-0.99729250000000003</v>
      </c>
      <c r="P4652">
        <v>0.39371709999999999</v>
      </c>
      <c r="Q4652">
        <v>-4.8124319999999998E-2</v>
      </c>
      <c r="R4652">
        <v>-0.91797090000000003</v>
      </c>
      <c r="S4652">
        <v>1.707581</v>
      </c>
      <c r="T4652">
        <v>-8.8312630000000003E-2</v>
      </c>
      <c r="U4652">
        <v>-2.5362550000000001</v>
      </c>
      <c r="V4652">
        <v>-0.3262042</v>
      </c>
      <c r="W4652">
        <v>-3.673353E-2</v>
      </c>
      <c r="X4652">
        <v>0.94458529999999996</v>
      </c>
      <c r="Y4652">
        <v>-0.49691950000000001</v>
      </c>
      <c r="Z4652">
        <v>1.5752260000000001E-2</v>
      </c>
      <c r="AA4652">
        <v>0.86765369999999997</v>
      </c>
      <c r="AB4652">
        <v>34</v>
      </c>
      <c r="AC4652">
        <v>21.460100000000001</v>
      </c>
      <c r="AD4652">
        <v>-1.111852840129</v>
      </c>
      <c r="AE4652">
        <v>-31.581430000000001</v>
      </c>
      <c r="AF4652">
        <v>-19.107138496173899</v>
      </c>
      <c r="AG4652">
        <v>-1.111852840129</v>
      </c>
      <c r="AH4652">
        <v>33.020759818514598</v>
      </c>
      <c r="AI4652">
        <v>91.669351870352102</v>
      </c>
      <c r="AJ4652">
        <v>120.055398992205</v>
      </c>
      <c r="AK4652">
        <v>38.166602380119002</v>
      </c>
      <c r="AL4652">
        <v>92.105149931057397</v>
      </c>
      <c r="AM4652">
        <v>109.051901336651</v>
      </c>
      <c r="AN4652">
        <v>0.99999996064999397</v>
      </c>
    </row>
    <row r="4653" spans="1:40" x14ac:dyDescent="0.25">
      <c r="A4653" t="str">
        <f>"20190305135923363"</f>
        <v>20190305135923363</v>
      </c>
      <c r="B4653" t="str">
        <f>"1551765563353436"</f>
        <v>1551765563353436</v>
      </c>
      <c r="C4653" t="s">
        <v>40</v>
      </c>
      <c r="D4653">
        <v>3.8096350000000001</v>
      </c>
      <c r="E4653">
        <v>0.42614299999999999</v>
      </c>
      <c r="F4653" t="s">
        <v>42</v>
      </c>
      <c r="G4653">
        <v>-398.74099999999999</v>
      </c>
      <c r="H4653">
        <v>1.2933740000000001E-2</v>
      </c>
      <c r="I4653">
        <v>9.6163229999999995</v>
      </c>
      <c r="J4653">
        <v>-420.65019999999998</v>
      </c>
      <c r="K4653">
        <v>1.112468</v>
      </c>
      <c r="L4653">
        <v>41.252659999999999</v>
      </c>
      <c r="M4653">
        <v>7.6295669999999996E-2</v>
      </c>
      <c r="N4653">
        <v>-1.3928940000000001E-2</v>
      </c>
      <c r="O4653">
        <v>-0.99698790000000004</v>
      </c>
      <c r="P4653">
        <v>0.40130900000000003</v>
      </c>
      <c r="Q4653">
        <v>-4.3935719999999998E-2</v>
      </c>
      <c r="R4653">
        <v>-0.91488840000000005</v>
      </c>
      <c r="S4653">
        <v>1.7299500000000001</v>
      </c>
      <c r="T4653">
        <v>-8.6658239999999997E-2</v>
      </c>
      <c r="U4653">
        <v>-2.5215450000000001</v>
      </c>
      <c r="V4653">
        <v>-0.33011410000000002</v>
      </c>
      <c r="W4653">
        <v>-3.3034899999999999E-2</v>
      </c>
      <c r="X4653">
        <v>0.94336279999999995</v>
      </c>
      <c r="Y4653">
        <v>-0.50095979999999996</v>
      </c>
      <c r="Z4653">
        <v>1.522625E-2</v>
      </c>
      <c r="AA4653">
        <v>0.86533669999999996</v>
      </c>
      <c r="AB4653">
        <v>33</v>
      </c>
      <c r="AC4653">
        <v>21.909199999999998</v>
      </c>
      <c r="AD4653">
        <v>-1.09953426</v>
      </c>
      <c r="AE4653">
        <v>-31.636337000000001</v>
      </c>
      <c r="AF4653">
        <v>-19.415526918770201</v>
      </c>
      <c r="AG4653">
        <v>-1.09953426</v>
      </c>
      <c r="AH4653">
        <v>33.188750872717797</v>
      </c>
      <c r="AI4653">
        <v>91.637981072339301</v>
      </c>
      <c r="AJ4653">
        <v>120.327772588283</v>
      </c>
      <c r="AK4653">
        <v>38.466411914990601</v>
      </c>
      <c r="AL4653">
        <v>91.8931047825577</v>
      </c>
      <c r="AM4653">
        <v>109.286643868347</v>
      </c>
      <c r="AN4653">
        <v>0.99999999803032902</v>
      </c>
    </row>
    <row r="4654" spans="1:40" x14ac:dyDescent="0.25">
      <c r="A4654" t="str">
        <f>"20190305135923384"</f>
        <v>20190305135923384</v>
      </c>
      <c r="B4654" t="str">
        <f>"1551765563373932"</f>
        <v>1551765563373932</v>
      </c>
      <c r="C4654" t="s">
        <v>40</v>
      </c>
      <c r="D4654">
        <v>3.798645</v>
      </c>
      <c r="E4654">
        <v>0.42596020000000001</v>
      </c>
      <c r="F4654" t="s">
        <v>42</v>
      </c>
      <c r="G4654">
        <v>-396.23070000000001</v>
      </c>
      <c r="H4654">
        <v>7.9986459999999995E-2</v>
      </c>
      <c r="I4654">
        <v>6.2873150000000004</v>
      </c>
      <c r="J4654">
        <v>-420.62189999999998</v>
      </c>
      <c r="K4654">
        <v>1.1129819999999999</v>
      </c>
      <c r="L4654">
        <v>40.936190000000003</v>
      </c>
      <c r="M4654">
        <v>8.0595620000000007E-2</v>
      </c>
      <c r="N4654">
        <v>-1.394746E-2</v>
      </c>
      <c r="O4654">
        <v>-0.99664940000000002</v>
      </c>
      <c r="P4654">
        <v>0.409022</v>
      </c>
      <c r="Q4654">
        <v>-3.8732000000000003E-2</v>
      </c>
      <c r="R4654">
        <v>-0.91170260000000003</v>
      </c>
      <c r="S4654">
        <v>1.7511599999999901</v>
      </c>
      <c r="T4654">
        <v>-7.4040770000000006E-2</v>
      </c>
      <c r="U4654">
        <v>-2.5074160000000001</v>
      </c>
      <c r="V4654">
        <v>-0.3339917</v>
      </c>
      <c r="W4654">
        <v>-2.8240979999999999E-2</v>
      </c>
      <c r="X4654">
        <v>0.94215289999999996</v>
      </c>
      <c r="Y4654">
        <v>-0.50447580000000003</v>
      </c>
      <c r="Z4654">
        <v>1.105622E-2</v>
      </c>
      <c r="AA4654">
        <v>0.86335499999999898</v>
      </c>
      <c r="AB4654">
        <v>33</v>
      </c>
      <c r="AC4654">
        <v>24.391199999999898</v>
      </c>
      <c r="AD4654">
        <v>-1.0329955399999999</v>
      </c>
      <c r="AE4654">
        <v>-34.648874999999997</v>
      </c>
      <c r="AF4654">
        <v>-21.5062366640589</v>
      </c>
      <c r="AG4654">
        <v>-1.0329955399999999</v>
      </c>
      <c r="AH4654">
        <v>36.480470148085303</v>
      </c>
      <c r="AI4654">
        <v>91.397343862363499</v>
      </c>
      <c r="AJ4654">
        <v>120.520514597044</v>
      </c>
      <c r="AK4654">
        <v>42.360476832319897</v>
      </c>
      <c r="AL4654">
        <v>91.618304048440805</v>
      </c>
      <c r="AM4654">
        <v>109.51933550500701</v>
      </c>
      <c r="AN4654">
        <v>1.0000000477993201</v>
      </c>
    </row>
    <row r="4655" spans="1:40" x14ac:dyDescent="0.25">
      <c r="A4655" t="str">
        <f>"20190305135923407"</f>
        <v>20190305135923407</v>
      </c>
      <c r="B4655" t="str">
        <f>"1551765563404189"</f>
        <v>1551765563404189</v>
      </c>
      <c r="C4655" t="s">
        <v>40</v>
      </c>
      <c r="D4655">
        <v>3.7929520000000001</v>
      </c>
      <c r="E4655">
        <v>0.42587540000000002</v>
      </c>
      <c r="F4655" t="s">
        <v>83</v>
      </c>
      <c r="G4655">
        <v>-392.03379999999999</v>
      </c>
      <c r="H4655">
        <v>0.18073339999999999</v>
      </c>
      <c r="I4655">
        <v>0.76180269999999894</v>
      </c>
      <c r="J4655">
        <v>-420.59120000000001</v>
      </c>
      <c r="K4655">
        <v>1.1134170000000001</v>
      </c>
      <c r="L4655">
        <v>40.612549999999999</v>
      </c>
      <c r="M4655">
        <v>8.543336E-2</v>
      </c>
      <c r="N4655">
        <v>-1.39623E-2</v>
      </c>
      <c r="O4655">
        <v>-0.99624619999999997</v>
      </c>
      <c r="P4655">
        <v>0.41560469999999999</v>
      </c>
      <c r="Q4655">
        <v>-3.6087130000000002E-2</v>
      </c>
      <c r="R4655">
        <v>-0.90882929999999995</v>
      </c>
      <c r="S4655">
        <v>1.77359</v>
      </c>
      <c r="T4655">
        <v>-5.7837840000000001E-2</v>
      </c>
      <c r="U4655">
        <v>-2.4924010000000001</v>
      </c>
      <c r="V4655">
        <v>-0.33621430000000002</v>
      </c>
      <c r="W4655">
        <v>-2.5953130000000001E-2</v>
      </c>
      <c r="X4655">
        <v>0.94142789999999998</v>
      </c>
      <c r="Y4655">
        <v>-0.50793809999999995</v>
      </c>
      <c r="Z4655">
        <v>5.6910290000000002E-3</v>
      </c>
      <c r="AA4655">
        <v>0.8613748</v>
      </c>
      <c r="AB4655">
        <v>33</v>
      </c>
      <c r="AC4655">
        <v>28.557400000000001</v>
      </c>
      <c r="AD4655">
        <v>-0.93268359999999995</v>
      </c>
      <c r="AE4655">
        <v>-39.850747300000002</v>
      </c>
      <c r="AF4655">
        <v>-25.0389939535449</v>
      </c>
      <c r="AG4655">
        <v>-0.93268359999999995</v>
      </c>
      <c r="AH4655">
        <v>42.129764817251903</v>
      </c>
      <c r="AI4655">
        <v>91.090259690091301</v>
      </c>
      <c r="AJ4655">
        <v>120.72429693292899</v>
      </c>
      <c r="AK4655">
        <v>49.017733530430803</v>
      </c>
      <c r="AL4655">
        <v>91.4871717143225</v>
      </c>
      <c r="AM4655">
        <v>109.65328699670199</v>
      </c>
      <c r="AN4655">
        <v>1.0000000556898401</v>
      </c>
    </row>
    <row r="4656" spans="1:40" x14ac:dyDescent="0.25">
      <c r="A4656" t="str">
        <f>"20190305135923428"</f>
        <v>20190305135923428</v>
      </c>
      <c r="B4656" t="str">
        <f>"1551765563423709"</f>
        <v>1551765563423709</v>
      </c>
      <c r="C4656" t="s">
        <v>40</v>
      </c>
      <c r="D4656">
        <v>3.815547</v>
      </c>
      <c r="E4656">
        <v>0.4258536</v>
      </c>
      <c r="F4656" t="s">
        <v>83</v>
      </c>
      <c r="G4656">
        <v>-391.77510000000001</v>
      </c>
      <c r="H4656">
        <v>0.33569979999999999</v>
      </c>
      <c r="I4656">
        <v>0.76443479999999997</v>
      </c>
      <c r="J4656">
        <v>-420.55790000000002</v>
      </c>
      <c r="K4656">
        <v>1.1138209999999999</v>
      </c>
      <c r="L4656">
        <v>40.282710000000002</v>
      </c>
      <c r="M4656">
        <v>9.0777800000000006E-2</v>
      </c>
      <c r="N4656">
        <v>-1.397692E-2</v>
      </c>
      <c r="O4656">
        <v>-0.99577329999999997</v>
      </c>
      <c r="P4656">
        <v>0.42438359999999897</v>
      </c>
      <c r="Q4656">
        <v>-3.3539680000000002E-2</v>
      </c>
      <c r="R4656">
        <v>-0.90486149999999999</v>
      </c>
      <c r="S4656">
        <v>1.792816</v>
      </c>
      <c r="T4656">
        <v>-4.8388E-2</v>
      </c>
      <c r="U4656">
        <v>-2.479187</v>
      </c>
      <c r="V4656">
        <v>-0.34026309999999999</v>
      </c>
      <c r="W4656">
        <v>-2.3769640000000002E-2</v>
      </c>
      <c r="X4656">
        <v>0.94002980000000003</v>
      </c>
      <c r="Y4656">
        <v>-0.50989879999999999</v>
      </c>
      <c r="Z4656">
        <v>2.5712310000000002E-3</v>
      </c>
      <c r="AA4656">
        <v>0.86023059999999996</v>
      </c>
      <c r="AB4656">
        <v>33</v>
      </c>
      <c r="AC4656">
        <v>28.782800000000002</v>
      </c>
      <c r="AD4656">
        <v>-0.77812119999999996</v>
      </c>
      <c r="AE4656">
        <v>-39.518275199999898</v>
      </c>
      <c r="AF4656">
        <v>-25.069855068075</v>
      </c>
      <c r="AG4656">
        <v>-0.77812119999999996</v>
      </c>
      <c r="AH4656">
        <v>41.957544402235101</v>
      </c>
      <c r="AI4656">
        <v>90.912076348436301</v>
      </c>
      <c r="AJ4656">
        <v>120.858540922823</v>
      </c>
      <c r="AK4656">
        <v>48.882907421732902</v>
      </c>
      <c r="AL4656">
        <v>91.362028331227506</v>
      </c>
      <c r="AM4656">
        <v>109.89876392282601</v>
      </c>
      <c r="AN4656">
        <v>0.99999999894768898</v>
      </c>
    </row>
    <row r="4657" spans="1:40" x14ac:dyDescent="0.25">
      <c r="A4657" t="str">
        <f>"20190305135923452"</f>
        <v>20190305135923452</v>
      </c>
      <c r="B4657" t="str">
        <f>"1551765563444204"</f>
        <v>1551765563444204</v>
      </c>
      <c r="C4657" t="s">
        <v>40</v>
      </c>
      <c r="D4657">
        <v>3.827242</v>
      </c>
      <c r="E4657">
        <v>0.42578939999999998</v>
      </c>
      <c r="F4657" t="s">
        <v>83</v>
      </c>
      <c r="G4657">
        <v>-391.38940000000002</v>
      </c>
      <c r="H4657">
        <v>0.4512427</v>
      </c>
      <c r="I4657">
        <v>0.76835819999999999</v>
      </c>
      <c r="J4657">
        <v>-420.52089999999998</v>
      </c>
      <c r="K4657">
        <v>1.1142129999999999</v>
      </c>
      <c r="L4657">
        <v>39.938690000000001</v>
      </c>
      <c r="M4657">
        <v>9.6747730000000004E-2</v>
      </c>
      <c r="N4657">
        <v>-1.3994799999999899E-2</v>
      </c>
      <c r="O4657">
        <v>-0.99521059999999995</v>
      </c>
      <c r="P4657">
        <v>0.43388559999999998</v>
      </c>
      <c r="Q4657">
        <v>-3.0719130000000001E-2</v>
      </c>
      <c r="R4657">
        <v>-0.90044409999999897</v>
      </c>
      <c r="S4657">
        <v>1.8171390000000001</v>
      </c>
      <c r="T4657">
        <v>-4.1278960000000003E-2</v>
      </c>
      <c r="U4657">
        <v>-2.4616699999999998</v>
      </c>
      <c r="V4657">
        <v>-0.3445145</v>
      </c>
      <c r="W4657">
        <v>-2.1317740000000002E-2</v>
      </c>
      <c r="X4657">
        <v>0.93853889999999995</v>
      </c>
      <c r="Y4657">
        <v>-0.51317219999999997</v>
      </c>
      <c r="Z4657">
        <v>2.3229460000000001E-4</v>
      </c>
      <c r="AA4657">
        <v>0.85828570000000004</v>
      </c>
      <c r="AB4657">
        <v>33</v>
      </c>
      <c r="AC4657">
        <v>29.1314999999999</v>
      </c>
      <c r="AD4657">
        <v>-0.66297030000000001</v>
      </c>
      <c r="AE4657">
        <v>-39.1703318</v>
      </c>
      <c r="AF4657">
        <v>-25.2001557109052</v>
      </c>
      <c r="AG4657">
        <v>-0.66297030000000001</v>
      </c>
      <c r="AH4657">
        <v>41.797518127644601</v>
      </c>
      <c r="AI4657">
        <v>90.778236850478706</v>
      </c>
      <c r="AJ4657">
        <v>121.086209403933</v>
      </c>
      <c r="AK4657">
        <v>48.811063285932697</v>
      </c>
      <c r="AL4657">
        <v>91.221509089364702</v>
      </c>
      <c r="AM4657">
        <v>110.156941749686</v>
      </c>
      <c r="AN4657">
        <v>0.99999997678108299</v>
      </c>
    </row>
    <row r="4658" spans="1:40" x14ac:dyDescent="0.25">
      <c r="A4658" t="str">
        <f>"20190305135923473"</f>
        <v>20190305135923473</v>
      </c>
      <c r="B4658" t="str">
        <f>"1551765563463725"</f>
        <v>1551765563463725</v>
      </c>
      <c r="C4658" t="s">
        <v>40</v>
      </c>
      <c r="D4658">
        <v>3.8197459999999999</v>
      </c>
      <c r="E4658">
        <v>0.42569760000000001</v>
      </c>
      <c r="F4658" t="s">
        <v>83</v>
      </c>
      <c r="G4658">
        <v>-390.95920000000001</v>
      </c>
      <c r="H4658">
        <v>0.58801099999999995</v>
      </c>
      <c r="I4658">
        <v>0.77273179999999997</v>
      </c>
      <c r="J4658">
        <v>-420.48570000000001</v>
      </c>
      <c r="K4658">
        <v>1.11454599999999</v>
      </c>
      <c r="L4658">
        <v>39.63062</v>
      </c>
      <c r="M4658">
        <v>0.10241119999999999</v>
      </c>
      <c r="N4658">
        <v>-1.401314E-2</v>
      </c>
      <c r="O4658">
        <v>-0.99464359999999996</v>
      </c>
      <c r="P4658">
        <v>0.44278420000000002</v>
      </c>
      <c r="Q4658">
        <v>-2.7746389999999999E-2</v>
      </c>
      <c r="R4658">
        <v>-0.89619869999999902</v>
      </c>
      <c r="S4658">
        <v>1.8434140000000001</v>
      </c>
      <c r="T4658">
        <v>-3.2814620000000003E-2</v>
      </c>
      <c r="U4658">
        <v>-2.4423219999999999</v>
      </c>
      <c r="V4658">
        <v>-0.34847230000000001</v>
      </c>
      <c r="W4658">
        <v>-1.8670929999999999E-2</v>
      </c>
      <c r="X4658">
        <v>0.93713310000000005</v>
      </c>
      <c r="Y4658">
        <v>-0.51743890000000003</v>
      </c>
      <c r="Z4658">
        <v>-2.5658310000000002E-3</v>
      </c>
      <c r="AA4658">
        <v>0.85571629999999999</v>
      </c>
      <c r="AB4658">
        <v>33</v>
      </c>
      <c r="AC4658">
        <v>29.526499999999999</v>
      </c>
      <c r="AD4658">
        <v>-0.52653499999999898</v>
      </c>
      <c r="AE4658">
        <v>-38.857888199999998</v>
      </c>
      <c r="AF4658">
        <v>-25.388395223265501</v>
      </c>
      <c r="AG4658">
        <v>-0.52653499999999898</v>
      </c>
      <c r="AH4658">
        <v>41.6728290878672</v>
      </c>
      <c r="AI4658">
        <v>90.618209273650507</v>
      </c>
      <c r="AJ4658">
        <v>121.351084312837</v>
      </c>
      <c r="AK4658">
        <v>48.8003333524018</v>
      </c>
      <c r="AL4658">
        <v>91.069827655241497</v>
      </c>
      <c r="AM4658">
        <v>110.397616501019</v>
      </c>
      <c r="AN4658">
        <v>0.99999999730498201</v>
      </c>
    </row>
    <row r="4659" spans="1:40" x14ac:dyDescent="0.25">
      <c r="A4659" t="str">
        <f>"20190305135923495"</f>
        <v>20190305135923495</v>
      </c>
      <c r="B4659" t="str">
        <f>"1551765563484221"</f>
        <v>1551765563484221</v>
      </c>
      <c r="C4659" t="s">
        <v>40</v>
      </c>
      <c r="D4659">
        <v>3.8208679999999999</v>
      </c>
      <c r="E4659">
        <v>0.42564400000000002</v>
      </c>
      <c r="F4659" t="s">
        <v>83</v>
      </c>
      <c r="G4659">
        <v>-390.53859999999997</v>
      </c>
      <c r="H4659">
        <v>0.72882530000000001</v>
      </c>
      <c r="I4659">
        <v>0.77701569999999998</v>
      </c>
      <c r="J4659">
        <v>-420.44490000000002</v>
      </c>
      <c r="K4659">
        <v>1.1148819999999999</v>
      </c>
      <c r="L4659">
        <v>39.295290000000001</v>
      </c>
      <c r="M4659">
        <v>0.1088895</v>
      </c>
      <c r="N4659">
        <v>-1.4034369999999999E-2</v>
      </c>
      <c r="O4659">
        <v>-0.99395489999999997</v>
      </c>
      <c r="P4659">
        <v>0.45269730000000002</v>
      </c>
      <c r="Q4659">
        <v>-2.5604660000000001E-2</v>
      </c>
      <c r="R4659">
        <v>-0.89129669999999905</v>
      </c>
      <c r="S4659">
        <v>1.868134</v>
      </c>
      <c r="T4659">
        <v>-2.4063350000000001E-2</v>
      </c>
      <c r="U4659">
        <v>-2.423737</v>
      </c>
      <c r="V4659">
        <v>-0.3527594</v>
      </c>
      <c r="W4659">
        <v>-1.687727E-2</v>
      </c>
      <c r="X4659">
        <v>0.9355618</v>
      </c>
      <c r="Y4659">
        <v>-0.52050980000000002</v>
      </c>
      <c r="Z4659">
        <v>-5.4648479999999996E-3</v>
      </c>
      <c r="AA4659">
        <v>0.85383819999999999</v>
      </c>
      <c r="AB4659">
        <v>33</v>
      </c>
      <c r="AC4659">
        <v>29.906300000000002</v>
      </c>
      <c r="AD4659">
        <v>-0.38605669999999898</v>
      </c>
      <c r="AE4659">
        <v>-38.518274299999902</v>
      </c>
      <c r="AF4659">
        <v>-25.532189411185801</v>
      </c>
      <c r="AG4659">
        <v>-0.38605669999999898</v>
      </c>
      <c r="AH4659">
        <v>41.5433928210037</v>
      </c>
      <c r="AI4659">
        <v>90.453609254117097</v>
      </c>
      <c r="AJ4659">
        <v>121.574503655215</v>
      </c>
      <c r="AK4659">
        <v>48.763667037913699</v>
      </c>
      <c r="AL4659">
        <v>90.9670422930689</v>
      </c>
      <c r="AM4659">
        <v>110.65926342226</v>
      </c>
      <c r="AN4659">
        <v>0.99999995907512496</v>
      </c>
    </row>
    <row r="4660" spans="1:40" x14ac:dyDescent="0.25">
      <c r="A4660" t="str">
        <f>"20190305135923520"</f>
        <v>20190305135923520</v>
      </c>
      <c r="B4660" t="str">
        <f>"1551765563513502"</f>
        <v>1551765563513502</v>
      </c>
      <c r="C4660" t="s">
        <v>40</v>
      </c>
      <c r="D4660">
        <v>3.8271120000000001</v>
      </c>
      <c r="E4660">
        <v>0.42568640000000002</v>
      </c>
      <c r="F4660" t="s">
        <v>83</v>
      </c>
      <c r="G4660">
        <v>-390.06909999999999</v>
      </c>
      <c r="H4660">
        <v>0.80144859999999996</v>
      </c>
      <c r="I4660">
        <v>0.78178599999999998</v>
      </c>
      <c r="J4660">
        <v>-420.40100000000001</v>
      </c>
      <c r="K4660">
        <v>1.115194</v>
      </c>
      <c r="L4660">
        <v>38.955199999999998</v>
      </c>
      <c r="M4660">
        <v>0.1158001</v>
      </c>
      <c r="N4660">
        <v>-1.405996E-2</v>
      </c>
      <c r="O4660">
        <v>-0.99317299999999997</v>
      </c>
      <c r="P4660">
        <v>0.46404980000000001</v>
      </c>
      <c r="Q4660">
        <v>-2.7910290000000001E-2</v>
      </c>
      <c r="R4660">
        <v>-0.88536939999999997</v>
      </c>
      <c r="S4660">
        <v>1.895081</v>
      </c>
      <c r="T4660">
        <v>-1.9556049999999998E-2</v>
      </c>
      <c r="U4660">
        <v>-2.402771</v>
      </c>
      <c r="V4660">
        <v>-0.35816340000000002</v>
      </c>
      <c r="W4660">
        <v>-1.9544099999999998E-2</v>
      </c>
      <c r="X4660">
        <v>0.93345429999999996</v>
      </c>
      <c r="Y4660">
        <v>-0.52409099999999997</v>
      </c>
      <c r="Z4660">
        <v>-6.9476249999999998E-3</v>
      </c>
      <c r="AA4660">
        <v>0.85163389999999894</v>
      </c>
      <c r="AB4660">
        <v>33</v>
      </c>
      <c r="AC4660">
        <v>30.331900000000001</v>
      </c>
      <c r="AD4660">
        <v>-0.31374540000000001</v>
      </c>
      <c r="AE4660">
        <v>-38.173414000000001</v>
      </c>
      <c r="AF4660">
        <v>-25.705816159544</v>
      </c>
      <c r="AG4660">
        <v>-0.31374540000000001</v>
      </c>
      <c r="AH4660">
        <v>41.427621817725601</v>
      </c>
      <c r="AI4660">
        <v>90.368702471649996</v>
      </c>
      <c r="AJ4660">
        <v>121.819578407159</v>
      </c>
      <c r="AK4660">
        <v>48.755874210978902</v>
      </c>
      <c r="AL4660">
        <v>91.119865788008795</v>
      </c>
      <c r="AM4660">
        <v>110.991646756031</v>
      </c>
      <c r="AN4660">
        <v>0.99999996156642901</v>
      </c>
    </row>
    <row r="4661" spans="1:40" x14ac:dyDescent="0.25">
      <c r="A4661" t="str">
        <f>"20190305135923541"</f>
        <v>20190305135923541</v>
      </c>
      <c r="B4661" t="str">
        <f>"1551765563533997"</f>
        <v>1551765563533997</v>
      </c>
      <c r="C4661" t="s">
        <v>40</v>
      </c>
      <c r="D4661">
        <v>3.8837920000000001</v>
      </c>
      <c r="E4661">
        <v>0.42969259999999898</v>
      </c>
      <c r="F4661" t="s">
        <v>83</v>
      </c>
      <c r="G4661">
        <v>-389.50400000000002</v>
      </c>
      <c r="H4661">
        <v>0.63067700000000004</v>
      </c>
      <c r="I4661">
        <v>0.78753280000000003</v>
      </c>
      <c r="J4661">
        <v>-420.35629999999998</v>
      </c>
      <c r="K4661">
        <v>1.115478</v>
      </c>
      <c r="L4661">
        <v>38.630130000000001</v>
      </c>
      <c r="M4661">
        <v>0.122708399999999</v>
      </c>
      <c r="N4661">
        <v>-1.41505E-2</v>
      </c>
      <c r="O4661">
        <v>-0.99234199999999995</v>
      </c>
      <c r="P4661">
        <v>0.47531119999999999</v>
      </c>
      <c r="Q4661">
        <v>-3.2092259999999997E-2</v>
      </c>
      <c r="R4661">
        <v>-0.87923220000000002</v>
      </c>
      <c r="S4661">
        <v>1.9252929999999999</v>
      </c>
      <c r="T4661">
        <v>-3.0193569999999999E-2</v>
      </c>
      <c r="U4661">
        <v>-2.3783569999999998</v>
      </c>
      <c r="V4661">
        <v>-0.36351860000000003</v>
      </c>
      <c r="W4661">
        <v>-2.4003070000000001E-2</v>
      </c>
      <c r="X4661">
        <v>0.93127769999999999</v>
      </c>
      <c r="Y4661">
        <v>-0.52896529999999997</v>
      </c>
      <c r="Z4661">
        <v>-3.4077740000000001E-3</v>
      </c>
      <c r="AA4661">
        <v>0.84863659999999996</v>
      </c>
      <c r="AB4661">
        <v>33</v>
      </c>
      <c r="AC4661">
        <v>30.8522999999999</v>
      </c>
      <c r="AD4661">
        <v>-0.48480099999999898</v>
      </c>
      <c r="AE4661">
        <v>-37.8425972</v>
      </c>
      <c r="AF4661">
        <v>-25.972465578803199</v>
      </c>
      <c r="AG4661">
        <v>-0.48480099999999898</v>
      </c>
      <c r="AH4661">
        <v>41.338693924416702</v>
      </c>
      <c r="AI4661">
        <v>90.568942323577502</v>
      </c>
      <c r="AJ4661">
        <v>122.140514584646</v>
      </c>
      <c r="AK4661">
        <v>48.823064381789102</v>
      </c>
      <c r="AL4661">
        <v>91.375406649551195</v>
      </c>
      <c r="AM4661">
        <v>111.322885958383</v>
      </c>
      <c r="AN4661">
        <v>1.00000003721633</v>
      </c>
    </row>
    <row r="4662" spans="1:40" x14ac:dyDescent="0.25">
      <c r="A4662" t="str">
        <f>"20190305135923563"</f>
        <v>20190305135923563</v>
      </c>
      <c r="B4662" t="str">
        <f>"1551765563553517"</f>
        <v>1551765563553517</v>
      </c>
      <c r="C4662" t="s">
        <v>40</v>
      </c>
      <c r="D4662">
        <v>3.8314979999999998</v>
      </c>
      <c r="E4662">
        <v>0.43069459999999998</v>
      </c>
      <c r="F4662" t="s">
        <v>41</v>
      </c>
      <c r="G4662">
        <v>-419.66160000000002</v>
      </c>
      <c r="H4662">
        <v>1.072036</v>
      </c>
      <c r="I4662">
        <v>37.77216</v>
      </c>
      <c r="J4662">
        <v>-420.3109</v>
      </c>
      <c r="K4662">
        <v>1.1157330000000001</v>
      </c>
      <c r="L4662">
        <v>38.317839999999997</v>
      </c>
      <c r="M4662">
        <v>0.1295646</v>
      </c>
      <c r="N4662">
        <v>-1.4336440000000001E-2</v>
      </c>
      <c r="O4662">
        <v>-0.99146749999999995</v>
      </c>
      <c r="P4662">
        <v>0.48609049999999998</v>
      </c>
      <c r="Q4662">
        <v>-3.7102360000000001E-2</v>
      </c>
      <c r="R4662">
        <v>-0.87312080000000003</v>
      </c>
      <c r="S4662">
        <v>1.9193119999999999</v>
      </c>
      <c r="T4662">
        <v>-0.120006</v>
      </c>
      <c r="U4662">
        <v>-2.3701479999999999</v>
      </c>
      <c r="V4662">
        <v>-0.36846909999999999</v>
      </c>
      <c r="W4662">
        <v>-2.9159580000000001E-2</v>
      </c>
      <c r="X4662">
        <v>0.92918250000000002</v>
      </c>
      <c r="Y4662">
        <v>-0.52291529999999997</v>
      </c>
      <c r="Z4662">
        <v>2.6742849999999999E-2</v>
      </c>
      <c r="AA4662">
        <v>0.85196499999999997</v>
      </c>
      <c r="AB4662">
        <v>33</v>
      </c>
      <c r="AC4662">
        <v>0.649299999999982</v>
      </c>
      <c r="AD4662">
        <v>-4.3697000000000097E-2</v>
      </c>
      <c r="AE4662">
        <v>-0.54568000000000405</v>
      </c>
      <c r="AF4662">
        <v>-0.57160061504295201</v>
      </c>
      <c r="AG4662">
        <v>-4.3697000000000097E-2</v>
      </c>
      <c r="AH4662">
        <v>0.62355928741102495</v>
      </c>
      <c r="AI4662">
        <v>92.957109190862994</v>
      </c>
      <c r="AJ4662">
        <v>132.51067683415201</v>
      </c>
      <c r="AK4662">
        <v>0.84703180332442496</v>
      </c>
      <c r="AL4662">
        <v>91.670957823480194</v>
      </c>
      <c r="AM4662">
        <v>111.630896298941</v>
      </c>
      <c r="AN4662">
        <v>0.99999993853341596</v>
      </c>
    </row>
    <row r="4663" spans="1:40" x14ac:dyDescent="0.25">
      <c r="A4663" t="str">
        <f>"20190305135923585"</f>
        <v>20190305135923585</v>
      </c>
      <c r="B4663" t="str">
        <f>"1551765563574013"</f>
        <v>1551765563574013</v>
      </c>
      <c r="C4663" t="s">
        <v>40</v>
      </c>
      <c r="D4663">
        <v>3.8709220000000002</v>
      </c>
      <c r="E4663">
        <v>0.43142170000000002</v>
      </c>
      <c r="F4663" t="s">
        <v>41</v>
      </c>
      <c r="G4663">
        <v>-419.6225</v>
      </c>
      <c r="H4663">
        <v>1.0690219999999999</v>
      </c>
      <c r="I4663">
        <v>37.484479999999998</v>
      </c>
      <c r="J4663">
        <v>-420.26229999999998</v>
      </c>
      <c r="K4663">
        <v>1.115991</v>
      </c>
      <c r="L4663">
        <v>38.001130000000003</v>
      </c>
      <c r="M4663">
        <v>0.13678479999999901</v>
      </c>
      <c r="N4663">
        <v>-1.4577659999999999E-2</v>
      </c>
      <c r="O4663">
        <v>-0.99049350000000003</v>
      </c>
      <c r="P4663">
        <v>0.4967203</v>
      </c>
      <c r="Q4663">
        <v>-4.1752209999999998E-2</v>
      </c>
      <c r="R4663">
        <v>-0.86690590000000001</v>
      </c>
      <c r="S4663">
        <v>1.9414670000000001</v>
      </c>
      <c r="T4663">
        <v>-0.13169159999999999</v>
      </c>
      <c r="U4663">
        <v>-2.3494869999999999</v>
      </c>
      <c r="V4663">
        <v>-0.37298769999999998</v>
      </c>
      <c r="W4663">
        <v>-3.3891879999999999E-2</v>
      </c>
      <c r="X4663">
        <v>0.92721710000000002</v>
      </c>
      <c r="Y4663">
        <v>-0.52506489999999995</v>
      </c>
      <c r="Z4663">
        <v>3.057358E-2</v>
      </c>
      <c r="AA4663">
        <v>0.85051279999999996</v>
      </c>
      <c r="AB4663">
        <v>33</v>
      </c>
      <c r="AC4663">
        <v>0.63979999999997905</v>
      </c>
      <c r="AD4663">
        <v>-4.6968999999999997E-2</v>
      </c>
      <c r="AE4663">
        <v>-0.51664999999999806</v>
      </c>
      <c r="AF4663">
        <v>-0.56127676083503097</v>
      </c>
      <c r="AG4663">
        <v>-4.6968999999999997E-2</v>
      </c>
      <c r="AH4663">
        <v>0.597368380859158</v>
      </c>
      <c r="AI4663">
        <v>93.279542378639803</v>
      </c>
      <c r="AJ4663">
        <v>133.21582209950401</v>
      </c>
      <c r="AK4663">
        <v>0.82102781418460902</v>
      </c>
      <c r="AL4663">
        <v>91.942233598944</v>
      </c>
      <c r="AM4663">
        <v>111.913234919717</v>
      </c>
      <c r="AN4663">
        <v>1.00000001720681</v>
      </c>
    </row>
    <row r="4664" spans="1:40" x14ac:dyDescent="0.25">
      <c r="A4664" t="str">
        <f>"20190305135923608"</f>
        <v>20190305135923608</v>
      </c>
      <c r="B4664" t="str">
        <f>"1551765563603293"</f>
        <v>1551765563603293</v>
      </c>
      <c r="C4664" t="s">
        <v>40</v>
      </c>
      <c r="D4664">
        <v>3.9696669999999998</v>
      </c>
      <c r="E4664">
        <v>0.41362080000000001</v>
      </c>
      <c r="F4664" t="s">
        <v>41</v>
      </c>
      <c r="G4664">
        <v>-419.58350000000002</v>
      </c>
      <c r="H4664">
        <v>1.0652820000000001</v>
      </c>
      <c r="I4664">
        <v>37.197189999999999</v>
      </c>
      <c r="J4664">
        <v>-420.20949999999999</v>
      </c>
      <c r="K4664">
        <v>1.1162729999999901</v>
      </c>
      <c r="L4664">
        <v>37.674709999999997</v>
      </c>
      <c r="M4664">
        <v>0.14449579999999901</v>
      </c>
      <c r="N4664">
        <v>-1.488593E-2</v>
      </c>
      <c r="O4664">
        <v>-0.98939359999999998</v>
      </c>
      <c r="P4664">
        <v>0.50796819999999998</v>
      </c>
      <c r="Q4664">
        <v>-4.5395610000000003E-2</v>
      </c>
      <c r="R4664">
        <v>-0.86017919999999903</v>
      </c>
      <c r="S4664">
        <v>1.9649350000000001</v>
      </c>
      <c r="T4664">
        <v>-0.14681759999999999</v>
      </c>
      <c r="U4664">
        <v>-2.3276370000000002</v>
      </c>
      <c r="V4664">
        <v>-0.3777856</v>
      </c>
      <c r="W4664">
        <v>-3.7577289999999999E-2</v>
      </c>
      <c r="X4664">
        <v>0.92513020000000001</v>
      </c>
      <c r="Y4664">
        <v>-0.52724519999999997</v>
      </c>
      <c r="Z4664">
        <v>3.5518790000000001E-2</v>
      </c>
      <c r="AA4664">
        <v>0.84897049999999996</v>
      </c>
      <c r="AB4664">
        <v>33</v>
      </c>
      <c r="AC4664">
        <v>0.62599999999997602</v>
      </c>
      <c r="AD4664">
        <v>-5.0990999999999703E-2</v>
      </c>
      <c r="AE4664">
        <v>-0.477519999999998</v>
      </c>
      <c r="AF4664">
        <v>-0.54812264073644301</v>
      </c>
      <c r="AG4664">
        <v>-5.0990999999999703E-2</v>
      </c>
      <c r="AH4664">
        <v>0.56062045260994797</v>
      </c>
      <c r="AI4664">
        <v>93.721015371226002</v>
      </c>
      <c r="AJ4664">
        <v>134.354186238209</v>
      </c>
      <c r="AK4664">
        <v>0.78570592670125305</v>
      </c>
      <c r="AL4664">
        <v>92.153527249640703</v>
      </c>
      <c r="AM4664">
        <v>112.213110039029</v>
      </c>
      <c r="AN4664">
        <v>0.99999994962157002</v>
      </c>
    </row>
    <row r="4665" spans="1:40" x14ac:dyDescent="0.25">
      <c r="A4665" t="str">
        <f>"20190305135923631"</f>
        <v>20190305135923631</v>
      </c>
      <c r="B4665" t="str">
        <f>"1551765563623792"</f>
        <v>1551765563623792</v>
      </c>
      <c r="C4665" t="s">
        <v>40</v>
      </c>
      <c r="D4665">
        <v>3.8399920000000001</v>
      </c>
      <c r="E4665">
        <v>0.39177240000000002</v>
      </c>
      <c r="F4665" t="s">
        <v>41</v>
      </c>
      <c r="G4665">
        <v>-419.49959999999999</v>
      </c>
      <c r="H4665">
        <v>1.06331</v>
      </c>
      <c r="I4665">
        <v>36.927210000000002</v>
      </c>
      <c r="J4665">
        <v>-420.15320000000003</v>
      </c>
      <c r="K4665">
        <v>1.116576</v>
      </c>
      <c r="L4665">
        <v>37.345210000000002</v>
      </c>
      <c r="M4665">
        <v>0.15256989999999901</v>
      </c>
      <c r="N4665">
        <v>-1.524412E-2</v>
      </c>
      <c r="O4665">
        <v>-0.98817520000000003</v>
      </c>
      <c r="P4665">
        <v>0.51967189999999996</v>
      </c>
      <c r="Q4665">
        <v>-4.7109529999999997E-2</v>
      </c>
      <c r="R4665">
        <v>-0.85306599999999999</v>
      </c>
      <c r="S4665">
        <v>2.1174930000000001</v>
      </c>
      <c r="T4665">
        <v>-0.15792349999999999</v>
      </c>
      <c r="U4665">
        <v>-2.2288510000000001</v>
      </c>
      <c r="V4665">
        <v>-0.38282729999999998</v>
      </c>
      <c r="W4665">
        <v>-3.9311930000000002E-2</v>
      </c>
      <c r="X4665">
        <v>0.92298309999999995</v>
      </c>
      <c r="Y4665">
        <v>-0.56931560000000003</v>
      </c>
      <c r="Z4665">
        <v>3.8825720000000001E-2</v>
      </c>
      <c r="AA4665">
        <v>0.82120179999999998</v>
      </c>
      <c r="AB4665">
        <v>33</v>
      </c>
      <c r="AC4665">
        <v>0.65360000000003904</v>
      </c>
      <c r="AD4665">
        <v>-5.3266000000000001E-2</v>
      </c>
      <c r="AE4665">
        <v>-0.41799999999999898</v>
      </c>
      <c r="AF4665">
        <v>-0.57943340008534405</v>
      </c>
      <c r="AG4665">
        <v>-5.3266000000000001E-2</v>
      </c>
      <c r="AH4665">
        <v>0.51043043883564598</v>
      </c>
      <c r="AI4665">
        <v>93.946020582861095</v>
      </c>
      <c r="AJ4665">
        <v>138.62275380815501</v>
      </c>
      <c r="AK4665">
        <v>0.77402814211139204</v>
      </c>
      <c r="AL4665">
        <v>92.252988264100097</v>
      </c>
      <c r="AM4665">
        <v>112.52729195481101</v>
      </c>
      <c r="AN4665">
        <v>0.99999998617561203</v>
      </c>
    </row>
    <row r="4666" spans="1:40" x14ac:dyDescent="0.25">
      <c r="A4666" t="str">
        <f>"20190305135923653"</f>
        <v>20190305135923653</v>
      </c>
      <c r="B4666" t="str">
        <f>"1551765563643313"</f>
        <v>1551765563643313</v>
      </c>
      <c r="C4666" t="s">
        <v>40</v>
      </c>
      <c r="D4666">
        <v>3.8343639999999999</v>
      </c>
      <c r="E4666">
        <v>0.38210569999999999</v>
      </c>
      <c r="F4666" t="s">
        <v>82</v>
      </c>
      <c r="G4666">
        <v>-406.08069999999998</v>
      </c>
      <c r="H4666" s="1">
        <v>-4.1222729999999998E-6</v>
      </c>
      <c r="I4666">
        <v>24.416910000000001</v>
      </c>
      <c r="J4666">
        <v>-420.09730000000002</v>
      </c>
      <c r="K4666">
        <v>1.116886</v>
      </c>
      <c r="L4666">
        <v>37.034730000000003</v>
      </c>
      <c r="M4666">
        <v>0.1604796</v>
      </c>
      <c r="N4666">
        <v>-1.5611079999999999E-2</v>
      </c>
      <c r="O4666">
        <v>-0.98691569999999995</v>
      </c>
      <c r="P4666">
        <v>0.53166099999999905</v>
      </c>
      <c r="Q4666">
        <v>-4.6810079999999997E-2</v>
      </c>
      <c r="R4666">
        <v>-0.84566260000000004</v>
      </c>
      <c r="S4666">
        <v>2.2951350000000001</v>
      </c>
      <c r="T4666">
        <v>-0.18210670000000001</v>
      </c>
      <c r="U4666">
        <v>-2.1085210000000001</v>
      </c>
      <c r="V4666">
        <v>-0.38843349999999999</v>
      </c>
      <c r="W4666">
        <v>-3.9047129999999999E-2</v>
      </c>
      <c r="X4666">
        <v>0.9206491</v>
      </c>
      <c r="Y4666">
        <v>-0.61720900000000001</v>
      </c>
      <c r="Z4666">
        <v>4.6292819999999998E-2</v>
      </c>
      <c r="AA4666">
        <v>0.78543629999999998</v>
      </c>
      <c r="AB4666">
        <v>33</v>
      </c>
      <c r="AC4666">
        <v>14.0166</v>
      </c>
      <c r="AD4666">
        <v>-1.1168901222730001</v>
      </c>
      <c r="AE4666">
        <v>-12.617819999999901</v>
      </c>
      <c r="AF4666">
        <v>-11.768463905585399</v>
      </c>
      <c r="AG4666">
        <v>-1.1168901222730001</v>
      </c>
      <c r="AH4666">
        <v>14.6525046169112</v>
      </c>
      <c r="AI4666">
        <v>93.401079224498901</v>
      </c>
      <c r="AJ4666">
        <v>128.77041365821</v>
      </c>
      <c r="AK4666">
        <v>18.826579025168201</v>
      </c>
      <c r="AL4666">
        <v>92.237804621420906</v>
      </c>
      <c r="AM4666">
        <v>112.87549634761599</v>
      </c>
      <c r="AN4666">
        <v>1.0000000138071401</v>
      </c>
    </row>
    <row r="4667" spans="1:40" x14ac:dyDescent="0.25">
      <c r="A4667" t="str">
        <f>"20190305135923674"</f>
        <v>20190305135923674</v>
      </c>
      <c r="B4667" t="str">
        <f>"1551765563663805"</f>
        <v>1551765563663805</v>
      </c>
      <c r="C4667" t="s">
        <v>40</v>
      </c>
      <c r="D4667">
        <v>3.804735</v>
      </c>
      <c r="E4667">
        <v>0.37921490000000002</v>
      </c>
      <c r="F4667" t="s">
        <v>82</v>
      </c>
      <c r="G4667">
        <v>-404.50599999999997</v>
      </c>
      <c r="H4667" s="1">
        <v>-4.7823160000000004E-6</v>
      </c>
      <c r="I4667">
        <v>23.768139999999999</v>
      </c>
      <c r="J4667">
        <v>-420.04</v>
      </c>
      <c r="K4667">
        <v>1.11721</v>
      </c>
      <c r="L4667">
        <v>36.732790000000001</v>
      </c>
      <c r="M4667">
        <v>0.16848360000000001</v>
      </c>
      <c r="N4667">
        <v>-1.599629E-2</v>
      </c>
      <c r="O4667">
        <v>-0.98557479999999997</v>
      </c>
      <c r="P4667">
        <v>0.54346240000000001</v>
      </c>
      <c r="Q4667">
        <v>-4.3915080000000002E-2</v>
      </c>
      <c r="R4667">
        <v>-0.83828440000000004</v>
      </c>
      <c r="S4667">
        <v>2.3912049999999998</v>
      </c>
      <c r="T4667">
        <v>-0.17129520000000001</v>
      </c>
      <c r="U4667">
        <v>-2.0346679999999999</v>
      </c>
      <c r="V4667">
        <v>-0.39385940000000003</v>
      </c>
      <c r="W4667">
        <v>-3.6179509999999998E-2</v>
      </c>
      <c r="X4667">
        <v>0.91845840000000001</v>
      </c>
      <c r="Y4667">
        <v>-0.64055169999999995</v>
      </c>
      <c r="Z4667">
        <v>4.2257410000000002E-2</v>
      </c>
      <c r="AA4667">
        <v>0.76675139999999997</v>
      </c>
      <c r="AB4667">
        <v>33</v>
      </c>
      <c r="AC4667">
        <v>15.534000000000001</v>
      </c>
      <c r="AD4667">
        <v>-1.1172147823159999</v>
      </c>
      <c r="AE4667">
        <v>-12.964650000000001</v>
      </c>
      <c r="AF4667">
        <v>-13.087364067557701</v>
      </c>
      <c r="AG4667">
        <v>-1.1172147823159999</v>
      </c>
      <c r="AH4667">
        <v>15.350024101869</v>
      </c>
      <c r="AI4667">
        <v>93.170083762041003</v>
      </c>
      <c r="AJ4667">
        <v>130.45076618915201</v>
      </c>
      <c r="AK4667">
        <v>20.202735137465499</v>
      </c>
      <c r="AL4667">
        <v>92.073385707439996</v>
      </c>
      <c r="AM4667">
        <v>113.210941332875</v>
      </c>
      <c r="AN4667">
        <v>1.00000000822138</v>
      </c>
    </row>
    <row r="4668" spans="1:40" x14ac:dyDescent="0.25">
      <c r="A4668" t="str">
        <f>"20190305135923697"</f>
        <v>20190305135923697</v>
      </c>
      <c r="B4668" t="str">
        <f>"1551765563694061"</f>
        <v>1551765563694061</v>
      </c>
      <c r="C4668" t="s">
        <v>40</v>
      </c>
      <c r="D4668">
        <v>3.8026070000000001</v>
      </c>
      <c r="E4668">
        <v>0.37782759999999999</v>
      </c>
      <c r="F4668" t="s">
        <v>82</v>
      </c>
      <c r="G4668">
        <v>-402.85430000000002</v>
      </c>
      <c r="H4668" s="1">
        <v>-5.3656190000000002E-6</v>
      </c>
      <c r="I4668">
        <v>22.722740000000002</v>
      </c>
      <c r="J4668">
        <v>-419.97590000000002</v>
      </c>
      <c r="K4668">
        <v>1.1175619999999999</v>
      </c>
      <c r="L4668">
        <v>36.411320000000003</v>
      </c>
      <c r="M4668">
        <v>0.177366</v>
      </c>
      <c r="N4668">
        <v>-1.6444790000000001E-2</v>
      </c>
      <c r="O4668">
        <v>-0.98400779999999999</v>
      </c>
      <c r="P4668">
        <v>0.555415199999999</v>
      </c>
      <c r="Q4668">
        <v>-4.2513280000000001E-2</v>
      </c>
      <c r="R4668">
        <v>-0.8304859</v>
      </c>
      <c r="S4668">
        <v>2.4396059999999999</v>
      </c>
      <c r="T4668">
        <v>-0.15859470000000001</v>
      </c>
      <c r="U4668">
        <v>-1.9887999999999999</v>
      </c>
      <c r="V4668">
        <v>-0.39871590000000001</v>
      </c>
      <c r="W4668">
        <v>-3.4768260000000002E-2</v>
      </c>
      <c r="X4668">
        <v>0.91641519999999999</v>
      </c>
      <c r="Y4668">
        <v>-0.64987819999999996</v>
      </c>
      <c r="Z4668">
        <v>3.7735360000000003E-2</v>
      </c>
      <c r="AA4668">
        <v>0.75910100000000003</v>
      </c>
      <c r="AB4668">
        <v>33</v>
      </c>
      <c r="AC4668">
        <v>17.121600000000001</v>
      </c>
      <c r="AD4668">
        <v>-1.1175673656189999</v>
      </c>
      <c r="AE4668">
        <v>-13.68858</v>
      </c>
      <c r="AF4668">
        <v>-14.384458735501299</v>
      </c>
      <c r="AG4668">
        <v>-1.1175673656189999</v>
      </c>
      <c r="AH4668">
        <v>16.4658904175046</v>
      </c>
      <c r="AI4668">
        <v>92.926087082773904</v>
      </c>
      <c r="AJ4668">
        <v>131.140180165836</v>
      </c>
      <c r="AK4668">
        <v>21.892627918349699</v>
      </c>
      <c r="AL4668">
        <v>91.992476105165395</v>
      </c>
      <c r="AM4668">
        <v>113.51299825369399</v>
      </c>
      <c r="AN4668">
        <v>1.0000000098036299</v>
      </c>
    </row>
    <row r="4669" spans="1:40" x14ac:dyDescent="0.25">
      <c r="A4669" t="str">
        <f>"20190305135923722"</f>
        <v>20190305135923722</v>
      </c>
      <c r="B4669" t="str">
        <f>"1551765563713582"</f>
        <v>1551765563713582</v>
      </c>
      <c r="C4669" t="s">
        <v>40</v>
      </c>
      <c r="D4669">
        <v>3.795309</v>
      </c>
      <c r="E4669">
        <v>0.37735079999999999</v>
      </c>
      <c r="F4669" t="s">
        <v>82</v>
      </c>
      <c r="G4669">
        <v>-401.69330000000002</v>
      </c>
      <c r="H4669" s="1">
        <v>-5.7841649999999997E-6</v>
      </c>
      <c r="I4669">
        <v>22.035889999999998</v>
      </c>
      <c r="J4669">
        <v>-419.90429999999998</v>
      </c>
      <c r="K4669">
        <v>1.1179239999999999</v>
      </c>
      <c r="L4669">
        <v>36.07291</v>
      </c>
      <c r="M4669">
        <v>0.18722179999999999</v>
      </c>
      <c r="N4669">
        <v>-1.6946050000000001E-2</v>
      </c>
      <c r="O4669">
        <v>-0.98217160000000003</v>
      </c>
      <c r="P4669">
        <v>0.56764979999999998</v>
      </c>
      <c r="Q4669">
        <v>-4.2078730000000002E-2</v>
      </c>
      <c r="R4669">
        <v>-0.82219419999999899</v>
      </c>
      <c r="S4669">
        <v>2.4772639999999999</v>
      </c>
      <c r="T4669">
        <v>-0.15142849999999999</v>
      </c>
      <c r="U4669">
        <v>-1.947845</v>
      </c>
      <c r="V4669">
        <v>-0.40307290000000001</v>
      </c>
      <c r="W4669">
        <v>-3.4296939999999998E-2</v>
      </c>
      <c r="X4669">
        <v>0.91452500000000003</v>
      </c>
      <c r="Y4669">
        <v>-0.6556959</v>
      </c>
      <c r="Z4669">
        <v>3.506422E-2</v>
      </c>
      <c r="AA4669">
        <v>0.75421050000000001</v>
      </c>
      <c r="AB4669">
        <v>32</v>
      </c>
      <c r="AC4669">
        <v>18.210999999999899</v>
      </c>
      <c r="AD4669">
        <v>-1.117929784165</v>
      </c>
      <c r="AE4669">
        <v>-14.03702</v>
      </c>
      <c r="AF4669">
        <v>-15.2244906139122</v>
      </c>
      <c r="AG4669">
        <v>-1.117929784165</v>
      </c>
      <c r="AH4669">
        <v>17.158165353904099</v>
      </c>
      <c r="AI4669">
        <v>92.790122741319905</v>
      </c>
      <c r="AJ4669">
        <v>131.582738593882</v>
      </c>
      <c r="AK4669">
        <v>22.966007919691599</v>
      </c>
      <c r="AL4669">
        <v>91.965455343591898</v>
      </c>
      <c r="AM4669">
        <v>113.785276897158</v>
      </c>
      <c r="AN4669">
        <v>1.0000000092163801</v>
      </c>
    </row>
    <row r="4670" spans="1:40" x14ac:dyDescent="0.25">
      <c r="A4670" t="str">
        <f>"20190305135923742"</f>
        <v>20190305135923742</v>
      </c>
      <c r="B4670" t="str">
        <f>"1551765563734076"</f>
        <v>1551765563734076</v>
      </c>
      <c r="C4670" t="s">
        <v>40</v>
      </c>
      <c r="D4670">
        <v>3.8022749999999998</v>
      </c>
      <c r="E4670">
        <v>0.3771986</v>
      </c>
      <c r="F4670" t="s">
        <v>82</v>
      </c>
      <c r="G4670">
        <v>-400.74889999999999</v>
      </c>
      <c r="H4670" s="1">
        <v>-6.1090899999999998E-6</v>
      </c>
      <c r="I4670">
        <v>21.50149</v>
      </c>
      <c r="J4670">
        <v>-419.83850000000001</v>
      </c>
      <c r="K4670">
        <v>1.1182510000000001</v>
      </c>
      <c r="L4670">
        <v>35.777500000000003</v>
      </c>
      <c r="M4670">
        <v>0.19622729999999999</v>
      </c>
      <c r="N4670">
        <v>-1.7399850000000001E-2</v>
      </c>
      <c r="O4670">
        <v>-0.9804041</v>
      </c>
      <c r="P4670">
        <v>0.57941929999999997</v>
      </c>
      <c r="Q4670">
        <v>-4.2661959999999999E-2</v>
      </c>
      <c r="R4670">
        <v>-0.81391230000000003</v>
      </c>
      <c r="S4670">
        <v>2.5093079999999999</v>
      </c>
      <c r="T4670">
        <v>-0.14644560000000001</v>
      </c>
      <c r="U4670">
        <v>-1.9088130000000001</v>
      </c>
      <c r="V4670">
        <v>-0.40780470000000002</v>
      </c>
      <c r="W4670">
        <v>-3.4870909999999998E-2</v>
      </c>
      <c r="X4670">
        <v>0.91240299999999996</v>
      </c>
      <c r="Y4670">
        <v>-0.66087969999999996</v>
      </c>
      <c r="Z4670">
        <v>3.3181130000000003E-2</v>
      </c>
      <c r="AA4670">
        <v>0.74975800000000004</v>
      </c>
      <c r="AB4670">
        <v>32</v>
      </c>
      <c r="AC4670">
        <v>19.089600000000001</v>
      </c>
      <c r="AD4670">
        <v>-1.11825710909</v>
      </c>
      <c r="AE4670">
        <v>-14.276009999999999</v>
      </c>
      <c r="AF4670">
        <v>-15.8816365845269</v>
      </c>
      <c r="AG4670">
        <v>-1.11825710909</v>
      </c>
      <c r="AH4670">
        <v>17.705878771350001</v>
      </c>
      <c r="AI4670">
        <v>92.691795792208197</v>
      </c>
      <c r="AJ4670">
        <v>131.891142967722</v>
      </c>
      <c r="AK4670">
        <v>23.811237318349502</v>
      </c>
      <c r="AL4670">
        <v>91.998361216882103</v>
      </c>
      <c r="AM4670">
        <v>114.082578978342</v>
      </c>
      <c r="AN4670">
        <v>0.99999994405765702</v>
      </c>
    </row>
    <row r="4671" spans="1:40" x14ac:dyDescent="0.25">
      <c r="A4671" t="str">
        <f>"20190305135923764"</f>
        <v>20190305135923764</v>
      </c>
      <c r="B4671" t="str">
        <f>"1551765563753597"</f>
        <v>1551765563753597</v>
      </c>
      <c r="C4671" t="s">
        <v>40</v>
      </c>
      <c r="D4671">
        <v>3.8292639999999998</v>
      </c>
      <c r="E4671">
        <v>0.37738959999999999</v>
      </c>
      <c r="F4671" t="s">
        <v>82</v>
      </c>
      <c r="G4671">
        <v>-400.72559999999999</v>
      </c>
      <c r="H4671" s="1">
        <v>-6.13699399999999E-6</v>
      </c>
      <c r="I4671">
        <v>21.68036</v>
      </c>
      <c r="J4671">
        <v>-419.77050000000003</v>
      </c>
      <c r="K4671">
        <v>1.118554</v>
      </c>
      <c r="L4671">
        <v>35.48706</v>
      </c>
      <c r="M4671">
        <v>0.20542750000000001</v>
      </c>
      <c r="N4671">
        <v>-1.784825E-2</v>
      </c>
      <c r="O4671">
        <v>-0.97850970000000004</v>
      </c>
      <c r="P4671">
        <v>0.59080359999999998</v>
      </c>
      <c r="Q4671">
        <v>-4.2932199999999997E-2</v>
      </c>
      <c r="R4671">
        <v>-0.80567239999999996</v>
      </c>
      <c r="S4671">
        <v>2.5375670000000001</v>
      </c>
      <c r="T4671">
        <v>-0.1484684</v>
      </c>
      <c r="U4671">
        <v>-1.8716429999999999</v>
      </c>
      <c r="V4671">
        <v>-0.41203450000000003</v>
      </c>
      <c r="W4671">
        <v>-3.5108929999999997E-2</v>
      </c>
      <c r="X4671">
        <v>0.91049159999999996</v>
      </c>
      <c r="Y4671">
        <v>-0.66490039999999995</v>
      </c>
      <c r="Z4671">
        <v>3.3656310000000002E-2</v>
      </c>
      <c r="AA4671">
        <v>0.74617339999999999</v>
      </c>
      <c r="AB4671">
        <v>32</v>
      </c>
      <c r="AC4671">
        <v>19.044899999999998</v>
      </c>
      <c r="AD4671">
        <v>-1.1185601369939999</v>
      </c>
      <c r="AE4671">
        <v>-13.806699999999999</v>
      </c>
      <c r="AF4671">
        <v>-15.766208685058199</v>
      </c>
      <c r="AG4671">
        <v>-1.1185601369939999</v>
      </c>
      <c r="AH4671">
        <v>17.385797447012099</v>
      </c>
      <c r="AI4671">
        <v>92.728607195460199</v>
      </c>
      <c r="AJ4671">
        <v>132.20312906441501</v>
      </c>
      <c r="AK4671">
        <v>23.496605413323199</v>
      </c>
      <c r="AL4671">
        <v>92.012006982418796</v>
      </c>
      <c r="AM4671">
        <v>114.348687121285</v>
      </c>
      <c r="AN4671">
        <v>1.00000000991327</v>
      </c>
    </row>
    <row r="4672" spans="1:40" x14ac:dyDescent="0.25">
      <c r="A4672" t="str">
        <f>"20190305135923787"</f>
        <v>20190305135923787</v>
      </c>
      <c r="B4672" t="str">
        <f>"1551765563783853"</f>
        <v>1551765563783853</v>
      </c>
      <c r="C4672" t="s">
        <v>40</v>
      </c>
      <c r="D4672">
        <v>3.7897129999999999</v>
      </c>
      <c r="E4672">
        <v>0.3780385</v>
      </c>
      <c r="F4672" t="s">
        <v>82</v>
      </c>
      <c r="G4672">
        <v>-401.01990000000001</v>
      </c>
      <c r="H4672" s="1">
        <v>-6.0795650000000003E-6</v>
      </c>
      <c r="I4672">
        <v>22.045580000000001</v>
      </c>
      <c r="J4672">
        <v>-419.69450000000001</v>
      </c>
      <c r="K4672">
        <v>1.1188640000000001</v>
      </c>
      <c r="L4672">
        <v>35.178040000000003</v>
      </c>
      <c r="M4672">
        <v>0.21562539999999999</v>
      </c>
      <c r="N4672">
        <v>-1.830797E-2</v>
      </c>
      <c r="O4672">
        <v>-0.97630470000000003</v>
      </c>
      <c r="P4672">
        <v>0.60320879999999999</v>
      </c>
      <c r="Q4672">
        <v>-4.2794899999999997E-2</v>
      </c>
      <c r="R4672">
        <v>-0.79643450000000005</v>
      </c>
      <c r="S4672">
        <v>2.5620729999999998</v>
      </c>
      <c r="T4672">
        <v>-0.1528398</v>
      </c>
      <c r="U4672">
        <v>-1.8366389999999999</v>
      </c>
      <c r="V4672">
        <v>-0.41661019999999999</v>
      </c>
      <c r="W4672">
        <v>-3.4954300000000001E-2</v>
      </c>
      <c r="X4672">
        <v>0.90841300000000003</v>
      </c>
      <c r="Y4672">
        <v>-0.66716690000000001</v>
      </c>
      <c r="Z4672">
        <v>3.4934939999999998E-2</v>
      </c>
      <c r="AA4672">
        <v>0.74408859999999999</v>
      </c>
      <c r="AB4672">
        <v>32</v>
      </c>
      <c r="AC4672">
        <v>18.674600000000002</v>
      </c>
      <c r="AD4672">
        <v>-1.118870079565</v>
      </c>
      <c r="AE4672">
        <v>-13.13246</v>
      </c>
      <c r="AF4672">
        <v>-15.366079007886199</v>
      </c>
      <c r="AG4672">
        <v>-1.118870079565</v>
      </c>
      <c r="AH4672">
        <v>16.810444907451298</v>
      </c>
      <c r="AI4672">
        <v>92.812496796951805</v>
      </c>
      <c r="AJ4672">
        <v>132.42978598933101</v>
      </c>
      <c r="AK4672">
        <v>22.802616348086101</v>
      </c>
      <c r="AL4672">
        <v>92.003141874146095</v>
      </c>
      <c r="AM4672">
        <v>114.636815207263</v>
      </c>
      <c r="AN4672">
        <v>1.00000002020076</v>
      </c>
    </row>
    <row r="4673" spans="1:40" x14ac:dyDescent="0.25">
      <c r="A4673" t="str">
        <f>"20190305135923810"</f>
        <v>20190305135923810</v>
      </c>
      <c r="B4673" t="str">
        <f>"1551765563803374"</f>
        <v>1551765563803374</v>
      </c>
      <c r="C4673" t="s">
        <v>40</v>
      </c>
      <c r="D4673">
        <v>3.807982</v>
      </c>
      <c r="E4673">
        <v>0.37842589999999998</v>
      </c>
      <c r="F4673" t="s">
        <v>82</v>
      </c>
      <c r="G4673">
        <v>-401.61900000000003</v>
      </c>
      <c r="H4673" s="1">
        <v>-5.91765E-6</v>
      </c>
      <c r="I4673">
        <v>22.591460000000001</v>
      </c>
      <c r="J4673">
        <v>-419.6146</v>
      </c>
      <c r="K4673">
        <v>1.119154</v>
      </c>
      <c r="L4673">
        <v>34.869079999999997</v>
      </c>
      <c r="M4673">
        <v>0.22625329999999999</v>
      </c>
      <c r="N4673">
        <v>-1.8751049999999998E-2</v>
      </c>
      <c r="O4673">
        <v>-0.97388790000000003</v>
      </c>
      <c r="P4673">
        <v>0.6157435</v>
      </c>
      <c r="Q4673">
        <v>-4.3043579999999998E-2</v>
      </c>
      <c r="R4673">
        <v>-0.78676999999999997</v>
      </c>
      <c r="S4673">
        <v>2.5852050000000002</v>
      </c>
      <c r="T4673">
        <v>-0.16002420000000001</v>
      </c>
      <c r="U4673">
        <v>-1.800171</v>
      </c>
      <c r="V4673">
        <v>-0.42106519999999997</v>
      </c>
      <c r="W4673">
        <v>-3.520326E-2</v>
      </c>
      <c r="X4673">
        <v>0.90634700000000001</v>
      </c>
      <c r="Y4673">
        <v>-0.66914649999999998</v>
      </c>
      <c r="Z4673">
        <v>3.7212460000000003E-2</v>
      </c>
      <c r="AA4673">
        <v>0.74219820000000003</v>
      </c>
      <c r="AB4673">
        <v>32</v>
      </c>
      <c r="AC4673">
        <v>17.9955999999999</v>
      </c>
      <c r="AD4673">
        <v>-1.11915991765</v>
      </c>
      <c r="AE4673">
        <v>-12.277619999999899</v>
      </c>
      <c r="AF4673">
        <v>-14.711612911842099</v>
      </c>
      <c r="AG4673">
        <v>-1.11915991765</v>
      </c>
      <c r="AH4673">
        <v>15.989210802942001</v>
      </c>
      <c r="AI4673">
        <v>92.948630713775401</v>
      </c>
      <c r="AJ4673">
        <v>132.61704258998401</v>
      </c>
      <c r="AK4673">
        <v>21.756353910756101</v>
      </c>
      <c r="AL4673">
        <v>92.0174149992434</v>
      </c>
      <c r="AM4673">
        <v>114.91835306937899</v>
      </c>
      <c r="AN4673">
        <v>1.00000002828733</v>
      </c>
    </row>
    <row r="4674" spans="1:40" x14ac:dyDescent="0.25">
      <c r="A4674" t="str">
        <f>"20190305135923832"</f>
        <v>20190305135923832</v>
      </c>
      <c r="B4674" t="str">
        <f>"1551765563823872"</f>
        <v>1551765563823872</v>
      </c>
      <c r="C4674" t="s">
        <v>40</v>
      </c>
      <c r="D4674">
        <v>3.806915</v>
      </c>
      <c r="E4674">
        <v>0.37893979999999999</v>
      </c>
      <c r="F4674" t="s">
        <v>82</v>
      </c>
      <c r="G4674">
        <v>-401.48250000000002</v>
      </c>
      <c r="H4674" s="1">
        <v>-5.989953E-6</v>
      </c>
      <c r="I4674">
        <v>22.640440000000002</v>
      </c>
      <c r="J4674">
        <v>-419.53469999999999</v>
      </c>
      <c r="K4674">
        <v>1.119435</v>
      </c>
      <c r="L4674">
        <v>34.574710000000003</v>
      </c>
      <c r="M4674">
        <v>0.23680409999999999</v>
      </c>
      <c r="N4674">
        <v>-1.9152160000000001E-2</v>
      </c>
      <c r="O4674">
        <v>-0.97136880000000003</v>
      </c>
      <c r="P4674">
        <v>0.6284651</v>
      </c>
      <c r="Q4674">
        <v>-4.2985059999999999E-2</v>
      </c>
      <c r="R4674">
        <v>-0.77664909999999998</v>
      </c>
      <c r="S4674">
        <v>2.6109309999999999</v>
      </c>
      <c r="T4674">
        <v>-0.16115370000000001</v>
      </c>
      <c r="U4674">
        <v>-1.760864</v>
      </c>
      <c r="V4674">
        <v>-0.42595660000000002</v>
      </c>
      <c r="W4674">
        <v>-3.5193719999999998E-2</v>
      </c>
      <c r="X4674">
        <v>0.90405880000000005</v>
      </c>
      <c r="Y4674">
        <v>-0.67213179999999995</v>
      </c>
      <c r="Z4674">
        <v>3.7496599999999998E-2</v>
      </c>
      <c r="AA4674">
        <v>0.73948150000000001</v>
      </c>
      <c r="AB4674">
        <v>32</v>
      </c>
      <c r="AC4674">
        <v>18.0521999999999</v>
      </c>
      <c r="AD4674">
        <v>-1.119440989953</v>
      </c>
      <c r="AE4674">
        <v>-11.9342699999999</v>
      </c>
      <c r="AF4674">
        <v>-14.6726931113582</v>
      </c>
      <c r="AG4674">
        <v>-1.119440989953</v>
      </c>
      <c r="AH4674">
        <v>15.827966704660399</v>
      </c>
      <c r="AI4674">
        <v>92.969130532709102</v>
      </c>
      <c r="AJ4674">
        <v>132.830844511116</v>
      </c>
      <c r="AK4674">
        <v>21.611700564137099</v>
      </c>
      <c r="AL4674">
        <v>92.0168681793714</v>
      </c>
      <c r="AM4674">
        <v>115.22795127091</v>
      </c>
      <c r="AN4674">
        <v>0.99999996843421801</v>
      </c>
    </row>
    <row r="4675" spans="1:40" x14ac:dyDescent="0.25">
      <c r="A4675" t="str">
        <f>"20190305135923853"</f>
        <v>20190305135923853</v>
      </c>
      <c r="B4675" t="str">
        <f>"1551765563843389"</f>
        <v>1551765563843389</v>
      </c>
      <c r="C4675" t="s">
        <v>40</v>
      </c>
      <c r="D4675">
        <v>3.7633269999999999</v>
      </c>
      <c r="E4675">
        <v>0.37940990000000002</v>
      </c>
      <c r="F4675" t="s">
        <v>82</v>
      </c>
      <c r="G4675">
        <v>-401.07679999999999</v>
      </c>
      <c r="H4675" s="1">
        <v>-6.1145520000000002E-6</v>
      </c>
      <c r="I4675">
        <v>22.526119999999999</v>
      </c>
      <c r="J4675">
        <v>-419.45389999999998</v>
      </c>
      <c r="K4675">
        <v>1.1197010000000001</v>
      </c>
      <c r="L4675">
        <v>34.290500000000002</v>
      </c>
      <c r="M4675">
        <v>0.2473996</v>
      </c>
      <c r="N4675">
        <v>-1.951547E-2</v>
      </c>
      <c r="O4675">
        <v>-0.96871700000000005</v>
      </c>
      <c r="P4675">
        <v>0.64075760000000004</v>
      </c>
      <c r="Q4675">
        <v>-4.23059E-2</v>
      </c>
      <c r="R4675">
        <v>-0.76657679999999995</v>
      </c>
      <c r="S4675">
        <v>2.6360779999999999</v>
      </c>
      <c r="T4675">
        <v>-0.15987419999999999</v>
      </c>
      <c r="U4675">
        <v>-1.720734</v>
      </c>
      <c r="V4675">
        <v>-0.43046400000000001</v>
      </c>
      <c r="W4675">
        <v>-3.4588510000000003E-2</v>
      </c>
      <c r="X4675">
        <v>0.90194479999999999</v>
      </c>
      <c r="Y4675">
        <v>-0.67517050000000001</v>
      </c>
      <c r="Z4675">
        <v>3.7013919999999999E-2</v>
      </c>
      <c r="AA4675">
        <v>0.73673250000000001</v>
      </c>
      <c r="AB4675">
        <v>31</v>
      </c>
      <c r="AC4675">
        <v>18.377099999999899</v>
      </c>
      <c r="AD4675">
        <v>-1.1197071145519999</v>
      </c>
      <c r="AE4675">
        <v>-11.764379999999999</v>
      </c>
      <c r="AF4675">
        <v>-14.855424347064201</v>
      </c>
      <c r="AG4675">
        <v>-1.1197071145519999</v>
      </c>
      <c r="AH4675">
        <v>15.9039991908689</v>
      </c>
      <c r="AI4675">
        <v>92.945295685489796</v>
      </c>
      <c r="AJ4675">
        <v>133.04756884734101</v>
      </c>
      <c r="AK4675">
        <v>21.791616893128602</v>
      </c>
      <c r="AL4675">
        <v>91.982170967841</v>
      </c>
      <c r="AM4675">
        <v>115.513370907992</v>
      </c>
      <c r="AN4675">
        <v>1.0000000212835201</v>
      </c>
    </row>
    <row r="4676" spans="1:40" x14ac:dyDescent="0.25">
      <c r="A4676" t="str">
        <f>"20190305135923875"</f>
        <v>20190305135923875</v>
      </c>
      <c r="B4676" t="str">
        <f>"1551765563863888"</f>
        <v>1551765563863888</v>
      </c>
      <c r="C4676" t="s">
        <v>40</v>
      </c>
      <c r="D4676">
        <v>3.7417609999999999</v>
      </c>
      <c r="E4676">
        <v>0.37984610000000002</v>
      </c>
      <c r="F4676" t="s">
        <v>42</v>
      </c>
      <c r="G4676">
        <v>-399.87099999999998</v>
      </c>
      <c r="H4676" s="1">
        <v>-6.5434320000000004E-7</v>
      </c>
      <c r="I4676">
        <v>21.919720000000002</v>
      </c>
      <c r="J4676">
        <v>-419.36750000000001</v>
      </c>
      <c r="K4676">
        <v>1.1199749999999999</v>
      </c>
      <c r="L4676">
        <v>34.000819999999997</v>
      </c>
      <c r="M4676">
        <v>0.25861459999999997</v>
      </c>
      <c r="N4676">
        <v>-1.986081E-2</v>
      </c>
      <c r="O4676">
        <v>-0.96577659999999999</v>
      </c>
      <c r="P4676">
        <v>0.65367649999999999</v>
      </c>
      <c r="Q4676">
        <v>-4.0985580000000001E-2</v>
      </c>
      <c r="R4676">
        <v>-0.75566369999999905</v>
      </c>
      <c r="S4676">
        <v>2.6609189999999998</v>
      </c>
      <c r="T4676">
        <v>-0.152144899999999</v>
      </c>
      <c r="U4676">
        <v>-1.680939</v>
      </c>
      <c r="V4676">
        <v>-0.43530029999999997</v>
      </c>
      <c r="W4676">
        <v>-3.3382299999999997E-2</v>
      </c>
      <c r="X4676">
        <v>0.89966619999999997</v>
      </c>
      <c r="Y4676">
        <v>-0.67768200000000001</v>
      </c>
      <c r="Z4676">
        <v>3.4362700000000003E-2</v>
      </c>
      <c r="AA4676">
        <v>0.73455179999999998</v>
      </c>
      <c r="AB4676">
        <v>31</v>
      </c>
      <c r="AC4676">
        <v>19.496500000000001</v>
      </c>
      <c r="AD4676">
        <v>-1.11997565434319</v>
      </c>
      <c r="AE4676">
        <v>-12.081099999999999</v>
      </c>
      <c r="AF4676">
        <v>-15.670644931019501</v>
      </c>
      <c r="AG4676">
        <v>-1.11997565434319</v>
      </c>
      <c r="AH4676">
        <v>16.673260930702501</v>
      </c>
      <c r="AI4676">
        <v>92.802197394552294</v>
      </c>
      <c r="AJ4676">
        <v>133.22447925756899</v>
      </c>
      <c r="AK4676">
        <v>22.908973964010301</v>
      </c>
      <c r="AL4676">
        <v>91.913020316767003</v>
      </c>
      <c r="AM4676">
        <v>115.81985385436801</v>
      </c>
      <c r="AN4676">
        <v>1.0000000002779099</v>
      </c>
    </row>
    <row r="4677" spans="1:40" x14ac:dyDescent="0.25">
      <c r="A4677" t="str">
        <f>"20190305135923899"</f>
        <v>20190305135923899</v>
      </c>
      <c r="B4677" t="str">
        <f>"1551765563894141"</f>
        <v>1551765563894141</v>
      </c>
      <c r="C4677" t="s">
        <v>40</v>
      </c>
      <c r="D4677">
        <v>3.7540300000000002</v>
      </c>
      <c r="E4677">
        <v>0.3806272</v>
      </c>
      <c r="F4677" t="s">
        <v>42</v>
      </c>
      <c r="G4677">
        <v>-398.0926</v>
      </c>
      <c r="H4677" s="1">
        <v>-1.258605E-6</v>
      </c>
      <c r="I4677">
        <v>21.03124</v>
      </c>
      <c r="J4677">
        <v>-419.2758</v>
      </c>
      <c r="K4677">
        <v>1.1202430000000001</v>
      </c>
      <c r="L4677">
        <v>33.707279999999997</v>
      </c>
      <c r="M4677">
        <v>0.27041310000000002</v>
      </c>
      <c r="N4677">
        <v>-2.0184839999999999E-2</v>
      </c>
      <c r="O4677">
        <v>-0.96253310000000003</v>
      </c>
      <c r="P4677">
        <v>0.6665084</v>
      </c>
      <c r="Q4677">
        <v>-4.0590099999999997E-2</v>
      </c>
      <c r="R4677">
        <v>-0.74439200000000005</v>
      </c>
      <c r="S4677">
        <v>2.6869809999999998</v>
      </c>
      <c r="T4677">
        <v>-0.14145050000000001</v>
      </c>
      <c r="U4677">
        <v>-1.638031</v>
      </c>
      <c r="V4677">
        <v>-0.43966070000000002</v>
      </c>
      <c r="W4677">
        <v>-3.3112349999999999E-2</v>
      </c>
      <c r="X4677">
        <v>0.8975533</v>
      </c>
      <c r="Y4677">
        <v>-0.68051070000000002</v>
      </c>
      <c r="Z4677">
        <v>3.073174E-2</v>
      </c>
      <c r="AA4677">
        <v>0.73209349999999995</v>
      </c>
      <c r="AB4677">
        <v>31</v>
      </c>
      <c r="AC4677">
        <v>21.183199999999999</v>
      </c>
      <c r="AD4677">
        <v>-1.1202442586049901</v>
      </c>
      <c r="AE4677">
        <v>-12.676039999999899</v>
      </c>
      <c r="AF4677">
        <v>-16.930350482069699</v>
      </c>
      <c r="AG4677">
        <v>-1.1202442586049901</v>
      </c>
      <c r="AH4677">
        <v>17.896117515193801</v>
      </c>
      <c r="AI4677">
        <v>92.603604002650101</v>
      </c>
      <c r="AJ4677">
        <v>133.41154728908799</v>
      </c>
      <c r="AK4677">
        <v>24.6609557146977</v>
      </c>
      <c r="AL4677">
        <v>91.897544874959394</v>
      </c>
      <c r="AM4677">
        <v>116.09762544208201</v>
      </c>
      <c r="AN4677">
        <v>0.99999994259394898</v>
      </c>
    </row>
    <row r="4678" spans="1:40" x14ac:dyDescent="0.25">
      <c r="A4678" t="str">
        <f>"20190305135923922"</f>
        <v>20190305135923922</v>
      </c>
      <c r="B4678" t="str">
        <f>"1551765563913660"</f>
        <v>1551765563913660</v>
      </c>
      <c r="C4678" t="s">
        <v>40</v>
      </c>
      <c r="D4678">
        <v>3.7658179999999999</v>
      </c>
      <c r="E4678">
        <v>0.38119239999999999</v>
      </c>
      <c r="F4678" t="s">
        <v>42</v>
      </c>
      <c r="G4678">
        <v>-396.42070000000001</v>
      </c>
      <c r="H4678" s="1">
        <v>-1.842357E-6</v>
      </c>
      <c r="I4678">
        <v>20.255009999999999</v>
      </c>
      <c r="J4678">
        <v>-419.17469999999997</v>
      </c>
      <c r="K4678">
        <v>1.120512</v>
      </c>
      <c r="L4678">
        <v>33.400329999999997</v>
      </c>
      <c r="M4678">
        <v>0.28328540000000002</v>
      </c>
      <c r="N4678">
        <v>-2.049374E-2</v>
      </c>
      <c r="O4678">
        <v>-0.95881689999999997</v>
      </c>
      <c r="P4678">
        <v>0.68155030000000005</v>
      </c>
      <c r="Q4678">
        <v>-4.0391799999999999E-2</v>
      </c>
      <c r="R4678">
        <v>-0.73065599999999997</v>
      </c>
      <c r="S4678">
        <v>2.7109070000000002</v>
      </c>
      <c r="T4678">
        <v>-0.13287539999999901</v>
      </c>
      <c r="U4678">
        <v>-1.595612</v>
      </c>
      <c r="V4678">
        <v>-0.44590740000000001</v>
      </c>
      <c r="W4678">
        <v>-3.3129369999999998E-2</v>
      </c>
      <c r="X4678">
        <v>0.89446579999999998</v>
      </c>
      <c r="Y4678">
        <v>-0.68210400000000004</v>
      </c>
      <c r="Z4678">
        <v>2.7837170000000001E-2</v>
      </c>
      <c r="AA4678">
        <v>0.73072519999999996</v>
      </c>
      <c r="AB4678">
        <v>31</v>
      </c>
      <c r="AC4678">
        <v>22.753999999999898</v>
      </c>
      <c r="AD4678">
        <v>-1.120513842357</v>
      </c>
      <c r="AE4678">
        <v>-13.1453199999999</v>
      </c>
      <c r="AF4678">
        <v>-18.063994963030201</v>
      </c>
      <c r="AG4678">
        <v>-1.120513842357</v>
      </c>
      <c r="AH4678">
        <v>19.019247338531301</v>
      </c>
      <c r="AI4678">
        <v>92.446071531217896</v>
      </c>
      <c r="AJ4678">
        <v>133.52440550188899</v>
      </c>
      <c r="AK4678">
        <v>26.254432666114202</v>
      </c>
      <c r="AL4678">
        <v>91.898520445182101</v>
      </c>
      <c r="AM4678">
        <v>116.49708608418</v>
      </c>
      <c r="AN4678">
        <v>1.00000001595049</v>
      </c>
    </row>
    <row r="4679" spans="1:40" x14ac:dyDescent="0.25">
      <c r="A4679" t="str">
        <f>"20190305135923953"</f>
        <v>20190305135923953</v>
      </c>
      <c r="B4679" t="str">
        <f>"1551765563943917"</f>
        <v>1551765563943917</v>
      </c>
      <c r="C4679" t="s">
        <v>40</v>
      </c>
      <c r="D4679">
        <v>3.6762069999999998</v>
      </c>
      <c r="E4679">
        <v>0.3821272</v>
      </c>
      <c r="F4679" t="s">
        <v>42</v>
      </c>
      <c r="G4679">
        <v>-394.92630000000003</v>
      </c>
      <c r="H4679" s="1">
        <v>-2.4128809999999999E-6</v>
      </c>
      <c r="I4679">
        <v>19.744240000000001</v>
      </c>
      <c r="J4679">
        <v>-419.03440000000001</v>
      </c>
      <c r="K4679">
        <v>1.120835</v>
      </c>
      <c r="L4679">
        <v>32.997280000000003</v>
      </c>
      <c r="M4679">
        <v>0.30087520000000001</v>
      </c>
      <c r="N4679">
        <v>-2.0861500000000002E-2</v>
      </c>
      <c r="O4679">
        <v>-0.95343529999999999</v>
      </c>
      <c r="P4679">
        <v>0.69793240000000001</v>
      </c>
      <c r="Q4679">
        <v>-4.2426760000000001E-2</v>
      </c>
      <c r="R4679">
        <v>-0.71490589999999998</v>
      </c>
      <c r="S4679">
        <v>2.7399290000000001</v>
      </c>
      <c r="T4679">
        <v>-0.12661169999999999</v>
      </c>
      <c r="U4679">
        <v>-1.5430600000000001</v>
      </c>
      <c r="V4679">
        <v>-0.44967839999999998</v>
      </c>
      <c r="W4679">
        <v>-3.5313379999999998E-2</v>
      </c>
      <c r="X4679">
        <v>0.89249219999999896</v>
      </c>
      <c r="Y4679">
        <v>-0.682654599999999</v>
      </c>
      <c r="Z4679">
        <v>2.5739479999999999E-2</v>
      </c>
      <c r="AA4679">
        <v>0.73028769999999998</v>
      </c>
      <c r="AB4679">
        <v>31</v>
      </c>
      <c r="AC4679">
        <v>24.108099999999901</v>
      </c>
      <c r="AD4679">
        <v>-1.1208374128809999</v>
      </c>
      <c r="AE4679">
        <v>-13.25304</v>
      </c>
      <c r="AF4679">
        <v>-18.970649039677301</v>
      </c>
      <c r="AG4679">
        <v>-1.1208374128809999</v>
      </c>
      <c r="AH4679">
        <v>19.860808615860201</v>
      </c>
      <c r="AI4679">
        <v>92.336907691276195</v>
      </c>
      <c r="AJ4679">
        <v>133.686800370762</v>
      </c>
      <c r="AK4679">
        <v>27.488061415249799</v>
      </c>
      <c r="AL4679">
        <v>92.0237283674022</v>
      </c>
      <c r="AM4679">
        <v>116.741055973372</v>
      </c>
      <c r="AN4679">
        <v>1.0000000126472099</v>
      </c>
    </row>
    <row r="4680" spans="1:40" x14ac:dyDescent="0.25">
      <c r="A4680" t="str">
        <f>"20190305135923977"</f>
        <v>20190305135923977</v>
      </c>
      <c r="B4680" t="str">
        <f>"1551765563974173"</f>
        <v>1551765563974173</v>
      </c>
      <c r="C4680" t="s">
        <v>40</v>
      </c>
      <c r="D4680">
        <v>3.748157</v>
      </c>
      <c r="E4680">
        <v>0.39500410000000002</v>
      </c>
      <c r="F4680" t="s">
        <v>42</v>
      </c>
      <c r="G4680">
        <v>-394.13819999999998</v>
      </c>
      <c r="H4680" s="1">
        <v>-2.7590460000000002E-6</v>
      </c>
      <c r="I4680">
        <v>19.645109999999999</v>
      </c>
      <c r="J4680">
        <v>-418.93259999999998</v>
      </c>
      <c r="K4680">
        <v>1.1210279999999999</v>
      </c>
      <c r="L4680">
        <v>32.719970000000004</v>
      </c>
      <c r="M4680">
        <v>0.31341570000000002</v>
      </c>
      <c r="N4680">
        <v>-2.108668E-2</v>
      </c>
      <c r="O4680">
        <v>-0.94938180000000005</v>
      </c>
      <c r="P4680">
        <v>0.70944890000000005</v>
      </c>
      <c r="Q4680">
        <v>-4.3557650000000003E-2</v>
      </c>
      <c r="R4680">
        <v>-0.70340979999999997</v>
      </c>
      <c r="S4680">
        <v>2.7694399999999999</v>
      </c>
      <c r="T4680">
        <v>-0.1246815</v>
      </c>
      <c r="U4680">
        <v>-1.4852909999999999</v>
      </c>
      <c r="V4680">
        <v>-0.45238159999999999</v>
      </c>
      <c r="W4680">
        <v>-3.6551680000000003E-2</v>
      </c>
      <c r="X4680">
        <v>0.89107510000000001</v>
      </c>
      <c r="Y4680">
        <v>-0.68807910000000005</v>
      </c>
      <c r="Z4680">
        <v>2.5228560000000001E-2</v>
      </c>
      <c r="AA4680">
        <v>0.72519709999999904</v>
      </c>
      <c r="AB4680">
        <v>30</v>
      </c>
      <c r="AC4680">
        <v>24.7944</v>
      </c>
      <c r="AD4680">
        <v>-1.121030759046</v>
      </c>
      <c r="AE4680">
        <v>-13.074859999999999</v>
      </c>
      <c r="AF4680">
        <v>-19.414757983003199</v>
      </c>
      <c r="AG4680">
        <v>-1.121030759046</v>
      </c>
      <c r="AH4680">
        <v>20.156239857979301</v>
      </c>
      <c r="AI4680">
        <v>92.293875293008696</v>
      </c>
      <c r="AJ4680">
        <v>133.92651656056501</v>
      </c>
      <c r="AK4680">
        <v>28.008276325288399</v>
      </c>
      <c r="AL4680">
        <v>92.094723638967807</v>
      </c>
      <c r="AM4680">
        <v>116.916024275794</v>
      </c>
      <c r="AN4680">
        <v>0.99999998558469605</v>
      </c>
    </row>
    <row r="4681" spans="1:40" x14ac:dyDescent="0.25">
      <c r="A4681" t="str">
        <f>"20190305135923999"</f>
        <v>20190305135923999</v>
      </c>
      <c r="B4681" t="str">
        <f>"1551765563993696"</f>
        <v>1551765563993696</v>
      </c>
      <c r="C4681" t="s">
        <v>40</v>
      </c>
      <c r="D4681">
        <v>3.8553989999999998</v>
      </c>
      <c r="E4681">
        <v>0.39561730000000001</v>
      </c>
      <c r="F4681" t="s">
        <v>84</v>
      </c>
      <c r="G4681">
        <v>-380.63339999999999</v>
      </c>
      <c r="H4681" s="1">
        <v>-5.8719039999999997E-6</v>
      </c>
      <c r="I4681">
        <v>11.476699999999999</v>
      </c>
      <c r="J4681">
        <v>-418.82780000000002</v>
      </c>
      <c r="K4681">
        <v>1.121219</v>
      </c>
      <c r="L4681">
        <v>32.446809999999999</v>
      </c>
      <c r="M4681">
        <v>0.32616079999999997</v>
      </c>
      <c r="N4681">
        <v>-2.128617E-2</v>
      </c>
      <c r="O4681">
        <v>-0.94507470000000005</v>
      </c>
      <c r="P4681">
        <v>0.72048789999999996</v>
      </c>
      <c r="Q4681">
        <v>-4.3388110000000001E-2</v>
      </c>
      <c r="R4681">
        <v>-0.69210899999999997</v>
      </c>
      <c r="S4681">
        <v>2.7250670000000001</v>
      </c>
      <c r="T4681">
        <v>-7.9764009999999996E-2</v>
      </c>
      <c r="U4681">
        <v>-1.5115050000000001</v>
      </c>
      <c r="V4681">
        <v>-0.45447310000000002</v>
      </c>
      <c r="W4681">
        <v>-3.6486520000000001E-2</v>
      </c>
      <c r="X4681">
        <v>0.8900129</v>
      </c>
      <c r="Y4681">
        <v>-0.66811419999999999</v>
      </c>
      <c r="Z4681">
        <v>9.9302030000000003E-3</v>
      </c>
      <c r="AA4681">
        <v>0.7439924</v>
      </c>
      <c r="AB4681">
        <v>30</v>
      </c>
      <c r="AC4681">
        <v>38.194400000000002</v>
      </c>
      <c r="AD4681">
        <v>-1.1212248719040001</v>
      </c>
      <c r="AE4681">
        <v>-20.970109999999998</v>
      </c>
      <c r="AF4681">
        <v>-29.244197115657801</v>
      </c>
      <c r="AG4681">
        <v>-1.1212248719040001</v>
      </c>
      <c r="AH4681">
        <v>32.261786132966698</v>
      </c>
      <c r="AI4681">
        <v>91.475010033216904</v>
      </c>
      <c r="AJ4681">
        <v>132.19122297746901</v>
      </c>
      <c r="AK4681">
        <v>43.558042364666797</v>
      </c>
      <c r="AL4681">
        <v>92.090987695592403</v>
      </c>
      <c r="AM4681">
        <v>117.050516720361</v>
      </c>
      <c r="AN4681">
        <v>1.00000001346586</v>
      </c>
    </row>
    <row r="4682" spans="1:40" x14ac:dyDescent="0.25">
      <c r="A4682" t="str">
        <f>"20190305135924022"</f>
        <v>20190305135924022</v>
      </c>
      <c r="B4682" t="str">
        <f>"1551765564014189"</f>
        <v>1551765564014189</v>
      </c>
      <c r="C4682" t="s">
        <v>40</v>
      </c>
      <c r="D4682">
        <v>3.6708370000000001</v>
      </c>
      <c r="E4682">
        <v>0.40977720000000001</v>
      </c>
      <c r="F4682" t="s">
        <v>85</v>
      </c>
      <c r="G4682">
        <v>-379.9092</v>
      </c>
      <c r="H4682" s="1">
        <v>-2.1568939999999999E-6</v>
      </c>
      <c r="I4682">
        <v>11.58165</v>
      </c>
      <c r="J4682">
        <v>-418.7097</v>
      </c>
      <c r="K4682">
        <v>1.121434</v>
      </c>
      <c r="L4682">
        <v>32.15363</v>
      </c>
      <c r="M4682">
        <v>0.3403274</v>
      </c>
      <c r="N4682">
        <v>-2.1487349999999999E-2</v>
      </c>
      <c r="O4682">
        <v>-0.94006149999999999</v>
      </c>
      <c r="P4682">
        <v>0.73180780000000001</v>
      </c>
      <c r="Q4682">
        <v>-4.2362629999999998E-2</v>
      </c>
      <c r="R4682">
        <v>-0.68019309999999999</v>
      </c>
      <c r="S4682">
        <v>2.7452700000000001</v>
      </c>
      <c r="T4682">
        <v>-7.9089519999999996E-2</v>
      </c>
      <c r="U4682">
        <v>-1.4718020000000001</v>
      </c>
      <c r="V4682">
        <v>-0.45576830000000002</v>
      </c>
      <c r="W4682">
        <v>-3.5559489999999999E-2</v>
      </c>
      <c r="X4682">
        <v>0.88938790000000001</v>
      </c>
      <c r="Y4682">
        <v>-0.66756510000000002</v>
      </c>
      <c r="Z4682">
        <v>9.7729789999999993E-3</v>
      </c>
      <c r="AA4682">
        <v>0.74448729999999996</v>
      </c>
      <c r="AB4682">
        <v>30</v>
      </c>
      <c r="AC4682">
        <v>38.8005</v>
      </c>
      <c r="AD4682">
        <v>-1.1214361568939999</v>
      </c>
      <c r="AE4682">
        <v>-20.57198</v>
      </c>
      <c r="AF4682">
        <v>-29.461242677195902</v>
      </c>
      <c r="AG4682">
        <v>-1.1214361568939999</v>
      </c>
      <c r="AH4682">
        <v>32.530102384884799</v>
      </c>
      <c r="AI4682">
        <v>91.463710267367901</v>
      </c>
      <c r="AJ4682">
        <v>132.165906280992</v>
      </c>
      <c r="AK4682">
        <v>43.902505626782897</v>
      </c>
      <c r="AL4682">
        <v>92.037838260939296</v>
      </c>
      <c r="AM4682">
        <v>117.132945753358</v>
      </c>
      <c r="AN4682">
        <v>1.00000002864017</v>
      </c>
    </row>
    <row r="4683" spans="1:40" x14ac:dyDescent="0.25">
      <c r="A4683" t="str">
        <f>"20190305135924044"</f>
        <v>20190305135924044</v>
      </c>
      <c r="B4683" t="str">
        <f>"1551765564033709"</f>
        <v>1551765564033709</v>
      </c>
      <c r="C4683" t="s">
        <v>40</v>
      </c>
      <c r="D4683">
        <v>3.7266710000000001</v>
      </c>
      <c r="E4683">
        <v>0.40623809999999999</v>
      </c>
      <c r="F4683" t="s">
        <v>42</v>
      </c>
      <c r="G4683">
        <v>-392.77699999999999</v>
      </c>
      <c r="H4683" s="1">
        <v>-3.7564580000000001E-6</v>
      </c>
      <c r="I4683">
        <v>17.57771</v>
      </c>
      <c r="J4683">
        <v>-418.60289999999998</v>
      </c>
      <c r="K4683">
        <v>1.1216189999999999</v>
      </c>
      <c r="L4683">
        <v>31.899380000000001</v>
      </c>
      <c r="M4683">
        <v>0.35294229999999999</v>
      </c>
      <c r="N4683">
        <v>-2.1653209999999999E-2</v>
      </c>
      <c r="O4683">
        <v>-0.93539470000000002</v>
      </c>
      <c r="P4683">
        <v>0.74143760000000003</v>
      </c>
      <c r="Q4683">
        <v>-4.116856E-2</v>
      </c>
      <c r="R4683">
        <v>-0.66975810000000002</v>
      </c>
      <c r="S4683">
        <v>2.6883240000000002</v>
      </c>
      <c r="T4683">
        <v>-0.1162541</v>
      </c>
      <c r="U4683">
        <v>-1.5110170000000001</v>
      </c>
      <c r="V4683">
        <v>-0.45648630000000001</v>
      </c>
      <c r="W4683">
        <v>-3.4436109999999999E-2</v>
      </c>
      <c r="X4683">
        <v>0.88906379999999996</v>
      </c>
      <c r="Y4683">
        <v>-0.64210710000000004</v>
      </c>
      <c r="Z4683">
        <v>2.261144E-2</v>
      </c>
      <c r="AA4683">
        <v>0.7662814</v>
      </c>
      <c r="AB4683">
        <v>30</v>
      </c>
      <c r="AC4683">
        <v>25.825899999999901</v>
      </c>
      <c r="AD4683">
        <v>-1.1216227564579999</v>
      </c>
      <c r="AE4683">
        <v>-14.3216699999999</v>
      </c>
      <c r="AF4683">
        <v>-19.079639587146499</v>
      </c>
      <c r="AG4683">
        <v>-1.1216227564579999</v>
      </c>
      <c r="AH4683">
        <v>22.484306845799502</v>
      </c>
      <c r="AI4683">
        <v>92.178242329439499</v>
      </c>
      <c r="AJ4683">
        <v>130.317131245365</v>
      </c>
      <c r="AK4683">
        <v>29.5099091614881</v>
      </c>
      <c r="AL4683">
        <v>91.973433900455703</v>
      </c>
      <c r="AM4683">
        <v>117.17805240504801</v>
      </c>
      <c r="AN4683">
        <v>1.00000001411503</v>
      </c>
    </row>
    <row r="4684" spans="1:40" x14ac:dyDescent="0.25">
      <c r="A4684" t="str">
        <f>"20190305135924066"</f>
        <v>20190305135924066</v>
      </c>
      <c r="B4684" t="str">
        <f>"1551765564063966"</f>
        <v>1551765564063966</v>
      </c>
      <c r="C4684" t="s">
        <v>40</v>
      </c>
      <c r="D4684">
        <v>3.736812</v>
      </c>
      <c r="E4684">
        <v>0.40487669999999998</v>
      </c>
      <c r="F4684" t="s">
        <v>84</v>
      </c>
      <c r="G4684">
        <v>-387.12790000000001</v>
      </c>
      <c r="H4684" s="1">
        <v>-2.2866050000000002E-6</v>
      </c>
      <c r="I4684">
        <v>15.169320000000001</v>
      </c>
      <c r="J4684">
        <v>-418.4864</v>
      </c>
      <c r="K4684">
        <v>1.12181</v>
      </c>
      <c r="L4684">
        <v>31.633510000000001</v>
      </c>
      <c r="M4684">
        <v>0.36649920000000002</v>
      </c>
      <c r="N4684">
        <v>-2.181203E-2</v>
      </c>
      <c r="O4684">
        <v>-0.93016270000000001</v>
      </c>
      <c r="P4684">
        <v>0.75099380000000004</v>
      </c>
      <c r="Q4684">
        <v>-4.054833E-2</v>
      </c>
      <c r="R4684">
        <v>-0.65906309999999901</v>
      </c>
      <c r="S4684">
        <v>2.7299799999999999</v>
      </c>
      <c r="T4684">
        <v>-9.7283720000000004E-2</v>
      </c>
      <c r="U4684">
        <v>-1.4510799999999999</v>
      </c>
      <c r="V4684">
        <v>-0.45634340000000001</v>
      </c>
      <c r="W4684">
        <v>-3.3868189999999999E-2</v>
      </c>
      <c r="X4684">
        <v>0.88915900000000003</v>
      </c>
      <c r="Y4684">
        <v>-0.64908959999999905</v>
      </c>
      <c r="Z4684">
        <v>1.6174500000000001E-2</v>
      </c>
      <c r="AA4684">
        <v>0.76053999999999999</v>
      </c>
      <c r="AB4684">
        <v>30</v>
      </c>
      <c r="AC4684">
        <v>31.3584999999999</v>
      </c>
      <c r="AD4684">
        <v>-1.121812286605</v>
      </c>
      <c r="AE4684">
        <v>-16.464189999999899</v>
      </c>
      <c r="AF4684">
        <v>-23.1167077886168</v>
      </c>
      <c r="AG4684">
        <v>-1.121812286605</v>
      </c>
      <c r="AH4684">
        <v>26.786745836134799</v>
      </c>
      <c r="AI4684">
        <v>91.815977554965102</v>
      </c>
      <c r="AJ4684">
        <v>130.79388193229099</v>
      </c>
      <c r="AK4684">
        <v>35.400146811565001</v>
      </c>
      <c r="AL4684">
        <v>91.940875437719697</v>
      </c>
      <c r="AM4684">
        <v>117.168271796509</v>
      </c>
      <c r="AN4684">
        <v>1.00000004014921</v>
      </c>
    </row>
    <row r="4685" spans="1:40" x14ac:dyDescent="0.25">
      <c r="A4685" t="str">
        <f>"20190305135924089"</f>
        <v>20190305135924089</v>
      </c>
      <c r="B4685" t="str">
        <f>"1551765564083485"</f>
        <v>1551765564083485</v>
      </c>
      <c r="C4685" t="s">
        <v>40</v>
      </c>
      <c r="D4685">
        <v>3.7696550000000002</v>
      </c>
      <c r="E4685">
        <v>0.40455190000000002</v>
      </c>
      <c r="F4685" t="s">
        <v>84</v>
      </c>
      <c r="G4685">
        <v>-382.99130000000002</v>
      </c>
      <c r="H4685" s="1">
        <v>-4.3851289999999999E-6</v>
      </c>
      <c r="I4685">
        <v>13.574949999999999</v>
      </c>
      <c r="J4685">
        <v>-418.36810000000003</v>
      </c>
      <c r="K4685">
        <v>1.1219969999999999</v>
      </c>
      <c r="L4685">
        <v>31.374659999999999</v>
      </c>
      <c r="M4685">
        <v>0.38007370000000001</v>
      </c>
      <c r="N4685">
        <v>-2.1960440000000001E-2</v>
      </c>
      <c r="O4685">
        <v>-0.9246955</v>
      </c>
      <c r="P4685">
        <v>0.7602584</v>
      </c>
      <c r="Q4685">
        <v>-4.059931E-2</v>
      </c>
      <c r="R4685">
        <v>-0.64835050000000005</v>
      </c>
      <c r="S4685">
        <v>2.7584230000000001</v>
      </c>
      <c r="T4685">
        <v>-8.7179300000000001E-2</v>
      </c>
      <c r="U4685">
        <v>-1.403381</v>
      </c>
      <c r="V4685">
        <v>-0.45591910000000002</v>
      </c>
      <c r="W4685">
        <v>-3.3969319999999997E-2</v>
      </c>
      <c r="X4685">
        <v>0.88937279999999996</v>
      </c>
      <c r="Y4685">
        <v>-0.65164200000000005</v>
      </c>
      <c r="Z4685">
        <v>1.279891E-2</v>
      </c>
      <c r="AA4685">
        <v>0.75841859999999905</v>
      </c>
      <c r="AB4685">
        <v>30</v>
      </c>
      <c r="AC4685">
        <v>35.376800000000003</v>
      </c>
      <c r="AD4685">
        <v>-1.1220013851289901</v>
      </c>
      <c r="AE4685">
        <v>-17.799709999999902</v>
      </c>
      <c r="AF4685">
        <v>-25.933008536705</v>
      </c>
      <c r="AG4685">
        <v>-1.1220013851289901</v>
      </c>
      <c r="AH4685">
        <v>29.888325088003299</v>
      </c>
      <c r="AI4685">
        <v>91.624153120694501</v>
      </c>
      <c r="AJ4685">
        <v>130.94698295311099</v>
      </c>
      <c r="AK4685">
        <v>39.586510271040801</v>
      </c>
      <c r="AL4685">
        <v>91.946673059140707</v>
      </c>
      <c r="AM4685">
        <v>117.141034341229</v>
      </c>
      <c r="AN4685">
        <v>1.0000000589129501</v>
      </c>
    </row>
    <row r="4686" spans="1:40" x14ac:dyDescent="0.25">
      <c r="A4686" t="str">
        <f>"20190305135924112"</f>
        <v>20190305135924112</v>
      </c>
      <c r="B4686" t="str">
        <f>"1551765564103981"</f>
        <v>1551765564103981</v>
      </c>
      <c r="C4686" t="s">
        <v>40</v>
      </c>
      <c r="D4686">
        <v>3.7436060000000002</v>
      </c>
      <c r="E4686">
        <v>0.40465879999999999</v>
      </c>
      <c r="F4686" t="s">
        <v>84</v>
      </c>
      <c r="G4686">
        <v>-381.54039999999998</v>
      </c>
      <c r="H4686" s="1">
        <v>-5.1142820000000002E-6</v>
      </c>
      <c r="I4686">
        <v>13.330909999999999</v>
      </c>
      <c r="J4686">
        <v>-418.23840000000001</v>
      </c>
      <c r="K4686">
        <v>1.1221939999999999</v>
      </c>
      <c r="L4686">
        <v>31.10275</v>
      </c>
      <c r="M4686">
        <v>0.39474480000000001</v>
      </c>
      <c r="N4686">
        <v>-2.2127150000000002E-2</v>
      </c>
      <c r="O4686">
        <v>-0.91852429999999996</v>
      </c>
      <c r="P4686">
        <v>0.7698914</v>
      </c>
      <c r="Q4686">
        <v>-4.1059699999999998E-2</v>
      </c>
      <c r="R4686">
        <v>-0.63685269999999905</v>
      </c>
      <c r="S4686">
        <v>2.7799990000000001</v>
      </c>
      <c r="T4686">
        <v>-8.4696049999999995E-2</v>
      </c>
      <c r="U4686">
        <v>-1.362061</v>
      </c>
      <c r="V4686">
        <v>-0.45507950000000003</v>
      </c>
      <c r="W4686">
        <v>-3.446043E-2</v>
      </c>
      <c r="X4686">
        <v>0.88978369999999996</v>
      </c>
      <c r="Y4686">
        <v>-0.65099849999999904</v>
      </c>
      <c r="Z4686">
        <v>1.2033149999999999E-2</v>
      </c>
      <c r="AA4686">
        <v>0.75898359999999998</v>
      </c>
      <c r="AB4686">
        <v>29</v>
      </c>
      <c r="AC4686">
        <v>36.698</v>
      </c>
      <c r="AD4686">
        <v>-1.122199114282</v>
      </c>
      <c r="AE4686">
        <v>-17.771839999999901</v>
      </c>
      <c r="AF4686">
        <v>-26.678992670360898</v>
      </c>
      <c r="AG4686">
        <v>-1.122199114282</v>
      </c>
      <c r="AH4686">
        <v>30.794432096543499</v>
      </c>
      <c r="AI4686">
        <v>91.5776844066948</v>
      </c>
      <c r="AJ4686">
        <v>130.90427164913999</v>
      </c>
      <c r="AK4686">
        <v>40.759355109053097</v>
      </c>
      <c r="AL4686">
        <v>91.974828282702106</v>
      </c>
      <c r="AM4686">
        <v>117.08745422265</v>
      </c>
      <c r="AN4686">
        <v>0.99999995267086095</v>
      </c>
    </row>
    <row r="4687" spans="1:40" x14ac:dyDescent="0.25">
      <c r="A4687" t="str">
        <f>"20190305135924134"</f>
        <v>20190305135924134</v>
      </c>
      <c r="B4687" t="str">
        <f>"1551765564123503"</f>
        <v>1551765564123503</v>
      </c>
      <c r="C4687" t="s">
        <v>40</v>
      </c>
      <c r="D4687">
        <v>3.7478720000000001</v>
      </c>
      <c r="E4687">
        <v>0.40498089999999998</v>
      </c>
      <c r="F4687" t="s">
        <v>84</v>
      </c>
      <c r="G4687">
        <v>-382.02850000000001</v>
      </c>
      <c r="H4687" s="1">
        <v>-4.7622199999999996E-6</v>
      </c>
      <c r="I4687">
        <v>14.0148799999999</v>
      </c>
      <c r="J4687">
        <v>-418.1155</v>
      </c>
      <c r="K4687">
        <v>1.122374</v>
      </c>
      <c r="L4687">
        <v>30.85577</v>
      </c>
      <c r="M4687">
        <v>0.40847919999999999</v>
      </c>
      <c r="N4687">
        <v>-2.228925E-2</v>
      </c>
      <c r="O4687">
        <v>-0.91249559999999996</v>
      </c>
      <c r="P4687">
        <v>0.77879209999999999</v>
      </c>
      <c r="Q4687">
        <v>-4.1592179999999999E-2</v>
      </c>
      <c r="R4687">
        <v>-0.62590179999999995</v>
      </c>
      <c r="S4687">
        <v>2.7992859999999999</v>
      </c>
      <c r="T4687">
        <v>-8.6753960000000005E-2</v>
      </c>
      <c r="U4687">
        <v>-1.3210139999999999</v>
      </c>
      <c r="V4687">
        <v>-0.4542619</v>
      </c>
      <c r="W4687">
        <v>-3.5016459999999999E-2</v>
      </c>
      <c r="X4687">
        <v>0.89017979999999997</v>
      </c>
      <c r="Y4687">
        <v>-0.65071659999999998</v>
      </c>
      <c r="Z4687">
        <v>1.283626E-2</v>
      </c>
      <c r="AA4687">
        <v>0.759212199999999</v>
      </c>
      <c r="AB4687">
        <v>29</v>
      </c>
      <c r="AC4687">
        <v>36.086999999999897</v>
      </c>
      <c r="AD4687">
        <v>-1.1223787622200001</v>
      </c>
      <c r="AE4687">
        <v>-16.840889999999899</v>
      </c>
      <c r="AF4687">
        <v>-26.035863748716</v>
      </c>
      <c r="AG4687">
        <v>-1.1223787622200001</v>
      </c>
      <c r="AH4687">
        <v>30.0916013943263</v>
      </c>
      <c r="AI4687">
        <v>91.615681076602897</v>
      </c>
      <c r="AJ4687">
        <v>130.867023994264</v>
      </c>
      <c r="AK4687">
        <v>39.807416516305203</v>
      </c>
      <c r="AL4687">
        <v>92.006705498909099</v>
      </c>
      <c r="AM4687">
        <v>117.035381464087</v>
      </c>
      <c r="AN4687">
        <v>1.00000005129528</v>
      </c>
    </row>
    <row r="4688" spans="1:40" x14ac:dyDescent="0.25">
      <c r="A4688" t="str">
        <f>"20190305135924155"</f>
        <v>20190305135924155</v>
      </c>
      <c r="B4688" t="str">
        <f>"1551765564143997"</f>
        <v>1551765564143997</v>
      </c>
      <c r="C4688" t="s">
        <v>40</v>
      </c>
      <c r="D4688">
        <v>3.7383690000000001</v>
      </c>
      <c r="E4688">
        <v>0.40525109999999998</v>
      </c>
      <c r="F4688" t="s">
        <v>84</v>
      </c>
      <c r="G4688">
        <v>-382.5822</v>
      </c>
      <c r="H4688" s="1">
        <v>-4.3855370000000002E-6</v>
      </c>
      <c r="I4688">
        <v>14.66291</v>
      </c>
      <c r="J4688">
        <v>-417.9923</v>
      </c>
      <c r="K4688">
        <v>1.1225639999999999</v>
      </c>
      <c r="L4688">
        <v>30.618040000000001</v>
      </c>
      <c r="M4688">
        <v>0.42208869999999998</v>
      </c>
      <c r="N4688">
        <v>-2.2455409999999999E-2</v>
      </c>
      <c r="O4688">
        <v>-0.90627650000000004</v>
      </c>
      <c r="P4688">
        <v>0.78725869999999998</v>
      </c>
      <c r="Q4688">
        <v>-4.312378E-2</v>
      </c>
      <c r="R4688">
        <v>-0.61511329999999997</v>
      </c>
      <c r="S4688">
        <v>2.8160400000000001</v>
      </c>
      <c r="T4688">
        <v>-8.8949199999999895E-2</v>
      </c>
      <c r="U4688">
        <v>-1.2832950000000001</v>
      </c>
      <c r="V4688">
        <v>-0.45307209999999998</v>
      </c>
      <c r="W4688">
        <v>-3.6558300000000002E-2</v>
      </c>
      <c r="X4688">
        <v>0.89072390000000001</v>
      </c>
      <c r="Y4688">
        <v>-0.6494607</v>
      </c>
      <c r="Z4688">
        <v>1.366882E-2</v>
      </c>
      <c r="AA4688">
        <v>0.76027230000000001</v>
      </c>
      <c r="AB4688">
        <v>29</v>
      </c>
      <c r="AC4688">
        <v>35.4101</v>
      </c>
      <c r="AD4688">
        <v>-1.1225683855369999</v>
      </c>
      <c r="AE4688">
        <v>-15.955129999999899</v>
      </c>
      <c r="AF4688">
        <v>-25.3420832920294</v>
      </c>
      <c r="AG4688">
        <v>-1.1225683855369999</v>
      </c>
      <c r="AH4688">
        <v>29.388824490004598</v>
      </c>
      <c r="AI4688">
        <v>91.656962917985794</v>
      </c>
      <c r="AJ4688">
        <v>130.77130991585801</v>
      </c>
      <c r="AK4688">
        <v>38.822472232775901</v>
      </c>
      <c r="AL4688">
        <v>92.095103262017901</v>
      </c>
      <c r="AM4688">
        <v>116.96043995117201</v>
      </c>
      <c r="AN4688">
        <v>0.99999995156425303</v>
      </c>
    </row>
    <row r="4689" spans="1:40" x14ac:dyDescent="0.25">
      <c r="A4689" t="str">
        <f>"20190305135924179"</f>
        <v>20190305135924179</v>
      </c>
      <c r="B4689" t="str">
        <f>"1551765564173479"</f>
        <v>1551765564173479</v>
      </c>
      <c r="C4689" t="s">
        <v>40</v>
      </c>
      <c r="D4689">
        <v>3.7674059999999998</v>
      </c>
      <c r="E4689">
        <v>0.40557339999999997</v>
      </c>
      <c r="F4689" t="s">
        <v>84</v>
      </c>
      <c r="G4689">
        <v>-384.7122</v>
      </c>
      <c r="H4689" s="1">
        <v>-3.146941E-6</v>
      </c>
      <c r="I4689">
        <v>15.969200000000001</v>
      </c>
      <c r="J4689">
        <v>-417.85489999999999</v>
      </c>
      <c r="K4689">
        <v>1.122784</v>
      </c>
      <c r="L4689">
        <v>30.363620000000001</v>
      </c>
      <c r="M4689">
        <v>0.43708359999999902</v>
      </c>
      <c r="N4689">
        <v>-2.2651660000000001E-2</v>
      </c>
      <c r="O4689">
        <v>-0.89913559999999904</v>
      </c>
      <c r="P4689">
        <v>0.79645999999999995</v>
      </c>
      <c r="Q4689">
        <v>-4.4969889999999998E-2</v>
      </c>
      <c r="R4689">
        <v>-0.60301709999999997</v>
      </c>
      <c r="S4689">
        <v>2.8315730000000001</v>
      </c>
      <c r="T4689">
        <v>-9.5511559999999995E-2</v>
      </c>
      <c r="U4689">
        <v>-1.2463679999999999</v>
      </c>
      <c r="V4689">
        <v>-0.4517216</v>
      </c>
      <c r="W4689">
        <v>-3.8403529999999998E-2</v>
      </c>
      <c r="X4689">
        <v>0.89133200000000001</v>
      </c>
      <c r="Y4689">
        <v>-0.64662299999999995</v>
      </c>
      <c r="Z4689">
        <v>1.597026E-2</v>
      </c>
      <c r="AA4689">
        <v>0.76264259999999995</v>
      </c>
      <c r="AB4689">
        <v>29</v>
      </c>
      <c r="AC4689">
        <v>33.142699999999898</v>
      </c>
      <c r="AD4689">
        <v>-1.122787146941</v>
      </c>
      <c r="AE4689">
        <v>-14.39442</v>
      </c>
      <c r="AF4689">
        <v>-23.491567739756398</v>
      </c>
      <c r="AG4689">
        <v>-1.122787146941</v>
      </c>
      <c r="AH4689">
        <v>27.4092407874993</v>
      </c>
      <c r="AI4689">
        <v>91.781508226958906</v>
      </c>
      <c r="AJ4689">
        <v>130.59880346066799</v>
      </c>
      <c r="AK4689">
        <v>36.116213622084203</v>
      </c>
      <c r="AL4689">
        <v>92.200901440478205</v>
      </c>
      <c r="AM4689">
        <v>116.87561254529599</v>
      </c>
      <c r="AN4689">
        <v>0.99999998462351003</v>
      </c>
    </row>
    <row r="4690" spans="1:40" x14ac:dyDescent="0.25">
      <c r="A4690" t="str">
        <f>"20190305135924201"</f>
        <v>20190305135924201</v>
      </c>
      <c r="B4690" t="str">
        <f>"1551765564193978"</f>
        <v>1551765564193978</v>
      </c>
      <c r="C4690" t="s">
        <v>40</v>
      </c>
      <c r="D4690">
        <v>3.7636289999999999</v>
      </c>
      <c r="E4690">
        <v>0.4059663</v>
      </c>
      <c r="F4690" t="s">
        <v>84</v>
      </c>
      <c r="G4690">
        <v>-386.63470000000001</v>
      </c>
      <c r="H4690" s="1">
        <v>-2.027951E-6</v>
      </c>
      <c r="I4690">
        <v>17.154429999999898</v>
      </c>
      <c r="J4690">
        <v>-417.7165</v>
      </c>
      <c r="K4690">
        <v>1.1230150000000001</v>
      </c>
      <c r="L4690">
        <v>30.11899</v>
      </c>
      <c r="M4690">
        <v>0.45200370000000001</v>
      </c>
      <c r="N4690">
        <v>-2.2865670000000001E-2</v>
      </c>
      <c r="O4690">
        <v>-0.89172299999999904</v>
      </c>
      <c r="P4690">
        <v>0.80560209999999999</v>
      </c>
      <c r="Q4690">
        <v>-4.6020970000000001E-2</v>
      </c>
      <c r="R4690">
        <v>-0.59066680000000005</v>
      </c>
      <c r="S4690">
        <v>2.8484500000000001</v>
      </c>
      <c r="T4690">
        <v>-0.1024399</v>
      </c>
      <c r="U4690">
        <v>-1.2051700000000001</v>
      </c>
      <c r="V4690">
        <v>-0.450513</v>
      </c>
      <c r="W4690">
        <v>-3.9434799999999999E-2</v>
      </c>
      <c r="X4690">
        <v>0.89189850000000004</v>
      </c>
      <c r="Y4690">
        <v>-0.64483369999999995</v>
      </c>
      <c r="Z4690">
        <v>1.8389820000000001E-2</v>
      </c>
      <c r="AA4690">
        <v>0.76410169999999999</v>
      </c>
      <c r="AB4690">
        <v>28</v>
      </c>
      <c r="AC4690">
        <v>31.081799999999902</v>
      </c>
      <c r="AD4690">
        <v>-1.1230170279509999</v>
      </c>
      <c r="AE4690">
        <v>-12.964560000000001</v>
      </c>
      <c r="AF4690">
        <v>-21.837758483542501</v>
      </c>
      <c r="AG4690">
        <v>-1.1230170279509999</v>
      </c>
      <c r="AH4690">
        <v>25.588127679207901</v>
      </c>
      <c r="AI4690">
        <v>91.912025046931305</v>
      </c>
      <c r="AJ4690">
        <v>130.478543361877</v>
      </c>
      <c r="AK4690">
        <v>33.658596835846403</v>
      </c>
      <c r="AL4690">
        <v>92.260033627550598</v>
      </c>
      <c r="AM4690">
        <v>116.79911194678201</v>
      </c>
      <c r="AN4690">
        <v>1.00000000046114</v>
      </c>
    </row>
    <row r="4691" spans="1:40" x14ac:dyDescent="0.25">
      <c r="A4691" t="str">
        <f>"20190305135924223"</f>
        <v>20190305135924223</v>
      </c>
      <c r="B4691" t="str">
        <f>"1551765564213494"</f>
        <v>1551765564213494</v>
      </c>
      <c r="C4691" t="s">
        <v>40</v>
      </c>
      <c r="D4691">
        <v>3.7774209999999999</v>
      </c>
      <c r="E4691">
        <v>0.40622930000000002</v>
      </c>
      <c r="F4691" t="s">
        <v>84</v>
      </c>
      <c r="G4691">
        <v>-387.18549999999999</v>
      </c>
      <c r="H4691" s="1">
        <v>-1.6682439999999999E-6</v>
      </c>
      <c r="I4691">
        <v>17.714459999999999</v>
      </c>
      <c r="J4691">
        <v>-417.58010000000002</v>
      </c>
      <c r="K4691">
        <v>1.123208</v>
      </c>
      <c r="L4691">
        <v>29.887730000000001</v>
      </c>
      <c r="M4691">
        <v>0.46650619999999998</v>
      </c>
      <c r="N4691">
        <v>-2.3078080000000001E-2</v>
      </c>
      <c r="O4691">
        <v>-0.88421679999999903</v>
      </c>
      <c r="P4691">
        <v>0.81415280000000001</v>
      </c>
      <c r="Q4691">
        <v>-4.5964680000000001E-2</v>
      </c>
      <c r="R4691">
        <v>-0.57882860000000003</v>
      </c>
      <c r="S4691">
        <v>2.864563</v>
      </c>
      <c r="T4691">
        <v>-0.1053665</v>
      </c>
      <c r="U4691">
        <v>-1.1638489999999999</v>
      </c>
      <c r="V4691">
        <v>-0.4489765</v>
      </c>
      <c r="W4691">
        <v>-3.931834E-2</v>
      </c>
      <c r="X4691">
        <v>0.89267809999999903</v>
      </c>
      <c r="Y4691">
        <v>-0.64328069999999904</v>
      </c>
      <c r="Z4691">
        <v>1.9435890000000001E-2</v>
      </c>
      <c r="AA4691">
        <v>0.7653837</v>
      </c>
      <c r="AB4691">
        <v>28</v>
      </c>
      <c r="AC4691">
        <v>30.394600000000001</v>
      </c>
      <c r="AD4691">
        <v>-1.123209668244</v>
      </c>
      <c r="AE4691">
        <v>-12.17327</v>
      </c>
      <c r="AF4691">
        <v>-21.177234785711601</v>
      </c>
      <c r="AG4691">
        <v>-1.123209668244</v>
      </c>
      <c r="AH4691">
        <v>24.920396981272098</v>
      </c>
      <c r="AI4691">
        <v>91.967080328425894</v>
      </c>
      <c r="AJ4691">
        <v>130.35772499141299</v>
      </c>
      <c r="AK4691">
        <v>32.722516083458302</v>
      </c>
      <c r="AL4691">
        <v>92.253355760921195</v>
      </c>
      <c r="AM4691">
        <v>116.70031704229901</v>
      </c>
      <c r="AN4691">
        <v>1.0000000098160999</v>
      </c>
    </row>
    <row r="4692" spans="1:40" x14ac:dyDescent="0.25">
      <c r="A4692" t="str">
        <f>"20190305135924244"</f>
        <v>20190305135924244</v>
      </c>
      <c r="B4692" t="str">
        <f>"1551765564233990"</f>
        <v>1551765564233990</v>
      </c>
      <c r="C4692" t="s">
        <v>40</v>
      </c>
      <c r="D4692">
        <v>3.7558039999999999</v>
      </c>
      <c r="E4692">
        <v>0.40661710000000001</v>
      </c>
      <c r="F4692" t="s">
        <v>84</v>
      </c>
      <c r="G4692">
        <v>-386.4828</v>
      </c>
      <c r="H4692" s="1">
        <v>-1.993183E-6</v>
      </c>
      <c r="I4692">
        <v>17.755229999999901</v>
      </c>
      <c r="J4692">
        <v>-417.4425</v>
      </c>
      <c r="K4692">
        <v>1.1233900000000001</v>
      </c>
      <c r="L4692">
        <v>29.66357</v>
      </c>
      <c r="M4692">
        <v>0.48095100000000002</v>
      </c>
      <c r="N4692">
        <v>-2.3282959999999998E-2</v>
      </c>
      <c r="O4692">
        <v>-0.87643819999999995</v>
      </c>
      <c r="P4692">
        <v>0.82242269999999895</v>
      </c>
      <c r="Q4692">
        <v>-4.4364889999999997E-2</v>
      </c>
      <c r="R4692">
        <v>-0.56714430000000005</v>
      </c>
      <c r="S4692">
        <v>2.880096</v>
      </c>
      <c r="T4692">
        <v>-0.1040267</v>
      </c>
      <c r="U4692">
        <v>-1.1236569999999999</v>
      </c>
      <c r="V4692">
        <v>-0.44719389999999998</v>
      </c>
      <c r="W4692">
        <v>-3.7635219999999997E-2</v>
      </c>
      <c r="X4692">
        <v>0.89364489999999996</v>
      </c>
      <c r="Y4692">
        <v>-0.64139199999999996</v>
      </c>
      <c r="Z4692">
        <v>1.9019100000000001E-2</v>
      </c>
      <c r="AA4692">
        <v>0.76697749999999998</v>
      </c>
      <c r="AB4692">
        <v>28</v>
      </c>
      <c r="AC4692">
        <v>30.959700000000002</v>
      </c>
      <c r="AD4692">
        <v>-1.1233919931830001</v>
      </c>
      <c r="AE4692">
        <v>-11.908340000000001</v>
      </c>
      <c r="AF4692">
        <v>-21.388210326795399</v>
      </c>
      <c r="AG4692">
        <v>-1.1233919931830001</v>
      </c>
      <c r="AH4692">
        <v>25.304868332019101</v>
      </c>
      <c r="AI4692">
        <v>91.941903336380406</v>
      </c>
      <c r="AJ4692">
        <v>130.20520217016599</v>
      </c>
      <c r="AK4692">
        <v>33.151982020000098</v>
      </c>
      <c r="AL4692">
        <v>92.156848633737297</v>
      </c>
      <c r="AM4692">
        <v>116.58410033507</v>
      </c>
      <c r="AN4692">
        <v>1.0000000006388301</v>
      </c>
    </row>
    <row r="4693" spans="1:40" x14ac:dyDescent="0.25">
      <c r="A4693" t="str">
        <f>"20190305135924267"</f>
        <v>20190305135924267</v>
      </c>
      <c r="B4693" t="str">
        <f>"1551765564264249"</f>
        <v>1551765564264249</v>
      </c>
      <c r="C4693" t="s">
        <v>40</v>
      </c>
      <c r="D4693">
        <v>3.9591780000000001</v>
      </c>
      <c r="E4693">
        <v>0.40692099999999998</v>
      </c>
      <c r="F4693" t="s">
        <v>84</v>
      </c>
      <c r="G4693">
        <v>-384.92559999999997</v>
      </c>
      <c r="H4693" s="1">
        <v>-2.7795170000000001E-6</v>
      </c>
      <c r="I4693">
        <v>17.472049999999999</v>
      </c>
      <c r="J4693">
        <v>-417.29680000000002</v>
      </c>
      <c r="K4693">
        <v>1.1235729999999999</v>
      </c>
      <c r="L4693">
        <v>29.43582</v>
      </c>
      <c r="M4693">
        <v>0.49603589999999997</v>
      </c>
      <c r="N4693">
        <v>-2.3494230000000001E-2</v>
      </c>
      <c r="O4693">
        <v>-0.86798410000000004</v>
      </c>
      <c r="P4693">
        <v>0.83079599999999898</v>
      </c>
      <c r="Q4693">
        <v>-4.3655949999999999E-2</v>
      </c>
      <c r="R4693">
        <v>-0.55486210000000002</v>
      </c>
      <c r="S4693">
        <v>2.894104</v>
      </c>
      <c r="T4693">
        <v>-9.9985359999999995E-2</v>
      </c>
      <c r="U4693">
        <v>-1.085083</v>
      </c>
      <c r="V4693">
        <v>-0.44506370000000001</v>
      </c>
      <c r="W4693">
        <v>-3.6814819999999998E-2</v>
      </c>
      <c r="X4693">
        <v>0.89474189999999998</v>
      </c>
      <c r="Y4693">
        <v>-0.63832979999999995</v>
      </c>
      <c r="Z4693">
        <v>1.767411E-2</v>
      </c>
      <c r="AA4693">
        <v>0.76956009999999997</v>
      </c>
      <c r="AB4693">
        <v>28</v>
      </c>
      <c r="AC4693">
        <v>32.371200000000002</v>
      </c>
      <c r="AD4693">
        <v>-1.1235757795169901</v>
      </c>
      <c r="AE4693">
        <v>-11.96377</v>
      </c>
      <c r="AF4693">
        <v>-22.145873521262001</v>
      </c>
      <c r="AG4693">
        <v>-1.1235757795169901</v>
      </c>
      <c r="AH4693">
        <v>26.4209354792442</v>
      </c>
      <c r="AI4693">
        <v>91.866683537433701</v>
      </c>
      <c r="AJ4693">
        <v>129.96954179781201</v>
      </c>
      <c r="AK4693">
        <v>34.493013323721598</v>
      </c>
      <c r="AL4693">
        <v>92.109810473667906</v>
      </c>
      <c r="AM4693">
        <v>116.446731473097</v>
      </c>
      <c r="AN4693">
        <v>1.00000004782246</v>
      </c>
    </row>
    <row r="4694" spans="1:40" x14ac:dyDescent="0.25">
      <c r="A4694" t="str">
        <f>"20190305135924290"</f>
        <v>20190305135924290</v>
      </c>
      <c r="B4694" t="str">
        <f>"1551765564283770"</f>
        <v>1551765564283770</v>
      </c>
      <c r="C4694" t="s">
        <v>40</v>
      </c>
      <c r="D4694">
        <v>3.79921</v>
      </c>
      <c r="E4694">
        <v>0.40725169999999999</v>
      </c>
      <c r="F4694" t="s">
        <v>84</v>
      </c>
      <c r="G4694">
        <v>-383.58269999999999</v>
      </c>
      <c r="H4694" s="1">
        <v>-3.4390649999999999E-6</v>
      </c>
      <c r="I4694">
        <v>17.332509999999999</v>
      </c>
      <c r="J4694">
        <v>-417.13819999999998</v>
      </c>
      <c r="K4694">
        <v>1.1237410000000001</v>
      </c>
      <c r="L4694">
        <v>29.19821</v>
      </c>
      <c r="M4694">
        <v>0.51222179999999995</v>
      </c>
      <c r="N4694">
        <v>-2.3717100000000001E-2</v>
      </c>
      <c r="O4694">
        <v>-0.85852580000000001</v>
      </c>
      <c r="P4694">
        <v>0.83986450000000001</v>
      </c>
      <c r="Q4694">
        <v>-4.3194799999999998E-2</v>
      </c>
      <c r="R4694">
        <v>-0.54107490000000003</v>
      </c>
      <c r="S4694">
        <v>2.9085390000000002</v>
      </c>
      <c r="T4694">
        <v>-9.6931580000000003E-2</v>
      </c>
      <c r="U4694">
        <v>-1.0441590000000001</v>
      </c>
      <c r="V4694">
        <v>-0.4430829</v>
      </c>
      <c r="W4694">
        <v>-3.6235200000000002E-2</v>
      </c>
      <c r="X4694">
        <v>0.89574799999999999</v>
      </c>
      <c r="Y4694">
        <v>-0.63471669999999902</v>
      </c>
      <c r="Z4694">
        <v>1.6667359999999999E-2</v>
      </c>
      <c r="AA4694">
        <v>0.7725651</v>
      </c>
      <c r="AB4694">
        <v>28</v>
      </c>
      <c r="AC4694">
        <v>33.555499999999903</v>
      </c>
      <c r="AD4694">
        <v>-1.123744439065</v>
      </c>
      <c r="AE4694">
        <v>-11.865699999999901</v>
      </c>
      <c r="AF4694">
        <v>-22.714142320076501</v>
      </c>
      <c r="AG4694">
        <v>-1.123744439065</v>
      </c>
      <c r="AH4694">
        <v>27.3552979111656</v>
      </c>
      <c r="AI4694">
        <v>91.810214752440302</v>
      </c>
      <c r="AJ4694">
        <v>129.70413658004099</v>
      </c>
      <c r="AK4694">
        <v>35.573970634575502</v>
      </c>
      <c r="AL4694">
        <v>92.076578697431799</v>
      </c>
      <c r="AM4694">
        <v>116.319360029932</v>
      </c>
      <c r="AN4694">
        <v>0.99999996274772396</v>
      </c>
    </row>
    <row r="4695" spans="1:40" x14ac:dyDescent="0.25">
      <c r="A4695" t="str">
        <f>"20190305135924314"</f>
        <v>20190305135924314</v>
      </c>
      <c r="B4695" t="str">
        <f>"1551765564304263"</f>
        <v>1551765564304263</v>
      </c>
      <c r="C4695" t="s">
        <v>40</v>
      </c>
      <c r="D4695">
        <v>3.803086</v>
      </c>
      <c r="E4695">
        <v>0.40757640000000001</v>
      </c>
      <c r="F4695" t="s">
        <v>84</v>
      </c>
      <c r="G4695">
        <v>-382.85520000000002</v>
      </c>
      <c r="H4695" s="1">
        <v>-3.7542310000000002E-6</v>
      </c>
      <c r="I4695">
        <v>17.494429999999898</v>
      </c>
      <c r="J4695">
        <v>-416.98250000000002</v>
      </c>
      <c r="K4695">
        <v>1.1238900000000001</v>
      </c>
      <c r="L4695">
        <v>28.974910000000001</v>
      </c>
      <c r="M4695">
        <v>0.52787620000000002</v>
      </c>
      <c r="N4695">
        <v>-2.3925129999999999E-2</v>
      </c>
      <c r="O4695">
        <v>-0.84898439999999997</v>
      </c>
      <c r="P4695">
        <v>0.84857340000000003</v>
      </c>
      <c r="Q4695">
        <v>-4.300971E-2</v>
      </c>
      <c r="R4695">
        <v>-0.52732670000000004</v>
      </c>
      <c r="S4695">
        <v>2.924042</v>
      </c>
      <c r="T4695">
        <v>-9.5845700000000006E-2</v>
      </c>
      <c r="U4695">
        <v>-0.99822999999999995</v>
      </c>
      <c r="V4695">
        <v>-0.44125350000000002</v>
      </c>
      <c r="W4695">
        <v>-3.5934710000000002E-2</v>
      </c>
      <c r="X4695">
        <v>0.89666270000000003</v>
      </c>
      <c r="Y4695">
        <v>-0.63267059999999997</v>
      </c>
      <c r="Z4695">
        <v>1.6363949999999999E-2</v>
      </c>
      <c r="AA4695">
        <v>0.77424809999999999</v>
      </c>
      <c r="AB4695">
        <v>28</v>
      </c>
      <c r="AC4695">
        <v>34.127299999999899</v>
      </c>
      <c r="AD4695">
        <v>-1.1238937542309999</v>
      </c>
      <c r="AE4695">
        <v>-11.48048</v>
      </c>
      <c r="AF4695">
        <v>-22.897522780921701</v>
      </c>
      <c r="AG4695">
        <v>-1.1238937542309999</v>
      </c>
      <c r="AH4695">
        <v>27.742654697384602</v>
      </c>
      <c r="AI4695">
        <v>91.789565684881694</v>
      </c>
      <c r="AJ4695">
        <v>129.534712164891</v>
      </c>
      <c r="AK4695">
        <v>35.989089684680003</v>
      </c>
      <c r="AL4695">
        <v>92.059350640243906</v>
      </c>
      <c r="AM4695">
        <v>116.202096431127</v>
      </c>
      <c r="AN4695">
        <v>0.99999997610816105</v>
      </c>
    </row>
    <row r="4696" spans="1:40" x14ac:dyDescent="0.25">
      <c r="A4696" t="str">
        <f>"20190305135924336"</f>
        <v>20190305135924336</v>
      </c>
      <c r="B4696" t="str">
        <f>"1551765564323783"</f>
        <v>1551765564323783</v>
      </c>
      <c r="C4696" t="s">
        <v>40</v>
      </c>
      <c r="D4696">
        <v>3.8121520000000002</v>
      </c>
      <c r="E4696">
        <v>0.40779090000000001</v>
      </c>
      <c r="F4696" t="s">
        <v>84</v>
      </c>
      <c r="G4696">
        <v>-382.46949999999998</v>
      </c>
      <c r="H4696" s="1">
        <v>-3.8854330000000004E-6</v>
      </c>
      <c r="I4696">
        <v>17.782429999999898</v>
      </c>
      <c r="J4696">
        <v>-416.83109999999999</v>
      </c>
      <c r="K4696">
        <v>1.1240349999999999</v>
      </c>
      <c r="L4696">
        <v>28.76651</v>
      </c>
      <c r="M4696">
        <v>0.54288970000000003</v>
      </c>
      <c r="N4696">
        <v>-2.4115709999999999E-2</v>
      </c>
      <c r="O4696">
        <v>-0.83945769999999997</v>
      </c>
      <c r="P4696">
        <v>0.85642940000000001</v>
      </c>
      <c r="Q4696">
        <v>-4.3674350000000001E-2</v>
      </c>
      <c r="R4696">
        <v>-0.51441400000000004</v>
      </c>
      <c r="S4696">
        <v>2.9383849999999998</v>
      </c>
      <c r="T4696">
        <v>-9.5686670000000001E-2</v>
      </c>
      <c r="U4696">
        <v>-0.95291139999999996</v>
      </c>
      <c r="V4696">
        <v>-0.43883339999999998</v>
      </c>
      <c r="W4696">
        <v>-3.6459289999999998E-2</v>
      </c>
      <c r="X4696">
        <v>0.89782850000000003</v>
      </c>
      <c r="Y4696">
        <v>-0.63080749999999997</v>
      </c>
      <c r="Z4696">
        <v>1.638125E-2</v>
      </c>
      <c r="AA4696">
        <v>0.77576650000000003</v>
      </c>
      <c r="AB4696">
        <v>27</v>
      </c>
      <c r="AC4696">
        <v>34.361600000000003</v>
      </c>
      <c r="AD4696">
        <v>-1.1240388854329999</v>
      </c>
      <c r="AE4696">
        <v>-10.984080000000001</v>
      </c>
      <c r="AF4696">
        <v>-22.866421770337499</v>
      </c>
      <c r="AG4696">
        <v>-1.1240388854329999</v>
      </c>
      <c r="AH4696">
        <v>27.856293217542799</v>
      </c>
      <c r="AI4696">
        <v>91.786423086796006</v>
      </c>
      <c r="AJ4696">
        <v>129.381578167204</v>
      </c>
      <c r="AK4696">
        <v>36.057035094647603</v>
      </c>
      <c r="AL4696">
        <v>92.089426470554898</v>
      </c>
      <c r="AM4696">
        <v>116.04808812806</v>
      </c>
      <c r="AN4696">
        <v>1.00000002409755</v>
      </c>
    </row>
    <row r="4697" spans="1:40" x14ac:dyDescent="0.25">
      <c r="A4697" t="str">
        <f>"20190305135924356"</f>
        <v>20190305135924356</v>
      </c>
      <c r="B4697" t="str">
        <f>"1551765564354039"</f>
        <v>1551765564354039</v>
      </c>
      <c r="C4697" t="s">
        <v>40</v>
      </c>
      <c r="D4697">
        <v>3.9455809999999998</v>
      </c>
      <c r="E4697">
        <v>0.40807549999999998</v>
      </c>
      <c r="F4697" t="s">
        <v>84</v>
      </c>
      <c r="G4697">
        <v>-381.85680000000002</v>
      </c>
      <c r="H4697" s="1">
        <v>-4.1391790000000002E-6</v>
      </c>
      <c r="I4697">
        <v>17.984939999999899</v>
      </c>
      <c r="J4697">
        <v>-416.68310000000002</v>
      </c>
      <c r="K4697">
        <v>1.1241509999999999</v>
      </c>
      <c r="L4697">
        <v>28.570920000000001</v>
      </c>
      <c r="M4697">
        <v>0.55735179999999995</v>
      </c>
      <c r="N4697">
        <v>-2.4290800000000001E-2</v>
      </c>
      <c r="O4697">
        <v>-0.82992119999999903</v>
      </c>
      <c r="P4697">
        <v>0.86391790000000002</v>
      </c>
      <c r="Q4697">
        <v>-4.3759869999999999E-2</v>
      </c>
      <c r="R4697">
        <v>-0.50172810000000001</v>
      </c>
      <c r="S4697">
        <v>2.9515690000000001</v>
      </c>
      <c r="T4697">
        <v>-9.4860319999999998E-2</v>
      </c>
      <c r="U4697">
        <v>-0.90988159999999896</v>
      </c>
      <c r="V4697">
        <v>-0.43650729999999999</v>
      </c>
      <c r="W4697">
        <v>-3.6407149999999999E-2</v>
      </c>
      <c r="X4697">
        <v>0.89896379999999998</v>
      </c>
      <c r="Y4697">
        <v>-0.628668</v>
      </c>
      <c r="Z4697">
        <v>1.6170170000000001E-2</v>
      </c>
      <c r="AA4697">
        <v>0.77750569999999997</v>
      </c>
      <c r="AB4697">
        <v>27</v>
      </c>
      <c r="AC4697">
        <v>34.826300000000003</v>
      </c>
      <c r="AD4697">
        <v>-1.1241551391789999</v>
      </c>
      <c r="AE4697">
        <v>-10.585979999999999</v>
      </c>
      <c r="AF4697">
        <v>-22.987830107645699</v>
      </c>
      <c r="AG4697">
        <v>-1.1241551391789999</v>
      </c>
      <c r="AH4697">
        <v>28.177472794323801</v>
      </c>
      <c r="AI4697">
        <v>91.7706286486236</v>
      </c>
      <c r="AJ4697">
        <v>129.20835649294699</v>
      </c>
      <c r="AK4697">
        <v>36.382331301193197</v>
      </c>
      <c r="AL4697">
        <v>92.086437116311302</v>
      </c>
      <c r="AM4697">
        <v>115.899687058872</v>
      </c>
      <c r="AN4697">
        <v>1.0000000086174201</v>
      </c>
    </row>
    <row r="4698" spans="1:40" x14ac:dyDescent="0.25">
      <c r="A4698" t="str">
        <f>"20190305135924381"</f>
        <v>20190305135924381</v>
      </c>
      <c r="B4698" t="str">
        <f>"1551765564373558"</f>
        <v>1551765564373558</v>
      </c>
      <c r="C4698" t="s">
        <v>40</v>
      </c>
      <c r="D4698">
        <v>3.820567</v>
      </c>
      <c r="E4698">
        <v>0.40834959999999998</v>
      </c>
      <c r="F4698" t="s">
        <v>84</v>
      </c>
      <c r="G4698">
        <v>-381.21809999999999</v>
      </c>
      <c r="H4698" s="1">
        <v>-4.4063060000000002E-6</v>
      </c>
      <c r="I4698">
        <v>18.180869999999999</v>
      </c>
      <c r="J4698">
        <v>-416.51</v>
      </c>
      <c r="K4698">
        <v>1.1242799999999999</v>
      </c>
      <c r="L4698">
        <v>28.351959999999998</v>
      </c>
      <c r="M4698">
        <v>0.57400490000000004</v>
      </c>
      <c r="N4698">
        <v>-2.4471980000000001E-2</v>
      </c>
      <c r="O4698">
        <v>-0.81848599999999905</v>
      </c>
      <c r="P4698">
        <v>0.8727393</v>
      </c>
      <c r="Q4698">
        <v>-4.5384140000000003E-2</v>
      </c>
      <c r="R4698">
        <v>-0.48607260000000002</v>
      </c>
      <c r="S4698">
        <v>2.963562</v>
      </c>
      <c r="T4698">
        <v>-9.3937870000000007E-2</v>
      </c>
      <c r="U4698">
        <v>-0.86822509999999997</v>
      </c>
      <c r="V4698">
        <v>-0.434423</v>
      </c>
      <c r="W4698">
        <v>-3.7909900000000003E-2</v>
      </c>
      <c r="X4698">
        <v>0.89991080000000001</v>
      </c>
      <c r="Y4698">
        <v>-0.62386269999999999</v>
      </c>
      <c r="Z4698">
        <v>1.590037E-2</v>
      </c>
      <c r="AA4698">
        <v>0.78137219999999996</v>
      </c>
      <c r="AB4698">
        <v>27</v>
      </c>
      <c r="AC4698">
        <v>35.291899999999998</v>
      </c>
      <c r="AD4698">
        <v>-1.124284406306</v>
      </c>
      <c r="AE4698">
        <v>-10.1710899999999</v>
      </c>
      <c r="AF4698">
        <v>-23.032994487353399</v>
      </c>
      <c r="AG4698">
        <v>-1.124284406306</v>
      </c>
      <c r="AH4698">
        <v>28.564417730668499</v>
      </c>
      <c r="AI4698">
        <v>91.754965957335898</v>
      </c>
      <c r="AJ4698">
        <v>128.88106124135899</v>
      </c>
      <c r="AK4698">
        <v>36.711153765209403</v>
      </c>
      <c r="AL4698">
        <v>92.172597931953305</v>
      </c>
      <c r="AM4698">
        <v>115.76846549911799</v>
      </c>
      <c r="AN4698">
        <v>0.99999997570182397</v>
      </c>
    </row>
    <row r="4699" spans="1:40" x14ac:dyDescent="0.25">
      <c r="A4699" t="str">
        <f>"20190305135924402"</f>
        <v>20190305135924402</v>
      </c>
      <c r="B4699" t="str">
        <f>"1551765564394059"</f>
        <v>1551765564394059</v>
      </c>
      <c r="C4699" t="s">
        <v>40</v>
      </c>
      <c r="D4699">
        <v>3.8604240000000001</v>
      </c>
      <c r="E4699">
        <v>0.40865610000000002</v>
      </c>
      <c r="F4699" t="s">
        <v>84</v>
      </c>
      <c r="G4699">
        <v>-382.27429999999998</v>
      </c>
      <c r="H4699" s="1">
        <v>-3.7682990000000002E-6</v>
      </c>
      <c r="I4699">
        <v>18.96303</v>
      </c>
      <c r="J4699">
        <v>-416.34870000000001</v>
      </c>
      <c r="K4699">
        <v>1.1243780000000001</v>
      </c>
      <c r="L4699">
        <v>28.156739999999999</v>
      </c>
      <c r="M4699">
        <v>0.58926230000000002</v>
      </c>
      <c r="N4699">
        <v>-2.4610880000000002E-2</v>
      </c>
      <c r="O4699">
        <v>-0.80756700000000003</v>
      </c>
      <c r="P4699">
        <v>0.88092060000000005</v>
      </c>
      <c r="Q4699">
        <v>-4.6661050000000003E-2</v>
      </c>
      <c r="R4699">
        <v>-0.4709585</v>
      </c>
      <c r="S4699">
        <v>2.9775999999999998</v>
      </c>
      <c r="T4699">
        <v>-9.7782969999999997E-2</v>
      </c>
      <c r="U4699">
        <v>-0.81658940000000002</v>
      </c>
      <c r="V4699">
        <v>-0.4329443</v>
      </c>
      <c r="W4699">
        <v>-3.9108030000000002E-2</v>
      </c>
      <c r="X4699">
        <v>0.90057189999999998</v>
      </c>
      <c r="Y4699">
        <v>-0.62270530000000002</v>
      </c>
      <c r="Z4699">
        <v>1.7285910000000002E-2</v>
      </c>
      <c r="AA4699">
        <v>0.78226549999999995</v>
      </c>
      <c r="AB4699">
        <v>27</v>
      </c>
      <c r="AC4699">
        <v>34.074399999999997</v>
      </c>
      <c r="AD4699">
        <v>-1.1243817682990001</v>
      </c>
      <c r="AE4699">
        <v>-9.1937099999999994</v>
      </c>
      <c r="AF4699">
        <v>-22.0841331475565</v>
      </c>
      <c r="AG4699">
        <v>-1.1243817682990001</v>
      </c>
      <c r="AH4699">
        <v>27.483731144020801</v>
      </c>
      <c r="AI4699">
        <v>91.826595759128793</v>
      </c>
      <c r="AJ4699">
        <v>128.78308726159199</v>
      </c>
      <c r="AK4699">
        <v>35.275042860877001</v>
      </c>
      <c r="AL4699">
        <v>92.241296686390896</v>
      </c>
      <c r="AM4699">
        <v>115.67562918642101</v>
      </c>
      <c r="AN4699">
        <v>0.99999997599128998</v>
      </c>
    </row>
    <row r="4700" spans="1:40" x14ac:dyDescent="0.25">
      <c r="A4700" t="str">
        <f>"20190305135924423"</f>
        <v>20190305135924423</v>
      </c>
      <c r="B4700" t="str">
        <f>"1551765564413574"</f>
        <v>1551765564413574</v>
      </c>
      <c r="C4700" t="s">
        <v>40</v>
      </c>
      <c r="D4700">
        <v>3.856169</v>
      </c>
      <c r="E4700">
        <v>0.40900950000000003</v>
      </c>
      <c r="F4700" t="s">
        <v>84</v>
      </c>
      <c r="G4700">
        <v>-382.79660000000001</v>
      </c>
      <c r="H4700" s="1">
        <v>-3.4180869999999998E-6</v>
      </c>
      <c r="I4700">
        <v>19.54561</v>
      </c>
      <c r="J4700">
        <v>-416.19119999999998</v>
      </c>
      <c r="K4700">
        <v>1.1244559999999999</v>
      </c>
      <c r="L4700">
        <v>27.97363</v>
      </c>
      <c r="M4700">
        <v>0.60388730000000002</v>
      </c>
      <c r="N4700">
        <v>-2.4725279999999999E-2</v>
      </c>
      <c r="O4700">
        <v>-0.79668629999999996</v>
      </c>
      <c r="P4700">
        <v>0.88826879999999997</v>
      </c>
      <c r="Q4700">
        <v>-4.818124E-2</v>
      </c>
      <c r="R4700">
        <v>-0.45679009999999998</v>
      </c>
      <c r="S4700">
        <v>2.9899290000000001</v>
      </c>
      <c r="T4700">
        <v>-0.1001971</v>
      </c>
      <c r="U4700">
        <v>-0.7673645</v>
      </c>
      <c r="V4700">
        <v>-0.4308285</v>
      </c>
      <c r="W4700">
        <v>-4.0516389999999999E-2</v>
      </c>
      <c r="X4700">
        <v>0.90152379999999999</v>
      </c>
      <c r="Y4700">
        <v>-0.62127540000000003</v>
      </c>
      <c r="Z4700">
        <v>1.818962E-2</v>
      </c>
      <c r="AA4700">
        <v>0.7833812</v>
      </c>
      <c r="AB4700">
        <v>26</v>
      </c>
      <c r="AC4700">
        <v>33.394599999999897</v>
      </c>
      <c r="AD4700">
        <v>-1.124459418087</v>
      </c>
      <c r="AE4700">
        <v>-8.4280200000000001</v>
      </c>
      <c r="AF4700">
        <v>-21.4991067911842</v>
      </c>
      <c r="AG4700">
        <v>-1.124459418087</v>
      </c>
      <c r="AH4700">
        <v>26.860648856189702</v>
      </c>
      <c r="AI4700">
        <v>91.8719313686384</v>
      </c>
      <c r="AJ4700">
        <v>128.67357656491299</v>
      </c>
      <c r="AK4700">
        <v>34.423399872429698</v>
      </c>
      <c r="AL4700">
        <v>92.322053823252503</v>
      </c>
      <c r="AM4700">
        <v>115.54263237511501</v>
      </c>
      <c r="AN4700">
        <v>0.99999996811865999</v>
      </c>
    </row>
    <row r="4701" spans="1:40" x14ac:dyDescent="0.25">
      <c r="A4701" t="str">
        <f>"20190305135924447"</f>
        <v>20190305135924447</v>
      </c>
      <c r="B4701" t="str">
        <f>"1551765564443831"</f>
        <v>1551765564443831</v>
      </c>
      <c r="C4701" t="s">
        <v>40</v>
      </c>
      <c r="D4701">
        <v>3.8709539999999998</v>
      </c>
      <c r="E4701">
        <v>0.40951850000000001</v>
      </c>
      <c r="F4701" t="s">
        <v>84</v>
      </c>
      <c r="G4701">
        <v>-383.68920000000003</v>
      </c>
      <c r="H4701" s="1">
        <v>-3.1264389999999998E-6</v>
      </c>
      <c r="I4701">
        <v>20.153269999999999</v>
      </c>
      <c r="J4701">
        <v>-416.02260000000001</v>
      </c>
      <c r="K4701">
        <v>1.1245179999999999</v>
      </c>
      <c r="L4701">
        <v>27.78558</v>
      </c>
      <c r="M4701">
        <v>0.61924539999999995</v>
      </c>
      <c r="N4701">
        <v>-2.482649E-2</v>
      </c>
      <c r="O4701">
        <v>-0.78480519999999998</v>
      </c>
      <c r="P4701">
        <v>0.89623699999999995</v>
      </c>
      <c r="Q4701">
        <v>-4.79418E-2</v>
      </c>
      <c r="R4701">
        <v>-0.44097779999999998</v>
      </c>
      <c r="S4701">
        <v>3.0004879999999998</v>
      </c>
      <c r="T4701">
        <v>-0.103807</v>
      </c>
      <c r="U4701">
        <v>-0.72195430000000005</v>
      </c>
      <c r="V4701">
        <v>-0.42931190000000002</v>
      </c>
      <c r="W4701">
        <v>-4.0179670000000001E-2</v>
      </c>
      <c r="X4701">
        <v>0.90226209999999996</v>
      </c>
      <c r="Y4701">
        <v>-0.61785330000000005</v>
      </c>
      <c r="Z4701">
        <v>1.9435109999999998E-2</v>
      </c>
      <c r="AA4701">
        <v>0.78605309999999995</v>
      </c>
      <c r="AB4701">
        <v>26</v>
      </c>
      <c r="AC4701">
        <v>32.333399999999898</v>
      </c>
      <c r="AD4701">
        <v>-1.124521126439</v>
      </c>
      <c r="AE4701">
        <v>-7.6323099999999897</v>
      </c>
      <c r="AF4701">
        <v>-20.631871137690201</v>
      </c>
      <c r="AG4701">
        <v>-1.124521126439</v>
      </c>
      <c r="AH4701">
        <v>25.990422259021901</v>
      </c>
      <c r="AI4701">
        <v>91.940866626384604</v>
      </c>
      <c r="AJ4701">
        <v>128.44345761622699</v>
      </c>
      <c r="AK4701">
        <v>33.203022507120103</v>
      </c>
      <c r="AL4701">
        <v>92.302745379110206</v>
      </c>
      <c r="AM4701">
        <v>115.445912475306</v>
      </c>
      <c r="AN4701">
        <v>1.00000000522966</v>
      </c>
    </row>
    <row r="4702" spans="1:40" x14ac:dyDescent="0.25">
      <c r="A4702" t="str">
        <f>"20190305135924470"</f>
        <v>20190305135924470</v>
      </c>
      <c r="B4702" t="str">
        <f>"1551765564464326"</f>
        <v>1551765564464326</v>
      </c>
      <c r="C4702" t="s">
        <v>40</v>
      </c>
      <c r="D4702">
        <v>4.0606150000000003</v>
      </c>
      <c r="E4702">
        <v>0.40954689999999999</v>
      </c>
      <c r="F4702" t="s">
        <v>84</v>
      </c>
      <c r="G4702">
        <v>-382.71719999999999</v>
      </c>
      <c r="H4702" s="1">
        <v>-3.6378039999999998E-6</v>
      </c>
      <c r="I4702">
        <v>20.348279999999999</v>
      </c>
      <c r="J4702">
        <v>-415.84550000000002</v>
      </c>
      <c r="K4702">
        <v>1.124557</v>
      </c>
      <c r="L4702">
        <v>27.596340000000001</v>
      </c>
      <c r="M4702">
        <v>0.6350384</v>
      </c>
      <c r="N4702">
        <v>-2.490266E-2</v>
      </c>
      <c r="O4702">
        <v>-0.77207930000000002</v>
      </c>
      <c r="P4702">
        <v>0.90415409999999996</v>
      </c>
      <c r="Q4702">
        <v>-4.8130970000000002E-2</v>
      </c>
      <c r="R4702">
        <v>-0.424487</v>
      </c>
      <c r="S4702">
        <v>3.0110779999999999</v>
      </c>
      <c r="T4702">
        <v>-0.10166600000000001</v>
      </c>
      <c r="U4702">
        <v>-0.67239380000000004</v>
      </c>
      <c r="V4702">
        <v>-0.42752119999999999</v>
      </c>
      <c r="W4702">
        <v>-4.0263680000000003E-2</v>
      </c>
      <c r="X4702">
        <v>0.90310820000000003</v>
      </c>
      <c r="Y4702">
        <v>-0.614824699999999</v>
      </c>
      <c r="Z4702">
        <v>1.884313E-2</v>
      </c>
      <c r="AA4702">
        <v>0.78843869999999905</v>
      </c>
      <c r="AB4702">
        <v>26</v>
      </c>
      <c r="AC4702">
        <v>33.128300000000003</v>
      </c>
      <c r="AD4702">
        <v>-1.1245606378039901</v>
      </c>
      <c r="AE4702">
        <v>-7.2480599999999997</v>
      </c>
      <c r="AF4702">
        <v>-20.9583340578403</v>
      </c>
      <c r="AG4702">
        <v>-1.1245606378039901</v>
      </c>
      <c r="AH4702">
        <v>26.612811967981301</v>
      </c>
      <c r="AI4702">
        <v>91.901388755111199</v>
      </c>
      <c r="AJ4702">
        <v>128.22142154476199</v>
      </c>
      <c r="AK4702">
        <v>33.893335096317301</v>
      </c>
      <c r="AL4702">
        <v>92.307562752555896</v>
      </c>
      <c r="AM4702">
        <v>115.33234481912601</v>
      </c>
      <c r="AN4702">
        <v>0.99999998064191098</v>
      </c>
    </row>
    <row r="4703" spans="1:40" x14ac:dyDescent="0.25">
      <c r="A4703" t="str">
        <f>"20190305135924481"</f>
        <v>20190305135924481</v>
      </c>
      <c r="B4703" t="str">
        <f>"1551765564474087"</f>
        <v>1551765564474087</v>
      </c>
      <c r="C4703" t="s">
        <v>40</v>
      </c>
      <c r="D4703">
        <v>3.8706740000000002</v>
      </c>
      <c r="E4703">
        <v>0.40954689999999999</v>
      </c>
      <c r="F4703" t="s">
        <v>84</v>
      </c>
      <c r="G4703">
        <v>-382.21589999999998</v>
      </c>
      <c r="H4703" s="1">
        <v>-3.9757449999999997E-6</v>
      </c>
      <c r="I4703">
        <v>20.727609999999999</v>
      </c>
      <c r="J4703">
        <v>-415.74810000000002</v>
      </c>
      <c r="K4703">
        <v>1.1245719999999999</v>
      </c>
      <c r="L4703">
        <v>27.49539</v>
      </c>
      <c r="M4703">
        <v>0.64358199999999999</v>
      </c>
      <c r="N4703">
        <v>-2.493271E-2</v>
      </c>
      <c r="O4703">
        <v>-0.76497109999999902</v>
      </c>
      <c r="P4703">
        <v>0.90836799999999995</v>
      </c>
      <c r="Q4703">
        <v>-4.7831859999999997E-2</v>
      </c>
      <c r="R4703">
        <v>-0.4154274</v>
      </c>
      <c r="S4703">
        <v>3.0228269999999999</v>
      </c>
      <c r="T4703">
        <v>-0.10108200000000001</v>
      </c>
      <c r="U4703">
        <v>-0.61740109999999904</v>
      </c>
      <c r="V4703">
        <v>-0.42653229999999998</v>
      </c>
      <c r="W4703">
        <v>-3.9908810000000003E-2</v>
      </c>
      <c r="X4703">
        <v>0.90359149999999999</v>
      </c>
      <c r="Y4703">
        <v>-0.62041190000000002</v>
      </c>
      <c r="Z4703">
        <v>1.890097E-2</v>
      </c>
      <c r="AA4703">
        <v>0.78404839999999998</v>
      </c>
      <c r="AB4703">
        <v>26</v>
      </c>
      <c r="AC4703">
        <v>33.532200000000003</v>
      </c>
      <c r="AD4703">
        <v>-1.124575975745</v>
      </c>
      <c r="AE4703">
        <v>-6.7677800000000001</v>
      </c>
      <c r="AF4703">
        <v>-21.2791655860158</v>
      </c>
      <c r="AG4703">
        <v>-1.124575975745</v>
      </c>
      <c r="AH4703">
        <v>26.737298798643</v>
      </c>
      <c r="AI4703">
        <v>91.884914588091405</v>
      </c>
      <c r="AJ4703">
        <v>128.51490384910301</v>
      </c>
      <c r="AK4703">
        <v>34.189921120268998</v>
      </c>
      <c r="AL4703">
        <v>92.287213666996493</v>
      </c>
      <c r="AM4703">
        <v>115.269234957385</v>
      </c>
      <c r="AN4703">
        <v>1.0000000574655701</v>
      </c>
    </row>
    <row r="4704" spans="1:40" x14ac:dyDescent="0.25">
      <c r="A4704" t="str">
        <f>"20190305135924494"</f>
        <v>20190305135924494</v>
      </c>
      <c r="B4704" t="str">
        <f>"1551765564483846"</f>
        <v>1551765564483846</v>
      </c>
      <c r="C4704" t="s">
        <v>40</v>
      </c>
      <c r="D4704">
        <v>3.8682650000000001</v>
      </c>
      <c r="E4704">
        <v>0.4195699</v>
      </c>
      <c r="F4704" t="s">
        <v>84</v>
      </c>
      <c r="G4704">
        <v>-381.74579999999997</v>
      </c>
      <c r="H4704" s="1">
        <v>-4.2448469999999998E-6</v>
      </c>
      <c r="I4704">
        <v>20.903839999999999</v>
      </c>
      <c r="J4704">
        <v>-415.64800000000002</v>
      </c>
      <c r="K4704">
        <v>1.124579</v>
      </c>
      <c r="L4704">
        <v>27.394469999999998</v>
      </c>
      <c r="M4704">
        <v>0.65223880000000001</v>
      </c>
      <c r="N4704">
        <v>-2.4955439999999999E-2</v>
      </c>
      <c r="O4704">
        <v>-0.75760269999999996</v>
      </c>
      <c r="P4704">
        <v>0.91279920000000003</v>
      </c>
      <c r="Q4704">
        <v>-4.7604050000000002E-2</v>
      </c>
      <c r="R4704">
        <v>-0.40562530000000002</v>
      </c>
      <c r="S4704">
        <v>3.0288390000000001</v>
      </c>
      <c r="T4704">
        <v>-0.10017429999999999</v>
      </c>
      <c r="U4704">
        <v>-0.58715819999999996</v>
      </c>
      <c r="V4704">
        <v>-0.42600149999999998</v>
      </c>
      <c r="W4704">
        <v>-3.9645850000000003E-2</v>
      </c>
      <c r="X4704">
        <v>0.90385340000000003</v>
      </c>
      <c r="Y4704">
        <v>-0.61933749999999999</v>
      </c>
      <c r="Z4704">
        <v>1.8686890000000001E-2</v>
      </c>
      <c r="AA4704">
        <v>0.78490249999999995</v>
      </c>
      <c r="AB4704">
        <v>26</v>
      </c>
      <c r="AC4704">
        <v>33.902200000000001</v>
      </c>
      <c r="AD4704">
        <v>-1.1245832448469999</v>
      </c>
      <c r="AE4704">
        <v>-6.4906300000000003</v>
      </c>
      <c r="AF4704">
        <v>-21.434887616810901</v>
      </c>
      <c r="AG4704">
        <v>-1.1245832448469999</v>
      </c>
      <c r="AH4704">
        <v>27.009399882344201</v>
      </c>
      <c r="AI4704">
        <v>91.8679976413666</v>
      </c>
      <c r="AJ4704">
        <v>128.43581247207999</v>
      </c>
      <c r="AK4704">
        <v>34.499663427695602</v>
      </c>
      <c r="AL4704">
        <v>92.272135321138606</v>
      </c>
      <c r="AM4704">
        <v>115.23530025478701</v>
      </c>
      <c r="AN4704">
        <v>1.0000000200580099</v>
      </c>
    </row>
    <row r="4705" spans="1:40" x14ac:dyDescent="0.25">
      <c r="A4705" t="str">
        <f>"20190305135924506"</f>
        <v>20190305135924506</v>
      </c>
      <c r="B4705" t="str">
        <f>"1551765564503367"</f>
        <v>1551765564503367</v>
      </c>
      <c r="C4705" t="s">
        <v>40</v>
      </c>
      <c r="D4705">
        <v>3.8957069999999998</v>
      </c>
      <c r="E4705">
        <v>0.41940759999999999</v>
      </c>
      <c r="F4705" t="s">
        <v>41</v>
      </c>
      <c r="G4705">
        <v>-414.70679999999999</v>
      </c>
      <c r="H4705">
        <v>1.0905910000000001</v>
      </c>
      <c r="I4705">
        <v>27.197199999999999</v>
      </c>
      <c r="J4705">
        <v>-415.55630000000002</v>
      </c>
      <c r="K4705">
        <v>1.124576</v>
      </c>
      <c r="L4705">
        <v>27.304349999999999</v>
      </c>
      <c r="M4705">
        <v>0.66006390000000004</v>
      </c>
      <c r="N4705">
        <v>-2.4971899999999998E-2</v>
      </c>
      <c r="O4705">
        <v>-0.75079449999999903</v>
      </c>
      <c r="P4705">
        <v>0.91674719999999998</v>
      </c>
      <c r="Q4705">
        <v>-4.7010440000000001E-2</v>
      </c>
      <c r="R4705">
        <v>-0.39669219999999999</v>
      </c>
      <c r="S4705">
        <v>3.001862</v>
      </c>
      <c r="T4705">
        <v>-0.10831639999999999</v>
      </c>
      <c r="U4705">
        <v>-0.62802119999999995</v>
      </c>
      <c r="V4705">
        <v>-0.42549399999999998</v>
      </c>
      <c r="W4705">
        <v>-3.9014300000000002E-2</v>
      </c>
      <c r="X4705">
        <v>0.90411989999999998</v>
      </c>
      <c r="Y4705">
        <v>-0.59935769999999899</v>
      </c>
      <c r="Z4705">
        <v>2.1013790000000001E-2</v>
      </c>
      <c r="AA4705">
        <v>0.80020539999999996</v>
      </c>
      <c r="AB4705">
        <v>26</v>
      </c>
      <c r="AC4705">
        <v>0.84950000000003401</v>
      </c>
      <c r="AD4705">
        <v>-3.3984999999999897E-2</v>
      </c>
      <c r="AE4705">
        <v>-0.10715</v>
      </c>
      <c r="AF4705">
        <v>-0.56635863740014303</v>
      </c>
      <c r="AG4705">
        <v>-3.3984999999999897E-2</v>
      </c>
      <c r="AH4705">
        <v>0.64036298545441594</v>
      </c>
      <c r="AI4705">
        <v>92.276533421249596</v>
      </c>
      <c r="AJ4705">
        <v>131.49062964381201</v>
      </c>
      <c r="AK4705">
        <v>0.85555937229559897</v>
      </c>
      <c r="AL4705">
        <v>92.235922137959406</v>
      </c>
      <c r="AM4705">
        <v>115.202462806071</v>
      </c>
      <c r="AN4705">
        <v>1.0000000266082401</v>
      </c>
    </row>
    <row r="4706" spans="1:40" x14ac:dyDescent="0.25">
      <c r="A4706" t="str">
        <f>"20190305135924520"</f>
        <v>20190305135924520</v>
      </c>
      <c r="B4706" t="str">
        <f>"1551765564514104"</f>
        <v>1551765564514104</v>
      </c>
      <c r="C4706" t="s">
        <v>40</v>
      </c>
      <c r="D4706">
        <v>3.89174</v>
      </c>
      <c r="E4706">
        <v>0.41953770000000001</v>
      </c>
      <c r="F4706" t="s">
        <v>84</v>
      </c>
      <c r="G4706">
        <v>-384.0428</v>
      </c>
      <c r="H4706" s="1">
        <v>-3.1964079999999998E-6</v>
      </c>
      <c r="I4706">
        <v>21.04429</v>
      </c>
      <c r="J4706">
        <v>-415.44510000000002</v>
      </c>
      <c r="K4706">
        <v>1.1245719999999999</v>
      </c>
      <c r="L4706">
        <v>27.196960000000001</v>
      </c>
      <c r="M4706">
        <v>0.66943169999999996</v>
      </c>
      <c r="N4706">
        <v>-2.4987970000000002E-2</v>
      </c>
      <c r="O4706">
        <v>-0.74245319999999904</v>
      </c>
      <c r="P4706">
        <v>0.92125860000000004</v>
      </c>
      <c r="Q4706">
        <v>-4.7431960000000002E-2</v>
      </c>
      <c r="R4706">
        <v>-0.38604709999999998</v>
      </c>
      <c r="S4706">
        <v>3.0083310000000001</v>
      </c>
      <c r="T4706">
        <v>-0.107354</v>
      </c>
      <c r="U4706">
        <v>-0.59759519999999899</v>
      </c>
      <c r="V4706">
        <v>-0.42459400000000003</v>
      </c>
      <c r="W4706">
        <v>-3.9376540000000002E-2</v>
      </c>
      <c r="X4706">
        <v>0.90452719999999998</v>
      </c>
      <c r="Y4706">
        <v>-0.5974391</v>
      </c>
      <c r="Z4706">
        <v>2.0748329999999999E-2</v>
      </c>
      <c r="AA4706">
        <v>0.80164590000000002</v>
      </c>
      <c r="AB4706">
        <v>26</v>
      </c>
      <c r="AC4706">
        <v>31.4023</v>
      </c>
      <c r="AD4706">
        <v>-1.124575196408</v>
      </c>
      <c r="AE4706">
        <v>-6.1526699999999899</v>
      </c>
      <c r="AF4706">
        <v>-19.1782553722588</v>
      </c>
      <c r="AG4706">
        <v>-1.124575196408</v>
      </c>
      <c r="AH4706">
        <v>25.5661818373163</v>
      </c>
      <c r="AI4706">
        <v>92.015239168285902</v>
      </c>
      <c r="AJ4706">
        <v>126.875087977622</v>
      </c>
      <c r="AK4706">
        <v>31.979677957019401</v>
      </c>
      <c r="AL4706">
        <v>92.256692945341399</v>
      </c>
      <c r="AM4706">
        <v>115.145824184644</v>
      </c>
      <c r="AN4706">
        <v>1.0000000161391001</v>
      </c>
    </row>
    <row r="4707" spans="1:40" x14ac:dyDescent="0.25">
      <c r="A4707" t="str">
        <f>"20190305135924536"</f>
        <v>20190305135924536</v>
      </c>
      <c r="B4707" t="str">
        <f>"1551765564523863"</f>
        <v>1551765564523863</v>
      </c>
      <c r="C4707" t="s">
        <v>40</v>
      </c>
      <c r="D4707">
        <v>3.8899219999999999</v>
      </c>
      <c r="E4707">
        <v>0.41958869999999998</v>
      </c>
      <c r="F4707" t="s">
        <v>84</v>
      </c>
      <c r="G4707">
        <v>-384.29020000000003</v>
      </c>
      <c r="H4707" s="1">
        <v>-3.1661200000000002E-6</v>
      </c>
      <c r="I4707">
        <v>21.37</v>
      </c>
      <c r="J4707">
        <v>-415.31580000000002</v>
      </c>
      <c r="K4707">
        <v>1.1245540000000001</v>
      </c>
      <c r="L4707">
        <v>27.076139999999999</v>
      </c>
      <c r="M4707">
        <v>0.68012340000000004</v>
      </c>
      <c r="N4707">
        <v>-2.4995819999999998E-2</v>
      </c>
      <c r="O4707">
        <v>-0.73267159999999998</v>
      </c>
      <c r="P4707">
        <v>0.92594609999999999</v>
      </c>
      <c r="Q4707">
        <v>-4.9410860000000001E-2</v>
      </c>
      <c r="R4707">
        <v>-0.37440980000000001</v>
      </c>
      <c r="S4707">
        <v>3.014526</v>
      </c>
      <c r="T4707">
        <v>-0.1088132</v>
      </c>
      <c r="U4707">
        <v>-0.56381230000000004</v>
      </c>
      <c r="V4707">
        <v>-0.4227397</v>
      </c>
      <c r="W4707">
        <v>-4.1250849999999999E-2</v>
      </c>
      <c r="X4707">
        <v>0.9053118</v>
      </c>
      <c r="Y4707">
        <v>-0.59477780000000002</v>
      </c>
      <c r="Z4707">
        <v>2.1242710000000001E-2</v>
      </c>
      <c r="AA4707">
        <v>0.80360940000000003</v>
      </c>
      <c r="AB4707">
        <v>25</v>
      </c>
      <c r="AC4707">
        <v>31.025600000000001</v>
      </c>
      <c r="AD4707">
        <v>-1.12455716612</v>
      </c>
      <c r="AE4707">
        <v>-5.7061400000000004</v>
      </c>
      <c r="AF4707">
        <v>-18.832652985529101</v>
      </c>
      <c r="AG4707">
        <v>-1.12455716612</v>
      </c>
      <c r="AH4707">
        <v>25.257763678555499</v>
      </c>
      <c r="AI4707">
        <v>92.044219717994906</v>
      </c>
      <c r="AJ4707">
        <v>126.70888872194</v>
      </c>
      <c r="AK4707">
        <v>31.525990441776599</v>
      </c>
      <c r="AL4707">
        <v>92.364170490296004</v>
      </c>
      <c r="AM4707">
        <v>115.030448990427</v>
      </c>
      <c r="AN4707">
        <v>0.99999997090052495</v>
      </c>
    </row>
    <row r="4708" spans="1:40" x14ac:dyDescent="0.25">
      <c r="A4708" t="str">
        <f>"20190305135924552"</f>
        <v>20190305135924552</v>
      </c>
      <c r="B4708" t="str">
        <f>"1551765564544359"</f>
        <v>1551765564544359</v>
      </c>
      <c r="C4708" t="s">
        <v>40</v>
      </c>
      <c r="D4708">
        <v>3.9055070000000001</v>
      </c>
      <c r="E4708">
        <v>0.42034929999999898</v>
      </c>
      <c r="F4708" t="s">
        <v>41</v>
      </c>
      <c r="G4708">
        <v>-414.37799999999999</v>
      </c>
      <c r="H4708">
        <v>1.08995</v>
      </c>
      <c r="I4708">
        <v>26.912749999999999</v>
      </c>
      <c r="J4708">
        <v>-415.19389999999999</v>
      </c>
      <c r="K4708">
        <v>1.1245259999999999</v>
      </c>
      <c r="L4708">
        <v>26.96603</v>
      </c>
      <c r="M4708">
        <v>0.69000799999999995</v>
      </c>
      <c r="N4708">
        <v>-2.4987510000000001E-2</v>
      </c>
      <c r="O4708">
        <v>-0.72337030000000002</v>
      </c>
      <c r="P4708">
        <v>0.93033160000000004</v>
      </c>
      <c r="Q4708">
        <v>-5.0283550000000003E-2</v>
      </c>
      <c r="R4708">
        <v>-0.36325570000000001</v>
      </c>
      <c r="S4708">
        <v>3.021118</v>
      </c>
      <c r="T4708">
        <v>-0.1114593</v>
      </c>
      <c r="U4708">
        <v>-0.52633669999999899</v>
      </c>
      <c r="V4708">
        <v>-0.42126829999999998</v>
      </c>
      <c r="W4708">
        <v>-4.204165E-2</v>
      </c>
      <c r="X4708">
        <v>0.90596109999999996</v>
      </c>
      <c r="Y4708">
        <v>-0.59380959999999905</v>
      </c>
      <c r="Z4708">
        <v>2.2140360000000001E-2</v>
      </c>
      <c r="AA4708">
        <v>0.80430100000000004</v>
      </c>
      <c r="AB4708">
        <v>25</v>
      </c>
      <c r="AC4708">
        <v>0.815899999999942</v>
      </c>
      <c r="AD4708">
        <v>-3.4575999999999898E-2</v>
      </c>
      <c r="AE4708">
        <v>-5.3280000000000799E-2</v>
      </c>
      <c r="AF4708">
        <v>-0.55261883691504698</v>
      </c>
      <c r="AG4708">
        <v>-3.4575999999999898E-2</v>
      </c>
      <c r="AH4708">
        <v>0.600632490150527</v>
      </c>
      <c r="AI4708">
        <v>92.425787502596506</v>
      </c>
      <c r="AJ4708">
        <v>132.615964688009</v>
      </c>
      <c r="AK4708">
        <v>0.81691031754640098</v>
      </c>
      <c r="AL4708">
        <v>92.409519274170506</v>
      </c>
      <c r="AM4708">
        <v>114.93823985898101</v>
      </c>
      <c r="AN4708">
        <v>0.99999999781641102</v>
      </c>
    </row>
    <row r="4709" spans="1:40" x14ac:dyDescent="0.25">
      <c r="A4709" t="str">
        <f>"20190305135924571"</f>
        <v>20190305135924571</v>
      </c>
      <c r="B4709" t="str">
        <f>"1551765564563879"</f>
        <v>1551765564563879</v>
      </c>
      <c r="C4709" t="s">
        <v>40</v>
      </c>
      <c r="D4709">
        <v>3.8828</v>
      </c>
      <c r="E4709">
        <v>0.42145349999999998</v>
      </c>
      <c r="F4709" t="s">
        <v>41</v>
      </c>
      <c r="G4709">
        <v>-414.2448</v>
      </c>
      <c r="H4709">
        <v>1.0878110000000001</v>
      </c>
      <c r="I4709">
        <v>26.81043</v>
      </c>
      <c r="J4709">
        <v>-415.029</v>
      </c>
      <c r="K4709">
        <v>1.1244860000000001</v>
      </c>
      <c r="L4709">
        <v>26.821470000000001</v>
      </c>
      <c r="M4709">
        <v>0.70309909999999998</v>
      </c>
      <c r="N4709">
        <v>-2.4956269999999999E-2</v>
      </c>
      <c r="O4709">
        <v>-0.71065400000000001</v>
      </c>
      <c r="P4709">
        <v>0.93585289999999999</v>
      </c>
      <c r="Q4709">
        <v>-5.0162470000000001E-2</v>
      </c>
      <c r="R4709">
        <v>-0.34880220000000001</v>
      </c>
      <c r="S4709">
        <v>3.024689</v>
      </c>
      <c r="T4709">
        <v>-0.1170018</v>
      </c>
      <c r="U4709">
        <v>-0.49594120000000003</v>
      </c>
      <c r="V4709">
        <v>-0.41877720000000002</v>
      </c>
      <c r="W4709">
        <v>-4.1793080000000003E-2</v>
      </c>
      <c r="X4709">
        <v>0.90712680000000001</v>
      </c>
      <c r="Y4709">
        <v>-0.58706979999999997</v>
      </c>
      <c r="Z4709">
        <v>2.378982E-2</v>
      </c>
      <c r="AA4709">
        <v>0.80918669999999904</v>
      </c>
      <c r="AB4709">
        <v>25</v>
      </c>
      <c r="AC4709">
        <v>0.78419999999999801</v>
      </c>
      <c r="AD4709">
        <v>-3.6674999999999999E-2</v>
      </c>
      <c r="AE4709">
        <v>-1.10400000000012E-2</v>
      </c>
      <c r="AF4709">
        <v>-0.54850434218295296</v>
      </c>
      <c r="AG4709">
        <v>-3.6674999999999999E-2</v>
      </c>
      <c r="AH4709">
        <v>0.55816950402888099</v>
      </c>
      <c r="AI4709">
        <v>92.683205248875197</v>
      </c>
      <c r="AJ4709">
        <v>134.49961869520101</v>
      </c>
      <c r="AK4709">
        <v>0.78342534056947699</v>
      </c>
      <c r="AL4709">
        <v>92.395264685164506</v>
      </c>
      <c r="AM4709">
        <v>114.78051876503299</v>
      </c>
      <c r="AN4709">
        <v>1.0000000180269799</v>
      </c>
    </row>
    <row r="4710" spans="1:40" x14ac:dyDescent="0.25">
      <c r="A4710" t="str">
        <f>"20190305135924584"</f>
        <v>20190305135924584</v>
      </c>
      <c r="B4710" t="str">
        <f>"1551765564573639"</f>
        <v>1551765564573639</v>
      </c>
      <c r="C4710" t="s">
        <v>40</v>
      </c>
      <c r="D4710">
        <v>3.8814289999999998</v>
      </c>
      <c r="E4710">
        <v>0.421738</v>
      </c>
      <c r="F4710" t="s">
        <v>41</v>
      </c>
      <c r="G4710">
        <v>-414.08499999999998</v>
      </c>
      <c r="H4710">
        <v>1.0871230000000001</v>
      </c>
      <c r="I4710">
        <v>26.678830000000001</v>
      </c>
      <c r="J4710">
        <v>-414.92910000000001</v>
      </c>
      <c r="K4710">
        <v>1.124455</v>
      </c>
      <c r="L4710">
        <v>26.736599999999999</v>
      </c>
      <c r="M4710">
        <v>0.71085849999999995</v>
      </c>
      <c r="N4710">
        <v>-2.492287E-2</v>
      </c>
      <c r="O4710">
        <v>-0.7028934</v>
      </c>
      <c r="P4710">
        <v>0.93921350000000003</v>
      </c>
      <c r="Q4710">
        <v>-4.8720489999999998E-2</v>
      </c>
      <c r="R4710">
        <v>-0.33985929999999998</v>
      </c>
      <c r="S4710">
        <v>3.0285639999999998</v>
      </c>
      <c r="T4710">
        <v>-0.11987970000000001</v>
      </c>
      <c r="U4710">
        <v>-0.45773320000000001</v>
      </c>
      <c r="V4710">
        <v>-0.41757889999999998</v>
      </c>
      <c r="W4710">
        <v>-4.0293049999999997E-2</v>
      </c>
      <c r="X4710">
        <v>0.90774690000000002</v>
      </c>
      <c r="Y4710">
        <v>-0.58827649999999998</v>
      </c>
      <c r="Z4710">
        <v>2.480098E-2</v>
      </c>
      <c r="AA4710">
        <v>0.80827950000000004</v>
      </c>
      <c r="AB4710">
        <v>25</v>
      </c>
      <c r="AC4710">
        <v>0.84410000000002505</v>
      </c>
      <c r="AD4710">
        <v>-3.73319999999999E-2</v>
      </c>
      <c r="AE4710">
        <v>-5.7770000000001397E-2</v>
      </c>
      <c r="AF4710">
        <v>-0.551344176719468</v>
      </c>
      <c r="AG4710">
        <v>-3.73319999999999E-2</v>
      </c>
      <c r="AH4710">
        <v>0.63959560994138098</v>
      </c>
      <c r="AI4710">
        <v>92.531379462865402</v>
      </c>
      <c r="AJ4710">
        <v>130.76199412994799</v>
      </c>
      <c r="AK4710">
        <v>0.84525536004378898</v>
      </c>
      <c r="AL4710">
        <v>92.309246733684802</v>
      </c>
      <c r="AM4710">
        <v>114.703228635313</v>
      </c>
      <c r="AN4710">
        <v>1.0000000510315601</v>
      </c>
    </row>
    <row r="4711" spans="1:40" x14ac:dyDescent="0.25">
      <c r="A4711" t="str">
        <f>"20190305135924595"</f>
        <v>20190305135924595</v>
      </c>
      <c r="B4711" t="str">
        <f>"1551765564584376"</f>
        <v>1551765564584376</v>
      </c>
      <c r="C4711" t="s">
        <v>40</v>
      </c>
      <c r="D4711">
        <v>3.9112010000000001</v>
      </c>
      <c r="E4711">
        <v>0.4221085</v>
      </c>
      <c r="F4711" t="s">
        <v>41</v>
      </c>
      <c r="G4711">
        <v>-413.89819999999997</v>
      </c>
      <c r="H4711">
        <v>1.0856889999999999</v>
      </c>
      <c r="I4711">
        <v>26.590119999999999</v>
      </c>
      <c r="J4711">
        <v>-414.83210000000003</v>
      </c>
      <c r="K4711">
        <v>1.124425</v>
      </c>
      <c r="L4711">
        <v>26.65579</v>
      </c>
      <c r="M4711">
        <v>0.71827759999999996</v>
      </c>
      <c r="N4711">
        <v>-2.4880849999999999E-2</v>
      </c>
      <c r="O4711">
        <v>-0.69531149999999997</v>
      </c>
      <c r="P4711">
        <v>0.94243410000000005</v>
      </c>
      <c r="Q4711">
        <v>-4.6315559999999999E-2</v>
      </c>
      <c r="R4711">
        <v>-0.33116879999999999</v>
      </c>
      <c r="S4711">
        <v>3.0322879999999999</v>
      </c>
      <c r="T4711">
        <v>-0.1140383</v>
      </c>
      <c r="U4711">
        <v>-0.43087769999999997</v>
      </c>
      <c r="V4711">
        <v>-0.41650130000000002</v>
      </c>
      <c r="W4711">
        <v>-3.7839200000000003E-2</v>
      </c>
      <c r="X4711">
        <v>0.90834729999999997</v>
      </c>
      <c r="Y4711">
        <v>-0.58691389999999999</v>
      </c>
      <c r="Z4711">
        <v>2.305772E-2</v>
      </c>
      <c r="AA4711">
        <v>0.80932090000000001</v>
      </c>
      <c r="AB4711">
        <v>25</v>
      </c>
      <c r="AC4711">
        <v>0.93390000000005002</v>
      </c>
      <c r="AD4711">
        <v>-3.8736000000000097E-2</v>
      </c>
      <c r="AE4711">
        <v>-6.56700000000007E-2</v>
      </c>
      <c r="AF4711">
        <v>-0.60133919210317299</v>
      </c>
      <c r="AG4711">
        <v>-3.8736000000000097E-2</v>
      </c>
      <c r="AH4711">
        <v>0.71545766342008599</v>
      </c>
      <c r="AI4711">
        <v>92.373341966539201</v>
      </c>
      <c r="AJ4711">
        <v>130.046911937771</v>
      </c>
      <c r="AK4711">
        <v>0.93540845078598001</v>
      </c>
      <c r="AL4711">
        <v>92.168544207396707</v>
      </c>
      <c r="AM4711">
        <v>114.632709967433</v>
      </c>
      <c r="AN4711">
        <v>0.99999997768780902</v>
      </c>
    </row>
    <row r="4712" spans="1:40" x14ac:dyDescent="0.25">
      <c r="A4712" t="str">
        <f>"20190305135924609"</f>
        <v>20190305135924609</v>
      </c>
      <c r="B4712" t="str">
        <f>"1551765564603895"</f>
        <v>1551765564603895</v>
      </c>
      <c r="C4712" t="s">
        <v>40</v>
      </c>
      <c r="D4712">
        <v>3.8839109999999999</v>
      </c>
      <c r="E4712">
        <v>0.42252440000000002</v>
      </c>
      <c r="F4712" t="s">
        <v>41</v>
      </c>
      <c r="G4712">
        <v>-413.83229999999998</v>
      </c>
      <c r="H4712">
        <v>1.0892759999999999</v>
      </c>
      <c r="I4712">
        <v>26.522169999999999</v>
      </c>
      <c r="J4712">
        <v>-414.7167</v>
      </c>
      <c r="K4712">
        <v>1.124377</v>
      </c>
      <c r="L4712">
        <v>26.562740000000002</v>
      </c>
      <c r="M4712">
        <v>0.72693059999999998</v>
      </c>
      <c r="N4712">
        <v>-2.4813169999999999E-2</v>
      </c>
      <c r="O4712">
        <v>-0.68626290000000001</v>
      </c>
      <c r="P4712">
        <v>0.94611219999999996</v>
      </c>
      <c r="Q4712">
        <v>-4.4266E-2</v>
      </c>
      <c r="R4712">
        <v>-0.32079950000000002</v>
      </c>
      <c r="S4712">
        <v>3.0354920000000001</v>
      </c>
      <c r="T4712">
        <v>-0.1067017</v>
      </c>
      <c r="U4712">
        <v>-0.40557860000000001</v>
      </c>
      <c r="V4712">
        <v>-0.41524139999999998</v>
      </c>
      <c r="W4712">
        <v>-3.5743089999999998E-2</v>
      </c>
      <c r="X4712">
        <v>0.90900879999999995</v>
      </c>
      <c r="Y4712">
        <v>-0.5835844</v>
      </c>
      <c r="Z4712">
        <v>2.0847890000000001E-2</v>
      </c>
      <c r="AA4712">
        <v>0.81178490000000003</v>
      </c>
      <c r="AB4712">
        <v>25</v>
      </c>
      <c r="AC4712">
        <v>0.88440000000002705</v>
      </c>
      <c r="AD4712">
        <v>-3.5101E-2</v>
      </c>
      <c r="AE4712">
        <v>-4.0569999999998801E-2</v>
      </c>
      <c r="AF4712">
        <v>-0.57671047898707095</v>
      </c>
      <c r="AG4712">
        <v>-3.5101E-2</v>
      </c>
      <c r="AH4712">
        <v>0.66989248834463899</v>
      </c>
      <c r="AI4712">
        <v>92.274002507570202</v>
      </c>
      <c r="AJ4712">
        <v>130.725162173435</v>
      </c>
      <c r="AK4712">
        <v>0.88463721531205597</v>
      </c>
      <c r="AL4712">
        <v>92.048364529142702</v>
      </c>
      <c r="AM4712">
        <v>114.551242869902</v>
      </c>
      <c r="AN4712">
        <v>0.99999999361707304</v>
      </c>
    </row>
    <row r="4713" spans="1:40" x14ac:dyDescent="0.25">
      <c r="A4713" t="str">
        <f>"20190305135924625"</f>
        <v>20190305135924625</v>
      </c>
      <c r="B4713" t="str">
        <f>"1551765564613655"</f>
        <v>1551765564613655</v>
      </c>
      <c r="C4713" t="s">
        <v>40</v>
      </c>
      <c r="D4713">
        <v>3.8383159999999998</v>
      </c>
      <c r="E4713">
        <v>0.42291780000000001</v>
      </c>
      <c r="F4713" t="s">
        <v>41</v>
      </c>
      <c r="G4713">
        <v>-413.69490000000002</v>
      </c>
      <c r="H4713">
        <v>1.09026</v>
      </c>
      <c r="I4713">
        <v>26.436250000000001</v>
      </c>
      <c r="J4713">
        <v>-414.58539999999999</v>
      </c>
      <c r="K4713">
        <v>1.1243099999999999</v>
      </c>
      <c r="L4713">
        <v>26.459320000000002</v>
      </c>
      <c r="M4713">
        <v>0.73657259999999902</v>
      </c>
      <c r="N4713">
        <v>-2.4723809999999999E-2</v>
      </c>
      <c r="O4713">
        <v>-0.67590669999999897</v>
      </c>
      <c r="P4713">
        <v>0.94965690000000003</v>
      </c>
      <c r="Q4713">
        <v>-4.1167099999999998E-2</v>
      </c>
      <c r="R4713">
        <v>-0.3105755</v>
      </c>
      <c r="S4713">
        <v>3.0388489999999999</v>
      </c>
      <c r="T4713">
        <v>-0.1014076</v>
      </c>
      <c r="U4713">
        <v>-0.37533569999999999</v>
      </c>
      <c r="V4713">
        <v>-0.4123848</v>
      </c>
      <c r="W4713">
        <v>-3.252915E-2</v>
      </c>
      <c r="X4713">
        <v>0.91042880000000004</v>
      </c>
      <c r="Y4713">
        <v>-0.58020289999999997</v>
      </c>
      <c r="Z4713">
        <v>1.929821E-2</v>
      </c>
      <c r="AA4713">
        <v>0.8142433</v>
      </c>
      <c r="AB4713">
        <v>25</v>
      </c>
      <c r="AC4713">
        <v>0.89049999999997398</v>
      </c>
      <c r="AD4713">
        <v>-3.4050000000000101E-2</v>
      </c>
      <c r="AE4713">
        <v>-2.30700000000005E-2</v>
      </c>
      <c r="AF4713">
        <v>-0.58422733296471696</v>
      </c>
      <c r="AG4713">
        <v>-3.4050000000000101E-2</v>
      </c>
      <c r="AH4713">
        <v>0.67073628602149105</v>
      </c>
      <c r="AI4713">
        <v>92.192210293707603</v>
      </c>
      <c r="AJ4713">
        <v>131.056643250588</v>
      </c>
      <c r="AK4713">
        <v>0.89015063021320695</v>
      </c>
      <c r="AL4713">
        <v>91.864111884202501</v>
      </c>
      <c r="AM4713">
        <v>114.368466563569</v>
      </c>
      <c r="AN4713">
        <v>0.99999998437010096</v>
      </c>
    </row>
    <row r="4714" spans="1:40" x14ac:dyDescent="0.25">
      <c r="A4714" t="str">
        <f>"20190305135924639"</f>
        <v>20190305135924639</v>
      </c>
      <c r="B4714" t="str">
        <f>"1551765564634151"</f>
        <v>1551765564634151</v>
      </c>
      <c r="C4714" t="s">
        <v>40</v>
      </c>
      <c r="D4714">
        <v>3.8144450000000001</v>
      </c>
      <c r="E4714">
        <v>0.42353039999999997</v>
      </c>
      <c r="F4714" t="s">
        <v>85</v>
      </c>
      <c r="G4714">
        <v>-377.86020000000002</v>
      </c>
      <c r="H4714" s="1">
        <v>-1.7022979999999999E-6</v>
      </c>
      <c r="I4714">
        <v>22.286020000000001</v>
      </c>
      <c r="J4714">
        <v>-414.47300000000001</v>
      </c>
      <c r="K4714">
        <v>1.124236</v>
      </c>
      <c r="L4714">
        <v>26.37274</v>
      </c>
      <c r="M4714">
        <v>0.74466069999999995</v>
      </c>
      <c r="N4714">
        <v>-2.463829E-2</v>
      </c>
      <c r="O4714">
        <v>-0.66698840000000004</v>
      </c>
      <c r="P4714">
        <v>0.95266709999999999</v>
      </c>
      <c r="Q4714">
        <v>-4.082264E-2</v>
      </c>
      <c r="R4714">
        <v>-0.30126229999999998</v>
      </c>
      <c r="S4714">
        <v>3.0419309999999999</v>
      </c>
      <c r="T4714">
        <v>-9.3126180000000003E-2</v>
      </c>
      <c r="U4714">
        <v>-0.345672599999999</v>
      </c>
      <c r="V4714">
        <v>-0.41036070000000002</v>
      </c>
      <c r="W4714">
        <v>-3.2110960000000001E-2</v>
      </c>
      <c r="X4714">
        <v>0.9113578</v>
      </c>
      <c r="Y4714">
        <v>-0.57839439999999998</v>
      </c>
      <c r="Z4714">
        <v>1.6916239999999999E-2</v>
      </c>
      <c r="AA4714">
        <v>0.81558189999999997</v>
      </c>
      <c r="AB4714">
        <v>25</v>
      </c>
      <c r="AC4714">
        <v>36.612799999999901</v>
      </c>
      <c r="AD4714">
        <v>-1.1242377022979999</v>
      </c>
      <c r="AE4714">
        <v>-4.0867199999999997</v>
      </c>
      <c r="AF4714">
        <v>-21.3636878816875</v>
      </c>
      <c r="AG4714">
        <v>-1.1242377022979999</v>
      </c>
      <c r="AH4714">
        <v>29.971101918250799</v>
      </c>
      <c r="AI4714">
        <v>91.749558029112606</v>
      </c>
      <c r="AJ4714">
        <v>125.48163460733301</v>
      </c>
      <c r="AK4714">
        <v>36.823063703494398</v>
      </c>
      <c r="AL4714">
        <v>91.840138755719707</v>
      </c>
      <c r="AM4714">
        <v>114.240798165017</v>
      </c>
      <c r="AN4714">
        <v>1.0000000287387201</v>
      </c>
    </row>
    <row r="4715" spans="1:40" x14ac:dyDescent="0.25">
      <c r="A4715" t="str">
        <f>"20190305135924652"</f>
        <v>20190305135924652</v>
      </c>
      <c r="B4715" t="str">
        <f>"1551765564643912"</f>
        <v>1551765564643912</v>
      </c>
      <c r="C4715" t="s">
        <v>40</v>
      </c>
      <c r="D4715">
        <v>3.818441</v>
      </c>
      <c r="E4715">
        <v>0.42353039999999997</v>
      </c>
      <c r="F4715" t="s">
        <v>85</v>
      </c>
      <c r="G4715">
        <v>-378.52159999999998</v>
      </c>
      <c r="H4715" s="1">
        <v>-1.4689569999999999E-6</v>
      </c>
      <c r="I4715">
        <v>22.584050000000001</v>
      </c>
      <c r="J4715">
        <v>-414.3485</v>
      </c>
      <c r="K4715">
        <v>1.12415</v>
      </c>
      <c r="L4715">
        <v>26.280360000000002</v>
      </c>
      <c r="M4715">
        <v>0.7533938</v>
      </c>
      <c r="N4715">
        <v>-2.452203E-2</v>
      </c>
      <c r="O4715">
        <v>-0.65711229999999998</v>
      </c>
      <c r="P4715">
        <v>0.95588229999999996</v>
      </c>
      <c r="Q4715">
        <v>-4.1405499999999998E-2</v>
      </c>
      <c r="R4715">
        <v>-0.2908173</v>
      </c>
      <c r="S4715">
        <v>3.0435490000000001</v>
      </c>
      <c r="T4715">
        <v>-9.5174910000000001E-2</v>
      </c>
      <c r="U4715">
        <v>-0.32073970000000002</v>
      </c>
      <c r="V4715">
        <v>-0.40828629999999999</v>
      </c>
      <c r="W4715">
        <v>-3.2630289999999999E-2</v>
      </c>
      <c r="X4715">
        <v>0.91227049999999998</v>
      </c>
      <c r="Y4715">
        <v>-0.57426739999999998</v>
      </c>
      <c r="Z4715">
        <v>1.7554630000000002E-2</v>
      </c>
      <c r="AA4715">
        <v>0.81847959999999997</v>
      </c>
      <c r="AB4715">
        <v>24</v>
      </c>
      <c r="AC4715">
        <v>35.826900000000002</v>
      </c>
      <c r="AD4715">
        <v>-1.124151468957</v>
      </c>
      <c r="AE4715">
        <v>-3.6963099999999902</v>
      </c>
      <c r="AF4715">
        <v>-20.7435545647661</v>
      </c>
      <c r="AG4715">
        <v>-1.124151468957</v>
      </c>
      <c r="AH4715">
        <v>29.4008617324596</v>
      </c>
      <c r="AI4715">
        <v>91.789454623555898</v>
      </c>
      <c r="AJ4715">
        <v>125.204590666367</v>
      </c>
      <c r="AK4715">
        <v>35.9995755963566</v>
      </c>
      <c r="AL4715">
        <v>91.869909918119504</v>
      </c>
      <c r="AM4715">
        <v>114.110883713917</v>
      </c>
      <c r="AN4715">
        <v>0.99999995188170998</v>
      </c>
    </row>
    <row r="4716" spans="1:40" x14ac:dyDescent="0.25">
      <c r="A4716" t="str">
        <f>"20190305135924671"</f>
        <v>20190305135924671</v>
      </c>
      <c r="B4716" t="str">
        <f>"1551765564663431"</f>
        <v>1551765564663431</v>
      </c>
      <c r="C4716" t="s">
        <v>40</v>
      </c>
      <c r="D4716">
        <v>3.7945069999999999</v>
      </c>
      <c r="E4716">
        <v>0.42753279999999999</v>
      </c>
      <c r="F4716" t="s">
        <v>85</v>
      </c>
      <c r="G4716">
        <v>-378.69619999999998</v>
      </c>
      <c r="H4716" s="1">
        <v>-1.4748869999999999E-6</v>
      </c>
      <c r="I4716">
        <v>22.916540000000001</v>
      </c>
      <c r="J4716">
        <v>-414.19839999999999</v>
      </c>
      <c r="K4716">
        <v>1.12402</v>
      </c>
      <c r="L4716">
        <v>26.172090000000001</v>
      </c>
      <c r="M4716">
        <v>0.76365550000000004</v>
      </c>
      <c r="N4716">
        <v>-2.4370269999999999E-2</v>
      </c>
      <c r="O4716">
        <v>-0.64516399999999996</v>
      </c>
      <c r="P4716">
        <v>0.95854430000000002</v>
      </c>
      <c r="Q4716">
        <v>-4.3135140000000002E-2</v>
      </c>
      <c r="R4716">
        <v>-0.28165980000000002</v>
      </c>
      <c r="S4716">
        <v>3.046875</v>
      </c>
      <c r="T4716">
        <v>-9.6070890000000006E-2</v>
      </c>
      <c r="U4716">
        <v>-0.2874756</v>
      </c>
      <c r="V4716">
        <v>-0.40253990000000001</v>
      </c>
      <c r="W4716">
        <v>-3.414267E-2</v>
      </c>
      <c r="X4716">
        <v>0.91476550000000001</v>
      </c>
      <c r="Y4716">
        <v>-0.57030019999999904</v>
      </c>
      <c r="Z4716">
        <v>1.7863830000000001E-2</v>
      </c>
      <c r="AA4716">
        <v>0.82124209999999997</v>
      </c>
      <c r="AB4716">
        <v>24</v>
      </c>
      <c r="AC4716">
        <v>35.502200000000002</v>
      </c>
      <c r="AD4716">
        <v>-1.1240214748870001</v>
      </c>
      <c r="AE4716">
        <v>-3.2555499999999999</v>
      </c>
      <c r="AF4716">
        <v>-20.404403860545202</v>
      </c>
      <c r="AG4716">
        <v>-1.1240214748870001</v>
      </c>
      <c r="AH4716">
        <v>29.1914718345224</v>
      </c>
      <c r="AI4716">
        <v>91.807636109766804</v>
      </c>
      <c r="AJ4716">
        <v>124.952975088359</v>
      </c>
      <c r="AK4716">
        <v>35.6334835379023</v>
      </c>
      <c r="AL4716">
        <v>91.956611149305203</v>
      </c>
      <c r="AM4716">
        <v>113.751755084938</v>
      </c>
      <c r="AN4716">
        <v>1.00000000649849</v>
      </c>
    </row>
    <row r="4717" spans="1:40" x14ac:dyDescent="0.25">
      <c r="A4717" t="str">
        <f>"20190305135924683"</f>
        <v>20190305135924683</v>
      </c>
      <c r="B4717" t="str">
        <f>"1551765564673523"</f>
        <v>1551765564673523</v>
      </c>
      <c r="C4717" t="s">
        <v>40</v>
      </c>
      <c r="D4717">
        <v>3.8505750000000001</v>
      </c>
      <c r="E4717">
        <v>0.42753279999999999</v>
      </c>
      <c r="F4717" t="s">
        <v>41</v>
      </c>
      <c r="G4717">
        <v>-413.25560000000002</v>
      </c>
      <c r="H4717">
        <v>1.0773779999999999</v>
      </c>
      <c r="I4717">
        <v>26.082000000000001</v>
      </c>
      <c r="J4717">
        <v>-414.09039999999999</v>
      </c>
      <c r="K4717">
        <v>1.1239140000000001</v>
      </c>
      <c r="L4717">
        <v>26.096219999999999</v>
      </c>
      <c r="M4717">
        <v>0.77085209999999904</v>
      </c>
      <c r="N4717">
        <v>-2.4254660000000001E-2</v>
      </c>
      <c r="O4717">
        <v>-0.63655240000000002</v>
      </c>
      <c r="P4717">
        <v>0.96084630000000004</v>
      </c>
      <c r="Q4717">
        <v>-4.3096259999999997E-2</v>
      </c>
      <c r="R4717">
        <v>-0.2737098</v>
      </c>
      <c r="S4717">
        <v>3.037598</v>
      </c>
      <c r="T4717">
        <v>-0.15030109999999999</v>
      </c>
      <c r="U4717">
        <v>-0.29058840000000002</v>
      </c>
      <c r="V4717">
        <v>-0.39985739999999997</v>
      </c>
      <c r="W4717">
        <v>-3.4007170000000003E-2</v>
      </c>
      <c r="X4717">
        <v>0.91594620000000004</v>
      </c>
      <c r="Y4717">
        <v>-0.55935449999999998</v>
      </c>
      <c r="Z4717">
        <v>3.3234979999999997E-2</v>
      </c>
      <c r="AA4717">
        <v>0.82826200000000005</v>
      </c>
      <c r="AB4717">
        <v>24</v>
      </c>
      <c r="AC4717">
        <v>0.83479999999997201</v>
      </c>
      <c r="AD4717">
        <v>-4.6535999999999599E-2</v>
      </c>
      <c r="AE4717">
        <v>-1.4220000000005201E-2</v>
      </c>
      <c r="AF4717">
        <v>-0.51897327327523401</v>
      </c>
      <c r="AG4717">
        <v>-4.6535999999999599E-2</v>
      </c>
      <c r="AH4717">
        <v>0.650729506935255</v>
      </c>
      <c r="AI4717">
        <v>93.200084332621998</v>
      </c>
      <c r="AJ4717">
        <v>128.57324809900001</v>
      </c>
      <c r="AK4717">
        <v>0.83363526129009902</v>
      </c>
      <c r="AL4717">
        <v>91.948843200284401</v>
      </c>
      <c r="AM4717">
        <v>113.583732537027</v>
      </c>
      <c r="AN4717">
        <v>0.99999993462030201</v>
      </c>
    </row>
    <row r="4718" spans="1:40" x14ac:dyDescent="0.25">
      <c r="A4718" t="str">
        <f>"20190305135924694"</f>
        <v>20190305135924694</v>
      </c>
      <c r="B4718" t="str">
        <f>"1551765564684260"</f>
        <v>1551765564684260</v>
      </c>
      <c r="C4718" t="s">
        <v>40</v>
      </c>
      <c r="D4718">
        <v>4.109559</v>
      </c>
      <c r="E4718">
        <v>0.42638120000000002</v>
      </c>
      <c r="F4718" t="s">
        <v>41</v>
      </c>
      <c r="G4718">
        <v>-413.06880000000001</v>
      </c>
      <c r="H4718">
        <v>1.0734889999999999</v>
      </c>
      <c r="I4718">
        <v>26.006869999999999</v>
      </c>
      <c r="J4718">
        <v>-413.99149999999997</v>
      </c>
      <c r="K4718">
        <v>1.1238159999999999</v>
      </c>
      <c r="L4718">
        <v>26.028289999999998</v>
      </c>
      <c r="M4718">
        <v>0.77730180000000004</v>
      </c>
      <c r="N4718">
        <v>-2.414504E-2</v>
      </c>
      <c r="O4718">
        <v>-0.62866449999999996</v>
      </c>
      <c r="P4718">
        <v>0.96279060000000005</v>
      </c>
      <c r="Q4718">
        <v>-4.2962159999999999E-2</v>
      </c>
      <c r="R4718">
        <v>-0.26681159999999998</v>
      </c>
      <c r="S4718">
        <v>3.039917</v>
      </c>
      <c r="T4718">
        <v>-0.150031</v>
      </c>
      <c r="U4718">
        <v>-0.26541140000000002</v>
      </c>
      <c r="V4718">
        <v>-0.39710640000000003</v>
      </c>
      <c r="W4718">
        <v>-3.3768680000000002E-2</v>
      </c>
      <c r="X4718">
        <v>0.91715119999999895</v>
      </c>
      <c r="Y4718">
        <v>-0.55777730000000003</v>
      </c>
      <c r="Z4718">
        <v>3.3089859999999999E-2</v>
      </c>
      <c r="AA4718">
        <v>0.82933080000000003</v>
      </c>
      <c r="AB4718">
        <v>24</v>
      </c>
      <c r="AC4718">
        <v>0.92269999999996299</v>
      </c>
      <c r="AD4718">
        <v>-5.0326999999999997E-2</v>
      </c>
      <c r="AE4718">
        <v>-2.1419999999995502E-2</v>
      </c>
      <c r="AF4718">
        <v>-0.561912431786184</v>
      </c>
      <c r="AG4718">
        <v>-5.0326999999999997E-2</v>
      </c>
      <c r="AH4718">
        <v>0.72872862927633497</v>
      </c>
      <c r="AI4718">
        <v>93.130423669331194</v>
      </c>
      <c r="AJ4718">
        <v>127.635312902913</v>
      </c>
      <c r="AK4718">
        <v>0.92158765348274396</v>
      </c>
      <c r="AL4718">
        <v>91.935170613652801</v>
      </c>
      <c r="AM4718">
        <v>113.411555758262</v>
      </c>
      <c r="AN4718">
        <v>1.0000000701656599</v>
      </c>
    </row>
    <row r="4719" spans="1:40" x14ac:dyDescent="0.25">
      <c r="A4719" t="str">
        <f>"20190305135924710"</f>
        <v>20190305135924710</v>
      </c>
      <c r="B4719" t="str">
        <f>"1551765564703780"</f>
        <v>1551765564703780</v>
      </c>
      <c r="C4719" t="s">
        <v>40</v>
      </c>
      <c r="D4719">
        <v>3.8083879999999999</v>
      </c>
      <c r="E4719">
        <v>0.4265873</v>
      </c>
      <c r="F4719" t="s">
        <v>41</v>
      </c>
      <c r="G4719">
        <v>-413.09339999999997</v>
      </c>
      <c r="H4719">
        <v>1.0693729999999999</v>
      </c>
      <c r="I4719">
        <v>25.958500000000001</v>
      </c>
      <c r="J4719">
        <v>-413.8646</v>
      </c>
      <c r="K4719">
        <v>1.123677</v>
      </c>
      <c r="L4719">
        <v>25.943660000000001</v>
      </c>
      <c r="M4719">
        <v>0.78537029999999997</v>
      </c>
      <c r="N4719">
        <v>-2.398875E-2</v>
      </c>
      <c r="O4719">
        <v>-0.61856140000000004</v>
      </c>
      <c r="P4719">
        <v>0.96537669999999998</v>
      </c>
      <c r="Q4719">
        <v>-4.2003970000000002E-2</v>
      </c>
      <c r="R4719">
        <v>-0.25745580000000001</v>
      </c>
      <c r="S4719">
        <v>3.0423580000000001</v>
      </c>
      <c r="T4719">
        <v>-0.1843832</v>
      </c>
      <c r="U4719">
        <v>-0.23583979999999999</v>
      </c>
      <c r="V4719">
        <v>-0.39421050000000002</v>
      </c>
      <c r="W4719">
        <v>-3.2708389999999997E-2</v>
      </c>
      <c r="X4719">
        <v>0.91843799999999998</v>
      </c>
      <c r="Y4719">
        <v>-0.55454510000000001</v>
      </c>
      <c r="Z4719">
        <v>4.258E-2</v>
      </c>
      <c r="AA4719">
        <v>0.83106360000000001</v>
      </c>
      <c r="AB4719">
        <v>24</v>
      </c>
      <c r="AC4719">
        <v>0.77120000000002098</v>
      </c>
      <c r="AD4719">
        <v>-5.4304000000000102E-2</v>
      </c>
      <c r="AE4719">
        <v>1.4839999999999499E-2</v>
      </c>
      <c r="AF4719">
        <v>-0.48641917408409402</v>
      </c>
      <c r="AG4719">
        <v>-5.4304000000000102E-2</v>
      </c>
      <c r="AH4719">
        <v>0.59372701156091701</v>
      </c>
      <c r="AI4719">
        <v>94.046981265240404</v>
      </c>
      <c r="AJ4719">
        <v>129.32652889260399</v>
      </c>
      <c r="AK4719">
        <v>0.76945714733811499</v>
      </c>
      <c r="AL4719">
        <v>91.874386908724603</v>
      </c>
      <c r="AM4719">
        <v>113.229900450907</v>
      </c>
      <c r="AN4719">
        <v>1.0000000584653099</v>
      </c>
    </row>
    <row r="4720" spans="1:40" x14ac:dyDescent="0.25">
      <c r="A4720" t="str">
        <f>"20190305135924728"</f>
        <v>20190305135924728</v>
      </c>
      <c r="B4720" t="str">
        <f>"1551765564724275"</f>
        <v>1551765564724275</v>
      </c>
      <c r="C4720" t="s">
        <v>40</v>
      </c>
      <c r="D4720">
        <v>3.759709</v>
      </c>
      <c r="E4720">
        <v>0.42583599999999999</v>
      </c>
      <c r="F4720" t="s">
        <v>41</v>
      </c>
      <c r="G4720">
        <v>-412.90969999999999</v>
      </c>
      <c r="H4720">
        <v>1.06999</v>
      </c>
      <c r="I4720">
        <v>25.878620000000002</v>
      </c>
      <c r="J4720">
        <v>-413.70850000000002</v>
      </c>
      <c r="K4720">
        <v>1.123502</v>
      </c>
      <c r="L4720">
        <v>25.842590000000001</v>
      </c>
      <c r="M4720">
        <v>0.79498859999999905</v>
      </c>
      <c r="N4720">
        <v>-2.3775749999999998E-2</v>
      </c>
      <c r="O4720">
        <v>-0.60615830000000004</v>
      </c>
      <c r="P4720">
        <v>0.96771479999999999</v>
      </c>
      <c r="Q4720">
        <v>-4.011642E-2</v>
      </c>
      <c r="R4720">
        <v>-0.24883469999999999</v>
      </c>
      <c r="S4720">
        <v>3.0448300000000001</v>
      </c>
      <c r="T4720">
        <v>-0.17120829999999901</v>
      </c>
      <c r="U4720">
        <v>-0.2075806</v>
      </c>
      <c r="V4720">
        <v>-0.3881</v>
      </c>
      <c r="W4720">
        <v>-3.0597550000000001E-2</v>
      </c>
      <c r="X4720">
        <v>0.92110919999999996</v>
      </c>
      <c r="Y4720">
        <v>-0.54944999999999999</v>
      </c>
      <c r="Z4720">
        <v>3.8584500000000001E-2</v>
      </c>
      <c r="AA4720">
        <v>0.83463519999999902</v>
      </c>
      <c r="AB4720">
        <v>24</v>
      </c>
      <c r="AC4720">
        <v>0.79880000000002804</v>
      </c>
      <c r="AD4720">
        <v>-5.3511999999999997E-2</v>
      </c>
      <c r="AE4720">
        <v>3.6030000000003698E-2</v>
      </c>
      <c r="AF4720">
        <v>-0.51070046067985497</v>
      </c>
      <c r="AG4720">
        <v>-5.3511999999999997E-2</v>
      </c>
      <c r="AH4720">
        <v>0.61063558493945802</v>
      </c>
      <c r="AI4720">
        <v>93.845760488407194</v>
      </c>
      <c r="AJ4720">
        <v>129.90717058042</v>
      </c>
      <c r="AK4720">
        <v>0.79784353871982305</v>
      </c>
      <c r="AL4720">
        <v>91.753384159311906</v>
      </c>
      <c r="AM4720">
        <v>112.84763036205</v>
      </c>
      <c r="AN4720">
        <v>0.99999998919532096</v>
      </c>
    </row>
    <row r="4721" spans="1:40" x14ac:dyDescent="0.25">
      <c r="A4721" t="str">
        <f>"20190305135924742"</f>
        <v>20190305135924742</v>
      </c>
      <c r="B4721" t="str">
        <f>"1551765564734035"</f>
        <v>1551765564734035</v>
      </c>
      <c r="C4721" t="s">
        <v>40</v>
      </c>
      <c r="D4721">
        <v>3.7360009999999999</v>
      </c>
      <c r="E4721">
        <v>0.42526740000000002</v>
      </c>
      <c r="F4721" t="s">
        <v>41</v>
      </c>
      <c r="G4721">
        <v>-412.733</v>
      </c>
      <c r="H4721">
        <v>1.0721369999999999</v>
      </c>
      <c r="I4721">
        <v>25.786480000000001</v>
      </c>
      <c r="J4721">
        <v>-413.58080000000001</v>
      </c>
      <c r="K4721">
        <v>1.1233420000000001</v>
      </c>
      <c r="L4721">
        <v>25.76221</v>
      </c>
      <c r="M4721">
        <v>0.8026065</v>
      </c>
      <c r="N4721">
        <v>-2.3586630000000001E-2</v>
      </c>
      <c r="O4721">
        <v>-0.59604259999999998</v>
      </c>
      <c r="P4721">
        <v>0.97000679999999995</v>
      </c>
      <c r="Q4721">
        <v>-3.9064139999999997E-2</v>
      </c>
      <c r="R4721">
        <v>-0.2399191</v>
      </c>
      <c r="S4721">
        <v>3.048584</v>
      </c>
      <c r="T4721">
        <v>-0.16045509999999999</v>
      </c>
      <c r="U4721">
        <v>-0.17446900000000001</v>
      </c>
      <c r="V4721">
        <v>-0.38497550000000003</v>
      </c>
      <c r="W4721">
        <v>-2.9448700000000001E-2</v>
      </c>
      <c r="X4721">
        <v>0.92245690000000002</v>
      </c>
      <c r="Y4721">
        <v>-0.5481511</v>
      </c>
      <c r="Z4721">
        <v>3.5489229999999997E-2</v>
      </c>
      <c r="AA4721">
        <v>0.83562610000000004</v>
      </c>
      <c r="AB4721">
        <v>24</v>
      </c>
      <c r="AC4721">
        <v>0.84780000000000599</v>
      </c>
      <c r="AD4721">
        <v>-5.1204999999999903E-2</v>
      </c>
      <c r="AE4721">
        <v>2.42699999999978E-2</v>
      </c>
      <c r="AF4721">
        <v>-0.52304371223996504</v>
      </c>
      <c r="AG4721">
        <v>-5.1204999999999903E-2</v>
      </c>
      <c r="AH4721">
        <v>0.66374978362865</v>
      </c>
      <c r="AI4721">
        <v>93.467473258944906</v>
      </c>
      <c r="AJ4721">
        <v>128.23858297131</v>
      </c>
      <c r="AK4721">
        <v>0.84661706349792099</v>
      </c>
      <c r="AL4721">
        <v>91.687530114519902</v>
      </c>
      <c r="AM4721">
        <v>112.652588419731</v>
      </c>
      <c r="AN4721">
        <v>1.0000000469447701</v>
      </c>
    </row>
    <row r="4722" spans="1:40" x14ac:dyDescent="0.25">
      <c r="A4722" t="str">
        <f>"20190305135924762"</f>
        <v>20190305135924762</v>
      </c>
      <c r="B4722" t="str">
        <f>"1551765564753555"</f>
        <v>1551765564753555</v>
      </c>
      <c r="C4722" t="s">
        <v>40</v>
      </c>
      <c r="D4722">
        <v>3.7307359999999998</v>
      </c>
      <c r="E4722">
        <v>0.42434230000000001</v>
      </c>
      <c r="F4722" t="s">
        <v>41</v>
      </c>
      <c r="G4722">
        <v>-412.54820000000001</v>
      </c>
      <c r="H4722">
        <v>1.07142</v>
      </c>
      <c r="I4722">
        <v>25.71415</v>
      </c>
      <c r="J4722">
        <v>-413.40780000000001</v>
      </c>
      <c r="K4722">
        <v>1.1231100000000001</v>
      </c>
      <c r="L4722">
        <v>25.65692</v>
      </c>
      <c r="M4722">
        <v>0.81254199999999999</v>
      </c>
      <c r="N4722">
        <v>-2.3314950000000001E-2</v>
      </c>
      <c r="O4722">
        <v>-0.58243610000000001</v>
      </c>
      <c r="P4722">
        <v>0.97243670000000004</v>
      </c>
      <c r="Q4722">
        <v>-3.7696599999999997E-2</v>
      </c>
      <c r="R4722">
        <v>-0.2301001</v>
      </c>
      <c r="S4722">
        <v>3.051453</v>
      </c>
      <c r="T4722">
        <v>-0.1534259</v>
      </c>
      <c r="U4722">
        <v>-0.14187620000000001</v>
      </c>
      <c r="V4722">
        <v>-0.37883879999999998</v>
      </c>
      <c r="W4722">
        <v>-2.786959E-2</v>
      </c>
      <c r="X4722">
        <v>0.9250429</v>
      </c>
      <c r="Y4722">
        <v>-0.54311690000000001</v>
      </c>
      <c r="Z4722">
        <v>3.3305639999999997E-2</v>
      </c>
      <c r="AA4722">
        <v>0.83899630000000003</v>
      </c>
      <c r="AB4722">
        <v>24</v>
      </c>
      <c r="AC4722">
        <v>0.85960000000000003</v>
      </c>
      <c r="AD4722">
        <v>-5.169E-2</v>
      </c>
      <c r="AE4722">
        <v>5.7230000000000503E-2</v>
      </c>
      <c r="AF4722">
        <v>-0.54534940984906399</v>
      </c>
      <c r="AG4722">
        <v>-5.169E-2</v>
      </c>
      <c r="AH4722">
        <v>0.66292266504861497</v>
      </c>
      <c r="AI4722">
        <v>93.445949608821806</v>
      </c>
      <c r="AJ4722">
        <v>129.442220631439</v>
      </c>
      <c r="AK4722">
        <v>0.85996761262147603</v>
      </c>
      <c r="AL4722">
        <v>91.597016732896606</v>
      </c>
      <c r="AM4722">
        <v>112.270888921351</v>
      </c>
      <c r="AN4722">
        <v>0.99999995863630797</v>
      </c>
    </row>
    <row r="4723" spans="1:40" x14ac:dyDescent="0.25">
      <c r="A4723" t="str">
        <f>"20190305135924783"</f>
        <v>20190305135924783</v>
      </c>
      <c r="B4723" t="str">
        <f>"1551765564773409"</f>
        <v>1551765564773409</v>
      </c>
      <c r="C4723" t="s">
        <v>40</v>
      </c>
      <c r="D4723">
        <v>3.67259</v>
      </c>
      <c r="E4723">
        <v>0.42349910000000002</v>
      </c>
      <c r="F4723" t="s">
        <v>41</v>
      </c>
      <c r="G4723">
        <v>-412.37310000000002</v>
      </c>
      <c r="H4723">
        <v>1.0756209999999999</v>
      </c>
      <c r="I4723">
        <v>25.621870000000001</v>
      </c>
      <c r="J4723">
        <v>-413.21769999999998</v>
      </c>
      <c r="K4723">
        <v>1.122811</v>
      </c>
      <c r="L4723">
        <v>25.545649999999998</v>
      </c>
      <c r="M4723">
        <v>0.82295079999999998</v>
      </c>
      <c r="N4723">
        <v>-2.2995140000000001E-2</v>
      </c>
      <c r="O4723">
        <v>-0.56764720000000002</v>
      </c>
      <c r="P4723">
        <v>0.97501000000000004</v>
      </c>
      <c r="Q4723">
        <v>-3.6731380000000001E-2</v>
      </c>
      <c r="R4723">
        <v>-0.21910350000000001</v>
      </c>
      <c r="S4723">
        <v>3.0551149999999998</v>
      </c>
      <c r="T4723">
        <v>-0.14020779999999999</v>
      </c>
      <c r="U4723">
        <v>-0.1034851</v>
      </c>
      <c r="V4723">
        <v>-0.37261169999999999</v>
      </c>
      <c r="W4723">
        <v>-2.6694780000000001E-2</v>
      </c>
      <c r="X4723">
        <v>0.92760330000000002</v>
      </c>
      <c r="Y4723">
        <v>-0.53869359999999999</v>
      </c>
      <c r="Z4723">
        <v>2.9546099999999999E-2</v>
      </c>
      <c r="AA4723">
        <v>0.841983499999999</v>
      </c>
      <c r="AB4723">
        <v>24</v>
      </c>
      <c r="AC4723">
        <v>0.84459999999995705</v>
      </c>
      <c r="AD4723">
        <v>-4.7190000000000003E-2</v>
      </c>
      <c r="AE4723">
        <v>7.6220000000002799E-2</v>
      </c>
      <c r="AF4723">
        <v>-0.54062941987639401</v>
      </c>
      <c r="AG4723">
        <v>-4.7190000000000003E-2</v>
      </c>
      <c r="AH4723">
        <v>0.64995791281642401</v>
      </c>
      <c r="AI4723">
        <v>93.194865228554804</v>
      </c>
      <c r="AJ4723">
        <v>129.753393673527</v>
      </c>
      <c r="AK4723">
        <v>0.84673039048363496</v>
      </c>
      <c r="AL4723">
        <v>91.529679964683098</v>
      </c>
      <c r="AM4723">
        <v>111.884980053608</v>
      </c>
      <c r="AN4723">
        <v>0.99999998621351405</v>
      </c>
    </row>
    <row r="4724" spans="1:40" x14ac:dyDescent="0.25">
      <c r="A4724" t="str">
        <f>"20190305135924794"</f>
        <v>20190305135924794</v>
      </c>
      <c r="B4724" t="str">
        <f>"1551765564784142"</f>
        <v>1551765564784142</v>
      </c>
      <c r="C4724" t="s">
        <v>40</v>
      </c>
      <c r="D4724">
        <v>3.674372</v>
      </c>
      <c r="E4724">
        <v>0.42302970000000001</v>
      </c>
      <c r="F4724" t="s">
        <v>41</v>
      </c>
      <c r="G4724">
        <v>-412.19979999999998</v>
      </c>
      <c r="H4724">
        <v>1.0802560000000001</v>
      </c>
      <c r="I4724">
        <v>25.525040000000001</v>
      </c>
      <c r="J4724">
        <v>-413.11399999999998</v>
      </c>
      <c r="K4724">
        <v>1.122635</v>
      </c>
      <c r="L4724">
        <v>25.486630000000002</v>
      </c>
      <c r="M4724">
        <v>0.82841540000000002</v>
      </c>
      <c r="N4724">
        <v>-2.2812659999999998E-2</v>
      </c>
      <c r="O4724">
        <v>-0.55964959999999997</v>
      </c>
      <c r="P4724">
        <v>0.97642810000000002</v>
      </c>
      <c r="Q4724">
        <v>-3.6527820000000003E-2</v>
      </c>
      <c r="R4724">
        <v>-0.2127299</v>
      </c>
      <c r="S4724">
        <v>3.0581360000000002</v>
      </c>
      <c r="T4724">
        <v>-0.127854</v>
      </c>
      <c r="U4724">
        <v>-6.2011719999999999E-2</v>
      </c>
      <c r="V4724">
        <v>-0.36970190000000003</v>
      </c>
      <c r="W4724">
        <v>-2.6399220000000001E-2</v>
      </c>
      <c r="X4724">
        <v>0.92877529999999997</v>
      </c>
      <c r="Y4724">
        <v>-0.54211909999999996</v>
      </c>
      <c r="Z4724">
        <v>2.6390960000000002E-2</v>
      </c>
      <c r="AA4724">
        <v>0.839887099999999</v>
      </c>
      <c r="AB4724">
        <v>24</v>
      </c>
      <c r="AC4724">
        <v>0.91420000000004997</v>
      </c>
      <c r="AD4724">
        <v>-4.2379000000000097E-2</v>
      </c>
      <c r="AE4724">
        <v>3.8410000000002498E-2</v>
      </c>
      <c r="AF4724">
        <v>-0.54242894132811603</v>
      </c>
      <c r="AG4724">
        <v>-4.2379000000000097E-2</v>
      </c>
      <c r="AH4724">
        <v>0.73445719907440299</v>
      </c>
      <c r="AI4724">
        <v>92.657468809932695</v>
      </c>
      <c r="AJ4724">
        <v>126.447498226077</v>
      </c>
      <c r="AK4724">
        <v>0.91403091485110999</v>
      </c>
      <c r="AL4724">
        <v>91.512739654106198</v>
      </c>
      <c r="AM4724">
        <v>111.70518258449199</v>
      </c>
      <c r="AN4724">
        <v>0.99999998578515403</v>
      </c>
    </row>
    <row r="4725" spans="1:40" x14ac:dyDescent="0.25">
      <c r="A4725" t="str">
        <f>"20190305135924807"</f>
        <v>20190305135924807</v>
      </c>
      <c r="B4725" t="str">
        <f>"1551765564793902"</f>
        <v>1551765564793902</v>
      </c>
      <c r="C4725" t="s">
        <v>40</v>
      </c>
      <c r="D4725">
        <v>3.6966320000000001</v>
      </c>
      <c r="E4725">
        <v>0.42257650000000002</v>
      </c>
      <c r="F4725" t="s">
        <v>41</v>
      </c>
      <c r="G4725">
        <v>-412.16890000000001</v>
      </c>
      <c r="H4725">
        <v>1.0848530000000001</v>
      </c>
      <c r="I4725">
        <v>25.474869999999999</v>
      </c>
      <c r="J4725">
        <v>-413.0095</v>
      </c>
      <c r="K4725">
        <v>1.122441</v>
      </c>
      <c r="L4725">
        <v>25.42877</v>
      </c>
      <c r="M4725">
        <v>0.83374519999999996</v>
      </c>
      <c r="N4725">
        <v>-2.2612819999999999E-2</v>
      </c>
      <c r="O4725">
        <v>-0.55168619999999902</v>
      </c>
      <c r="P4725">
        <v>0.97841630000000002</v>
      </c>
      <c r="Q4725">
        <v>-3.654984E-2</v>
      </c>
      <c r="R4725">
        <v>-0.20338510000000001</v>
      </c>
      <c r="S4725">
        <v>3.0595699999999999</v>
      </c>
      <c r="T4725">
        <v>-0.1223177</v>
      </c>
      <c r="U4725">
        <v>-3.8146970000000002E-2</v>
      </c>
      <c r="V4725">
        <v>-0.36968329999999999</v>
      </c>
      <c r="W4725">
        <v>-2.6450649999999999E-2</v>
      </c>
      <c r="X4725">
        <v>0.92878130000000003</v>
      </c>
      <c r="Y4725">
        <v>-0.54069049999999996</v>
      </c>
      <c r="Z4725">
        <v>2.490121E-2</v>
      </c>
      <c r="AA4725">
        <v>0.84085299999999996</v>
      </c>
      <c r="AB4725">
        <v>24</v>
      </c>
      <c r="AC4725">
        <v>0.84059999999999402</v>
      </c>
      <c r="AD4725">
        <v>-3.7587999999999899E-2</v>
      </c>
      <c r="AE4725">
        <v>4.6100000000002597E-2</v>
      </c>
      <c r="AF4725">
        <v>-0.501312136433813</v>
      </c>
      <c r="AG4725">
        <v>-3.7587999999999899E-2</v>
      </c>
      <c r="AH4725">
        <v>0.67424211048633598</v>
      </c>
      <c r="AI4725">
        <v>92.561567250972402</v>
      </c>
      <c r="AJ4725">
        <v>126.63152100681999</v>
      </c>
      <c r="AK4725">
        <v>0.84102861986552102</v>
      </c>
      <c r="AL4725">
        <v>91.515687321420501</v>
      </c>
      <c r="AM4725">
        <v>111.704064912696</v>
      </c>
      <c r="AN4725">
        <v>1.000000041207</v>
      </c>
    </row>
    <row r="4726" spans="1:40" x14ac:dyDescent="0.25">
      <c r="A4726" t="str">
        <f>"20190305135924821"</f>
        <v>20190305135924821</v>
      </c>
      <c r="B4726" t="str">
        <f>"1551765564814398"</f>
        <v>1551765564814398</v>
      </c>
      <c r="C4726" t="s">
        <v>40</v>
      </c>
      <c r="D4726">
        <v>3.662388</v>
      </c>
      <c r="E4726">
        <v>0.42155670000000001</v>
      </c>
      <c r="F4726" t="s">
        <v>41</v>
      </c>
      <c r="G4726">
        <v>-412.0258</v>
      </c>
      <c r="H4726">
        <v>1.0838810000000001</v>
      </c>
      <c r="I4726">
        <v>25.42689</v>
      </c>
      <c r="J4726">
        <v>-412.88619999999997</v>
      </c>
      <c r="K4726">
        <v>1.1221989999999999</v>
      </c>
      <c r="L4726">
        <v>25.361509999999999</v>
      </c>
      <c r="M4726">
        <v>0.8398582</v>
      </c>
      <c r="N4726">
        <v>-2.2367959999999999E-2</v>
      </c>
      <c r="O4726">
        <v>-0.54234479999999996</v>
      </c>
      <c r="P4726">
        <v>0.98007080000000002</v>
      </c>
      <c r="Q4726">
        <v>-3.5936089999999997E-2</v>
      </c>
      <c r="R4726">
        <v>-0.1953714</v>
      </c>
      <c r="S4726">
        <v>3.0605769999999999</v>
      </c>
      <c r="T4726">
        <v>-0.1199315</v>
      </c>
      <c r="U4726">
        <v>-5.2185060000000004E-3</v>
      </c>
      <c r="V4726">
        <v>-0.36695220000000001</v>
      </c>
      <c r="W4726">
        <v>-2.5768180000000002E-2</v>
      </c>
      <c r="X4726">
        <v>0.92988289999999996</v>
      </c>
      <c r="Y4726">
        <v>-0.54037599999999997</v>
      </c>
      <c r="Z4726">
        <v>2.4290630000000001E-2</v>
      </c>
      <c r="AA4726">
        <v>0.84107299999999996</v>
      </c>
      <c r="AB4726">
        <v>24</v>
      </c>
      <c r="AC4726">
        <v>0.86039999999996997</v>
      </c>
      <c r="AD4726">
        <v>-3.8317999999999998E-2</v>
      </c>
      <c r="AE4726">
        <v>6.5380000000001104E-2</v>
      </c>
      <c r="AF4726">
        <v>-0.52064720345950899</v>
      </c>
      <c r="AG4726">
        <v>-3.8317999999999998E-2</v>
      </c>
      <c r="AH4726">
        <v>0.68597472193130005</v>
      </c>
      <c r="AI4726">
        <v>92.547675148418506</v>
      </c>
      <c r="AJ4726">
        <v>127.198094842317</v>
      </c>
      <c r="AK4726">
        <v>0.86203427932010401</v>
      </c>
      <c r="AL4726">
        <v>91.476571306007202</v>
      </c>
      <c r="AM4726">
        <v>111.53528012802499</v>
      </c>
      <c r="AN4726">
        <v>1.00000006194887</v>
      </c>
    </row>
    <row r="4727" spans="1:40" x14ac:dyDescent="0.25">
      <c r="A4727" t="str">
        <f>"20190305135924832"</f>
        <v>20190305135924832</v>
      </c>
      <c r="B4727" t="str">
        <f>"1551765564824158"</f>
        <v>1551765564824158</v>
      </c>
      <c r="C4727" t="s">
        <v>40</v>
      </c>
      <c r="D4727">
        <v>3.6673559999999998</v>
      </c>
      <c r="E4727">
        <v>0.4210856</v>
      </c>
      <c r="F4727" t="s">
        <v>41</v>
      </c>
      <c r="G4727">
        <v>-411.83690000000001</v>
      </c>
      <c r="H4727">
        <v>1.083637</v>
      </c>
      <c r="I4727">
        <v>25.371179999999999</v>
      </c>
      <c r="J4727">
        <v>-412.7706</v>
      </c>
      <c r="K4727">
        <v>1.12195</v>
      </c>
      <c r="L4727">
        <v>25.300229999999999</v>
      </c>
      <c r="M4727">
        <v>0.84534549999999997</v>
      </c>
      <c r="N4727">
        <v>-2.2116239999999999E-2</v>
      </c>
      <c r="O4727">
        <v>-0.53376210000000002</v>
      </c>
      <c r="P4727">
        <v>0.98149070000000005</v>
      </c>
      <c r="Q4727">
        <v>-3.5445200000000003E-2</v>
      </c>
      <c r="R4727">
        <v>-0.1882018</v>
      </c>
      <c r="S4727">
        <v>3.0624690000000001</v>
      </c>
      <c r="T4727">
        <v>-0.1125562</v>
      </c>
      <c r="U4727">
        <v>2.810669E-2</v>
      </c>
      <c r="V4727">
        <v>-0.36430790000000002</v>
      </c>
      <c r="W4727">
        <v>-2.521222E-2</v>
      </c>
      <c r="X4727">
        <v>0.93093720000000002</v>
      </c>
      <c r="Y4727">
        <v>-0.54103610000000002</v>
      </c>
      <c r="Z4727">
        <v>2.2436580000000001E-2</v>
      </c>
      <c r="AA4727">
        <v>0.8407</v>
      </c>
      <c r="AB4727">
        <v>24</v>
      </c>
      <c r="AC4727">
        <v>0.93369999999998698</v>
      </c>
      <c r="AD4727">
        <v>-3.8312999999999799E-2</v>
      </c>
      <c r="AE4727">
        <v>7.0949999999999805E-2</v>
      </c>
      <c r="AF4727">
        <v>-0.55755411247810904</v>
      </c>
      <c r="AG4727">
        <v>-3.8312999999999799E-2</v>
      </c>
      <c r="AH4727">
        <v>0.75035630729066505</v>
      </c>
      <c r="AI4727">
        <v>92.346900331847905</v>
      </c>
      <c r="AJ4727">
        <v>126.614286108342</v>
      </c>
      <c r="AK4727">
        <v>0.93561159794069204</v>
      </c>
      <c r="AL4727">
        <v>91.444706901791704</v>
      </c>
      <c r="AM4727">
        <v>111.372123449955</v>
      </c>
      <c r="AN4727">
        <v>0.99999998619178898</v>
      </c>
    </row>
    <row r="4728" spans="1:40" x14ac:dyDescent="0.25">
      <c r="A4728" t="str">
        <f>"20190305135924850"</f>
        <v>20190305135924850</v>
      </c>
      <c r="B4728" t="str">
        <f>"1551765564843678"</f>
        <v>1551765564843678</v>
      </c>
      <c r="C4728" t="s">
        <v>40</v>
      </c>
      <c r="D4728">
        <v>3.9322629999999998</v>
      </c>
      <c r="E4728">
        <v>0.4205816</v>
      </c>
      <c r="F4728" t="s">
        <v>84</v>
      </c>
      <c r="G4728">
        <v>-381.2604</v>
      </c>
      <c r="H4728" s="1">
        <v>-5.3508679999999998E-6</v>
      </c>
      <c r="I4728">
        <v>25.85905</v>
      </c>
      <c r="J4728">
        <v>-412.62180000000001</v>
      </c>
      <c r="K4728">
        <v>1.1216060000000001</v>
      </c>
      <c r="L4728">
        <v>25.223179999999999</v>
      </c>
      <c r="M4728">
        <v>0.85211519999999996</v>
      </c>
      <c r="N4728">
        <v>-2.1748719999999999E-2</v>
      </c>
      <c r="O4728">
        <v>-0.52290230000000004</v>
      </c>
      <c r="P4728">
        <v>0.98270610000000003</v>
      </c>
      <c r="Q4728">
        <v>-3.5455390000000003E-2</v>
      </c>
      <c r="R4728">
        <v>-0.1817452</v>
      </c>
      <c r="S4728">
        <v>3.0629879999999998</v>
      </c>
      <c r="T4728">
        <v>-0.10906100000000001</v>
      </c>
      <c r="U4728">
        <v>5.4321290000000001E-2</v>
      </c>
      <c r="V4728">
        <v>-0.35851959999999999</v>
      </c>
      <c r="W4728">
        <v>-2.5083640000000001E-2</v>
      </c>
      <c r="X4728">
        <v>0.93318509999999999</v>
      </c>
      <c r="Y4728">
        <v>-0.53750069999999905</v>
      </c>
      <c r="Z4728">
        <v>2.1493430000000001E-2</v>
      </c>
      <c r="AA4728">
        <v>0.84298930000000005</v>
      </c>
      <c r="AB4728">
        <v>24</v>
      </c>
      <c r="AC4728">
        <v>31.3614</v>
      </c>
      <c r="AD4728">
        <v>-1.1216113508679999</v>
      </c>
      <c r="AE4728">
        <v>0.63587000000000005</v>
      </c>
      <c r="AF4728">
        <v>-16.923152521836101</v>
      </c>
      <c r="AG4728">
        <v>-1.1216113508679999</v>
      </c>
      <c r="AH4728">
        <v>26.363562778014298</v>
      </c>
      <c r="AI4728">
        <v>92.0504528483456</v>
      </c>
      <c r="AJ4728">
        <v>122.696992733439</v>
      </c>
      <c r="AK4728">
        <v>31.347863494184601</v>
      </c>
      <c r="AL4728">
        <v>91.437337514887801</v>
      </c>
      <c r="AM4728">
        <v>111.016234152251</v>
      </c>
      <c r="AN4728">
        <v>0.99999996172090899</v>
      </c>
    </row>
    <row r="4729" spans="1:40" x14ac:dyDescent="0.25">
      <c r="A4729" t="str">
        <f>"20190305135924862"</f>
        <v>20190305135924862</v>
      </c>
      <c r="B4729" t="str">
        <f>"1551765564853438"</f>
        <v>1551765564853438</v>
      </c>
      <c r="C4729" t="s">
        <v>40</v>
      </c>
      <c r="D4729">
        <v>4.1297009999999998</v>
      </c>
      <c r="E4729">
        <v>0.44747749999999997</v>
      </c>
      <c r="F4729" t="s">
        <v>84</v>
      </c>
      <c r="G4729">
        <v>-381.08249999999998</v>
      </c>
      <c r="H4729" s="1">
        <v>-5.449726E-6</v>
      </c>
      <c r="I4729">
        <v>26.031279999999999</v>
      </c>
      <c r="J4729">
        <v>-412.50709999999998</v>
      </c>
      <c r="K4729">
        <v>1.1213139999999999</v>
      </c>
      <c r="L4729">
        <v>25.165009999999999</v>
      </c>
      <c r="M4729">
        <v>0.85711749999999998</v>
      </c>
      <c r="N4729">
        <v>-2.1438180000000001E-2</v>
      </c>
      <c r="O4729">
        <v>-0.51467499999999999</v>
      </c>
      <c r="P4729">
        <v>0.98380630000000002</v>
      </c>
      <c r="Q4729">
        <v>-3.5724470000000001E-2</v>
      </c>
      <c r="R4729">
        <v>-0.17563879999999901</v>
      </c>
      <c r="S4729">
        <v>3.0634160000000001</v>
      </c>
      <c r="T4729">
        <v>-0.10894230000000001</v>
      </c>
      <c r="U4729">
        <v>7.8491210000000006E-2</v>
      </c>
      <c r="V4729">
        <v>-0.35532469999999999</v>
      </c>
      <c r="W4729">
        <v>-2.5310929999999999E-2</v>
      </c>
      <c r="X4729">
        <v>0.93440020000000001</v>
      </c>
      <c r="Y4729">
        <v>-0.53602899999999998</v>
      </c>
      <c r="Z4729">
        <v>2.1461029999999999E-2</v>
      </c>
      <c r="AA4729">
        <v>0.84392670000000003</v>
      </c>
      <c r="AB4729">
        <v>24</v>
      </c>
      <c r="AC4729">
        <v>31.424600000000002</v>
      </c>
      <c r="AD4729">
        <v>-1.121319449726</v>
      </c>
      <c r="AE4729">
        <v>0.86626999999999599</v>
      </c>
      <c r="AF4729">
        <v>-16.898336980855301</v>
      </c>
      <c r="AG4729">
        <v>-1.121319449726</v>
      </c>
      <c r="AH4729">
        <v>26.4611449603706</v>
      </c>
      <c r="AI4729">
        <v>92.045431443897598</v>
      </c>
      <c r="AJ4729">
        <v>122.56268554241601</v>
      </c>
      <c r="AK4729">
        <v>31.416609343476601</v>
      </c>
      <c r="AL4729">
        <v>91.450364339626603</v>
      </c>
      <c r="AM4729">
        <v>110.82032567654601</v>
      </c>
      <c r="AN4729">
        <v>1.00000000968379</v>
      </c>
    </row>
    <row r="4730" spans="1:40" x14ac:dyDescent="0.25">
      <c r="A4730" t="str">
        <f>"20190305135924875"</f>
        <v>20190305135924875</v>
      </c>
      <c r="B4730" t="str">
        <f>"1551765564864174"</f>
        <v>1551765564864174</v>
      </c>
      <c r="C4730" t="s">
        <v>40</v>
      </c>
      <c r="D4730">
        <v>3.8279139999999998</v>
      </c>
      <c r="E4730">
        <v>0.44747749999999997</v>
      </c>
      <c r="F4730" t="s">
        <v>41</v>
      </c>
      <c r="G4730">
        <v>-411.50599999999997</v>
      </c>
      <c r="H4730">
        <v>1.0707899999999999</v>
      </c>
      <c r="I4730">
        <v>25.126550000000002</v>
      </c>
      <c r="J4730">
        <v>-412.38720000000001</v>
      </c>
      <c r="K4730">
        <v>1.120984</v>
      </c>
      <c r="L4730">
        <v>25.105499999999999</v>
      </c>
      <c r="M4730">
        <v>0.8621181</v>
      </c>
      <c r="N4730">
        <v>-2.108372E-2</v>
      </c>
      <c r="O4730">
        <v>-0.50626879999999996</v>
      </c>
      <c r="P4730">
        <v>0.98484170000000004</v>
      </c>
      <c r="Q4730">
        <v>-3.6377489999999998E-2</v>
      </c>
      <c r="R4730">
        <v>-0.16959850000000001</v>
      </c>
      <c r="S4730">
        <v>3.0231020000000002</v>
      </c>
      <c r="T4730">
        <v>-0.15258620000000001</v>
      </c>
      <c r="U4730">
        <v>-0.11621090000000001</v>
      </c>
      <c r="V4730">
        <v>-0.35189779999999998</v>
      </c>
      <c r="W4730">
        <v>-2.5934720000000001E-2</v>
      </c>
      <c r="X4730">
        <v>0.93567909999999999</v>
      </c>
      <c r="Y4730">
        <v>-0.4718849</v>
      </c>
      <c r="Z4730">
        <v>3.0312639999999998E-2</v>
      </c>
      <c r="AA4730">
        <v>0.88113889999999995</v>
      </c>
      <c r="AB4730">
        <v>23</v>
      </c>
      <c r="AC4730">
        <v>0.88120000000003496</v>
      </c>
      <c r="AD4730">
        <v>-5.0194000000000003E-2</v>
      </c>
      <c r="AE4730">
        <v>2.10500000000024E-2</v>
      </c>
      <c r="AF4730">
        <v>-0.462873859674794</v>
      </c>
      <c r="AG4730">
        <v>-5.0194000000000003E-2</v>
      </c>
      <c r="AH4730">
        <v>0.74678635570334895</v>
      </c>
      <c r="AI4730">
        <v>93.269717802325204</v>
      </c>
      <c r="AJ4730">
        <v>121.79150366865299</v>
      </c>
      <c r="AK4730">
        <v>0.88003494741455002</v>
      </c>
      <c r="AL4730">
        <v>91.486116589883096</v>
      </c>
      <c r="AM4730">
        <v>110.610684350456</v>
      </c>
      <c r="AN4730">
        <v>1.0000000247615599</v>
      </c>
    </row>
    <row r="4731" spans="1:40" x14ac:dyDescent="0.25">
      <c r="A4731" t="str">
        <f>"20190305135924888"</f>
        <v>20190305135924888</v>
      </c>
      <c r="B4731" t="str">
        <f>"1551765564884202"</f>
        <v>1551765564884202</v>
      </c>
      <c r="C4731" t="s">
        <v>40</v>
      </c>
      <c r="D4731">
        <v>3.862419</v>
      </c>
      <c r="E4731">
        <v>0.51021459999999996</v>
      </c>
      <c r="F4731" t="s">
        <v>41</v>
      </c>
      <c r="G4731">
        <v>-411.48820000000001</v>
      </c>
      <c r="H4731">
        <v>1.0750169999999999</v>
      </c>
      <c r="I4731">
        <v>25.076499999999999</v>
      </c>
      <c r="J4731">
        <v>-412.27370000000002</v>
      </c>
      <c r="K4731">
        <v>1.120649</v>
      </c>
      <c r="L4731">
        <v>25.05048</v>
      </c>
      <c r="M4731">
        <v>0.8666123</v>
      </c>
      <c r="N4731">
        <v>-2.0735549999999998E-2</v>
      </c>
      <c r="O4731">
        <v>-0.49855120000000003</v>
      </c>
      <c r="P4731">
        <v>0.98572950000000004</v>
      </c>
      <c r="Q4731">
        <v>-3.7008050000000001E-2</v>
      </c>
      <c r="R4731">
        <v>-0.164219</v>
      </c>
      <c r="S4731">
        <v>3.0236510000000001</v>
      </c>
      <c r="T4731">
        <v>-0.15460599999999999</v>
      </c>
      <c r="U4731">
        <v>-9.765625E-2</v>
      </c>
      <c r="V4731">
        <v>-0.34863139999999998</v>
      </c>
      <c r="W4731">
        <v>-2.6537669999999999E-2</v>
      </c>
      <c r="X4731">
        <v>0.93688419999999895</v>
      </c>
      <c r="Y4731">
        <v>-0.46939380000000003</v>
      </c>
      <c r="Z4731">
        <v>3.0649900000000001E-2</v>
      </c>
      <c r="AA4731">
        <v>0.88245680000000004</v>
      </c>
      <c r="AB4731">
        <v>23</v>
      </c>
      <c r="AC4731">
        <v>0.78550000000001297</v>
      </c>
      <c r="AD4731">
        <v>-4.5631999999999798E-2</v>
      </c>
      <c r="AE4731">
        <v>2.6019999999998999E-2</v>
      </c>
      <c r="AF4731">
        <v>-0.41285847319362601</v>
      </c>
      <c r="AG4731">
        <v>-4.5631999999999798E-2</v>
      </c>
      <c r="AH4731">
        <v>0.665651242814985</v>
      </c>
      <c r="AI4731">
        <v>93.334101348115695</v>
      </c>
      <c r="AJ4731">
        <v>121.80853042712501</v>
      </c>
      <c r="AK4731">
        <v>0.78461836288281395</v>
      </c>
      <c r="AL4731">
        <v>91.520674933433895</v>
      </c>
      <c r="AM4731">
        <v>110.411135832075</v>
      </c>
      <c r="AN4731">
        <v>1.0000000526023101</v>
      </c>
    </row>
    <row r="4732" spans="1:40" x14ac:dyDescent="0.25">
      <c r="A4732" t="str">
        <f>"20190305135924906"</f>
        <v>20190305135924906</v>
      </c>
      <c r="B4732" t="str">
        <f>"1551765564893962"</f>
        <v>1551765564893962</v>
      </c>
      <c r="C4732" t="s">
        <v>40</v>
      </c>
      <c r="D4732">
        <v>3.9249170000000002</v>
      </c>
      <c r="E4732">
        <v>0.51288800000000001</v>
      </c>
      <c r="F4732" t="s">
        <v>42</v>
      </c>
      <c r="G4732">
        <v>-393.45530000000002</v>
      </c>
      <c r="H4732" s="1">
        <v>-3.538567E-6</v>
      </c>
      <c r="I4732">
        <v>21.361540000000002</v>
      </c>
      <c r="J4732">
        <v>-412.10629999999998</v>
      </c>
      <c r="K4732">
        <v>1.120136</v>
      </c>
      <c r="L4732">
        <v>24.970829999999999</v>
      </c>
      <c r="M4732">
        <v>0.87290730000000005</v>
      </c>
      <c r="N4732">
        <v>-2.0222239999999999E-2</v>
      </c>
      <c r="O4732">
        <v>-0.48746699999999998</v>
      </c>
      <c r="P4732">
        <v>0.98659839999999999</v>
      </c>
      <c r="Q4732">
        <v>-3.8187749999999999E-2</v>
      </c>
      <c r="R4732">
        <v>-0.15863669999999999</v>
      </c>
      <c r="S4732">
        <v>2.9407960000000002</v>
      </c>
      <c r="T4732">
        <v>-0.17512639999999999</v>
      </c>
      <c r="U4732">
        <v>-0.57647709999999996</v>
      </c>
      <c r="V4732">
        <v>-0.3419546</v>
      </c>
      <c r="W4732">
        <v>-2.7604179999999999E-2</v>
      </c>
      <c r="X4732">
        <v>0.93931100000000001</v>
      </c>
      <c r="Y4732">
        <v>-0.30952410000000002</v>
      </c>
      <c r="Z4732">
        <v>2.9499959999999999E-2</v>
      </c>
      <c r="AA4732">
        <v>0.95043390000000005</v>
      </c>
      <c r="AB4732">
        <v>23</v>
      </c>
      <c r="AC4732">
        <v>18.6509999999999</v>
      </c>
      <c r="AD4732">
        <v>-1.1201395385670001</v>
      </c>
      <c r="AE4732">
        <v>-3.6092900000000001</v>
      </c>
      <c r="AF4732">
        <v>-5.9217974844389696</v>
      </c>
      <c r="AG4732">
        <v>-1.1201395385670001</v>
      </c>
      <c r="AH4732">
        <v>17.981176025001499</v>
      </c>
      <c r="AI4732">
        <v>93.386183897969602</v>
      </c>
      <c r="AJ4732">
        <v>108.228428031674</v>
      </c>
      <c r="AK4732">
        <v>18.964310935930602</v>
      </c>
      <c r="AL4732">
        <v>91.581803866657296</v>
      </c>
      <c r="AM4732">
        <v>110.00395098464701</v>
      </c>
      <c r="AN4732">
        <v>1.0000000469678101</v>
      </c>
    </row>
    <row r="4733" spans="1:40" x14ac:dyDescent="0.25">
      <c r="A4733" t="str">
        <f>"20190305135924929"</f>
        <v>20190305135924929</v>
      </c>
      <c r="B4733" t="str">
        <f>"1551765564924218"</f>
        <v>1551765564924218</v>
      </c>
      <c r="C4733" t="s">
        <v>40</v>
      </c>
      <c r="D4733">
        <v>3.7933910000000002</v>
      </c>
      <c r="E4733">
        <v>0.51270870000000002</v>
      </c>
      <c r="F4733" t="s">
        <v>42</v>
      </c>
      <c r="G4733">
        <v>-395.32589999999999</v>
      </c>
      <c r="H4733" s="1">
        <v>-2.7308109999999998E-6</v>
      </c>
      <c r="I4733">
        <v>21.649100000000001</v>
      </c>
      <c r="J4733">
        <v>-411.89550000000003</v>
      </c>
      <c r="K4733">
        <v>1.119478</v>
      </c>
      <c r="L4733">
        <v>24.87323</v>
      </c>
      <c r="M4733">
        <v>0.88023530000000005</v>
      </c>
      <c r="N4733">
        <v>-1.9591290000000001E-2</v>
      </c>
      <c r="O4733">
        <v>-0.47413300000000003</v>
      </c>
      <c r="P4733">
        <v>0.98792369999999996</v>
      </c>
      <c r="Q4733">
        <v>-3.9202059999999997E-2</v>
      </c>
      <c r="R4733">
        <v>-0.14989920000000001</v>
      </c>
      <c r="S4733">
        <v>2.9396360000000001</v>
      </c>
      <c r="T4733">
        <v>-0.19622899999999999</v>
      </c>
      <c r="U4733">
        <v>-0.58190920000000002</v>
      </c>
      <c r="V4733">
        <v>-0.33595589999999997</v>
      </c>
      <c r="W4733">
        <v>-2.8529019999999999E-2</v>
      </c>
      <c r="X4733">
        <v>0.94144550000000005</v>
      </c>
      <c r="Y4733">
        <v>-0.29301769999999999</v>
      </c>
      <c r="Z4733">
        <v>3.2942119999999998E-2</v>
      </c>
      <c r="AA4733">
        <v>0.95553929999999998</v>
      </c>
      <c r="AB4733">
        <v>23</v>
      </c>
      <c r="AC4733">
        <v>16.569600000000001</v>
      </c>
      <c r="AD4733">
        <v>-1.119480730811</v>
      </c>
      <c r="AE4733">
        <v>-3.2241299999999899</v>
      </c>
      <c r="AF4733">
        <v>-4.9971858209610298</v>
      </c>
      <c r="AG4733">
        <v>-1.119480730811</v>
      </c>
      <c r="AH4733">
        <v>16.046331586888702</v>
      </c>
      <c r="AI4733">
        <v>93.810853865378604</v>
      </c>
      <c r="AJ4733">
        <v>107.297754371252</v>
      </c>
      <c r="AK4733">
        <v>16.843689044631901</v>
      </c>
      <c r="AL4733">
        <v>91.634814335501005</v>
      </c>
      <c r="AM4733">
        <v>109.638999273859</v>
      </c>
      <c r="AN4733">
        <v>0.99999995059860902</v>
      </c>
    </row>
    <row r="4734" spans="1:40" x14ac:dyDescent="0.25">
      <c r="A4734" t="str">
        <f>"20190305135924945"</f>
        <v>20190305135924945</v>
      </c>
      <c r="B4734" t="str">
        <f>"1551765564933978"</f>
        <v>1551765564933978</v>
      </c>
      <c r="C4734" t="s">
        <v>40</v>
      </c>
      <c r="D4734">
        <v>3.757666</v>
      </c>
      <c r="E4734">
        <v>0.51227029999999996</v>
      </c>
      <c r="F4734" t="s">
        <v>42</v>
      </c>
      <c r="G4734">
        <v>-396.16989999999998</v>
      </c>
      <c r="H4734" s="1">
        <v>-2.4004969999999998E-6</v>
      </c>
      <c r="I4734">
        <v>21.90699</v>
      </c>
      <c r="J4734">
        <v>-411.74209999999999</v>
      </c>
      <c r="K4734">
        <v>1.11901299999999</v>
      </c>
      <c r="L4734">
        <v>24.803989999999999</v>
      </c>
      <c r="M4734">
        <v>0.885188999999999</v>
      </c>
      <c r="N4734">
        <v>-1.9150960000000002E-2</v>
      </c>
      <c r="O4734">
        <v>-0.46483720000000001</v>
      </c>
      <c r="P4734">
        <v>0.98892800000000003</v>
      </c>
      <c r="Q4734">
        <v>-3.9811840000000001E-2</v>
      </c>
      <c r="R4734">
        <v>-0.14295450000000001</v>
      </c>
      <c r="S4734">
        <v>2.9440919999999999</v>
      </c>
      <c r="T4734">
        <v>-0.20958499999999999</v>
      </c>
      <c r="U4734">
        <v>-0.55532840000000006</v>
      </c>
      <c r="V4734">
        <v>-0.33264919999999998</v>
      </c>
      <c r="W4734">
        <v>-2.9104720000000001E-2</v>
      </c>
      <c r="X4734">
        <v>0.94260140000000003</v>
      </c>
      <c r="Y4734">
        <v>-0.2913579</v>
      </c>
      <c r="Z4734">
        <v>3.5319349999999999E-2</v>
      </c>
      <c r="AA4734">
        <v>0.95596190000000003</v>
      </c>
      <c r="AB4734">
        <v>23</v>
      </c>
      <c r="AC4734">
        <v>15.5722</v>
      </c>
      <c r="AD4734">
        <v>-1.1190154004970001</v>
      </c>
      <c r="AE4734">
        <v>-2.89699999999999</v>
      </c>
      <c r="AF4734">
        <v>-4.6517853213840503</v>
      </c>
      <c r="AG4734">
        <v>-1.1190154004970001</v>
      </c>
      <c r="AH4734">
        <v>15.058590561627099</v>
      </c>
      <c r="AI4734">
        <v>94.061201146701293</v>
      </c>
      <c r="AJ4734">
        <v>107.16656715014101</v>
      </c>
      <c r="AK4734">
        <v>15.8003940408307</v>
      </c>
      <c r="AL4734">
        <v>91.6678131610837</v>
      </c>
      <c r="AM4734">
        <v>109.438216128428</v>
      </c>
      <c r="AN4734">
        <v>0.99999998713443905</v>
      </c>
    </row>
    <row r="4735" spans="1:40" x14ac:dyDescent="0.25">
      <c r="A4735" t="str">
        <f>"20190305135924964"</f>
        <v>20190305135924964</v>
      </c>
      <c r="B4735" t="str">
        <f>"1551765564953499"</f>
        <v>1551765564953499</v>
      </c>
      <c r="C4735" t="s">
        <v>40</v>
      </c>
      <c r="D4735">
        <v>3.7861129999999998</v>
      </c>
      <c r="E4735">
        <v>0.51173630000000003</v>
      </c>
      <c r="F4735" t="s">
        <v>42</v>
      </c>
      <c r="G4735">
        <v>-396.13490000000002</v>
      </c>
      <c r="H4735" s="1">
        <v>-2.4395539999999999E-6</v>
      </c>
      <c r="I4735">
        <v>21.991579999999999</v>
      </c>
      <c r="J4735">
        <v>-411.5643</v>
      </c>
      <c r="K4735">
        <v>1.1185069999999999</v>
      </c>
      <c r="L4735">
        <v>24.725490000000001</v>
      </c>
      <c r="M4735">
        <v>0.89055069999999903</v>
      </c>
      <c r="N4735">
        <v>-1.8665649999999999E-2</v>
      </c>
      <c r="O4735">
        <v>-0.45450079999999998</v>
      </c>
      <c r="P4735">
        <v>0.98951820000000001</v>
      </c>
      <c r="Q4735">
        <v>-4.1682709999999998E-2</v>
      </c>
      <c r="R4735">
        <v>-0.1382612</v>
      </c>
      <c r="S4735">
        <v>2.9483030000000001</v>
      </c>
      <c r="T4735">
        <v>-0.21138870000000001</v>
      </c>
      <c r="U4735">
        <v>-0.53128050000000004</v>
      </c>
      <c r="V4735">
        <v>-0.32609139999999998</v>
      </c>
      <c r="W4735">
        <v>-3.0870890000000002E-2</v>
      </c>
      <c r="X4735">
        <v>0.94483410000000001</v>
      </c>
      <c r="Y4735">
        <v>-0.28799590000000003</v>
      </c>
      <c r="Z4735">
        <v>3.5235040000000002E-2</v>
      </c>
      <c r="AA4735">
        <v>0.95698320000000003</v>
      </c>
      <c r="AB4735">
        <v>23</v>
      </c>
      <c r="AC4735">
        <v>15.4293999999999</v>
      </c>
      <c r="AD4735">
        <v>-1.1185094395539901</v>
      </c>
      <c r="AE4735">
        <v>-2.7339099999999998</v>
      </c>
      <c r="AF4735">
        <v>-4.5555757569318196</v>
      </c>
      <c r="AG4735">
        <v>-1.1185094395539901</v>
      </c>
      <c r="AH4735">
        <v>14.909870722701701</v>
      </c>
      <c r="AI4735">
        <v>94.103593030465106</v>
      </c>
      <c r="AJ4735">
        <v>106.99005682831999</v>
      </c>
      <c r="AK4735">
        <v>15.6303735979404</v>
      </c>
      <c r="AL4735">
        <v>91.769052691550897</v>
      </c>
      <c r="AM4735">
        <v>109.04113401773699</v>
      </c>
      <c r="AN4735">
        <v>1.0000000447630799</v>
      </c>
    </row>
    <row r="4736" spans="1:40" x14ac:dyDescent="0.25">
      <c r="A4736" t="str">
        <f>"20190305135924976"</f>
        <v>20190305135924976</v>
      </c>
      <c r="B4736" t="str">
        <f>"1551765564964234"</f>
        <v>1551765564964234</v>
      </c>
      <c r="C4736" t="s">
        <v>40</v>
      </c>
      <c r="D4736">
        <v>3.6491899999999999</v>
      </c>
      <c r="E4736">
        <v>0.51183869999999998</v>
      </c>
      <c r="F4736" t="s">
        <v>42</v>
      </c>
      <c r="G4736">
        <v>-396.22629999999998</v>
      </c>
      <c r="H4736" s="1">
        <v>-2.4145459999999999E-6</v>
      </c>
      <c r="I4736">
        <v>22.059979999999999</v>
      </c>
      <c r="J4736">
        <v>-411.44170000000003</v>
      </c>
      <c r="K4736">
        <v>1.118182</v>
      </c>
      <c r="L4736">
        <v>24.672270000000001</v>
      </c>
      <c r="M4736">
        <v>0.89403739999999998</v>
      </c>
      <c r="N4736">
        <v>-1.8347140000000001E-2</v>
      </c>
      <c r="O4736">
        <v>-0.44761640000000003</v>
      </c>
      <c r="P4736">
        <v>0.99006689999999997</v>
      </c>
      <c r="Q4736">
        <v>-4.2468119999999998E-2</v>
      </c>
      <c r="R4736">
        <v>-0.134028799999999</v>
      </c>
      <c r="S4736">
        <v>2.95105</v>
      </c>
      <c r="T4736">
        <v>-0.21520230000000001</v>
      </c>
      <c r="U4736">
        <v>-0.51284790000000002</v>
      </c>
      <c r="V4736">
        <v>-0.32282630000000001</v>
      </c>
      <c r="W4736">
        <v>-3.1625199999999999E-2</v>
      </c>
      <c r="X4736">
        <v>0.94592969999999998</v>
      </c>
      <c r="Y4736">
        <v>-0.28650920000000002</v>
      </c>
      <c r="Z4736">
        <v>3.570255E-2</v>
      </c>
      <c r="AA4736">
        <v>0.95741209999999999</v>
      </c>
      <c r="AB4736">
        <v>23</v>
      </c>
      <c r="AC4736">
        <v>15.215400000000001</v>
      </c>
      <c r="AD4736">
        <v>-1.118184414546</v>
      </c>
      <c r="AE4736">
        <v>-2.6122899999999998</v>
      </c>
      <c r="AF4736">
        <v>-4.4525721462292198</v>
      </c>
      <c r="AG4736">
        <v>-1.118184414546</v>
      </c>
      <c r="AH4736">
        <v>14.697820466180101</v>
      </c>
      <c r="AI4736">
        <v>94.164388239971203</v>
      </c>
      <c r="AJ4736">
        <v>106.85371128748901</v>
      </c>
      <c r="AK4736">
        <v>15.398105778256401</v>
      </c>
      <c r="AL4736">
        <v>91.812292693641993</v>
      </c>
      <c r="AM4736">
        <v>108.84371480929001</v>
      </c>
      <c r="AN4736">
        <v>0.99999998529440903</v>
      </c>
    </row>
    <row r="4737" spans="1:40" x14ac:dyDescent="0.25">
      <c r="A4737" t="str">
        <f>"20190305135924995"</f>
        <v>20190305135924995</v>
      </c>
      <c r="B4737" t="str">
        <f>"1551765564983754"</f>
        <v>1551765564983754</v>
      </c>
      <c r="C4737" t="s">
        <v>40</v>
      </c>
      <c r="D4737">
        <v>3.6751819999999999</v>
      </c>
      <c r="E4737">
        <v>0.51167229999999997</v>
      </c>
      <c r="F4737" t="s">
        <v>42</v>
      </c>
      <c r="G4737">
        <v>-395.75940000000003</v>
      </c>
      <c r="H4737" s="1">
        <v>-2.6230589999999999E-6</v>
      </c>
      <c r="I4737">
        <v>22.01418</v>
      </c>
      <c r="J4737">
        <v>-411.2722</v>
      </c>
      <c r="K4737">
        <v>1.1177709999999901</v>
      </c>
      <c r="L4737">
        <v>24.60031</v>
      </c>
      <c r="M4737">
        <v>0.89852799999999999</v>
      </c>
      <c r="N4737">
        <v>-1.79335999999999E-2</v>
      </c>
      <c r="O4737">
        <v>-0.43854979999999899</v>
      </c>
      <c r="P4737">
        <v>0.99056010000000005</v>
      </c>
      <c r="Q4737">
        <v>-4.3351779999999999E-2</v>
      </c>
      <c r="R4737">
        <v>-0.13004289999999999</v>
      </c>
      <c r="S4737">
        <v>2.9533390000000002</v>
      </c>
      <c r="T4737">
        <v>-0.21057989999999999</v>
      </c>
      <c r="U4737">
        <v>-0.50057980000000002</v>
      </c>
      <c r="V4737">
        <v>-0.31704929999999998</v>
      </c>
      <c r="W4737">
        <v>-3.2448739999999997E-2</v>
      </c>
      <c r="X4737">
        <v>0.94785379999999997</v>
      </c>
      <c r="Y4737">
        <v>-0.28088920000000001</v>
      </c>
      <c r="Z4737">
        <v>3.4288150000000003E-2</v>
      </c>
      <c r="AA4737">
        <v>0.95912750000000002</v>
      </c>
      <c r="AB4737">
        <v>23</v>
      </c>
      <c r="AC4737">
        <v>15.512799999999899</v>
      </c>
      <c r="AD4737">
        <v>-1.1177736230590001</v>
      </c>
      <c r="AE4737">
        <v>-2.5861299999999998</v>
      </c>
      <c r="AF4737">
        <v>-4.4576275807451502</v>
      </c>
      <c r="AG4737">
        <v>-1.1177736230590001</v>
      </c>
      <c r="AH4737">
        <v>14.999485340247601</v>
      </c>
      <c r="AI4737">
        <v>94.0858736859646</v>
      </c>
      <c r="AJ4737">
        <v>106.551178948035</v>
      </c>
      <c r="AK4737">
        <v>15.687715639739499</v>
      </c>
      <c r="AL4737">
        <v>91.859502262854207</v>
      </c>
      <c r="AM4737">
        <v>108.494664484504</v>
      </c>
      <c r="AN4737">
        <v>1.0000000027662499</v>
      </c>
    </row>
    <row r="4738" spans="1:40" x14ac:dyDescent="0.25">
      <c r="A4738" t="str">
        <f>"20190305135925009"</f>
        <v>20190305135925009</v>
      </c>
      <c r="B4738" t="str">
        <f>"1551765565004250"</f>
        <v>1551765565004250</v>
      </c>
      <c r="C4738" t="s">
        <v>40</v>
      </c>
      <c r="D4738">
        <v>3.642226</v>
      </c>
      <c r="E4738">
        <v>0.51185079999999905</v>
      </c>
      <c r="F4738" t="s">
        <v>42</v>
      </c>
      <c r="G4738">
        <v>-395.31900000000002</v>
      </c>
      <c r="H4738" s="1">
        <v>-2.8197869999999999E-6</v>
      </c>
      <c r="I4738">
        <v>21.971150000000002</v>
      </c>
      <c r="J4738">
        <v>-411.14409999999998</v>
      </c>
      <c r="K4738">
        <v>1.1174789999999999</v>
      </c>
      <c r="L4738">
        <v>24.546970000000002</v>
      </c>
      <c r="M4738">
        <v>0.9016902</v>
      </c>
      <c r="N4738">
        <v>-1.763837E-2</v>
      </c>
      <c r="O4738">
        <v>-0.43202239999999997</v>
      </c>
      <c r="P4738">
        <v>0.99109420000000004</v>
      </c>
      <c r="Q4738">
        <v>-4.360443E-2</v>
      </c>
      <c r="R4738">
        <v>-0.1258213</v>
      </c>
      <c r="S4738">
        <v>2.9555660000000001</v>
      </c>
      <c r="T4738">
        <v>-0.2070844</v>
      </c>
      <c r="U4738">
        <v>-0.4870911</v>
      </c>
      <c r="V4738">
        <v>-0.31422109999999998</v>
      </c>
      <c r="W4738">
        <v>-3.269031E-2</v>
      </c>
      <c r="X4738">
        <v>0.94878689999999999</v>
      </c>
      <c r="Y4738">
        <v>-0.27836519999999998</v>
      </c>
      <c r="Z4738">
        <v>3.3318809999999997E-2</v>
      </c>
      <c r="AA4738">
        <v>0.95989720000000001</v>
      </c>
      <c r="AB4738">
        <v>23</v>
      </c>
      <c r="AC4738">
        <v>15.8250999999999</v>
      </c>
      <c r="AD4738">
        <v>-1.117481819787</v>
      </c>
      <c r="AE4738">
        <v>-2.5758200000000002</v>
      </c>
      <c r="AF4738">
        <v>-4.4930830162176498</v>
      </c>
      <c r="AG4738">
        <v>-1.117481819787</v>
      </c>
      <c r="AH4738">
        <v>15.3101728838075</v>
      </c>
      <c r="AI4738">
        <v>94.006217744912107</v>
      </c>
      <c r="AJ4738">
        <v>106.355403992513</v>
      </c>
      <c r="AK4738">
        <v>15.9949352715243</v>
      </c>
      <c r="AL4738">
        <v>91.873350427398293</v>
      </c>
      <c r="AM4738">
        <v>108.323938882788</v>
      </c>
      <c r="AN4738">
        <v>1.00000006883235</v>
      </c>
    </row>
    <row r="4739" spans="1:40" x14ac:dyDescent="0.25">
      <c r="A4739" t="str">
        <f>"20190305135925021"</f>
        <v>20190305135925021</v>
      </c>
      <c r="B4739" t="str">
        <f>"1551765565014010"</f>
        <v>1551765565014010</v>
      </c>
      <c r="C4739" t="s">
        <v>40</v>
      </c>
      <c r="D4739">
        <v>3.6175579999999998</v>
      </c>
      <c r="E4739">
        <v>0.51180139999999996</v>
      </c>
      <c r="F4739" t="s">
        <v>42</v>
      </c>
      <c r="G4739">
        <v>-394.43700000000001</v>
      </c>
      <c r="H4739" s="1">
        <v>-3.2076110000000001E-6</v>
      </c>
      <c r="I4739">
        <v>21.861730000000001</v>
      </c>
      <c r="J4739">
        <v>-411.02140000000003</v>
      </c>
      <c r="K4739">
        <v>1.117205</v>
      </c>
      <c r="L4739">
        <v>24.496400000000001</v>
      </c>
      <c r="M4739">
        <v>0.90458240000000001</v>
      </c>
      <c r="N4739">
        <v>-1.7366489999999998E-2</v>
      </c>
      <c r="O4739">
        <v>-0.42594500000000002</v>
      </c>
      <c r="P4739">
        <v>0.99159719999999996</v>
      </c>
      <c r="Q4739">
        <v>-4.3120869999999999E-2</v>
      </c>
      <c r="R4739">
        <v>-0.12196650000000001</v>
      </c>
      <c r="S4739">
        <v>2.9578859999999998</v>
      </c>
      <c r="T4739">
        <v>-0.1978425</v>
      </c>
      <c r="U4739">
        <v>-0.47540280000000001</v>
      </c>
      <c r="V4739">
        <v>-0.31155969999999999</v>
      </c>
      <c r="W4739">
        <v>-3.2192129999999999E-2</v>
      </c>
      <c r="X4739">
        <v>0.94968109999999994</v>
      </c>
      <c r="Y4739">
        <v>-0.27585100000000001</v>
      </c>
      <c r="Z4739">
        <v>3.1311850000000002E-2</v>
      </c>
      <c r="AA4739">
        <v>0.9606903</v>
      </c>
      <c r="AB4739">
        <v>23</v>
      </c>
      <c r="AC4739">
        <v>16.584399999999999</v>
      </c>
      <c r="AD4739">
        <v>-1.1172082076109999</v>
      </c>
      <c r="AE4739">
        <v>-2.6346699999999998</v>
      </c>
      <c r="AF4739">
        <v>-4.6608415857347998</v>
      </c>
      <c r="AG4739">
        <v>-1.1172082076109999</v>
      </c>
      <c r="AH4739">
        <v>16.0555452626642</v>
      </c>
      <c r="AI4739">
        <v>93.823116554814305</v>
      </c>
      <c r="AJ4739">
        <v>106.187739201859</v>
      </c>
      <c r="AK4739">
        <v>16.755659704945302</v>
      </c>
      <c r="AL4739">
        <v>91.844791938884498</v>
      </c>
      <c r="AM4739">
        <v>108.162992860988</v>
      </c>
      <c r="AN4739">
        <v>0.99999998579761795</v>
      </c>
    </row>
    <row r="4740" spans="1:40" x14ac:dyDescent="0.25">
      <c r="A4740" t="str">
        <f>"20190305135925041"</f>
        <v>20190305135925041</v>
      </c>
      <c r="B4740" t="str">
        <f>"1551765565033531"</f>
        <v>1551765565033531</v>
      </c>
      <c r="C4740" t="s">
        <v>40</v>
      </c>
      <c r="D4740">
        <v>3.611094</v>
      </c>
      <c r="E4740">
        <v>0.51194969999999995</v>
      </c>
      <c r="F4740" t="s">
        <v>42</v>
      </c>
      <c r="G4740">
        <v>-393.8562</v>
      </c>
      <c r="H4740" s="1">
        <v>-3.4683170000000002E-6</v>
      </c>
      <c r="I4740">
        <v>21.809819999999998</v>
      </c>
      <c r="J4740">
        <v>-410.83429999999998</v>
      </c>
      <c r="K4740">
        <v>1.116795</v>
      </c>
      <c r="L4740">
        <v>24.420750000000002</v>
      </c>
      <c r="M4740">
        <v>0.9086803</v>
      </c>
      <c r="N4740">
        <v>-1.6977679999999998E-2</v>
      </c>
      <c r="O4740">
        <v>-0.41714780000000001</v>
      </c>
      <c r="P4740">
        <v>0.99204570000000003</v>
      </c>
      <c r="Q4740">
        <v>-4.3044270000000003E-2</v>
      </c>
      <c r="R4740">
        <v>-0.1182918</v>
      </c>
      <c r="S4740">
        <v>2.9600520000000001</v>
      </c>
      <c r="T4740">
        <v>-0.19265689999999999</v>
      </c>
      <c r="U4740">
        <v>-0.46328740000000002</v>
      </c>
      <c r="V4740">
        <v>-0.3058883</v>
      </c>
      <c r="W4740">
        <v>-3.2046470000000001E-2</v>
      </c>
      <c r="X4740">
        <v>0.95152789999999998</v>
      </c>
      <c r="Y4740">
        <v>-0.27054889999999998</v>
      </c>
      <c r="Z4740">
        <v>2.989379E-2</v>
      </c>
      <c r="AA4740">
        <v>0.96224200000000004</v>
      </c>
      <c r="AB4740">
        <v>23</v>
      </c>
      <c r="AC4740">
        <v>16.978099999999898</v>
      </c>
      <c r="AD4740">
        <v>-1.116798468317</v>
      </c>
      <c r="AE4740">
        <v>-2.6109300000000002</v>
      </c>
      <c r="AF4740">
        <v>-4.6907272022438899</v>
      </c>
      <c r="AG4740">
        <v>-1.116798468317</v>
      </c>
      <c r="AH4740">
        <v>16.449655403324499</v>
      </c>
      <c r="AI4740">
        <v>93.735499822162197</v>
      </c>
      <c r="AJ4740">
        <v>105.915848118593</v>
      </c>
      <c r="AK4740">
        <v>17.1418004711532</v>
      </c>
      <c r="AL4740">
        <v>91.836441926158898</v>
      </c>
      <c r="AM4740">
        <v>107.82107445838299</v>
      </c>
      <c r="AN4740">
        <v>0.99999998639737997</v>
      </c>
    </row>
    <row r="4741" spans="1:40" x14ac:dyDescent="0.25">
      <c r="A4741" t="str">
        <f>"20190305135925055"</f>
        <v>20190305135925055</v>
      </c>
      <c r="B4741" t="str">
        <f>"1551765565044266"</f>
        <v>1551765565044266</v>
      </c>
      <c r="C4741" t="s">
        <v>40</v>
      </c>
      <c r="D4741">
        <v>3.6615790000000001</v>
      </c>
      <c r="E4741">
        <v>0.51204189999999905</v>
      </c>
      <c r="F4741" t="s">
        <v>42</v>
      </c>
      <c r="G4741">
        <v>-392.87990000000002</v>
      </c>
      <c r="H4741" s="1">
        <v>-3.893889E-6</v>
      </c>
      <c r="I4741">
        <v>21.674849999999999</v>
      </c>
      <c r="J4741">
        <v>-410.70620000000002</v>
      </c>
      <c r="K4741">
        <v>1.116522</v>
      </c>
      <c r="L4741">
        <v>24.36984</v>
      </c>
      <c r="M4741">
        <v>0.91130440000000001</v>
      </c>
      <c r="N4741">
        <v>-1.673036E-2</v>
      </c>
      <c r="O4741">
        <v>-0.41139360000000003</v>
      </c>
      <c r="P4741">
        <v>0.99237980000000003</v>
      </c>
      <c r="Q4741">
        <v>-4.3781E-2</v>
      </c>
      <c r="R4741">
        <v>-0.1151756</v>
      </c>
      <c r="S4741">
        <v>2.9620060000000001</v>
      </c>
      <c r="T4741">
        <v>-0.18424360000000001</v>
      </c>
      <c r="U4741">
        <v>-0.45300289999999999</v>
      </c>
      <c r="V4741">
        <v>-0.30285079999999998</v>
      </c>
      <c r="W4741">
        <v>-3.2753240000000003E-2</v>
      </c>
      <c r="X4741">
        <v>0.95247499999999996</v>
      </c>
      <c r="Y4741">
        <v>-0.26793070000000002</v>
      </c>
      <c r="Z4741">
        <v>2.8115169999999998E-2</v>
      </c>
      <c r="AA4741">
        <v>0.96302790000000005</v>
      </c>
      <c r="AB4741">
        <v>23</v>
      </c>
      <c r="AC4741">
        <v>17.8263</v>
      </c>
      <c r="AD4741">
        <v>-1.1165258938889999</v>
      </c>
      <c r="AE4741">
        <v>-2.6949900000000002</v>
      </c>
      <c r="AF4741">
        <v>-4.8597129964816403</v>
      </c>
      <c r="AG4741">
        <v>-1.1165258938889999</v>
      </c>
      <c r="AH4741">
        <v>17.2900012403116</v>
      </c>
      <c r="AI4741">
        <v>93.5573531744852</v>
      </c>
      <c r="AJ4741">
        <v>105.699118056164</v>
      </c>
      <c r="AK4741">
        <v>17.9946542998157</v>
      </c>
      <c r="AL4741">
        <v>91.876958104682501</v>
      </c>
      <c r="AM4741">
        <v>107.638683640458</v>
      </c>
      <c r="AN4741">
        <v>1.0000000037080601</v>
      </c>
    </row>
    <row r="4742" spans="1:40" x14ac:dyDescent="0.25">
      <c r="A4742" t="str">
        <f>"20190305135925075"</f>
        <v>20190305135925075</v>
      </c>
      <c r="B4742" t="str">
        <f>"1551765565063786"</f>
        <v>1551765565063786</v>
      </c>
      <c r="C4742" t="s">
        <v>40</v>
      </c>
      <c r="D4742">
        <v>3.627014</v>
      </c>
      <c r="E4742">
        <v>0.51193129999999998</v>
      </c>
      <c r="F4742" t="s">
        <v>42</v>
      </c>
      <c r="G4742">
        <v>-392.66210000000001</v>
      </c>
      <c r="H4742" s="1">
        <v>-3.9943470000000003E-6</v>
      </c>
      <c r="I4742">
        <v>21.66545</v>
      </c>
      <c r="J4742">
        <v>-410.5086</v>
      </c>
      <c r="K4742">
        <v>1.116126</v>
      </c>
      <c r="L4742">
        <v>24.292629999999999</v>
      </c>
      <c r="M4742">
        <v>0.91511399999999998</v>
      </c>
      <c r="N4742">
        <v>-1.6380849999999999E-2</v>
      </c>
      <c r="O4742">
        <v>-0.40286280000000002</v>
      </c>
      <c r="P4742">
        <v>0.99270139999999996</v>
      </c>
      <c r="Q4742">
        <v>-4.5277890000000001E-2</v>
      </c>
      <c r="R4742">
        <v>-0.1117768</v>
      </c>
      <c r="S4742">
        <v>2.9634399999999999</v>
      </c>
      <c r="T4742">
        <v>-0.1833709</v>
      </c>
      <c r="U4742">
        <v>-0.44415280000000001</v>
      </c>
      <c r="V4742">
        <v>-0.29718719999999998</v>
      </c>
      <c r="W4742">
        <v>-3.4186649999999999E-2</v>
      </c>
      <c r="X4742">
        <v>0.95420700000000003</v>
      </c>
      <c r="Y4742">
        <v>-0.2618335</v>
      </c>
      <c r="Z4742">
        <v>2.7488740000000001E-2</v>
      </c>
      <c r="AA4742">
        <v>0.96472150000000001</v>
      </c>
      <c r="AB4742">
        <v>23</v>
      </c>
      <c r="AC4742">
        <v>17.846499999999899</v>
      </c>
      <c r="AD4742">
        <v>-1.116129994347</v>
      </c>
      <c r="AE4742">
        <v>-2.6271799999999899</v>
      </c>
      <c r="AF4742">
        <v>-4.7679097229701197</v>
      </c>
      <c r="AG4742">
        <v>-1.116129994347</v>
      </c>
      <c r="AH4742">
        <v>17.325975191844002</v>
      </c>
      <c r="AI4742">
        <v>93.554109532767399</v>
      </c>
      <c r="AJ4742">
        <v>105.386293516485</v>
      </c>
      <c r="AK4742">
        <v>18.0046695509545</v>
      </c>
      <c r="AL4742">
        <v>91.959132543743806</v>
      </c>
      <c r="AM4742">
        <v>107.299168851673</v>
      </c>
      <c r="AN4742">
        <v>0.99999997886553005</v>
      </c>
    </row>
    <row r="4743" spans="1:40" x14ac:dyDescent="0.25">
      <c r="A4743" t="str">
        <f>"20190305135925095"</f>
        <v>20190305135925095</v>
      </c>
      <c r="B4743" t="str">
        <f>"1551765565084281"</f>
        <v>1551765565084281</v>
      </c>
      <c r="C4743" t="s">
        <v>40</v>
      </c>
      <c r="D4743">
        <v>3.796932</v>
      </c>
      <c r="E4743">
        <v>0.51192179999999998</v>
      </c>
      <c r="F4743" t="s">
        <v>42</v>
      </c>
      <c r="G4743">
        <v>-392.4144</v>
      </c>
      <c r="H4743" s="1">
        <v>-4.1078599999999998E-6</v>
      </c>
      <c r="I4743">
        <v>21.651949999999999</v>
      </c>
      <c r="J4743">
        <v>-410.31529999999998</v>
      </c>
      <c r="K4743">
        <v>1.1157619999999999</v>
      </c>
      <c r="L4743">
        <v>24.218509999999998</v>
      </c>
      <c r="M4743">
        <v>0.91855489999999995</v>
      </c>
      <c r="N4743">
        <v>-1.6072409999999999E-2</v>
      </c>
      <c r="O4743">
        <v>-0.39496690000000001</v>
      </c>
      <c r="P4743">
        <v>0.99311349999999998</v>
      </c>
      <c r="Q4743">
        <v>-4.6006270000000002E-2</v>
      </c>
      <c r="R4743">
        <v>-0.10774549999999999</v>
      </c>
      <c r="S4743">
        <v>2.964966</v>
      </c>
      <c r="T4743">
        <v>-0.182892</v>
      </c>
      <c r="U4743">
        <v>-0.4327087</v>
      </c>
      <c r="V4743">
        <v>-0.29284329999999997</v>
      </c>
      <c r="W4743">
        <v>-3.4869360000000002E-2</v>
      </c>
      <c r="X4743">
        <v>0.95552440000000005</v>
      </c>
      <c r="Y4743">
        <v>-0.25725429999999999</v>
      </c>
      <c r="Z4743">
        <v>2.7003289999999999E-2</v>
      </c>
      <c r="AA4743">
        <v>0.9659664</v>
      </c>
      <c r="AB4743">
        <v>23</v>
      </c>
      <c r="AC4743">
        <v>17.900899999999901</v>
      </c>
      <c r="AD4743">
        <v>-1.1157661078600001</v>
      </c>
      <c r="AE4743">
        <v>-2.56656</v>
      </c>
      <c r="AF4743">
        <v>-4.6954701881131902</v>
      </c>
      <c r="AG4743">
        <v>-1.1157661078600001</v>
      </c>
      <c r="AH4743">
        <v>17.392707912891201</v>
      </c>
      <c r="AI4743">
        <v>93.544035987404698</v>
      </c>
      <c r="AJ4743">
        <v>105.107852767631</v>
      </c>
      <c r="AK4743">
        <v>18.0498937071124</v>
      </c>
      <c r="AL4743">
        <v>91.998272292903806</v>
      </c>
      <c r="AM4743">
        <v>107.038935698278</v>
      </c>
      <c r="AN4743">
        <v>0.99999997480852898</v>
      </c>
    </row>
    <row r="4744" spans="1:40" x14ac:dyDescent="0.25">
      <c r="A4744" t="str">
        <f>"20190305135925109"</f>
        <v>20190305135925109</v>
      </c>
      <c r="B4744" t="str">
        <f>"1551765565103802"</f>
        <v>1551765565103802</v>
      </c>
      <c r="C4744" t="s">
        <v>40</v>
      </c>
      <c r="D4744">
        <v>3.6460509999999999</v>
      </c>
      <c r="E4744">
        <v>0.51201809999999903</v>
      </c>
      <c r="F4744" t="s">
        <v>42</v>
      </c>
      <c r="G4744">
        <v>-392.49880000000002</v>
      </c>
      <c r="H4744" s="1">
        <v>-4.0786530000000002E-6</v>
      </c>
      <c r="I4744">
        <v>21.692119999999999</v>
      </c>
      <c r="J4744">
        <v>-410.18709999999999</v>
      </c>
      <c r="K4744">
        <v>1.1155250000000001</v>
      </c>
      <c r="L4744">
        <v>24.170200000000001</v>
      </c>
      <c r="M4744">
        <v>0.92067120000000002</v>
      </c>
      <c r="N4744">
        <v>-1.5883439999999999E-2</v>
      </c>
      <c r="O4744">
        <v>-0.39001580000000002</v>
      </c>
      <c r="P4744">
        <v>0.99348349999999996</v>
      </c>
      <c r="Q4744">
        <v>-4.6008670000000002E-2</v>
      </c>
      <c r="R4744">
        <v>-0.1042763</v>
      </c>
      <c r="S4744">
        <v>2.9665219999999999</v>
      </c>
      <c r="T4744">
        <v>-0.18577969999999999</v>
      </c>
      <c r="U4744">
        <v>-0.42065429999999998</v>
      </c>
      <c r="V4744">
        <v>-0.29105330000000001</v>
      </c>
      <c r="W4744">
        <v>-3.4853729999999999E-2</v>
      </c>
      <c r="X4744">
        <v>0.95607169999999997</v>
      </c>
      <c r="Y4744">
        <v>-0.25594169999999999</v>
      </c>
      <c r="Z4744">
        <v>2.7296250000000001E-2</v>
      </c>
      <c r="AA4744">
        <v>0.96630669999999996</v>
      </c>
      <c r="AB4744">
        <v>23</v>
      </c>
      <c r="AC4744">
        <v>17.688299999999899</v>
      </c>
      <c r="AD4744">
        <v>-1.1155290786530001</v>
      </c>
      <c r="AE4744">
        <v>-2.4780799999999901</v>
      </c>
      <c r="AF4744">
        <v>-4.5998590661122902</v>
      </c>
      <c r="AG4744">
        <v>-1.1155290786530001</v>
      </c>
      <c r="AH4744">
        <v>17.186733565999901</v>
      </c>
      <c r="AI4744">
        <v>93.587726809837093</v>
      </c>
      <c r="AJ4744">
        <v>104.983475280992</v>
      </c>
      <c r="AK4744">
        <v>17.8265790106257</v>
      </c>
      <c r="AL4744">
        <v>91.997376263264698</v>
      </c>
      <c r="AM4744">
        <v>106.93162418215699</v>
      </c>
      <c r="AN4744">
        <v>0.99999995073834502</v>
      </c>
    </row>
    <row r="4745" spans="1:40" x14ac:dyDescent="0.25">
      <c r="A4745" t="str">
        <f>"20190305135925123"</f>
        <v>20190305135925123</v>
      </c>
      <c r="B4745" t="str">
        <f>"1551765565113562"</f>
        <v>1551765565113562</v>
      </c>
      <c r="C4745" t="s">
        <v>40</v>
      </c>
      <c r="D4745">
        <v>3.6504660000000002</v>
      </c>
      <c r="E4745">
        <v>0.51201300000000005</v>
      </c>
      <c r="F4745" t="s">
        <v>42</v>
      </c>
      <c r="G4745">
        <v>-391.83929999999998</v>
      </c>
      <c r="H4745" s="1">
        <v>-4.3623300000000001E-6</v>
      </c>
      <c r="I4745">
        <v>21.630870000000002</v>
      </c>
      <c r="J4745">
        <v>-410.05040000000002</v>
      </c>
      <c r="K4745">
        <v>1.115272</v>
      </c>
      <c r="L4745">
        <v>24.11917</v>
      </c>
      <c r="M4745">
        <v>0.92282410000000004</v>
      </c>
      <c r="N4745">
        <v>-1.569158E-2</v>
      </c>
      <c r="O4745">
        <v>-0.38490229999999998</v>
      </c>
      <c r="P4745">
        <v>0.99382499999999996</v>
      </c>
      <c r="Q4745">
        <v>-4.6978859999999997E-2</v>
      </c>
      <c r="R4745">
        <v>-0.10052460000000001</v>
      </c>
      <c r="S4745">
        <v>2.9682010000000001</v>
      </c>
      <c r="T4745">
        <v>-0.1804637</v>
      </c>
      <c r="U4745">
        <v>-0.41079710000000003</v>
      </c>
      <c r="V4745">
        <v>-0.2893462</v>
      </c>
      <c r="W4745">
        <v>-3.5802920000000002E-2</v>
      </c>
      <c r="X4745">
        <v>0.95655469999999998</v>
      </c>
      <c r="Y4745">
        <v>-0.25386829999999999</v>
      </c>
      <c r="Z4745">
        <v>2.6160139999999998E-2</v>
      </c>
      <c r="AA4745">
        <v>0.96688499999999999</v>
      </c>
      <c r="AB4745">
        <v>23</v>
      </c>
      <c r="AC4745">
        <v>18.211099999999998</v>
      </c>
      <c r="AD4745">
        <v>-1.1152763623299999</v>
      </c>
      <c r="AE4745">
        <v>-2.4883000000000002</v>
      </c>
      <c r="AF4745">
        <v>-4.6965190566268502</v>
      </c>
      <c r="AG4745">
        <v>-1.1152763623299999</v>
      </c>
      <c r="AH4745">
        <v>17.7004095343848</v>
      </c>
      <c r="AI4745">
        <v>93.485076183633893</v>
      </c>
      <c r="AJ4745">
        <v>104.86010241523</v>
      </c>
      <c r="AK4745">
        <v>18.346815263106901</v>
      </c>
      <c r="AL4745">
        <v>92.051794752334203</v>
      </c>
      <c r="AM4745">
        <v>106.82992959174</v>
      </c>
      <c r="AN4745">
        <v>0.99999998331352802</v>
      </c>
    </row>
    <row r="4746" spans="1:40" x14ac:dyDescent="0.25">
      <c r="A4746" t="str">
        <f>"20190305135925143"</f>
        <v>20190305135925143</v>
      </c>
      <c r="B4746" t="str">
        <f>"1551765565134058"</f>
        <v>1551765565134058</v>
      </c>
      <c r="C4746" t="s">
        <v>40</v>
      </c>
      <c r="D4746">
        <v>3.6147290000000001</v>
      </c>
      <c r="E4746">
        <v>0.51198959999999905</v>
      </c>
      <c r="F4746" t="s">
        <v>42</v>
      </c>
      <c r="G4746">
        <v>-391.74299999999999</v>
      </c>
      <c r="H4746" s="1">
        <v>-4.4039679999999996E-6</v>
      </c>
      <c r="I4746">
        <v>21.657070000000001</v>
      </c>
      <c r="J4746">
        <v>-409.8596</v>
      </c>
      <c r="K4746">
        <v>1.1149169999999999</v>
      </c>
      <c r="L4746">
        <v>24.048950000000001</v>
      </c>
      <c r="M4746">
        <v>0.9256219</v>
      </c>
      <c r="N4746">
        <v>-1.5444080000000001E-2</v>
      </c>
      <c r="O4746">
        <v>-0.37813459999999899</v>
      </c>
      <c r="P4746">
        <v>0.99406539999999999</v>
      </c>
      <c r="Q4746">
        <v>-4.9236740000000001E-2</v>
      </c>
      <c r="R4746">
        <v>-9.7003469999999994E-2</v>
      </c>
      <c r="S4746">
        <v>2.9696959999999999</v>
      </c>
      <c r="T4746">
        <v>-0.18091199999999999</v>
      </c>
      <c r="U4746">
        <v>-0.3993835</v>
      </c>
      <c r="V4746">
        <v>-0.28568660000000001</v>
      </c>
      <c r="W4746">
        <v>-3.7999030000000003E-2</v>
      </c>
      <c r="X4746">
        <v>0.95756940000000002</v>
      </c>
      <c r="Y4746">
        <v>-0.250504</v>
      </c>
      <c r="Z4746">
        <v>2.5901380000000002E-2</v>
      </c>
      <c r="AA4746">
        <v>0.96776899999999999</v>
      </c>
      <c r="AB4746">
        <v>23</v>
      </c>
      <c r="AC4746">
        <v>18.116599999999899</v>
      </c>
      <c r="AD4746">
        <v>-1.114921403968</v>
      </c>
      <c r="AE4746">
        <v>-2.39188</v>
      </c>
      <c r="AF4746">
        <v>-4.6198920130762096</v>
      </c>
      <c r="AG4746">
        <v>-1.114921403968</v>
      </c>
      <c r="AH4746">
        <v>17.6101276781081</v>
      </c>
      <c r="AI4746">
        <v>93.5043647448624</v>
      </c>
      <c r="AJ4746">
        <v>104.69988280948699</v>
      </c>
      <c r="AK4746">
        <v>18.240149363116</v>
      </c>
      <c r="AL4746">
        <v>92.177708426239306</v>
      </c>
      <c r="AM4746">
        <v>106.612240311737</v>
      </c>
      <c r="AN4746">
        <v>0.99999995775842898</v>
      </c>
    </row>
    <row r="4747" spans="1:40" x14ac:dyDescent="0.25">
      <c r="A4747" t="str">
        <f>"20190305135925165"</f>
        <v>20190305135925165</v>
      </c>
      <c r="B4747" t="str">
        <f>"1551765565153578"</f>
        <v>1551765565153578</v>
      </c>
      <c r="C4747" t="s">
        <v>40</v>
      </c>
      <c r="D4747">
        <v>4.1040150000000004</v>
      </c>
      <c r="E4747">
        <v>0.51209090000000002</v>
      </c>
      <c r="F4747" t="s">
        <v>42</v>
      </c>
      <c r="G4747">
        <v>-391.85509999999999</v>
      </c>
      <c r="H4747" s="1">
        <v>-4.3676700000000001E-6</v>
      </c>
      <c r="I4747">
        <v>21.695340000000002</v>
      </c>
      <c r="J4747">
        <v>-409.65050000000002</v>
      </c>
      <c r="K4747">
        <v>1.114554</v>
      </c>
      <c r="L4747">
        <v>23.973269999999999</v>
      </c>
      <c r="M4747">
        <v>0.92845610000000001</v>
      </c>
      <c r="N4747">
        <v>-1.520141E-2</v>
      </c>
      <c r="O4747">
        <v>-0.37113089999999999</v>
      </c>
      <c r="P4747">
        <v>0.99431610000000004</v>
      </c>
      <c r="Q4747">
        <v>-5.1759300000000001E-2</v>
      </c>
      <c r="R4747">
        <v>-9.3038969999999999E-2</v>
      </c>
      <c r="S4747">
        <v>2.9708860000000001</v>
      </c>
      <c r="T4747">
        <v>-0.18397160000000001</v>
      </c>
      <c r="U4747">
        <v>-0.38836670000000001</v>
      </c>
      <c r="V4747">
        <v>-0.28222190000000003</v>
      </c>
      <c r="W4747">
        <v>-4.0462150000000002E-2</v>
      </c>
      <c r="X4747">
        <v>0.95849549999999994</v>
      </c>
      <c r="Y4747">
        <v>-0.24674460000000001</v>
      </c>
      <c r="Z4747">
        <v>2.603662E-2</v>
      </c>
      <c r="AA4747">
        <v>0.96873069999999895</v>
      </c>
      <c r="AB4747">
        <v>23</v>
      </c>
      <c r="AC4747">
        <v>17.795400000000001</v>
      </c>
      <c r="AD4747">
        <v>-1.1145583676699999</v>
      </c>
      <c r="AE4747">
        <v>-2.27793</v>
      </c>
      <c r="AF4747">
        <v>-4.4727212300686396</v>
      </c>
      <c r="AG4747">
        <v>-1.1145583676699999</v>
      </c>
      <c r="AH4747">
        <v>17.302884729705799</v>
      </c>
      <c r="AI4747">
        <v>93.568611413203001</v>
      </c>
      <c r="AJ4747">
        <v>104.493453923766</v>
      </c>
      <c r="AK4747">
        <v>17.9063479114625</v>
      </c>
      <c r="AL4747">
        <v>92.318943464058805</v>
      </c>
      <c r="AM4747">
        <v>106.406674508099</v>
      </c>
      <c r="AN4747">
        <v>1.0000000049712401</v>
      </c>
    </row>
    <row r="4748" spans="1:40" x14ac:dyDescent="0.25">
      <c r="A4748" t="str">
        <f>"20190305135925185"</f>
        <v>20190305135925185</v>
      </c>
      <c r="B4748" t="str">
        <f>"1551765565174089"</f>
        <v>1551765565174089</v>
      </c>
      <c r="C4748" t="s">
        <v>40</v>
      </c>
      <c r="D4748">
        <v>3.6423709999999998</v>
      </c>
      <c r="E4748">
        <v>0.51211899999999999</v>
      </c>
      <c r="F4748" t="s">
        <v>42</v>
      </c>
      <c r="G4748">
        <v>-392.35070000000002</v>
      </c>
      <c r="H4748" s="1">
        <v>-4.1712479999999996E-6</v>
      </c>
      <c r="I4748">
        <v>21.776969999999999</v>
      </c>
      <c r="J4748">
        <v>-409.45330000000001</v>
      </c>
      <c r="K4748">
        <v>1.114252</v>
      </c>
      <c r="L4748">
        <v>23.903020000000001</v>
      </c>
      <c r="M4748">
        <v>0.9309366</v>
      </c>
      <c r="N4748">
        <v>-1.499784E-2</v>
      </c>
      <c r="O4748">
        <v>-0.36487310000000001</v>
      </c>
      <c r="P4748">
        <v>0.99457289999999998</v>
      </c>
      <c r="Q4748">
        <v>-5.3823620000000003E-2</v>
      </c>
      <c r="R4748">
        <v>-8.9039800000000002E-2</v>
      </c>
      <c r="S4748">
        <v>2.971832</v>
      </c>
      <c r="T4748">
        <v>-0.19146360000000001</v>
      </c>
      <c r="U4748">
        <v>-0.37728879999999998</v>
      </c>
      <c r="V4748">
        <v>-0.27958860000000002</v>
      </c>
      <c r="W4748">
        <v>-4.2485639999999998E-2</v>
      </c>
      <c r="X4748">
        <v>0.95917949999999996</v>
      </c>
      <c r="Y4748">
        <v>-0.2437397</v>
      </c>
      <c r="Z4748">
        <v>2.691238E-2</v>
      </c>
      <c r="AA4748">
        <v>0.96946719999999997</v>
      </c>
      <c r="AB4748">
        <v>23</v>
      </c>
      <c r="AC4748">
        <v>17.102599999999899</v>
      </c>
      <c r="AD4748">
        <v>-1.1142561712479999</v>
      </c>
      <c r="AE4748">
        <v>-2.1260500000000002</v>
      </c>
      <c r="AF4748">
        <v>-4.2438001883377803</v>
      </c>
      <c r="AG4748">
        <v>-1.1142561712479999</v>
      </c>
      <c r="AH4748">
        <v>16.6295377253536</v>
      </c>
      <c r="AI4748">
        <v>93.714651474063899</v>
      </c>
      <c r="AJ4748">
        <v>104.316123753958</v>
      </c>
      <c r="AK4748">
        <v>17.198631684313099</v>
      </c>
      <c r="AL4748">
        <v>92.434980616268803</v>
      </c>
      <c r="AM4748">
        <v>106.250730662588</v>
      </c>
      <c r="AN4748">
        <v>1.0000000640382001</v>
      </c>
    </row>
    <row r="4749" spans="1:40" x14ac:dyDescent="0.25">
      <c r="A4749" t="str">
        <f>"20190305135925197"</f>
        <v>20190305135925197</v>
      </c>
      <c r="B4749" t="str">
        <f>"1551765565193594"</f>
        <v>1551765565193594</v>
      </c>
      <c r="C4749" t="s">
        <v>40</v>
      </c>
      <c r="D4749">
        <v>3.6264020000000001</v>
      </c>
      <c r="E4749">
        <v>0.51218450000000004</v>
      </c>
      <c r="F4749" t="s">
        <v>42</v>
      </c>
      <c r="G4749">
        <v>-392.4074</v>
      </c>
      <c r="H4749" s="1">
        <v>-4.1527360000000002E-6</v>
      </c>
      <c r="I4749">
        <v>21.80817</v>
      </c>
      <c r="J4749">
        <v>-409.33260000000001</v>
      </c>
      <c r="K4749">
        <v>1.114077</v>
      </c>
      <c r="L4749">
        <v>23.860410000000002</v>
      </c>
      <c r="M4749">
        <v>0.93237930000000002</v>
      </c>
      <c r="N4749">
        <v>-1.4882370000000001E-2</v>
      </c>
      <c r="O4749">
        <v>-0.36117539999999998</v>
      </c>
      <c r="P4749">
        <v>0.99477059999999995</v>
      </c>
      <c r="Q4749">
        <v>-5.4429360000000003E-2</v>
      </c>
      <c r="R4749">
        <v>-8.6424760000000003E-2</v>
      </c>
      <c r="S4749">
        <v>2.9731749999999999</v>
      </c>
      <c r="T4749">
        <v>-0.194351</v>
      </c>
      <c r="U4749">
        <v>-0.36538700000000002</v>
      </c>
      <c r="V4749">
        <v>-0.27830120000000003</v>
      </c>
      <c r="W4749">
        <v>-4.3072350000000002E-2</v>
      </c>
      <c r="X4749">
        <v>0.95952760000000004</v>
      </c>
      <c r="Y4749">
        <v>-0.24373629999999999</v>
      </c>
      <c r="Z4749">
        <v>2.723358E-2</v>
      </c>
      <c r="AA4749">
        <v>0.96945910000000002</v>
      </c>
      <c r="AB4749">
        <v>23</v>
      </c>
      <c r="AC4749">
        <v>16.9252</v>
      </c>
      <c r="AD4749">
        <v>-1.1140811527359999</v>
      </c>
      <c r="AE4749">
        <v>-2.0522399999999998</v>
      </c>
      <c r="AF4749">
        <v>-4.1821066933962703</v>
      </c>
      <c r="AG4749">
        <v>-1.1140811527359999</v>
      </c>
      <c r="AH4749">
        <v>16.453495781999099</v>
      </c>
      <c r="AI4749">
        <v>93.754607259867598</v>
      </c>
      <c r="AJ4749">
        <v>104.26128895987701</v>
      </c>
      <c r="AK4749">
        <v>17.013192429937899</v>
      </c>
      <c r="AL4749">
        <v>92.468627580704606</v>
      </c>
      <c r="AM4749">
        <v>106.17426283819</v>
      </c>
      <c r="AN4749">
        <v>1.00000000020886</v>
      </c>
    </row>
    <row r="4750" spans="1:40" x14ac:dyDescent="0.25">
      <c r="A4750" t="str">
        <f>"20190305135925209"</f>
        <v>20190305135925209</v>
      </c>
      <c r="B4750" t="str">
        <f>"1551765565204330"</f>
        <v>1551765565204330</v>
      </c>
      <c r="C4750" t="s">
        <v>40</v>
      </c>
      <c r="D4750">
        <v>3.5985339999999901</v>
      </c>
      <c r="E4750">
        <v>0.51223030000000003</v>
      </c>
      <c r="F4750" t="s">
        <v>42</v>
      </c>
      <c r="G4750">
        <v>-392.142</v>
      </c>
      <c r="H4750" s="1">
        <v>-4.273876E-6</v>
      </c>
      <c r="I4750">
        <v>21.79185</v>
      </c>
      <c r="J4750">
        <v>-409.22230000000002</v>
      </c>
      <c r="K4750">
        <v>1.1139269999999999</v>
      </c>
      <c r="L4750">
        <v>23.822019999999998</v>
      </c>
      <c r="M4750">
        <v>0.9336103</v>
      </c>
      <c r="N4750">
        <v>-1.4785100000000001E-2</v>
      </c>
      <c r="O4750">
        <v>-0.35798530000000001</v>
      </c>
      <c r="P4750">
        <v>0.99487539999999997</v>
      </c>
      <c r="Q4750">
        <v>-5.5700590000000001E-2</v>
      </c>
      <c r="R4750">
        <v>-8.4381890000000001E-2</v>
      </c>
      <c r="S4750">
        <v>2.9741209999999998</v>
      </c>
      <c r="T4750">
        <v>-0.19274569999999999</v>
      </c>
      <c r="U4750">
        <v>-0.35787960000000002</v>
      </c>
      <c r="V4750">
        <v>-0.2769662</v>
      </c>
      <c r="W4750">
        <v>-4.432258E-2</v>
      </c>
      <c r="X4750">
        <v>0.95985690000000001</v>
      </c>
      <c r="Y4750">
        <v>-0.24289179999999999</v>
      </c>
      <c r="Z4750">
        <v>2.6823980000000001E-2</v>
      </c>
      <c r="AA4750">
        <v>0.9696825</v>
      </c>
      <c r="AB4750">
        <v>23</v>
      </c>
      <c r="AC4750">
        <v>17.080300000000001</v>
      </c>
      <c r="AD4750">
        <v>-1.1139312738760001</v>
      </c>
      <c r="AE4750">
        <v>-2.03017</v>
      </c>
      <c r="AF4750">
        <v>-4.2019462038680402</v>
      </c>
      <c r="AG4750">
        <v>-1.1139312738760001</v>
      </c>
      <c r="AH4750">
        <v>16.605292115968101</v>
      </c>
      <c r="AI4750">
        <v>93.720880335176105</v>
      </c>
      <c r="AJ4750">
        <v>104.20052318463399</v>
      </c>
      <c r="AK4750">
        <v>17.164874629304801</v>
      </c>
      <c r="AL4750">
        <v>92.540328931685195</v>
      </c>
      <c r="AM4750">
        <v>106.095467341236</v>
      </c>
      <c r="AN4750">
        <v>1.0000000177589501</v>
      </c>
    </row>
    <row r="4751" spans="1:40" x14ac:dyDescent="0.25">
      <c r="A4751" t="str">
        <f>"20190305135925222"</f>
        <v>20190305135925222</v>
      </c>
      <c r="B4751" t="str">
        <f>"1551765565214090"</f>
        <v>1551765565214090</v>
      </c>
      <c r="C4751" t="s">
        <v>40</v>
      </c>
      <c r="D4751">
        <v>3.8707060000000002</v>
      </c>
      <c r="E4751">
        <v>0.51237159999999904</v>
      </c>
      <c r="F4751" t="s">
        <v>42</v>
      </c>
      <c r="G4751">
        <v>-392.20159999999998</v>
      </c>
      <c r="H4751" s="1">
        <v>-4.2499090000000002E-6</v>
      </c>
      <c r="I4751">
        <v>21.807649999999999</v>
      </c>
      <c r="J4751">
        <v>-409.09010000000001</v>
      </c>
      <c r="K4751">
        <v>1.11374</v>
      </c>
      <c r="L4751">
        <v>23.776250000000001</v>
      </c>
      <c r="M4751">
        <v>0.93503159999999996</v>
      </c>
      <c r="N4751">
        <v>-1.467271E-2</v>
      </c>
      <c r="O4751">
        <v>-0.35426059999999998</v>
      </c>
      <c r="P4751">
        <v>0.99497170000000001</v>
      </c>
      <c r="Q4751">
        <v>-5.7028349999999998E-2</v>
      </c>
      <c r="R4751">
        <v>-8.2334879999999999E-2</v>
      </c>
      <c r="S4751">
        <v>2.974701</v>
      </c>
      <c r="T4751">
        <v>-0.1946813</v>
      </c>
      <c r="U4751">
        <v>-0.3520508</v>
      </c>
      <c r="V4751">
        <v>-0.27509329999999999</v>
      </c>
      <c r="W4751">
        <v>-4.5615379999999997E-2</v>
      </c>
      <c r="X4751">
        <v>0.96033480000000004</v>
      </c>
      <c r="Y4751">
        <v>-0.24090610000000001</v>
      </c>
      <c r="Z4751">
        <v>2.6906699999999999E-2</v>
      </c>
      <c r="AA4751">
        <v>0.97017540000000002</v>
      </c>
      <c r="AB4751">
        <v>23</v>
      </c>
      <c r="AC4751">
        <v>16.888500000000001</v>
      </c>
      <c r="AD4751">
        <v>-1.113744249909</v>
      </c>
      <c r="AE4751">
        <v>-1.9685999999999999</v>
      </c>
      <c r="AF4751">
        <v>-4.12497398413635</v>
      </c>
      <c r="AG4751">
        <v>-1.113744249909</v>
      </c>
      <c r="AH4751">
        <v>16.420000954501798</v>
      </c>
      <c r="AI4751">
        <v>93.763748353172801</v>
      </c>
      <c r="AJ4751">
        <v>104.101821073143</v>
      </c>
      <c r="AK4751">
        <v>16.966798990082001</v>
      </c>
      <c r="AL4751">
        <v>92.614475954876795</v>
      </c>
      <c r="AM4751">
        <v>105.984657817292</v>
      </c>
      <c r="AN4751">
        <v>1.0000000073442299</v>
      </c>
    </row>
    <row r="4752" spans="1:40" x14ac:dyDescent="0.25">
      <c r="A4752" t="str">
        <f>"20190305135925234"</f>
        <v>20190305135925234</v>
      </c>
      <c r="B4752" t="str">
        <f>"1551765565223851"</f>
        <v>1551765565223851</v>
      </c>
      <c r="C4752" t="s">
        <v>40</v>
      </c>
      <c r="D4752">
        <v>3.8233950000000001</v>
      </c>
      <c r="E4752">
        <v>0.51237159999999904</v>
      </c>
      <c r="F4752" t="s">
        <v>42</v>
      </c>
      <c r="G4752">
        <v>-392.35419999999999</v>
      </c>
      <c r="H4752" s="1">
        <v>-4.1821610000000004E-6</v>
      </c>
      <c r="I4752">
        <v>21.824159999999999</v>
      </c>
      <c r="J4752">
        <v>-408.97430000000003</v>
      </c>
      <c r="K4752">
        <v>1.1135679999999999</v>
      </c>
      <c r="L4752">
        <v>23.736450000000001</v>
      </c>
      <c r="M4752">
        <v>0.93620219999999998</v>
      </c>
      <c r="N4752">
        <v>-1.457956E-2</v>
      </c>
      <c r="O4752">
        <v>-0.35115940000000001</v>
      </c>
      <c r="P4752">
        <v>0.99497959999999996</v>
      </c>
      <c r="Q4752">
        <v>-5.880643E-2</v>
      </c>
      <c r="R4752">
        <v>-8.0978309999999998E-2</v>
      </c>
      <c r="S4752">
        <v>2.975098</v>
      </c>
      <c r="T4752">
        <v>-0.19798679999999999</v>
      </c>
      <c r="U4752">
        <v>-0.34701539999999997</v>
      </c>
      <c r="V4752">
        <v>-0.27318399999999998</v>
      </c>
      <c r="W4752">
        <v>-4.7349490000000001E-2</v>
      </c>
      <c r="X4752">
        <v>0.96079579999999998</v>
      </c>
      <c r="Y4752">
        <v>-0.23929239999999999</v>
      </c>
      <c r="Z4752">
        <v>2.7234919999999999E-2</v>
      </c>
      <c r="AA4752">
        <v>0.97056549999999997</v>
      </c>
      <c r="AB4752">
        <v>23</v>
      </c>
      <c r="AC4752">
        <v>16.620100000000001</v>
      </c>
      <c r="AD4752">
        <v>-1.1135721821610001</v>
      </c>
      <c r="AE4752">
        <v>-1.91229</v>
      </c>
      <c r="AF4752">
        <v>-4.0285953311575602</v>
      </c>
      <c r="AG4752">
        <v>-1.1135721821610001</v>
      </c>
      <c r="AH4752">
        <v>16.161413802455399</v>
      </c>
      <c r="AI4752">
        <v>93.8249485877502</v>
      </c>
      <c r="AJ4752">
        <v>103.997003694111</v>
      </c>
      <c r="AK4752">
        <v>16.6931398916233</v>
      </c>
      <c r="AL4752">
        <v>92.713940625358802</v>
      </c>
      <c r="AM4752">
        <v>105.872092652262</v>
      </c>
      <c r="AN4752">
        <v>1.0000000206784401</v>
      </c>
    </row>
    <row r="4753" spans="1:40" x14ac:dyDescent="0.25">
      <c r="A4753" t="str">
        <f>"20190305135925254"</f>
        <v>20190305135925254</v>
      </c>
      <c r="B4753" t="str">
        <f>"1551765565244346"</f>
        <v>1551765565244346</v>
      </c>
      <c r="C4753" t="s">
        <v>40</v>
      </c>
      <c r="D4753">
        <v>3.7717010000000002</v>
      </c>
      <c r="E4753">
        <v>0.55452239999999997</v>
      </c>
      <c r="F4753" t="s">
        <v>42</v>
      </c>
      <c r="G4753">
        <v>-392.68729999999999</v>
      </c>
      <c r="H4753" s="1">
        <v>-4.0340389999999999E-6</v>
      </c>
      <c r="I4753">
        <v>21.859390000000001</v>
      </c>
      <c r="J4753">
        <v>-408.78719999999998</v>
      </c>
      <c r="K4753">
        <v>1.1132799999999901</v>
      </c>
      <c r="L4753">
        <v>23.672730000000001</v>
      </c>
      <c r="M4753">
        <v>0.93796749999999995</v>
      </c>
      <c r="N4753">
        <v>-1.4439550000000001E-2</v>
      </c>
      <c r="O4753">
        <v>-0.34642260000000002</v>
      </c>
      <c r="P4753">
        <v>0.99484810000000001</v>
      </c>
      <c r="Q4753">
        <v>-6.1725259999999997E-2</v>
      </c>
      <c r="R4753">
        <v>-8.0420630000000007E-2</v>
      </c>
      <c r="S4753">
        <v>2.97525</v>
      </c>
      <c r="T4753">
        <v>-0.20342389999999999</v>
      </c>
      <c r="U4753">
        <v>-0.34289550000000002</v>
      </c>
      <c r="V4753">
        <v>-0.26880969999999998</v>
      </c>
      <c r="W4753">
        <v>-5.016876E-2</v>
      </c>
      <c r="X4753">
        <v>0.96188589999999996</v>
      </c>
      <c r="Y4753">
        <v>-0.2356655</v>
      </c>
      <c r="Z4753">
        <v>2.7731140000000001E-2</v>
      </c>
      <c r="AA4753">
        <v>0.97143849999999998</v>
      </c>
      <c r="AB4753">
        <v>23</v>
      </c>
      <c r="AC4753">
        <v>16.099899999999899</v>
      </c>
      <c r="AD4753">
        <v>-1.11328403403899</v>
      </c>
      <c r="AE4753">
        <v>-1.81334</v>
      </c>
      <c r="AF4753">
        <v>-3.8586998215433499</v>
      </c>
      <c r="AG4753">
        <v>-1.11328403403899</v>
      </c>
      <c r="AH4753">
        <v>15.657077027359399</v>
      </c>
      <c r="AI4753">
        <v>93.949346915520493</v>
      </c>
      <c r="AJ4753">
        <v>103.844694330756</v>
      </c>
      <c r="AK4753">
        <v>16.163942176767701</v>
      </c>
      <c r="AL4753">
        <v>92.875665305405704</v>
      </c>
      <c r="AM4753">
        <v>105.61361096136</v>
      </c>
      <c r="AN4753">
        <v>1.00000002195641</v>
      </c>
    </row>
    <row r="4754" spans="1:40" x14ac:dyDescent="0.25">
      <c r="A4754" t="str">
        <f>"20190305135925265"</f>
        <v>20190305135925265</v>
      </c>
      <c r="B4754" t="str">
        <f>"1551765565254107"</f>
        <v>1551765565254107</v>
      </c>
      <c r="C4754" t="s">
        <v>40</v>
      </c>
      <c r="D4754">
        <v>3.7872129999999999</v>
      </c>
      <c r="E4754">
        <v>0.55771649999999995</v>
      </c>
      <c r="F4754" t="s">
        <v>42</v>
      </c>
      <c r="G4754">
        <v>-394.16250000000002</v>
      </c>
      <c r="H4754" s="1">
        <v>-2.9246980000000001E-6</v>
      </c>
      <c r="I4754">
        <v>20.310949999999998</v>
      </c>
      <c r="J4754">
        <v>-408.67090000000002</v>
      </c>
      <c r="K4754">
        <v>1.1130990000000001</v>
      </c>
      <c r="L4754">
        <v>23.633479999999999</v>
      </c>
      <c r="M4754">
        <v>0.93898859999999995</v>
      </c>
      <c r="N4754">
        <v>-1.435938E-2</v>
      </c>
      <c r="O4754">
        <v>-0.34364850000000002</v>
      </c>
      <c r="P4754">
        <v>0.99486569999999996</v>
      </c>
      <c r="Q4754">
        <v>-6.2312470000000002E-2</v>
      </c>
      <c r="R4754">
        <v>-7.9746570000000003E-2</v>
      </c>
      <c r="S4754">
        <v>2.946869</v>
      </c>
      <c r="T4754">
        <v>-0.224326</v>
      </c>
      <c r="U4754">
        <v>-0.67739869999999902</v>
      </c>
      <c r="V4754">
        <v>-0.26662190000000002</v>
      </c>
      <c r="W4754">
        <v>-5.0693370000000001E-2</v>
      </c>
      <c r="X4754">
        <v>0.96246710000000002</v>
      </c>
      <c r="Y4754">
        <v>-0.1235931</v>
      </c>
      <c r="Z4754">
        <v>2.5681260000000001E-2</v>
      </c>
      <c r="AA4754">
        <v>0.99200060000000001</v>
      </c>
      <c r="AB4754">
        <v>23</v>
      </c>
      <c r="AC4754">
        <v>14.5083999999999</v>
      </c>
      <c r="AD4754">
        <v>-1.1131019246979901</v>
      </c>
      <c r="AE4754">
        <v>-3.32253</v>
      </c>
      <c r="AF4754">
        <v>-1.8557853452922399</v>
      </c>
      <c r="AG4754">
        <v>-1.1131019246979901</v>
      </c>
      <c r="AH4754">
        <v>14.684399193068</v>
      </c>
      <c r="AI4754">
        <v>94.300747189672293</v>
      </c>
      <c r="AJ4754">
        <v>97.202743353976999</v>
      </c>
      <c r="AK4754">
        <v>14.842995479482701</v>
      </c>
      <c r="AL4754">
        <v>92.9057616419108</v>
      </c>
      <c r="AM4754">
        <v>105.483755096732</v>
      </c>
      <c r="AN4754">
        <v>0.999999986951988</v>
      </c>
    </row>
    <row r="4755" spans="1:40" x14ac:dyDescent="0.25">
      <c r="A4755" t="str">
        <f>"20190305135925278"</f>
        <v>20190305135925278</v>
      </c>
      <c r="B4755" t="str">
        <f>"1551765565273626"</f>
        <v>1551765565273626</v>
      </c>
      <c r="C4755" t="s">
        <v>40</v>
      </c>
      <c r="D4755">
        <v>3.756837</v>
      </c>
      <c r="E4755">
        <v>0.5604865</v>
      </c>
      <c r="F4755" t="s">
        <v>42</v>
      </c>
      <c r="G4755">
        <v>-392.8263</v>
      </c>
      <c r="H4755" s="1">
        <v>-3.4391440000000002E-6</v>
      </c>
      <c r="I4755">
        <v>19.870509999999999</v>
      </c>
      <c r="J4755">
        <v>-408.5471</v>
      </c>
      <c r="K4755">
        <v>1.112908</v>
      </c>
      <c r="L4755">
        <v>23.59186</v>
      </c>
      <c r="M4755">
        <v>0.9400347</v>
      </c>
      <c r="N4755">
        <v>-1.4278040000000001E-2</v>
      </c>
      <c r="O4755">
        <v>-0.34077980000000002</v>
      </c>
      <c r="P4755">
        <v>0.99493339999999997</v>
      </c>
      <c r="Q4755">
        <v>-6.2417250000000001E-2</v>
      </c>
      <c r="R4755">
        <v>-7.8816319999999995E-2</v>
      </c>
      <c r="S4755">
        <v>2.946472</v>
      </c>
      <c r="T4755">
        <v>-0.2069937</v>
      </c>
      <c r="U4755">
        <v>-0.6997681</v>
      </c>
      <c r="V4755">
        <v>-0.2646038</v>
      </c>
      <c r="W4755">
        <v>-5.0731779999999997E-2</v>
      </c>
      <c r="X4755">
        <v>0.96302189999999999</v>
      </c>
      <c r="Y4755">
        <v>-0.11357780000000001</v>
      </c>
      <c r="Z4755">
        <v>2.2824029999999999E-2</v>
      </c>
      <c r="AA4755">
        <v>0.99326689999999995</v>
      </c>
      <c r="AB4755">
        <v>23</v>
      </c>
      <c r="AC4755">
        <v>15.720799999999899</v>
      </c>
      <c r="AD4755">
        <v>-1.112911439144</v>
      </c>
      <c r="AE4755">
        <v>-3.7213500000000002</v>
      </c>
      <c r="AF4755">
        <v>-1.85054052438682</v>
      </c>
      <c r="AG4755">
        <v>-1.112911439144</v>
      </c>
      <c r="AH4755">
        <v>15.9720968250022</v>
      </c>
      <c r="AI4755">
        <v>93.959439105157799</v>
      </c>
      <c r="AJ4755">
        <v>96.608870248604603</v>
      </c>
      <c r="AK4755">
        <v>16.117411364453599</v>
      </c>
      <c r="AL4755">
        <v>92.907965076553793</v>
      </c>
      <c r="AM4755">
        <v>105.363682179921</v>
      </c>
      <c r="AN4755">
        <v>1.000000032178</v>
      </c>
    </row>
    <row r="4756" spans="1:40" x14ac:dyDescent="0.25">
      <c r="A4756" t="str">
        <f>"20190305135925296"</f>
        <v>20190305135925296</v>
      </c>
      <c r="B4756" t="str">
        <f>"1551765565294122"</f>
        <v>1551765565294122</v>
      </c>
      <c r="C4756" t="s">
        <v>40</v>
      </c>
      <c r="D4756">
        <v>3.8021210000000001</v>
      </c>
      <c r="E4756">
        <v>0.56126529999999997</v>
      </c>
      <c r="F4756" t="s">
        <v>42</v>
      </c>
      <c r="G4756">
        <v>-390.50569999999999</v>
      </c>
      <c r="H4756" s="1">
        <v>-4.5427580000000001E-6</v>
      </c>
      <c r="I4756">
        <v>19.19753</v>
      </c>
      <c r="J4756">
        <v>-408.37110000000001</v>
      </c>
      <c r="K4756">
        <v>1.1126419999999999</v>
      </c>
      <c r="L4756">
        <v>23.53314</v>
      </c>
      <c r="M4756">
        <v>0.94139220000000001</v>
      </c>
      <c r="N4756">
        <v>-1.41733E-2</v>
      </c>
      <c r="O4756">
        <v>-0.33701619999999999</v>
      </c>
      <c r="P4756">
        <v>0.99504820000000005</v>
      </c>
      <c r="Q4756">
        <v>-6.1312470000000001E-2</v>
      </c>
      <c r="R4756">
        <v>-7.82307E-2</v>
      </c>
      <c r="S4756">
        <v>2.9470209999999999</v>
      </c>
      <c r="T4756">
        <v>-0.18179210000000001</v>
      </c>
      <c r="U4756">
        <v>-0.717804</v>
      </c>
      <c r="V4756">
        <v>-0.26138129999999998</v>
      </c>
      <c r="W4756">
        <v>-4.9523079999999997E-2</v>
      </c>
      <c r="X4756">
        <v>0.9639643</v>
      </c>
      <c r="Y4756">
        <v>-0.1041155</v>
      </c>
      <c r="Z4756">
        <v>1.9045880000000001E-2</v>
      </c>
      <c r="AA4756">
        <v>0.99438289999999996</v>
      </c>
      <c r="AB4756">
        <v>23</v>
      </c>
      <c r="AC4756">
        <v>17.865400000000001</v>
      </c>
      <c r="AD4756">
        <v>-1.1126465427579999</v>
      </c>
      <c r="AE4756">
        <v>-4.3356099999999902</v>
      </c>
      <c r="AF4756">
        <v>-1.93253566950887</v>
      </c>
      <c r="AG4756">
        <v>-1.1126465427579999</v>
      </c>
      <c r="AH4756">
        <v>18.214634514235598</v>
      </c>
      <c r="AI4756">
        <v>93.476124787885496</v>
      </c>
      <c r="AJ4756">
        <v>96.056308629512699</v>
      </c>
      <c r="AK4756">
        <v>18.350629060885598</v>
      </c>
      <c r="AL4756">
        <v>92.838624739022407</v>
      </c>
      <c r="AM4756">
        <v>105.171102236485</v>
      </c>
      <c r="AN4756">
        <v>0.99999994555843097</v>
      </c>
    </row>
    <row r="4757" spans="1:40" x14ac:dyDescent="0.25">
      <c r="A4757" t="str">
        <f>"20190305135925308"</f>
        <v>20190305135925308</v>
      </c>
      <c r="B4757" t="str">
        <f>"1551765565303883"</f>
        <v>1551765565303883</v>
      </c>
      <c r="C4757" t="s">
        <v>40</v>
      </c>
      <c r="D4757">
        <v>3.7635749999999999</v>
      </c>
      <c r="E4757">
        <v>0.56163769999999902</v>
      </c>
      <c r="F4757" t="s">
        <v>84</v>
      </c>
      <c r="G4757">
        <v>-388.64530000000002</v>
      </c>
      <c r="H4757" s="1">
        <v>-8.0253969999999996E-7</v>
      </c>
      <c r="I4757">
        <v>18.704460000000001</v>
      </c>
      <c r="J4757">
        <v>-408.25900000000001</v>
      </c>
      <c r="K4757">
        <v>1.112487</v>
      </c>
      <c r="L4757">
        <v>23.49597</v>
      </c>
      <c r="M4757">
        <v>0.94219090000000005</v>
      </c>
      <c r="N4757">
        <v>-1.4112019999999999E-2</v>
      </c>
      <c r="O4757">
        <v>-0.3347791</v>
      </c>
      <c r="P4757">
        <v>0.99513879999999999</v>
      </c>
      <c r="Q4757">
        <v>-6.0329939999999999E-2</v>
      </c>
      <c r="R4757">
        <v>-7.7842060000000005E-2</v>
      </c>
      <c r="S4757">
        <v>2.9479060000000001</v>
      </c>
      <c r="T4757">
        <v>-0.16627809999999901</v>
      </c>
      <c r="U4757">
        <v>-0.72161869999999995</v>
      </c>
      <c r="V4757">
        <v>-0.25951360000000001</v>
      </c>
      <c r="W4757">
        <v>-4.8481299999999998E-2</v>
      </c>
      <c r="X4757">
        <v>0.96452179999999998</v>
      </c>
      <c r="Y4757">
        <v>-0.1007178</v>
      </c>
      <c r="Z4757">
        <v>1.6881469999999999E-2</v>
      </c>
      <c r="AA4757">
        <v>0.99477179999999998</v>
      </c>
      <c r="AB4757">
        <v>23</v>
      </c>
      <c r="AC4757">
        <v>19.613699999999898</v>
      </c>
      <c r="AD4757">
        <v>-1.1124878025397</v>
      </c>
      <c r="AE4757">
        <v>-4.7915099999999899</v>
      </c>
      <c r="AF4757">
        <v>-2.0457333851319501</v>
      </c>
      <c r="AG4757">
        <v>-1.1124878025397</v>
      </c>
      <c r="AH4757">
        <v>20.025152663790401</v>
      </c>
      <c r="AI4757">
        <v>93.163340896545193</v>
      </c>
      <c r="AJ4757">
        <v>95.832997763027507</v>
      </c>
      <c r="AK4757">
        <v>20.1600940821703</v>
      </c>
      <c r="AL4757">
        <v>92.778863125019598</v>
      </c>
      <c r="AM4757">
        <v>105.059329496953</v>
      </c>
      <c r="AN4757">
        <v>1.00000002385494</v>
      </c>
    </row>
    <row r="4758" spans="1:40" x14ac:dyDescent="0.25">
      <c r="A4758" t="str">
        <f>"20190305135925321"</f>
        <v>20190305135925321</v>
      </c>
      <c r="B4758" t="str">
        <f>"1551765565313642"</f>
        <v>1551765565313642</v>
      </c>
      <c r="C4758" t="s">
        <v>40</v>
      </c>
      <c r="D4758">
        <v>3.7445119999999998</v>
      </c>
      <c r="E4758">
        <v>0.56220709999999996</v>
      </c>
      <c r="F4758" t="s">
        <v>84</v>
      </c>
      <c r="G4758">
        <v>-387.86200000000002</v>
      </c>
      <c r="H4758" s="1">
        <v>-1.210534E-6</v>
      </c>
      <c r="I4758">
        <v>18.491890000000001</v>
      </c>
      <c r="J4758">
        <v>-408.1266</v>
      </c>
      <c r="K4758">
        <v>1.1123130000000001</v>
      </c>
      <c r="L4758">
        <v>23.452269999999999</v>
      </c>
      <c r="M4758">
        <v>0.94309330000000002</v>
      </c>
      <c r="N4758">
        <v>-1.404293E-2</v>
      </c>
      <c r="O4758">
        <v>-0.33223140000000001</v>
      </c>
      <c r="P4758">
        <v>0.99526000000000003</v>
      </c>
      <c r="Q4758">
        <v>-5.963417E-2</v>
      </c>
      <c r="R4758">
        <v>-7.6821570000000006E-2</v>
      </c>
      <c r="S4758">
        <v>2.948334</v>
      </c>
      <c r="T4758">
        <v>-0.16080749999999999</v>
      </c>
      <c r="U4758">
        <v>-0.72332759999999996</v>
      </c>
      <c r="V4758">
        <v>-0.25793450000000001</v>
      </c>
      <c r="W4758">
        <v>-4.772448E-2</v>
      </c>
      <c r="X4758">
        <v>0.96498300000000004</v>
      </c>
      <c r="Y4758">
        <v>-9.755751E-2</v>
      </c>
      <c r="Z4758">
        <v>1.601139E-2</v>
      </c>
      <c r="AA4758">
        <v>0.99510109999999996</v>
      </c>
      <c r="AB4758">
        <v>23</v>
      </c>
      <c r="AC4758">
        <v>20.264600000000002</v>
      </c>
      <c r="AD4758">
        <v>-1.11231421053399</v>
      </c>
      <c r="AE4758">
        <v>-4.9603799999999998</v>
      </c>
      <c r="AF4758">
        <v>-2.0488141705295502</v>
      </c>
      <c r="AG4758">
        <v>-1.11231421053399</v>
      </c>
      <c r="AH4758">
        <v>20.702602939970799</v>
      </c>
      <c r="AI4758">
        <v>93.060521712783896</v>
      </c>
      <c r="AJ4758">
        <v>95.651821268552794</v>
      </c>
      <c r="AK4758">
        <v>20.833450287900199</v>
      </c>
      <c r="AL4758">
        <v>92.735450312249</v>
      </c>
      <c r="AM4758">
        <v>104.964987701201</v>
      </c>
      <c r="AN4758">
        <v>1.0000000112852601</v>
      </c>
    </row>
    <row r="4759" spans="1:40" x14ac:dyDescent="0.25">
      <c r="A4759" t="str">
        <f>"20190305135925333"</f>
        <v>20190305135925333</v>
      </c>
      <c r="B4759" t="str">
        <f>"1551765565324378"</f>
        <v>1551765565324378</v>
      </c>
      <c r="C4759" t="s">
        <v>40</v>
      </c>
      <c r="D4759">
        <v>3.786546</v>
      </c>
      <c r="E4759">
        <v>0.56233230000000001</v>
      </c>
      <c r="F4759" t="s">
        <v>84</v>
      </c>
      <c r="G4759">
        <v>-386.16649999999998</v>
      </c>
      <c r="H4759" s="1">
        <v>-2.0888159999999998E-6</v>
      </c>
      <c r="I4759">
        <v>18.058969999999999</v>
      </c>
      <c r="J4759">
        <v>-408.00439999999998</v>
      </c>
      <c r="K4759">
        <v>1.1121589999999999</v>
      </c>
      <c r="L4759">
        <v>23.41208</v>
      </c>
      <c r="M4759">
        <v>0.94386159999999997</v>
      </c>
      <c r="N4759">
        <v>-1.3983550000000001E-2</v>
      </c>
      <c r="O4759">
        <v>-0.33004519999999998</v>
      </c>
      <c r="P4759">
        <v>0.99529339999999999</v>
      </c>
      <c r="Q4759">
        <v>-5.9422229999999999E-2</v>
      </c>
      <c r="R4759">
        <v>-7.6550960000000001E-2</v>
      </c>
      <c r="S4759">
        <v>2.9494319999999998</v>
      </c>
      <c r="T4759">
        <v>-0.14939330000000001</v>
      </c>
      <c r="U4759">
        <v>-0.72436519999999904</v>
      </c>
      <c r="V4759">
        <v>-0.25598490000000002</v>
      </c>
      <c r="W4759">
        <v>-4.7453290000000002E-2</v>
      </c>
      <c r="X4759">
        <v>0.96551540000000002</v>
      </c>
      <c r="Y4759">
        <v>-9.5075530000000005E-2</v>
      </c>
      <c r="Z4759">
        <v>1.445128E-2</v>
      </c>
      <c r="AA4759">
        <v>0.9953651</v>
      </c>
      <c r="AB4759">
        <v>23</v>
      </c>
      <c r="AC4759">
        <v>21.837899999999902</v>
      </c>
      <c r="AD4759">
        <v>-1.1121610888160001</v>
      </c>
      <c r="AE4759">
        <v>-5.3531099999999903</v>
      </c>
      <c r="AF4759">
        <v>-2.1498497909775698</v>
      </c>
      <c r="AG4759">
        <v>-1.1121610888160001</v>
      </c>
      <c r="AH4759">
        <v>22.3262861589645</v>
      </c>
      <c r="AI4759">
        <v>92.838664973449895</v>
      </c>
      <c r="AJ4759">
        <v>95.500185483411101</v>
      </c>
      <c r="AK4759">
        <v>22.457110456673</v>
      </c>
      <c r="AL4759">
        <v>92.719894579020306</v>
      </c>
      <c r="AM4759">
        <v>104.84906467211501</v>
      </c>
      <c r="AN4759">
        <v>1.0000000356984899</v>
      </c>
    </row>
    <row r="4760" spans="1:40" x14ac:dyDescent="0.25">
      <c r="A4760" t="str">
        <f>"20190305135925355"</f>
        <v>20190305135925355</v>
      </c>
      <c r="B4760" t="str">
        <f>"1551765565343898"</f>
        <v>1551765565343898</v>
      </c>
      <c r="C4760" t="s">
        <v>40</v>
      </c>
      <c r="D4760">
        <v>3.7683149999999999</v>
      </c>
      <c r="E4760">
        <v>0.56305810000000001</v>
      </c>
      <c r="F4760" t="s">
        <v>84</v>
      </c>
      <c r="G4760">
        <v>-386.06580000000002</v>
      </c>
      <c r="H4760" s="1">
        <v>-2.1428130000000002E-6</v>
      </c>
      <c r="I4760">
        <v>18.022870000000001</v>
      </c>
      <c r="J4760">
        <v>-407.80309999999997</v>
      </c>
      <c r="K4760">
        <v>1.111926</v>
      </c>
      <c r="L4760">
        <v>23.34628</v>
      </c>
      <c r="M4760">
        <v>0.9450229</v>
      </c>
      <c r="N4760">
        <v>-1.3893340000000001E-2</v>
      </c>
      <c r="O4760">
        <v>-0.32670870000000002</v>
      </c>
      <c r="P4760">
        <v>0.99526539999999997</v>
      </c>
      <c r="Q4760">
        <v>-5.9572590000000002E-2</v>
      </c>
      <c r="R4760">
        <v>-7.6798950000000005E-2</v>
      </c>
      <c r="S4760">
        <v>2.9495239999999998</v>
      </c>
      <c r="T4760">
        <v>-0.14952370000000001</v>
      </c>
      <c r="U4760">
        <v>-0.72454830000000003</v>
      </c>
      <c r="V4760">
        <v>-0.25235730000000001</v>
      </c>
      <c r="W4760">
        <v>-4.7509910000000002E-2</v>
      </c>
      <c r="X4760">
        <v>0.96646710000000002</v>
      </c>
      <c r="Y4760">
        <v>-9.1512360000000001E-2</v>
      </c>
      <c r="Z4760">
        <v>1.4270990000000001E-2</v>
      </c>
      <c r="AA4760">
        <v>0.99570170000000002</v>
      </c>
      <c r="AB4760">
        <v>23</v>
      </c>
      <c r="AC4760">
        <v>21.737299999999902</v>
      </c>
      <c r="AD4760">
        <v>-1.1119281428129999</v>
      </c>
      <c r="AE4760">
        <v>-5.3234099999999902</v>
      </c>
      <c r="AF4760">
        <v>-2.0661203222723699</v>
      </c>
      <c r="AG4760">
        <v>-1.1119281428129999</v>
      </c>
      <c r="AH4760">
        <v>22.228729384002701</v>
      </c>
      <c r="AI4760">
        <v>92.851399141106498</v>
      </c>
      <c r="AJ4760">
        <v>95.310281993326697</v>
      </c>
      <c r="AK4760">
        <v>22.3522179527695</v>
      </c>
      <c r="AL4760">
        <v>92.723142353022396</v>
      </c>
      <c r="AM4760">
        <v>104.633942063634</v>
      </c>
      <c r="AN4760">
        <v>1.00000002689695</v>
      </c>
    </row>
    <row r="4761" spans="1:40" x14ac:dyDescent="0.25">
      <c r="A4761" t="str">
        <f>"20190305135925376"</f>
        <v>20190305135925376</v>
      </c>
      <c r="B4761" t="str">
        <f>"1551765565363419"</f>
        <v>1551765565363419</v>
      </c>
      <c r="C4761" t="s">
        <v>40</v>
      </c>
      <c r="D4761">
        <v>3.8406709999999999</v>
      </c>
      <c r="E4761">
        <v>0.56332019999999905</v>
      </c>
      <c r="F4761" t="s">
        <v>84</v>
      </c>
      <c r="G4761">
        <v>-383.44110000000001</v>
      </c>
      <c r="H4761" s="1">
        <v>-3.5090589999999999E-6</v>
      </c>
      <c r="I4761">
        <v>17.31514</v>
      </c>
      <c r="J4761">
        <v>-407.59609999999998</v>
      </c>
      <c r="K4761">
        <v>1.111693</v>
      </c>
      <c r="L4761">
        <v>23.27899</v>
      </c>
      <c r="M4761">
        <v>0.94608800000000004</v>
      </c>
      <c r="N4761">
        <v>-1.381017E-2</v>
      </c>
      <c r="O4761">
        <v>-0.3236155</v>
      </c>
      <c r="P4761">
        <v>0.99527699999999997</v>
      </c>
      <c r="Q4761">
        <v>-5.8959449999999997E-2</v>
      </c>
      <c r="R4761">
        <v>-7.7120480000000005E-2</v>
      </c>
      <c r="S4761">
        <v>2.9498899999999999</v>
      </c>
      <c r="T4761">
        <v>-0.1346388</v>
      </c>
      <c r="U4761">
        <v>-0.73028559999999998</v>
      </c>
      <c r="V4761">
        <v>-0.24892520000000001</v>
      </c>
      <c r="W4761">
        <v>-4.6806279999999999E-2</v>
      </c>
      <c r="X4761">
        <v>0.96739109999999995</v>
      </c>
      <c r="Y4761">
        <v>-8.6536660000000001E-2</v>
      </c>
      <c r="Z4761">
        <v>1.224536E-2</v>
      </c>
      <c r="AA4761">
        <v>0.99617339999999999</v>
      </c>
      <c r="AB4761">
        <v>23</v>
      </c>
      <c r="AC4761">
        <v>24.154999999999902</v>
      </c>
      <c r="AD4761">
        <v>-1.1116965090590001</v>
      </c>
      <c r="AE4761">
        <v>-5.9638499999999999</v>
      </c>
      <c r="AF4761">
        <v>-2.1704793829937401</v>
      </c>
      <c r="AG4761">
        <v>-1.1116965090590001</v>
      </c>
      <c r="AH4761">
        <v>24.735727101373801</v>
      </c>
      <c r="AI4761">
        <v>92.563473037924098</v>
      </c>
      <c r="AJ4761">
        <v>95.014673969262503</v>
      </c>
      <c r="AK4761">
        <v>24.855644129933399</v>
      </c>
      <c r="AL4761">
        <v>92.682782327570806</v>
      </c>
      <c r="AM4761">
        <v>104.430077358757</v>
      </c>
      <c r="AN4761">
        <v>1.00000006170084</v>
      </c>
    </row>
    <row r="4762" spans="1:40" x14ac:dyDescent="0.25">
      <c r="A4762" t="str">
        <f>"20190305135925388"</f>
        <v>20190305135925388</v>
      </c>
      <c r="B4762" t="str">
        <f>"1551765565383914"</f>
        <v>1551765565383914</v>
      </c>
      <c r="C4762" t="s">
        <v>40</v>
      </c>
      <c r="D4762">
        <v>3.834057</v>
      </c>
      <c r="E4762">
        <v>0.56344510000000003</v>
      </c>
      <c r="F4762" t="s">
        <v>84</v>
      </c>
      <c r="G4762">
        <v>-383.16199999999998</v>
      </c>
      <c r="H4762" s="1">
        <v>-3.6609349999999999E-6</v>
      </c>
      <c r="I4762">
        <v>17.202770000000001</v>
      </c>
      <c r="J4762">
        <v>-407.47370000000001</v>
      </c>
      <c r="K4762">
        <v>1.1115619999999999</v>
      </c>
      <c r="L4762">
        <v>23.239380000000001</v>
      </c>
      <c r="M4762">
        <v>0.9466521</v>
      </c>
      <c r="N4762">
        <v>-1.3765690000000001E-2</v>
      </c>
      <c r="O4762">
        <v>-0.32196350000000001</v>
      </c>
      <c r="P4762">
        <v>0.99535790000000002</v>
      </c>
      <c r="Q4762">
        <v>-5.797004E-2</v>
      </c>
      <c r="R4762">
        <v>-7.6824859999999995E-2</v>
      </c>
      <c r="S4762">
        <v>2.9494319999999998</v>
      </c>
      <c r="T4762">
        <v>-0.1341926</v>
      </c>
      <c r="U4762">
        <v>-0.73345950000000004</v>
      </c>
      <c r="V4762">
        <v>-0.24756220000000001</v>
      </c>
      <c r="W4762">
        <v>-4.5768400000000001E-2</v>
      </c>
      <c r="X4762">
        <v>0.96779040000000005</v>
      </c>
      <c r="Y4762">
        <v>-8.3756960000000005E-2</v>
      </c>
      <c r="Z4762">
        <v>1.20774E-2</v>
      </c>
      <c r="AA4762">
        <v>0.99641299999999999</v>
      </c>
      <c r="AB4762">
        <v>23</v>
      </c>
      <c r="AC4762">
        <v>24.311699999999998</v>
      </c>
      <c r="AD4762">
        <v>-1.111565660935</v>
      </c>
      <c r="AE4762">
        <v>-6.0366099999999996</v>
      </c>
      <c r="AF4762">
        <v>-2.1089578663940101</v>
      </c>
      <c r="AG4762">
        <v>-1.111565660935</v>
      </c>
      <c r="AH4762">
        <v>24.9116004523278</v>
      </c>
      <c r="AI4762">
        <v>92.545771790814499</v>
      </c>
      <c r="AJ4762">
        <v>94.838988568199099</v>
      </c>
      <c r="AK4762">
        <v>25.025409459132</v>
      </c>
      <c r="AL4762">
        <v>92.623252478172205</v>
      </c>
      <c r="AM4762">
        <v>104.348660334005</v>
      </c>
      <c r="AN4762">
        <v>1.0000000238197699</v>
      </c>
    </row>
    <row r="4763" spans="1:40" x14ac:dyDescent="0.25">
      <c r="A4763" t="str">
        <f>"20190305135925401"</f>
        <v>20190305135925401</v>
      </c>
      <c r="B4763" t="str">
        <f>"1551765565393675"</f>
        <v>1551765565393675</v>
      </c>
      <c r="C4763" t="s">
        <v>40</v>
      </c>
      <c r="D4763">
        <v>3.858047</v>
      </c>
      <c r="E4763">
        <v>0.56347569999999902</v>
      </c>
      <c r="F4763" t="s">
        <v>84</v>
      </c>
      <c r="G4763">
        <v>-382.36259999999999</v>
      </c>
      <c r="H4763" s="1">
        <v>-4.075676E-6</v>
      </c>
      <c r="I4763">
        <v>16.99494</v>
      </c>
      <c r="J4763">
        <v>-407.35149999999999</v>
      </c>
      <c r="K4763">
        <v>1.111434</v>
      </c>
      <c r="L4763">
        <v>23.199950000000001</v>
      </c>
      <c r="M4763">
        <v>0.94718809999999998</v>
      </c>
      <c r="N4763">
        <v>-1.372335E-2</v>
      </c>
      <c r="O4763">
        <v>-0.32038529999999998</v>
      </c>
      <c r="P4763">
        <v>0.99543300000000001</v>
      </c>
      <c r="Q4763">
        <v>-5.7006769999999998E-2</v>
      </c>
      <c r="R4763">
        <v>-7.6574390000000006E-2</v>
      </c>
      <c r="S4763">
        <v>2.949738</v>
      </c>
      <c r="T4763">
        <v>-0.13057299999999999</v>
      </c>
      <c r="U4763">
        <v>-0.73352050000000002</v>
      </c>
      <c r="V4763">
        <v>-0.24622939999999999</v>
      </c>
      <c r="W4763">
        <v>-4.4756480000000001E-2</v>
      </c>
      <c r="X4763">
        <v>0.96817759999999997</v>
      </c>
      <c r="Y4763">
        <v>-8.2118529999999995E-2</v>
      </c>
      <c r="Z4763">
        <v>1.156853E-2</v>
      </c>
      <c r="AA4763">
        <v>0.99655539999999998</v>
      </c>
      <c r="AB4763">
        <v>23</v>
      </c>
      <c r="AC4763">
        <v>24.988900000000001</v>
      </c>
      <c r="AD4763">
        <v>-1.1114380756760001</v>
      </c>
      <c r="AE4763">
        <v>-6.2050099999999997</v>
      </c>
      <c r="AF4763">
        <v>-2.1250050813113801</v>
      </c>
      <c r="AG4763">
        <v>-1.1114380756760001</v>
      </c>
      <c r="AH4763">
        <v>25.6118707774156</v>
      </c>
      <c r="AI4763">
        <v>92.476317692972003</v>
      </c>
      <c r="AJ4763">
        <v>94.742940872677707</v>
      </c>
      <c r="AK4763">
        <v>25.723896787048002</v>
      </c>
      <c r="AL4763">
        <v>92.565214407568504</v>
      </c>
      <c r="AM4763">
        <v>104.269100978574</v>
      </c>
      <c r="AN4763">
        <v>0.99999996253405399</v>
      </c>
    </row>
    <row r="4764" spans="1:40" x14ac:dyDescent="0.25">
      <c r="A4764" t="str">
        <f>"20190305135925413"</f>
        <v>20190305135925413</v>
      </c>
      <c r="B4764" t="str">
        <f>"1551765565403435"</f>
        <v>1551765565403435</v>
      </c>
      <c r="C4764" t="s">
        <v>40</v>
      </c>
      <c r="D4764">
        <v>3.900795</v>
      </c>
      <c r="E4764">
        <v>0.56350679999999997</v>
      </c>
      <c r="F4764" t="s">
        <v>84</v>
      </c>
      <c r="G4764">
        <v>-381.64150000000001</v>
      </c>
      <c r="H4764" s="1">
        <v>-4.4490559999999999E-6</v>
      </c>
      <c r="I4764">
        <v>16.81155</v>
      </c>
      <c r="J4764">
        <v>-407.2296</v>
      </c>
      <c r="K4764">
        <v>1.111305</v>
      </c>
      <c r="L4764">
        <v>23.160710000000002</v>
      </c>
      <c r="M4764">
        <v>0.94767500000000005</v>
      </c>
      <c r="N4764">
        <v>-1.3684379999999999E-2</v>
      </c>
      <c r="O4764">
        <v>-0.31894349999999999</v>
      </c>
      <c r="P4764">
        <v>0.99550269999999996</v>
      </c>
      <c r="Q4764">
        <v>-5.6248119999999999E-2</v>
      </c>
      <c r="R4764">
        <v>-7.622951E-2</v>
      </c>
      <c r="S4764">
        <v>2.9500730000000002</v>
      </c>
      <c r="T4764">
        <v>-0.12753119999999901</v>
      </c>
      <c r="U4764">
        <v>-0.73303219999999902</v>
      </c>
      <c r="V4764">
        <v>-0.2451227</v>
      </c>
      <c r="W4764">
        <v>-4.3949090000000003E-2</v>
      </c>
      <c r="X4764">
        <v>0.96849540000000001</v>
      </c>
      <c r="Y4764">
        <v>-8.0797999999999995E-2</v>
      </c>
      <c r="Z4764">
        <v>1.1144670000000001E-2</v>
      </c>
      <c r="AA4764">
        <v>0.9966682</v>
      </c>
      <c r="AB4764">
        <v>23</v>
      </c>
      <c r="AC4764">
        <v>25.588100000000001</v>
      </c>
      <c r="AD4764">
        <v>-1.111309449056</v>
      </c>
      <c r="AE4764">
        <v>-6.3491600000000004</v>
      </c>
      <c r="AF4764">
        <v>-2.1406151195094898</v>
      </c>
      <c r="AG4764">
        <v>-1.111309449056</v>
      </c>
      <c r="AH4764">
        <v>26.230078373590501</v>
      </c>
      <c r="AI4764">
        <v>92.418013350719605</v>
      </c>
      <c r="AJ4764">
        <v>94.665522217216406</v>
      </c>
      <c r="AK4764">
        <v>26.340733726799101</v>
      </c>
      <c r="AL4764">
        <v>92.518908702306902</v>
      </c>
      <c r="AM4764">
        <v>104.203096210822</v>
      </c>
      <c r="AN4764">
        <v>1.00000000019413</v>
      </c>
    </row>
    <row r="4765" spans="1:40" x14ac:dyDescent="0.25">
      <c r="A4765" t="str">
        <f>"20190305135925432"</f>
        <v>20190305135925432</v>
      </c>
      <c r="B4765" t="str">
        <f>"1551765565423930"</f>
        <v>1551765565423930</v>
      </c>
      <c r="C4765" t="s">
        <v>40</v>
      </c>
      <c r="D4765">
        <v>3.8175089999999998</v>
      </c>
      <c r="E4765">
        <v>0.56360140000000003</v>
      </c>
      <c r="F4765" t="s">
        <v>84</v>
      </c>
      <c r="G4765">
        <v>-381.29559999999998</v>
      </c>
      <c r="H4765" s="1">
        <v>-4.6281270000000003E-6</v>
      </c>
      <c r="I4765">
        <v>16.723939999999999</v>
      </c>
      <c r="J4765">
        <v>-407.0453</v>
      </c>
      <c r="K4765">
        <v>1.111113</v>
      </c>
      <c r="L4765">
        <v>23.101500000000001</v>
      </c>
      <c r="M4765">
        <v>0.94834770000000002</v>
      </c>
      <c r="N4765">
        <v>-1.363001E-2</v>
      </c>
      <c r="O4765">
        <v>-0.3169399</v>
      </c>
      <c r="P4765">
        <v>0.9955174</v>
      </c>
      <c r="Q4765">
        <v>-5.577381E-2</v>
      </c>
      <c r="R4765">
        <v>-7.6383779999999998E-2</v>
      </c>
      <c r="S4765">
        <v>2.950348</v>
      </c>
      <c r="T4765">
        <v>-0.1264266</v>
      </c>
      <c r="U4765">
        <v>-0.73226930000000001</v>
      </c>
      <c r="V4765">
        <v>-0.2429569</v>
      </c>
      <c r="W4765">
        <v>-4.3399189999999997E-2</v>
      </c>
      <c r="X4765">
        <v>0.96906579999999998</v>
      </c>
      <c r="Y4765">
        <v>-7.8962340000000006E-2</v>
      </c>
      <c r="Z4765">
        <v>1.0927070000000001E-2</v>
      </c>
      <c r="AA4765">
        <v>0.99681770000000003</v>
      </c>
      <c r="AB4765">
        <v>23</v>
      </c>
      <c r="AC4765">
        <v>25.749700000000001</v>
      </c>
      <c r="AD4765">
        <v>-1.1111176281270001</v>
      </c>
      <c r="AE4765">
        <v>-6.3775599999999999</v>
      </c>
      <c r="AF4765">
        <v>-2.10945848293031</v>
      </c>
      <c r="AG4765">
        <v>-1.1111176281270001</v>
      </c>
      <c r="AH4765">
        <v>26.397117727968102</v>
      </c>
      <c r="AI4765">
        <v>92.402642746163096</v>
      </c>
      <c r="AJ4765">
        <v>94.568937164987702</v>
      </c>
      <c r="AK4765">
        <v>26.5045698289738</v>
      </c>
      <c r="AL4765">
        <v>92.487371574814006</v>
      </c>
      <c r="AM4765">
        <v>104.074658375677</v>
      </c>
      <c r="AN4765">
        <v>1.00000003483995</v>
      </c>
    </row>
    <row r="4766" spans="1:40" x14ac:dyDescent="0.25">
      <c r="A4766" t="str">
        <f>"20190305135925445"</f>
        <v>20190305135925445</v>
      </c>
      <c r="B4766" t="str">
        <f>"1551765565433691"</f>
        <v>1551765565433691</v>
      </c>
      <c r="C4766" t="s">
        <v>40</v>
      </c>
      <c r="D4766">
        <v>3.8527</v>
      </c>
      <c r="E4766">
        <v>0.56360519999999903</v>
      </c>
      <c r="F4766" t="s">
        <v>84</v>
      </c>
      <c r="G4766">
        <v>-382.38510000000002</v>
      </c>
      <c r="H4766" s="1">
        <v>-4.0702079999999998E-6</v>
      </c>
      <c r="I4766">
        <v>16.965910000000001</v>
      </c>
      <c r="J4766">
        <v>-406.92090000000002</v>
      </c>
      <c r="K4766">
        <v>1.110981</v>
      </c>
      <c r="L4766">
        <v>23.061610000000002</v>
      </c>
      <c r="M4766">
        <v>0.94875430000000005</v>
      </c>
      <c r="N4766">
        <v>-1.3596459999999999E-2</v>
      </c>
      <c r="O4766">
        <v>-0.31572260000000002</v>
      </c>
      <c r="P4766">
        <v>0.99550309999999997</v>
      </c>
      <c r="Q4766">
        <v>-5.6330129999999999E-2</v>
      </c>
      <c r="R4766">
        <v>-7.6162549999999996E-2</v>
      </c>
      <c r="S4766">
        <v>2.9497680000000002</v>
      </c>
      <c r="T4766">
        <v>-0.1329079</v>
      </c>
      <c r="U4766">
        <v>-0.73391719999999905</v>
      </c>
      <c r="V4766">
        <v>-0.24193020000000001</v>
      </c>
      <c r="W4766">
        <v>-4.390641E-2</v>
      </c>
      <c r="X4766">
        <v>0.96929969999999999</v>
      </c>
      <c r="Y4766">
        <v>-7.7088130000000005E-2</v>
      </c>
      <c r="Z4766">
        <v>1.160516E-2</v>
      </c>
      <c r="AA4766">
        <v>0.99695679999999998</v>
      </c>
      <c r="AB4766">
        <v>23</v>
      </c>
      <c r="AC4766">
        <v>24.535799999999899</v>
      </c>
      <c r="AD4766">
        <v>-1.110985070208</v>
      </c>
      <c r="AE4766">
        <v>-6.0956999999999999</v>
      </c>
      <c r="AF4766">
        <v>-1.9595819801960901</v>
      </c>
      <c r="AG4766">
        <v>-1.110985070208</v>
      </c>
      <c r="AH4766">
        <v>25.156741346476799</v>
      </c>
      <c r="AI4766">
        <v>92.521055955433994</v>
      </c>
      <c r="AJ4766">
        <v>94.454055339062407</v>
      </c>
      <c r="AK4766">
        <v>25.257392670995699</v>
      </c>
      <c r="AL4766">
        <v>92.516461078355803</v>
      </c>
      <c r="AM4766">
        <v>104.014281470173</v>
      </c>
      <c r="AN4766">
        <v>0.99999995146560705</v>
      </c>
    </row>
    <row r="4767" spans="1:40" x14ac:dyDescent="0.25">
      <c r="A4767" t="str">
        <f>"20190305135925458"</f>
        <v>20190305135925458</v>
      </c>
      <c r="B4767" t="str">
        <f>"1551765565454186"</f>
        <v>1551765565454186</v>
      </c>
      <c r="C4767" t="s">
        <v>40</v>
      </c>
      <c r="D4767">
        <v>3.843928</v>
      </c>
      <c r="E4767">
        <v>0.5636544</v>
      </c>
      <c r="F4767" t="s">
        <v>84</v>
      </c>
      <c r="G4767">
        <v>-383.79899999999998</v>
      </c>
      <c r="H4767" s="1">
        <v>-3.3408050000000002E-6</v>
      </c>
      <c r="I4767">
        <v>17.309850000000001</v>
      </c>
      <c r="J4767">
        <v>-406.79599999999999</v>
      </c>
      <c r="K4767">
        <v>1.1108480000000001</v>
      </c>
      <c r="L4767">
        <v>23.02158</v>
      </c>
      <c r="M4767">
        <v>0.94913479999999995</v>
      </c>
      <c r="N4767">
        <v>-1.356461E-2</v>
      </c>
      <c r="O4767">
        <v>-0.31457780000000002</v>
      </c>
      <c r="P4767">
        <v>0.99547620000000003</v>
      </c>
      <c r="Q4767">
        <v>-5.684322E-2</v>
      </c>
      <c r="R4767">
        <v>-7.6134019999999997E-2</v>
      </c>
      <c r="S4767">
        <v>2.9494630000000002</v>
      </c>
      <c r="T4767">
        <v>-0.1417187</v>
      </c>
      <c r="U4767">
        <v>-0.73370360000000001</v>
      </c>
      <c r="V4767">
        <v>-0.24079320000000001</v>
      </c>
      <c r="W4767">
        <v>-4.4367799999999999E-2</v>
      </c>
      <c r="X4767">
        <v>0.96956180000000003</v>
      </c>
      <c r="Y4767">
        <v>-7.5892109999999999E-2</v>
      </c>
      <c r="Z4767">
        <v>1.25646E-2</v>
      </c>
      <c r="AA4767">
        <v>0.9970369</v>
      </c>
      <c r="AB4767">
        <v>23</v>
      </c>
      <c r="AC4767">
        <v>22.9969999999999</v>
      </c>
      <c r="AD4767">
        <v>-1.110851340805</v>
      </c>
      <c r="AE4767">
        <v>-5.7117299999999904</v>
      </c>
      <c r="AF4767">
        <v>-1.8093343159191599</v>
      </c>
      <c r="AG4767">
        <v>-1.110851340805</v>
      </c>
      <c r="AH4767">
        <v>23.574399433691799</v>
      </c>
      <c r="AI4767">
        <v>92.689944532924301</v>
      </c>
      <c r="AJ4767">
        <v>94.388844949107593</v>
      </c>
      <c r="AK4767">
        <v>23.669811786902301</v>
      </c>
      <c r="AL4767">
        <v>92.542922505771202</v>
      </c>
      <c r="AM4767">
        <v>103.947372661575</v>
      </c>
      <c r="AN4767">
        <v>0.99999997543115904</v>
      </c>
    </row>
    <row r="4768" spans="1:40" x14ac:dyDescent="0.25">
      <c r="A4768" t="str">
        <f>"20190305135925475"</f>
        <v>20190305135925475</v>
      </c>
      <c r="B4768" t="str">
        <f>"1551765565473706"</f>
        <v>1551765565473706</v>
      </c>
      <c r="C4768" t="s">
        <v>40</v>
      </c>
      <c r="D4768">
        <v>4.0415559999999999</v>
      </c>
      <c r="E4768">
        <v>0.56398970000000004</v>
      </c>
      <c r="F4768" t="s">
        <v>84</v>
      </c>
      <c r="G4768">
        <v>-385.86149999999998</v>
      </c>
      <c r="H4768" s="1">
        <v>-2.2779650000000001E-6</v>
      </c>
      <c r="I4768">
        <v>17.80555</v>
      </c>
      <c r="J4768">
        <v>-406.6223</v>
      </c>
      <c r="K4768">
        <v>1.1106590000000001</v>
      </c>
      <c r="L4768">
        <v>22.965969999999999</v>
      </c>
      <c r="M4768">
        <v>0.94957809999999998</v>
      </c>
      <c r="N4768">
        <v>-1.352457E-2</v>
      </c>
      <c r="O4768">
        <v>-0.31323869999999998</v>
      </c>
      <c r="P4768">
        <v>0.99545459999999997</v>
      </c>
      <c r="Q4768">
        <v>-5.72639E-2</v>
      </c>
      <c r="R4768">
        <v>-7.6098490000000005E-2</v>
      </c>
      <c r="S4768">
        <v>2.9485169999999998</v>
      </c>
      <c r="T4768">
        <v>-0.1564574</v>
      </c>
      <c r="U4768">
        <v>-0.73464969999999996</v>
      </c>
      <c r="V4768">
        <v>-0.2394712</v>
      </c>
      <c r="W4768">
        <v>-4.4711620000000001E-2</v>
      </c>
      <c r="X4768">
        <v>0.9698734</v>
      </c>
      <c r="Y4768">
        <v>-7.4040889999999998E-2</v>
      </c>
      <c r="Z4768">
        <v>1.417038E-2</v>
      </c>
      <c r="AA4768">
        <v>0.99715450000000005</v>
      </c>
      <c r="AB4768">
        <v>23</v>
      </c>
      <c r="AC4768">
        <v>20.7608</v>
      </c>
      <c r="AD4768">
        <v>-1.110661277965</v>
      </c>
      <c r="AE4768">
        <v>-5.1604200000000002</v>
      </c>
      <c r="AF4768">
        <v>-1.59870153293731</v>
      </c>
      <c r="AG4768">
        <v>-1.110661277965</v>
      </c>
      <c r="AH4768">
        <v>21.275048934835301</v>
      </c>
      <c r="AI4768">
        <v>92.980019615863498</v>
      </c>
      <c r="AJ4768">
        <v>94.297382469663503</v>
      </c>
      <c r="AK4768">
        <v>21.363921040984501</v>
      </c>
      <c r="AL4768">
        <v>92.562641451446694</v>
      </c>
      <c r="AM4768">
        <v>103.869479662953</v>
      </c>
      <c r="AN4768">
        <v>0.99999999831001196</v>
      </c>
    </row>
    <row r="4769" spans="1:40" x14ac:dyDescent="0.25">
      <c r="A4769" t="str">
        <f>"20190305135925488"</f>
        <v>20190305135925488</v>
      </c>
      <c r="B4769" t="str">
        <f>"1551765565483467"</f>
        <v>1551765565483467</v>
      </c>
      <c r="C4769" t="s">
        <v>40</v>
      </c>
      <c r="D4769">
        <v>3.8575189999999999</v>
      </c>
      <c r="E4769">
        <v>0.56398970000000004</v>
      </c>
      <c r="F4769" t="s">
        <v>84</v>
      </c>
      <c r="G4769">
        <v>-386.01920000000001</v>
      </c>
      <c r="H4769" s="1">
        <v>-2.201928E-6</v>
      </c>
      <c r="I4769">
        <v>17.813849999999999</v>
      </c>
      <c r="J4769">
        <v>-406.5086</v>
      </c>
      <c r="K4769">
        <v>1.1105309999999999</v>
      </c>
      <c r="L4769">
        <v>22.929569999999998</v>
      </c>
      <c r="M4769">
        <v>0.94981879999999996</v>
      </c>
      <c r="N4769">
        <v>-1.3500649999999999E-2</v>
      </c>
      <c r="O4769">
        <v>-0.31250939999999999</v>
      </c>
      <c r="P4769">
        <v>0.99549969999999999</v>
      </c>
      <c r="Q4769">
        <v>-5.7017409999999998E-2</v>
      </c>
      <c r="R4769">
        <v>-7.5694670000000006E-2</v>
      </c>
      <c r="S4769">
        <v>2.9482119999999998</v>
      </c>
      <c r="T4769">
        <v>-0.15893019999999999</v>
      </c>
      <c r="U4769">
        <v>-0.73724369999999995</v>
      </c>
      <c r="V4769">
        <v>-0.2391392</v>
      </c>
      <c r="W4769">
        <v>-4.441022E-2</v>
      </c>
      <c r="X4769">
        <v>0.96996919999999998</v>
      </c>
      <c r="Y4769">
        <v>-7.2415060000000003E-2</v>
      </c>
      <c r="Z4769">
        <v>1.4379390000000001E-2</v>
      </c>
      <c r="AA4769">
        <v>0.99727089999999996</v>
      </c>
      <c r="AB4769">
        <v>23</v>
      </c>
      <c r="AC4769">
        <v>20.4893999999999</v>
      </c>
      <c r="AD4769">
        <v>-1.1105332019280001</v>
      </c>
      <c r="AE4769">
        <v>-5.1157199999999996</v>
      </c>
      <c r="AF4769">
        <v>-1.54000512607198</v>
      </c>
      <c r="AG4769">
        <v>-1.1105332019280001</v>
      </c>
      <c r="AH4769">
        <v>21.003764265032601</v>
      </c>
      <c r="AI4769">
        <v>93.0184970901432</v>
      </c>
      <c r="AJ4769">
        <v>94.193447703087898</v>
      </c>
      <c r="AK4769">
        <v>21.089405233006801</v>
      </c>
      <c r="AL4769">
        <v>92.545355234574501</v>
      </c>
      <c r="AM4769">
        <v>103.849676774052</v>
      </c>
      <c r="AN4769">
        <v>1.0000000367828601</v>
      </c>
    </row>
    <row r="4770" spans="1:40" x14ac:dyDescent="0.25">
      <c r="A4770" t="str">
        <f>"20190305135925500"</f>
        <v>20190305135925500</v>
      </c>
      <c r="B4770" t="str">
        <f>"1551765565494202"</f>
        <v>1551765565494202</v>
      </c>
      <c r="C4770" t="s">
        <v>40</v>
      </c>
      <c r="D4770">
        <v>4.2798499999999997</v>
      </c>
      <c r="E4770">
        <v>0.49899189999999999</v>
      </c>
      <c r="F4770" t="s">
        <v>84</v>
      </c>
      <c r="G4770">
        <v>-385.76280000000003</v>
      </c>
      <c r="H4770" s="1">
        <v>-2.3344750000000002E-6</v>
      </c>
      <c r="I4770">
        <v>17.749919999999999</v>
      </c>
      <c r="J4770">
        <v>-406.3904</v>
      </c>
      <c r="K4770">
        <v>1.1103940000000001</v>
      </c>
      <c r="L4770">
        <v>22.891629999999999</v>
      </c>
      <c r="M4770">
        <v>0.95004829999999996</v>
      </c>
      <c r="N4770">
        <v>-1.347683E-2</v>
      </c>
      <c r="O4770">
        <v>-0.31181219999999998</v>
      </c>
      <c r="P4770">
        <v>0.99558650000000004</v>
      </c>
      <c r="Q4770">
        <v>-5.6700960000000002E-2</v>
      </c>
      <c r="R4770">
        <v>-7.4784210000000004E-2</v>
      </c>
      <c r="S4770">
        <v>2.9485779999999999</v>
      </c>
      <c r="T4770">
        <v>-0.1578386</v>
      </c>
      <c r="U4770">
        <v>-0.73617549999999998</v>
      </c>
      <c r="V4770">
        <v>-0.23933550000000001</v>
      </c>
      <c r="W4770">
        <v>-4.4036350000000002E-2</v>
      </c>
      <c r="X4770">
        <v>0.96993779999999996</v>
      </c>
      <c r="Y4770">
        <v>-7.2058540000000004E-2</v>
      </c>
      <c r="Z4770">
        <v>1.4223690000000001E-2</v>
      </c>
      <c r="AA4770">
        <v>0.99729900000000005</v>
      </c>
      <c r="AB4770">
        <v>23</v>
      </c>
      <c r="AC4770">
        <v>20.627599999999902</v>
      </c>
      <c r="AD4770">
        <v>-1.1103963344750001</v>
      </c>
      <c r="AE4770">
        <v>-5.1417099999999998</v>
      </c>
      <c r="AF4770">
        <v>-1.5429951779364799</v>
      </c>
      <c r="AG4770">
        <v>-1.1103963344750001</v>
      </c>
      <c r="AH4770">
        <v>21.144699673386501</v>
      </c>
      <c r="AI4770">
        <v>92.998121541227107</v>
      </c>
      <c r="AJ4770">
        <v>94.173655213170704</v>
      </c>
      <c r="AK4770">
        <v>21.229982063498401</v>
      </c>
      <c r="AL4770">
        <v>92.523913155430094</v>
      </c>
      <c r="AM4770">
        <v>103.86103862697099</v>
      </c>
      <c r="AN4770">
        <v>1.0000000087751999</v>
      </c>
    </row>
    <row r="4771" spans="1:40" x14ac:dyDescent="0.25">
      <c r="A4771" t="str">
        <f>"20190305135925521"</f>
        <v>20190305135925521</v>
      </c>
      <c r="B4771" t="str">
        <f>"1551765565513722"</f>
        <v>1551765565513722</v>
      </c>
      <c r="C4771" t="s">
        <v>40</v>
      </c>
      <c r="D4771">
        <v>3.843156</v>
      </c>
      <c r="E4771">
        <v>0.48300870000000001</v>
      </c>
      <c r="F4771" t="s">
        <v>84</v>
      </c>
      <c r="G4771">
        <v>-389.21660000000003</v>
      </c>
      <c r="H4771" s="1">
        <v>-9.0924600000000001E-7</v>
      </c>
      <c r="I4771">
        <v>21.640170000000001</v>
      </c>
      <c r="J4771">
        <v>-406.18220000000002</v>
      </c>
      <c r="K4771">
        <v>1.1101399999999999</v>
      </c>
      <c r="L4771">
        <v>22.824770000000001</v>
      </c>
      <c r="M4771">
        <v>0.95033659999999998</v>
      </c>
      <c r="N4771">
        <v>-1.343977E-2</v>
      </c>
      <c r="O4771">
        <v>-0.31093389999999999</v>
      </c>
      <c r="P4771">
        <v>0.99575720000000001</v>
      </c>
      <c r="Q4771">
        <v>-5.6301259999999999E-2</v>
      </c>
      <c r="R4771">
        <v>-7.2789389999999995E-2</v>
      </c>
      <c r="S4771">
        <v>2.985992</v>
      </c>
      <c r="T4771">
        <v>-0.1930637</v>
      </c>
      <c r="U4771">
        <v>-0.21759029999999999</v>
      </c>
      <c r="V4771">
        <v>-0.24041660000000001</v>
      </c>
      <c r="W4771">
        <v>-4.3524599999999997E-2</v>
      </c>
      <c r="X4771">
        <v>0.96969349999999999</v>
      </c>
      <c r="Y4771">
        <v>-0.24008199999999999</v>
      </c>
      <c r="Z4771">
        <v>2.48706E-2</v>
      </c>
      <c r="AA4771">
        <v>0.97043400000000002</v>
      </c>
      <c r="AB4771">
        <v>23</v>
      </c>
      <c r="AC4771">
        <v>16.965599999999899</v>
      </c>
      <c r="AD4771">
        <v>-1.110140909246</v>
      </c>
      <c r="AE4771">
        <v>-1.1845999999999901</v>
      </c>
      <c r="AF4771">
        <v>-4.1321789094990704</v>
      </c>
      <c r="AG4771">
        <v>-1.110140909246</v>
      </c>
      <c r="AH4771">
        <v>16.4228742001442</v>
      </c>
      <c r="AI4771">
        <v>93.750602568395607</v>
      </c>
      <c r="AJ4771">
        <v>104.12309456793</v>
      </c>
      <c r="AK4771">
        <v>16.971096380972298</v>
      </c>
      <c r="AL4771">
        <v>92.4945639009659</v>
      </c>
      <c r="AM4771">
        <v>103.92459086084401</v>
      </c>
      <c r="AN4771">
        <v>1.0000000081514799</v>
      </c>
    </row>
    <row r="4772" spans="1:40" x14ac:dyDescent="0.25">
      <c r="A4772" t="str">
        <f>"20190305135925533"</f>
        <v>20190305135925533</v>
      </c>
      <c r="B4772" t="str">
        <f>"1551765565523483"</f>
        <v>1551765565523483</v>
      </c>
      <c r="C4772" t="s">
        <v>40</v>
      </c>
      <c r="D4772">
        <v>3.7914530000000002</v>
      </c>
      <c r="E4772">
        <v>0.39602680000000001</v>
      </c>
      <c r="F4772" t="s">
        <v>42</v>
      </c>
      <c r="G4772">
        <v>-391.35680000000002</v>
      </c>
      <c r="H4772" s="1">
        <v>-4.6837559999999996E-6</v>
      </c>
      <c r="I4772">
        <v>22.398299999999999</v>
      </c>
      <c r="J4772">
        <v>-406.0564</v>
      </c>
      <c r="K4772">
        <v>1.109988</v>
      </c>
      <c r="L4772">
        <v>22.78424</v>
      </c>
      <c r="M4772">
        <v>0.95045469999999999</v>
      </c>
      <c r="N4772">
        <v>-1.3420110000000001E-2</v>
      </c>
      <c r="O4772">
        <v>-0.31057420000000002</v>
      </c>
      <c r="P4772">
        <v>0.99584379999999995</v>
      </c>
      <c r="Q4772">
        <v>-5.6226940000000003E-2</v>
      </c>
      <c r="R4772">
        <v>-7.1652670000000002E-2</v>
      </c>
      <c r="S4772">
        <v>2.993805</v>
      </c>
      <c r="T4772">
        <v>-0.22417909999999999</v>
      </c>
      <c r="U4772">
        <v>-8.612061E-2</v>
      </c>
      <c r="V4772">
        <v>-0.24117350000000001</v>
      </c>
      <c r="W4772">
        <v>-4.3380219999999997E-2</v>
      </c>
      <c r="X4772">
        <v>0.96951200000000004</v>
      </c>
      <c r="Y4772">
        <v>-0.28165580000000001</v>
      </c>
      <c r="Z4772">
        <v>3.1100220000000001E-2</v>
      </c>
      <c r="AA4772">
        <v>0.95901139999999996</v>
      </c>
      <c r="AB4772">
        <v>23</v>
      </c>
      <c r="AC4772">
        <v>14.699599999999901</v>
      </c>
      <c r="AD4772">
        <v>-1.1099926837559999</v>
      </c>
      <c r="AE4772">
        <v>-0.385940000000001</v>
      </c>
      <c r="AF4772">
        <v>-4.1750849076348597</v>
      </c>
      <c r="AG4772">
        <v>-1.1099926837559999</v>
      </c>
      <c r="AH4772">
        <v>14.012586879714201</v>
      </c>
      <c r="AI4772">
        <v>94.341331907697295</v>
      </c>
      <c r="AJ4772">
        <v>106.591555525877</v>
      </c>
      <c r="AK4772">
        <v>14.663424184190101</v>
      </c>
      <c r="AL4772">
        <v>92.486283712705102</v>
      </c>
      <c r="AM4772">
        <v>103.969228149665</v>
      </c>
      <c r="AN4772">
        <v>1.0000000093667401</v>
      </c>
    </row>
    <row r="4773" spans="1:40" x14ac:dyDescent="0.25">
      <c r="A4773" t="str">
        <f>"20190305135925547"</f>
        <v>20190305135925547</v>
      </c>
      <c r="B4773" t="str">
        <f>"1551765565543978"</f>
        <v>1551765565543978</v>
      </c>
      <c r="C4773" t="s">
        <v>40</v>
      </c>
      <c r="D4773">
        <v>3.8345899999999999</v>
      </c>
      <c r="E4773">
        <v>0.37838729999999998</v>
      </c>
      <c r="F4773" t="s">
        <v>41</v>
      </c>
      <c r="G4773">
        <v>-405.18799999999999</v>
      </c>
      <c r="H4773">
        <v>1.047037</v>
      </c>
      <c r="I4773">
        <v>22.958310000000001</v>
      </c>
      <c r="J4773">
        <v>-405.9255</v>
      </c>
      <c r="K4773">
        <v>1.109839</v>
      </c>
      <c r="L4773">
        <v>22.74194</v>
      </c>
      <c r="M4773">
        <v>0.95053489999999996</v>
      </c>
      <c r="N4773">
        <v>-1.340132E-2</v>
      </c>
      <c r="O4773">
        <v>-0.31032850000000001</v>
      </c>
      <c r="P4773">
        <v>0.99594990000000005</v>
      </c>
      <c r="Q4773">
        <v>-5.6122819999999997E-2</v>
      </c>
      <c r="R4773">
        <v>-7.0243749999999994E-2</v>
      </c>
      <c r="S4773">
        <v>3.0439449999999999</v>
      </c>
      <c r="T4773">
        <v>-0.220634</v>
      </c>
      <c r="U4773">
        <v>0.61071779999999998</v>
      </c>
      <c r="V4773">
        <v>-0.242312</v>
      </c>
      <c r="W4773">
        <v>-4.3207479999999999E-2</v>
      </c>
      <c r="X4773">
        <v>0.96923579999999998</v>
      </c>
      <c r="Y4773">
        <v>-0.48929729999999999</v>
      </c>
      <c r="Z4773">
        <v>3.8852730000000002E-2</v>
      </c>
      <c r="AA4773">
        <v>0.871251199999999</v>
      </c>
      <c r="AB4773">
        <v>23</v>
      </c>
      <c r="AC4773">
        <v>0.73749999999995397</v>
      </c>
      <c r="AD4773">
        <v>-6.2801999999999997E-2</v>
      </c>
      <c r="AE4773">
        <v>0.21637000000000101</v>
      </c>
      <c r="AF4773">
        <v>-0.43169125240329098</v>
      </c>
      <c r="AG4773">
        <v>-6.2801999999999997E-2</v>
      </c>
      <c r="AH4773">
        <v>0.62972613927615495</v>
      </c>
      <c r="AI4773">
        <v>94.702381219750805</v>
      </c>
      <c r="AJ4773">
        <v>124.431503054305</v>
      </c>
      <c r="AK4773">
        <v>0.76606555796039699</v>
      </c>
      <c r="AL4773">
        <v>92.476377140182905</v>
      </c>
      <c r="AM4773">
        <v>104.036413160862</v>
      </c>
      <c r="AN4773">
        <v>1.0000000138367899</v>
      </c>
    </row>
    <row r="4774" spans="1:40" x14ac:dyDescent="0.25">
      <c r="A4774" t="str">
        <f>"20190305135925567"</f>
        <v>20190305135925567</v>
      </c>
      <c r="B4774" t="str">
        <f>"1551765565563499"</f>
        <v>1551765565563499</v>
      </c>
      <c r="C4774" t="s">
        <v>40</v>
      </c>
      <c r="D4774">
        <v>3.804306</v>
      </c>
      <c r="E4774">
        <v>0.37186069999999999</v>
      </c>
      <c r="F4774" t="s">
        <v>41</v>
      </c>
      <c r="G4774">
        <v>-404.9853</v>
      </c>
      <c r="H4774">
        <v>1.026373</v>
      </c>
      <c r="I4774">
        <v>22.974039999999999</v>
      </c>
      <c r="J4774">
        <v>-405.74099999999999</v>
      </c>
      <c r="K4774">
        <v>1.1096429999999999</v>
      </c>
      <c r="L4774">
        <v>22.682130000000001</v>
      </c>
      <c r="M4774">
        <v>0.95057809999999998</v>
      </c>
      <c r="N4774">
        <v>-1.337723E-2</v>
      </c>
      <c r="O4774">
        <v>-0.31019780000000002</v>
      </c>
      <c r="P4774">
        <v>0.99617449999999996</v>
      </c>
      <c r="Q4774">
        <v>-5.4892549999999998E-2</v>
      </c>
      <c r="R4774">
        <v>-6.7995559999999997E-2</v>
      </c>
      <c r="S4774">
        <v>3.0500180000000001</v>
      </c>
      <c r="T4774">
        <v>-0.27077649999999998</v>
      </c>
      <c r="U4774">
        <v>0.75250240000000002</v>
      </c>
      <c r="V4774">
        <v>-0.24440729999999999</v>
      </c>
      <c r="W4774">
        <v>-4.1883040000000003E-2</v>
      </c>
      <c r="X4774">
        <v>0.96876770000000001</v>
      </c>
      <c r="Y4774">
        <v>-0.52580309999999997</v>
      </c>
      <c r="Z4774">
        <v>4.9431429999999998E-2</v>
      </c>
      <c r="AA4774">
        <v>0.84916879999999995</v>
      </c>
      <c r="AB4774">
        <v>23</v>
      </c>
      <c r="AC4774">
        <v>0.75569999999999005</v>
      </c>
      <c r="AD4774">
        <v>-8.32699999999999E-2</v>
      </c>
      <c r="AE4774">
        <v>0.291910000000001</v>
      </c>
      <c r="AF4774">
        <v>-0.50659317882772403</v>
      </c>
      <c r="AG4774">
        <v>-8.32699999999999E-2</v>
      </c>
      <c r="AH4774">
        <v>0.62129399022853604</v>
      </c>
      <c r="AI4774">
        <v>95.930231438900506</v>
      </c>
      <c r="AJ4774">
        <v>129.19325191045601</v>
      </c>
      <c r="AK4774">
        <v>0.80596325228193599</v>
      </c>
      <c r="AL4774">
        <v>92.400423605103299</v>
      </c>
      <c r="AM4774">
        <v>104.159493490063</v>
      </c>
      <c r="AN4774">
        <v>0.99999998694810999</v>
      </c>
    </row>
    <row r="4775" spans="1:40" x14ac:dyDescent="0.25">
      <c r="A4775" t="str">
        <f>"20190305135925582"</f>
        <v>20190305135925582</v>
      </c>
      <c r="B4775" t="str">
        <f>"1551765565574234"</f>
        <v>1551765565574234</v>
      </c>
      <c r="C4775" t="s">
        <v>40</v>
      </c>
      <c r="D4775">
        <v>3.7999070000000001</v>
      </c>
      <c r="E4775">
        <v>0.3704076</v>
      </c>
      <c r="F4775" t="s">
        <v>41</v>
      </c>
      <c r="G4775">
        <v>-404.78829999999999</v>
      </c>
      <c r="H4775">
        <v>1.017957</v>
      </c>
      <c r="I4775">
        <v>22.934909999999999</v>
      </c>
      <c r="J4775">
        <v>-405.58760000000001</v>
      </c>
      <c r="K4775">
        <v>1.1094809999999999</v>
      </c>
      <c r="L4775">
        <v>22.632169999999999</v>
      </c>
      <c r="M4775">
        <v>0.9505479</v>
      </c>
      <c r="N4775">
        <v>-1.3359309999999999E-2</v>
      </c>
      <c r="O4775">
        <v>-0.31029109999999999</v>
      </c>
      <c r="P4775">
        <v>0.99626300000000001</v>
      </c>
      <c r="Q4775">
        <v>-5.4335389999999997E-2</v>
      </c>
      <c r="R4775">
        <v>-6.7141439999999997E-2</v>
      </c>
      <c r="S4775">
        <v>3.050659</v>
      </c>
      <c r="T4775">
        <v>-0.29355179999999997</v>
      </c>
      <c r="U4775">
        <v>0.80975339999999996</v>
      </c>
      <c r="V4775">
        <v>-0.2453584</v>
      </c>
      <c r="W4775">
        <v>-4.1245230000000001E-2</v>
      </c>
      <c r="X4775">
        <v>0.96855469999999999</v>
      </c>
      <c r="Y4775">
        <v>-0.54011809999999905</v>
      </c>
      <c r="Z4775">
        <v>5.430538E-2</v>
      </c>
      <c r="AA4775">
        <v>0.83983529999999995</v>
      </c>
      <c r="AB4775">
        <v>23</v>
      </c>
      <c r="AC4775">
        <v>0.799300000000016</v>
      </c>
      <c r="AD4775">
        <v>-9.1523999999999897E-2</v>
      </c>
      <c r="AE4775">
        <v>0.30274000000000001</v>
      </c>
      <c r="AF4775">
        <v>-0.52975780563357</v>
      </c>
      <c r="AG4775">
        <v>-9.1523999999999897E-2</v>
      </c>
      <c r="AH4775">
        <v>0.65834579733655096</v>
      </c>
      <c r="AI4775">
        <v>96.181584999663997</v>
      </c>
      <c r="AJ4775">
        <v>128.82294377016001</v>
      </c>
      <c r="AK4775">
        <v>0.849964213409244</v>
      </c>
      <c r="AL4775">
        <v>92.363848002588497</v>
      </c>
      <c r="AM4775">
        <v>104.215364813387</v>
      </c>
      <c r="AN4775">
        <v>1.0000000601701899</v>
      </c>
    </row>
    <row r="4776" spans="1:40" x14ac:dyDescent="0.25">
      <c r="A4776" t="str">
        <f>"20190305135925599"</f>
        <v>20190305135925599</v>
      </c>
      <c r="B4776" t="str">
        <f>"1551765565593755"</f>
        <v>1551765565593755</v>
      </c>
      <c r="C4776" t="s">
        <v>40</v>
      </c>
      <c r="D4776">
        <v>3.771328</v>
      </c>
      <c r="E4776">
        <v>0.36949650000000001</v>
      </c>
      <c r="F4776" t="s">
        <v>41</v>
      </c>
      <c r="G4776">
        <v>-404.59059999999999</v>
      </c>
      <c r="H4776">
        <v>1.013757</v>
      </c>
      <c r="I4776">
        <v>22.901499999999999</v>
      </c>
      <c r="J4776">
        <v>-405.42649999999998</v>
      </c>
      <c r="K4776">
        <v>1.1093170000000001</v>
      </c>
      <c r="L4776">
        <v>22.579440000000002</v>
      </c>
      <c r="M4776">
        <v>0.9504515</v>
      </c>
      <c r="N4776">
        <v>-1.334288E-2</v>
      </c>
      <c r="O4776">
        <v>-0.310587</v>
      </c>
      <c r="P4776">
        <v>0.99647269999999999</v>
      </c>
      <c r="Q4776">
        <v>-5.3040909999999997E-2</v>
      </c>
      <c r="R4776">
        <v>-6.5033919999999995E-2</v>
      </c>
      <c r="S4776">
        <v>3.0508120000000001</v>
      </c>
      <c r="T4776">
        <v>-0.29289690000000002</v>
      </c>
      <c r="U4776">
        <v>0.82400509999999905</v>
      </c>
      <c r="V4776">
        <v>-0.24774399999999999</v>
      </c>
      <c r="W4776">
        <v>-3.9869389999999998E-2</v>
      </c>
      <c r="X4776">
        <v>0.9680048</v>
      </c>
      <c r="Y4776">
        <v>-0.5440239</v>
      </c>
      <c r="Z4776">
        <v>5.4393669999999998E-2</v>
      </c>
      <c r="AA4776">
        <v>0.83730479999999996</v>
      </c>
      <c r="AB4776">
        <v>23</v>
      </c>
      <c r="AC4776">
        <v>0.83589999999997999</v>
      </c>
      <c r="AD4776">
        <v>-9.5560000000000006E-2</v>
      </c>
      <c r="AE4776">
        <v>0.32206000000000001</v>
      </c>
      <c r="AF4776">
        <v>-0.55940642672019802</v>
      </c>
      <c r="AG4776">
        <v>-9.5560000000000006E-2</v>
      </c>
      <c r="AH4776">
        <v>0.68670194607840995</v>
      </c>
      <c r="AI4776">
        <v>96.157820061240898</v>
      </c>
      <c r="AJ4776">
        <v>129.16721423055299</v>
      </c>
      <c r="AK4776">
        <v>0.89085735480139405</v>
      </c>
      <c r="AL4776">
        <v>92.284953456300002</v>
      </c>
      <c r="AM4776">
        <v>104.355713084725</v>
      </c>
      <c r="AN4776">
        <v>0.99999997530900497</v>
      </c>
    </row>
    <row r="4777" spans="1:40" x14ac:dyDescent="0.25">
      <c r="A4777" t="str">
        <f>"20190305135925622"</f>
        <v>20190305135925622</v>
      </c>
      <c r="B4777" t="str">
        <f>"1551765565614250"</f>
        <v>1551765565614250</v>
      </c>
      <c r="C4777" t="s">
        <v>40</v>
      </c>
      <c r="D4777">
        <v>3.784195</v>
      </c>
      <c r="E4777">
        <v>0.3692936</v>
      </c>
      <c r="F4777" t="s">
        <v>41</v>
      </c>
      <c r="G4777">
        <v>-404.39359999999999</v>
      </c>
      <c r="H4777">
        <v>1.0064120000000001</v>
      </c>
      <c r="I4777">
        <v>22.86251</v>
      </c>
      <c r="J4777">
        <v>-405.20179999999999</v>
      </c>
      <c r="K4777">
        <v>1.1090979999999999</v>
      </c>
      <c r="L4777">
        <v>22.505369999999999</v>
      </c>
      <c r="M4777">
        <v>0.95020289999999996</v>
      </c>
      <c r="N4777">
        <v>-1.332409E-2</v>
      </c>
      <c r="O4777">
        <v>-0.31134709999999899</v>
      </c>
      <c r="P4777">
        <v>0.99662779999999995</v>
      </c>
      <c r="Q4777">
        <v>-5.224558E-2</v>
      </c>
      <c r="R4777">
        <v>-6.3270080000000006E-2</v>
      </c>
      <c r="S4777">
        <v>3.049042</v>
      </c>
      <c r="T4777">
        <v>-0.30373979999999901</v>
      </c>
      <c r="U4777">
        <v>0.836731</v>
      </c>
      <c r="V4777">
        <v>-0.25026209999999999</v>
      </c>
      <c r="W4777">
        <v>-3.896239E-2</v>
      </c>
      <c r="X4777">
        <v>0.96739379999999997</v>
      </c>
      <c r="Y4777">
        <v>-0.54776139999999995</v>
      </c>
      <c r="Z4777">
        <v>5.6695099999999998E-2</v>
      </c>
      <c r="AA4777">
        <v>0.83471139999999999</v>
      </c>
      <c r="AB4777">
        <v>23</v>
      </c>
      <c r="AC4777">
        <v>0.80819999999999903</v>
      </c>
      <c r="AD4777">
        <v>-0.102685999999999</v>
      </c>
      <c r="AE4777">
        <v>0.35713999999999702</v>
      </c>
      <c r="AF4777">
        <v>-0.58316258890485495</v>
      </c>
      <c r="AG4777">
        <v>-0.102685999999999</v>
      </c>
      <c r="AH4777">
        <v>0.64806515863929404</v>
      </c>
      <c r="AI4777">
        <v>96.717560142087905</v>
      </c>
      <c r="AJ4777">
        <v>131.98252034178199</v>
      </c>
      <c r="AK4777">
        <v>0.87784478670000998</v>
      </c>
      <c r="AL4777">
        <v>92.232945765390596</v>
      </c>
      <c r="AM4777">
        <v>104.50427740001599</v>
      </c>
      <c r="AN4777">
        <v>0.99999997540468</v>
      </c>
    </row>
    <row r="4778" spans="1:40" x14ac:dyDescent="0.25">
      <c r="A4778" t="str">
        <f>"20190305135925633"</f>
        <v>20190305135925633</v>
      </c>
      <c r="B4778" t="str">
        <f>"1551765565624011"</f>
        <v>1551765565624011</v>
      </c>
      <c r="C4778" t="s">
        <v>40</v>
      </c>
      <c r="D4778">
        <v>3.7704149999999998</v>
      </c>
      <c r="E4778">
        <v>0.36934739999999999</v>
      </c>
      <c r="F4778" t="s">
        <v>41</v>
      </c>
      <c r="G4778">
        <v>-404.20089999999999</v>
      </c>
      <c r="H4778">
        <v>1.008264</v>
      </c>
      <c r="I4778">
        <v>22.78238</v>
      </c>
      <c r="J4778">
        <v>-405.08260000000001</v>
      </c>
      <c r="K4778">
        <v>1.108989</v>
      </c>
      <c r="L4778">
        <v>22.465820000000001</v>
      </c>
      <c r="M4778">
        <v>0.95003159999999998</v>
      </c>
      <c r="N4778">
        <v>-1.331539E-2</v>
      </c>
      <c r="O4778">
        <v>-0.31186940000000002</v>
      </c>
      <c r="P4778">
        <v>0.99667660000000002</v>
      </c>
      <c r="Q4778">
        <v>-5.2173940000000002E-2</v>
      </c>
      <c r="R4778">
        <v>-6.2557829999999995E-2</v>
      </c>
      <c r="S4778">
        <v>3.047577</v>
      </c>
      <c r="T4778">
        <v>-0.30701390000000001</v>
      </c>
      <c r="U4778">
        <v>0.84329219999999905</v>
      </c>
      <c r="V4778">
        <v>-0.25149569999999999</v>
      </c>
      <c r="W4778">
        <v>-3.8835219999999997E-2</v>
      </c>
      <c r="X4778">
        <v>0.96707900000000002</v>
      </c>
      <c r="Y4778">
        <v>-0.54988909999999902</v>
      </c>
      <c r="Z4778">
        <v>5.7486570000000001E-2</v>
      </c>
      <c r="AA4778">
        <v>0.83325700000000003</v>
      </c>
      <c r="AB4778">
        <v>23</v>
      </c>
      <c r="AC4778">
        <v>0.88170000000002302</v>
      </c>
      <c r="AD4778">
        <v>-0.100724999999999</v>
      </c>
      <c r="AE4778">
        <v>0.31655999999999901</v>
      </c>
      <c r="AF4778">
        <v>-0.56918825426682296</v>
      </c>
      <c r="AG4778">
        <v>-0.100724999999999</v>
      </c>
      <c r="AH4778">
        <v>0.73053769125644596</v>
      </c>
      <c r="AI4778">
        <v>96.207238466705803</v>
      </c>
      <c r="AJ4778">
        <v>127.92344177607301</v>
      </c>
      <c r="AK4778">
        <v>0.931561115958911</v>
      </c>
      <c r="AL4778">
        <v>92.225653827620206</v>
      </c>
      <c r="AM4778">
        <v>104.577277247442</v>
      </c>
      <c r="AN4778">
        <v>1.0000000268359599</v>
      </c>
    </row>
    <row r="4779" spans="1:40" x14ac:dyDescent="0.25">
      <c r="A4779" t="str">
        <f>"20190305135925654"</f>
        <v>20190305135925654</v>
      </c>
      <c r="B4779" t="str">
        <f>"1551765565643530"</f>
        <v>1551765565643530</v>
      </c>
      <c r="C4779" t="s">
        <v>40</v>
      </c>
      <c r="D4779">
        <v>3.7845240000000002</v>
      </c>
      <c r="E4779">
        <v>0.3694674</v>
      </c>
      <c r="F4779" t="s">
        <v>41</v>
      </c>
      <c r="G4779">
        <v>-404.20870000000002</v>
      </c>
      <c r="H4779">
        <v>1.0207820000000001</v>
      </c>
      <c r="I4779">
        <v>22.708179999999999</v>
      </c>
      <c r="J4779">
        <v>-404.88420000000002</v>
      </c>
      <c r="K4779">
        <v>1.108819</v>
      </c>
      <c r="L4779">
        <v>22.399629999999998</v>
      </c>
      <c r="M4779">
        <v>0.94969650000000005</v>
      </c>
      <c r="N4779">
        <v>-1.3302110000000001E-2</v>
      </c>
      <c r="O4779">
        <v>-0.31288969999999999</v>
      </c>
      <c r="P4779">
        <v>0.99673</v>
      </c>
      <c r="Q4779">
        <v>-5.2989139999999997E-2</v>
      </c>
      <c r="R4779">
        <v>-6.1006110000000002E-2</v>
      </c>
      <c r="S4779">
        <v>3.046967</v>
      </c>
      <c r="T4779">
        <v>-0.30757400000000001</v>
      </c>
      <c r="U4779">
        <v>0.84494020000000003</v>
      </c>
      <c r="V4779">
        <v>-0.25404090000000001</v>
      </c>
      <c r="W4779">
        <v>-3.957049E-2</v>
      </c>
      <c r="X4779">
        <v>0.96638369999999996</v>
      </c>
      <c r="Y4779">
        <v>-0.55121699999999996</v>
      </c>
      <c r="Z4779">
        <v>5.7760539999999999E-2</v>
      </c>
      <c r="AA4779">
        <v>0.832360199999999</v>
      </c>
      <c r="AB4779">
        <v>23</v>
      </c>
      <c r="AC4779">
        <v>0.67549999999999899</v>
      </c>
      <c r="AD4779">
        <v>-8.8036999999999893E-2</v>
      </c>
      <c r="AE4779">
        <v>0.30854999999999999</v>
      </c>
      <c r="AF4779">
        <v>-0.49743965592899098</v>
      </c>
      <c r="AG4779">
        <v>-8.8036999999999893E-2</v>
      </c>
      <c r="AH4779">
        <v>0.53747266093257795</v>
      </c>
      <c r="AI4779">
        <v>96.854812608573695</v>
      </c>
      <c r="AJ4779">
        <v>132.784759968044</v>
      </c>
      <c r="AK4779">
        <v>0.73761343934997503</v>
      </c>
      <c r="AL4779">
        <v>92.267814099893997</v>
      </c>
      <c r="AM4779">
        <v>104.728557330417</v>
      </c>
      <c r="AN4779">
        <v>1.0000000290886599</v>
      </c>
    </row>
    <row r="4780" spans="1:40" x14ac:dyDescent="0.25">
      <c r="A4780" t="str">
        <f>"20190305135925665"</f>
        <v>20190305135925665</v>
      </c>
      <c r="B4780" t="str">
        <f>"1551765565664026"</f>
        <v>1551765565664026</v>
      </c>
      <c r="C4780" t="s">
        <v>40</v>
      </c>
      <c r="D4780">
        <v>3.8022450000000001</v>
      </c>
      <c r="E4780">
        <v>0.36965690000000001</v>
      </c>
      <c r="F4780" t="s">
        <v>41</v>
      </c>
      <c r="G4780">
        <v>-404.01479999999998</v>
      </c>
      <c r="H4780">
        <v>1.0201659999999999</v>
      </c>
      <c r="I4780">
        <v>22.6419</v>
      </c>
      <c r="J4780">
        <v>-404.77120000000002</v>
      </c>
      <c r="K4780">
        <v>1.1087389999999999</v>
      </c>
      <c r="L4780">
        <v>22.361719999999998</v>
      </c>
      <c r="M4780">
        <v>0.94947700000000002</v>
      </c>
      <c r="N4780">
        <v>-1.3295410000000001E-2</v>
      </c>
      <c r="O4780">
        <v>-0.31355569999999999</v>
      </c>
      <c r="P4780">
        <v>0.99670760000000003</v>
      </c>
      <c r="Q4780">
        <v>-5.3707989999999997E-2</v>
      </c>
      <c r="R4780">
        <v>-6.0743470000000001E-2</v>
      </c>
      <c r="S4780">
        <v>3.0452880000000002</v>
      </c>
      <c r="T4780">
        <v>-0.31053760000000002</v>
      </c>
      <c r="U4780">
        <v>0.84866330000000001</v>
      </c>
      <c r="V4780">
        <v>-0.25496929999999901</v>
      </c>
      <c r="W4780">
        <v>-4.0251049999999997E-2</v>
      </c>
      <c r="X4780">
        <v>0.9661111</v>
      </c>
      <c r="Y4780">
        <v>-0.55276809999999998</v>
      </c>
      <c r="Z4780">
        <v>5.8487440000000002E-2</v>
      </c>
      <c r="AA4780">
        <v>0.83128019999999903</v>
      </c>
      <c r="AB4780">
        <v>23</v>
      </c>
      <c r="AC4780">
        <v>0.75640000000004104</v>
      </c>
      <c r="AD4780">
        <v>-8.8572999999999999E-2</v>
      </c>
      <c r="AE4780">
        <v>0.28017999999999699</v>
      </c>
      <c r="AF4780">
        <v>-0.497246746660716</v>
      </c>
      <c r="AG4780">
        <v>-8.8572999999999999E-2</v>
      </c>
      <c r="AH4780">
        <v>0.62287751610735298</v>
      </c>
      <c r="AI4780">
        <v>96.341322951347607</v>
      </c>
      <c r="AJ4780">
        <v>128.60057070585</v>
      </c>
      <c r="AK4780">
        <v>0.80192013534125195</v>
      </c>
      <c r="AL4780">
        <v>92.306838303673601</v>
      </c>
      <c r="AM4780">
        <v>104.784018740419</v>
      </c>
      <c r="AN4780">
        <v>1.0000000742558901</v>
      </c>
    </row>
    <row r="4781" spans="1:40" x14ac:dyDescent="0.25">
      <c r="A4781" t="str">
        <f>"20190305135925677"</f>
        <v>20190305135925677</v>
      </c>
      <c r="B4781" t="str">
        <f>"1551765565673787"</f>
        <v>1551765565673787</v>
      </c>
      <c r="C4781" t="s">
        <v>40</v>
      </c>
      <c r="D4781">
        <v>3.7892399999999999</v>
      </c>
      <c r="E4781">
        <v>0.3697375</v>
      </c>
      <c r="F4781" t="s">
        <v>41</v>
      </c>
      <c r="G4781">
        <v>-403.81529999999998</v>
      </c>
      <c r="H4781">
        <v>1.011617</v>
      </c>
      <c r="I4781">
        <v>22.62799</v>
      </c>
      <c r="J4781">
        <v>-404.6583</v>
      </c>
      <c r="K4781">
        <v>1.10866</v>
      </c>
      <c r="L4781">
        <v>22.323699999999999</v>
      </c>
      <c r="M4781">
        <v>0.94924710000000001</v>
      </c>
      <c r="N4781">
        <v>-1.3288970000000001E-2</v>
      </c>
      <c r="O4781">
        <v>-0.3142508</v>
      </c>
      <c r="P4781">
        <v>0.99668630000000003</v>
      </c>
      <c r="Q4781">
        <v>-5.4225339999999997E-2</v>
      </c>
      <c r="R4781">
        <v>-6.062878E-2</v>
      </c>
      <c r="S4781">
        <v>3.0449220000000001</v>
      </c>
      <c r="T4781">
        <v>-0.30933680000000002</v>
      </c>
      <c r="U4781">
        <v>0.84823609999999905</v>
      </c>
      <c r="V4781">
        <v>-0.25578600000000001</v>
      </c>
      <c r="W4781">
        <v>-4.0732659999999997E-2</v>
      </c>
      <c r="X4781">
        <v>0.96587489999999998</v>
      </c>
      <c r="Y4781">
        <v>-0.55331960000000002</v>
      </c>
      <c r="Z4781">
        <v>5.8358519999999997E-2</v>
      </c>
      <c r="AA4781">
        <v>0.83092219999999894</v>
      </c>
      <c r="AB4781">
        <v>23</v>
      </c>
      <c r="AC4781">
        <v>0.84300000000001696</v>
      </c>
      <c r="AD4781">
        <v>-9.7043000000000004E-2</v>
      </c>
      <c r="AE4781">
        <v>0.304290000000001</v>
      </c>
      <c r="AF4781">
        <v>-0.547390958290362</v>
      </c>
      <c r="AG4781">
        <v>-9.7043000000000004E-2</v>
      </c>
      <c r="AH4781">
        <v>0.69648832288837303</v>
      </c>
      <c r="AI4781">
        <v>96.251692670710398</v>
      </c>
      <c r="AJ4781">
        <v>128.16486207467801</v>
      </c>
      <c r="AK4781">
        <v>0.891151047234362</v>
      </c>
      <c r="AL4781">
        <v>92.334455403750994</v>
      </c>
      <c r="AM4781">
        <v>104.832756908115</v>
      </c>
      <c r="AN4781">
        <v>0.99999997491834203</v>
      </c>
    </row>
    <row r="4782" spans="1:40" x14ac:dyDescent="0.25">
      <c r="A4782" t="str">
        <f>"20190305135925690"</f>
        <v>20190305135925690</v>
      </c>
      <c r="B4782" t="str">
        <f>"1551765565683547"</f>
        <v>1551765565683547</v>
      </c>
      <c r="C4782" t="s">
        <v>40</v>
      </c>
      <c r="D4782">
        <v>3.779925</v>
      </c>
      <c r="E4782">
        <v>0.36973519999999999</v>
      </c>
      <c r="F4782" t="s">
        <v>41</v>
      </c>
      <c r="G4782">
        <v>-403.82299999999998</v>
      </c>
      <c r="H4782">
        <v>1.0239750000000001</v>
      </c>
      <c r="I4782">
        <v>22.556290000000001</v>
      </c>
      <c r="J4782">
        <v>-404.54419999999999</v>
      </c>
      <c r="K4782">
        <v>1.108598</v>
      </c>
      <c r="L4782">
        <v>22.285</v>
      </c>
      <c r="M4782">
        <v>0.94899199999999995</v>
      </c>
      <c r="N4782">
        <v>-1.328323E-2</v>
      </c>
      <c r="O4782">
        <v>-0.31501990000000002</v>
      </c>
      <c r="P4782">
        <v>0.99664109999999995</v>
      </c>
      <c r="Q4782">
        <v>-5.4873280000000003E-2</v>
      </c>
      <c r="R4782">
        <v>-6.079114E-2</v>
      </c>
      <c r="S4782">
        <v>3.0448</v>
      </c>
      <c r="T4782">
        <v>-0.30869419999999997</v>
      </c>
      <c r="U4782">
        <v>0.84802250000000001</v>
      </c>
      <c r="V4782">
        <v>-0.2564072</v>
      </c>
      <c r="W4782">
        <v>-4.1355759999999998E-2</v>
      </c>
      <c r="X4782">
        <v>0.96568379999999998</v>
      </c>
      <c r="Y4782">
        <v>-0.55395749999999999</v>
      </c>
      <c r="Z4782">
        <v>5.8340620000000003E-2</v>
      </c>
      <c r="AA4782">
        <v>0.83049830000000002</v>
      </c>
      <c r="AB4782">
        <v>23</v>
      </c>
      <c r="AC4782">
        <v>0.72119999999995299</v>
      </c>
      <c r="AD4782">
        <v>-8.4622999999999796E-2</v>
      </c>
      <c r="AE4782">
        <v>0.27128999999999998</v>
      </c>
      <c r="AF4782">
        <v>-0.47891097483311901</v>
      </c>
      <c r="AG4782">
        <v>-8.4622999999999796E-2</v>
      </c>
      <c r="AH4782">
        <v>0.59186559713826203</v>
      </c>
      <c r="AI4782">
        <v>96.3422776799638</v>
      </c>
      <c r="AJ4782">
        <v>128.97822426510101</v>
      </c>
      <c r="AK4782">
        <v>0.76604285716951903</v>
      </c>
      <c r="AL4782">
        <v>92.370186274405796</v>
      </c>
      <c r="AM4782">
        <v>104.869997860601</v>
      </c>
      <c r="AN4782">
        <v>1.0000000763397201</v>
      </c>
    </row>
    <row r="4783" spans="1:40" x14ac:dyDescent="0.25">
      <c r="A4783" t="str">
        <f>"20190305135925710"</f>
        <v>20190305135925710</v>
      </c>
      <c r="B4783" t="str">
        <f>"1551765565704043"</f>
        <v>1551765565704043</v>
      </c>
      <c r="C4783" t="s">
        <v>40</v>
      </c>
      <c r="D4783">
        <v>3.7808709999999999</v>
      </c>
      <c r="E4783">
        <v>0.36987340000000002</v>
      </c>
      <c r="F4783" t="s">
        <v>41</v>
      </c>
      <c r="G4783">
        <v>-403.62389999999999</v>
      </c>
      <c r="H4783">
        <v>1.015555</v>
      </c>
      <c r="I4783">
        <v>22.541139999999999</v>
      </c>
      <c r="J4783">
        <v>-404.3399</v>
      </c>
      <c r="K4783">
        <v>1.108514</v>
      </c>
      <c r="L4783">
        <v>22.215479999999999</v>
      </c>
      <c r="M4783">
        <v>0.94851759999999996</v>
      </c>
      <c r="N4783">
        <v>-1.327354E-2</v>
      </c>
      <c r="O4783">
        <v>-0.31644620000000001</v>
      </c>
      <c r="P4783">
        <v>0.99654039999999999</v>
      </c>
      <c r="Q4783">
        <v>-5.57963E-2</v>
      </c>
      <c r="R4783">
        <v>-6.1596419999999999E-2</v>
      </c>
      <c r="S4783">
        <v>3.0449220000000001</v>
      </c>
      <c r="T4783">
        <v>-0.30783829999999901</v>
      </c>
      <c r="U4783">
        <v>0.8479004</v>
      </c>
      <c r="V4783">
        <v>-0.25707069999999999</v>
      </c>
      <c r="W4783">
        <v>-4.2248559999999998E-2</v>
      </c>
      <c r="X4783">
        <v>0.96546860000000001</v>
      </c>
      <c r="Y4783">
        <v>-0.55517609999999995</v>
      </c>
      <c r="Z4783">
        <v>5.8364970000000002E-2</v>
      </c>
      <c r="AA4783">
        <v>0.82968240000000004</v>
      </c>
      <c r="AB4783">
        <v>23</v>
      </c>
      <c r="AC4783">
        <v>0.71600000000000796</v>
      </c>
      <c r="AD4783">
        <v>-9.2959E-2</v>
      </c>
      <c r="AE4783">
        <v>0.32565999999999901</v>
      </c>
      <c r="AF4783">
        <v>-0.52814048498543098</v>
      </c>
      <c r="AG4783">
        <v>-9.2959E-2</v>
      </c>
      <c r="AH4783">
        <v>0.56819957876343397</v>
      </c>
      <c r="AI4783">
        <v>96.833262820954999</v>
      </c>
      <c r="AJ4783">
        <v>132.90740441325201</v>
      </c>
      <c r="AK4783">
        <v>0.78129668428106802</v>
      </c>
      <c r="AL4783">
        <v>92.421384998515805</v>
      </c>
      <c r="AM4783">
        <v>104.909940374756</v>
      </c>
      <c r="AN4783">
        <v>0.99999995160326005</v>
      </c>
    </row>
    <row r="4784" spans="1:40" x14ac:dyDescent="0.25">
      <c r="A4784" t="str">
        <f>"20190305135925722"</f>
        <v>20190305135925722</v>
      </c>
      <c r="B4784" t="str">
        <f>"1551765565713802"</f>
        <v>1551765565713802</v>
      </c>
      <c r="C4784" t="s">
        <v>40</v>
      </c>
      <c r="D4784">
        <v>3.7579639999999999</v>
      </c>
      <c r="E4784">
        <v>0.36993419999999999</v>
      </c>
      <c r="F4784" t="s">
        <v>41</v>
      </c>
      <c r="G4784">
        <v>-403.43130000000002</v>
      </c>
      <c r="H4784">
        <v>1.01675</v>
      </c>
      <c r="I4784">
        <v>22.467459999999999</v>
      </c>
      <c r="J4784">
        <v>-404.23110000000003</v>
      </c>
      <c r="K4784">
        <v>1.1084889999999901</v>
      </c>
      <c r="L4784">
        <v>22.178280000000001</v>
      </c>
      <c r="M4784">
        <v>0.94825649999999995</v>
      </c>
      <c r="N4784">
        <v>-1.3268739999999999E-2</v>
      </c>
      <c r="O4784">
        <v>-0.31722830000000002</v>
      </c>
      <c r="P4784">
        <v>0.99645790000000001</v>
      </c>
      <c r="Q4784">
        <v>-5.6258040000000002E-2</v>
      </c>
      <c r="R4784">
        <v>-6.2504680000000007E-2</v>
      </c>
      <c r="S4784">
        <v>3.0454409999999998</v>
      </c>
      <c r="T4784">
        <v>-0.30756070000000002</v>
      </c>
      <c r="U4784">
        <v>0.8445435</v>
      </c>
      <c r="V4784">
        <v>-0.25698199999999999</v>
      </c>
      <c r="W4784">
        <v>-4.2703209999999998E-2</v>
      </c>
      <c r="X4784">
        <v>0.96547229999999995</v>
      </c>
      <c r="Y4784">
        <v>-0.55498040000000004</v>
      </c>
      <c r="Z4784">
        <v>5.8362949999999997E-2</v>
      </c>
      <c r="AA4784">
        <v>0.82981349999999998</v>
      </c>
      <c r="AB4784">
        <v>23</v>
      </c>
      <c r="AC4784">
        <v>0.79980000000000395</v>
      </c>
      <c r="AD4784">
        <v>-9.1738999999999807E-2</v>
      </c>
      <c r="AE4784">
        <v>0.28918000000000099</v>
      </c>
      <c r="AF4784">
        <v>-0.52190972446772699</v>
      </c>
      <c r="AG4784">
        <v>-9.1738999999999807E-2</v>
      </c>
      <c r="AH4784">
        <v>0.659069455363539</v>
      </c>
      <c r="AI4784">
        <v>96.2276605441795</v>
      </c>
      <c r="AJ4784">
        <v>128.37530859853601</v>
      </c>
      <c r="AK4784">
        <v>0.84568218120531002</v>
      </c>
      <c r="AL4784">
        <v>92.447457847507707</v>
      </c>
      <c r="AM4784">
        <v>104.904970267436</v>
      </c>
      <c r="AN4784">
        <v>1.00000003726779</v>
      </c>
    </row>
    <row r="4785" spans="1:40" x14ac:dyDescent="0.25">
      <c r="A4785" t="str">
        <f>"20190305135925733"</f>
        <v>20190305135925733</v>
      </c>
      <c r="B4785" t="str">
        <f>"1551765565723563"</f>
        <v>1551765565723563</v>
      </c>
      <c r="C4785" t="s">
        <v>40</v>
      </c>
      <c r="D4785">
        <v>3.7698140000000002</v>
      </c>
      <c r="E4785">
        <v>0.37001000000000001</v>
      </c>
      <c r="F4785" t="s">
        <v>41</v>
      </c>
      <c r="G4785">
        <v>-403.2321</v>
      </c>
      <c r="H4785">
        <v>1.007776</v>
      </c>
      <c r="I4785">
        <v>22.454070000000002</v>
      </c>
      <c r="J4785">
        <v>-404.11880000000002</v>
      </c>
      <c r="K4785">
        <v>1.108471</v>
      </c>
      <c r="L4785">
        <v>22.139679999999998</v>
      </c>
      <c r="M4785">
        <v>0.94798170000000004</v>
      </c>
      <c r="N4785">
        <v>-1.3264079999999999E-2</v>
      </c>
      <c r="O4785">
        <v>-0.31804870000000002</v>
      </c>
      <c r="P4785">
        <v>0.99637439999999999</v>
      </c>
      <c r="Q4785">
        <v>-5.6604010000000003E-2</v>
      </c>
      <c r="R4785">
        <v>-6.3515260000000004E-2</v>
      </c>
      <c r="S4785">
        <v>3.0460820000000002</v>
      </c>
      <c r="T4785">
        <v>-0.30706620000000001</v>
      </c>
      <c r="U4785">
        <v>0.84140009999999998</v>
      </c>
      <c r="V4785">
        <v>-0.25683400000000001</v>
      </c>
      <c r="W4785">
        <v>-4.3049919999999998E-2</v>
      </c>
      <c r="X4785">
        <v>0.96549620000000003</v>
      </c>
      <c r="Y4785">
        <v>-0.55486919999999995</v>
      </c>
      <c r="Z4785">
        <v>5.8324769999999998E-2</v>
      </c>
      <c r="AA4785">
        <v>0.82989059999999903</v>
      </c>
      <c r="AB4785">
        <v>23</v>
      </c>
      <c r="AC4785">
        <v>0.88670000000001803</v>
      </c>
      <c r="AD4785">
        <v>-0.10069499999999899</v>
      </c>
      <c r="AE4785">
        <v>0.314390000000003</v>
      </c>
      <c r="AF4785">
        <v>-0.57353033619957206</v>
      </c>
      <c r="AG4785">
        <v>-0.10069499999999899</v>
      </c>
      <c r="AH4785">
        <v>0.73226032025938304</v>
      </c>
      <c r="AI4785">
        <v>96.178722540482795</v>
      </c>
      <c r="AJ4785">
        <v>128.06921369102699</v>
      </c>
      <c r="AK4785">
        <v>0.93556491286952903</v>
      </c>
      <c r="AL4785">
        <v>92.467341353122293</v>
      </c>
      <c r="AM4785">
        <v>104.896415648831</v>
      </c>
      <c r="AN4785">
        <v>0.99999995569122202</v>
      </c>
    </row>
    <row r="4786" spans="1:40" x14ac:dyDescent="0.25">
      <c r="A4786" t="str">
        <f>"20190305135925746"</f>
        <v>20190305135925746</v>
      </c>
      <c r="B4786" t="str">
        <f>"1551765565744059"</f>
        <v>1551765565744059</v>
      </c>
      <c r="C4786" t="s">
        <v>40</v>
      </c>
      <c r="D4786">
        <v>3.723589</v>
      </c>
      <c r="E4786">
        <v>0.37009599999999998</v>
      </c>
      <c r="F4786" t="s">
        <v>41</v>
      </c>
      <c r="G4786">
        <v>-403.24029999999999</v>
      </c>
      <c r="H4786">
        <v>1.0200689999999999</v>
      </c>
      <c r="I4786">
        <v>22.381150000000002</v>
      </c>
      <c r="J4786">
        <v>-404.00290000000001</v>
      </c>
      <c r="K4786">
        <v>1.1084670000000001</v>
      </c>
      <c r="L4786">
        <v>22.09976</v>
      </c>
      <c r="M4786">
        <v>0.94769720000000002</v>
      </c>
      <c r="N4786">
        <v>-1.3259450000000001E-2</v>
      </c>
      <c r="O4786">
        <v>-0.31889529999999999</v>
      </c>
      <c r="P4786">
        <v>0.99626230000000005</v>
      </c>
      <c r="Q4786">
        <v>-5.7269029999999999E-2</v>
      </c>
      <c r="R4786">
        <v>-6.4665399999999998E-2</v>
      </c>
      <c r="S4786">
        <v>3.0469059999999999</v>
      </c>
      <c r="T4786">
        <v>-0.30660320000000002</v>
      </c>
      <c r="U4786">
        <v>0.83810419999999997</v>
      </c>
      <c r="V4786">
        <v>-0.25657099999999999</v>
      </c>
      <c r="W4786">
        <v>-4.3722549999999999E-2</v>
      </c>
      <c r="X4786">
        <v>0.9655359</v>
      </c>
      <c r="Y4786">
        <v>-0.55472929999999998</v>
      </c>
      <c r="Z4786">
        <v>5.8289710000000002E-2</v>
      </c>
      <c r="AA4786">
        <v>0.82998660000000002</v>
      </c>
      <c r="AB4786">
        <v>23</v>
      </c>
      <c r="AC4786">
        <v>0.76260000000002004</v>
      </c>
      <c r="AD4786">
        <v>-8.8397999999999893E-2</v>
      </c>
      <c r="AE4786">
        <v>0.28139000000000097</v>
      </c>
      <c r="AF4786">
        <v>-0.50394698453500697</v>
      </c>
      <c r="AG4786">
        <v>-8.8397999999999893E-2</v>
      </c>
      <c r="AH4786">
        <v>0.625636516931529</v>
      </c>
      <c r="AI4786">
        <v>96.279317495070998</v>
      </c>
      <c r="AJ4786">
        <v>128.851264479061</v>
      </c>
      <c r="AK4786">
        <v>0.80820654596714503</v>
      </c>
      <c r="AL4786">
        <v>92.5059165363473</v>
      </c>
      <c r="AM4786">
        <v>104.881254040907</v>
      </c>
      <c r="AN4786">
        <v>0.99999995680415499</v>
      </c>
    </row>
    <row r="4787" spans="1:40" x14ac:dyDescent="0.25">
      <c r="A4787" t="str">
        <f>"20190305135925760"</f>
        <v>20190305135925760</v>
      </c>
      <c r="B4787" t="str">
        <f>"1551765565753819"</f>
        <v>1551765565753819</v>
      </c>
      <c r="C4787" t="s">
        <v>40</v>
      </c>
      <c r="D4787">
        <v>3.731357</v>
      </c>
      <c r="E4787">
        <v>0.37015920000000002</v>
      </c>
      <c r="F4787" t="s">
        <v>41</v>
      </c>
      <c r="G4787">
        <v>-403.04199999999997</v>
      </c>
      <c r="H4787">
        <v>1.012008</v>
      </c>
      <c r="I4787">
        <v>22.362829999999999</v>
      </c>
      <c r="J4787">
        <v>-403.86349999999999</v>
      </c>
      <c r="K4787">
        <v>1.1084689999999999</v>
      </c>
      <c r="L4787">
        <v>22.05161</v>
      </c>
      <c r="M4787">
        <v>0.94735460000000005</v>
      </c>
      <c r="N4787">
        <v>-1.325409E-2</v>
      </c>
      <c r="O4787">
        <v>-0.31991219999999998</v>
      </c>
      <c r="P4787">
        <v>0.99616000000000005</v>
      </c>
      <c r="Q4787">
        <v>-5.7801150000000003E-2</v>
      </c>
      <c r="R4787">
        <v>-6.576195E-2</v>
      </c>
      <c r="S4787">
        <v>3.0477910000000001</v>
      </c>
      <c r="T4787">
        <v>-0.30595719999999998</v>
      </c>
      <c r="U4787">
        <v>0.83413700000000002</v>
      </c>
      <c r="V4787">
        <v>-0.25653490000000001</v>
      </c>
      <c r="W4787">
        <v>-4.4269700000000002E-2</v>
      </c>
      <c r="X4787">
        <v>0.96552059999999995</v>
      </c>
      <c r="Y4787">
        <v>-0.55456859999999997</v>
      </c>
      <c r="Z4787">
        <v>5.8232480000000003E-2</v>
      </c>
      <c r="AA4787">
        <v>0.830098</v>
      </c>
      <c r="AB4787">
        <v>23</v>
      </c>
      <c r="AC4787">
        <v>0.821500000000014</v>
      </c>
      <c r="AD4787">
        <v>-9.6461000000000102E-2</v>
      </c>
      <c r="AE4787">
        <v>0.311219999999998</v>
      </c>
      <c r="AF4787">
        <v>-0.55104843685453098</v>
      </c>
      <c r="AG4787">
        <v>-9.6461000000000102E-2</v>
      </c>
      <c r="AH4787">
        <v>0.67066201915215695</v>
      </c>
      <c r="AI4787">
        <v>96.341196419147394</v>
      </c>
      <c r="AJ4787">
        <v>129.40818370567999</v>
      </c>
      <c r="AK4787">
        <v>0.87335367876598002</v>
      </c>
      <c r="AL4787">
        <v>92.537296211505705</v>
      </c>
      <c r="AM4787">
        <v>104.87947842750199</v>
      </c>
      <c r="AN4787">
        <v>0.99999999514022997</v>
      </c>
    </row>
    <row r="4788" spans="1:40" x14ac:dyDescent="0.25">
      <c r="A4788" t="str">
        <f>"20190305135925778"</f>
        <v>20190305135925778</v>
      </c>
      <c r="B4788" t="str">
        <f>"1551765565774314"</f>
        <v>1551765565774314</v>
      </c>
      <c r="C4788" t="s">
        <v>40</v>
      </c>
      <c r="D4788">
        <v>3.7129690000000002</v>
      </c>
      <c r="E4788">
        <v>0.37018679999999998</v>
      </c>
      <c r="F4788" t="s">
        <v>41</v>
      </c>
      <c r="G4788">
        <v>-402.84550000000002</v>
      </c>
      <c r="H4788">
        <v>1.006294</v>
      </c>
      <c r="I4788">
        <v>22.328700000000001</v>
      </c>
      <c r="J4788">
        <v>-403.6925</v>
      </c>
      <c r="K4788">
        <v>1.108482</v>
      </c>
      <c r="L4788">
        <v>21.99231</v>
      </c>
      <c r="M4788">
        <v>0.94693850000000002</v>
      </c>
      <c r="N4788">
        <v>-1.324791E-2</v>
      </c>
      <c r="O4788">
        <v>-0.32114169999999997</v>
      </c>
      <c r="P4788">
        <v>0.99595880000000003</v>
      </c>
      <c r="Q4788">
        <v>-5.9201660000000003E-2</v>
      </c>
      <c r="R4788">
        <v>-6.7537680000000003E-2</v>
      </c>
      <c r="S4788">
        <v>3.0486149999999999</v>
      </c>
      <c r="T4788">
        <v>-0.3059887</v>
      </c>
      <c r="U4788">
        <v>0.83041379999999998</v>
      </c>
      <c r="V4788">
        <v>-0.25604090000000002</v>
      </c>
      <c r="W4788">
        <v>-4.5698170000000003E-2</v>
      </c>
      <c r="X4788">
        <v>0.96558520000000003</v>
      </c>
      <c r="Y4788">
        <v>-0.55464009999999997</v>
      </c>
      <c r="Z4788">
        <v>5.8335699999999997E-2</v>
      </c>
      <c r="AA4788">
        <v>0.83004290000000003</v>
      </c>
      <c r="AB4788">
        <v>23</v>
      </c>
      <c r="AC4788">
        <v>0.84699999999997999</v>
      </c>
      <c r="AD4788">
        <v>-0.102187999999999</v>
      </c>
      <c r="AE4788">
        <v>0.33639000000000102</v>
      </c>
      <c r="AF4788">
        <v>-0.58326631261205697</v>
      </c>
      <c r="AG4788">
        <v>-0.102187999999999</v>
      </c>
      <c r="AH4788">
        <v>0.68547080862454302</v>
      </c>
      <c r="AI4788">
        <v>96.477471699849303</v>
      </c>
      <c r="AJ4788">
        <v>130.39442140654199</v>
      </c>
      <c r="AK4788">
        <v>0.90582128935483297</v>
      </c>
      <c r="AL4788">
        <v>92.619224386215507</v>
      </c>
      <c r="AM4788">
        <v>104.85114335406701</v>
      </c>
      <c r="AN4788">
        <v>1.0000000218365901</v>
      </c>
    </row>
    <row r="4789" spans="1:40" x14ac:dyDescent="0.25">
      <c r="A4789" t="str">
        <f>"20190305135925791"</f>
        <v>20190305135925791</v>
      </c>
      <c r="B4789" t="str">
        <f>"1551765565784075"</f>
        <v>1551765565784075</v>
      </c>
      <c r="C4789" t="s">
        <v>40</v>
      </c>
      <c r="D4789">
        <v>3.7153299999999998</v>
      </c>
      <c r="E4789">
        <v>0.37023339999999999</v>
      </c>
      <c r="F4789" t="s">
        <v>41</v>
      </c>
      <c r="G4789">
        <v>-402.85829999999999</v>
      </c>
      <c r="H4789">
        <v>1.0244979999999999</v>
      </c>
      <c r="I4789">
        <v>22.217770000000002</v>
      </c>
      <c r="J4789">
        <v>-403.55590000000001</v>
      </c>
      <c r="K4789">
        <v>1.1085119999999999</v>
      </c>
      <c r="L4789">
        <v>21.94473</v>
      </c>
      <c r="M4789">
        <v>0.94661470000000003</v>
      </c>
      <c r="N4789">
        <v>-1.3243420000000001E-2</v>
      </c>
      <c r="O4789">
        <v>-0.32209549999999998</v>
      </c>
      <c r="P4789">
        <v>0.99583880000000002</v>
      </c>
      <c r="Q4789">
        <v>-6.0102179999999998E-2</v>
      </c>
      <c r="R4789">
        <v>-6.8508890000000003E-2</v>
      </c>
      <c r="S4789">
        <v>3.0498660000000002</v>
      </c>
      <c r="T4789">
        <v>-0.30703570000000002</v>
      </c>
      <c r="U4789">
        <v>0.82498169999999904</v>
      </c>
      <c r="V4789">
        <v>-0.25605339999999999</v>
      </c>
      <c r="W4789">
        <v>-4.6625800000000002E-2</v>
      </c>
      <c r="X4789">
        <v>0.96553750000000005</v>
      </c>
      <c r="Y4789">
        <v>-0.55398590000000003</v>
      </c>
      <c r="Z4789">
        <v>5.8564499999999999E-2</v>
      </c>
      <c r="AA4789">
        <v>0.83046359999999997</v>
      </c>
      <c r="AB4789">
        <v>23</v>
      </c>
      <c r="AC4789">
        <v>0.69760000000002198</v>
      </c>
      <c r="AD4789">
        <v>-8.40140000000002E-2</v>
      </c>
      <c r="AE4789">
        <v>0.273040000000001</v>
      </c>
      <c r="AF4789">
        <v>-0.47719793056182003</v>
      </c>
      <c r="AG4789">
        <v>-8.40140000000002E-2</v>
      </c>
      <c r="AH4789">
        <v>0.56535295241454597</v>
      </c>
      <c r="AI4789">
        <v>96.478709161295498</v>
      </c>
      <c r="AJ4789">
        <v>130.166735426108</v>
      </c>
      <c r="AK4789">
        <v>0.74458053824440495</v>
      </c>
      <c r="AL4789">
        <v>92.672430485053894</v>
      </c>
      <c r="AM4789">
        <v>104.852537636937</v>
      </c>
      <c r="AN4789">
        <v>0.99999998639172405</v>
      </c>
    </row>
    <row r="4790" spans="1:40" x14ac:dyDescent="0.25">
      <c r="A4790" t="str">
        <f>"20190305135925805"</f>
        <v>20190305135925805</v>
      </c>
      <c r="B4790" t="str">
        <f>"1551765565793835"</f>
        <v>1551765565793835</v>
      </c>
      <c r="C4790" t="s">
        <v>40</v>
      </c>
      <c r="D4790">
        <v>3.6942550000000001</v>
      </c>
      <c r="E4790">
        <v>0.37025950000000002</v>
      </c>
      <c r="F4790" t="s">
        <v>41</v>
      </c>
      <c r="G4790">
        <v>-402.66199999999998</v>
      </c>
      <c r="H4790">
        <v>1.018316</v>
      </c>
      <c r="I4790">
        <v>22.185639999999999</v>
      </c>
      <c r="J4790">
        <v>-403.43669999999997</v>
      </c>
      <c r="K4790">
        <v>1.1085419999999999</v>
      </c>
      <c r="L4790">
        <v>21.90314</v>
      </c>
      <c r="M4790">
        <v>0.94633789999999995</v>
      </c>
      <c r="N4790">
        <v>-1.323965E-2</v>
      </c>
      <c r="O4790">
        <v>-0.32290790000000003</v>
      </c>
      <c r="P4790">
        <v>0.99571900000000002</v>
      </c>
      <c r="Q4790">
        <v>-6.081992E-2</v>
      </c>
      <c r="R4790">
        <v>-6.9605479999999997E-2</v>
      </c>
      <c r="S4790">
        <v>3.0505070000000001</v>
      </c>
      <c r="T4790">
        <v>-0.30779210000000001</v>
      </c>
      <c r="U4790">
        <v>0.8217468</v>
      </c>
      <c r="V4790">
        <v>-0.25580320000000001</v>
      </c>
      <c r="W4790">
        <v>-4.7368750000000001E-2</v>
      </c>
      <c r="X4790">
        <v>0.96556759999999997</v>
      </c>
      <c r="Y4790">
        <v>-0.55381159999999996</v>
      </c>
      <c r="Z4790">
        <v>5.876079E-2</v>
      </c>
      <c r="AA4790">
        <v>0.83056600000000003</v>
      </c>
      <c r="AB4790">
        <v>23</v>
      </c>
      <c r="AC4790">
        <v>0.77469999999999495</v>
      </c>
      <c r="AD4790">
        <v>-9.0225999999999904E-2</v>
      </c>
      <c r="AE4790">
        <v>0.28249999999999797</v>
      </c>
      <c r="AF4790">
        <v>-0.51141966407850004</v>
      </c>
      <c r="AG4790">
        <v>-9.0225999999999904E-2</v>
      </c>
      <c r="AH4790">
        <v>0.63436787059732402</v>
      </c>
      <c r="AI4790">
        <v>96.318495571718898</v>
      </c>
      <c r="AJ4790">
        <v>128.87533787498501</v>
      </c>
      <c r="AK4790">
        <v>0.819825224745098</v>
      </c>
      <c r="AL4790">
        <v>92.715045620199106</v>
      </c>
      <c r="AM4790">
        <v>104.83822305578001</v>
      </c>
      <c r="AN4790">
        <v>0.99999993288827904</v>
      </c>
    </row>
    <row r="4791" spans="1:40" x14ac:dyDescent="0.25">
      <c r="A4791" t="str">
        <f>"20190305135925823"</f>
        <v>20190305135925823</v>
      </c>
      <c r="B4791" t="str">
        <f>"1551765565814330"</f>
        <v>1551765565814330</v>
      </c>
      <c r="C4791" t="s">
        <v>40</v>
      </c>
      <c r="D4791">
        <v>3.6570870000000002</v>
      </c>
      <c r="E4791">
        <v>0.37038270000000001</v>
      </c>
      <c r="F4791" t="s">
        <v>41</v>
      </c>
      <c r="G4791">
        <v>-402.46469999999999</v>
      </c>
      <c r="H4791">
        <v>1.0101910000000001</v>
      </c>
      <c r="I4791">
        <v>22.16385</v>
      </c>
      <c r="J4791">
        <v>-403.25639999999999</v>
      </c>
      <c r="K4791">
        <v>1.108595</v>
      </c>
      <c r="L4791">
        <v>21.840060000000001</v>
      </c>
      <c r="M4791">
        <v>0.94593300000000002</v>
      </c>
      <c r="N4791">
        <v>-1.323413E-2</v>
      </c>
      <c r="O4791">
        <v>-0.32409179999999999</v>
      </c>
      <c r="P4791">
        <v>0.99556739999999999</v>
      </c>
      <c r="Q4791">
        <v>-6.1400900000000001E-2</v>
      </c>
      <c r="R4791">
        <v>-7.1242520000000004E-2</v>
      </c>
      <c r="S4791">
        <v>3.0512079999999999</v>
      </c>
      <c r="T4791">
        <v>-0.30873679999999998</v>
      </c>
      <c r="U4791">
        <v>0.81817629999999997</v>
      </c>
      <c r="V4791">
        <v>-0.255407</v>
      </c>
      <c r="W4791">
        <v>-4.799059E-2</v>
      </c>
      <c r="X4791">
        <v>0.96564190000000005</v>
      </c>
      <c r="Y4791">
        <v>-0.55386610000000003</v>
      </c>
      <c r="Z4791">
        <v>5.9036989999999998E-2</v>
      </c>
      <c r="AA4791">
        <v>0.83051010000000003</v>
      </c>
      <c r="AB4791">
        <v>23</v>
      </c>
      <c r="AC4791">
        <v>0.79169999999999097</v>
      </c>
      <c r="AD4791">
        <v>-9.8403999999999894E-2</v>
      </c>
      <c r="AE4791">
        <v>0.32378999999999802</v>
      </c>
      <c r="AF4791">
        <v>-0.55556339273896505</v>
      </c>
      <c r="AG4791">
        <v>-9.8403999999999894E-2</v>
      </c>
      <c r="AH4791">
        <v>0.63560151710013002</v>
      </c>
      <c r="AI4791">
        <v>96.648822192267602</v>
      </c>
      <c r="AJ4791">
        <v>131.15589432855501</v>
      </c>
      <c r="AK4791">
        <v>0.84989606370874404</v>
      </c>
      <c r="AL4791">
        <v>92.750714660185594</v>
      </c>
      <c r="AM4791">
        <v>104.815162702489</v>
      </c>
      <c r="AN4791">
        <v>1.00000005570657</v>
      </c>
    </row>
    <row r="4792" spans="1:40" x14ac:dyDescent="0.25">
      <c r="A4792" t="str">
        <f>"20190305135925835"</f>
        <v>20190305135925835</v>
      </c>
      <c r="B4792" t="str">
        <f>"1551765565824091"</f>
        <v>1551765565824091</v>
      </c>
      <c r="C4792" t="s">
        <v>40</v>
      </c>
      <c r="D4792">
        <v>3.648523</v>
      </c>
      <c r="E4792">
        <v>0.37043399999999999</v>
      </c>
      <c r="F4792" t="s">
        <v>41</v>
      </c>
      <c r="G4792">
        <v>-402.2722</v>
      </c>
      <c r="H4792">
        <v>1.0096179999999999</v>
      </c>
      <c r="I4792">
        <v>22.102070000000001</v>
      </c>
      <c r="J4792">
        <v>-403.142</v>
      </c>
      <c r="K4792">
        <v>1.108636</v>
      </c>
      <c r="L4792">
        <v>21.799869999999999</v>
      </c>
      <c r="M4792">
        <v>0.94568490000000005</v>
      </c>
      <c r="N4792">
        <v>-1.323069E-2</v>
      </c>
      <c r="O4792">
        <v>-0.32481579999999999</v>
      </c>
      <c r="P4792">
        <v>0.99550879999999997</v>
      </c>
      <c r="Q4792">
        <v>-6.1377170000000002E-2</v>
      </c>
      <c r="R4792">
        <v>-7.2080110000000003E-2</v>
      </c>
      <c r="S4792">
        <v>3.0525509999999998</v>
      </c>
      <c r="T4792">
        <v>-0.30698229999999999</v>
      </c>
      <c r="U4792">
        <v>0.81253050000000004</v>
      </c>
      <c r="V4792">
        <v>-0.25532959999999999</v>
      </c>
      <c r="W4792">
        <v>-4.7993849999999998E-2</v>
      </c>
      <c r="X4792">
        <v>0.96566209999999997</v>
      </c>
      <c r="Y4792">
        <v>-0.5530273</v>
      </c>
      <c r="Z4792">
        <v>5.8697470000000002E-2</v>
      </c>
      <c r="AA4792">
        <v>0.83109290000000002</v>
      </c>
      <c r="AB4792">
        <v>23</v>
      </c>
      <c r="AC4792">
        <v>0.86979999999999702</v>
      </c>
      <c r="AD4792">
        <v>-9.9017999999999801E-2</v>
      </c>
      <c r="AE4792">
        <v>0.30219999999999902</v>
      </c>
      <c r="AF4792">
        <v>-0.56186322859189997</v>
      </c>
      <c r="AG4792">
        <v>-9.9017999999999801E-2</v>
      </c>
      <c r="AH4792">
        <v>0.71617904491029005</v>
      </c>
      <c r="AI4792">
        <v>96.208109606475503</v>
      </c>
      <c r="AJ4792">
        <v>128.11521266369701</v>
      </c>
      <c r="AK4792">
        <v>0.915645824725002</v>
      </c>
      <c r="AL4792">
        <v>92.750901943128596</v>
      </c>
      <c r="AM4792">
        <v>104.810574206746</v>
      </c>
      <c r="AN4792">
        <v>0.99999995282519505</v>
      </c>
    </row>
    <row r="4793" spans="1:40" x14ac:dyDescent="0.25">
      <c r="A4793" t="str">
        <f>"20190305135925848"</f>
        <v>20190305135925848</v>
      </c>
      <c r="B4793" t="str">
        <f>"1551765565843611"</f>
        <v>1551765565843611</v>
      </c>
      <c r="C4793" t="s">
        <v>40</v>
      </c>
      <c r="D4793">
        <v>3.6359900000000001</v>
      </c>
      <c r="E4793">
        <v>0.37046440000000003</v>
      </c>
      <c r="F4793" t="s">
        <v>41</v>
      </c>
      <c r="G4793">
        <v>-402.28109999999998</v>
      </c>
      <c r="H4793">
        <v>1.022513</v>
      </c>
      <c r="I4793">
        <v>22.02814</v>
      </c>
      <c r="J4793">
        <v>-403.02589999999998</v>
      </c>
      <c r="K4793">
        <v>1.1086800000000001</v>
      </c>
      <c r="L4793">
        <v>21.759029999999999</v>
      </c>
      <c r="M4793">
        <v>0.94544260000000002</v>
      </c>
      <c r="N4793">
        <v>-1.32274E-2</v>
      </c>
      <c r="O4793">
        <v>-0.32552059999999999</v>
      </c>
      <c r="P4793">
        <v>0.99547759999999996</v>
      </c>
      <c r="Q4793">
        <v>-6.074135E-2</v>
      </c>
      <c r="R4793">
        <v>-7.3043469999999999E-2</v>
      </c>
      <c r="S4793">
        <v>3.053375</v>
      </c>
      <c r="T4793">
        <v>-0.30546180000000001</v>
      </c>
      <c r="U4793">
        <v>0.80950929999999999</v>
      </c>
      <c r="V4793">
        <v>-0.25512200000000002</v>
      </c>
      <c r="W4793">
        <v>-4.7384460000000003E-2</v>
      </c>
      <c r="X4793">
        <v>0.96574709999999997</v>
      </c>
      <c r="Y4793">
        <v>-0.5528632</v>
      </c>
      <c r="Z4793">
        <v>5.8444169999999997E-2</v>
      </c>
      <c r="AA4793">
        <v>0.83121990000000001</v>
      </c>
      <c r="AB4793">
        <v>23</v>
      </c>
      <c r="AC4793">
        <v>0.74479999999999702</v>
      </c>
      <c r="AD4793">
        <v>-8.6166999999999799E-2</v>
      </c>
      <c r="AE4793">
        <v>0.26911000000000102</v>
      </c>
      <c r="AF4793">
        <v>-0.49110503324820198</v>
      </c>
      <c r="AG4793">
        <v>-8.6166999999999799E-2</v>
      </c>
      <c r="AH4793">
        <v>0.60940395149781901</v>
      </c>
      <c r="AI4793">
        <v>96.282676552224601</v>
      </c>
      <c r="AJ4793">
        <v>128.86456505257601</v>
      </c>
      <c r="AK4793">
        <v>0.78738940916923394</v>
      </c>
      <c r="AL4793">
        <v>92.715946589404197</v>
      </c>
      <c r="AM4793">
        <v>104.797815528919</v>
      </c>
      <c r="AN4793">
        <v>0.99999999154594998</v>
      </c>
    </row>
    <row r="4794" spans="1:40" x14ac:dyDescent="0.25">
      <c r="A4794" t="str">
        <f>"20190305135925866"</f>
        <v>20190305135925866</v>
      </c>
      <c r="B4794" t="str">
        <f>"1551765565854346"</f>
        <v>1551765565854346</v>
      </c>
      <c r="C4794" t="s">
        <v>40</v>
      </c>
      <c r="D4794">
        <v>3.6565979999999998</v>
      </c>
      <c r="E4794">
        <v>0.37050840000000002</v>
      </c>
      <c r="F4794" t="s">
        <v>41</v>
      </c>
      <c r="G4794">
        <v>-402.084</v>
      </c>
      <c r="H4794">
        <v>1.0156559999999999</v>
      </c>
      <c r="I4794">
        <v>22.007539999999999</v>
      </c>
      <c r="J4794">
        <v>-402.8526</v>
      </c>
      <c r="K4794">
        <v>1.1087469999999999</v>
      </c>
      <c r="L4794">
        <v>21.697970000000002</v>
      </c>
      <c r="M4794">
        <v>0.94509189999999998</v>
      </c>
      <c r="N4794">
        <v>-1.322276E-2</v>
      </c>
      <c r="O4794">
        <v>-0.32653729999999997</v>
      </c>
      <c r="P4794">
        <v>0.99549160000000003</v>
      </c>
      <c r="Q4794">
        <v>-5.8899180000000002E-2</v>
      </c>
      <c r="R4794">
        <v>-7.4347350000000006E-2</v>
      </c>
      <c r="S4794">
        <v>3.0544129999999998</v>
      </c>
      <c r="T4794">
        <v>-0.30166910000000002</v>
      </c>
      <c r="U4794">
        <v>0.80636600000000003</v>
      </c>
      <c r="V4794">
        <v>-0.25492140000000002</v>
      </c>
      <c r="W4794">
        <v>-4.5580460000000003E-2</v>
      </c>
      <c r="X4794">
        <v>0.96588689999999999</v>
      </c>
      <c r="Y4794">
        <v>-0.55298630000000004</v>
      </c>
      <c r="Z4794">
        <v>5.7790699999999903E-2</v>
      </c>
      <c r="AA4794">
        <v>0.83118369999999997</v>
      </c>
      <c r="AB4794">
        <v>23</v>
      </c>
      <c r="AC4794">
        <v>0.76859999999999196</v>
      </c>
      <c r="AD4794">
        <v>-9.3090999999999993E-2</v>
      </c>
      <c r="AE4794">
        <v>0.30956999999999701</v>
      </c>
      <c r="AF4794">
        <v>-0.53682046037647102</v>
      </c>
      <c r="AG4794">
        <v>-9.3090999999999993E-2</v>
      </c>
      <c r="AH4794">
        <v>0.61757118993982496</v>
      </c>
      <c r="AI4794">
        <v>96.490363391158596</v>
      </c>
      <c r="AJ4794">
        <v>130.99862683725499</v>
      </c>
      <c r="AK4794">
        <v>0.82355104007189395</v>
      </c>
      <c r="AL4794">
        <v>92.612473119502894</v>
      </c>
      <c r="AM4794">
        <v>104.784643697653</v>
      </c>
      <c r="AN4794">
        <v>1.0000000010516901</v>
      </c>
    </row>
    <row r="4795" spans="1:40" x14ac:dyDescent="0.25">
      <c r="A4795" t="str">
        <f>"20190305135925879"</f>
        <v>20190305135925879</v>
      </c>
      <c r="B4795" t="str">
        <f>"1551765565873867"</f>
        <v>1551765565873867</v>
      </c>
      <c r="C4795" t="s">
        <v>40</v>
      </c>
      <c r="D4795">
        <v>3.6176029999999999</v>
      </c>
      <c r="E4795">
        <v>0.37056410000000001</v>
      </c>
      <c r="F4795" t="s">
        <v>41</v>
      </c>
      <c r="G4795">
        <v>-401.89159999999998</v>
      </c>
      <c r="H4795">
        <v>1.015509</v>
      </c>
      <c r="I4795">
        <v>21.950230000000001</v>
      </c>
      <c r="J4795">
        <v>-402.73180000000002</v>
      </c>
      <c r="K4795">
        <v>1.1087940000000001</v>
      </c>
      <c r="L4795">
        <v>21.655329999999999</v>
      </c>
      <c r="M4795">
        <v>0.94485490000000005</v>
      </c>
      <c r="N4795">
        <v>-1.3219689999999999E-2</v>
      </c>
      <c r="O4795">
        <v>-0.32722269999999998</v>
      </c>
      <c r="P4795">
        <v>0.9954982</v>
      </c>
      <c r="Q4795">
        <v>-5.7983769999999997E-2</v>
      </c>
      <c r="R4795">
        <v>-7.4977479999999999E-2</v>
      </c>
      <c r="S4795">
        <v>3.0559690000000002</v>
      </c>
      <c r="T4795">
        <v>-0.29650209999999999</v>
      </c>
      <c r="U4795">
        <v>0.80181880000000005</v>
      </c>
      <c r="V4795">
        <v>-0.25502190000000002</v>
      </c>
      <c r="W4795">
        <v>-4.4691679999999998E-2</v>
      </c>
      <c r="X4795">
        <v>0.96590189999999998</v>
      </c>
      <c r="Y4795">
        <v>-0.55246669999999998</v>
      </c>
      <c r="Z4795">
        <v>5.6800969999999999E-2</v>
      </c>
      <c r="AA4795">
        <v>0.83159740000000004</v>
      </c>
      <c r="AB4795">
        <v>23</v>
      </c>
      <c r="AC4795">
        <v>0.84020000000003803</v>
      </c>
      <c r="AD4795">
        <v>-9.3285000000000007E-2</v>
      </c>
      <c r="AE4795">
        <v>0.294899999999998</v>
      </c>
      <c r="AF4795">
        <v>-0.54760853648883501</v>
      </c>
      <c r="AG4795">
        <v>-9.3285000000000007E-2</v>
      </c>
      <c r="AH4795">
        <v>0.68985878154070102</v>
      </c>
      <c r="AI4795">
        <v>96.045734499786704</v>
      </c>
      <c r="AJ4795">
        <v>128.44247670043299</v>
      </c>
      <c r="AK4795">
        <v>0.88571007611365904</v>
      </c>
      <c r="AL4795">
        <v>92.561497831000594</v>
      </c>
      <c r="AM4795">
        <v>104.78999731155901</v>
      </c>
      <c r="AN4795">
        <v>0.99999999808222095</v>
      </c>
    </row>
    <row r="4796" spans="1:40" x14ac:dyDescent="0.25">
      <c r="A4796" t="str">
        <f>"20190305135925890"</f>
        <v>20190305135925890</v>
      </c>
      <c r="B4796" t="str">
        <f>"1551765565884070"</f>
        <v>1551765565884070</v>
      </c>
      <c r="C4796" t="s">
        <v>40</v>
      </c>
      <c r="D4796">
        <v>3.5967690000000001</v>
      </c>
      <c r="E4796">
        <v>0.37062240000000002</v>
      </c>
      <c r="F4796" t="s">
        <v>41</v>
      </c>
      <c r="G4796">
        <v>-401.69529999999997</v>
      </c>
      <c r="H4796">
        <v>1.0104200000000001</v>
      </c>
      <c r="I4796">
        <v>21.926359999999999</v>
      </c>
      <c r="J4796">
        <v>-402.61360000000002</v>
      </c>
      <c r="K4796">
        <v>1.1088340000000001</v>
      </c>
      <c r="L4796">
        <v>21.613530000000001</v>
      </c>
      <c r="M4796">
        <v>0.94463379999999997</v>
      </c>
      <c r="N4796">
        <v>-1.321694E-2</v>
      </c>
      <c r="O4796">
        <v>-0.3278605</v>
      </c>
      <c r="P4796">
        <v>0.99549350000000003</v>
      </c>
      <c r="Q4796">
        <v>-5.7270689999999999E-2</v>
      </c>
      <c r="R4796">
        <v>-7.5583029999999995E-2</v>
      </c>
      <c r="S4796">
        <v>3.056915</v>
      </c>
      <c r="T4796">
        <v>-0.2901263</v>
      </c>
      <c r="U4796">
        <v>0.79971309999999995</v>
      </c>
      <c r="V4796">
        <v>-0.25509470000000001</v>
      </c>
      <c r="W4796">
        <v>-4.4002819999999998E-2</v>
      </c>
      <c r="X4796">
        <v>0.9659143</v>
      </c>
      <c r="Y4796">
        <v>-0.55259259999999999</v>
      </c>
      <c r="Z4796">
        <v>5.561526E-2</v>
      </c>
      <c r="AA4796">
        <v>0.83159380000000005</v>
      </c>
      <c r="AB4796">
        <v>23</v>
      </c>
      <c r="AC4796">
        <v>0.91830000000004397</v>
      </c>
      <c r="AD4796">
        <v>-9.8414000000000001E-2</v>
      </c>
      <c r="AE4796">
        <v>0.312830000000001</v>
      </c>
      <c r="AF4796">
        <v>-0.59055865785578698</v>
      </c>
      <c r="AG4796">
        <v>-9.8414000000000001E-2</v>
      </c>
      <c r="AH4796">
        <v>0.75716729051120901</v>
      </c>
      <c r="AI4796">
        <v>95.851750003974502</v>
      </c>
      <c r="AJ4796">
        <v>127.952733381225</v>
      </c>
      <c r="AK4796">
        <v>0.96527050591246899</v>
      </c>
      <c r="AL4796">
        <v>92.521990199866707</v>
      </c>
      <c r="AM4796">
        <v>104.793852614424</v>
      </c>
      <c r="AN4796">
        <v>0.999999994540266</v>
      </c>
    </row>
    <row r="4797" spans="1:40" x14ac:dyDescent="0.25">
      <c r="A4797" t="str">
        <f>"20190305135925901"</f>
        <v>20190305135925901</v>
      </c>
      <c r="B4797" t="str">
        <f>"1551765565893830"</f>
        <v>1551765565893830</v>
      </c>
      <c r="C4797" t="s">
        <v>40</v>
      </c>
      <c r="D4797">
        <v>3.6012400000000002</v>
      </c>
      <c r="E4797">
        <v>0.37070110000000001</v>
      </c>
      <c r="F4797" t="s">
        <v>41</v>
      </c>
      <c r="G4797">
        <v>-401.70460000000003</v>
      </c>
      <c r="H4797">
        <v>1.0237229999999999</v>
      </c>
      <c r="I4797">
        <v>21.850449999999999</v>
      </c>
      <c r="J4797">
        <v>-402.51190000000003</v>
      </c>
      <c r="K4797">
        <v>1.108867</v>
      </c>
      <c r="L4797">
        <v>21.577480000000001</v>
      </c>
      <c r="M4797">
        <v>0.94444620000000001</v>
      </c>
      <c r="N4797">
        <v>-1.321461E-2</v>
      </c>
      <c r="O4797">
        <v>-0.32840049999999998</v>
      </c>
      <c r="P4797">
        <v>0.9954923</v>
      </c>
      <c r="Q4797">
        <v>-5.675533E-2</v>
      </c>
      <c r="R4797">
        <v>-7.5986880000000007E-2</v>
      </c>
      <c r="S4797">
        <v>3.0576479999999999</v>
      </c>
      <c r="T4797">
        <v>-0.28628340000000002</v>
      </c>
      <c r="U4797">
        <v>0.79739380000000004</v>
      </c>
      <c r="V4797">
        <v>-0.2552605</v>
      </c>
      <c r="W4797">
        <v>-4.3507820000000003E-2</v>
      </c>
      <c r="X4797">
        <v>0.96589290000000005</v>
      </c>
      <c r="Y4797">
        <v>-0.55252609999999902</v>
      </c>
      <c r="Z4797">
        <v>5.490242E-2</v>
      </c>
      <c r="AA4797">
        <v>0.83168539999999902</v>
      </c>
      <c r="AB4797">
        <v>23</v>
      </c>
      <c r="AC4797">
        <v>0.80729999999999702</v>
      </c>
      <c r="AD4797">
        <v>-8.5144000000000095E-2</v>
      </c>
      <c r="AE4797">
        <v>0.27296999999999999</v>
      </c>
      <c r="AF4797">
        <v>-0.51780006885553698</v>
      </c>
      <c r="AG4797">
        <v>-8.5144000000000095E-2</v>
      </c>
      <c r="AH4797">
        <v>0.66621636219123903</v>
      </c>
      <c r="AI4797">
        <v>95.762101944849405</v>
      </c>
      <c r="AJ4797">
        <v>127.855247418052</v>
      </c>
      <c r="AK4797">
        <v>0.84806288286549103</v>
      </c>
      <c r="AL4797">
        <v>92.493601651992094</v>
      </c>
      <c r="AM4797">
        <v>104.803359433965</v>
      </c>
      <c r="AN4797">
        <v>0.99999997376590499</v>
      </c>
    </row>
    <row r="4798" spans="1:40" x14ac:dyDescent="0.25">
      <c r="A4798" t="str">
        <f>"20190305135925914"</f>
        <v>20190305135925914</v>
      </c>
      <c r="B4798" t="str">
        <f>"1551765565903589"</f>
        <v>1551765565903589</v>
      </c>
      <c r="C4798" t="s">
        <v>40</v>
      </c>
      <c r="D4798">
        <v>3.61172</v>
      </c>
      <c r="E4798">
        <v>0.37074770000000001</v>
      </c>
      <c r="F4798" t="s">
        <v>41</v>
      </c>
      <c r="G4798">
        <v>-401.50709999999998</v>
      </c>
      <c r="H4798">
        <v>1.0157210000000001</v>
      </c>
      <c r="I4798">
        <v>21.838789999999999</v>
      </c>
      <c r="J4798">
        <v>-402.38740000000001</v>
      </c>
      <c r="K4798">
        <v>1.108903</v>
      </c>
      <c r="L4798">
        <v>21.533329999999999</v>
      </c>
      <c r="M4798">
        <v>0.94422329999999999</v>
      </c>
      <c r="N4798">
        <v>-1.3211809999999999E-2</v>
      </c>
      <c r="O4798">
        <v>-0.32904099999999997</v>
      </c>
      <c r="P4798">
        <v>0.99545139999999999</v>
      </c>
      <c r="Q4798">
        <v>-5.6500000000000002E-2</v>
      </c>
      <c r="R4798">
        <v>-7.6709089999999994E-2</v>
      </c>
      <c r="S4798">
        <v>3.0581969999999998</v>
      </c>
      <c r="T4798">
        <v>-0.28348089999999998</v>
      </c>
      <c r="U4798">
        <v>0.79565430000000004</v>
      </c>
      <c r="V4798">
        <v>-0.25521559999999999</v>
      </c>
      <c r="W4798">
        <v>-4.3275590000000003E-2</v>
      </c>
      <c r="X4798">
        <v>0.96591519999999997</v>
      </c>
      <c r="Y4798">
        <v>-0.55267909999999998</v>
      </c>
      <c r="Z4798">
        <v>5.441087E-2</v>
      </c>
      <c r="AA4798">
        <v>0.83161609999999997</v>
      </c>
      <c r="AB4798">
        <v>23</v>
      </c>
      <c r="AC4798">
        <v>0.88030000000003295</v>
      </c>
      <c r="AD4798">
        <v>-9.3182000000000098E-2</v>
      </c>
      <c r="AE4798">
        <v>0.30546000000000001</v>
      </c>
      <c r="AF4798">
        <v>-0.57240325806679404</v>
      </c>
      <c r="AG4798">
        <v>-9.3182000000000098E-2</v>
      </c>
      <c r="AH4798">
        <v>0.72351897954450095</v>
      </c>
      <c r="AI4798">
        <v>95.767499717771699</v>
      </c>
      <c r="AJ4798">
        <v>128.34885537153099</v>
      </c>
      <c r="AK4798">
        <v>0.92725837215449203</v>
      </c>
      <c r="AL4798">
        <v>92.480283302180396</v>
      </c>
      <c r="AM4798">
        <v>104.800543148641</v>
      </c>
      <c r="AN4798">
        <v>0.99999997638212301</v>
      </c>
    </row>
    <row r="4799" spans="1:40" x14ac:dyDescent="0.25">
      <c r="A4799" t="str">
        <f>"20190305135925934"</f>
        <v>20190305135925934</v>
      </c>
      <c r="B4799" t="str">
        <f>"1551765565924089"</f>
        <v>1551765565924089</v>
      </c>
      <c r="C4799" t="s">
        <v>40</v>
      </c>
      <c r="D4799">
        <v>3.576562</v>
      </c>
      <c r="E4799">
        <v>0.370944</v>
      </c>
      <c r="F4799" t="s">
        <v>41</v>
      </c>
      <c r="G4799">
        <v>-401.517</v>
      </c>
      <c r="H4799">
        <v>1.028829</v>
      </c>
      <c r="I4799">
        <v>21.758900000000001</v>
      </c>
      <c r="J4799">
        <v>-402.20010000000002</v>
      </c>
      <c r="K4799">
        <v>1.108951</v>
      </c>
      <c r="L4799">
        <v>21.46677</v>
      </c>
      <c r="M4799">
        <v>0.94390010000000002</v>
      </c>
      <c r="N4799">
        <v>-1.3207780000000001E-2</v>
      </c>
      <c r="O4799">
        <v>-0.32996720000000002</v>
      </c>
      <c r="P4799">
        <v>0.99540329999999999</v>
      </c>
      <c r="Q4799">
        <v>-5.6284840000000003E-2</v>
      </c>
      <c r="R4799">
        <v>-7.7488399999999902E-2</v>
      </c>
      <c r="S4799">
        <v>3.0588380000000002</v>
      </c>
      <c r="T4799">
        <v>-0.2813927</v>
      </c>
      <c r="U4799">
        <v>0.79315190000000002</v>
      </c>
      <c r="V4799">
        <v>-0.25540610000000002</v>
      </c>
      <c r="W4799">
        <v>-4.3092859999999997E-2</v>
      </c>
      <c r="X4799">
        <v>0.96587310000000004</v>
      </c>
      <c r="Y4799">
        <v>-0.55286400000000002</v>
      </c>
      <c r="Z4799">
        <v>5.4078880000000003E-2</v>
      </c>
      <c r="AA4799">
        <v>0.8315148</v>
      </c>
      <c r="AB4799">
        <v>23</v>
      </c>
      <c r="AC4799">
        <v>0.68310000000002402</v>
      </c>
      <c r="AD4799">
        <v>-8.0121999999999999E-2</v>
      </c>
      <c r="AE4799">
        <v>0.29213</v>
      </c>
      <c r="AF4799">
        <v>-0.49542386069468802</v>
      </c>
      <c r="AG4799">
        <v>-8.0121999999999999E-2</v>
      </c>
      <c r="AH4799">
        <v>0.54212750857026404</v>
      </c>
      <c r="AI4799">
        <v>96.226242566522004</v>
      </c>
      <c r="AJ4799">
        <v>132.42266564685099</v>
      </c>
      <c r="AK4799">
        <v>0.73876015876482604</v>
      </c>
      <c r="AL4799">
        <v>92.469803666675702</v>
      </c>
      <c r="AM4799">
        <v>104.811722430967</v>
      </c>
      <c r="AN4799">
        <v>1.0000000579018899</v>
      </c>
    </row>
    <row r="4800" spans="1:40" x14ac:dyDescent="0.25">
      <c r="A4800" t="str">
        <f>"20190305135925949"</f>
        <v>20190305135925949</v>
      </c>
      <c r="B4800" t="str">
        <f>"1551765565943606"</f>
        <v>1551765565943606</v>
      </c>
      <c r="C4800" t="s">
        <v>40</v>
      </c>
      <c r="D4800">
        <v>3.5618479999999999</v>
      </c>
      <c r="E4800">
        <v>0.37111379999999999</v>
      </c>
      <c r="F4800" t="s">
        <v>41</v>
      </c>
      <c r="G4800">
        <v>-401.32650000000001</v>
      </c>
      <c r="H4800">
        <v>1.0297499999999999</v>
      </c>
      <c r="I4800">
        <v>21.691960000000002</v>
      </c>
      <c r="J4800">
        <v>-402.06560000000002</v>
      </c>
      <c r="K4800">
        <v>1.108981</v>
      </c>
      <c r="L4800">
        <v>21.418849999999999</v>
      </c>
      <c r="M4800">
        <v>0.94367780000000001</v>
      </c>
      <c r="N4800">
        <v>-1.320501E-2</v>
      </c>
      <c r="O4800">
        <v>-0.33060260000000002</v>
      </c>
      <c r="P4800">
        <v>0.99534339999999999</v>
      </c>
      <c r="Q4800">
        <v>-5.6317390000000002E-2</v>
      </c>
      <c r="R4800">
        <v>-7.823136E-2</v>
      </c>
      <c r="S4800">
        <v>3.059631</v>
      </c>
      <c r="T4800">
        <v>-0.27737650000000003</v>
      </c>
      <c r="U4800">
        <v>0.78936770000000001</v>
      </c>
      <c r="V4800">
        <v>-0.25533129999999998</v>
      </c>
      <c r="W4800">
        <v>-4.3147310000000001E-2</v>
      </c>
      <c r="X4800">
        <v>0.96589040000000004</v>
      </c>
      <c r="Y4800">
        <v>-0.55250679999999996</v>
      </c>
      <c r="Z4800">
        <v>5.33217E-2</v>
      </c>
      <c r="AA4800">
        <v>0.83180109999999996</v>
      </c>
      <c r="AB4800">
        <v>23</v>
      </c>
      <c r="AC4800">
        <v>0.73910000000000697</v>
      </c>
      <c r="AD4800">
        <v>-7.9230999999999996E-2</v>
      </c>
      <c r="AE4800">
        <v>0.27311000000000202</v>
      </c>
      <c r="AF4800">
        <v>-0.497093783624179</v>
      </c>
      <c r="AG4800">
        <v>-7.9230999999999996E-2</v>
      </c>
      <c r="AH4800">
        <v>0.60115591430107396</v>
      </c>
      <c r="AI4800">
        <v>95.799679109803407</v>
      </c>
      <c r="AJ4800">
        <v>129.587230003363</v>
      </c>
      <c r="AK4800">
        <v>0.784071562026045</v>
      </c>
      <c r="AL4800">
        <v>92.472926434803398</v>
      </c>
      <c r="AM4800">
        <v>104.807321619977</v>
      </c>
      <c r="AN4800">
        <v>1.0000000139660401</v>
      </c>
    </row>
    <row r="4801" spans="1:40" x14ac:dyDescent="0.25">
      <c r="A4801" t="str">
        <f>"20190305135925968"</f>
        <v>20190305135925968</v>
      </c>
      <c r="B4801" t="str">
        <f>"1551765565964103"</f>
        <v>1551765565964103</v>
      </c>
      <c r="C4801" t="s">
        <v>40</v>
      </c>
      <c r="D4801">
        <v>3.558881</v>
      </c>
      <c r="E4801">
        <v>0.37119099999999999</v>
      </c>
      <c r="F4801" t="s">
        <v>41</v>
      </c>
      <c r="G4801">
        <v>-401.13209999999998</v>
      </c>
      <c r="H4801">
        <v>1.0249820000000001</v>
      </c>
      <c r="I4801">
        <v>21.658480000000001</v>
      </c>
      <c r="J4801">
        <v>-401.88670000000002</v>
      </c>
      <c r="K4801">
        <v>1.109013</v>
      </c>
      <c r="L4801">
        <v>21.35501</v>
      </c>
      <c r="M4801">
        <v>0.94339379999999995</v>
      </c>
      <c r="N4801">
        <v>-1.320144E-2</v>
      </c>
      <c r="O4801">
        <v>-0.3314126</v>
      </c>
      <c r="P4801">
        <v>0.99520640000000005</v>
      </c>
      <c r="Q4801">
        <v>-5.6827030000000001E-2</v>
      </c>
      <c r="R4801">
        <v>-7.9595819999999998E-2</v>
      </c>
      <c r="S4801">
        <v>3.0602420000000001</v>
      </c>
      <c r="T4801">
        <v>-0.27539059999999999</v>
      </c>
      <c r="U4801">
        <v>0.78585819999999995</v>
      </c>
      <c r="V4801">
        <v>-0.25482379999999999</v>
      </c>
      <c r="W4801">
        <v>-4.3685599999999998E-2</v>
      </c>
      <c r="X4801">
        <v>0.96600019999999998</v>
      </c>
      <c r="Y4801">
        <v>-0.55233339999999997</v>
      </c>
      <c r="Z4801">
        <v>5.2981849999999997E-2</v>
      </c>
      <c r="AA4801">
        <v>0.83193790000000001</v>
      </c>
      <c r="AB4801">
        <v>23</v>
      </c>
      <c r="AC4801">
        <v>0.75460000000003902</v>
      </c>
      <c r="AD4801">
        <v>-8.4030999999999897E-2</v>
      </c>
      <c r="AE4801">
        <v>0.30346999999999702</v>
      </c>
      <c r="AF4801">
        <v>-0.53075683326521605</v>
      </c>
      <c r="AG4801">
        <v>-8.4030999999999897E-2</v>
      </c>
      <c r="AH4801">
        <v>0.60490735768766102</v>
      </c>
      <c r="AI4801">
        <v>95.961182957188399</v>
      </c>
      <c r="AJ4801">
        <v>131.26430928458799</v>
      </c>
      <c r="AK4801">
        <v>0.809121088838616</v>
      </c>
      <c r="AL4801">
        <v>92.503797340386996</v>
      </c>
      <c r="AM4801">
        <v>104.77757345045799</v>
      </c>
      <c r="AN4801">
        <v>0.99999999354691904</v>
      </c>
    </row>
    <row r="4802" spans="1:40" x14ac:dyDescent="0.25">
      <c r="A4802" t="str">
        <f>"20190305135925982"</f>
        <v>20190305135925982</v>
      </c>
      <c r="B4802" t="str">
        <f>"1551765565973863"</f>
        <v>1551765565973863</v>
      </c>
      <c r="C4802" t="s">
        <v>40</v>
      </c>
      <c r="D4802">
        <v>3.5698349999999999</v>
      </c>
      <c r="E4802">
        <v>0.37123240000000002</v>
      </c>
      <c r="F4802" t="s">
        <v>41</v>
      </c>
      <c r="G4802">
        <v>-400.94159999999999</v>
      </c>
      <c r="H4802">
        <v>1.0243910000000001</v>
      </c>
      <c r="I4802">
        <v>21.595980000000001</v>
      </c>
      <c r="J4802">
        <v>-401.75240000000002</v>
      </c>
      <c r="K4802">
        <v>1.1090409999999999</v>
      </c>
      <c r="L4802">
        <v>21.307040000000001</v>
      </c>
      <c r="M4802">
        <v>0.94318959999999996</v>
      </c>
      <c r="N4802">
        <v>-1.319886E-2</v>
      </c>
      <c r="O4802">
        <v>-0.33199299999999998</v>
      </c>
      <c r="P4802">
        <v>0.99508479999999999</v>
      </c>
      <c r="Q4802">
        <v>-5.7293030000000002E-2</v>
      </c>
      <c r="R4802">
        <v>-8.0773600000000001E-2</v>
      </c>
      <c r="S4802">
        <v>3.0612789999999999</v>
      </c>
      <c r="T4802">
        <v>-0.2740958</v>
      </c>
      <c r="U4802">
        <v>0.78121949999999996</v>
      </c>
      <c r="V4802">
        <v>-0.25426359999999998</v>
      </c>
      <c r="W4802">
        <v>-4.4173289999999997E-2</v>
      </c>
      <c r="X4802">
        <v>0.96612560000000003</v>
      </c>
      <c r="Y4802">
        <v>-0.55162809999999995</v>
      </c>
      <c r="Z4802">
        <v>5.2725809999999998E-2</v>
      </c>
      <c r="AA4802">
        <v>0.83242209999999905</v>
      </c>
      <c r="AB4802">
        <v>22</v>
      </c>
      <c r="AC4802">
        <v>0.81080000000002805</v>
      </c>
      <c r="AD4802">
        <v>-8.4649999999999795E-2</v>
      </c>
      <c r="AE4802">
        <v>0.28893999999999598</v>
      </c>
      <c r="AF4802">
        <v>-0.53656277694667398</v>
      </c>
      <c r="AG4802">
        <v>-8.4649999999999795E-2</v>
      </c>
      <c r="AH4802">
        <v>0.66246310678408304</v>
      </c>
      <c r="AI4802">
        <v>95.670661313288903</v>
      </c>
      <c r="AJ4802">
        <v>129.005783594707</v>
      </c>
      <c r="AK4802">
        <v>0.85669282940546798</v>
      </c>
      <c r="AL4802">
        <v>92.531766989146107</v>
      </c>
      <c r="AM4802">
        <v>104.74467327272301</v>
      </c>
      <c r="AN4802">
        <v>0.99999996640487099</v>
      </c>
    </row>
    <row r="4803" spans="1:40" x14ac:dyDescent="0.25">
      <c r="A4803" t="str">
        <f>"20190305135926001"</f>
        <v>20190305135926001</v>
      </c>
      <c r="B4803" t="str">
        <f>"1551765565994358"</f>
        <v>1551765565994358</v>
      </c>
      <c r="C4803" t="s">
        <v>40</v>
      </c>
      <c r="D4803">
        <v>3.5380029999999998</v>
      </c>
      <c r="E4803">
        <v>0.3713264</v>
      </c>
      <c r="F4803" t="s">
        <v>41</v>
      </c>
      <c r="G4803">
        <v>-400.74770000000001</v>
      </c>
      <c r="H4803">
        <v>1.019096</v>
      </c>
      <c r="I4803">
        <v>21.562110000000001</v>
      </c>
      <c r="J4803">
        <v>-401.57279999999997</v>
      </c>
      <c r="K4803">
        <v>1.1090819999999999</v>
      </c>
      <c r="L4803">
        <v>21.24277</v>
      </c>
      <c r="M4803">
        <v>0.94293210000000005</v>
      </c>
      <c r="N4803">
        <v>-1.319558E-2</v>
      </c>
      <c r="O4803">
        <v>-0.3327233</v>
      </c>
      <c r="P4803">
        <v>0.99492190000000003</v>
      </c>
      <c r="Q4803">
        <v>-5.8025889999999997E-2</v>
      </c>
      <c r="R4803">
        <v>-8.2239690000000004E-2</v>
      </c>
      <c r="S4803">
        <v>3.062103</v>
      </c>
      <c r="T4803">
        <v>-0.27412239999999999</v>
      </c>
      <c r="U4803">
        <v>0.77743530000000005</v>
      </c>
      <c r="V4803">
        <v>-0.25357039999999997</v>
      </c>
      <c r="W4803">
        <v>-4.4936950000000003E-2</v>
      </c>
      <c r="X4803">
        <v>0.96627260000000004</v>
      </c>
      <c r="Y4803">
        <v>-0.55125219999999997</v>
      </c>
      <c r="Z4803">
        <v>5.275606E-2</v>
      </c>
      <c r="AA4803">
        <v>0.83266899999999999</v>
      </c>
      <c r="AB4803">
        <v>22</v>
      </c>
      <c r="AC4803">
        <v>0.82509999999996297</v>
      </c>
      <c r="AD4803">
        <v>-8.9985999999999899E-2</v>
      </c>
      <c r="AE4803">
        <v>0.31934000000000001</v>
      </c>
      <c r="AF4803">
        <v>-0.56980168174943702</v>
      </c>
      <c r="AG4803">
        <v>-8.9985999999999899E-2</v>
      </c>
      <c r="AH4803">
        <v>0.66494135396380205</v>
      </c>
      <c r="AI4803">
        <v>95.867172454166095</v>
      </c>
      <c r="AJ4803">
        <v>130.593939804169</v>
      </c>
      <c r="AK4803">
        <v>0.88029451942614101</v>
      </c>
      <c r="AL4803">
        <v>92.575564875670807</v>
      </c>
      <c r="AM4803">
        <v>104.70407911640299</v>
      </c>
      <c r="AN4803">
        <v>1.0000000073711099</v>
      </c>
    </row>
    <row r="4804" spans="1:40" x14ac:dyDescent="0.25">
      <c r="A4804" t="str">
        <f>"20190305135926012"</f>
        <v>20190305135926012</v>
      </c>
      <c r="B4804" t="str">
        <f>"1551765566004118"</f>
        <v>1551765566004118</v>
      </c>
      <c r="C4804" t="s">
        <v>40</v>
      </c>
      <c r="D4804">
        <v>3.5568550000000001</v>
      </c>
      <c r="E4804">
        <v>0.37136390000000002</v>
      </c>
      <c r="F4804" t="s">
        <v>41</v>
      </c>
      <c r="G4804">
        <v>-400.55779999999999</v>
      </c>
      <c r="H4804">
        <v>1.0179959999999999</v>
      </c>
      <c r="I4804">
        <v>21.498439999999999</v>
      </c>
      <c r="J4804">
        <v>-401.45159999999998</v>
      </c>
      <c r="K4804">
        <v>1.109111</v>
      </c>
      <c r="L4804">
        <v>21.199369999999998</v>
      </c>
      <c r="M4804">
        <v>0.94277120000000003</v>
      </c>
      <c r="N4804">
        <v>-1.3193440000000001E-2</v>
      </c>
      <c r="O4804">
        <v>-0.33317940000000001</v>
      </c>
      <c r="P4804">
        <v>0.99483469999999996</v>
      </c>
      <c r="Q4804">
        <v>-5.8352609999999999E-2</v>
      </c>
      <c r="R4804">
        <v>-8.3060090000000003E-2</v>
      </c>
      <c r="S4804">
        <v>3.0631710000000001</v>
      </c>
      <c r="T4804">
        <v>-0.27488459999999998</v>
      </c>
      <c r="U4804">
        <v>0.77218629999999999</v>
      </c>
      <c r="V4804">
        <v>-0.2532314</v>
      </c>
      <c r="W4804">
        <v>-4.528683E-2</v>
      </c>
      <c r="X4804">
        <v>0.96634509999999996</v>
      </c>
      <c r="Y4804">
        <v>-0.55023</v>
      </c>
      <c r="Z4804">
        <v>5.28741E-2</v>
      </c>
      <c r="AA4804">
        <v>0.83333740000000001</v>
      </c>
      <c r="AB4804">
        <v>22</v>
      </c>
      <c r="AC4804">
        <v>0.89379999999999804</v>
      </c>
      <c r="AD4804">
        <v>-9.1115000000000002E-2</v>
      </c>
      <c r="AE4804">
        <v>0.29906999999999601</v>
      </c>
      <c r="AF4804">
        <v>-0.57443231595246902</v>
      </c>
      <c r="AG4804">
        <v>-9.1115000000000002E-2</v>
      </c>
      <c r="AH4804">
        <v>0.73618939628037605</v>
      </c>
      <c r="AI4804">
        <v>95.573072796504505</v>
      </c>
      <c r="AJ4804">
        <v>127.964129120246</v>
      </c>
      <c r="AK4804">
        <v>0.93821599646945997</v>
      </c>
      <c r="AL4804">
        <v>92.595632112870703</v>
      </c>
      <c r="AM4804">
        <v>104.68421720369901</v>
      </c>
      <c r="AN4804">
        <v>0.99999994560570804</v>
      </c>
    </row>
    <row r="4805" spans="1:40" x14ac:dyDescent="0.25">
      <c r="A4805" t="str">
        <f>"20190305135926025"</f>
        <v>20190305135926025</v>
      </c>
      <c r="B4805" t="str">
        <f>"1551765566013878"</f>
        <v>1551765566013878</v>
      </c>
      <c r="C4805" t="s">
        <v>40</v>
      </c>
      <c r="D4805">
        <v>3.5527929999999999</v>
      </c>
      <c r="E4805">
        <v>0.37143579999999998</v>
      </c>
      <c r="F4805" t="s">
        <v>41</v>
      </c>
      <c r="G4805">
        <v>-400.5677</v>
      </c>
      <c r="H4805">
        <v>1.029693</v>
      </c>
      <c r="I4805">
        <v>21.421150000000001</v>
      </c>
      <c r="J4805">
        <v>-401.34280000000001</v>
      </c>
      <c r="K4805">
        <v>1.1091340000000001</v>
      </c>
      <c r="L4805">
        <v>21.160399999999999</v>
      </c>
      <c r="M4805">
        <v>0.94263560000000002</v>
      </c>
      <c r="N4805">
        <v>-1.31916E-2</v>
      </c>
      <c r="O4805">
        <v>-0.3335632</v>
      </c>
      <c r="P4805">
        <v>0.99476419999999999</v>
      </c>
      <c r="Q4805">
        <v>-5.8588660000000001E-2</v>
      </c>
      <c r="R4805">
        <v>-8.3734669999999997E-2</v>
      </c>
      <c r="S4805">
        <v>3.0636899999999998</v>
      </c>
      <c r="T4805">
        <v>-0.27526009999999901</v>
      </c>
      <c r="U4805">
        <v>0.76937869999999997</v>
      </c>
      <c r="V4805">
        <v>-0.25296160000000001</v>
      </c>
      <c r="W4805">
        <v>-4.5545049999999997E-2</v>
      </c>
      <c r="X4805">
        <v>0.96640369999999998</v>
      </c>
      <c r="Y4805">
        <v>-0.54980949999999995</v>
      </c>
      <c r="Z4805">
        <v>5.2948460000000003E-2</v>
      </c>
      <c r="AA4805">
        <v>0.83361019999999897</v>
      </c>
      <c r="AB4805">
        <v>22</v>
      </c>
      <c r="AC4805">
        <v>0.775100000000009</v>
      </c>
      <c r="AD4805">
        <v>-7.9441000000000095E-2</v>
      </c>
      <c r="AE4805">
        <v>0.26075000000000098</v>
      </c>
      <c r="AF4805">
        <v>-0.49966577052509498</v>
      </c>
      <c r="AG4805">
        <v>-7.9441000000000095E-2</v>
      </c>
      <c r="AH4805">
        <v>0.63769850385547</v>
      </c>
      <c r="AI4805">
        <v>95.600432390928404</v>
      </c>
      <c r="AJ4805">
        <v>128.08031341540899</v>
      </c>
      <c r="AK4805">
        <v>0.81402465351790299</v>
      </c>
      <c r="AL4805">
        <v>92.610442125066797</v>
      </c>
      <c r="AM4805">
        <v>104.66839618703</v>
      </c>
      <c r="AN4805">
        <v>1.0000000170138701</v>
      </c>
    </row>
    <row r="4806" spans="1:40" x14ac:dyDescent="0.25">
      <c r="A4806" t="str">
        <f>"20190305135926038"</f>
        <v>20190305135926038</v>
      </c>
      <c r="B4806" t="str">
        <f>"1551765566034374"</f>
        <v>1551765566034374</v>
      </c>
      <c r="C4806" t="s">
        <v>40</v>
      </c>
      <c r="D4806">
        <v>3.5383309999999999</v>
      </c>
      <c r="E4806">
        <v>0.37150709999999998</v>
      </c>
      <c r="F4806" t="s">
        <v>41</v>
      </c>
      <c r="G4806">
        <v>-400.37220000000002</v>
      </c>
      <c r="H4806">
        <v>1.02214</v>
      </c>
      <c r="I4806">
        <v>21.403320000000001</v>
      </c>
      <c r="J4806">
        <v>-401.2183</v>
      </c>
      <c r="K4806">
        <v>1.1091679999999999</v>
      </c>
      <c r="L4806">
        <v>21.115780000000001</v>
      </c>
      <c r="M4806">
        <v>0.94248739999999998</v>
      </c>
      <c r="N4806">
        <v>-1.3189579999999999E-2</v>
      </c>
      <c r="O4806">
        <v>-0.33398159999999999</v>
      </c>
      <c r="P4806">
        <v>0.99466209999999999</v>
      </c>
      <c r="Q4806">
        <v>-5.9292570000000003E-2</v>
      </c>
      <c r="R4806">
        <v>-8.4449099999999999E-2</v>
      </c>
      <c r="S4806">
        <v>3.0641479999999999</v>
      </c>
      <c r="T4806">
        <v>-0.27463399999999999</v>
      </c>
      <c r="U4806">
        <v>0.76687620000000001</v>
      </c>
      <c r="V4806">
        <v>-0.25267889999999998</v>
      </c>
      <c r="W4806">
        <v>-4.6275730000000001E-2</v>
      </c>
      <c r="X4806">
        <v>0.96644289999999999</v>
      </c>
      <c r="Y4806">
        <v>-0.54952519999999905</v>
      </c>
      <c r="Z4806">
        <v>5.2838469999999998E-2</v>
      </c>
      <c r="AA4806">
        <v>0.83380460000000001</v>
      </c>
      <c r="AB4806">
        <v>22</v>
      </c>
      <c r="AC4806">
        <v>0.84609999999997798</v>
      </c>
      <c r="AD4806">
        <v>-8.70279999999998E-2</v>
      </c>
      <c r="AE4806">
        <v>0.28754000000000302</v>
      </c>
      <c r="AF4806">
        <v>-0.54843124986464598</v>
      </c>
      <c r="AG4806">
        <v>-8.70279999999998E-2</v>
      </c>
      <c r="AH4806">
        <v>0.69487602274234495</v>
      </c>
      <c r="AI4806">
        <v>95.614781974352098</v>
      </c>
      <c r="AJ4806">
        <v>128.282284780249</v>
      </c>
      <c r="AK4806">
        <v>0.88949614703736601</v>
      </c>
      <c r="AL4806">
        <v>92.652351309281798</v>
      </c>
      <c r="AM4806">
        <v>104.652140430587</v>
      </c>
      <c r="AN4806">
        <v>0.99999997432632604</v>
      </c>
    </row>
    <row r="4807" spans="1:40" x14ac:dyDescent="0.25">
      <c r="A4807" t="str">
        <f>"20190305135926059"</f>
        <v>20190305135926059</v>
      </c>
      <c r="B4807" t="str">
        <f>"1551765566053894"</f>
        <v>1551765566053894</v>
      </c>
      <c r="C4807" t="s">
        <v>40</v>
      </c>
      <c r="D4807">
        <v>3.5370469999999998</v>
      </c>
      <c r="E4807">
        <v>0.3716004</v>
      </c>
      <c r="F4807" t="s">
        <v>41</v>
      </c>
      <c r="G4807">
        <v>-400.38240000000002</v>
      </c>
      <c r="H4807">
        <v>1.0341830000000001</v>
      </c>
      <c r="I4807">
        <v>21.324210000000001</v>
      </c>
      <c r="J4807">
        <v>-401.03210000000001</v>
      </c>
      <c r="K4807">
        <v>1.10924</v>
      </c>
      <c r="L4807">
        <v>21.049009999999999</v>
      </c>
      <c r="M4807">
        <v>0.94230499999999995</v>
      </c>
      <c r="N4807">
        <v>-1.3186460000000001E-2</v>
      </c>
      <c r="O4807">
        <v>-0.33449630000000002</v>
      </c>
      <c r="P4807">
        <v>0.9945041</v>
      </c>
      <c r="Q4807">
        <v>-6.0375749999999999E-2</v>
      </c>
      <c r="R4807">
        <v>-8.5539180000000006E-2</v>
      </c>
      <c r="S4807">
        <v>3.0646059999999999</v>
      </c>
      <c r="T4807">
        <v>-0.27492060000000001</v>
      </c>
      <c r="U4807">
        <v>0.764190699999999</v>
      </c>
      <c r="V4807">
        <v>-0.25211790000000001</v>
      </c>
      <c r="W4807">
        <v>-4.7410309999999997E-2</v>
      </c>
      <c r="X4807">
        <v>0.96653440000000002</v>
      </c>
      <c r="Y4807">
        <v>-0.54925649999999904</v>
      </c>
      <c r="Z4807">
        <v>5.2913700000000001E-2</v>
      </c>
      <c r="AA4807">
        <v>0.83397690000000002</v>
      </c>
      <c r="AB4807">
        <v>22</v>
      </c>
      <c r="AC4807">
        <v>0.64969999999999495</v>
      </c>
      <c r="AD4807">
        <v>-7.5056999999999902E-2</v>
      </c>
      <c r="AE4807">
        <v>0.275200000000001</v>
      </c>
      <c r="AF4807">
        <v>-0.47135217702632998</v>
      </c>
      <c r="AG4807">
        <v>-7.5056999999999902E-2</v>
      </c>
      <c r="AH4807">
        <v>0.51438657569083401</v>
      </c>
      <c r="AI4807">
        <v>96.1402555479184</v>
      </c>
      <c r="AJ4807">
        <v>132.50022536984201</v>
      </c>
      <c r="AK4807">
        <v>0.701712175530255</v>
      </c>
      <c r="AL4807">
        <v>92.717429438409397</v>
      </c>
      <c r="AM4807">
        <v>104.619680195775</v>
      </c>
      <c r="AN4807">
        <v>0.99999995968903199</v>
      </c>
    </row>
    <row r="4808" spans="1:40" x14ac:dyDescent="0.25">
      <c r="A4808" t="str">
        <f>"20190305135926081"</f>
        <v>20190305135926081</v>
      </c>
      <c r="B4808" t="str">
        <f>"1551765566074390"</f>
        <v>1551765566074390</v>
      </c>
      <c r="C4808" t="s">
        <v>40</v>
      </c>
      <c r="D4808">
        <v>3.548397</v>
      </c>
      <c r="E4808">
        <v>0.37172539999999998</v>
      </c>
      <c r="F4808" t="s">
        <v>41</v>
      </c>
      <c r="G4808">
        <v>-400.1936</v>
      </c>
      <c r="H4808">
        <v>1.0334939999999999</v>
      </c>
      <c r="I4808">
        <v>21.25684</v>
      </c>
      <c r="J4808">
        <v>-400.82600000000002</v>
      </c>
      <c r="K4808">
        <v>1.1093500000000001</v>
      </c>
      <c r="L4808">
        <v>20.97513</v>
      </c>
      <c r="M4808">
        <v>0.94216330000000004</v>
      </c>
      <c r="N4808">
        <v>-1.318224E-2</v>
      </c>
      <c r="O4808">
        <v>-0.334895</v>
      </c>
      <c r="P4808">
        <v>0.99437220000000004</v>
      </c>
      <c r="Q4808">
        <v>-6.0969080000000002E-2</v>
      </c>
      <c r="R4808">
        <v>-8.6640919999999996E-2</v>
      </c>
      <c r="S4808">
        <v>3.0651549999999999</v>
      </c>
      <c r="T4808">
        <v>-0.27688869999999999</v>
      </c>
      <c r="U4808">
        <v>0.76016240000000002</v>
      </c>
      <c r="V4808">
        <v>-0.25143100000000002</v>
      </c>
      <c r="W4808">
        <v>-4.8078719999999998E-2</v>
      </c>
      <c r="X4808">
        <v>0.96668030000000005</v>
      </c>
      <c r="Y4808">
        <v>-0.54849619999999999</v>
      </c>
      <c r="Z4808">
        <v>5.3282419999999997E-2</v>
      </c>
      <c r="AA4808">
        <v>0.83445369999999996</v>
      </c>
      <c r="AB4808">
        <v>22</v>
      </c>
      <c r="AC4808">
        <v>0.63239999999996099</v>
      </c>
      <c r="AD4808">
        <v>-7.5855999999999896E-2</v>
      </c>
      <c r="AE4808">
        <v>0.28171000000000002</v>
      </c>
      <c r="AF4808">
        <v>-0.47158424348030697</v>
      </c>
      <c r="AG4808">
        <v>-7.5855999999999896E-2</v>
      </c>
      <c r="AH4808">
        <v>0.49557471260122399</v>
      </c>
      <c r="AI4808">
        <v>96.327404454577703</v>
      </c>
      <c r="AJ4808">
        <v>133.57906416814299</v>
      </c>
      <c r="AK4808">
        <v>0.68828782293796198</v>
      </c>
      <c r="AL4808">
        <v>92.755770245385307</v>
      </c>
      <c r="AM4808">
        <v>104.579441507871</v>
      </c>
      <c r="AN4808">
        <v>0.99999995674296305</v>
      </c>
    </row>
    <row r="4809" spans="1:40" x14ac:dyDescent="0.25">
      <c r="A4809" t="str">
        <f>"20190305135926092"</f>
        <v>20190305135926092</v>
      </c>
      <c r="B4809" t="str">
        <f>"1551765566084150"</f>
        <v>1551765566084150</v>
      </c>
      <c r="C4809" t="s">
        <v>40</v>
      </c>
      <c r="D4809">
        <v>3.5497510000000001</v>
      </c>
      <c r="E4809">
        <v>0.37180289999999999</v>
      </c>
      <c r="F4809" t="s">
        <v>41</v>
      </c>
      <c r="G4809">
        <v>-399.80309999999997</v>
      </c>
      <c r="H4809">
        <v>1.017015</v>
      </c>
      <c r="I4809">
        <v>21.22701</v>
      </c>
      <c r="J4809">
        <v>-400.69720000000001</v>
      </c>
      <c r="K4809">
        <v>1.1094299999999999</v>
      </c>
      <c r="L4809">
        <v>20.929110000000001</v>
      </c>
      <c r="M4809">
        <v>0.94210919999999998</v>
      </c>
      <c r="N4809">
        <v>-1.317196E-2</v>
      </c>
      <c r="O4809">
        <v>-0.335047599999999</v>
      </c>
      <c r="P4809">
        <v>0.99430419999999997</v>
      </c>
      <c r="Q4809">
        <v>-6.137948E-2</v>
      </c>
      <c r="R4809">
        <v>-8.7131189999999997E-2</v>
      </c>
      <c r="S4809">
        <v>3.0658259999999999</v>
      </c>
      <c r="T4809">
        <v>-0.27671560000000001</v>
      </c>
      <c r="U4809">
        <v>0.75582890000000003</v>
      </c>
      <c r="V4809">
        <v>-0.25109330000000002</v>
      </c>
      <c r="W4809">
        <v>-4.8550610000000001E-2</v>
      </c>
      <c r="X4809">
        <v>0.96674450000000001</v>
      </c>
      <c r="Y4809">
        <v>-0.54748549999999996</v>
      </c>
      <c r="Z4809">
        <v>5.3202960000000001E-2</v>
      </c>
      <c r="AA4809">
        <v>0.83512219999999904</v>
      </c>
      <c r="AB4809">
        <v>22</v>
      </c>
      <c r="AC4809">
        <v>0.89410000000003698</v>
      </c>
      <c r="AD4809">
        <v>-9.24149999999999E-2</v>
      </c>
      <c r="AE4809">
        <v>0.297899999999998</v>
      </c>
      <c r="AF4809">
        <v>-0.57474395671148404</v>
      </c>
      <c r="AG4809">
        <v>-9.24149999999999E-2</v>
      </c>
      <c r="AH4809">
        <v>0.73552076483705897</v>
      </c>
      <c r="AI4809">
        <v>95.654092900088003</v>
      </c>
      <c r="AJ4809">
        <v>128.00445743665699</v>
      </c>
      <c r="AK4809">
        <v>0.93800956472088504</v>
      </c>
      <c r="AL4809">
        <v>92.782839133845997</v>
      </c>
      <c r="AM4809">
        <v>104.55976662761501</v>
      </c>
      <c r="AN4809">
        <v>0.99999996765825505</v>
      </c>
    </row>
    <row r="4810" spans="1:40" x14ac:dyDescent="0.25">
      <c r="A4810" t="str">
        <f>"20190305135926104"</f>
        <v>20190305135926104</v>
      </c>
      <c r="B4810" t="str">
        <f>"1551765566093910"</f>
        <v>1551765566093910</v>
      </c>
      <c r="C4810" t="s">
        <v>40</v>
      </c>
      <c r="D4810">
        <v>3.5412309999999998</v>
      </c>
      <c r="E4810">
        <v>0.3718436</v>
      </c>
      <c r="F4810" t="s">
        <v>41</v>
      </c>
      <c r="G4810">
        <v>-399.81360000000001</v>
      </c>
      <c r="H4810">
        <v>1.0296259999999999</v>
      </c>
      <c r="I4810">
        <v>21.146090000000001</v>
      </c>
      <c r="J4810">
        <v>-400.59370000000001</v>
      </c>
      <c r="K4810">
        <v>1.109494</v>
      </c>
      <c r="L4810">
        <v>20.89209</v>
      </c>
      <c r="M4810">
        <v>0.94207960000000002</v>
      </c>
      <c r="N4810">
        <v>-1.3161930000000001E-2</v>
      </c>
      <c r="O4810">
        <v>-0.33513090000000001</v>
      </c>
      <c r="P4810">
        <v>0.99424179999999995</v>
      </c>
      <c r="Q4810">
        <v>-6.1758979999999998E-2</v>
      </c>
      <c r="R4810">
        <v>-8.7573780000000004E-2</v>
      </c>
      <c r="S4810">
        <v>3.0661320000000001</v>
      </c>
      <c r="T4810">
        <v>-0.27689330000000001</v>
      </c>
      <c r="U4810">
        <v>0.75396730000000001</v>
      </c>
      <c r="V4810">
        <v>-0.25073319999999999</v>
      </c>
      <c r="W4810">
        <v>-4.8979710000000003E-2</v>
      </c>
      <c r="X4810">
        <v>0.96681640000000002</v>
      </c>
      <c r="Y4810">
        <v>-0.54705939999999997</v>
      </c>
      <c r="Z4810">
        <v>5.3219460000000003E-2</v>
      </c>
      <c r="AA4810">
        <v>0.83540029999999998</v>
      </c>
      <c r="AB4810">
        <v>22</v>
      </c>
      <c r="AC4810">
        <v>0.78010000000000401</v>
      </c>
      <c r="AD4810">
        <v>-7.9867999999999995E-2</v>
      </c>
      <c r="AE4810">
        <v>0.254000000000001</v>
      </c>
      <c r="AF4810">
        <v>-0.496065869420596</v>
      </c>
      <c r="AG4810">
        <v>-7.9867999999999995E-2</v>
      </c>
      <c r="AH4810">
        <v>0.64374837270160501</v>
      </c>
      <c r="AI4810">
        <v>95.612662641423199</v>
      </c>
      <c r="AJ4810">
        <v>127.617476526749</v>
      </c>
      <c r="AK4810">
        <v>0.81662244126889905</v>
      </c>
      <c r="AL4810">
        <v>92.807453806271596</v>
      </c>
      <c r="AM4810">
        <v>104.538736143908</v>
      </c>
      <c r="AN4810">
        <v>1.0000000504414399</v>
      </c>
    </row>
    <row r="4811" spans="1:40" x14ac:dyDescent="0.25">
      <c r="A4811" t="str">
        <f>"20190305135926116"</f>
        <v>20190305135926116</v>
      </c>
      <c r="B4811" t="str">
        <f>"1551765566103670"</f>
        <v>1551765566103670</v>
      </c>
      <c r="C4811" t="s">
        <v>40</v>
      </c>
      <c r="D4811">
        <v>3.5483839999999902</v>
      </c>
      <c r="E4811">
        <v>0.37192029999999998</v>
      </c>
      <c r="F4811" t="s">
        <v>41</v>
      </c>
      <c r="G4811">
        <v>-399.61869999999999</v>
      </c>
      <c r="H4811">
        <v>1.0212570000000001</v>
      </c>
      <c r="I4811">
        <v>21.13119</v>
      </c>
      <c r="J4811">
        <v>-400.48149999999998</v>
      </c>
      <c r="K4811">
        <v>1.1095619999999999</v>
      </c>
      <c r="L4811">
        <v>20.85202</v>
      </c>
      <c r="M4811">
        <v>0.94205919999999999</v>
      </c>
      <c r="N4811">
        <v>-1.3149650000000001E-2</v>
      </c>
      <c r="O4811">
        <v>-0.33518949999999997</v>
      </c>
      <c r="P4811">
        <v>0.99420390000000003</v>
      </c>
      <c r="Q4811">
        <v>-6.2024959999999997E-2</v>
      </c>
      <c r="R4811">
        <v>-8.7818270000000004E-2</v>
      </c>
      <c r="S4811">
        <v>3.0663450000000001</v>
      </c>
      <c r="T4811">
        <v>-0.27748719999999999</v>
      </c>
      <c r="U4811">
        <v>0.7522278</v>
      </c>
      <c r="V4811">
        <v>-0.25054149999999997</v>
      </c>
      <c r="W4811">
        <v>-4.9300240000000002E-2</v>
      </c>
      <c r="X4811">
        <v>0.96684970000000003</v>
      </c>
      <c r="Y4811">
        <v>-0.54663799999999996</v>
      </c>
      <c r="Z4811">
        <v>5.3316660000000002E-2</v>
      </c>
      <c r="AA4811">
        <v>0.83567000000000002</v>
      </c>
      <c r="AB4811">
        <v>22</v>
      </c>
      <c r="AC4811">
        <v>0.86279999999999202</v>
      </c>
      <c r="AD4811">
        <v>-8.8304999999999995E-2</v>
      </c>
      <c r="AE4811">
        <v>0.27916999999999997</v>
      </c>
      <c r="AF4811">
        <v>-0.54705649542259105</v>
      </c>
      <c r="AG4811">
        <v>-8.8304999999999995E-2</v>
      </c>
      <c r="AH4811">
        <v>0.712539417876623</v>
      </c>
      <c r="AI4811">
        <v>95.614132411471402</v>
      </c>
      <c r="AJ4811">
        <v>127.515472198694</v>
      </c>
      <c r="AK4811">
        <v>0.902652205579206</v>
      </c>
      <c r="AL4811">
        <v>92.825841320295297</v>
      </c>
      <c r="AM4811">
        <v>104.52761176932501</v>
      </c>
      <c r="AN4811">
        <v>0.99999994963819705</v>
      </c>
    </row>
    <row r="4812" spans="1:40" x14ac:dyDescent="0.25">
      <c r="A4812" t="str">
        <f>"20190305135926135"</f>
        <v>20190305135926135</v>
      </c>
      <c r="B4812" t="str">
        <f>"1551765566124170"</f>
        <v>1551765566124170</v>
      </c>
      <c r="C4812" t="s">
        <v>40</v>
      </c>
      <c r="D4812">
        <v>3.5203199999999999</v>
      </c>
      <c r="E4812">
        <v>0.37204480000000001</v>
      </c>
      <c r="F4812" t="s">
        <v>41</v>
      </c>
      <c r="G4812">
        <v>-399.62779999999998</v>
      </c>
      <c r="H4812">
        <v>1.0321819999999999</v>
      </c>
      <c r="I4812">
        <v>21.060939999999999</v>
      </c>
      <c r="J4812">
        <v>-400.29809999999998</v>
      </c>
      <c r="K4812">
        <v>1.109667</v>
      </c>
      <c r="L4812">
        <v>20.786709999999999</v>
      </c>
      <c r="M4812">
        <v>0.94208139999999996</v>
      </c>
      <c r="N4812">
        <v>-1.307696E-2</v>
      </c>
      <c r="O4812">
        <v>-0.33512920000000002</v>
      </c>
      <c r="P4812">
        <v>0.99421009999999999</v>
      </c>
      <c r="Q4812">
        <v>-6.2117060000000002E-2</v>
      </c>
      <c r="R4812">
        <v>-8.7679610000000005E-2</v>
      </c>
      <c r="S4812">
        <v>3.0664980000000002</v>
      </c>
      <c r="T4812">
        <v>-0.27795769999999997</v>
      </c>
      <c r="U4812">
        <v>0.75082399999999905</v>
      </c>
      <c r="V4812">
        <v>-0.25059769999999998</v>
      </c>
      <c r="W4812">
        <v>-4.9536299999999998E-2</v>
      </c>
      <c r="X4812">
        <v>0.96682319999999999</v>
      </c>
      <c r="Y4812">
        <v>-0.54620429999999998</v>
      </c>
      <c r="Z4812">
        <v>5.3384359999999999E-2</v>
      </c>
      <c r="AA4812">
        <v>0.8359491</v>
      </c>
      <c r="AB4812">
        <v>22</v>
      </c>
      <c r="AC4812">
        <v>0.67029999999999701</v>
      </c>
      <c r="AD4812">
        <v>-7.7484999999999998E-2</v>
      </c>
      <c r="AE4812">
        <v>0.27422999999999897</v>
      </c>
      <c r="AF4812">
        <v>-0.47755885018452299</v>
      </c>
      <c r="AG4812">
        <v>-7.7484999999999998E-2</v>
      </c>
      <c r="AH4812">
        <v>0.53351377951719803</v>
      </c>
      <c r="AI4812">
        <v>96.176211307406703</v>
      </c>
      <c r="AJ4812">
        <v>131.832359854163</v>
      </c>
      <c r="AK4812">
        <v>0.72021061749275095</v>
      </c>
      <c r="AL4812">
        <v>92.839382748933104</v>
      </c>
      <c r="AM4812">
        <v>104.531114007136</v>
      </c>
      <c r="AN4812">
        <v>1.0000000761606</v>
      </c>
    </row>
    <row r="4813" spans="1:40" x14ac:dyDescent="0.25">
      <c r="A4813" t="str">
        <f>"20190305135926147"</f>
        <v>20190305135926147</v>
      </c>
      <c r="B4813" t="str">
        <f>"1551765566143686"</f>
        <v>1551765566143686</v>
      </c>
      <c r="C4813" t="s">
        <v>40</v>
      </c>
      <c r="D4813">
        <v>3.5686059999999999</v>
      </c>
      <c r="E4813">
        <v>0.37215619999999999</v>
      </c>
      <c r="F4813" t="s">
        <v>41</v>
      </c>
      <c r="G4813">
        <v>-399.43939999999998</v>
      </c>
      <c r="H4813">
        <v>1.031771</v>
      </c>
      <c r="I4813">
        <v>20.996729999999999</v>
      </c>
      <c r="J4813">
        <v>-400.18729999999999</v>
      </c>
      <c r="K4813">
        <v>1.1097319999999999</v>
      </c>
      <c r="L4813">
        <v>20.74738</v>
      </c>
      <c r="M4813">
        <v>0.9421351</v>
      </c>
      <c r="N4813">
        <v>-1.300248E-2</v>
      </c>
      <c r="O4813">
        <v>-0.33498159999999999</v>
      </c>
      <c r="P4813">
        <v>0.99424860000000004</v>
      </c>
      <c r="Q4813">
        <v>-6.2039240000000002E-2</v>
      </c>
      <c r="R4813">
        <v>-8.7299680000000004E-2</v>
      </c>
      <c r="S4813">
        <v>3.0662539999999998</v>
      </c>
      <c r="T4813">
        <v>-0.27813259999999901</v>
      </c>
      <c r="U4813">
        <v>0.75030520000000001</v>
      </c>
      <c r="V4813">
        <v>-0.2508068</v>
      </c>
      <c r="W4813">
        <v>-4.9579959999999999E-2</v>
      </c>
      <c r="X4813">
        <v>0.96676669999999998</v>
      </c>
      <c r="Y4813">
        <v>-0.54595150000000003</v>
      </c>
      <c r="Z4813">
        <v>5.3403329999999999E-2</v>
      </c>
      <c r="AA4813">
        <v>0.836112999999999</v>
      </c>
      <c r="AB4813">
        <v>22</v>
      </c>
      <c r="AC4813">
        <v>0.747900000000015</v>
      </c>
      <c r="AD4813">
        <v>-7.7960999999999905E-2</v>
      </c>
      <c r="AE4813">
        <v>0.24934999999999899</v>
      </c>
      <c r="AF4813">
        <v>-0.48079343727567703</v>
      </c>
      <c r="AG4813">
        <v>-7.7960999999999905E-2</v>
      </c>
      <c r="AH4813">
        <v>0.61513224475730599</v>
      </c>
      <c r="AI4813">
        <v>95.702405404025896</v>
      </c>
      <c r="AJ4813">
        <v>128.01153446124499</v>
      </c>
      <c r="AK4813">
        <v>0.78461960553412302</v>
      </c>
      <c r="AL4813">
        <v>92.841887469161506</v>
      </c>
      <c r="AM4813">
        <v>104.54353883032699</v>
      </c>
      <c r="AN4813">
        <v>1.0000000377943601</v>
      </c>
    </row>
    <row r="4814" spans="1:40" x14ac:dyDescent="0.25">
      <c r="A4814" t="str">
        <f>"20190305135926162"</f>
        <v>20190305135926162</v>
      </c>
      <c r="B4814" t="str">
        <f>"1551765566154422"</f>
        <v>1551765566154422</v>
      </c>
      <c r="C4814" t="s">
        <v>40</v>
      </c>
      <c r="D4814">
        <v>3.5567519999999901</v>
      </c>
      <c r="E4814">
        <v>0.37223610000000001</v>
      </c>
      <c r="F4814" t="s">
        <v>41</v>
      </c>
      <c r="G4814">
        <v>-399.24489999999997</v>
      </c>
      <c r="H4814">
        <v>1.0244759999999999</v>
      </c>
      <c r="I4814">
        <v>20.97803</v>
      </c>
      <c r="J4814">
        <v>-400.04930000000002</v>
      </c>
      <c r="K4814">
        <v>1.109809</v>
      </c>
      <c r="L4814">
        <v>20.69849</v>
      </c>
      <c r="M4814">
        <v>0.94222950000000005</v>
      </c>
      <c r="N4814">
        <v>-1.289937E-2</v>
      </c>
      <c r="O4814">
        <v>-0.33472010000000002</v>
      </c>
      <c r="P4814">
        <v>0.99432989999999999</v>
      </c>
      <c r="Q4814">
        <v>-6.1609230000000001E-2</v>
      </c>
      <c r="R4814">
        <v>-8.6676080000000003E-2</v>
      </c>
      <c r="S4814">
        <v>3.0659179999999999</v>
      </c>
      <c r="T4814">
        <v>-0.27736889999999997</v>
      </c>
      <c r="U4814">
        <v>0.75067139999999999</v>
      </c>
      <c r="V4814">
        <v>-0.251141</v>
      </c>
      <c r="W4814">
        <v>-4.9315400000000002E-2</v>
      </c>
      <c r="X4814">
        <v>0.96669340000000004</v>
      </c>
      <c r="Y4814">
        <v>-0.54585360000000005</v>
      </c>
      <c r="Z4814">
        <v>5.324185E-2</v>
      </c>
      <c r="AA4814">
        <v>0.83618719999999902</v>
      </c>
      <c r="AB4814">
        <v>22</v>
      </c>
      <c r="AC4814">
        <v>0.80440000000004297</v>
      </c>
      <c r="AD4814">
        <v>-8.5333000000000103E-2</v>
      </c>
      <c r="AE4814">
        <v>0.27954000000000001</v>
      </c>
      <c r="AF4814">
        <v>-0.52738842008168896</v>
      </c>
      <c r="AG4814">
        <v>-8.5333000000000103E-2</v>
      </c>
      <c r="AH4814">
        <v>0.65781185024315603</v>
      </c>
      <c r="AI4814">
        <v>95.779267140347002</v>
      </c>
      <c r="AJ4814">
        <v>128.72024639373501</v>
      </c>
      <c r="AK4814">
        <v>0.847429464230259</v>
      </c>
      <c r="AL4814">
        <v>92.826710924355098</v>
      </c>
      <c r="AM4814">
        <v>104.563152010092</v>
      </c>
      <c r="AN4814">
        <v>0.99999997008085895</v>
      </c>
    </row>
    <row r="4815" spans="1:40" x14ac:dyDescent="0.25">
      <c r="A4815" t="str">
        <f>"20190305135926180"</f>
        <v>20190305135926180</v>
      </c>
      <c r="B4815" t="str">
        <f>"1551765566173942"</f>
        <v>1551765566173942</v>
      </c>
      <c r="C4815" t="s">
        <v>40</v>
      </c>
      <c r="D4815">
        <v>3.5299420000000001</v>
      </c>
      <c r="E4815">
        <v>0.37234450000000002</v>
      </c>
      <c r="F4815" t="s">
        <v>41</v>
      </c>
      <c r="G4815">
        <v>-399.05259999999998</v>
      </c>
      <c r="H4815">
        <v>1.0201039999999999</v>
      </c>
      <c r="I4815">
        <v>20.94284</v>
      </c>
      <c r="J4815">
        <v>-399.8852</v>
      </c>
      <c r="K4815">
        <v>1.1099250000000001</v>
      </c>
      <c r="L4815">
        <v>20.64059</v>
      </c>
      <c r="M4815">
        <v>0.94239810000000002</v>
      </c>
      <c r="N4815">
        <v>-1.277118E-2</v>
      </c>
      <c r="O4815">
        <v>-0.33424989999999999</v>
      </c>
      <c r="P4815">
        <v>0.9944269</v>
      </c>
      <c r="Q4815">
        <v>-6.0904090000000001E-2</v>
      </c>
      <c r="R4815">
        <v>-8.6058469999999998E-2</v>
      </c>
      <c r="S4815">
        <v>3.0655519999999998</v>
      </c>
      <c r="T4815">
        <v>-0.27592800000000001</v>
      </c>
      <c r="U4815">
        <v>0.7519226</v>
      </c>
      <c r="V4815">
        <v>-0.25125599999999998</v>
      </c>
      <c r="W4815">
        <v>-4.8820280000000001E-2</v>
      </c>
      <c r="X4815">
        <v>0.96668869999999896</v>
      </c>
      <c r="Y4815">
        <v>-0.54581709999999894</v>
      </c>
      <c r="Z4815">
        <v>5.2937810000000002E-2</v>
      </c>
      <c r="AA4815">
        <v>0.83623040000000004</v>
      </c>
      <c r="AB4815">
        <v>22</v>
      </c>
      <c r="AC4815">
        <v>0.832600000000013</v>
      </c>
      <c r="AD4815">
        <v>-8.9820999999999901E-2</v>
      </c>
      <c r="AE4815">
        <v>0.30225000000000002</v>
      </c>
      <c r="AF4815">
        <v>-0.55744988853876298</v>
      </c>
      <c r="AG4815">
        <v>-8.9820999999999901E-2</v>
      </c>
      <c r="AH4815">
        <v>0.67671067305809596</v>
      </c>
      <c r="AI4815">
        <v>95.849422968424307</v>
      </c>
      <c r="AJ4815">
        <v>129.48046793128901</v>
      </c>
      <c r="AK4815">
        <v>0.88133735045306005</v>
      </c>
      <c r="AL4815">
        <v>92.798308284796704</v>
      </c>
      <c r="AM4815">
        <v>104.56960473325501</v>
      </c>
      <c r="AN4815">
        <v>1.00000001999148</v>
      </c>
    </row>
    <row r="4816" spans="1:40" x14ac:dyDescent="0.25">
      <c r="A4816" t="str">
        <f>"20190305135926193"</f>
        <v>20190305135926193</v>
      </c>
      <c r="B4816" t="str">
        <f>"1551765566183702"</f>
        <v>1551765566183702</v>
      </c>
      <c r="C4816" t="s">
        <v>40</v>
      </c>
      <c r="D4816">
        <v>3.5459239999999999</v>
      </c>
      <c r="E4816">
        <v>0.37240040000000002</v>
      </c>
      <c r="F4816" t="s">
        <v>41</v>
      </c>
      <c r="G4816">
        <v>-398.86250000000001</v>
      </c>
      <c r="H4816">
        <v>1.0187710000000001</v>
      </c>
      <c r="I4816">
        <v>20.89189</v>
      </c>
      <c r="J4816">
        <v>-399.74950000000001</v>
      </c>
      <c r="K4816">
        <v>1.1100369999999999</v>
      </c>
      <c r="L4816">
        <v>20.59299</v>
      </c>
      <c r="M4816">
        <v>0.94258620000000004</v>
      </c>
      <c r="N4816">
        <v>-1.267327E-2</v>
      </c>
      <c r="O4816">
        <v>-0.33372230000000003</v>
      </c>
      <c r="P4816">
        <v>0.99452739999999995</v>
      </c>
      <c r="Q4816">
        <v>-6.0154840000000001E-2</v>
      </c>
      <c r="R4816">
        <v>-8.5419729999999999E-2</v>
      </c>
      <c r="S4816">
        <v>3.0652469999999998</v>
      </c>
      <c r="T4816">
        <v>-0.27320229999999901</v>
      </c>
      <c r="U4816">
        <v>0.75292969999999904</v>
      </c>
      <c r="V4816">
        <v>-0.25133680000000003</v>
      </c>
      <c r="W4816">
        <v>-4.8242239999999999E-2</v>
      </c>
      <c r="X4816">
        <v>0.96669669999999996</v>
      </c>
      <c r="Y4816">
        <v>-0.54569469999999898</v>
      </c>
      <c r="Z4816">
        <v>5.2374539999999997E-2</v>
      </c>
      <c r="AA4816">
        <v>0.83634569999999997</v>
      </c>
      <c r="AB4816">
        <v>22</v>
      </c>
      <c r="AC4816">
        <v>0.88700000000000001</v>
      </c>
      <c r="AD4816">
        <v>-9.1266000000000194E-2</v>
      </c>
      <c r="AE4816">
        <v>0.298899999999999</v>
      </c>
      <c r="AF4816">
        <v>-0.57235553593754596</v>
      </c>
      <c r="AG4816">
        <v>-9.1266000000000194E-2</v>
      </c>
      <c r="AH4816">
        <v>0.72944840981417103</v>
      </c>
      <c r="AI4816">
        <v>95.621665387243198</v>
      </c>
      <c r="AJ4816">
        <v>128.119204520675</v>
      </c>
      <c r="AK4816">
        <v>0.93167340031514201</v>
      </c>
      <c r="AL4816">
        <v>92.765150001695204</v>
      </c>
      <c r="AM4816">
        <v>104.57397514415899</v>
      </c>
      <c r="AN4816">
        <v>1.0000000052726701</v>
      </c>
    </row>
    <row r="4817" spans="1:40" x14ac:dyDescent="0.25">
      <c r="A4817" t="str">
        <f>"20190305135926213"</f>
        <v>20190305135926213</v>
      </c>
      <c r="B4817" t="str">
        <f>"1551765566204198"</f>
        <v>1551765566204198</v>
      </c>
      <c r="C4817" t="s">
        <v>40</v>
      </c>
      <c r="D4817">
        <v>3.555542</v>
      </c>
      <c r="E4817">
        <v>0.37252879999999999</v>
      </c>
      <c r="F4817" t="s">
        <v>41</v>
      </c>
      <c r="G4817">
        <v>-398.8732</v>
      </c>
      <c r="H4817">
        <v>1.032713</v>
      </c>
      <c r="I4817">
        <v>20.80883</v>
      </c>
      <c r="J4817">
        <v>-399.56450000000001</v>
      </c>
      <c r="K4817">
        <v>1.1101920000000001</v>
      </c>
      <c r="L4817">
        <v>20.528410000000001</v>
      </c>
      <c r="M4817">
        <v>0.9428976</v>
      </c>
      <c r="N4817">
        <v>-1.254418E-2</v>
      </c>
      <c r="O4817">
        <v>-0.332847</v>
      </c>
      <c r="P4817">
        <v>0.99465689999999995</v>
      </c>
      <c r="Q4817">
        <v>-5.9510239999999999E-2</v>
      </c>
      <c r="R4817">
        <v>-8.4358730000000007E-2</v>
      </c>
      <c r="S4817">
        <v>3.064972</v>
      </c>
      <c r="T4817">
        <v>-0.27044570000000001</v>
      </c>
      <c r="U4817">
        <v>0.75460819999999995</v>
      </c>
      <c r="V4817">
        <v>-0.25146350000000001</v>
      </c>
      <c r="W4817">
        <v>-4.7829299999999998E-2</v>
      </c>
      <c r="X4817">
        <v>0.96668430000000005</v>
      </c>
      <c r="Y4817">
        <v>-0.54543629999999999</v>
      </c>
      <c r="Z4817">
        <v>5.1774540000000001E-2</v>
      </c>
      <c r="AA4817">
        <v>0.83655170000000001</v>
      </c>
      <c r="AB4817">
        <v>22</v>
      </c>
      <c r="AC4817">
        <v>0.69130000000001202</v>
      </c>
      <c r="AD4817">
        <v>-7.7479000000000006E-2</v>
      </c>
      <c r="AE4817">
        <v>0.280419999999999</v>
      </c>
      <c r="AF4817">
        <v>-0.48926585443251303</v>
      </c>
      <c r="AG4817">
        <v>-7.7479000000000006E-2</v>
      </c>
      <c r="AH4817">
        <v>0.55257171092659096</v>
      </c>
      <c r="AI4817">
        <v>95.992851913540093</v>
      </c>
      <c r="AJ4817">
        <v>131.52277448167399</v>
      </c>
      <c r="AK4817">
        <v>0.74210482242801601</v>
      </c>
      <c r="AL4817">
        <v>92.741462857433106</v>
      </c>
      <c r="AM4817">
        <v>104.581187968103</v>
      </c>
      <c r="AN4817">
        <v>1.00000003481861</v>
      </c>
    </row>
    <row r="4818" spans="1:40" x14ac:dyDescent="0.25">
      <c r="A4818" t="str">
        <f>"20190305135926226"</f>
        <v>20190305135926226</v>
      </c>
      <c r="B4818" t="str">
        <f>"1551765566223718"</f>
        <v>1551765566223718</v>
      </c>
      <c r="C4818" t="s">
        <v>40</v>
      </c>
      <c r="D4818">
        <v>3.564568</v>
      </c>
      <c r="E4818">
        <v>0.37261820000000001</v>
      </c>
      <c r="F4818" t="s">
        <v>41</v>
      </c>
      <c r="G4818">
        <v>-398.68450000000001</v>
      </c>
      <c r="H4818">
        <v>1.0331549999999901</v>
      </c>
      <c r="I4818">
        <v>20.745809999999999</v>
      </c>
      <c r="J4818">
        <v>-399.447</v>
      </c>
      <c r="K4818">
        <v>1.1102879999999999</v>
      </c>
      <c r="L4818">
        <v>20.487670000000001</v>
      </c>
      <c r="M4818">
        <v>0.94313999999999998</v>
      </c>
      <c r="N4818">
        <v>-1.2459120000000001E-2</v>
      </c>
      <c r="O4818">
        <v>-0.33216210000000002</v>
      </c>
      <c r="P4818">
        <v>0.99473180000000005</v>
      </c>
      <c r="Q4818">
        <v>-5.9617059999999999E-2</v>
      </c>
      <c r="R4818">
        <v>-8.3391400000000004E-2</v>
      </c>
      <c r="S4818">
        <v>3.06427</v>
      </c>
      <c r="T4818">
        <v>-0.26825939999999998</v>
      </c>
      <c r="U4818">
        <v>0.75692749999999998</v>
      </c>
      <c r="V4818">
        <v>-0.25168479999999999</v>
      </c>
      <c r="W4818">
        <v>-4.8090250000000001E-2</v>
      </c>
      <c r="X4818">
        <v>0.96661370000000002</v>
      </c>
      <c r="Y4818">
        <v>-0.54552230000000002</v>
      </c>
      <c r="Z4818">
        <v>5.1320600000000001E-2</v>
      </c>
      <c r="AA4818">
        <v>0.83652349999999998</v>
      </c>
      <c r="AB4818">
        <v>22</v>
      </c>
      <c r="AC4818">
        <v>0.76249999999993101</v>
      </c>
      <c r="AD4818">
        <v>-7.7133000000000104E-2</v>
      </c>
      <c r="AE4818">
        <v>0.25813999999999998</v>
      </c>
      <c r="AF4818">
        <v>-0.492255073665259</v>
      </c>
      <c r="AG4818">
        <v>-7.7133000000000104E-2</v>
      </c>
      <c r="AH4818">
        <v>0.62768649161875101</v>
      </c>
      <c r="AI4818">
        <v>95.523087790564503</v>
      </c>
      <c r="AJ4818">
        <v>128.10486081057701</v>
      </c>
      <c r="AK4818">
        <v>0.80140806646729401</v>
      </c>
      <c r="AL4818">
        <v>92.756431572536798</v>
      </c>
      <c r="AM4818">
        <v>104.594492889672</v>
      </c>
      <c r="AN4818">
        <v>0.99999997786189598</v>
      </c>
    </row>
    <row r="4819" spans="1:40" x14ac:dyDescent="0.25">
      <c r="A4819" t="str">
        <f>"20190305135926240"</f>
        <v>20190305135926240</v>
      </c>
      <c r="B4819" t="str">
        <f>"1551765566234454"</f>
        <v>1551765566234454</v>
      </c>
      <c r="C4819" t="s">
        <v>40</v>
      </c>
      <c r="D4819">
        <v>3.566373</v>
      </c>
      <c r="E4819">
        <v>0.37265300000000001</v>
      </c>
      <c r="F4819" t="s">
        <v>41</v>
      </c>
      <c r="G4819">
        <v>-398.4905</v>
      </c>
      <c r="H4819">
        <v>1.0266949999999999</v>
      </c>
      <c r="I4819">
        <v>20.724699999999999</v>
      </c>
      <c r="J4819">
        <v>-399.31889999999999</v>
      </c>
      <c r="K4819">
        <v>1.1104000000000001</v>
      </c>
      <c r="L4819">
        <v>20.44342</v>
      </c>
      <c r="M4819">
        <v>0.94343310000000002</v>
      </c>
      <c r="N4819">
        <v>-1.2364190000000001E-2</v>
      </c>
      <c r="O4819">
        <v>-0.33133240000000003</v>
      </c>
      <c r="P4819">
        <v>0.99483010000000005</v>
      </c>
      <c r="Q4819">
        <v>-5.9372050000000003E-2</v>
      </c>
      <c r="R4819">
        <v>-8.2389480000000001E-2</v>
      </c>
      <c r="S4819">
        <v>3.0634459999999999</v>
      </c>
      <c r="T4819">
        <v>-0.26772430000000003</v>
      </c>
      <c r="U4819">
        <v>0.75915529999999998</v>
      </c>
      <c r="V4819">
        <v>-0.25179770000000001</v>
      </c>
      <c r="W4819">
        <v>-4.8016320000000001E-2</v>
      </c>
      <c r="X4819">
        <v>0.966588</v>
      </c>
      <c r="Y4819">
        <v>-0.54542609999999903</v>
      </c>
      <c r="Z4819">
        <v>5.1169010000000001E-2</v>
      </c>
      <c r="AA4819">
        <v>0.83659550000000005</v>
      </c>
      <c r="AB4819">
        <v>22</v>
      </c>
      <c r="AC4819">
        <v>0.82839999999998704</v>
      </c>
      <c r="AD4819">
        <v>-8.3704999999999904E-2</v>
      </c>
      <c r="AE4819">
        <v>0.28127999999999798</v>
      </c>
      <c r="AF4819">
        <v>-0.53498833264717505</v>
      </c>
      <c r="AG4819">
        <v>-8.3704999999999904E-2</v>
      </c>
      <c r="AH4819">
        <v>0.68215066496552001</v>
      </c>
      <c r="AI4819">
        <v>95.515097439982696</v>
      </c>
      <c r="AJ4819">
        <v>128.10592330826</v>
      </c>
      <c r="AK4819">
        <v>0.87094694029344</v>
      </c>
      <c r="AL4819">
        <v>92.752190721031795</v>
      </c>
      <c r="AM4819">
        <v>104.601131553286</v>
      </c>
      <c r="AN4819">
        <v>1.00000000522781</v>
      </c>
    </row>
    <row r="4820" spans="1:40" x14ac:dyDescent="0.25">
      <c r="A4820" t="str">
        <f>"20190305135926259"</f>
        <v>20190305135926259</v>
      </c>
      <c r="B4820" t="str">
        <f>"1551765566253975"</f>
        <v>1551765566253975</v>
      </c>
      <c r="C4820" t="s">
        <v>40</v>
      </c>
      <c r="D4820">
        <v>3.5561289999999999</v>
      </c>
      <c r="E4820">
        <v>0.37271700000000002</v>
      </c>
      <c r="F4820" t="s">
        <v>41</v>
      </c>
      <c r="G4820">
        <v>-398.29739999999998</v>
      </c>
      <c r="H4820">
        <v>1.0217889999999901</v>
      </c>
      <c r="I4820">
        <v>20.69725</v>
      </c>
      <c r="J4820">
        <v>-399.14</v>
      </c>
      <c r="K4820">
        <v>1.110557</v>
      </c>
      <c r="L4820">
        <v>20.382110000000001</v>
      </c>
      <c r="M4820">
        <v>0.9439227</v>
      </c>
      <c r="N4820">
        <v>-1.2233569999999999E-2</v>
      </c>
      <c r="O4820">
        <v>-0.32994000000000001</v>
      </c>
      <c r="P4820">
        <v>0.99489680000000003</v>
      </c>
      <c r="Q4820">
        <v>-5.9945480000000002E-2</v>
      </c>
      <c r="R4820">
        <v>-8.1159209999999996E-2</v>
      </c>
      <c r="S4820">
        <v>3.0628359999999999</v>
      </c>
      <c r="T4820">
        <v>-0.26567030000000003</v>
      </c>
      <c r="U4820">
        <v>0.76205440000000002</v>
      </c>
      <c r="V4820">
        <v>-0.25153150000000002</v>
      </c>
      <c r="W4820">
        <v>-4.8828280000000002E-2</v>
      </c>
      <c r="X4820">
        <v>0.96661660000000005</v>
      </c>
      <c r="Y4820">
        <v>-0.54502919999999999</v>
      </c>
      <c r="Z4820">
        <v>5.0667759999999999E-2</v>
      </c>
      <c r="AA4820">
        <v>0.83688469999999904</v>
      </c>
      <c r="AB4820">
        <v>22</v>
      </c>
      <c r="AC4820">
        <v>0.84260000000000401</v>
      </c>
      <c r="AD4820">
        <v>-8.8768000000000097E-2</v>
      </c>
      <c r="AE4820">
        <v>0.31513999999999898</v>
      </c>
      <c r="AF4820">
        <v>-0.56996868628462105</v>
      </c>
      <c r="AG4820">
        <v>-8.8768000000000097E-2</v>
      </c>
      <c r="AH4820">
        <v>0.68475643547341603</v>
      </c>
      <c r="AI4820">
        <v>95.689900638589407</v>
      </c>
      <c r="AJ4820">
        <v>129.77288136112199</v>
      </c>
      <c r="AK4820">
        <v>0.89534096136124397</v>
      </c>
      <c r="AL4820">
        <v>92.798767327411596</v>
      </c>
      <c r="AM4820">
        <v>104.58594078943899</v>
      </c>
      <c r="AN4820">
        <v>0.99999997390778295</v>
      </c>
    </row>
    <row r="4821" spans="1:40" x14ac:dyDescent="0.25">
      <c r="A4821" t="str">
        <f>"20190305135926281"</f>
        <v>20190305135926281</v>
      </c>
      <c r="B4821" t="str">
        <f>"1551765566274470"</f>
        <v>1551765566274470</v>
      </c>
      <c r="C4821" t="s">
        <v>40</v>
      </c>
      <c r="D4821">
        <v>3.563828</v>
      </c>
      <c r="E4821">
        <v>0.37277399999999999</v>
      </c>
      <c r="F4821" t="s">
        <v>41</v>
      </c>
      <c r="G4821">
        <v>-398.108</v>
      </c>
      <c r="H4821">
        <v>1.0209429999999999</v>
      </c>
      <c r="I4821">
        <v>20.6401</v>
      </c>
      <c r="J4821">
        <v>-398.9307</v>
      </c>
      <c r="K4821">
        <v>1.1107359999999999</v>
      </c>
      <c r="L4821">
        <v>20.311219999999999</v>
      </c>
      <c r="M4821">
        <v>0.94459090000000001</v>
      </c>
      <c r="N4821">
        <v>-1.209789E-2</v>
      </c>
      <c r="O4821">
        <v>-0.32802720000000002</v>
      </c>
      <c r="P4821">
        <v>0.99499890000000002</v>
      </c>
      <c r="Q4821">
        <v>-6.0940969999999997E-2</v>
      </c>
      <c r="R4821">
        <v>-7.9140360000000007E-2</v>
      </c>
      <c r="S4821">
        <v>3.061798</v>
      </c>
      <c r="T4821">
        <v>-0.2658798</v>
      </c>
      <c r="U4821">
        <v>0.76544190000000001</v>
      </c>
      <c r="V4821">
        <v>-0.25148589999999998</v>
      </c>
      <c r="W4821">
        <v>-5.0079699999999998E-2</v>
      </c>
      <c r="X4821">
        <v>0.96656450000000005</v>
      </c>
      <c r="Y4821">
        <v>-0.54427389999999998</v>
      </c>
      <c r="Z4821">
        <v>5.0554349999999998E-2</v>
      </c>
      <c r="AA4821">
        <v>0.83738299999999999</v>
      </c>
      <c r="AB4821">
        <v>22</v>
      </c>
      <c r="AC4821">
        <v>0.82269999999999699</v>
      </c>
      <c r="AD4821">
        <v>-8.9793000000000206E-2</v>
      </c>
      <c r="AE4821">
        <v>0.32887999999999801</v>
      </c>
      <c r="AF4821">
        <v>-0.57466503056908902</v>
      </c>
      <c r="AG4821">
        <v>-8.9793000000000206E-2</v>
      </c>
      <c r="AH4821">
        <v>0.66247789622734898</v>
      </c>
      <c r="AI4821">
        <v>95.845991826392194</v>
      </c>
      <c r="AJ4821">
        <v>130.93993358988399</v>
      </c>
      <c r="AK4821">
        <v>0.881577928034605</v>
      </c>
      <c r="AL4821">
        <v>92.870556088064305</v>
      </c>
      <c r="AM4821">
        <v>104.584161820003</v>
      </c>
      <c r="AN4821">
        <v>1.0000000334555701</v>
      </c>
    </row>
    <row r="4822" spans="1:40" x14ac:dyDescent="0.25">
      <c r="A4822" t="str">
        <f>"20190305135926293"</f>
        <v>20190305135926293</v>
      </c>
      <c r="B4822" t="str">
        <f>"1551765566284231"</f>
        <v>1551765566284231</v>
      </c>
      <c r="C4822" t="s">
        <v>40</v>
      </c>
      <c r="D4822">
        <v>3.5682309999999999</v>
      </c>
      <c r="E4822">
        <v>0.37280200000000002</v>
      </c>
      <c r="F4822" t="s">
        <v>41</v>
      </c>
      <c r="G4822">
        <v>-397.92070000000001</v>
      </c>
      <c r="H4822">
        <v>1.0221359999999999</v>
      </c>
      <c r="I4822">
        <v>20.56561</v>
      </c>
      <c r="J4822">
        <v>-398.79849999999999</v>
      </c>
      <c r="K4822">
        <v>1.110846</v>
      </c>
      <c r="L4822">
        <v>20.266819999999999</v>
      </c>
      <c r="M4822">
        <v>0.94505410000000001</v>
      </c>
      <c r="N4822">
        <v>-1.2020009999999999E-2</v>
      </c>
      <c r="O4822">
        <v>-0.3266925</v>
      </c>
      <c r="P4822">
        <v>0.99508640000000004</v>
      </c>
      <c r="Q4822">
        <v>-6.1314019999999997E-2</v>
      </c>
      <c r="R4822">
        <v>-7.7741229999999995E-2</v>
      </c>
      <c r="S4822">
        <v>3.0599370000000001</v>
      </c>
      <c r="T4822">
        <v>-0.26840419999999998</v>
      </c>
      <c r="U4822">
        <v>0.77124019999999904</v>
      </c>
      <c r="V4822">
        <v>-0.25145679999999998</v>
      </c>
      <c r="W4822">
        <v>-5.0597669999999997E-2</v>
      </c>
      <c r="X4822">
        <v>0.96654499999999999</v>
      </c>
      <c r="Y4822">
        <v>-0.54464419999999902</v>
      </c>
      <c r="Z4822">
        <v>5.0987009999999999E-2</v>
      </c>
      <c r="AA4822">
        <v>0.83711589999999902</v>
      </c>
      <c r="AB4822">
        <v>22</v>
      </c>
      <c r="AC4822">
        <v>0.87779999999997904</v>
      </c>
      <c r="AD4822">
        <v>-8.8709999999999803E-2</v>
      </c>
      <c r="AE4822">
        <v>0.298789999999996</v>
      </c>
      <c r="AF4822">
        <v>-0.564022330311862</v>
      </c>
      <c r="AG4822">
        <v>-8.8709999999999803E-2</v>
      </c>
      <c r="AH4822">
        <v>0.72537001416695801</v>
      </c>
      <c r="AI4822">
        <v>95.514514861317295</v>
      </c>
      <c r="AJ4822">
        <v>127.86738653562</v>
      </c>
      <c r="AK4822">
        <v>0.92312096208622396</v>
      </c>
      <c r="AL4822">
        <v>92.900271521263704</v>
      </c>
      <c r="AM4822">
        <v>104.582827856778</v>
      </c>
      <c r="AN4822">
        <v>0.99999994175033202</v>
      </c>
    </row>
    <row r="4823" spans="1:40" x14ac:dyDescent="0.25">
      <c r="A4823" t="str">
        <f>"20190305135926316"</f>
        <v>20190305135926316</v>
      </c>
      <c r="B4823" t="str">
        <f>"1551765566314487"</f>
        <v>1551765566314487</v>
      </c>
      <c r="C4823" t="s">
        <v>40</v>
      </c>
      <c r="D4823">
        <v>3.5810680000000001</v>
      </c>
      <c r="E4823">
        <v>0.3729131</v>
      </c>
      <c r="F4823" t="s">
        <v>41</v>
      </c>
      <c r="G4823">
        <v>-397.93029999999999</v>
      </c>
      <c r="H4823">
        <v>1.0344120000000001</v>
      </c>
      <c r="I4823">
        <v>20.486709999999999</v>
      </c>
      <c r="J4823">
        <v>-398.59539999999998</v>
      </c>
      <c r="K4823">
        <v>1.110978</v>
      </c>
      <c r="L4823">
        <v>20.199249999999999</v>
      </c>
      <c r="M4823">
        <v>0.94581700000000002</v>
      </c>
      <c r="N4823">
        <v>-1.190804E-2</v>
      </c>
      <c r="O4823">
        <v>-0.3244821</v>
      </c>
      <c r="P4823">
        <v>0.9952666</v>
      </c>
      <c r="Q4823">
        <v>-6.201504E-2</v>
      </c>
      <c r="R4823">
        <v>-7.4827179999999993E-2</v>
      </c>
      <c r="S4823">
        <v>3.0588069999999998</v>
      </c>
      <c r="T4823">
        <v>-0.26927610000000002</v>
      </c>
      <c r="U4823">
        <v>0.7753601</v>
      </c>
      <c r="V4823">
        <v>-0.25199080000000001</v>
      </c>
      <c r="W4823">
        <v>-5.1501760000000001E-2</v>
      </c>
      <c r="X4823">
        <v>0.96635819999999995</v>
      </c>
      <c r="Y4823">
        <v>-0.54380799999999996</v>
      </c>
      <c r="Z4823">
        <v>5.0970519999999998E-2</v>
      </c>
      <c r="AA4823">
        <v>0.83766039999999997</v>
      </c>
      <c r="AB4823">
        <v>22</v>
      </c>
      <c r="AC4823">
        <v>0.66509999999999503</v>
      </c>
      <c r="AD4823">
        <v>-7.6565999999999898E-2</v>
      </c>
      <c r="AE4823">
        <v>0.28746000000000199</v>
      </c>
      <c r="AF4823">
        <v>-0.48234597398628198</v>
      </c>
      <c r="AG4823">
        <v>-7.6565999999999898E-2</v>
      </c>
      <c r="AH4823">
        <v>0.52990793701005701</v>
      </c>
      <c r="AI4823">
        <v>96.099026886802804</v>
      </c>
      <c r="AJ4823">
        <v>132.30986764706</v>
      </c>
      <c r="AK4823">
        <v>0.72064027967012101</v>
      </c>
      <c r="AL4823">
        <v>92.952139576788596</v>
      </c>
      <c r="AM4823">
        <v>104.61517583247699</v>
      </c>
      <c r="AN4823">
        <v>0.99999998263748802</v>
      </c>
    </row>
    <row r="4824" spans="1:40" x14ac:dyDescent="0.25">
      <c r="A4824" t="str">
        <f>"20190305135926336"</f>
        <v>20190305135926336</v>
      </c>
      <c r="B4824" t="str">
        <f>"1551765566334006"</f>
        <v>1551765566334006</v>
      </c>
      <c r="C4824" t="s">
        <v>40</v>
      </c>
      <c r="D4824">
        <v>3.5842360000000002</v>
      </c>
      <c r="E4824">
        <v>0.37298409999999999</v>
      </c>
      <c r="F4824" t="s">
        <v>41</v>
      </c>
      <c r="G4824">
        <v>-397.74189999999999</v>
      </c>
      <c r="H4824">
        <v>1.0349969999999999</v>
      </c>
      <c r="I4824">
        <v>20.418019999999999</v>
      </c>
      <c r="J4824">
        <v>-398.40140000000002</v>
      </c>
      <c r="K4824">
        <v>1.111083</v>
      </c>
      <c r="L4824">
        <v>20.135439999999999</v>
      </c>
      <c r="M4824">
        <v>0.94660520000000004</v>
      </c>
      <c r="N4824">
        <v>-1.180637E-2</v>
      </c>
      <c r="O4824">
        <v>-0.322179299999999</v>
      </c>
      <c r="P4824">
        <v>0.99549319999999997</v>
      </c>
      <c r="Q4824">
        <v>-6.23972E-2</v>
      </c>
      <c r="R4824">
        <v>-7.1415859999999998E-2</v>
      </c>
      <c r="S4824">
        <v>3.0561829999999999</v>
      </c>
      <c r="T4824">
        <v>-0.27206970000000003</v>
      </c>
      <c r="U4824">
        <v>0.78338619999999903</v>
      </c>
      <c r="V4824">
        <v>-0.25292520000000002</v>
      </c>
      <c r="W4824">
        <v>-5.2061759999999999E-2</v>
      </c>
      <c r="X4824">
        <v>0.9660841</v>
      </c>
      <c r="Y4824">
        <v>-0.54394290000000001</v>
      </c>
      <c r="Z4824">
        <v>5.1377150000000003E-2</v>
      </c>
      <c r="AA4824">
        <v>0.83754779999999995</v>
      </c>
      <c r="AB4824">
        <v>22</v>
      </c>
      <c r="AC4824">
        <v>0.65950000000003595</v>
      </c>
      <c r="AD4824">
        <v>-7.6086000000000098E-2</v>
      </c>
      <c r="AE4824">
        <v>0.282580000000002</v>
      </c>
      <c r="AF4824">
        <v>-0.47466449991273901</v>
      </c>
      <c r="AG4824">
        <v>-7.6086000000000098E-2</v>
      </c>
      <c r="AH4824">
        <v>0.52735147225948997</v>
      </c>
      <c r="AI4824">
        <v>96.120849141803205</v>
      </c>
      <c r="AJ4824">
        <v>131.99010413966499</v>
      </c>
      <c r="AK4824">
        <v>0.71357903708535497</v>
      </c>
      <c r="AL4824">
        <v>92.984268158145397</v>
      </c>
      <c r="AM4824">
        <v>104.67101912786499</v>
      </c>
      <c r="AN4824">
        <v>1.0000000359610699</v>
      </c>
    </row>
    <row r="4825" spans="1:40" x14ac:dyDescent="0.25">
      <c r="A4825" t="str">
        <f>"20190305135926351"</f>
        <v>20190305135926351</v>
      </c>
      <c r="B4825" t="str">
        <f>"1551765566343767"</f>
        <v>1551765566343767</v>
      </c>
      <c r="C4825" t="s">
        <v>40</v>
      </c>
      <c r="D4825">
        <v>3.580724</v>
      </c>
      <c r="E4825">
        <v>0.37301780000000001</v>
      </c>
      <c r="F4825" t="s">
        <v>41</v>
      </c>
      <c r="G4825">
        <v>-397.55259999999998</v>
      </c>
      <c r="H4825">
        <v>1.0348440000000001</v>
      </c>
      <c r="I4825">
        <v>20.355830000000001</v>
      </c>
      <c r="J4825">
        <v>-398.2647</v>
      </c>
      <c r="K4825">
        <v>1.1111519999999999</v>
      </c>
      <c r="L4825">
        <v>20.090969999999999</v>
      </c>
      <c r="M4825">
        <v>0.94719330000000002</v>
      </c>
      <c r="N4825">
        <v>-1.174066E-2</v>
      </c>
      <c r="O4825">
        <v>-0.32044800000000001</v>
      </c>
      <c r="P4825">
        <v>0.99565669999999995</v>
      </c>
      <c r="Q4825">
        <v>-6.1989460000000003E-2</v>
      </c>
      <c r="R4825">
        <v>-6.9463319999999995E-2</v>
      </c>
      <c r="S4825">
        <v>3.0532530000000002</v>
      </c>
      <c r="T4825">
        <v>-0.27425090000000002</v>
      </c>
      <c r="U4825">
        <v>0.7932129</v>
      </c>
      <c r="V4825">
        <v>-0.253054</v>
      </c>
      <c r="W4825">
        <v>-5.1762290000000002E-2</v>
      </c>
      <c r="X4825">
        <v>0.96606639999999999</v>
      </c>
      <c r="Y4825">
        <v>-0.54507649999999996</v>
      </c>
      <c r="Z4825">
        <v>5.1757110000000002E-2</v>
      </c>
      <c r="AA4825">
        <v>0.83678719999999995</v>
      </c>
      <c r="AB4825">
        <v>22</v>
      </c>
      <c r="AC4825">
        <v>0.71210000000002005</v>
      </c>
      <c r="AD4825">
        <v>-7.6308000000000001E-2</v>
      </c>
      <c r="AE4825">
        <v>0.26485999999999499</v>
      </c>
      <c r="AF4825">
        <v>-0.47431302323587499</v>
      </c>
      <c r="AG4825">
        <v>-7.6308000000000001E-2</v>
      </c>
      <c r="AH4825">
        <v>0.583774305719997</v>
      </c>
      <c r="AI4825">
        <v>95.792835896127499</v>
      </c>
      <c r="AJ4825">
        <v>129.093646046842</v>
      </c>
      <c r="AK4825">
        <v>0.75603451964445401</v>
      </c>
      <c r="AL4825">
        <v>92.967086804955699</v>
      </c>
      <c r="AM4825">
        <v>104.67842499345601</v>
      </c>
      <c r="AN4825">
        <v>0.99999997539550101</v>
      </c>
    </row>
    <row r="4826" spans="1:40" x14ac:dyDescent="0.25">
      <c r="A4826" t="str">
        <f>"20190305135926374"</f>
        <v>20190305135926374</v>
      </c>
      <c r="B4826" t="str">
        <f>"1551765566364262"</f>
        <v>1551765566364262</v>
      </c>
      <c r="C4826" t="s">
        <v>40</v>
      </c>
      <c r="D4826">
        <v>3.6089359999999999</v>
      </c>
      <c r="E4826">
        <v>0.37308799999999998</v>
      </c>
      <c r="F4826" t="s">
        <v>41</v>
      </c>
      <c r="G4826">
        <v>-397.35930000000002</v>
      </c>
      <c r="H4826">
        <v>1.0299739999999999</v>
      </c>
      <c r="I4826">
        <v>20.328009999999999</v>
      </c>
      <c r="J4826">
        <v>-398.0403</v>
      </c>
      <c r="K4826">
        <v>1.1112580000000001</v>
      </c>
      <c r="L4826">
        <v>20.018619999999999</v>
      </c>
      <c r="M4826">
        <v>0.94819050000000005</v>
      </c>
      <c r="N4826">
        <v>-1.164313E-2</v>
      </c>
      <c r="O4826">
        <v>-0.31748939999999998</v>
      </c>
      <c r="P4826">
        <v>0.99596799999999996</v>
      </c>
      <c r="Q4826">
        <v>-6.0638600000000001E-2</v>
      </c>
      <c r="R4826">
        <v>-6.6114950000000006E-2</v>
      </c>
      <c r="S4826">
        <v>3.0517880000000002</v>
      </c>
      <c r="T4826">
        <v>-0.27359699999999998</v>
      </c>
      <c r="U4826">
        <v>0.79891969999999901</v>
      </c>
      <c r="V4826">
        <v>-0.2533049</v>
      </c>
      <c r="W4826">
        <v>-5.0570820000000002E-2</v>
      </c>
      <c r="X4826">
        <v>0.96606380000000003</v>
      </c>
      <c r="Y4826">
        <v>-0.54405439999999905</v>
      </c>
      <c r="Z4826">
        <v>5.1381610000000001E-2</v>
      </c>
      <c r="AA4826">
        <v>0.83747519999999998</v>
      </c>
      <c r="AB4826">
        <v>22</v>
      </c>
      <c r="AC4826">
        <v>0.68099999999998295</v>
      </c>
      <c r="AD4826">
        <v>-8.1284000000000106E-2</v>
      </c>
      <c r="AE4826">
        <v>0.309389999999996</v>
      </c>
      <c r="AF4826">
        <v>-0.50365757606886996</v>
      </c>
      <c r="AG4826">
        <v>-8.1284000000000106E-2</v>
      </c>
      <c r="AH4826">
        <v>0.54113628925034296</v>
      </c>
      <c r="AI4826">
        <v>96.274682547561099</v>
      </c>
      <c r="AJ4826">
        <v>132.94557395925</v>
      </c>
      <c r="AK4826">
        <v>0.743711319082344</v>
      </c>
      <c r="AL4826">
        <v>92.898730921983201</v>
      </c>
      <c r="AM4826">
        <v>104.69238694666601</v>
      </c>
      <c r="AN4826">
        <v>1.0000000229349599</v>
      </c>
    </row>
    <row r="4827" spans="1:40" x14ac:dyDescent="0.25">
      <c r="A4827" t="str">
        <f>"20190305135926395"</f>
        <v>20190305135926395</v>
      </c>
      <c r="B4827" t="str">
        <f>"1551765566383783"</f>
        <v>1551765566383783</v>
      </c>
      <c r="C4827" t="s">
        <v>40</v>
      </c>
      <c r="D4827">
        <v>3.6070790000000001</v>
      </c>
      <c r="E4827">
        <v>0.37316250000000001</v>
      </c>
      <c r="F4827" t="s">
        <v>41</v>
      </c>
      <c r="G4827">
        <v>-397.17160000000001</v>
      </c>
      <c r="H4827">
        <v>1.034454</v>
      </c>
      <c r="I4827">
        <v>20.24879</v>
      </c>
      <c r="J4827">
        <v>-397.84870000000001</v>
      </c>
      <c r="K4827">
        <v>1.111326</v>
      </c>
      <c r="L4827">
        <v>19.95767</v>
      </c>
      <c r="M4827">
        <v>0.94906849999999998</v>
      </c>
      <c r="N4827">
        <v>-1.157098E-2</v>
      </c>
      <c r="O4827">
        <v>-0.3148569</v>
      </c>
      <c r="P4827">
        <v>0.99621780000000004</v>
      </c>
      <c r="Q4827">
        <v>-5.9018750000000002E-2</v>
      </c>
      <c r="R4827">
        <v>-6.3770439999999998E-2</v>
      </c>
      <c r="S4827">
        <v>3.0494379999999999</v>
      </c>
      <c r="T4827">
        <v>-0.26956200000000002</v>
      </c>
      <c r="U4827">
        <v>0.80865480000000001</v>
      </c>
      <c r="V4827">
        <v>-0.25292730000000002</v>
      </c>
      <c r="W4827">
        <v>-4.9060529999999998E-2</v>
      </c>
      <c r="X4827">
        <v>0.96624060000000001</v>
      </c>
      <c r="Y4827">
        <v>-0.54448739999999995</v>
      </c>
      <c r="Z4827">
        <v>5.0475449999999998E-2</v>
      </c>
      <c r="AA4827">
        <v>0.83724889999999996</v>
      </c>
      <c r="AB4827">
        <v>23</v>
      </c>
      <c r="AC4827">
        <v>0.67709999999999504</v>
      </c>
      <c r="AD4827">
        <v>-7.6871999999999996E-2</v>
      </c>
      <c r="AE4827">
        <v>0.29111999999999899</v>
      </c>
      <c r="AF4827">
        <v>-0.48424742586115899</v>
      </c>
      <c r="AG4827">
        <v>-7.6871999999999996E-2</v>
      </c>
      <c r="AH4827">
        <v>0.54506070998187295</v>
      </c>
      <c r="AI4827">
        <v>96.018692886201407</v>
      </c>
      <c r="AJ4827">
        <v>131.61879794782101</v>
      </c>
      <c r="AK4827">
        <v>0.73314122200508003</v>
      </c>
      <c r="AL4827">
        <v>92.812090093741006</v>
      </c>
      <c r="AM4827">
        <v>104.66886192168199</v>
      </c>
      <c r="AN4827">
        <v>1.00000002588876</v>
      </c>
    </row>
    <row r="4828" spans="1:40" x14ac:dyDescent="0.25">
      <c r="A4828" t="str">
        <f>"20190305135926415"</f>
        <v>20190305135926415</v>
      </c>
      <c r="B4828" t="str">
        <f>"1551765566404278"</f>
        <v>1551765566404278</v>
      </c>
      <c r="C4828" t="s">
        <v>40</v>
      </c>
      <c r="D4828">
        <v>3.6226919999999998</v>
      </c>
      <c r="E4828">
        <v>0.37323780000000001</v>
      </c>
      <c r="F4828" t="s">
        <v>41</v>
      </c>
      <c r="G4828">
        <v>-396.98140000000001</v>
      </c>
      <c r="H4828">
        <v>1.0359210000000001</v>
      </c>
      <c r="I4828">
        <v>20.189540000000001</v>
      </c>
      <c r="J4828">
        <v>-397.64749999999998</v>
      </c>
      <c r="K4828">
        <v>1.111383</v>
      </c>
      <c r="L4828">
        <v>19.894380000000002</v>
      </c>
      <c r="M4828">
        <v>0.95000580000000001</v>
      </c>
      <c r="N4828">
        <v>-1.149816E-2</v>
      </c>
      <c r="O4828">
        <v>-0.31202069999999998</v>
      </c>
      <c r="P4828">
        <v>0.99641650000000004</v>
      </c>
      <c r="Q4828">
        <v>-5.807934E-2</v>
      </c>
      <c r="R4828">
        <v>-6.14894E-2</v>
      </c>
      <c r="S4828">
        <v>3.0479129999999999</v>
      </c>
      <c r="T4828">
        <v>-0.264982</v>
      </c>
      <c r="U4828">
        <v>0.8152161</v>
      </c>
      <c r="V4828">
        <v>-0.2522681</v>
      </c>
      <c r="W4828">
        <v>-4.8220409999999998E-2</v>
      </c>
      <c r="X4828">
        <v>0.96645519999999996</v>
      </c>
      <c r="Y4828">
        <v>-0.54388879999999995</v>
      </c>
      <c r="Z4828">
        <v>4.9398070000000002E-2</v>
      </c>
      <c r="AA4828">
        <v>0.83770210000000001</v>
      </c>
      <c r="AB4828">
        <v>23</v>
      </c>
      <c r="AC4828">
        <v>0.66609999999997105</v>
      </c>
      <c r="AD4828">
        <v>-7.5462000000000098E-2</v>
      </c>
      <c r="AE4828">
        <v>0.29516000000000198</v>
      </c>
      <c r="AF4828">
        <v>-0.48309035076533202</v>
      </c>
      <c r="AG4828">
        <v>-7.5462000000000098E-2</v>
      </c>
      <c r="AH4828">
        <v>0.53499907201967001</v>
      </c>
      <c r="AI4828">
        <v>95.976366141973202</v>
      </c>
      <c r="AJ4828">
        <v>132.081221571029</v>
      </c>
      <c r="AK4828">
        <v>0.72477224526638795</v>
      </c>
      <c r="AL4828">
        <v>92.763897714864001</v>
      </c>
      <c r="AM4828">
        <v>104.62916377393</v>
      </c>
      <c r="AN4828">
        <v>1.0000000279126</v>
      </c>
    </row>
    <row r="4829" spans="1:40" x14ac:dyDescent="0.25">
      <c r="A4829" t="str">
        <f>"20190305135926437"</f>
        <v>20190305135926437</v>
      </c>
      <c r="B4829" t="str">
        <f>"1551765566434534"</f>
        <v>1551765566434534</v>
      </c>
      <c r="C4829" t="s">
        <v>40</v>
      </c>
      <c r="D4829">
        <v>3.6263239999999999</v>
      </c>
      <c r="E4829">
        <v>0.37336259999999999</v>
      </c>
      <c r="F4829" t="s">
        <v>41</v>
      </c>
      <c r="G4829">
        <v>-396.79160000000002</v>
      </c>
      <c r="H4829">
        <v>1.037552</v>
      </c>
      <c r="I4829">
        <v>20.124829999999999</v>
      </c>
      <c r="J4829">
        <v>-397.4452</v>
      </c>
      <c r="K4829">
        <v>1.1114200000000001</v>
      </c>
      <c r="L4829">
        <v>19.831510000000002</v>
      </c>
      <c r="M4829">
        <v>0.95095439999999998</v>
      </c>
      <c r="N4829">
        <v>-1.142896E-2</v>
      </c>
      <c r="O4829">
        <v>-0.30912020000000001</v>
      </c>
      <c r="P4829">
        <v>0.9966081</v>
      </c>
      <c r="Q4829">
        <v>-5.726233E-2</v>
      </c>
      <c r="R4829">
        <v>-5.9107350000000003E-2</v>
      </c>
      <c r="S4829">
        <v>3.0461429999999998</v>
      </c>
      <c r="T4829">
        <v>-0.26273800000000003</v>
      </c>
      <c r="U4829">
        <v>0.82144169999999905</v>
      </c>
      <c r="V4829">
        <v>-0.25164370000000003</v>
      </c>
      <c r="W4829">
        <v>-4.7486269999999997E-2</v>
      </c>
      <c r="X4829">
        <v>0.96665429999999997</v>
      </c>
      <c r="Y4829">
        <v>-0.54311169999999998</v>
      </c>
      <c r="Z4829">
        <v>4.8754260000000001E-2</v>
      </c>
      <c r="AA4829">
        <v>0.83824379999999998</v>
      </c>
      <c r="AB4829">
        <v>23</v>
      </c>
      <c r="AC4829">
        <v>0.65359999999998297</v>
      </c>
      <c r="AD4829">
        <v>-7.3868000000000003E-2</v>
      </c>
      <c r="AE4829">
        <v>0.29331999999999703</v>
      </c>
      <c r="AF4829">
        <v>-0.475946180390588</v>
      </c>
      <c r="AG4829">
        <v>-7.3868000000000003E-2</v>
      </c>
      <c r="AH4829">
        <v>0.52532223691645497</v>
      </c>
      <c r="AI4829">
        <v>95.949101638003199</v>
      </c>
      <c r="AJ4829">
        <v>132.17683120818</v>
      </c>
      <c r="AK4829">
        <v>0.71270239276383696</v>
      </c>
      <c r="AL4829">
        <v>92.721786378265506</v>
      </c>
      <c r="AM4829">
        <v>104.59162463115</v>
      </c>
      <c r="AN4829">
        <v>1.00000001664834</v>
      </c>
    </row>
    <row r="4830" spans="1:40" x14ac:dyDescent="0.25">
      <c r="A4830" t="str">
        <f>"20190305135926459"</f>
        <v>20190305135926459</v>
      </c>
      <c r="B4830" t="str">
        <f>"1551765566454054"</f>
        <v>1551765566454054</v>
      </c>
      <c r="C4830" t="s">
        <v>40</v>
      </c>
      <c r="D4830">
        <v>3.646684</v>
      </c>
      <c r="E4830">
        <v>0.37340770000000001</v>
      </c>
      <c r="F4830" t="s">
        <v>41</v>
      </c>
      <c r="G4830">
        <v>-396.60140000000001</v>
      </c>
      <c r="H4830">
        <v>1.0391410000000001</v>
      </c>
      <c r="I4830">
        <v>20.06081</v>
      </c>
      <c r="J4830">
        <v>-397.23340000000002</v>
      </c>
      <c r="K4830">
        <v>1.1114379999999999</v>
      </c>
      <c r="L4830">
        <v>19.76651</v>
      </c>
      <c r="M4830">
        <v>0.95194650000000003</v>
      </c>
      <c r="N4830">
        <v>-1.1354299999999999E-2</v>
      </c>
      <c r="O4830">
        <v>-0.3060544</v>
      </c>
      <c r="P4830">
        <v>0.99676609999999999</v>
      </c>
      <c r="Q4830">
        <v>-5.645638E-2</v>
      </c>
      <c r="R4830">
        <v>-5.7185029999999998E-2</v>
      </c>
      <c r="S4830">
        <v>3.0443120000000001</v>
      </c>
      <c r="T4830">
        <v>-0.2607467</v>
      </c>
      <c r="U4830">
        <v>0.8276367</v>
      </c>
      <c r="V4830">
        <v>-0.25040950000000001</v>
      </c>
      <c r="W4830">
        <v>-4.6750020000000003E-2</v>
      </c>
      <c r="X4830">
        <v>0.96701060000000005</v>
      </c>
      <c r="Y4830">
        <v>-0.54218189999999999</v>
      </c>
      <c r="Z4830">
        <v>4.8142749999999998E-2</v>
      </c>
      <c r="AA4830">
        <v>0.83888079999999998</v>
      </c>
      <c r="AB4830">
        <v>23</v>
      </c>
      <c r="AC4830">
        <v>0.632000000000005</v>
      </c>
      <c r="AD4830">
        <v>-7.2296999999999806E-2</v>
      </c>
      <c r="AE4830">
        <v>0.29429999999999901</v>
      </c>
      <c r="AF4830">
        <v>-0.46857560085800198</v>
      </c>
      <c r="AG4830">
        <v>-7.2296999999999806E-2</v>
      </c>
      <c r="AH4830">
        <v>0.50614812801606701</v>
      </c>
      <c r="AI4830">
        <v>95.983716480333598</v>
      </c>
      <c r="AJ4830">
        <v>132.79252121294601</v>
      </c>
      <c r="AK4830">
        <v>0.69352424429331005</v>
      </c>
      <c r="AL4830">
        <v>92.679555523452606</v>
      </c>
      <c r="AM4830">
        <v>104.51796746869999</v>
      </c>
      <c r="AN4830">
        <v>0.99999999128630501</v>
      </c>
    </row>
    <row r="4831" spans="1:40" x14ac:dyDescent="0.25">
      <c r="A4831" t="str">
        <f>"20190305135926472"</f>
        <v>20190305135926472</v>
      </c>
      <c r="B4831" t="str">
        <f>"1551765566463816"</f>
        <v>1551765566463816</v>
      </c>
      <c r="C4831" t="s">
        <v>40</v>
      </c>
      <c r="D4831">
        <v>3.6407180000000001</v>
      </c>
      <c r="E4831">
        <v>0.37343999999999999</v>
      </c>
      <c r="F4831" t="s">
        <v>41</v>
      </c>
      <c r="G4831">
        <v>-396.20890000000003</v>
      </c>
      <c r="H4831">
        <v>1.024322</v>
      </c>
      <c r="I4831">
        <v>20.046869999999998</v>
      </c>
      <c r="J4831">
        <v>-397.09359999999998</v>
      </c>
      <c r="K4831">
        <v>1.1114280000000001</v>
      </c>
      <c r="L4831">
        <v>19.72409</v>
      </c>
      <c r="M4831">
        <v>0.95259729999999998</v>
      </c>
      <c r="N4831">
        <v>-1.129895E-2</v>
      </c>
      <c r="O4831">
        <v>-0.30402420000000002</v>
      </c>
      <c r="P4831">
        <v>0.9968901</v>
      </c>
      <c r="Q4831">
        <v>-5.6013649999999998E-2</v>
      </c>
      <c r="R4831">
        <v>-5.5432429999999998E-2</v>
      </c>
      <c r="S4831">
        <v>3.0428769999999998</v>
      </c>
      <c r="T4831">
        <v>-0.25874399999999997</v>
      </c>
      <c r="U4831">
        <v>0.83316039999999902</v>
      </c>
      <c r="V4831">
        <v>-0.25005860000000002</v>
      </c>
      <c r="W4831">
        <v>-4.6355309999999997E-2</v>
      </c>
      <c r="X4831">
        <v>0.96712039999999999</v>
      </c>
      <c r="Y4831">
        <v>-0.54196099999999903</v>
      </c>
      <c r="Z4831">
        <v>4.7633660000000001E-2</v>
      </c>
      <c r="AA4831">
        <v>0.83905260000000004</v>
      </c>
      <c r="AB4831">
        <v>23</v>
      </c>
      <c r="AC4831">
        <v>0.88469999999995197</v>
      </c>
      <c r="AD4831">
        <v>-8.71060000000001E-2</v>
      </c>
      <c r="AE4831">
        <v>0.32278000000000101</v>
      </c>
      <c r="AF4831">
        <v>-0.57159624029016598</v>
      </c>
      <c r="AG4831">
        <v>-8.71060000000001E-2</v>
      </c>
      <c r="AH4831">
        <v>0.73836060637138801</v>
      </c>
      <c r="AI4831">
        <v>95.329453180495605</v>
      </c>
      <c r="AJ4831">
        <v>127.744972447772</v>
      </c>
      <c r="AK4831">
        <v>0.93780920351155495</v>
      </c>
      <c r="AL4831">
        <v>92.656915755833097</v>
      </c>
      <c r="AM4831">
        <v>104.49690464120501</v>
      </c>
      <c r="AN4831">
        <v>0.99999999314765797</v>
      </c>
    </row>
    <row r="4832" spans="1:40" x14ac:dyDescent="0.25">
      <c r="A4832" t="str">
        <f>"20190305135926486"</f>
        <v>20190305135926486</v>
      </c>
      <c r="B4832" t="str">
        <f>"1551765566474551"</f>
        <v>1551765566474551</v>
      </c>
      <c r="C4832" t="s">
        <v>40</v>
      </c>
      <c r="D4832">
        <v>3.6431969999999998</v>
      </c>
      <c r="E4832">
        <v>0.37346030000000002</v>
      </c>
      <c r="F4832" t="s">
        <v>41</v>
      </c>
      <c r="G4832">
        <v>-396.21679999999998</v>
      </c>
      <c r="H4832">
        <v>1.0370549999999901</v>
      </c>
      <c r="I4832">
        <v>19.965599999999998</v>
      </c>
      <c r="J4832">
        <v>-396.97030000000001</v>
      </c>
      <c r="K4832">
        <v>1.1114139999999999</v>
      </c>
      <c r="L4832">
        <v>19.686889999999998</v>
      </c>
      <c r="M4832">
        <v>0.95316639999999997</v>
      </c>
      <c r="N4832">
        <v>-1.125131E-2</v>
      </c>
      <c r="O4832">
        <v>-0.30223749999999999</v>
      </c>
      <c r="P4832">
        <v>0.99700029999999995</v>
      </c>
      <c r="Q4832">
        <v>-5.5559230000000001E-2</v>
      </c>
      <c r="R4832">
        <v>-5.388474E-2</v>
      </c>
      <c r="S4832">
        <v>3.0414729999999999</v>
      </c>
      <c r="T4832">
        <v>-0.2579823</v>
      </c>
      <c r="U4832">
        <v>0.83828740000000002</v>
      </c>
      <c r="V4832">
        <v>-0.24975720000000001</v>
      </c>
      <c r="W4832">
        <v>-4.5939389999999997E-2</v>
      </c>
      <c r="X4832">
        <v>0.96721809999999997</v>
      </c>
      <c r="Y4832">
        <v>-0.54182259999999904</v>
      </c>
      <c r="Z4832">
        <v>4.7375750000000001E-2</v>
      </c>
      <c r="AA4832">
        <v>0.83915659999999903</v>
      </c>
      <c r="AB4832">
        <v>23</v>
      </c>
      <c r="AC4832">
        <v>0.75350000000003003</v>
      </c>
      <c r="AD4832">
        <v>-7.4358999999999995E-2</v>
      </c>
      <c r="AE4832">
        <v>0.27871000000000001</v>
      </c>
      <c r="AF4832">
        <v>-0.489233045974308</v>
      </c>
      <c r="AG4832">
        <v>-7.4358999999999995E-2</v>
      </c>
      <c r="AH4832">
        <v>0.62862907554020098</v>
      </c>
      <c r="AI4832">
        <v>95.333048997795899</v>
      </c>
      <c r="AJ4832">
        <v>127.891978063821</v>
      </c>
      <c r="AK4832">
        <v>0.80003296730124096</v>
      </c>
      <c r="AL4832">
        <v>92.633059941556198</v>
      </c>
      <c r="AM4832">
        <v>104.47876508054399</v>
      </c>
      <c r="AN4832">
        <v>0.99999996973650995</v>
      </c>
    </row>
    <row r="4833" spans="1:40" x14ac:dyDescent="0.25">
      <c r="A4833" t="str">
        <f>"20190305135926508"</f>
        <v>20190305135926508</v>
      </c>
      <c r="B4833" t="str">
        <f>"1551765566504338"</f>
        <v>1551765566504338</v>
      </c>
      <c r="C4833" t="s">
        <v>40</v>
      </c>
      <c r="D4833">
        <v>3.638916</v>
      </c>
      <c r="E4833">
        <v>0.37355559999999899</v>
      </c>
      <c r="F4833" t="s">
        <v>41</v>
      </c>
      <c r="G4833">
        <v>-396.02109999999999</v>
      </c>
      <c r="H4833">
        <v>1.0311549999999901</v>
      </c>
      <c r="I4833">
        <v>19.949719999999999</v>
      </c>
      <c r="J4833">
        <v>-396.77409999999998</v>
      </c>
      <c r="K4833">
        <v>1.11138</v>
      </c>
      <c r="L4833">
        <v>19.628229999999999</v>
      </c>
      <c r="M4833">
        <v>0.95406230000000003</v>
      </c>
      <c r="N4833">
        <v>-1.117201E-2</v>
      </c>
      <c r="O4833">
        <v>-0.2993999</v>
      </c>
      <c r="P4833">
        <v>0.99711539999999999</v>
      </c>
      <c r="Q4833">
        <v>-5.581916E-2</v>
      </c>
      <c r="R4833">
        <v>-5.142878E-2</v>
      </c>
      <c r="S4833">
        <v>3.040222</v>
      </c>
      <c r="T4833">
        <v>-0.25701810000000003</v>
      </c>
      <c r="U4833">
        <v>0.84271240000000003</v>
      </c>
      <c r="V4833">
        <v>-0.2492577</v>
      </c>
      <c r="W4833">
        <v>-4.6260530000000001E-2</v>
      </c>
      <c r="X4833">
        <v>0.96733170000000002</v>
      </c>
      <c r="Y4833">
        <v>-0.54058119999999998</v>
      </c>
      <c r="Z4833">
        <v>4.6954429999999998E-2</v>
      </c>
      <c r="AA4833">
        <v>0.83998050000000002</v>
      </c>
      <c r="AB4833">
        <v>23</v>
      </c>
      <c r="AC4833">
        <v>0.75299999999998501</v>
      </c>
      <c r="AD4833">
        <v>-8.0225000000000199E-2</v>
      </c>
      <c r="AE4833">
        <v>0.32149000000000399</v>
      </c>
      <c r="AF4833">
        <v>-0.52714183851761398</v>
      </c>
      <c r="AG4833">
        <v>-8.0225000000000199E-2</v>
      </c>
      <c r="AH4833">
        <v>0.61627691028460196</v>
      </c>
      <c r="AI4833">
        <v>95.649574497381707</v>
      </c>
      <c r="AJ4833">
        <v>130.542529072847</v>
      </c>
      <c r="AK4833">
        <v>0.81493054838474799</v>
      </c>
      <c r="AL4833">
        <v>92.651479338017495</v>
      </c>
      <c r="AM4833">
        <v>104.449395994516</v>
      </c>
      <c r="AN4833">
        <v>1.0000000277350301</v>
      </c>
    </row>
    <row r="4834" spans="1:40" x14ac:dyDescent="0.25">
      <c r="A4834" t="str">
        <f>"20190305135926522"</f>
        <v>20190305135926522</v>
      </c>
      <c r="B4834" t="str">
        <f>"1551765566514098"</f>
        <v>1551765566514098</v>
      </c>
      <c r="C4834" t="s">
        <v>40</v>
      </c>
      <c r="D4834">
        <v>3.6511629999999999</v>
      </c>
      <c r="E4834">
        <v>0.37359429999999999</v>
      </c>
      <c r="F4834" t="s">
        <v>41</v>
      </c>
      <c r="G4834">
        <v>-395.82900000000001</v>
      </c>
      <c r="H4834">
        <v>1.0309699999999999</v>
      </c>
      <c r="I4834">
        <v>19.892510000000001</v>
      </c>
      <c r="J4834">
        <v>-396.61939999999998</v>
      </c>
      <c r="K4834">
        <v>1.1113489999999999</v>
      </c>
      <c r="L4834">
        <v>19.5824</v>
      </c>
      <c r="M4834">
        <v>0.95475880000000002</v>
      </c>
      <c r="N4834">
        <v>-1.1102509999999999E-2</v>
      </c>
      <c r="O4834">
        <v>-0.29717480000000002</v>
      </c>
      <c r="P4834">
        <v>0.99721389999999999</v>
      </c>
      <c r="Q4834">
        <v>-5.5979649999999999E-2</v>
      </c>
      <c r="R4834">
        <v>-4.9306469999999998E-2</v>
      </c>
      <c r="S4834">
        <v>3.0380250000000002</v>
      </c>
      <c r="T4834">
        <v>-0.2584825</v>
      </c>
      <c r="U4834">
        <v>0.84957890000000003</v>
      </c>
      <c r="V4834">
        <v>-0.24905959999999999</v>
      </c>
      <c r="W4834">
        <v>-4.6476169999999997E-2</v>
      </c>
      <c r="X4834">
        <v>0.96737240000000002</v>
      </c>
      <c r="Y4834">
        <v>-0.54051340000000003</v>
      </c>
      <c r="Z4834">
        <v>4.7085750000000003E-2</v>
      </c>
      <c r="AA4834">
        <v>0.84001680000000001</v>
      </c>
      <c r="AB4834">
        <v>23</v>
      </c>
      <c r="AC4834">
        <v>0.79039999999997601</v>
      </c>
      <c r="AD4834">
        <v>-8.0378999999999701E-2</v>
      </c>
      <c r="AE4834">
        <v>0.310110000000001</v>
      </c>
      <c r="AF4834">
        <v>-0.52628320587749999</v>
      </c>
      <c r="AG4834">
        <v>-8.0378999999999701E-2</v>
      </c>
      <c r="AH4834">
        <v>0.65664027135478198</v>
      </c>
      <c r="AI4834">
        <v>95.456157483052806</v>
      </c>
      <c r="AJ4834">
        <v>128.71143232093101</v>
      </c>
      <c r="AK4834">
        <v>0.84534681781774101</v>
      </c>
      <c r="AL4834">
        <v>92.663847871723704</v>
      </c>
      <c r="AM4834">
        <v>104.43781033295799</v>
      </c>
      <c r="AN4834">
        <v>1.0000000395058899</v>
      </c>
    </row>
    <row r="4835" spans="1:40" x14ac:dyDescent="0.25">
      <c r="A4835" t="str">
        <f>"20190305135926540"</f>
        <v>20190305135926540</v>
      </c>
      <c r="B4835" t="str">
        <f>"1551765566533618"</f>
        <v>1551765566533618</v>
      </c>
      <c r="C4835" t="s">
        <v>40</v>
      </c>
      <c r="D4835">
        <v>3.6908270000000001</v>
      </c>
      <c r="E4835">
        <v>0.37362040000000002</v>
      </c>
      <c r="F4835" t="s">
        <v>41</v>
      </c>
      <c r="G4835">
        <v>-395.6343</v>
      </c>
      <c r="H4835">
        <v>1.0273350000000001</v>
      </c>
      <c r="I4835">
        <v>19.8599</v>
      </c>
      <c r="J4835">
        <v>-396.45170000000002</v>
      </c>
      <c r="K4835">
        <v>1.11131</v>
      </c>
      <c r="L4835">
        <v>19.533110000000001</v>
      </c>
      <c r="M4835">
        <v>0.95550330000000006</v>
      </c>
      <c r="N4835">
        <v>-1.102124E-2</v>
      </c>
      <c r="O4835">
        <v>-0.29477490000000001</v>
      </c>
      <c r="P4835">
        <v>0.99724669999999904</v>
      </c>
      <c r="Q4835">
        <v>-5.7450260000000003E-2</v>
      </c>
      <c r="R4835">
        <v>-4.6890920000000003E-2</v>
      </c>
      <c r="S4835">
        <v>3.0361630000000002</v>
      </c>
      <c r="T4835">
        <v>-0.25892209999999999</v>
      </c>
      <c r="U4835">
        <v>0.85565190000000002</v>
      </c>
      <c r="V4835">
        <v>-0.2489413</v>
      </c>
      <c r="W4835">
        <v>-4.8014149999999998E-2</v>
      </c>
      <c r="X4835">
        <v>0.96732770000000001</v>
      </c>
      <c r="Y4835">
        <v>-0.54009099999999999</v>
      </c>
      <c r="Z4835">
        <v>4.6995299999999997E-2</v>
      </c>
      <c r="AA4835">
        <v>0.84029349999999903</v>
      </c>
      <c r="AB4835">
        <v>23</v>
      </c>
      <c r="AC4835">
        <v>0.81740000000002</v>
      </c>
      <c r="AD4835">
        <v>-8.3974999999999897E-2</v>
      </c>
      <c r="AE4835">
        <v>0.32678999999999803</v>
      </c>
      <c r="AF4835">
        <v>-0.548242520003696</v>
      </c>
      <c r="AG4835">
        <v>-8.3974999999999897E-2</v>
      </c>
      <c r="AH4835">
        <v>0.67856554876223196</v>
      </c>
      <c r="AI4835">
        <v>95.498424130000998</v>
      </c>
      <c r="AJ4835">
        <v>128.93624727459499</v>
      </c>
      <c r="AK4835">
        <v>0.87639766392431295</v>
      </c>
      <c r="AL4835">
        <v>92.752066248131001</v>
      </c>
      <c r="AM4835">
        <v>104.431878022116</v>
      </c>
      <c r="AN4835">
        <v>1.0000000043166</v>
      </c>
    </row>
    <row r="4836" spans="1:40" x14ac:dyDescent="0.25">
      <c r="A4836" t="str">
        <f>"20190305135926562"</f>
        <v>20190305135926562</v>
      </c>
      <c r="B4836" t="str">
        <f>"1551765566554114"</f>
        <v>1551765566554114</v>
      </c>
      <c r="C4836" t="s">
        <v>40</v>
      </c>
      <c r="D4836">
        <v>3.6725500000000002</v>
      </c>
      <c r="E4836">
        <v>0.37365860000000001</v>
      </c>
      <c r="F4836" t="s">
        <v>41</v>
      </c>
      <c r="G4836">
        <v>-395.43990000000002</v>
      </c>
      <c r="H4836">
        <v>1.023541</v>
      </c>
      <c r="I4836">
        <v>19.820910000000001</v>
      </c>
      <c r="J4836">
        <v>-396.24180000000001</v>
      </c>
      <c r="K4836">
        <v>1.111262</v>
      </c>
      <c r="L4836">
        <v>19.472110000000001</v>
      </c>
      <c r="M4836">
        <v>0.95641949999999998</v>
      </c>
      <c r="N4836">
        <v>-1.0916189999999999E-2</v>
      </c>
      <c r="O4836">
        <v>-0.29179240000000001</v>
      </c>
      <c r="P4836">
        <v>0.99730810000000003</v>
      </c>
      <c r="Q4836">
        <v>-5.8756099999999999E-2</v>
      </c>
      <c r="R4836">
        <v>-4.3864800000000002E-2</v>
      </c>
      <c r="S4836">
        <v>3.0336910000000001</v>
      </c>
      <c r="T4836">
        <v>-0.26316060000000002</v>
      </c>
      <c r="U4836">
        <v>0.86279300000000003</v>
      </c>
      <c r="V4836">
        <v>-0.2488312</v>
      </c>
      <c r="W4836">
        <v>-4.940982E-2</v>
      </c>
      <c r="X4836">
        <v>0.96728579999999997</v>
      </c>
      <c r="Y4836">
        <v>-0.53939490000000001</v>
      </c>
      <c r="Z4836">
        <v>4.7542309999999997E-2</v>
      </c>
      <c r="AA4836">
        <v>0.84070979999999995</v>
      </c>
      <c r="AB4836">
        <v>23</v>
      </c>
      <c r="AC4836">
        <v>0.80189999999998895</v>
      </c>
      <c r="AD4836">
        <v>-8.7720999999999896E-2</v>
      </c>
      <c r="AE4836">
        <v>0.3488</v>
      </c>
      <c r="AF4836">
        <v>-0.56196632215050901</v>
      </c>
      <c r="AG4836">
        <v>-8.7720999999999896E-2</v>
      </c>
      <c r="AH4836">
        <v>0.65858801466282701</v>
      </c>
      <c r="AI4836">
        <v>95.785593715536194</v>
      </c>
      <c r="AJ4836">
        <v>130.473782500721</v>
      </c>
      <c r="AK4836">
        <v>0.87019497477857999</v>
      </c>
      <c r="AL4836">
        <v>92.8321271469229</v>
      </c>
      <c r="AM4836">
        <v>104.426360399106</v>
      </c>
      <c r="AN4836">
        <v>1.00000005764375</v>
      </c>
    </row>
    <row r="4837" spans="1:40" x14ac:dyDescent="0.25">
      <c r="A4837" t="str">
        <f>"20190305135926585"</f>
        <v>20190305135926585</v>
      </c>
      <c r="B4837" t="str">
        <f>"1551765566573634"</f>
        <v>1551765566573634</v>
      </c>
      <c r="C4837" t="s">
        <v>40</v>
      </c>
      <c r="D4837">
        <v>3.6971829999999999</v>
      </c>
      <c r="E4837">
        <v>0.37368820000000003</v>
      </c>
      <c r="F4837" t="s">
        <v>41</v>
      </c>
      <c r="G4837">
        <v>-395.24709999999999</v>
      </c>
      <c r="H4837">
        <v>1.0233810000000001</v>
      </c>
      <c r="I4837">
        <v>19.75798</v>
      </c>
      <c r="J4837">
        <v>-396.0104</v>
      </c>
      <c r="K4837">
        <v>1.111219</v>
      </c>
      <c r="L4837">
        <v>19.4057</v>
      </c>
      <c r="M4837">
        <v>0.95741169999999998</v>
      </c>
      <c r="N4837">
        <v>-1.080067E-2</v>
      </c>
      <c r="O4837">
        <v>-0.28852420000000001</v>
      </c>
      <c r="P4837">
        <v>0.99740399999999996</v>
      </c>
      <c r="Q4837">
        <v>-5.9482159999999999E-2</v>
      </c>
      <c r="R4837">
        <v>-4.0587600000000001E-2</v>
      </c>
      <c r="S4837">
        <v>3.0306700000000002</v>
      </c>
      <c r="T4837">
        <v>-0.26774779999999998</v>
      </c>
      <c r="U4837">
        <v>0.87161250000000001</v>
      </c>
      <c r="V4837">
        <v>-0.24869179999999999</v>
      </c>
      <c r="W4837">
        <v>-5.0237829999999997E-2</v>
      </c>
      <c r="X4837">
        <v>0.967279</v>
      </c>
      <c r="Y4837">
        <v>-0.53891210000000001</v>
      </c>
      <c r="Z4837">
        <v>4.8137399999999997E-2</v>
      </c>
      <c r="AA4837">
        <v>0.84098549999999905</v>
      </c>
      <c r="AB4837">
        <v>23</v>
      </c>
      <c r="AC4837">
        <v>0.76330000000001497</v>
      </c>
      <c r="AD4837">
        <v>-8.7837999999999999E-2</v>
      </c>
      <c r="AE4837">
        <v>0.35227999999999998</v>
      </c>
      <c r="AF4837">
        <v>-0.551518967085732</v>
      </c>
      <c r="AG4837">
        <v>-8.7837999999999999E-2</v>
      </c>
      <c r="AH4837">
        <v>0.62239292753761499</v>
      </c>
      <c r="AI4837">
        <v>96.029580844170695</v>
      </c>
      <c r="AJ4837">
        <v>131.54500845346999</v>
      </c>
      <c r="AK4837">
        <v>0.83621865654155003</v>
      </c>
      <c r="AL4837">
        <v>92.8796276192015</v>
      </c>
      <c r="AM4837">
        <v>104.418712618827</v>
      </c>
      <c r="AN4837">
        <v>1.00000005739567</v>
      </c>
    </row>
    <row r="4838" spans="1:40" x14ac:dyDescent="0.25">
      <c r="A4838" t="str">
        <f>"20190305135926610"</f>
        <v>20190305135926610</v>
      </c>
      <c r="B4838" t="str">
        <f>"1551765566604397"</f>
        <v>1551765566604397</v>
      </c>
      <c r="C4838" t="s">
        <v>40</v>
      </c>
      <c r="D4838">
        <v>3.7120880000000001</v>
      </c>
      <c r="E4838">
        <v>0.37373230000000002</v>
      </c>
      <c r="F4838" t="s">
        <v>41</v>
      </c>
      <c r="G4838">
        <v>-395.05470000000003</v>
      </c>
      <c r="H4838">
        <v>1.025787</v>
      </c>
      <c r="I4838">
        <v>19.683900000000001</v>
      </c>
      <c r="J4838">
        <v>-395.77080000000001</v>
      </c>
      <c r="K4838">
        <v>1.111183</v>
      </c>
      <c r="L4838">
        <v>19.337769999999999</v>
      </c>
      <c r="M4838">
        <v>0.95842269999999896</v>
      </c>
      <c r="N4838">
        <v>-1.067571E-2</v>
      </c>
      <c r="O4838">
        <v>-0.28515279999999998</v>
      </c>
      <c r="P4838">
        <v>0.99749969999999999</v>
      </c>
      <c r="Q4838">
        <v>-6.0063320000000003E-2</v>
      </c>
      <c r="R4838">
        <v>-3.7240040000000002E-2</v>
      </c>
      <c r="S4838">
        <v>3.0274960000000002</v>
      </c>
      <c r="T4838">
        <v>-0.27064349999999998</v>
      </c>
      <c r="U4838">
        <v>0.88125609999999999</v>
      </c>
      <c r="V4838">
        <v>-0.24852070000000001</v>
      </c>
      <c r="W4838">
        <v>-5.0933399999999997E-2</v>
      </c>
      <c r="X4838">
        <v>0.96728650000000005</v>
      </c>
      <c r="Y4838">
        <v>-0.53860169999999996</v>
      </c>
      <c r="Z4838">
        <v>4.8421409999999998E-2</v>
      </c>
      <c r="AA4838">
        <v>0.84116800000000003</v>
      </c>
      <c r="AB4838">
        <v>23</v>
      </c>
      <c r="AC4838">
        <v>0.71609999999998297</v>
      </c>
      <c r="AD4838">
        <v>-8.5396E-2</v>
      </c>
      <c r="AE4838">
        <v>0.34612999999999799</v>
      </c>
      <c r="AF4838">
        <v>-0.52985921592801899</v>
      </c>
      <c r="AG4838">
        <v>-8.5396E-2</v>
      </c>
      <c r="AH4838">
        <v>0.58096283838570095</v>
      </c>
      <c r="AI4838">
        <v>96.198301916583802</v>
      </c>
      <c r="AJ4838">
        <v>132.36595182675899</v>
      </c>
      <c r="AK4838">
        <v>0.79092419681346504</v>
      </c>
      <c r="AL4838">
        <v>92.919532212170097</v>
      </c>
      <c r="AM4838">
        <v>104.40909861521</v>
      </c>
      <c r="AN4838">
        <v>0.99999996132314894</v>
      </c>
    </row>
    <row r="4839" spans="1:40" x14ac:dyDescent="0.25">
      <c r="A4839" t="str">
        <f>"20190305135926631"</f>
        <v>20190305135926631</v>
      </c>
      <c r="B4839" t="str">
        <f>"1551765566623916"</f>
        <v>1551765566623916</v>
      </c>
      <c r="C4839" t="s">
        <v>40</v>
      </c>
      <c r="D4839">
        <v>3.7319230000000001</v>
      </c>
      <c r="E4839">
        <v>0.37379839999999998</v>
      </c>
      <c r="F4839" t="s">
        <v>41</v>
      </c>
      <c r="G4839">
        <v>-394.8621</v>
      </c>
      <c r="H4839">
        <v>1.028897</v>
      </c>
      <c r="I4839">
        <v>19.605309999999999</v>
      </c>
      <c r="J4839">
        <v>-395.57709999999997</v>
      </c>
      <c r="K4839">
        <v>1.111157</v>
      </c>
      <c r="L4839">
        <v>19.283480000000001</v>
      </c>
      <c r="M4839">
        <v>0.95923020000000003</v>
      </c>
      <c r="N4839">
        <v>-1.056372E-2</v>
      </c>
      <c r="O4839">
        <v>-0.28242840000000002</v>
      </c>
      <c r="P4839">
        <v>0.99756929999999999</v>
      </c>
      <c r="Q4839">
        <v>-6.0129780000000001E-2</v>
      </c>
      <c r="R4839">
        <v>-3.5216480000000001E-2</v>
      </c>
      <c r="S4839">
        <v>3.024292</v>
      </c>
      <c r="T4839">
        <v>-0.27383770000000002</v>
      </c>
      <c r="U4839">
        <v>0.89105219999999896</v>
      </c>
      <c r="V4839">
        <v>-0.24773249999999999</v>
      </c>
      <c r="W4839">
        <v>-5.1100470000000002E-2</v>
      </c>
      <c r="X4839">
        <v>0.96747989999999995</v>
      </c>
      <c r="Y4839">
        <v>-0.53889189999999998</v>
      </c>
      <c r="Z4839">
        <v>4.8830579999999998E-2</v>
      </c>
      <c r="AA4839">
        <v>0.84095839999999999</v>
      </c>
      <c r="AB4839">
        <v>23</v>
      </c>
      <c r="AC4839">
        <v>0.71499999999997499</v>
      </c>
      <c r="AD4839">
        <v>-8.226E-2</v>
      </c>
      <c r="AE4839">
        <v>0.321830000000002</v>
      </c>
      <c r="AF4839">
        <v>-0.50511439052671103</v>
      </c>
      <c r="AG4839">
        <v>-8.226E-2</v>
      </c>
      <c r="AH4839">
        <v>0.58851149722678298</v>
      </c>
      <c r="AI4839">
        <v>96.054492435330999</v>
      </c>
      <c r="AJ4839">
        <v>130.63921061241001</v>
      </c>
      <c r="AK4839">
        <v>0.77990578757006301</v>
      </c>
      <c r="AL4839">
        <v>92.929116977081307</v>
      </c>
      <c r="AM4839">
        <v>104.36254039664701</v>
      </c>
      <c r="AN4839">
        <v>1.00000000324724</v>
      </c>
    </row>
    <row r="4840" spans="1:40" x14ac:dyDescent="0.25">
      <c r="A4840" t="str">
        <f>"20190305135926651"</f>
        <v>20190305135926651</v>
      </c>
      <c r="B4840" t="str">
        <f>"1551765566644413"</f>
        <v>1551765566644413</v>
      </c>
      <c r="C4840" t="s">
        <v>40</v>
      </c>
      <c r="D4840">
        <v>3.7498770000000001</v>
      </c>
      <c r="E4840">
        <v>0.3811174</v>
      </c>
      <c r="F4840" t="s">
        <v>41</v>
      </c>
      <c r="G4840">
        <v>-394.66680000000002</v>
      </c>
      <c r="H4840">
        <v>1.0283580000000001</v>
      </c>
      <c r="I4840">
        <v>19.553439999999998</v>
      </c>
      <c r="J4840">
        <v>-395.36799999999999</v>
      </c>
      <c r="K4840">
        <v>1.111145</v>
      </c>
      <c r="L4840">
        <v>19.225519999999999</v>
      </c>
      <c r="M4840">
        <v>0.9600921</v>
      </c>
      <c r="N4840">
        <v>-1.043933E-2</v>
      </c>
      <c r="O4840">
        <v>-0.27948919999999999</v>
      </c>
      <c r="P4840">
        <v>0.99764379999999997</v>
      </c>
      <c r="Q4840">
        <v>-6.0006860000000002E-2</v>
      </c>
      <c r="R4840">
        <v>-3.3258959999999997E-2</v>
      </c>
      <c r="S4840">
        <v>3.0224000000000002</v>
      </c>
      <c r="T4840">
        <v>-0.27492549999999999</v>
      </c>
      <c r="U4840">
        <v>0.89660640000000003</v>
      </c>
      <c r="V4840">
        <v>-0.24667049999999999</v>
      </c>
      <c r="W4840">
        <v>-5.1089839999999997E-2</v>
      </c>
      <c r="X4840">
        <v>0.96775180000000005</v>
      </c>
      <c r="Y4840">
        <v>-0.53786769999999995</v>
      </c>
      <c r="Z4840">
        <v>4.8765330000000003E-2</v>
      </c>
      <c r="AA4840">
        <v>0.84161759999999997</v>
      </c>
      <c r="AB4840">
        <v>23</v>
      </c>
      <c r="AC4840">
        <v>0.70120000000002802</v>
      </c>
      <c r="AD4840">
        <v>-8.2787000000000097E-2</v>
      </c>
      <c r="AE4840">
        <v>0.32791999999999799</v>
      </c>
      <c r="AF4840">
        <v>-0.50506224750451001</v>
      </c>
      <c r="AG4840">
        <v>-8.2787000000000097E-2</v>
      </c>
      <c r="AH4840">
        <v>0.57502117833066602</v>
      </c>
      <c r="AI4840">
        <v>96.173735277379606</v>
      </c>
      <c r="AJ4840">
        <v>131.29402699507699</v>
      </c>
      <c r="AK4840">
        <v>0.76979927042839902</v>
      </c>
      <c r="AL4840">
        <v>92.928507057136301</v>
      </c>
      <c r="AM4840">
        <v>104.299647503706</v>
      </c>
      <c r="AN4840">
        <v>1.0000000268623499</v>
      </c>
    </row>
    <row r="4841" spans="1:40" x14ac:dyDescent="0.25">
      <c r="A4841" t="str">
        <f>"20190305135926675"</f>
        <v>20190305135926675</v>
      </c>
      <c r="B4841" t="str">
        <f>"1551765566663933"</f>
        <v>1551765566663933</v>
      </c>
      <c r="C4841" t="s">
        <v>40</v>
      </c>
      <c r="D4841">
        <v>3.7589640000000002</v>
      </c>
      <c r="E4841">
        <v>0.38217040000000002</v>
      </c>
      <c r="F4841" t="s">
        <v>41</v>
      </c>
      <c r="G4841">
        <v>-394.47309999999999</v>
      </c>
      <c r="H4841">
        <v>1.016724</v>
      </c>
      <c r="I4841">
        <v>19.475079999999998</v>
      </c>
      <c r="J4841">
        <v>-395.13470000000001</v>
      </c>
      <c r="K4841">
        <v>1.111132</v>
      </c>
      <c r="L4841">
        <v>19.16168</v>
      </c>
      <c r="M4841">
        <v>0.96104250000000002</v>
      </c>
      <c r="N4841">
        <v>-1.030554E-2</v>
      </c>
      <c r="O4841">
        <v>-0.27620830000000002</v>
      </c>
      <c r="P4841">
        <v>0.99769589999999997</v>
      </c>
      <c r="Q4841">
        <v>-6.0090989999999997E-2</v>
      </c>
      <c r="R4841">
        <v>-3.149296E-2</v>
      </c>
      <c r="S4841">
        <v>3.016022</v>
      </c>
      <c r="T4841">
        <v>-0.31820859999999901</v>
      </c>
      <c r="U4841">
        <v>0.84170529999999999</v>
      </c>
      <c r="V4841">
        <v>-0.2450756</v>
      </c>
      <c r="W4841">
        <v>-5.1293129999999999E-2</v>
      </c>
      <c r="X4841">
        <v>0.96814610000000001</v>
      </c>
      <c r="Y4841">
        <v>-0.5202407</v>
      </c>
      <c r="Z4841">
        <v>5.5321269999999999E-2</v>
      </c>
      <c r="AA4841">
        <v>0.85222600000000004</v>
      </c>
      <c r="AB4841">
        <v>23</v>
      </c>
      <c r="AC4841">
        <v>0.66160000000002095</v>
      </c>
      <c r="AD4841">
        <v>-9.4408000000000006E-2</v>
      </c>
      <c r="AE4841">
        <v>0.31339999999999701</v>
      </c>
      <c r="AF4841">
        <v>-0.47603906709681199</v>
      </c>
      <c r="AG4841">
        <v>-9.4408000000000006E-2</v>
      </c>
      <c r="AH4841">
        <v>0.54030565767627603</v>
      </c>
      <c r="AI4841">
        <v>97.469111746048995</v>
      </c>
      <c r="AJ4841">
        <v>131.38182952347299</v>
      </c>
      <c r="AK4841">
        <v>0.72626184505548497</v>
      </c>
      <c r="AL4841">
        <v>92.940170225248906</v>
      </c>
      <c r="AM4841">
        <v>104.205393582554</v>
      </c>
      <c r="AN4841">
        <v>0.99999995292288202</v>
      </c>
    </row>
    <row r="4842" spans="1:40" x14ac:dyDescent="0.25">
      <c r="A4842" t="str">
        <f>"20190305135926697"</f>
        <v>20190305135926697</v>
      </c>
      <c r="B4842" t="str">
        <f>"1551765566693722"</f>
        <v>1551765566693722</v>
      </c>
      <c r="C4842" t="s">
        <v>40</v>
      </c>
      <c r="D4842">
        <v>3.7519420000000001</v>
      </c>
      <c r="E4842">
        <v>0.38274809999999998</v>
      </c>
      <c r="F4842" t="s">
        <v>41</v>
      </c>
      <c r="G4842">
        <v>-394.27839999999998</v>
      </c>
      <c r="H4842">
        <v>1.0209629999999901</v>
      </c>
      <c r="I4842">
        <v>19.399799999999999</v>
      </c>
      <c r="J4842">
        <v>-394.9101</v>
      </c>
      <c r="K4842">
        <v>1.1111230000000001</v>
      </c>
      <c r="L4842">
        <v>19.100950000000001</v>
      </c>
      <c r="M4842">
        <v>0.96194749999999996</v>
      </c>
      <c r="N4842">
        <v>-1.0180069999999999E-2</v>
      </c>
      <c r="O4842">
        <v>-0.27304450000000002</v>
      </c>
      <c r="P4842">
        <v>0.99770020000000004</v>
      </c>
      <c r="Q4842">
        <v>-5.9982470000000003E-2</v>
      </c>
      <c r="R4842">
        <v>-3.1564149999999999E-2</v>
      </c>
      <c r="S4842">
        <v>3.0142820000000001</v>
      </c>
      <c r="T4842">
        <v>-0.31739869999999998</v>
      </c>
      <c r="U4842">
        <v>0.83859249999999996</v>
      </c>
      <c r="V4842">
        <v>-0.24182200000000001</v>
      </c>
      <c r="W4842">
        <v>-5.1284910000000003E-2</v>
      </c>
      <c r="X4842">
        <v>0.96896439999999995</v>
      </c>
      <c r="Y4842">
        <v>-0.51679370000000002</v>
      </c>
      <c r="Z4842">
        <v>5.473194E-2</v>
      </c>
      <c r="AA4842">
        <v>0.85435859999999997</v>
      </c>
      <c r="AB4842">
        <v>23</v>
      </c>
      <c r="AC4842">
        <v>0.63170000000002302</v>
      </c>
      <c r="AD4842">
        <v>-9.0160000000000004E-2</v>
      </c>
      <c r="AE4842">
        <v>0.29884999999999801</v>
      </c>
      <c r="AF4842">
        <v>-0.45245286929694301</v>
      </c>
      <c r="AG4842">
        <v>-9.0160000000000004E-2</v>
      </c>
      <c r="AH4842">
        <v>0.51747662458602195</v>
      </c>
      <c r="AI4842">
        <v>97.472492053908894</v>
      </c>
      <c r="AJ4842">
        <v>131.164648617659</v>
      </c>
      <c r="AK4842">
        <v>0.69327085726141702</v>
      </c>
      <c r="AL4842">
        <v>92.939698450372504</v>
      </c>
      <c r="AM4842">
        <v>104.0129170684</v>
      </c>
      <c r="AN4842">
        <v>1.0000000150725299</v>
      </c>
    </row>
    <row r="4843" spans="1:40" x14ac:dyDescent="0.25">
      <c r="A4843" t="str">
        <f>"20190305135926719"</f>
        <v>20190305135926719</v>
      </c>
      <c r="B4843" t="str">
        <f>"1551765566714218"</f>
        <v>1551765566714218</v>
      </c>
      <c r="C4843" t="s">
        <v>40</v>
      </c>
      <c r="D4843">
        <v>3.7619370000000001</v>
      </c>
      <c r="E4843">
        <v>0.38342589999999999</v>
      </c>
      <c r="F4843" t="s">
        <v>41</v>
      </c>
      <c r="G4843">
        <v>-394.08260000000001</v>
      </c>
      <c r="H4843">
        <v>1.0216050000000001</v>
      </c>
      <c r="I4843">
        <v>19.329599999999999</v>
      </c>
      <c r="J4843">
        <v>-394.70319999999998</v>
      </c>
      <c r="K4843">
        <v>1.1111169999999999</v>
      </c>
      <c r="L4843">
        <v>19.045750000000002</v>
      </c>
      <c r="M4843">
        <v>0.96277199999999996</v>
      </c>
      <c r="N4843">
        <v>-1.006539E-2</v>
      </c>
      <c r="O4843">
        <v>-0.27012730000000001</v>
      </c>
      <c r="P4843">
        <v>0.9977239</v>
      </c>
      <c r="Q4843">
        <v>-5.9970460000000003E-2</v>
      </c>
      <c r="R4843">
        <v>-3.083228E-2</v>
      </c>
      <c r="S4843">
        <v>3.0137019999999999</v>
      </c>
      <c r="T4843">
        <v>-0.32604119999999998</v>
      </c>
      <c r="U4843">
        <v>0.83334349999999902</v>
      </c>
      <c r="V4843">
        <v>-0.23959510000000001</v>
      </c>
      <c r="W4843">
        <v>-5.1371550000000002E-2</v>
      </c>
      <c r="X4843">
        <v>0.96951279999999995</v>
      </c>
      <c r="Y4843">
        <v>-0.51266999999999996</v>
      </c>
      <c r="Z4843">
        <v>5.5720260000000001E-2</v>
      </c>
      <c r="AA4843">
        <v>0.85677579999999998</v>
      </c>
      <c r="AB4843">
        <v>23</v>
      </c>
      <c r="AC4843">
        <v>0.62059999999996696</v>
      </c>
      <c r="AD4843">
        <v>-8.9511999999999994E-2</v>
      </c>
      <c r="AE4843">
        <v>0.28384999999999699</v>
      </c>
      <c r="AF4843">
        <v>-0.43348822365475598</v>
      </c>
      <c r="AG4843">
        <v>-8.9511999999999994E-2</v>
      </c>
      <c r="AH4843">
        <v>0.51203770125904302</v>
      </c>
      <c r="AI4843">
        <v>97.599667488151894</v>
      </c>
      <c r="AJ4843">
        <v>130.251063286787</v>
      </c>
      <c r="AK4843">
        <v>0.676836055261539</v>
      </c>
      <c r="AL4843">
        <v>92.944669274831298</v>
      </c>
      <c r="AM4843">
        <v>103.881339929516</v>
      </c>
      <c r="AN4843">
        <v>0.99999995872862502</v>
      </c>
    </row>
    <row r="4844" spans="1:40" x14ac:dyDescent="0.25">
      <c r="A4844" t="str">
        <f>"20190305135926740"</f>
        <v>20190305135926740</v>
      </c>
      <c r="B4844" t="str">
        <f>"1551765566733737"</f>
        <v>1551765566733737</v>
      </c>
      <c r="C4844" t="s">
        <v>40</v>
      </c>
      <c r="D4844">
        <v>3.797955</v>
      </c>
      <c r="E4844">
        <v>0.38375029999999999</v>
      </c>
      <c r="F4844" t="s">
        <v>41</v>
      </c>
      <c r="G4844">
        <v>-393.88560000000001</v>
      </c>
      <c r="H4844">
        <v>1.0203329999999999</v>
      </c>
      <c r="I4844">
        <v>19.27102</v>
      </c>
      <c r="J4844">
        <v>-394.48700000000002</v>
      </c>
      <c r="K4844">
        <v>1.111105</v>
      </c>
      <c r="L4844">
        <v>18.988769999999999</v>
      </c>
      <c r="M4844">
        <v>0.96362440000000005</v>
      </c>
      <c r="N4844">
        <v>-9.9480279999999994E-3</v>
      </c>
      <c r="O4844">
        <v>-0.26707589999999998</v>
      </c>
      <c r="P4844">
        <v>0.99779609999999996</v>
      </c>
      <c r="Q4844">
        <v>-5.934996E-2</v>
      </c>
      <c r="R4844">
        <v>-2.9680000000000002E-2</v>
      </c>
      <c r="S4844">
        <v>3.0123600000000001</v>
      </c>
      <c r="T4844">
        <v>-0.33448929999999999</v>
      </c>
      <c r="U4844">
        <v>0.82968140000000001</v>
      </c>
      <c r="V4844">
        <v>-0.23765459999999999</v>
      </c>
      <c r="W4844">
        <v>-5.0855270000000001E-2</v>
      </c>
      <c r="X4844">
        <v>0.97001760000000004</v>
      </c>
      <c r="Y4844">
        <v>-0.50889209999999996</v>
      </c>
      <c r="Z4844">
        <v>5.6666290000000001E-2</v>
      </c>
      <c r="AA4844">
        <v>0.85896329999999999</v>
      </c>
      <c r="AB4844">
        <v>23</v>
      </c>
      <c r="AC4844">
        <v>0.60139999999995497</v>
      </c>
      <c r="AD4844">
        <v>-9.0772000000000005E-2</v>
      </c>
      <c r="AE4844">
        <v>0.282249999999997</v>
      </c>
      <c r="AF4844">
        <v>-0.42469505732046797</v>
      </c>
      <c r="AG4844">
        <v>-9.0772000000000005E-2</v>
      </c>
      <c r="AH4844">
        <v>0.49492652931272901</v>
      </c>
      <c r="AI4844">
        <v>97.923852025350001</v>
      </c>
      <c r="AJ4844">
        <v>130.632800312217</v>
      </c>
      <c r="AK4844">
        <v>0.65845099826333198</v>
      </c>
      <c r="AL4844">
        <v>92.915049608054801</v>
      </c>
      <c r="AM4844">
        <v>103.766316733409</v>
      </c>
      <c r="AN4844">
        <v>1.00000005584884</v>
      </c>
    </row>
    <row r="4845" spans="1:40" x14ac:dyDescent="0.25">
      <c r="A4845" t="str">
        <f>"20190305135926763"</f>
        <v>20190305135926763</v>
      </c>
      <c r="B4845" t="str">
        <f>"1551765566754234"</f>
        <v>1551765566754234</v>
      </c>
      <c r="C4845" t="s">
        <v>40</v>
      </c>
      <c r="D4845">
        <v>3.7921819999999999</v>
      </c>
      <c r="E4845">
        <v>0.38396400000000003</v>
      </c>
      <c r="F4845" t="s">
        <v>41</v>
      </c>
      <c r="G4845">
        <v>-393.48340000000002</v>
      </c>
      <c r="H4845">
        <v>0.99681240000000004</v>
      </c>
      <c r="I4845">
        <v>19.265370000000001</v>
      </c>
      <c r="J4845">
        <v>-394.25599999999997</v>
      </c>
      <c r="K4845">
        <v>1.1110960000000001</v>
      </c>
      <c r="L4845">
        <v>18.92877</v>
      </c>
      <c r="M4845">
        <v>0.96452280000000001</v>
      </c>
      <c r="N4845">
        <v>-9.8273470000000002E-3</v>
      </c>
      <c r="O4845">
        <v>-0.26381729999999998</v>
      </c>
      <c r="P4845">
        <v>0.99780829999999998</v>
      </c>
      <c r="Q4845">
        <v>-5.9843309999999997E-2</v>
      </c>
      <c r="R4845">
        <v>-2.8245260000000001E-2</v>
      </c>
      <c r="S4845">
        <v>3.0109249999999999</v>
      </c>
      <c r="T4845">
        <v>-0.3428524</v>
      </c>
      <c r="U4845">
        <v>0.83007809999999904</v>
      </c>
      <c r="V4845">
        <v>-0.23575979999999999</v>
      </c>
      <c r="W4845">
        <v>-5.1458169999999998E-2</v>
      </c>
      <c r="X4845">
        <v>0.97044799999999998</v>
      </c>
      <c r="Y4845">
        <v>-0.50600389999999995</v>
      </c>
      <c r="Z4845">
        <v>5.7598469999999999E-2</v>
      </c>
      <c r="AA4845">
        <v>0.86060590000000003</v>
      </c>
      <c r="AB4845">
        <v>23</v>
      </c>
      <c r="AC4845">
        <v>0.77259999999995399</v>
      </c>
      <c r="AD4845">
        <v>-0.114283599999999</v>
      </c>
      <c r="AE4845">
        <v>0.33660000000000001</v>
      </c>
      <c r="AF4845">
        <v>-0.51896529020670301</v>
      </c>
      <c r="AG4845">
        <v>-0.114283599999999</v>
      </c>
      <c r="AH4845">
        <v>0.64456741619081204</v>
      </c>
      <c r="AI4845">
        <v>97.863007420163697</v>
      </c>
      <c r="AJ4845">
        <v>128.83883918677</v>
      </c>
      <c r="AK4845">
        <v>0.83537588406847596</v>
      </c>
      <c r="AL4845">
        <v>92.949638764264705</v>
      </c>
      <c r="AM4845">
        <v>103.654855341323</v>
      </c>
      <c r="AN4845">
        <v>0.99999997362989401</v>
      </c>
    </row>
    <row r="4846" spans="1:40" x14ac:dyDescent="0.25">
      <c r="A4846" t="str">
        <f>"20190305135926787"</f>
        <v>20190305135926787</v>
      </c>
      <c r="B4846" t="str">
        <f>"1551765566773754"</f>
        <v>1551765566773754</v>
      </c>
      <c r="C4846" t="s">
        <v>40</v>
      </c>
      <c r="D4846">
        <v>3.7921580000000001</v>
      </c>
      <c r="E4846">
        <v>0.38335000000000002</v>
      </c>
      <c r="F4846" t="s">
        <v>41</v>
      </c>
      <c r="G4846">
        <v>-393.28530000000001</v>
      </c>
      <c r="H4846">
        <v>0.99803430000000004</v>
      </c>
      <c r="I4846">
        <v>19.197050000000001</v>
      </c>
      <c r="J4846">
        <v>-394.01760000000002</v>
      </c>
      <c r="K4846">
        <v>1.1110819999999999</v>
      </c>
      <c r="L4846">
        <v>18.867650000000001</v>
      </c>
      <c r="M4846">
        <v>0.96543789999999996</v>
      </c>
      <c r="N4846">
        <v>-9.7119149999999998E-3</v>
      </c>
      <c r="O4846">
        <v>-0.26045259999999998</v>
      </c>
      <c r="P4846">
        <v>0.9978013</v>
      </c>
      <c r="Q4846">
        <v>-6.085306E-2</v>
      </c>
      <c r="R4846">
        <v>-2.6259580000000001E-2</v>
      </c>
      <c r="S4846">
        <v>3.0091549999999998</v>
      </c>
      <c r="T4846">
        <v>-0.35045979999999999</v>
      </c>
      <c r="U4846">
        <v>0.83242799999999995</v>
      </c>
      <c r="V4846">
        <v>-0.23428399999999999</v>
      </c>
      <c r="W4846">
        <v>-5.2576270000000001E-2</v>
      </c>
      <c r="X4846">
        <v>0.97074539999999998</v>
      </c>
      <c r="Y4846">
        <v>-0.5035792</v>
      </c>
      <c r="Z4846">
        <v>5.840004E-2</v>
      </c>
      <c r="AA4846">
        <v>0.86197299999999999</v>
      </c>
      <c r="AB4846">
        <v>23</v>
      </c>
      <c r="AC4846">
        <v>0.73230000000000905</v>
      </c>
      <c r="AD4846">
        <v>-0.113047699999999</v>
      </c>
      <c r="AE4846">
        <v>0.32939999999999903</v>
      </c>
      <c r="AF4846">
        <v>-0.49888043495016798</v>
      </c>
      <c r="AG4846">
        <v>-0.113047699999999</v>
      </c>
      <c r="AH4846">
        <v>0.60915245608636004</v>
      </c>
      <c r="AI4846">
        <v>98.170501143622602</v>
      </c>
      <c r="AJ4846">
        <v>129.316607734218</v>
      </c>
      <c r="AK4846">
        <v>0.79544213215506898</v>
      </c>
      <c r="AL4846">
        <v>93.013788115156402</v>
      </c>
      <c r="AM4846">
        <v>103.568546168764</v>
      </c>
      <c r="AN4846">
        <v>0.99999994422213401</v>
      </c>
    </row>
    <row r="4847" spans="1:40" x14ac:dyDescent="0.25">
      <c r="A4847" t="str">
        <f>"20190305135926809"</f>
        <v>20190305135926809</v>
      </c>
      <c r="B4847" t="str">
        <f>"1551765566804518"</f>
        <v>1551765566804518</v>
      </c>
      <c r="C4847" t="s">
        <v>40</v>
      </c>
      <c r="D4847">
        <v>3.789857</v>
      </c>
      <c r="E4847">
        <v>0.38277470000000002</v>
      </c>
      <c r="F4847" t="s">
        <v>41</v>
      </c>
      <c r="G4847">
        <v>-393.0865</v>
      </c>
      <c r="H4847">
        <v>1.0016309999999999</v>
      </c>
      <c r="I4847">
        <v>19.128640000000001</v>
      </c>
      <c r="J4847">
        <v>-393.79860000000002</v>
      </c>
      <c r="K4847">
        <v>1.11107</v>
      </c>
      <c r="L4847">
        <v>18.812290000000001</v>
      </c>
      <c r="M4847">
        <v>0.9662676</v>
      </c>
      <c r="N4847">
        <v>-9.6043440000000008E-3</v>
      </c>
      <c r="O4847">
        <v>-0.25736140000000002</v>
      </c>
      <c r="P4847">
        <v>0.99776849999999995</v>
      </c>
      <c r="Q4847">
        <v>-6.2269459999999999E-2</v>
      </c>
      <c r="R4847">
        <v>-2.410325E-2</v>
      </c>
      <c r="S4847">
        <v>3.0072329999999998</v>
      </c>
      <c r="T4847">
        <v>-0.35348879999999999</v>
      </c>
      <c r="U4847">
        <v>0.84332280000000004</v>
      </c>
      <c r="V4847">
        <v>-0.23324420000000001</v>
      </c>
      <c r="W4847">
        <v>-5.4096480000000002E-2</v>
      </c>
      <c r="X4847">
        <v>0.97091229999999995</v>
      </c>
      <c r="Y4847">
        <v>-0.50379259999999904</v>
      </c>
      <c r="Z4847">
        <v>5.8606150000000003E-2</v>
      </c>
      <c r="AA4847">
        <v>0.86183430000000005</v>
      </c>
      <c r="AB4847">
        <v>23</v>
      </c>
      <c r="AC4847">
        <v>0.71210000000002005</v>
      </c>
      <c r="AD4847">
        <v>-0.10943899999999999</v>
      </c>
      <c r="AE4847">
        <v>0.31634999999999902</v>
      </c>
      <c r="AF4847">
        <v>-0.47950951852780899</v>
      </c>
      <c r="AG4847">
        <v>-0.10943899999999999</v>
      </c>
      <c r="AH4847">
        <v>0.59495473766811702</v>
      </c>
      <c r="AI4847">
        <v>98.150457483996206</v>
      </c>
      <c r="AJ4847">
        <v>128.867413198881</v>
      </c>
      <c r="AK4847">
        <v>0.77193096385202098</v>
      </c>
      <c r="AL4847">
        <v>93.101013759930396</v>
      </c>
      <c r="AM4847">
        <v>103.50830108077901</v>
      </c>
      <c r="AN4847">
        <v>0.99999999013665997</v>
      </c>
    </row>
    <row r="4848" spans="1:40" x14ac:dyDescent="0.25">
      <c r="A4848" t="str">
        <f>"20190305135926829"</f>
        <v>20190305135926829</v>
      </c>
      <c r="B4848" t="str">
        <f>"1551765566824037"</f>
        <v>1551765566824037</v>
      </c>
      <c r="C4848" t="s">
        <v>40</v>
      </c>
      <c r="D4848">
        <v>3.7898540000000001</v>
      </c>
      <c r="E4848">
        <v>0.38236229999999999</v>
      </c>
      <c r="F4848" t="s">
        <v>41</v>
      </c>
      <c r="G4848">
        <v>-392.88650000000001</v>
      </c>
      <c r="H4848">
        <v>1.002829</v>
      </c>
      <c r="I4848">
        <v>19.071480000000001</v>
      </c>
      <c r="J4848">
        <v>-393.58839999999998</v>
      </c>
      <c r="K4848">
        <v>1.1110519999999999</v>
      </c>
      <c r="L4848">
        <v>18.759799999999998</v>
      </c>
      <c r="M4848">
        <v>0.96705450000000004</v>
      </c>
      <c r="N4848">
        <v>-9.4882339999999999E-3</v>
      </c>
      <c r="O4848">
        <v>-0.25439220000000001</v>
      </c>
      <c r="P4848">
        <v>0.99774119999999999</v>
      </c>
      <c r="Q4848">
        <v>-6.3568150000000004E-2</v>
      </c>
      <c r="R4848">
        <v>-2.1714839999999999E-2</v>
      </c>
      <c r="S4848">
        <v>3.0051269999999999</v>
      </c>
      <c r="T4848">
        <v>-0.3565739</v>
      </c>
      <c r="U4848">
        <v>0.85458369999999995</v>
      </c>
      <c r="V4848">
        <v>-0.23255709999999999</v>
      </c>
      <c r="W4848">
        <v>-5.5509599999999999E-2</v>
      </c>
      <c r="X4848">
        <v>0.97099740000000001</v>
      </c>
      <c r="Y4848">
        <v>-0.5042219</v>
      </c>
      <c r="Z4848">
        <v>5.8843310000000003E-2</v>
      </c>
      <c r="AA4848">
        <v>0.86156710000000003</v>
      </c>
      <c r="AB4848">
        <v>23</v>
      </c>
      <c r="AC4848">
        <v>0.701899999999966</v>
      </c>
      <c r="AD4848">
        <v>-0.108222999999999</v>
      </c>
      <c r="AE4848">
        <v>0.31167999999999901</v>
      </c>
      <c r="AF4848">
        <v>-0.47064516060807499</v>
      </c>
      <c r="AG4848">
        <v>-0.108222999999999</v>
      </c>
      <c r="AH4848">
        <v>0.58784048529752697</v>
      </c>
      <c r="AI4848">
        <v>98.178296657090101</v>
      </c>
      <c r="AJ4848">
        <v>128.68195595562901</v>
      </c>
      <c r="AK4848">
        <v>0.76077297604977601</v>
      </c>
      <c r="AL4848">
        <v>93.182101294430396</v>
      </c>
      <c r="AM4848">
        <v>103.468822413528</v>
      </c>
      <c r="AN4848">
        <v>1.0000000356296599</v>
      </c>
    </row>
    <row r="4849" spans="1:40" x14ac:dyDescent="0.25">
      <c r="A4849" t="str">
        <f>"20190305135926853"</f>
        <v>20190305135926853</v>
      </c>
      <c r="B4849" t="str">
        <f>"1551765566844533"</f>
        <v>1551765566844533</v>
      </c>
      <c r="C4849" t="s">
        <v>40</v>
      </c>
      <c r="D4849">
        <v>3.765924</v>
      </c>
      <c r="E4849">
        <v>0.38201449999999998</v>
      </c>
      <c r="F4849" t="s">
        <v>41</v>
      </c>
      <c r="G4849">
        <v>-392.68549999999999</v>
      </c>
      <c r="H4849">
        <v>1.0022869999999999</v>
      </c>
      <c r="I4849">
        <v>19.019780000000001</v>
      </c>
      <c r="J4849">
        <v>-393.36020000000002</v>
      </c>
      <c r="K4849">
        <v>1.111035</v>
      </c>
      <c r="L4849">
        <v>18.703610000000001</v>
      </c>
      <c r="M4849">
        <v>0.96789820000000004</v>
      </c>
      <c r="N4849">
        <v>-9.3444349999999999E-3</v>
      </c>
      <c r="O4849">
        <v>-0.25116919999999998</v>
      </c>
      <c r="P4849">
        <v>0.99771849999999995</v>
      </c>
      <c r="Q4849">
        <v>-6.4726820000000004E-2</v>
      </c>
      <c r="R4849">
        <v>-1.918483E-2</v>
      </c>
      <c r="S4849">
        <v>3.0025629999999999</v>
      </c>
      <c r="T4849">
        <v>-0.36167820000000001</v>
      </c>
      <c r="U4849">
        <v>0.86474609999999996</v>
      </c>
      <c r="V4849">
        <v>-0.23175760000000001</v>
      </c>
      <c r="W4849">
        <v>-5.6809190000000002E-2</v>
      </c>
      <c r="X4849">
        <v>0.97111329999999996</v>
      </c>
      <c r="Y4849">
        <v>-0.50411570000000006</v>
      </c>
      <c r="Z4849">
        <v>5.9351699999999903E-2</v>
      </c>
      <c r="AA4849">
        <v>0.86159430000000004</v>
      </c>
      <c r="AB4849">
        <v>23</v>
      </c>
      <c r="AC4849">
        <v>0.67470000000002905</v>
      </c>
      <c r="AD4849">
        <v>-0.108747999999999</v>
      </c>
      <c r="AE4849">
        <v>0.31616999999999601</v>
      </c>
      <c r="AF4849">
        <v>-0.465587331548447</v>
      </c>
      <c r="AG4849">
        <v>-0.108747999999999</v>
      </c>
      <c r="AH4849">
        <v>0.56168903236652201</v>
      </c>
      <c r="AI4849">
        <v>98.478003611087004</v>
      </c>
      <c r="AJ4849">
        <v>129.655534653595</v>
      </c>
      <c r="AK4849">
        <v>0.73762609761534603</v>
      </c>
      <c r="AL4849">
        <v>93.256680279920204</v>
      </c>
      <c r="AM4849">
        <v>103.422653036398</v>
      </c>
      <c r="AN4849">
        <v>0.99999995533155195</v>
      </c>
    </row>
    <row r="4850" spans="1:40" x14ac:dyDescent="0.25">
      <c r="A4850" t="str">
        <f>"20190305135926875"</f>
        <v>20190305135926875</v>
      </c>
      <c r="B4850" t="str">
        <f>"1551765566865029"</f>
        <v>1551765566865029</v>
      </c>
      <c r="C4850" t="s">
        <v>40</v>
      </c>
      <c r="D4850">
        <v>3.802314</v>
      </c>
      <c r="E4850">
        <v>0.38178970000000001</v>
      </c>
      <c r="F4850" t="s">
        <v>41</v>
      </c>
      <c r="G4850">
        <v>-392.48410000000001</v>
      </c>
      <c r="H4850">
        <v>1.00471</v>
      </c>
      <c r="I4850">
        <v>18.959</v>
      </c>
      <c r="J4850">
        <v>-393.12759999999997</v>
      </c>
      <c r="K4850">
        <v>1.111019</v>
      </c>
      <c r="L4850">
        <v>18.647130000000001</v>
      </c>
      <c r="M4850">
        <v>0.968746</v>
      </c>
      <c r="N4850">
        <v>-9.1780790000000004E-3</v>
      </c>
      <c r="O4850">
        <v>-0.24788479999999999</v>
      </c>
      <c r="P4850">
        <v>0.99779379999999995</v>
      </c>
      <c r="Q4850">
        <v>-6.4166459999999995E-2</v>
      </c>
      <c r="R4850">
        <v>-1.7034480000000001E-2</v>
      </c>
      <c r="S4850">
        <v>3.000092</v>
      </c>
      <c r="T4850">
        <v>-0.36411510000000002</v>
      </c>
      <c r="U4850">
        <v>0.87518309999999999</v>
      </c>
      <c r="V4850">
        <v>-0.2305661</v>
      </c>
      <c r="W4850">
        <v>-5.6407720000000001E-2</v>
      </c>
      <c r="X4850">
        <v>0.97142030000000001</v>
      </c>
      <c r="Y4850">
        <v>-0.50409809999999999</v>
      </c>
      <c r="Z4850">
        <v>5.9412800000000002E-2</v>
      </c>
      <c r="AA4850">
        <v>0.86160040000000004</v>
      </c>
      <c r="AB4850">
        <v>23</v>
      </c>
      <c r="AC4850">
        <v>0.64349999999995999</v>
      </c>
      <c r="AD4850">
        <v>-0.106309</v>
      </c>
      <c r="AE4850">
        <v>0.31187000000000198</v>
      </c>
      <c r="AF4850">
        <v>-0.451673581659434</v>
      </c>
      <c r="AG4850">
        <v>-0.106309</v>
      </c>
      <c r="AH4850">
        <v>0.53429464506138202</v>
      </c>
      <c r="AI4850">
        <v>98.640040576002406</v>
      </c>
      <c r="AJ4850">
        <v>130.20998309439</v>
      </c>
      <c r="AK4850">
        <v>0.70765909560418305</v>
      </c>
      <c r="AL4850">
        <v>93.233640722955997</v>
      </c>
      <c r="AM4850">
        <v>103.35205431908</v>
      </c>
      <c r="AN4850">
        <v>0.999999978298449</v>
      </c>
    </row>
    <row r="4851" spans="1:40" x14ac:dyDescent="0.25">
      <c r="A4851" t="str">
        <f>"20190305135926897"</f>
        <v>20190305135926897</v>
      </c>
      <c r="B4851" t="str">
        <f>"1551765566893841"</f>
        <v>1551765566893841</v>
      </c>
      <c r="C4851" t="s">
        <v>40</v>
      </c>
      <c r="D4851">
        <v>3.8501539999999999</v>
      </c>
      <c r="E4851">
        <v>0.38161879999999998</v>
      </c>
      <c r="F4851" t="s">
        <v>41</v>
      </c>
      <c r="G4851">
        <v>-392.28199999999998</v>
      </c>
      <c r="H4851">
        <v>1.009574</v>
      </c>
      <c r="I4851">
        <v>18.89639</v>
      </c>
      <c r="J4851">
        <v>-392.89659999999998</v>
      </c>
      <c r="K4851">
        <v>1.1110059999999999</v>
      </c>
      <c r="L4851">
        <v>18.59186</v>
      </c>
      <c r="M4851">
        <v>0.9695762</v>
      </c>
      <c r="N4851">
        <v>-8.9976109999999904E-3</v>
      </c>
      <c r="O4851">
        <v>-0.2446248</v>
      </c>
      <c r="P4851">
        <v>0.99781569999999997</v>
      </c>
      <c r="Q4851">
        <v>-6.4544099999999993E-2</v>
      </c>
      <c r="R4851">
        <v>-1.4072319999999999E-2</v>
      </c>
      <c r="S4851">
        <v>2.998596</v>
      </c>
      <c r="T4851">
        <v>-0.35971219999999998</v>
      </c>
      <c r="U4851">
        <v>0.88372799999999996</v>
      </c>
      <c r="V4851">
        <v>-0.2301715</v>
      </c>
      <c r="W4851">
        <v>-5.696412E-2</v>
      </c>
      <c r="X4851">
        <v>0.97148140000000005</v>
      </c>
      <c r="Y4851">
        <v>-0.50372410000000001</v>
      </c>
      <c r="Z4851">
        <v>5.8333219999999998E-2</v>
      </c>
      <c r="AA4851">
        <v>0.86189280000000001</v>
      </c>
      <c r="AB4851">
        <v>23</v>
      </c>
      <c r="AC4851">
        <v>0.61459999999999504</v>
      </c>
      <c r="AD4851">
        <v>-0.101431999999999</v>
      </c>
      <c r="AE4851">
        <v>0.30452999999999902</v>
      </c>
      <c r="AF4851">
        <v>-0.43609278364620102</v>
      </c>
      <c r="AG4851">
        <v>-0.101431999999999</v>
      </c>
      <c r="AH4851">
        <v>0.51026824530567105</v>
      </c>
      <c r="AI4851">
        <v>98.593149169444402</v>
      </c>
      <c r="AJ4851">
        <v>130.51833843886101</v>
      </c>
      <c r="AK4851">
        <v>0.67885127144288504</v>
      </c>
      <c r="AL4851">
        <v>93.265571464061907</v>
      </c>
      <c r="AM4851">
        <v>103.329210995246</v>
      </c>
      <c r="AN4851">
        <v>0.99999997046279099</v>
      </c>
    </row>
    <row r="4852" spans="1:40" x14ac:dyDescent="0.25">
      <c r="A4852" t="str">
        <f>"20190305135926919"</f>
        <v>20190305135926919</v>
      </c>
      <c r="B4852" t="str">
        <f>"1551765566914336"</f>
        <v>1551765566914336</v>
      </c>
      <c r="C4852" t="s">
        <v>40</v>
      </c>
      <c r="D4852">
        <v>3.7399149999999999</v>
      </c>
      <c r="E4852">
        <v>0.38082159999999998</v>
      </c>
      <c r="F4852" t="s">
        <v>41</v>
      </c>
      <c r="G4852">
        <v>-392.0788</v>
      </c>
      <c r="H4852">
        <v>1.0142519999999999</v>
      </c>
      <c r="I4852">
        <v>18.835850000000001</v>
      </c>
      <c r="J4852">
        <v>-392.6814</v>
      </c>
      <c r="K4852">
        <v>1.110986</v>
      </c>
      <c r="L4852">
        <v>18.54111</v>
      </c>
      <c r="M4852">
        <v>0.97033919999999996</v>
      </c>
      <c r="N4852">
        <v>-8.814423E-3</v>
      </c>
      <c r="O4852">
        <v>-0.24158640000000001</v>
      </c>
      <c r="P4852">
        <v>0.99785829999999998</v>
      </c>
      <c r="Q4852">
        <v>-6.4419359999999995E-2</v>
      </c>
      <c r="R4852">
        <v>-1.134605E-2</v>
      </c>
      <c r="S4852">
        <v>2.996216</v>
      </c>
      <c r="T4852">
        <v>-0.35444759999999997</v>
      </c>
      <c r="U4852">
        <v>0.89440919999999902</v>
      </c>
      <c r="V4852">
        <v>-0.22978309999999999</v>
      </c>
      <c r="W4852">
        <v>-5.7020429999999997E-2</v>
      </c>
      <c r="X4852">
        <v>0.97157009999999999</v>
      </c>
      <c r="Y4852">
        <v>-0.50419380000000003</v>
      </c>
      <c r="Z4852">
        <v>5.7211280000000003E-2</v>
      </c>
      <c r="AA4852">
        <v>0.86169340000000005</v>
      </c>
      <c r="AB4852">
        <v>24</v>
      </c>
      <c r="AC4852">
        <v>0.60259999999999503</v>
      </c>
      <c r="AD4852">
        <v>-9.6733999999999806E-2</v>
      </c>
      <c r="AE4852">
        <v>0.29474</v>
      </c>
      <c r="AF4852">
        <v>-0.42280259564851402</v>
      </c>
      <c r="AG4852">
        <v>-9.6733999999999806E-2</v>
      </c>
      <c r="AH4852">
        <v>0.50307994849405702</v>
      </c>
      <c r="AI4852">
        <v>98.373882160441696</v>
      </c>
      <c r="AJ4852">
        <v>130.044641990792</v>
      </c>
      <c r="AK4852">
        <v>0.66423560294514805</v>
      </c>
      <c r="AL4852">
        <v>93.268802844443201</v>
      </c>
      <c r="AM4852">
        <v>103.30634793297</v>
      </c>
      <c r="AN4852">
        <v>1.0000000308485</v>
      </c>
    </row>
    <row r="4853" spans="1:40" x14ac:dyDescent="0.25">
      <c r="A4853" t="str">
        <f>"20190305135926941"</f>
        <v>20190305135926941</v>
      </c>
      <c r="B4853" t="str">
        <f>"1551765566933857"</f>
        <v>1551765566933857</v>
      </c>
      <c r="C4853" t="s">
        <v>40</v>
      </c>
      <c r="D4853">
        <v>3.7275260000000001</v>
      </c>
      <c r="E4853">
        <v>0.34934470000000001</v>
      </c>
      <c r="F4853" t="s">
        <v>41</v>
      </c>
      <c r="G4853">
        <v>-391.66579999999999</v>
      </c>
      <c r="H4853">
        <v>0.99038669999999995</v>
      </c>
      <c r="I4853">
        <v>18.849319999999999</v>
      </c>
      <c r="J4853">
        <v>-392.44990000000001</v>
      </c>
      <c r="K4853">
        <v>1.1109690000000001</v>
      </c>
      <c r="L4853">
        <v>18.487300000000001</v>
      </c>
      <c r="M4853">
        <v>0.97114869999999998</v>
      </c>
      <c r="N4853">
        <v>-8.6060689999999992E-3</v>
      </c>
      <c r="O4853">
        <v>-0.23831930000000001</v>
      </c>
      <c r="P4853">
        <v>0.99796090000000004</v>
      </c>
      <c r="Q4853">
        <v>-6.3273709999999997E-2</v>
      </c>
      <c r="R4853">
        <v>-8.3987330000000002E-3</v>
      </c>
      <c r="S4853">
        <v>2.993805</v>
      </c>
      <c r="T4853">
        <v>-0.35548760000000001</v>
      </c>
      <c r="U4853">
        <v>0.90884399999999999</v>
      </c>
      <c r="V4853">
        <v>-0.2294033</v>
      </c>
      <c r="W4853">
        <v>-5.6080779999999997E-2</v>
      </c>
      <c r="X4853">
        <v>0.97171450000000004</v>
      </c>
      <c r="Y4853">
        <v>-0.50527849999999996</v>
      </c>
      <c r="Z4853">
        <v>5.7104120000000001E-2</v>
      </c>
      <c r="AA4853">
        <v>0.86106489999999902</v>
      </c>
      <c r="AB4853">
        <v>24</v>
      </c>
      <c r="AC4853">
        <v>0.784100000000023</v>
      </c>
      <c r="AD4853">
        <v>-0.1205823</v>
      </c>
      <c r="AE4853">
        <v>0.36202000000000101</v>
      </c>
      <c r="AF4853">
        <v>-0.52816526203262304</v>
      </c>
      <c r="AG4853">
        <v>-0.1205823</v>
      </c>
      <c r="AH4853">
        <v>0.66231512624205202</v>
      </c>
      <c r="AI4853">
        <v>98.101235292838993</v>
      </c>
      <c r="AJ4853">
        <v>128.570718598708</v>
      </c>
      <c r="AK4853">
        <v>0.85566346278213001</v>
      </c>
      <c r="AL4853">
        <v>93.214878675096699</v>
      </c>
      <c r="AM4853">
        <v>103.28323061066899</v>
      </c>
      <c r="AN4853">
        <v>0.99999999872327405</v>
      </c>
    </row>
    <row r="4854" spans="1:40" x14ac:dyDescent="0.25">
      <c r="A4854" t="str">
        <f>"20190305135926964"</f>
        <v>20190305135926964</v>
      </c>
      <c r="B4854" t="str">
        <f>"1551765566954352"</f>
        <v>1551765566954352</v>
      </c>
      <c r="C4854" t="s">
        <v>40</v>
      </c>
      <c r="D4854">
        <v>3.713368</v>
      </c>
      <c r="E4854">
        <v>0.35008719999999999</v>
      </c>
      <c r="F4854" t="s">
        <v>84</v>
      </c>
      <c r="G4854">
        <v>-384.53160000000003</v>
      </c>
      <c r="H4854" s="1">
        <v>-3.1064189999999999E-6</v>
      </c>
      <c r="I4854">
        <v>21.574480000000001</v>
      </c>
      <c r="J4854">
        <v>-392.21539999999999</v>
      </c>
      <c r="K4854">
        <v>1.1109530000000001</v>
      </c>
      <c r="L4854">
        <v>18.433620000000001</v>
      </c>
      <c r="M4854">
        <v>0.97195500000000001</v>
      </c>
      <c r="N4854">
        <v>-8.4043609999999904E-3</v>
      </c>
      <c r="O4854">
        <v>-0.2350168</v>
      </c>
      <c r="P4854">
        <v>0.99803790000000003</v>
      </c>
      <c r="Q4854">
        <v>-6.240747E-2</v>
      </c>
      <c r="R4854">
        <v>-5.0773739999999999E-3</v>
      </c>
      <c r="S4854">
        <v>2.9893800000000001</v>
      </c>
      <c r="T4854">
        <v>-0.41942370000000001</v>
      </c>
      <c r="U4854">
        <v>1.165497</v>
      </c>
      <c r="V4854">
        <v>-0.22934840000000001</v>
      </c>
      <c r="W4854">
        <v>-5.541749E-2</v>
      </c>
      <c r="X4854">
        <v>0.97176549999999995</v>
      </c>
      <c r="Y4854">
        <v>-0.56501610000000002</v>
      </c>
      <c r="Z4854">
        <v>7.0446480000000006E-2</v>
      </c>
      <c r="AA4854">
        <v>0.82206699999999999</v>
      </c>
      <c r="AB4854">
        <v>24</v>
      </c>
      <c r="AC4854">
        <v>7.6837999999999598</v>
      </c>
      <c r="AD4854">
        <v>-1.1109561064189999</v>
      </c>
      <c r="AE4854">
        <v>3.1408599999999902</v>
      </c>
      <c r="AF4854">
        <v>-4.7732704940545103</v>
      </c>
      <c r="AG4854">
        <v>-1.1109561064189999</v>
      </c>
      <c r="AH4854">
        <v>6.6119587082969797</v>
      </c>
      <c r="AI4854">
        <v>97.757762393879005</v>
      </c>
      <c r="AJ4854">
        <v>125.826073313509</v>
      </c>
      <c r="AK4854">
        <v>8.2302085417093291</v>
      </c>
      <c r="AL4854">
        <v>93.176815799243499</v>
      </c>
      <c r="AM4854">
        <v>103.279492089946</v>
      </c>
      <c r="AN4854">
        <v>0.99999998688535396</v>
      </c>
    </row>
    <row r="4855" spans="1:40" x14ac:dyDescent="0.25">
      <c r="A4855" t="str">
        <f>"20190305135926987"</f>
        <v>20190305135926987</v>
      </c>
      <c r="B4855" t="str">
        <f>"1551765566973873"</f>
        <v>1551765566973873</v>
      </c>
      <c r="C4855" t="s">
        <v>40</v>
      </c>
      <c r="D4855">
        <v>3.6962830000000002</v>
      </c>
      <c r="E4855">
        <v>0.3503174</v>
      </c>
      <c r="F4855" t="s">
        <v>41</v>
      </c>
      <c r="G4855">
        <v>-391.25170000000003</v>
      </c>
      <c r="H4855">
        <v>0.97783549999999997</v>
      </c>
      <c r="I4855">
        <v>18.810839999999999</v>
      </c>
      <c r="J4855">
        <v>-391.98250000000002</v>
      </c>
      <c r="K4855">
        <v>1.1109389999999999</v>
      </c>
      <c r="L4855">
        <v>18.381160000000001</v>
      </c>
      <c r="M4855">
        <v>0.97274340000000004</v>
      </c>
      <c r="N4855">
        <v>-8.2136750000000001E-3</v>
      </c>
      <c r="O4855">
        <v>-0.23173869999999999</v>
      </c>
      <c r="P4855">
        <v>0.99808839999999999</v>
      </c>
      <c r="Q4855">
        <v>-6.1769020000000001E-2</v>
      </c>
      <c r="R4855">
        <v>-1.9935949999999999E-3</v>
      </c>
      <c r="S4855">
        <v>2.9860229999999999</v>
      </c>
      <c r="T4855">
        <v>-0.41243580000000002</v>
      </c>
      <c r="U4855">
        <v>1.1699219999999999</v>
      </c>
      <c r="V4855">
        <v>-0.22908390000000001</v>
      </c>
      <c r="W4855">
        <v>-5.4970720000000001E-2</v>
      </c>
      <c r="X4855">
        <v>0.97185330000000003</v>
      </c>
      <c r="Y4855">
        <v>-0.56387619999999905</v>
      </c>
      <c r="Z4855">
        <v>6.8845630000000005E-2</v>
      </c>
      <c r="AA4855">
        <v>0.82298470000000001</v>
      </c>
      <c r="AB4855">
        <v>24</v>
      </c>
      <c r="AC4855">
        <v>0.73079999999998702</v>
      </c>
      <c r="AD4855">
        <v>-0.13310349999999899</v>
      </c>
      <c r="AE4855">
        <v>0.42967999999999701</v>
      </c>
      <c r="AF4855">
        <v>-0.57321255104122104</v>
      </c>
      <c r="AG4855">
        <v>-0.13310349999999899</v>
      </c>
      <c r="AH4855">
        <v>0.59662069107321103</v>
      </c>
      <c r="AI4855">
        <v>99.139256688888295</v>
      </c>
      <c r="AJ4855">
        <v>133.853675357886</v>
      </c>
      <c r="AK4855">
        <v>0.83800084689701304</v>
      </c>
      <c r="AL4855">
        <v>93.151178562920293</v>
      </c>
      <c r="AM4855">
        <v>103.263562962403</v>
      </c>
      <c r="AN4855">
        <v>1.0000000250087</v>
      </c>
    </row>
    <row r="4856" spans="1:40" x14ac:dyDescent="0.25">
      <c r="A4856" t="str">
        <f>"20190305135927008"</f>
        <v>20190305135927008</v>
      </c>
      <c r="B4856" t="str">
        <f>"1551765567003660"</f>
        <v>1551765567003660</v>
      </c>
      <c r="C4856" t="s">
        <v>40</v>
      </c>
      <c r="D4856">
        <v>3.7288380000000001</v>
      </c>
      <c r="E4856">
        <v>0.35133109999999901</v>
      </c>
      <c r="F4856" t="s">
        <v>41</v>
      </c>
      <c r="G4856">
        <v>-391.04430000000002</v>
      </c>
      <c r="H4856">
        <v>0.98286370000000001</v>
      </c>
      <c r="I4856">
        <v>18.75149</v>
      </c>
      <c r="J4856">
        <v>-391.74740000000003</v>
      </c>
      <c r="K4856">
        <v>1.110924</v>
      </c>
      <c r="L4856">
        <v>18.328980000000001</v>
      </c>
      <c r="M4856">
        <v>0.97352720000000004</v>
      </c>
      <c r="N4856">
        <v>-8.0253890000000008E-3</v>
      </c>
      <c r="O4856">
        <v>-0.22843079999999999</v>
      </c>
      <c r="P4856">
        <v>0.99803529999999996</v>
      </c>
      <c r="Q4856">
        <v>-6.2640860000000007E-2</v>
      </c>
      <c r="R4856">
        <v>1.3383259999999999E-3</v>
      </c>
      <c r="S4856">
        <v>2.9829409999999998</v>
      </c>
      <c r="T4856">
        <v>-0.40717979999999998</v>
      </c>
      <c r="U4856">
        <v>1.177765</v>
      </c>
      <c r="V4856">
        <v>-0.22900400000000001</v>
      </c>
      <c r="W4856">
        <v>-5.6034809999999997E-2</v>
      </c>
      <c r="X4856">
        <v>0.97181130000000004</v>
      </c>
      <c r="Y4856">
        <v>-0.56344130000000003</v>
      </c>
      <c r="Z4856">
        <v>6.7568349999999999E-2</v>
      </c>
      <c r="AA4856">
        <v>0.82338840000000002</v>
      </c>
      <c r="AB4856">
        <v>24</v>
      </c>
      <c r="AC4856">
        <v>0.70310000000000605</v>
      </c>
      <c r="AD4856">
        <v>-0.12806029999999999</v>
      </c>
      <c r="AE4856">
        <v>0.422510000000002</v>
      </c>
      <c r="AF4856">
        <v>-0.55834471909706496</v>
      </c>
      <c r="AG4856">
        <v>-0.12806029999999999</v>
      </c>
      <c r="AH4856">
        <v>0.57400163833985196</v>
      </c>
      <c r="AI4856">
        <v>99.085929666778796</v>
      </c>
      <c r="AJ4856">
        <v>134.20782345056799</v>
      </c>
      <c r="AK4856">
        <v>0.81094151860445896</v>
      </c>
      <c r="AL4856">
        <v>93.212240740660803</v>
      </c>
      <c r="AM4856">
        <v>103.259653110358</v>
      </c>
      <c r="AN4856">
        <v>0.99999996737771202</v>
      </c>
    </row>
    <row r="4857" spans="1:40" x14ac:dyDescent="0.25">
      <c r="A4857" t="str">
        <f>"20190305135927031"</f>
        <v>20190305135927031</v>
      </c>
      <c r="B4857" t="str">
        <f>"1551765567024156"</f>
        <v>1551765567024156</v>
      </c>
      <c r="C4857" t="s">
        <v>40</v>
      </c>
      <c r="D4857">
        <v>3.7069269999999999</v>
      </c>
      <c r="E4857">
        <v>0.35180250000000002</v>
      </c>
      <c r="F4857" t="s">
        <v>41</v>
      </c>
      <c r="G4857">
        <v>-390.83600000000001</v>
      </c>
      <c r="H4857">
        <v>0.98672890000000002</v>
      </c>
      <c r="I4857">
        <v>18.690000000000001</v>
      </c>
      <c r="J4857">
        <v>-391.51139999999998</v>
      </c>
      <c r="K4857">
        <v>1.1109039999999999</v>
      </c>
      <c r="L4857">
        <v>18.277439999999999</v>
      </c>
      <c r="M4857">
        <v>0.97430119999999998</v>
      </c>
      <c r="N4857">
        <v>-7.8465830000000007E-3</v>
      </c>
      <c r="O4857">
        <v>-0.22511239999999999</v>
      </c>
      <c r="P4857">
        <v>0.99794890000000003</v>
      </c>
      <c r="Q4857">
        <v>-6.3882980000000006E-2</v>
      </c>
      <c r="R4857">
        <v>4.0859169999999997E-3</v>
      </c>
      <c r="S4857">
        <v>2.9788209999999999</v>
      </c>
      <c r="T4857">
        <v>-0.40592430000000002</v>
      </c>
      <c r="U4857">
        <v>1.1797489999999999</v>
      </c>
      <c r="V4857">
        <v>-0.2283404</v>
      </c>
      <c r="W4857">
        <v>-5.745666E-2</v>
      </c>
      <c r="X4857">
        <v>0.97188439999999998</v>
      </c>
      <c r="Y4857">
        <v>-0.56157139999999905</v>
      </c>
      <c r="Z4857">
        <v>6.6889580000000004E-2</v>
      </c>
      <c r="AA4857">
        <v>0.82472009999999996</v>
      </c>
      <c r="AB4857">
        <v>24</v>
      </c>
      <c r="AC4857">
        <v>0.67539999999996703</v>
      </c>
      <c r="AD4857">
        <v>-0.1241751</v>
      </c>
      <c r="AE4857">
        <v>0.41256000000000198</v>
      </c>
      <c r="AF4857">
        <v>-0.540705068138149</v>
      </c>
      <c r="AG4857">
        <v>-0.1241751</v>
      </c>
      <c r="AH4857">
        <v>0.55160902860567296</v>
      </c>
      <c r="AI4857">
        <v>99.132778187731205</v>
      </c>
      <c r="AJ4857">
        <v>134.42806728768701</v>
      </c>
      <c r="AK4857">
        <v>0.782338767165213</v>
      </c>
      <c r="AL4857">
        <v>93.293838304296898</v>
      </c>
      <c r="AM4857">
        <v>103.221621775488</v>
      </c>
      <c r="AN4857">
        <v>0.99999994650693602</v>
      </c>
    </row>
    <row r="4858" spans="1:40" x14ac:dyDescent="0.25">
      <c r="A4858" t="str">
        <f>"20190305135927053"</f>
        <v>20190305135927053</v>
      </c>
      <c r="B4858" t="str">
        <f>"1551765567043676"</f>
        <v>1551765567043676</v>
      </c>
      <c r="C4858" t="s">
        <v>40</v>
      </c>
      <c r="D4858">
        <v>3.6918850000000001</v>
      </c>
      <c r="E4858">
        <v>0.351966</v>
      </c>
      <c r="F4858" t="s">
        <v>41</v>
      </c>
      <c r="G4858">
        <v>-390.6266</v>
      </c>
      <c r="H4858">
        <v>0.99087239999999999</v>
      </c>
      <c r="I4858">
        <v>18.629799999999999</v>
      </c>
      <c r="J4858">
        <v>-391.28339999999997</v>
      </c>
      <c r="K4858">
        <v>1.1109020000000001</v>
      </c>
      <c r="L4858">
        <v>18.228390000000001</v>
      </c>
      <c r="M4858">
        <v>0.97503770000000001</v>
      </c>
      <c r="N4858">
        <v>-7.6841390000000004E-3</v>
      </c>
      <c r="O4858">
        <v>-0.2219064</v>
      </c>
      <c r="P4858">
        <v>0.99787559999999997</v>
      </c>
      <c r="Q4858">
        <v>-6.4816209999999999E-2</v>
      </c>
      <c r="R4858">
        <v>6.5687059999999997E-3</v>
      </c>
      <c r="S4858">
        <v>2.9754640000000001</v>
      </c>
      <c r="T4858">
        <v>-0.40362989999999999</v>
      </c>
      <c r="U4858">
        <v>1.1845699999999999</v>
      </c>
      <c r="V4858">
        <v>-0.22753989999999999</v>
      </c>
      <c r="W4858">
        <v>-5.8552489999999999E-2</v>
      </c>
      <c r="X4858">
        <v>0.97200679999999995</v>
      </c>
      <c r="Y4858">
        <v>-0.56043509999999996</v>
      </c>
      <c r="Z4858">
        <v>6.6085060000000001E-2</v>
      </c>
      <c r="AA4858">
        <v>0.82555750000000006</v>
      </c>
      <c r="AB4858">
        <v>24</v>
      </c>
      <c r="AC4858">
        <v>0.65679999999997496</v>
      </c>
      <c r="AD4858">
        <v>-0.1200296</v>
      </c>
      <c r="AE4858">
        <v>0.40140999999999799</v>
      </c>
      <c r="AF4858">
        <v>-0.52440293996394205</v>
      </c>
      <c r="AG4858">
        <v>-0.1200296</v>
      </c>
      <c r="AH4858">
        <v>0.53825778330288299</v>
      </c>
      <c r="AI4858">
        <v>99.074891063553295</v>
      </c>
      <c r="AJ4858">
        <v>134.253026806581</v>
      </c>
      <c r="AK4858">
        <v>0.76100393534141397</v>
      </c>
      <c r="AL4858">
        <v>93.356730423243903</v>
      </c>
      <c r="AM4858">
        <v>103.175288771731</v>
      </c>
      <c r="AN4858">
        <v>1.0000000097117201</v>
      </c>
    </row>
    <row r="4859" spans="1:40" x14ac:dyDescent="0.25">
      <c r="A4859" t="str">
        <f>"20190305135927078"</f>
        <v>20190305135927078</v>
      </c>
      <c r="B4859" t="str">
        <f>"1551765567073933"</f>
        <v>1551765567073933</v>
      </c>
      <c r="C4859" t="s">
        <v>40</v>
      </c>
      <c r="D4859">
        <v>3.7202600000000001</v>
      </c>
      <c r="E4859">
        <v>0.35217749999999998</v>
      </c>
      <c r="F4859" t="s">
        <v>41</v>
      </c>
      <c r="G4859">
        <v>-390.41609999999997</v>
      </c>
      <c r="H4859">
        <v>0.99307290000000004</v>
      </c>
      <c r="I4859">
        <v>18.575679999999998</v>
      </c>
      <c r="J4859">
        <v>-391.01940000000002</v>
      </c>
      <c r="K4859">
        <v>1.1108960000000001</v>
      </c>
      <c r="L4859">
        <v>18.172550000000001</v>
      </c>
      <c r="M4859">
        <v>0.97587630000000003</v>
      </c>
      <c r="N4859">
        <v>-7.4966130000000001E-3</v>
      </c>
      <c r="O4859">
        <v>-0.2181958</v>
      </c>
      <c r="P4859">
        <v>0.99785469999999998</v>
      </c>
      <c r="Q4859">
        <v>-6.4812380000000003E-2</v>
      </c>
      <c r="R4859">
        <v>9.2395519999999998E-3</v>
      </c>
      <c r="S4859">
        <v>2.972321</v>
      </c>
      <c r="T4859">
        <v>-0.40381479999999997</v>
      </c>
      <c r="U4859">
        <v>1.1909479999999999</v>
      </c>
      <c r="V4859">
        <v>-0.22644030000000001</v>
      </c>
      <c r="W4859">
        <v>-5.873457E-2</v>
      </c>
      <c r="X4859">
        <v>0.97225249999999996</v>
      </c>
      <c r="Y4859">
        <v>-0.55915619999999999</v>
      </c>
      <c r="Z4859">
        <v>6.5596130000000002E-2</v>
      </c>
      <c r="AA4859">
        <v>0.82646319999999995</v>
      </c>
      <c r="AB4859">
        <v>24</v>
      </c>
      <c r="AC4859">
        <v>0.60330000000004702</v>
      </c>
      <c r="AD4859">
        <v>-0.117823099999999</v>
      </c>
      <c r="AE4859">
        <v>0.40312999999999699</v>
      </c>
      <c r="AF4859">
        <v>-0.51156828227166495</v>
      </c>
      <c r="AG4859">
        <v>-0.117823099999999</v>
      </c>
      <c r="AH4859">
        <v>0.48793317022319199</v>
      </c>
      <c r="AI4859">
        <v>99.462148367264106</v>
      </c>
      <c r="AJ4859">
        <v>136.35461518280999</v>
      </c>
      <c r="AK4859">
        <v>0.71670298515078501</v>
      </c>
      <c r="AL4859">
        <v>93.3671810540217</v>
      </c>
      <c r="AM4859">
        <v>103.110624360499</v>
      </c>
      <c r="AN4859">
        <v>0.99999994146671001</v>
      </c>
    </row>
    <row r="4860" spans="1:40" x14ac:dyDescent="0.25">
      <c r="A4860" t="str">
        <f>"20190305135927097"</f>
        <v>20190305135927097</v>
      </c>
      <c r="B4860" t="str">
        <f>"1551765567093962"</f>
        <v>1551765567093962</v>
      </c>
      <c r="C4860" t="s">
        <v>40</v>
      </c>
      <c r="D4860">
        <v>3.7027559999999999</v>
      </c>
      <c r="E4860">
        <v>0.35213670000000002</v>
      </c>
      <c r="F4860" t="s">
        <v>41</v>
      </c>
      <c r="G4860">
        <v>-390.20479999999998</v>
      </c>
      <c r="H4860">
        <v>1.0010399999999999</v>
      </c>
      <c r="I4860">
        <v>18.501159999999999</v>
      </c>
      <c r="J4860">
        <v>-390.80720000000002</v>
      </c>
      <c r="K4860">
        <v>1.1108880000000001</v>
      </c>
      <c r="L4860">
        <v>18.128450000000001</v>
      </c>
      <c r="M4860">
        <v>0.97653959999999995</v>
      </c>
      <c r="N4860">
        <v>-7.3415290000000003E-3</v>
      </c>
      <c r="O4860">
        <v>-0.21521309999999999</v>
      </c>
      <c r="P4860">
        <v>0.99784090000000003</v>
      </c>
      <c r="Q4860">
        <v>-6.4841070000000001E-2</v>
      </c>
      <c r="R4860">
        <v>1.0449760000000001E-2</v>
      </c>
      <c r="S4860">
        <v>2.96936</v>
      </c>
      <c r="T4860">
        <v>-0.40044360000000001</v>
      </c>
      <c r="U4860">
        <v>1.1973879999999999</v>
      </c>
      <c r="V4860">
        <v>-0.22464519999999999</v>
      </c>
      <c r="W4860">
        <v>-5.8910440000000001E-2</v>
      </c>
      <c r="X4860">
        <v>0.97265829999999998</v>
      </c>
      <c r="Y4860">
        <v>-0.55859049999999999</v>
      </c>
      <c r="Z4860">
        <v>6.4678330000000006E-2</v>
      </c>
      <c r="AA4860">
        <v>0.82691800000000004</v>
      </c>
      <c r="AB4860">
        <v>24</v>
      </c>
      <c r="AC4860">
        <v>0.60240000000004501</v>
      </c>
      <c r="AD4860">
        <v>-0.109847999999999</v>
      </c>
      <c r="AE4860">
        <v>0.37271000000000098</v>
      </c>
      <c r="AF4860">
        <v>-0.48203243253507599</v>
      </c>
      <c r="AG4860">
        <v>-0.109847999999999</v>
      </c>
      <c r="AH4860">
        <v>0.49613855024620201</v>
      </c>
      <c r="AI4860">
        <v>99.023158723425894</v>
      </c>
      <c r="AJ4860">
        <v>134.17379987264999</v>
      </c>
      <c r="AK4860">
        <v>0.70041081527920901</v>
      </c>
      <c r="AL4860">
        <v>93.3772748180495</v>
      </c>
      <c r="AM4860">
        <v>103.00499615845</v>
      </c>
      <c r="AN4860">
        <v>1.0000000371914599</v>
      </c>
    </row>
    <row r="4861" spans="1:40" x14ac:dyDescent="0.25">
      <c r="A4861" t="str">
        <f>"20190305135927121"</f>
        <v>20190305135927121</v>
      </c>
      <c r="B4861" t="str">
        <f>"1551765567114457"</f>
        <v>1551765567114457</v>
      </c>
      <c r="C4861" t="s">
        <v>40</v>
      </c>
      <c r="D4861">
        <v>3.7568959999999998</v>
      </c>
      <c r="E4861">
        <v>0.35200520000000002</v>
      </c>
      <c r="F4861" t="s">
        <v>41</v>
      </c>
      <c r="G4861">
        <v>-389.99189999999999</v>
      </c>
      <c r="H4861">
        <v>1.0018769999999999</v>
      </c>
      <c r="I4861">
        <v>18.458379999999998</v>
      </c>
      <c r="J4861">
        <v>-390.56169999999997</v>
      </c>
      <c r="K4861">
        <v>1.1108830000000001</v>
      </c>
      <c r="L4861">
        <v>18.078250000000001</v>
      </c>
      <c r="M4861">
        <v>0.97729429999999995</v>
      </c>
      <c r="N4861">
        <v>-7.1621159999999996E-3</v>
      </c>
      <c r="O4861">
        <v>-0.2117657</v>
      </c>
      <c r="P4861">
        <v>0.99782309999999996</v>
      </c>
      <c r="Q4861">
        <v>-6.4708929999999998E-2</v>
      </c>
      <c r="R4861">
        <v>1.2732439999999999E-2</v>
      </c>
      <c r="S4861">
        <v>2.9681090000000001</v>
      </c>
      <c r="T4861">
        <v>-0.39688420000000002</v>
      </c>
      <c r="U4861">
        <v>1.2016910000000001</v>
      </c>
      <c r="V4861">
        <v>-0.22343769999999999</v>
      </c>
      <c r="W4861">
        <v>-5.8954499999999903E-2</v>
      </c>
      <c r="X4861">
        <v>0.97293370000000001</v>
      </c>
      <c r="Y4861">
        <v>-0.55697700000000006</v>
      </c>
      <c r="Z4861">
        <v>6.3579220000000006E-2</v>
      </c>
      <c r="AA4861">
        <v>0.82809080000000002</v>
      </c>
      <c r="AB4861">
        <v>24</v>
      </c>
      <c r="AC4861">
        <v>0.56979999999998598</v>
      </c>
      <c r="AD4861">
        <v>-0.10900599999999901</v>
      </c>
      <c r="AE4861">
        <v>0.38012999999999703</v>
      </c>
      <c r="AF4861">
        <v>-0.48001852499605102</v>
      </c>
      <c r="AG4861">
        <v>-0.10900599999999901</v>
      </c>
      <c r="AH4861">
        <v>0.46460919892613001</v>
      </c>
      <c r="AI4861">
        <v>99.2674217484618</v>
      </c>
      <c r="AJ4861">
        <v>135.934559749432</v>
      </c>
      <c r="AK4861">
        <v>0.67687650284388201</v>
      </c>
      <c r="AL4861">
        <v>93.379803751385197</v>
      </c>
      <c r="AM4861">
        <v>102.933911501936</v>
      </c>
      <c r="AN4861">
        <v>1.0000000117236101</v>
      </c>
    </row>
    <row r="4862" spans="1:40" x14ac:dyDescent="0.25">
      <c r="A4862" t="str">
        <f>"20190305135927141"</f>
        <v>20190305135927141</v>
      </c>
      <c r="B4862" t="str">
        <f>"1551765567133977"</f>
        <v>1551765567133977</v>
      </c>
      <c r="C4862" t="s">
        <v>40</v>
      </c>
      <c r="D4862">
        <v>3.71495</v>
      </c>
      <c r="E4862">
        <v>0.35169980000000001</v>
      </c>
      <c r="F4862" t="s">
        <v>41</v>
      </c>
      <c r="G4862">
        <v>-389.56229999999999</v>
      </c>
      <c r="H4862">
        <v>0.97826550000000001</v>
      </c>
      <c r="I4862">
        <v>18.485690000000002</v>
      </c>
      <c r="J4862">
        <v>-390.3322</v>
      </c>
      <c r="K4862">
        <v>1.1108750000000001</v>
      </c>
      <c r="L4862">
        <v>18.032170000000001</v>
      </c>
      <c r="M4862">
        <v>0.97798810000000003</v>
      </c>
      <c r="N4862">
        <v>-6.9922930000000001E-3</v>
      </c>
      <c r="O4862">
        <v>-0.2085439</v>
      </c>
      <c r="P4862">
        <v>0.99775550000000002</v>
      </c>
      <c r="Q4862">
        <v>-6.5336630000000007E-2</v>
      </c>
      <c r="R4862">
        <v>1.4662349999999999E-2</v>
      </c>
      <c r="S4862">
        <v>2.9655459999999998</v>
      </c>
      <c r="T4862">
        <v>-0.39350099999999999</v>
      </c>
      <c r="U4862">
        <v>1.2097469999999999</v>
      </c>
      <c r="V4862">
        <v>-0.22209780000000001</v>
      </c>
      <c r="W4862">
        <v>-5.974778E-2</v>
      </c>
      <c r="X4862">
        <v>0.97319199999999995</v>
      </c>
      <c r="Y4862">
        <v>-0.55656049999999901</v>
      </c>
      <c r="Z4862">
        <v>6.2637300000000007E-2</v>
      </c>
      <c r="AA4862">
        <v>0.82844249999999997</v>
      </c>
      <c r="AB4862">
        <v>25</v>
      </c>
      <c r="AC4862">
        <v>0.76990000000000602</v>
      </c>
      <c r="AD4862">
        <v>-0.13260949999999999</v>
      </c>
      <c r="AE4862">
        <v>0.45351999999999698</v>
      </c>
      <c r="AF4862">
        <v>-0.59109109200450805</v>
      </c>
      <c r="AG4862">
        <v>-0.13260949999999999</v>
      </c>
      <c r="AH4862">
        <v>0.644201752992695</v>
      </c>
      <c r="AI4862">
        <v>98.624692543335698</v>
      </c>
      <c r="AJ4862">
        <v>132.538119169266</v>
      </c>
      <c r="AK4862">
        <v>0.88429059539056099</v>
      </c>
      <c r="AL4862">
        <v>93.425335826744899</v>
      </c>
      <c r="AM4862">
        <v>102.85563624844301</v>
      </c>
      <c r="AN4862">
        <v>0.99999994942188197</v>
      </c>
    </row>
    <row r="4863" spans="1:40" x14ac:dyDescent="0.25">
      <c r="A4863" t="str">
        <f>"20190305135927165"</f>
        <v>20190305135927165</v>
      </c>
      <c r="B4863" t="str">
        <f>"1551765567154473"</f>
        <v>1551765567154473</v>
      </c>
      <c r="C4863" t="s">
        <v>40</v>
      </c>
      <c r="D4863">
        <v>3.749565</v>
      </c>
      <c r="E4863">
        <v>0.35132839999999999</v>
      </c>
      <c r="F4863" t="s">
        <v>41</v>
      </c>
      <c r="G4863">
        <v>-389.3476</v>
      </c>
      <c r="H4863">
        <v>0.98069669999999998</v>
      </c>
      <c r="I4863">
        <v>18.436859999999999</v>
      </c>
      <c r="J4863">
        <v>-390.0797</v>
      </c>
      <c r="K4863">
        <v>1.1108659999999999</v>
      </c>
      <c r="L4863">
        <v>17.982329999999902</v>
      </c>
      <c r="M4863">
        <v>0.97873779999999999</v>
      </c>
      <c r="N4863">
        <v>-6.8111359999999998E-3</v>
      </c>
      <c r="O4863">
        <v>-0.20500299999999999</v>
      </c>
      <c r="P4863">
        <v>0.99772280000000002</v>
      </c>
      <c r="Q4863">
        <v>-6.5452529999999995E-2</v>
      </c>
      <c r="R4863">
        <v>1.6285499999999901E-2</v>
      </c>
      <c r="S4863">
        <v>2.9631349999999999</v>
      </c>
      <c r="T4863">
        <v>-0.39179409999999998</v>
      </c>
      <c r="U4863">
        <v>1.2182309999999901</v>
      </c>
      <c r="V4863">
        <v>-0.2201533</v>
      </c>
      <c r="W4863">
        <v>-6.0036850000000003E-2</v>
      </c>
      <c r="X4863">
        <v>0.97361600000000004</v>
      </c>
      <c r="Y4863">
        <v>-0.55591639999999998</v>
      </c>
      <c r="Z4863">
        <v>6.1901919999999999E-2</v>
      </c>
      <c r="AA4863">
        <v>0.8289301</v>
      </c>
      <c r="AB4863">
        <v>25</v>
      </c>
      <c r="AC4863">
        <v>0.73210000000000197</v>
      </c>
      <c r="AD4863">
        <v>-0.13016929999999999</v>
      </c>
      <c r="AE4863">
        <v>0.45453000000000099</v>
      </c>
      <c r="AF4863">
        <v>-0.58168901617748603</v>
      </c>
      <c r="AG4863">
        <v>-0.13016929999999999</v>
      </c>
      <c r="AH4863">
        <v>0.609461494707777</v>
      </c>
      <c r="AI4863">
        <v>98.782962708151501</v>
      </c>
      <c r="AJ4863">
        <v>133.664352203058</v>
      </c>
      <c r="AK4863">
        <v>0.85249602446900596</v>
      </c>
      <c r="AL4863">
        <v>93.441927905393598</v>
      </c>
      <c r="AM4863">
        <v>102.741405978527</v>
      </c>
      <c r="AN4863">
        <v>1.0000000071574</v>
      </c>
    </row>
    <row r="4864" spans="1:40" x14ac:dyDescent="0.25">
      <c r="A4864" t="str">
        <f>"20190305135927188"</f>
        <v>20190305135927188</v>
      </c>
      <c r="B4864" t="str">
        <f>"1551765567184262"</f>
        <v>1551765567184262</v>
      </c>
      <c r="C4864" t="s">
        <v>40</v>
      </c>
      <c r="D4864">
        <v>3.7778659999999999</v>
      </c>
      <c r="E4864">
        <v>0.35090860000000001</v>
      </c>
      <c r="F4864" t="s">
        <v>41</v>
      </c>
      <c r="G4864">
        <v>-389.13069999999999</v>
      </c>
      <c r="H4864">
        <v>0.98589939999999998</v>
      </c>
      <c r="I4864">
        <v>18.375070000000001</v>
      </c>
      <c r="J4864">
        <v>-389.8261</v>
      </c>
      <c r="K4864">
        <v>1.1108579999999999</v>
      </c>
      <c r="L4864">
        <v>17.933229999999998</v>
      </c>
      <c r="M4864">
        <v>0.97947649999999997</v>
      </c>
      <c r="N4864">
        <v>-6.6256500000000003E-3</v>
      </c>
      <c r="O4864">
        <v>-0.2014495</v>
      </c>
      <c r="P4864">
        <v>0.99772510000000003</v>
      </c>
      <c r="Q4864">
        <v>-6.4865649999999997E-2</v>
      </c>
      <c r="R4864">
        <v>1.8358039999999999E-2</v>
      </c>
      <c r="S4864">
        <v>2.9612729999999998</v>
      </c>
      <c r="T4864">
        <v>-0.38996960000000003</v>
      </c>
      <c r="U4864">
        <v>1.2260740000000001</v>
      </c>
      <c r="V4864">
        <v>-0.21864910000000001</v>
      </c>
      <c r="W4864">
        <v>-5.96304E-2</v>
      </c>
      <c r="X4864">
        <v>0.97397990000000001</v>
      </c>
      <c r="Y4864">
        <v>-0.55506040000000001</v>
      </c>
      <c r="Z4864">
        <v>6.1126300000000001E-2</v>
      </c>
      <c r="AA4864">
        <v>0.82956109999999905</v>
      </c>
      <c r="AB4864">
        <v>25</v>
      </c>
      <c r="AC4864">
        <v>0.69540000000000601</v>
      </c>
      <c r="AD4864">
        <v>-0.124958599999999</v>
      </c>
      <c r="AE4864">
        <v>0.44184000000000201</v>
      </c>
      <c r="AF4864">
        <v>-0.55999087282688298</v>
      </c>
      <c r="AG4864">
        <v>-0.124958599999999</v>
      </c>
      <c r="AH4864">
        <v>0.57881784693668303</v>
      </c>
      <c r="AI4864">
        <v>98.819510175150796</v>
      </c>
      <c r="AJ4864">
        <v>134.05286297842201</v>
      </c>
      <c r="AK4864">
        <v>0.81500584617276906</v>
      </c>
      <c r="AL4864">
        <v>93.418598160825894</v>
      </c>
      <c r="AM4864">
        <v>102.652587359948</v>
      </c>
      <c r="AN4864">
        <v>1.00000002956948</v>
      </c>
    </row>
    <row r="4865" spans="1:40" x14ac:dyDescent="0.25">
      <c r="A4865" t="str">
        <f>"20190305135927209"</f>
        <v>20190305135927209</v>
      </c>
      <c r="B4865" t="str">
        <f>"1551765567203782"</f>
        <v>1551765567203782</v>
      </c>
      <c r="C4865" t="s">
        <v>40</v>
      </c>
      <c r="D4865">
        <v>3.9959030000000002</v>
      </c>
      <c r="E4865">
        <v>0.35101880000000002</v>
      </c>
      <c r="F4865" t="s">
        <v>41</v>
      </c>
      <c r="G4865">
        <v>-388.91250000000002</v>
      </c>
      <c r="H4865">
        <v>0.99182870000000001</v>
      </c>
      <c r="I4865">
        <v>18.31475</v>
      </c>
      <c r="J4865">
        <v>-389.59589999999997</v>
      </c>
      <c r="K4865">
        <v>1.1108480000000001</v>
      </c>
      <c r="L4865">
        <v>17.889429999999901</v>
      </c>
      <c r="M4865">
        <v>0.9801356</v>
      </c>
      <c r="N4865">
        <v>-6.447894E-3</v>
      </c>
      <c r="O4865">
        <v>-0.19822429999999999</v>
      </c>
      <c r="P4865">
        <v>0.99771030000000005</v>
      </c>
      <c r="Q4865">
        <v>-6.4320890000000006E-2</v>
      </c>
      <c r="R4865">
        <v>2.090817E-2</v>
      </c>
      <c r="S4865">
        <v>2.9590450000000001</v>
      </c>
      <c r="T4865">
        <v>-0.38553310000000002</v>
      </c>
      <c r="U4865">
        <v>1.2355959999999999</v>
      </c>
      <c r="V4865">
        <v>-0.2179391</v>
      </c>
      <c r="W4865">
        <v>-5.9263440000000001E-2</v>
      </c>
      <c r="X4865">
        <v>0.97416139999999996</v>
      </c>
      <c r="Y4865">
        <v>-0.55498530000000001</v>
      </c>
      <c r="Z4865">
        <v>6.0047089999999997E-2</v>
      </c>
      <c r="AA4865">
        <v>0.82969009999999999</v>
      </c>
      <c r="AB4865">
        <v>25</v>
      </c>
      <c r="AC4865">
        <v>0.68339999999994905</v>
      </c>
      <c r="AD4865">
        <v>-0.11901929999999999</v>
      </c>
      <c r="AE4865">
        <v>0.42532000000000197</v>
      </c>
      <c r="AF4865">
        <v>-0.54053166319555701</v>
      </c>
      <c r="AG4865">
        <v>-0.11901929999999999</v>
      </c>
      <c r="AH4865">
        <v>0.57300063737321805</v>
      </c>
      <c r="AI4865">
        <v>98.592015292668407</v>
      </c>
      <c r="AJ4865">
        <v>133.32981205688299</v>
      </c>
      <c r="AK4865">
        <v>0.79666166163532703</v>
      </c>
      <c r="AL4865">
        <v>93.397535685115798</v>
      </c>
      <c r="AM4865">
        <v>102.610543498602</v>
      </c>
      <c r="AN4865">
        <v>1.0000000199396999</v>
      </c>
    </row>
    <row r="4866" spans="1:40" x14ac:dyDescent="0.25">
      <c r="A4866" t="str">
        <f>"20190305135927278"</f>
        <v>20190305135927278</v>
      </c>
      <c r="B4866" t="str">
        <f>"1551765567274055"</f>
        <v>1551765567274055</v>
      </c>
      <c r="C4866" t="s">
        <v>40</v>
      </c>
      <c r="D4866">
        <v>4.0271530000000002</v>
      </c>
      <c r="E4866">
        <v>0.5451918</v>
      </c>
      <c r="F4866" t="s">
        <v>41</v>
      </c>
      <c r="G4866">
        <v>-388.69310000000002</v>
      </c>
      <c r="H4866">
        <v>0.99350470000000002</v>
      </c>
      <c r="I4866">
        <v>18.268619999999999</v>
      </c>
      <c r="J4866">
        <v>-388.83460000000002</v>
      </c>
      <c r="K4866">
        <v>1.1108180000000001</v>
      </c>
      <c r="L4866">
        <v>17.75</v>
      </c>
      <c r="M4866">
        <v>0.98223099999999997</v>
      </c>
      <c r="N4866">
        <v>-5.83557E-3</v>
      </c>
      <c r="O4866">
        <v>-0.18758559999999999</v>
      </c>
      <c r="P4866">
        <v>0.997614</v>
      </c>
      <c r="Q4866">
        <v>-6.322266E-2</v>
      </c>
      <c r="R4866">
        <v>2.7739460000000001E-2</v>
      </c>
      <c r="S4866">
        <v>2.9560550000000001</v>
      </c>
      <c r="T4866">
        <v>-0.38420799999999999</v>
      </c>
      <c r="U4866">
        <v>1.24234</v>
      </c>
      <c r="V4866">
        <v>-0.2140533</v>
      </c>
      <c r="W4866">
        <v>-5.8768229999999998E-2</v>
      </c>
      <c r="X4866">
        <v>0.97505249999999999</v>
      </c>
      <c r="Y4866">
        <v>-0.54806350000000004</v>
      </c>
      <c r="Z4866">
        <v>5.8094519999999997E-2</v>
      </c>
      <c r="AA4866">
        <v>0.83441679999999996</v>
      </c>
      <c r="AB4866">
        <v>25</v>
      </c>
      <c r="AC4866">
        <v>0.14150000000000701</v>
      </c>
      <c r="AD4866">
        <v>-0.1173133</v>
      </c>
      <c r="AE4866">
        <v>0.51862000000000197</v>
      </c>
      <c r="AF4866">
        <v>-0.51159366052453203</v>
      </c>
      <c r="AG4866">
        <v>-0.1173133</v>
      </c>
      <c r="AH4866">
        <v>3.9805125325584903E-2</v>
      </c>
      <c r="AI4866">
        <v>102.8775681928</v>
      </c>
      <c r="AJ4866">
        <v>175.55100018398301</v>
      </c>
      <c r="AK4866">
        <v>0.52637907618746205</v>
      </c>
      <c r="AL4866">
        <v>93.369112942009707</v>
      </c>
      <c r="AM4866">
        <v>102.381731556291</v>
      </c>
      <c r="AN4866">
        <v>0.99999994892723498</v>
      </c>
    </row>
    <row r="4867" spans="1:40" x14ac:dyDescent="0.25">
      <c r="A4867" t="str">
        <f>"20190305135927297"</f>
        <v>20190305135927297</v>
      </c>
      <c r="B4867" t="str">
        <f>"1551765567294084"</f>
        <v>1551765567294084</v>
      </c>
      <c r="C4867" t="s">
        <v>40</v>
      </c>
      <c r="D4867">
        <v>4.0625989999999996</v>
      </c>
      <c r="E4867">
        <v>0.54911269999999901</v>
      </c>
      <c r="F4867" t="s">
        <v>86</v>
      </c>
      <c r="G4867">
        <v>-241.47579999999999</v>
      </c>
      <c r="H4867">
        <v>1.364047</v>
      </c>
      <c r="I4867">
        <v>4.6643980000000003</v>
      </c>
      <c r="J4867">
        <v>-388.60550000000001</v>
      </c>
      <c r="K4867">
        <v>1.1108209999999901</v>
      </c>
      <c r="L4867">
        <v>17.70966</v>
      </c>
      <c r="M4867">
        <v>0.98283710000000002</v>
      </c>
      <c r="N4867">
        <v>-5.6588619999999997E-3</v>
      </c>
      <c r="O4867">
        <v>-0.18438940000000001</v>
      </c>
      <c r="P4867">
        <v>0.99756599999999995</v>
      </c>
      <c r="Q4867">
        <v>-6.2910270000000004E-2</v>
      </c>
      <c r="R4867">
        <v>3.007462E-2</v>
      </c>
      <c r="S4867">
        <v>3.0149539999999999</v>
      </c>
      <c r="T4867">
        <v>5.1807169999999996E-3</v>
      </c>
      <c r="U4867">
        <v>-0.26773069999999999</v>
      </c>
      <c r="V4867">
        <v>-0.21316499999999999</v>
      </c>
      <c r="W4867">
        <v>-5.8633499999999998E-2</v>
      </c>
      <c r="X4867">
        <v>0.97525530000000005</v>
      </c>
      <c r="Y4867">
        <v>-9.6728720000000004E-2</v>
      </c>
      <c r="Z4867">
        <v>-1.1709649999999999E-3</v>
      </c>
      <c r="AA4867">
        <v>0.99531009999999998</v>
      </c>
      <c r="AB4867">
        <v>26</v>
      </c>
      <c r="AC4867">
        <v>147.12970000000001</v>
      </c>
      <c r="AD4867">
        <v>0.25322600000000001</v>
      </c>
      <c r="AE4867">
        <v>-13.045261999999999</v>
      </c>
      <c r="AF4867">
        <v>-14.3079749647617</v>
      </c>
      <c r="AG4867">
        <v>0.25322600000000001</v>
      </c>
      <c r="AH4867">
        <v>147.01183996160799</v>
      </c>
      <c r="AI4867">
        <v>89.901772972246306</v>
      </c>
      <c r="AJ4867">
        <v>95.558822961097405</v>
      </c>
      <c r="AK4867">
        <v>147.706680146488</v>
      </c>
      <c r="AL4867">
        <v>93.361379798852397</v>
      </c>
      <c r="AM4867">
        <v>102.329438029022</v>
      </c>
      <c r="AN4867">
        <v>1.00000005236266</v>
      </c>
    </row>
    <row r="4868" spans="1:40" x14ac:dyDescent="0.25">
      <c r="A4868" t="str">
        <f>"20190305135927313"</f>
        <v>20190305135927313</v>
      </c>
      <c r="B4868" t="str">
        <f>"1551765567303844"</f>
        <v>1551765567303844</v>
      </c>
      <c r="C4868" t="s">
        <v>40</v>
      </c>
      <c r="D4868">
        <v>4.1047979999999997</v>
      </c>
      <c r="E4868">
        <v>0.54751269999999996</v>
      </c>
      <c r="F4868" t="s">
        <v>43</v>
      </c>
      <c r="G4868">
        <v>-265.92700000000002</v>
      </c>
      <c r="H4868">
        <v>-0.05</v>
      </c>
      <c r="I4868">
        <v>5.7542720000000003</v>
      </c>
      <c r="J4868">
        <v>-388.4282</v>
      </c>
      <c r="K4868">
        <v>1.110822</v>
      </c>
      <c r="L4868">
        <v>17.679020000000001</v>
      </c>
      <c r="M4868">
        <v>0.98329889999999998</v>
      </c>
      <c r="N4868">
        <v>-5.5241140000000001E-3</v>
      </c>
      <c r="O4868">
        <v>-0.18191370000000001</v>
      </c>
      <c r="P4868">
        <v>0.99753360000000002</v>
      </c>
      <c r="Q4868">
        <v>-6.2613279999999993E-2</v>
      </c>
      <c r="R4868">
        <v>3.1722519999999997E-2</v>
      </c>
      <c r="S4868">
        <v>3.0144039999999999</v>
      </c>
      <c r="T4868">
        <v>-2.852321E-2</v>
      </c>
      <c r="U4868">
        <v>-0.29376219999999997</v>
      </c>
      <c r="V4868">
        <v>-0.21232200000000001</v>
      </c>
      <c r="W4868">
        <v>-5.847198E-2</v>
      </c>
      <c r="X4868">
        <v>0.9754488</v>
      </c>
      <c r="Y4868">
        <v>-8.5676559999999999E-2</v>
      </c>
      <c r="Z4868">
        <v>1.338819E-3</v>
      </c>
      <c r="AA4868">
        <v>0.99632209999999999</v>
      </c>
      <c r="AB4868">
        <v>26</v>
      </c>
      <c r="AC4868">
        <v>122.501199999999</v>
      </c>
      <c r="AD4868">
        <v>-1.160822</v>
      </c>
      <c r="AE4868">
        <v>-11.924747999999999</v>
      </c>
      <c r="AF4868">
        <v>-10.5582777520676</v>
      </c>
      <c r="AG4868">
        <v>-1.160822</v>
      </c>
      <c r="AH4868">
        <v>122.615544411503</v>
      </c>
      <c r="AI4868">
        <v>90.540412897853599</v>
      </c>
      <c r="AJ4868">
        <v>94.921531011570593</v>
      </c>
      <c r="AK4868">
        <v>123.074759671245</v>
      </c>
      <c r="AL4868">
        <v>93.352109713619996</v>
      </c>
      <c r="AM4868">
        <v>102.279799373762</v>
      </c>
      <c r="AN4868">
        <v>0.99999998277528002</v>
      </c>
    </row>
    <row r="4869" spans="1:40" x14ac:dyDescent="0.25">
      <c r="A4869" t="str">
        <f>"20190305135927332"</f>
        <v>20190305135927332</v>
      </c>
      <c r="B4869" t="str">
        <f>"1551765567324340"</f>
        <v>1551765567324340</v>
      </c>
      <c r="C4869" t="s">
        <v>40</v>
      </c>
      <c r="D4869">
        <v>4.1597540000000004</v>
      </c>
      <c r="E4869">
        <v>0.54446450000000002</v>
      </c>
      <c r="F4869" t="s">
        <v>42</v>
      </c>
      <c r="G4869">
        <v>-330.79969999999997</v>
      </c>
      <c r="H4869" s="1">
        <v>-5.2146479999999996E-6</v>
      </c>
      <c r="I4869">
        <v>12.36951</v>
      </c>
      <c r="J4869">
        <v>-388.21539999999999</v>
      </c>
      <c r="K4869">
        <v>1.110825</v>
      </c>
      <c r="L4869">
        <v>17.64282</v>
      </c>
      <c r="M4869">
        <v>0.98384530000000003</v>
      </c>
      <c r="N4869">
        <v>-5.3629740000000004E-3</v>
      </c>
      <c r="O4869">
        <v>-0.1789404</v>
      </c>
      <c r="P4869">
        <v>0.99753930000000002</v>
      </c>
      <c r="Q4869">
        <v>-6.1887030000000003E-2</v>
      </c>
      <c r="R4869">
        <v>3.2944000000000001E-2</v>
      </c>
      <c r="S4869">
        <v>3.0126040000000001</v>
      </c>
      <c r="T4869">
        <v>-5.806994E-2</v>
      </c>
      <c r="U4869">
        <v>-0.27755740000000001</v>
      </c>
      <c r="V4869">
        <v>-0.2105755</v>
      </c>
      <c r="W4869">
        <v>-5.7903219999999998E-2</v>
      </c>
      <c r="X4869">
        <v>0.97586130000000004</v>
      </c>
      <c r="Y4869">
        <v>-8.7888240000000006E-2</v>
      </c>
      <c r="Z4869">
        <v>3.5384750000000001E-3</v>
      </c>
      <c r="AA4869">
        <v>0.99612400000000001</v>
      </c>
      <c r="AB4869">
        <v>26</v>
      </c>
      <c r="AC4869">
        <v>57.415700000000001</v>
      </c>
      <c r="AD4869">
        <v>-1.110830214648</v>
      </c>
      <c r="AE4869">
        <v>-5.2733099999999897</v>
      </c>
      <c r="AF4869">
        <v>-5.0840530940437496</v>
      </c>
      <c r="AG4869">
        <v>-1.110830214648</v>
      </c>
      <c r="AH4869">
        <v>57.411290656298</v>
      </c>
      <c r="AI4869">
        <v>91.104137142720603</v>
      </c>
      <c r="AJ4869">
        <v>95.060623133296303</v>
      </c>
      <c r="AK4869">
        <v>57.646663688809902</v>
      </c>
      <c r="AL4869">
        <v>93.3194666322252</v>
      </c>
      <c r="AM4869">
        <v>102.17682221553299</v>
      </c>
      <c r="AN4869">
        <v>1.00000005046215</v>
      </c>
    </row>
    <row r="4870" spans="1:40" x14ac:dyDescent="0.25">
      <c r="A4870" t="str">
        <f>"20190305135927354"</f>
        <v>20190305135927354</v>
      </c>
      <c r="B4870" t="str">
        <f>"1551765567343859"</f>
        <v>1551765567343859</v>
      </c>
      <c r="C4870" t="s">
        <v>40</v>
      </c>
      <c r="D4870">
        <v>4.1401519999999996</v>
      </c>
      <c r="E4870">
        <v>0.54226890000000005</v>
      </c>
      <c r="F4870" t="s">
        <v>42</v>
      </c>
      <c r="G4870">
        <v>-352.56310000000002</v>
      </c>
      <c r="H4870" s="1">
        <v>-4.0510580000000002E-6</v>
      </c>
      <c r="I4870">
        <v>14.664479999999999</v>
      </c>
      <c r="J4870">
        <v>-387.95350000000002</v>
      </c>
      <c r="K4870">
        <v>1.1108279999999999</v>
      </c>
      <c r="L4870">
        <v>17.59909</v>
      </c>
      <c r="M4870">
        <v>0.98450590000000004</v>
      </c>
      <c r="N4870">
        <v>-5.16841E-3</v>
      </c>
      <c r="O4870">
        <v>-0.17527519999999999</v>
      </c>
      <c r="P4870">
        <v>0.99750000000000005</v>
      </c>
      <c r="Q4870">
        <v>-6.1492690000000003E-2</v>
      </c>
      <c r="R4870">
        <v>3.4817010000000002E-2</v>
      </c>
      <c r="S4870">
        <v>3.0098880000000001</v>
      </c>
      <c r="T4870">
        <v>-9.3780039999999995E-2</v>
      </c>
      <c r="U4870">
        <v>-0.2514343</v>
      </c>
      <c r="V4870">
        <v>-0.2087745</v>
      </c>
      <c r="W4870">
        <v>-5.7702950000000003E-2</v>
      </c>
      <c r="X4870">
        <v>0.97626000000000002</v>
      </c>
      <c r="Y4870">
        <v>-9.2602039999999997E-2</v>
      </c>
      <c r="Z4870">
        <v>6.1893290000000004E-3</v>
      </c>
      <c r="AA4870">
        <v>0.99568400000000001</v>
      </c>
      <c r="AB4870">
        <v>26</v>
      </c>
      <c r="AC4870">
        <v>35.3904</v>
      </c>
      <c r="AD4870">
        <v>-1.1108320510580001</v>
      </c>
      <c r="AE4870">
        <v>-2.9346100000000002</v>
      </c>
      <c r="AF4870">
        <v>-3.3107234206665002</v>
      </c>
      <c r="AG4870">
        <v>-1.1108320510580001</v>
      </c>
      <c r="AH4870">
        <v>35.322332598451901</v>
      </c>
      <c r="AI4870">
        <v>91.793413613138398</v>
      </c>
      <c r="AJ4870">
        <v>95.354626698012694</v>
      </c>
      <c r="AK4870">
        <v>35.4945350386432</v>
      </c>
      <c r="AL4870">
        <v>93.307972940102005</v>
      </c>
      <c r="AM4870">
        <v>102.070959267299</v>
      </c>
      <c r="AN4870">
        <v>1.0000000049444699</v>
      </c>
    </row>
    <row r="4871" spans="1:40" x14ac:dyDescent="0.25">
      <c r="A4871" t="str">
        <f>"20190305135927370"</f>
        <v>20190305135927370</v>
      </c>
      <c r="B4871" t="str">
        <f>"1551765567364356"</f>
        <v>1551765567364356</v>
      </c>
      <c r="C4871" t="s">
        <v>40</v>
      </c>
      <c r="D4871">
        <v>4.1822809999999997</v>
      </c>
      <c r="E4871">
        <v>0.54071659999999999</v>
      </c>
      <c r="F4871" t="s">
        <v>42</v>
      </c>
      <c r="G4871">
        <v>-359.77319999999997</v>
      </c>
      <c r="H4871" s="1">
        <v>-1.1722139999999999E-6</v>
      </c>
      <c r="I4871">
        <v>15.448309999999999</v>
      </c>
      <c r="J4871">
        <v>-387.77749999999997</v>
      </c>
      <c r="K4871">
        <v>1.110835</v>
      </c>
      <c r="L4871">
        <v>17.570309999999999</v>
      </c>
      <c r="M4871">
        <v>0.98494280000000001</v>
      </c>
      <c r="N4871">
        <v>-5.0408900000000001E-3</v>
      </c>
      <c r="O4871">
        <v>-0.17280680000000001</v>
      </c>
      <c r="P4871">
        <v>0.9974518</v>
      </c>
      <c r="Q4871">
        <v>-6.1314349999999997E-2</v>
      </c>
      <c r="R4871">
        <v>3.6475809999999997E-2</v>
      </c>
      <c r="S4871">
        <v>3.0082089999999999</v>
      </c>
      <c r="T4871">
        <v>-0.11857959999999999</v>
      </c>
      <c r="U4871">
        <v>-0.2295837</v>
      </c>
      <c r="V4871">
        <v>-0.20794960000000001</v>
      </c>
      <c r="W4871">
        <v>-5.7655360000000003E-2</v>
      </c>
      <c r="X4871">
        <v>0.9764389</v>
      </c>
      <c r="Y4871">
        <v>-9.7170580000000006E-2</v>
      </c>
      <c r="Z4871">
        <v>8.0451099999999994E-3</v>
      </c>
      <c r="AA4871">
        <v>0.99523519999999999</v>
      </c>
      <c r="AB4871">
        <v>26</v>
      </c>
      <c r="AC4871">
        <v>28.004300000000001</v>
      </c>
      <c r="AD4871">
        <v>-1.1108361722139899</v>
      </c>
      <c r="AE4871">
        <v>-2.1219999999999901</v>
      </c>
      <c r="AF4871">
        <v>-2.7450254097006201</v>
      </c>
      <c r="AG4871">
        <v>-1.1108361722139899</v>
      </c>
      <c r="AH4871">
        <v>27.906028082739301</v>
      </c>
      <c r="AI4871">
        <v>92.268592880158096</v>
      </c>
      <c r="AJ4871">
        <v>95.617926667255702</v>
      </c>
      <c r="AK4871">
        <v>28.062707012261601</v>
      </c>
      <c r="AL4871">
        <v>93.305241534324793</v>
      </c>
      <c r="AM4871">
        <v>102.022516860366</v>
      </c>
      <c r="AN4871">
        <v>1.00000005105504</v>
      </c>
    </row>
    <row r="4872" spans="1:40" x14ac:dyDescent="0.25">
      <c r="A4872" t="str">
        <f>"20190305135927387"</f>
        <v>20190305135927387</v>
      </c>
      <c r="B4872" t="str">
        <f>"1551765567383876"</f>
        <v>1551765567383876</v>
      </c>
      <c r="C4872" t="s">
        <v>40</v>
      </c>
      <c r="D4872">
        <v>4.1552100000000003</v>
      </c>
      <c r="E4872">
        <v>0.53946169999999904</v>
      </c>
      <c r="F4872" t="s">
        <v>87</v>
      </c>
      <c r="G4872">
        <v>-363.07100000000003</v>
      </c>
      <c r="H4872" s="1">
        <v>-3.9492149999999996E-6</v>
      </c>
      <c r="I4872">
        <v>15.81996</v>
      </c>
      <c r="J4872">
        <v>-387.57709999999997</v>
      </c>
      <c r="K4872">
        <v>1.110843</v>
      </c>
      <c r="L4872">
        <v>17.538060000000002</v>
      </c>
      <c r="M4872">
        <v>0.98543380000000003</v>
      </c>
      <c r="N4872">
        <v>-4.8988299999999999E-3</v>
      </c>
      <c r="O4872">
        <v>-0.16998929999999901</v>
      </c>
      <c r="P4872">
        <v>0.9974151</v>
      </c>
      <c r="Q4872">
        <v>-6.113416E-2</v>
      </c>
      <c r="R4872">
        <v>3.775709E-2</v>
      </c>
      <c r="S4872">
        <v>3.0071409999999998</v>
      </c>
      <c r="T4872">
        <v>-0.135205399999999</v>
      </c>
      <c r="U4872">
        <v>-0.21304319999999999</v>
      </c>
      <c r="V4872">
        <v>-0.20641000000000001</v>
      </c>
      <c r="W4872">
        <v>-5.7617250000000002E-2</v>
      </c>
      <c r="X4872">
        <v>0.97676770000000002</v>
      </c>
      <c r="Y4872">
        <v>-9.9681560000000002E-2</v>
      </c>
      <c r="Z4872">
        <v>9.2360949999999997E-3</v>
      </c>
      <c r="AA4872">
        <v>0.99497650000000004</v>
      </c>
      <c r="AB4872">
        <v>26</v>
      </c>
      <c r="AC4872">
        <v>24.5061</v>
      </c>
      <c r="AD4872">
        <v>-1.1108469492149999</v>
      </c>
      <c r="AE4872">
        <v>-1.7181</v>
      </c>
      <c r="AF4872">
        <v>-2.46768479063826</v>
      </c>
      <c r="AG4872">
        <v>-1.1108469492149999</v>
      </c>
      <c r="AH4872">
        <v>24.391615844410499</v>
      </c>
      <c r="AI4872">
        <v>92.594347102264393</v>
      </c>
      <c r="AJ4872">
        <v>95.7769229171533</v>
      </c>
      <c r="AK4872">
        <v>24.541278953465799</v>
      </c>
      <c r="AL4872">
        <v>93.3030545659783</v>
      </c>
      <c r="AM4872">
        <v>101.932164954098</v>
      </c>
      <c r="AN4872">
        <v>0.99999998768042597</v>
      </c>
    </row>
    <row r="4873" spans="1:40" x14ac:dyDescent="0.25">
      <c r="A4873" t="str">
        <f>"20190305135927411"</f>
        <v>20190305135927411</v>
      </c>
      <c r="B4873" t="str">
        <f>"1551765567404372"</f>
        <v>1551765567404372</v>
      </c>
      <c r="C4873" t="s">
        <v>40</v>
      </c>
      <c r="D4873">
        <v>4.2111549999999998</v>
      </c>
      <c r="E4873">
        <v>0.53866879999999995</v>
      </c>
      <c r="F4873" t="s">
        <v>87</v>
      </c>
      <c r="G4873">
        <v>-365.07839999999999</v>
      </c>
      <c r="H4873" s="1">
        <v>-2.9608859999999999E-6</v>
      </c>
      <c r="I4873">
        <v>16.042279999999899</v>
      </c>
      <c r="J4873">
        <v>-387.31169999999997</v>
      </c>
      <c r="K4873">
        <v>1.110859</v>
      </c>
      <c r="L4873">
        <v>17.49625</v>
      </c>
      <c r="M4873">
        <v>0.98607319999999998</v>
      </c>
      <c r="N4873">
        <v>-4.7174729999999998E-3</v>
      </c>
      <c r="O4873">
        <v>-0.166244899999999</v>
      </c>
      <c r="P4873">
        <v>0.99733769999999999</v>
      </c>
      <c r="Q4873">
        <v>-6.1092180000000003E-2</v>
      </c>
      <c r="R4873">
        <v>3.9815160000000002E-2</v>
      </c>
      <c r="S4873">
        <v>3.006195</v>
      </c>
      <c r="T4873">
        <v>-0.148427</v>
      </c>
      <c r="U4873">
        <v>-0.1998596</v>
      </c>
      <c r="V4873">
        <v>-0.20470940000000001</v>
      </c>
      <c r="W4873">
        <v>-5.7760150000000003E-2</v>
      </c>
      <c r="X4873">
        <v>0.97711709999999996</v>
      </c>
      <c r="Y4873">
        <v>-0.10017180000000001</v>
      </c>
      <c r="Z4873">
        <v>1.007272E-2</v>
      </c>
      <c r="AA4873">
        <v>0.9949192</v>
      </c>
      <c r="AB4873">
        <v>26</v>
      </c>
      <c r="AC4873">
        <v>22.2332999999999</v>
      </c>
      <c r="AD4873">
        <v>-1.110861960886</v>
      </c>
      <c r="AE4873">
        <v>-1.45397</v>
      </c>
      <c r="AF4873">
        <v>-2.2568670588503799</v>
      </c>
      <c r="AG4873">
        <v>-1.110861960886</v>
      </c>
      <c r="AH4873">
        <v>22.110661503385799</v>
      </c>
      <c r="AI4873">
        <v>92.8613374540232</v>
      </c>
      <c r="AJ4873">
        <v>95.828078549757706</v>
      </c>
      <c r="AK4873">
        <v>22.2532877421466</v>
      </c>
      <c r="AL4873">
        <v>93.311255749484801</v>
      </c>
      <c r="AM4873">
        <v>101.832527646645</v>
      </c>
      <c r="AN4873">
        <v>1.0000000002443901</v>
      </c>
    </row>
    <row r="4874" spans="1:40" x14ac:dyDescent="0.25">
      <c r="A4874" t="str">
        <f>"20190305135927433"</f>
        <v>20190305135927433</v>
      </c>
      <c r="B4874" t="str">
        <f>"1551765567423893"</f>
        <v>1551765567423893</v>
      </c>
      <c r="C4874" t="s">
        <v>40</v>
      </c>
      <c r="D4874">
        <v>4.1565399999999997</v>
      </c>
      <c r="E4874">
        <v>0.53798059999999903</v>
      </c>
      <c r="F4874" t="s">
        <v>87</v>
      </c>
      <c r="G4874">
        <v>-366.31029999999998</v>
      </c>
      <c r="H4874" s="1">
        <v>-2.353461E-6</v>
      </c>
      <c r="I4874">
        <v>16.183820000000001</v>
      </c>
      <c r="J4874">
        <v>-387.04090000000002</v>
      </c>
      <c r="K4874">
        <v>1.110876</v>
      </c>
      <c r="L4874">
        <v>17.45459</v>
      </c>
      <c r="M4874">
        <v>0.98671279999999995</v>
      </c>
      <c r="N4874">
        <v>-4.5413440000000001E-3</v>
      </c>
      <c r="O4874">
        <v>-0.1624111</v>
      </c>
      <c r="P4874">
        <v>0.9972453</v>
      </c>
      <c r="Q4874">
        <v>-6.1014440000000003E-2</v>
      </c>
      <c r="R4874">
        <v>4.2180090000000003E-2</v>
      </c>
      <c r="S4874">
        <v>3.0057369999999999</v>
      </c>
      <c r="T4874">
        <v>-0.1589874</v>
      </c>
      <c r="U4874">
        <v>-0.18783569999999999</v>
      </c>
      <c r="V4874">
        <v>-0.20322299999999999</v>
      </c>
      <c r="W4874">
        <v>-5.7864640000000002E-2</v>
      </c>
      <c r="X4874">
        <v>0.97742119999999999</v>
      </c>
      <c r="Y4874">
        <v>-0.1002159</v>
      </c>
      <c r="Z4874">
        <v>1.0671E-2</v>
      </c>
      <c r="AA4874">
        <v>0.99490849999999997</v>
      </c>
      <c r="AB4874">
        <v>26</v>
      </c>
      <c r="AC4874">
        <v>20.730599999999999</v>
      </c>
      <c r="AD4874">
        <v>-1.1108783534610001</v>
      </c>
      <c r="AE4874">
        <v>-1.27076999999999</v>
      </c>
      <c r="AF4874">
        <v>-2.10698859265778</v>
      </c>
      <c r="AG4874">
        <v>-1.1108783534610001</v>
      </c>
      <c r="AH4874">
        <v>20.6028076019198</v>
      </c>
      <c r="AI4874">
        <v>93.070347184487403</v>
      </c>
      <c r="AJ4874">
        <v>95.839171048342394</v>
      </c>
      <c r="AK4874">
        <v>20.7400369509676</v>
      </c>
      <c r="AL4874">
        <v>93.317252439425801</v>
      </c>
      <c r="AM4874">
        <v>101.74545417295499</v>
      </c>
      <c r="AN4874">
        <v>1.0000000532503801</v>
      </c>
    </row>
    <row r="4875" spans="1:40" x14ac:dyDescent="0.25">
      <c r="A4875" t="str">
        <f>"20190305135927456"</f>
        <v>20190305135927456</v>
      </c>
      <c r="B4875" t="str">
        <f>"1551765567444388"</f>
        <v>1551765567444388</v>
      </c>
      <c r="C4875" t="s">
        <v>40</v>
      </c>
      <c r="D4875">
        <v>4.1704290000000004</v>
      </c>
      <c r="E4875">
        <v>0.53731119999999899</v>
      </c>
      <c r="F4875" t="s">
        <v>87</v>
      </c>
      <c r="G4875">
        <v>-366.96449999999999</v>
      </c>
      <c r="H4875" s="1">
        <v>-2.0533880000000002E-6</v>
      </c>
      <c r="I4875">
        <v>16.28162</v>
      </c>
      <c r="J4875">
        <v>-386.76889999999997</v>
      </c>
      <c r="K4875">
        <v>1.1108929999999999</v>
      </c>
      <c r="L4875">
        <v>17.41385</v>
      </c>
      <c r="M4875">
        <v>0.98734200000000005</v>
      </c>
      <c r="N4875">
        <v>-4.3731400000000002E-3</v>
      </c>
      <c r="O4875">
        <v>-0.15854509999999999</v>
      </c>
      <c r="P4875">
        <v>0.99715189999999998</v>
      </c>
      <c r="Q4875">
        <v>-6.0862029999999998E-2</v>
      </c>
      <c r="R4875">
        <v>4.4543739999999998E-2</v>
      </c>
      <c r="S4875">
        <v>3.0055239999999999</v>
      </c>
      <c r="T4875">
        <v>-0.16630339999999999</v>
      </c>
      <c r="U4875">
        <v>-0.17559810000000001</v>
      </c>
      <c r="V4875">
        <v>-0.20170689999999999</v>
      </c>
      <c r="W4875">
        <v>-5.788687E-2</v>
      </c>
      <c r="X4875">
        <v>0.97773390000000004</v>
      </c>
      <c r="Y4875">
        <v>-0.1003212</v>
      </c>
      <c r="Z4875">
        <v>1.1016049999999999E-2</v>
      </c>
      <c r="AA4875">
        <v>0.9948941</v>
      </c>
      <c r="AB4875">
        <v>27</v>
      </c>
      <c r="AC4875">
        <v>19.804399999999902</v>
      </c>
      <c r="AD4875">
        <v>-1.110895053388</v>
      </c>
      <c r="AE4875">
        <v>-1.1322299999999901</v>
      </c>
      <c r="AF4875">
        <v>-2.0156901505909901</v>
      </c>
      <c r="AG4875">
        <v>-1.110895053388</v>
      </c>
      <c r="AH4875">
        <v>19.6717204238183</v>
      </c>
      <c r="AI4875">
        <v>93.215355954505299</v>
      </c>
      <c r="AJ4875">
        <v>95.850473217037205</v>
      </c>
      <c r="AK4875">
        <v>19.8059001066778</v>
      </c>
      <c r="AL4875">
        <v>93.318528203388595</v>
      </c>
      <c r="AM4875">
        <v>101.656610737389</v>
      </c>
      <c r="AN4875">
        <v>1.0000000712176</v>
      </c>
    </row>
    <row r="4876" spans="1:40" x14ac:dyDescent="0.25">
      <c r="A4876" t="str">
        <f>"20190305135927477"</f>
        <v>20190305135927477</v>
      </c>
      <c r="B4876" t="str">
        <f>"1551765567473668"</f>
        <v>1551765567473668</v>
      </c>
      <c r="C4876" t="s">
        <v>40</v>
      </c>
      <c r="D4876">
        <v>4.198944</v>
      </c>
      <c r="E4876">
        <v>0.53672189999999997</v>
      </c>
      <c r="F4876" t="s">
        <v>87</v>
      </c>
      <c r="G4876">
        <v>-367.29399999999998</v>
      </c>
      <c r="H4876" s="1">
        <v>-1.9073689999999999E-6</v>
      </c>
      <c r="I4876">
        <v>16.354890000000001</v>
      </c>
      <c r="J4876">
        <v>-386.52030000000002</v>
      </c>
      <c r="K4876">
        <v>1.110911</v>
      </c>
      <c r="L4876">
        <v>17.377559999999999</v>
      </c>
      <c r="M4876">
        <v>0.98790579999999995</v>
      </c>
      <c r="N4876">
        <v>-4.2266070000000003E-3</v>
      </c>
      <c r="O4876">
        <v>-0.154998</v>
      </c>
      <c r="P4876">
        <v>0.99709729999999996</v>
      </c>
      <c r="Q4876">
        <v>-5.9740399999999999E-2</v>
      </c>
      <c r="R4876">
        <v>4.7202170000000002E-2</v>
      </c>
      <c r="S4876">
        <v>3.0054020000000001</v>
      </c>
      <c r="T4876">
        <v>-0.17143549999999999</v>
      </c>
      <c r="U4876">
        <v>-0.1634216</v>
      </c>
      <c r="V4876">
        <v>-0.20081350000000001</v>
      </c>
      <c r="W4876">
        <v>-5.6921149999999997E-2</v>
      </c>
      <c r="X4876">
        <v>0.97797440000000002</v>
      </c>
      <c r="Y4876">
        <v>-0.10074279999999999</v>
      </c>
      <c r="Z4876">
        <v>1.121694E-2</v>
      </c>
      <c r="AA4876">
        <v>0.99484930000000005</v>
      </c>
      <c r="AB4876">
        <v>27</v>
      </c>
      <c r="AC4876">
        <v>19.226299999999899</v>
      </c>
      <c r="AD4876">
        <v>-1.1109129073690001</v>
      </c>
      <c r="AE4876">
        <v>-1.02266999999999</v>
      </c>
      <c r="AF4876">
        <v>-1.9632179342310301</v>
      </c>
      <c r="AG4876">
        <v>-1.1109129073690001</v>
      </c>
      <c r="AH4876">
        <v>19.088904041826801</v>
      </c>
      <c r="AI4876">
        <v>93.313236336812693</v>
      </c>
      <c r="AJ4876">
        <v>95.871998037590203</v>
      </c>
      <c r="AK4876">
        <v>19.2217223386229</v>
      </c>
      <c r="AL4876">
        <v>93.263105356597507</v>
      </c>
      <c r="AM4876">
        <v>101.603608328091</v>
      </c>
      <c r="AN4876">
        <v>1.0000000030774601</v>
      </c>
    </row>
    <row r="4877" spans="1:40" x14ac:dyDescent="0.25">
      <c r="A4877" t="str">
        <f>"20190305135927500"</f>
        <v>20190305135927500</v>
      </c>
      <c r="B4877" t="str">
        <f>"1551765567494164"</f>
        <v>1551765567494164</v>
      </c>
      <c r="C4877" t="s">
        <v>40</v>
      </c>
      <c r="D4877">
        <v>4.146719</v>
      </c>
      <c r="E4877">
        <v>0.53631130000000005</v>
      </c>
      <c r="F4877" t="s">
        <v>87</v>
      </c>
      <c r="G4877">
        <v>-367.6277</v>
      </c>
      <c r="H4877" s="1">
        <v>-1.759897E-6</v>
      </c>
      <c r="I4877">
        <v>16.42756</v>
      </c>
      <c r="J4877">
        <v>-386.2586</v>
      </c>
      <c r="K4877">
        <v>1.1109309999999999</v>
      </c>
      <c r="L4877">
        <v>17.340329999999899</v>
      </c>
      <c r="M4877">
        <v>0.98848650000000005</v>
      </c>
      <c r="N4877">
        <v>-4.0831610000000001E-3</v>
      </c>
      <c r="O4877">
        <v>-0.151255</v>
      </c>
      <c r="P4877">
        <v>0.99703989999999998</v>
      </c>
      <c r="Q4877">
        <v>-5.8652610000000001E-2</v>
      </c>
      <c r="R4877">
        <v>4.9711909999999998E-2</v>
      </c>
      <c r="S4877">
        <v>3.0053709999999998</v>
      </c>
      <c r="T4877">
        <v>-0.1767203</v>
      </c>
      <c r="U4877">
        <v>-0.15112300000000001</v>
      </c>
      <c r="V4877">
        <v>-0.19958110000000001</v>
      </c>
      <c r="W4877">
        <v>-5.5984039999999999E-2</v>
      </c>
      <c r="X4877">
        <v>0.9782807</v>
      </c>
      <c r="Y4877">
        <v>-0.1010128</v>
      </c>
      <c r="Z4877">
        <v>1.139949E-2</v>
      </c>
      <c r="AA4877">
        <v>0.99481980000000003</v>
      </c>
      <c r="AB4877">
        <v>27</v>
      </c>
      <c r="AC4877">
        <v>18.6309</v>
      </c>
      <c r="AD4877">
        <v>-1.11093275989699</v>
      </c>
      <c r="AE4877">
        <v>-0.91276999999999797</v>
      </c>
      <c r="AF4877">
        <v>-1.9090003217759799</v>
      </c>
      <c r="AG4877">
        <v>-1.11093275989699</v>
      </c>
      <c r="AH4877">
        <v>18.4890245716363</v>
      </c>
      <c r="AI4877">
        <v>93.420403865879805</v>
      </c>
      <c r="AJ4877">
        <v>95.894926971431801</v>
      </c>
      <c r="AK4877">
        <v>18.620485585400999</v>
      </c>
      <c r="AL4877">
        <v>93.209327225920404</v>
      </c>
      <c r="AM4877">
        <v>101.530795967571</v>
      </c>
      <c r="AN4877">
        <v>0.99999997810220997</v>
      </c>
    </row>
    <row r="4878" spans="1:40" x14ac:dyDescent="0.25">
      <c r="A4878" t="str">
        <f>"20190305135927522"</f>
        <v>20190305135927522</v>
      </c>
      <c r="B4878" t="str">
        <f>"1551765567513684"</f>
        <v>1551765567513684</v>
      </c>
      <c r="C4878" t="s">
        <v>40</v>
      </c>
      <c r="D4878">
        <v>4.1500589999999997</v>
      </c>
      <c r="E4878">
        <v>0.53592499999999998</v>
      </c>
      <c r="F4878" t="s">
        <v>87</v>
      </c>
      <c r="G4878">
        <v>-367.59350000000001</v>
      </c>
      <c r="H4878" s="1">
        <v>-1.7624649999999999E-6</v>
      </c>
      <c r="I4878">
        <v>16.467169999999999</v>
      </c>
      <c r="J4878">
        <v>-385.9753</v>
      </c>
      <c r="K4878">
        <v>1.110959</v>
      </c>
      <c r="L4878">
        <v>17.301269999999999</v>
      </c>
      <c r="M4878">
        <v>0.98909910000000001</v>
      </c>
      <c r="N4878">
        <v>-3.9445299999999999E-3</v>
      </c>
      <c r="O4878">
        <v>-0.14719889999999999</v>
      </c>
      <c r="P4878">
        <v>0.99694210000000005</v>
      </c>
      <c r="Q4878">
        <v>-5.7767369999999998E-2</v>
      </c>
      <c r="R4878">
        <v>5.2628309999999998E-2</v>
      </c>
      <c r="S4878">
        <v>3.0054020000000001</v>
      </c>
      <c r="T4878">
        <v>-0.1788797</v>
      </c>
      <c r="U4878">
        <v>-0.14059449999999901</v>
      </c>
      <c r="V4878">
        <v>-0.19843740000000001</v>
      </c>
      <c r="W4878">
        <v>-5.5245719999999998E-2</v>
      </c>
      <c r="X4878">
        <v>0.97855530000000002</v>
      </c>
      <c r="Y4878">
        <v>-0.1004053</v>
      </c>
      <c r="Z4878">
        <v>1.131735E-2</v>
      </c>
      <c r="AA4878">
        <v>0.99488220000000005</v>
      </c>
      <c r="AB4878">
        <v>27</v>
      </c>
      <c r="AC4878">
        <v>18.381799999999998</v>
      </c>
      <c r="AD4878">
        <v>-1.110960762465</v>
      </c>
      <c r="AE4878">
        <v>-0.83410000000000295</v>
      </c>
      <c r="AF4878">
        <v>-1.8739566615232299</v>
      </c>
      <c r="AG4878">
        <v>-1.110960762465</v>
      </c>
      <c r="AH4878">
        <v>18.237860204561201</v>
      </c>
      <c r="AI4878">
        <v>93.4676574303639</v>
      </c>
      <c r="AJ4878">
        <v>95.866605021648198</v>
      </c>
      <c r="AK4878">
        <v>18.367511868136202</v>
      </c>
      <c r="AL4878">
        <v>93.166959014366498</v>
      </c>
      <c r="AM4878">
        <v>101.463341273281</v>
      </c>
      <c r="AN4878">
        <v>0.99999998322758399</v>
      </c>
    </row>
    <row r="4879" spans="1:40" x14ac:dyDescent="0.25">
      <c r="A4879" t="str">
        <f>"20190305135927544"</f>
        <v>20190305135927544</v>
      </c>
      <c r="B4879" t="str">
        <f>"1551765567534180"</f>
        <v>1551765567534180</v>
      </c>
      <c r="C4879" t="s">
        <v>40</v>
      </c>
      <c r="D4879">
        <v>4.1376860000000004</v>
      </c>
      <c r="E4879">
        <v>0.53564820000000002</v>
      </c>
      <c r="F4879" t="s">
        <v>87</v>
      </c>
      <c r="G4879">
        <v>-367.62490000000003</v>
      </c>
      <c r="H4879" s="1">
        <v>-1.73798E-6</v>
      </c>
      <c r="I4879">
        <v>16.513850000000001</v>
      </c>
      <c r="J4879">
        <v>-385.7022</v>
      </c>
      <c r="K4879">
        <v>1.110981</v>
      </c>
      <c r="L4879">
        <v>17.264710000000001</v>
      </c>
      <c r="M4879">
        <v>0.98967400000000005</v>
      </c>
      <c r="N4879">
        <v>-3.8248380000000001E-3</v>
      </c>
      <c r="O4879">
        <v>-0.1432862</v>
      </c>
      <c r="P4879">
        <v>0.99679329999999999</v>
      </c>
      <c r="Q4879">
        <v>-5.7428750000000001E-2</v>
      </c>
      <c r="R4879">
        <v>5.572742E-2</v>
      </c>
      <c r="S4879">
        <v>3.005493</v>
      </c>
      <c r="T4879">
        <v>-0.18195710000000001</v>
      </c>
      <c r="U4879">
        <v>-0.12896730000000001</v>
      </c>
      <c r="V4879">
        <v>-0.19760910000000001</v>
      </c>
      <c r="W4879">
        <v>-5.5035929999999997E-2</v>
      </c>
      <c r="X4879">
        <v>0.97873469999999996</v>
      </c>
      <c r="Y4879">
        <v>-0.10030409999999999</v>
      </c>
      <c r="Z4879">
        <v>1.1308769999999999E-2</v>
      </c>
      <c r="AA4879">
        <v>0.99489249999999996</v>
      </c>
      <c r="AB4879">
        <v>27</v>
      </c>
      <c r="AC4879">
        <v>18.077299999999902</v>
      </c>
      <c r="AD4879">
        <v>-1.1109827379799999</v>
      </c>
      <c r="AE4879">
        <v>-0.75085999999999897</v>
      </c>
      <c r="AF4879">
        <v>-1.84019588128592</v>
      </c>
      <c r="AG4879">
        <v>-1.1109827379799999</v>
      </c>
      <c r="AH4879">
        <v>17.9307437543874</v>
      </c>
      <c r="AI4879">
        <v>93.527016083286298</v>
      </c>
      <c r="AJ4879">
        <v>95.859634958728705</v>
      </c>
      <c r="AK4879">
        <v>18.059129965507601</v>
      </c>
      <c r="AL4879">
        <v>93.154920685841404</v>
      </c>
      <c r="AM4879">
        <v>101.41471333006101</v>
      </c>
      <c r="AN4879">
        <v>0.999999961488931</v>
      </c>
    </row>
    <row r="4880" spans="1:40" x14ac:dyDescent="0.25">
      <c r="A4880" t="str">
        <f>"20190305135927560"</f>
        <v>20190305135927560</v>
      </c>
      <c r="B4880" t="str">
        <f>"1551765567553699"</f>
        <v>1551765567553699</v>
      </c>
      <c r="C4880" t="s">
        <v>40</v>
      </c>
      <c r="D4880">
        <v>4.1214709999999997</v>
      </c>
      <c r="E4880">
        <v>0.53540480000000001</v>
      </c>
      <c r="F4880" t="s">
        <v>87</v>
      </c>
      <c r="G4880">
        <v>-367.76179999999999</v>
      </c>
      <c r="H4880" s="1">
        <v>-1.6725399999999999E-6</v>
      </c>
      <c r="I4880">
        <v>16.562279999999902</v>
      </c>
      <c r="J4880">
        <v>-385.51260000000002</v>
      </c>
      <c r="K4880">
        <v>1.1109929999999999</v>
      </c>
      <c r="L4880">
        <v>17.23987</v>
      </c>
      <c r="M4880">
        <v>0.99006360000000004</v>
      </c>
      <c r="N4880">
        <v>-3.7485270000000002E-3</v>
      </c>
      <c r="O4880">
        <v>-0.14057049999999999</v>
      </c>
      <c r="P4880">
        <v>0.99663840000000004</v>
      </c>
      <c r="Q4880">
        <v>-5.7780829999999998E-2</v>
      </c>
      <c r="R4880">
        <v>5.8080479999999997E-2</v>
      </c>
      <c r="S4880">
        <v>3.005493</v>
      </c>
      <c r="T4880">
        <v>-0.18611910000000001</v>
      </c>
      <c r="U4880">
        <v>-0.1176758</v>
      </c>
      <c r="V4880">
        <v>-0.19722529999999999</v>
      </c>
      <c r="W4880">
        <v>-5.547179E-2</v>
      </c>
      <c r="X4880">
        <v>0.97878750000000003</v>
      </c>
      <c r="Y4880">
        <v>-0.101288</v>
      </c>
      <c r="Z4880">
        <v>1.1459850000000001E-2</v>
      </c>
      <c r="AA4880">
        <v>0.99479119999999999</v>
      </c>
      <c r="AB4880">
        <v>28</v>
      </c>
      <c r="AC4880">
        <v>17.750800000000002</v>
      </c>
      <c r="AD4880">
        <v>-1.11099467254</v>
      </c>
      <c r="AE4880">
        <v>-0.67759000000000202</v>
      </c>
      <c r="AF4880">
        <v>-1.81728589311525</v>
      </c>
      <c r="AG4880">
        <v>-1.11099467254</v>
      </c>
      <c r="AH4880">
        <v>17.600945762788399</v>
      </c>
      <c r="AI4880">
        <v>93.592743764701098</v>
      </c>
      <c r="AJ4880">
        <v>95.894862933865198</v>
      </c>
      <c r="AK4880">
        <v>17.7293578260564</v>
      </c>
      <c r="AL4880">
        <v>93.179931856910798</v>
      </c>
      <c r="AM4880">
        <v>101.392525282599</v>
      </c>
      <c r="AN4880">
        <v>0.99999995430107103</v>
      </c>
    </row>
    <row r="4881" spans="1:40" x14ac:dyDescent="0.25">
      <c r="A4881" t="str">
        <f>"20190305135927578"</f>
        <v>20190305135927578</v>
      </c>
      <c r="B4881" t="str">
        <f>"1551765567574196"</f>
        <v>1551765567574196</v>
      </c>
      <c r="C4881" t="s">
        <v>40</v>
      </c>
      <c r="D4881">
        <v>4.1369129999999998</v>
      </c>
      <c r="E4881">
        <v>0.53523100000000001</v>
      </c>
      <c r="F4881" t="s">
        <v>87</v>
      </c>
      <c r="G4881">
        <v>-368.03680000000003</v>
      </c>
      <c r="H4881" s="1">
        <v>-1.555072E-6</v>
      </c>
      <c r="I4881">
        <v>16.60688</v>
      </c>
      <c r="J4881">
        <v>-385.30079999999998</v>
      </c>
      <c r="K4881">
        <v>1.1110070000000001</v>
      </c>
      <c r="L4881">
        <v>17.212769999999999</v>
      </c>
      <c r="M4881">
        <v>0.99048970000000003</v>
      </c>
      <c r="N4881">
        <v>-3.6706849999999999E-3</v>
      </c>
      <c r="O4881">
        <v>-0.1375381</v>
      </c>
      <c r="P4881">
        <v>0.99652689999999999</v>
      </c>
      <c r="Q4881">
        <v>-5.7428020000000003E-2</v>
      </c>
      <c r="R4881">
        <v>6.0301599999999997E-2</v>
      </c>
      <c r="S4881">
        <v>3.0053709999999998</v>
      </c>
      <c r="T4881">
        <v>-0.19106090000000001</v>
      </c>
      <c r="U4881">
        <v>-0.1088562</v>
      </c>
      <c r="V4881">
        <v>-0.196411</v>
      </c>
      <c r="W4881">
        <v>-5.520158E-2</v>
      </c>
      <c r="X4881">
        <v>0.97896649999999996</v>
      </c>
      <c r="Y4881">
        <v>-0.1011362</v>
      </c>
      <c r="Z4881">
        <v>1.15964E-2</v>
      </c>
      <c r="AA4881">
        <v>0.99480500000000005</v>
      </c>
      <c r="AB4881">
        <v>28</v>
      </c>
      <c r="AC4881">
        <v>17.2639999999999</v>
      </c>
      <c r="AD4881">
        <v>-1.1110085550719999</v>
      </c>
      <c r="AE4881">
        <v>-0.60589000000000204</v>
      </c>
      <c r="AF4881">
        <v>-1.76703279712191</v>
      </c>
      <c r="AG4881">
        <v>-1.1110085550719999</v>
      </c>
      <c r="AH4881">
        <v>17.1124792685399</v>
      </c>
      <c r="AI4881">
        <v>93.695058583244105</v>
      </c>
      <c r="AJ4881">
        <v>95.895461712193196</v>
      </c>
      <c r="AK4881">
        <v>17.239306587904199</v>
      </c>
      <c r="AL4881">
        <v>93.164426213179496</v>
      </c>
      <c r="AM4881">
        <v>101.344689796729</v>
      </c>
      <c r="AN4881">
        <v>0.99999995173887202</v>
      </c>
    </row>
    <row r="4882" spans="1:40" x14ac:dyDescent="0.25">
      <c r="A4882" t="str">
        <f>"20190305135927601"</f>
        <v>20190305135927601</v>
      </c>
      <c r="B4882" t="str">
        <f>"1551765567593716"</f>
        <v>1551765567593716</v>
      </c>
      <c r="C4882" t="s">
        <v>40</v>
      </c>
      <c r="D4882">
        <v>4.1124090000000004</v>
      </c>
      <c r="E4882">
        <v>0.53513109999999997</v>
      </c>
      <c r="F4882" t="s">
        <v>87</v>
      </c>
      <c r="G4882">
        <v>-368.11849999999998</v>
      </c>
      <c r="H4882" s="1">
        <v>-1.5161059999999999E-6</v>
      </c>
      <c r="I4882">
        <v>16.635429999999999</v>
      </c>
      <c r="J4882">
        <v>-385.0181</v>
      </c>
      <c r="K4882">
        <v>1.111029</v>
      </c>
      <c r="L4882">
        <v>17.17764</v>
      </c>
      <c r="M4882">
        <v>0.99104320000000001</v>
      </c>
      <c r="N4882">
        <v>-3.578337E-3</v>
      </c>
      <c r="O4882">
        <v>-0.133494</v>
      </c>
      <c r="P4882">
        <v>0.9963611</v>
      </c>
      <c r="Q4882">
        <v>-5.7084389999999999E-2</v>
      </c>
      <c r="R4882">
        <v>6.3291349999999996E-2</v>
      </c>
      <c r="S4882">
        <v>3.0053709999999998</v>
      </c>
      <c r="T4882">
        <v>-0.1943269</v>
      </c>
      <c r="U4882">
        <v>-0.10098269999999999</v>
      </c>
      <c r="V4882">
        <v>-0.19535250000000001</v>
      </c>
      <c r="W4882">
        <v>-5.4956409999999997E-2</v>
      </c>
      <c r="X4882">
        <v>0.97919210000000001</v>
      </c>
      <c r="Y4882">
        <v>-9.967231E-2</v>
      </c>
      <c r="Z4882">
        <v>1.151435E-2</v>
      </c>
      <c r="AA4882">
        <v>0.99495370000000005</v>
      </c>
      <c r="AB4882">
        <v>28</v>
      </c>
      <c r="AC4882">
        <v>16.8996</v>
      </c>
      <c r="AD4882">
        <v>-1.1110305161059999</v>
      </c>
      <c r="AE4882">
        <v>-0.54220999999999997</v>
      </c>
      <c r="AF4882">
        <v>-1.7112638850204001</v>
      </c>
      <c r="AG4882">
        <v>-1.1110305161059999</v>
      </c>
      <c r="AH4882">
        <v>16.748407916744501</v>
      </c>
      <c r="AI4882">
        <v>93.775640377712705</v>
      </c>
      <c r="AJ4882">
        <v>95.833934966192402</v>
      </c>
      <c r="AK4882">
        <v>16.8722251240779</v>
      </c>
      <c r="AL4882">
        <v>93.150357537412901</v>
      </c>
      <c r="AM4882">
        <v>101.28259064386</v>
      </c>
      <c r="AN4882">
        <v>0.99999998747937402</v>
      </c>
    </row>
    <row r="4883" spans="1:40" x14ac:dyDescent="0.25">
      <c r="A4883" t="str">
        <f>"20190305135927623"</f>
        <v>20190305135927623</v>
      </c>
      <c r="B4883" t="str">
        <f>"1551765567614212"</f>
        <v>1551765567614212</v>
      </c>
      <c r="C4883" t="s">
        <v>40</v>
      </c>
      <c r="D4883">
        <v>4.0656549999999996</v>
      </c>
      <c r="E4883">
        <v>0.52130350000000003</v>
      </c>
      <c r="F4883" t="s">
        <v>87</v>
      </c>
      <c r="G4883">
        <v>-368.08179999999999</v>
      </c>
      <c r="H4883" s="1">
        <v>-1.5228470000000001E-6</v>
      </c>
      <c r="I4883">
        <v>16.66311</v>
      </c>
      <c r="J4883">
        <v>-384.72989999999999</v>
      </c>
      <c r="K4883">
        <v>1.111056</v>
      </c>
      <c r="L4883">
        <v>17.143070000000002</v>
      </c>
      <c r="M4883">
        <v>0.99158950000000001</v>
      </c>
      <c r="N4883">
        <v>-3.4963749999999999E-3</v>
      </c>
      <c r="O4883">
        <v>-0.12937599999999999</v>
      </c>
      <c r="P4883">
        <v>0.99611510000000003</v>
      </c>
      <c r="Q4883">
        <v>-5.7139240000000001E-2</v>
      </c>
      <c r="R4883">
        <v>6.700536E-2</v>
      </c>
      <c r="S4883">
        <v>3.005493</v>
      </c>
      <c r="T4883">
        <v>-0.19716110000000001</v>
      </c>
      <c r="U4883">
        <v>-9.1308589999999995E-2</v>
      </c>
      <c r="V4883">
        <v>-0.19492970000000001</v>
      </c>
      <c r="W4883">
        <v>-5.510433E-2</v>
      </c>
      <c r="X4883">
        <v>0.97926809999999997</v>
      </c>
      <c r="Y4883">
        <v>-9.8735149999999994E-2</v>
      </c>
      <c r="Z4883">
        <v>1.140817E-2</v>
      </c>
      <c r="AA4883">
        <v>0.9950483</v>
      </c>
      <c r="AB4883">
        <v>28</v>
      </c>
      <c r="AC4883">
        <v>16.648099999999999</v>
      </c>
      <c r="AD4883">
        <v>-1.1110575228470001</v>
      </c>
      <c r="AE4883">
        <v>-0.479960000000001</v>
      </c>
      <c r="AF4883">
        <v>-1.6705172586839601</v>
      </c>
      <c r="AG4883">
        <v>-1.1110575228470001</v>
      </c>
      <c r="AH4883">
        <v>16.496861918956501</v>
      </c>
      <c r="AI4883">
        <v>93.833485234449299</v>
      </c>
      <c r="AJ4883">
        <v>95.782216863681995</v>
      </c>
      <c r="AK4883">
        <v>16.618409367438101</v>
      </c>
      <c r="AL4883">
        <v>93.158845414510495</v>
      </c>
      <c r="AM4883">
        <v>101.25794475779099</v>
      </c>
      <c r="AN4883">
        <v>1.00000004340222</v>
      </c>
    </row>
    <row r="4884" spans="1:40" x14ac:dyDescent="0.25">
      <c r="A4884" t="str">
        <f>"20190305135927646"</f>
        <v>20190305135927646</v>
      </c>
      <c r="B4884" t="str">
        <f>"1551765567633733"</f>
        <v>1551765567633733</v>
      </c>
      <c r="C4884" t="s">
        <v>40</v>
      </c>
      <c r="D4884">
        <v>4.1404769999999997</v>
      </c>
      <c r="E4884">
        <v>0.51766809999999996</v>
      </c>
      <c r="F4884" t="s">
        <v>42</v>
      </c>
      <c r="G4884">
        <v>-359.09269999999998</v>
      </c>
      <c r="H4884" s="1">
        <v>-8.7703730000000002E-7</v>
      </c>
      <c r="I4884">
        <v>17.428100000000001</v>
      </c>
      <c r="J4884">
        <v>-384.4545</v>
      </c>
      <c r="K4884">
        <v>1.1110799999999901</v>
      </c>
      <c r="L4884">
        <v>17.111079999999902</v>
      </c>
      <c r="M4884">
        <v>0.99209449999999999</v>
      </c>
      <c r="N4884">
        <v>-3.4274169999999999E-3</v>
      </c>
      <c r="O4884">
        <v>-0.12544649999999999</v>
      </c>
      <c r="P4884">
        <v>0.99589939999999999</v>
      </c>
      <c r="Q4884">
        <v>-5.6429180000000002E-2</v>
      </c>
      <c r="R4884">
        <v>7.07126E-2</v>
      </c>
      <c r="S4884">
        <v>3.0019840000000002</v>
      </c>
      <c r="T4884">
        <v>-0.1300991</v>
      </c>
      <c r="U4884">
        <v>3.3386230000000003E-2</v>
      </c>
      <c r="V4884">
        <v>-0.19470019999999999</v>
      </c>
      <c r="W4884">
        <v>-5.4474979999999999E-2</v>
      </c>
      <c r="X4884">
        <v>0.97934889999999997</v>
      </c>
      <c r="Y4884">
        <v>-0.13623489999999999</v>
      </c>
      <c r="Z4884">
        <v>8.1776450000000007E-3</v>
      </c>
      <c r="AA4884">
        <v>0.99064280000000005</v>
      </c>
      <c r="AB4884">
        <v>28</v>
      </c>
      <c r="AC4884">
        <v>25.361799999999999</v>
      </c>
      <c r="AD4884">
        <v>-1.11108087703729</v>
      </c>
      <c r="AE4884">
        <v>0.31702000000000202</v>
      </c>
      <c r="AF4884">
        <v>-3.4893873020641699</v>
      </c>
      <c r="AG4884">
        <v>-1.11108087703729</v>
      </c>
      <c r="AH4884">
        <v>25.073565052387099</v>
      </c>
      <c r="AI4884">
        <v>92.513091290939201</v>
      </c>
      <c r="AJ4884">
        <v>97.922737919519605</v>
      </c>
      <c r="AK4884">
        <v>25.339573573669501</v>
      </c>
      <c r="AL4884">
        <v>93.122732270810403</v>
      </c>
      <c r="AM4884">
        <v>101.244124071608</v>
      </c>
      <c r="AN4884">
        <v>0.99999997962862497</v>
      </c>
    </row>
    <row r="4885" spans="1:40" x14ac:dyDescent="0.25">
      <c r="A4885" t="str">
        <f>"20190305135927667"</f>
        <v>20190305135927667</v>
      </c>
      <c r="B4885" t="str">
        <f>"1551765567663988"</f>
        <v>1551765567663988</v>
      </c>
      <c r="C4885" t="s">
        <v>40</v>
      </c>
      <c r="D4885">
        <v>4.0583299999999998</v>
      </c>
      <c r="E4885">
        <v>0.51586860000000001</v>
      </c>
      <c r="F4885" t="s">
        <v>42</v>
      </c>
      <c r="G4885">
        <v>-339.63139999999999</v>
      </c>
      <c r="H4885" s="1">
        <v>-4.7543299999999999E-7</v>
      </c>
      <c r="I4885">
        <v>18.248519999999999</v>
      </c>
      <c r="J4885">
        <v>-384.1823</v>
      </c>
      <c r="K4885">
        <v>1.1111</v>
      </c>
      <c r="L4885">
        <v>17.0806</v>
      </c>
      <c r="M4885">
        <v>0.9925773</v>
      </c>
      <c r="N4885">
        <v>-3.3675599999999999E-3</v>
      </c>
      <c r="O4885">
        <v>-0.1215691</v>
      </c>
      <c r="P4885">
        <v>0.99569890000000005</v>
      </c>
      <c r="Q4885">
        <v>-5.5786969999999998E-2</v>
      </c>
      <c r="R4885">
        <v>7.3969740000000006E-2</v>
      </c>
      <c r="S4885">
        <v>3.0027159999999999</v>
      </c>
      <c r="T4885">
        <v>-7.4431659999999997E-2</v>
      </c>
      <c r="U4885">
        <v>7.6202389999999995E-2</v>
      </c>
      <c r="V4885">
        <v>-0.19408139999999999</v>
      </c>
      <c r="W4885">
        <v>-5.3901190000000002E-2</v>
      </c>
      <c r="X4885">
        <v>0.97950349999999997</v>
      </c>
      <c r="Y4885">
        <v>-0.14663319999999999</v>
      </c>
      <c r="Z4885">
        <v>4.6619900000000004E-3</v>
      </c>
      <c r="AA4885">
        <v>0.98917999999999995</v>
      </c>
      <c r="AB4885">
        <v>28</v>
      </c>
      <c r="AC4885">
        <v>44.550899999999999</v>
      </c>
      <c r="AD4885">
        <v>-1.1111004754330001</v>
      </c>
      <c r="AE4885">
        <v>1.1679200000000001</v>
      </c>
      <c r="AF4885">
        <v>-6.5712161874474999</v>
      </c>
      <c r="AG4885">
        <v>-1.1111004754330001</v>
      </c>
      <c r="AH4885">
        <v>44.051095984207699</v>
      </c>
      <c r="AI4885">
        <v>91.429058787856604</v>
      </c>
      <c r="AJ4885">
        <v>98.484396215155201</v>
      </c>
      <c r="AK4885">
        <v>44.552379104359296</v>
      </c>
      <c r="AL4885">
        <v>93.089808033928506</v>
      </c>
      <c r="AM4885">
        <v>101.207569637893</v>
      </c>
      <c r="AN4885">
        <v>1.0000000173108099</v>
      </c>
    </row>
    <row r="4886" spans="1:40" x14ac:dyDescent="0.25">
      <c r="A4886" t="str">
        <f>"20190305135927690"</f>
        <v>20190305135927690</v>
      </c>
      <c r="B4886" t="str">
        <f>"1551765567684485"</f>
        <v>1551765567684485</v>
      </c>
      <c r="C4886" t="s">
        <v>40</v>
      </c>
      <c r="D4886">
        <v>4.0870540000000002</v>
      </c>
      <c r="E4886">
        <v>0.51592199999999999</v>
      </c>
      <c r="F4886" t="s">
        <v>42</v>
      </c>
      <c r="G4886">
        <v>-319.97710000000001</v>
      </c>
      <c r="H4886" s="1">
        <v>-4.7838790000000001E-6</v>
      </c>
      <c r="I4886">
        <v>19.247160000000001</v>
      </c>
      <c r="J4886">
        <v>-383.89620000000002</v>
      </c>
      <c r="K4886">
        <v>1.1111180000000001</v>
      </c>
      <c r="L4886">
        <v>17.049620000000001</v>
      </c>
      <c r="M4886">
        <v>0.99306760000000005</v>
      </c>
      <c r="N4886">
        <v>-3.3125070000000001E-3</v>
      </c>
      <c r="O4886">
        <v>-0.117497699999999</v>
      </c>
      <c r="P4886">
        <v>0.99554600000000004</v>
      </c>
      <c r="Q4886">
        <v>-5.4997919999999999E-2</v>
      </c>
      <c r="R4886">
        <v>7.6572139999999997E-2</v>
      </c>
      <c r="S4886">
        <v>3.0025330000000001</v>
      </c>
      <c r="T4886">
        <v>-5.1960350000000002E-2</v>
      </c>
      <c r="U4886">
        <v>0.1013184</v>
      </c>
      <c r="V4886">
        <v>-0.19263140000000001</v>
      </c>
      <c r="W4886">
        <v>-5.3169809999999998E-2</v>
      </c>
      <c r="X4886">
        <v>0.97982959999999997</v>
      </c>
      <c r="Y4886">
        <v>-0.15088470000000001</v>
      </c>
      <c r="Z4886">
        <v>3.195636E-3</v>
      </c>
      <c r="AA4886">
        <v>0.98854620000000004</v>
      </c>
      <c r="AB4886">
        <v>28</v>
      </c>
      <c r="AC4886">
        <v>63.9191</v>
      </c>
      <c r="AD4886">
        <v>-1.1111227838789901</v>
      </c>
      <c r="AE4886">
        <v>2.19754</v>
      </c>
      <c r="AF4886">
        <v>-9.6897818946299505</v>
      </c>
      <c r="AG4886">
        <v>-1.1111227838789901</v>
      </c>
      <c r="AH4886">
        <v>63.199055241708798</v>
      </c>
      <c r="AI4886">
        <v>90.995599950700793</v>
      </c>
      <c r="AJ4886">
        <v>98.716801576405004</v>
      </c>
      <c r="AK4886">
        <v>63.947220818819901</v>
      </c>
      <c r="AL4886">
        <v>93.047843025800105</v>
      </c>
      <c r="AM4886">
        <v>101.12232297164</v>
      </c>
      <c r="AN4886">
        <v>0.99999996499877697</v>
      </c>
    </row>
    <row r="4887" spans="1:40" x14ac:dyDescent="0.25">
      <c r="A4887" t="str">
        <f>"20190305135927723"</f>
        <v>20190305135927723</v>
      </c>
      <c r="B4887" t="str">
        <f>"1551765567713765"</f>
        <v>1551765567713765</v>
      </c>
      <c r="C4887" t="s">
        <v>40</v>
      </c>
      <c r="D4887">
        <v>4.1104229999999999</v>
      </c>
      <c r="E4887">
        <v>0.51575029999999999</v>
      </c>
      <c r="F4887" t="s">
        <v>43</v>
      </c>
      <c r="G4887">
        <v>-305.61130000000003</v>
      </c>
      <c r="H4887">
        <v>-0.05</v>
      </c>
      <c r="I4887">
        <v>19.88937</v>
      </c>
      <c r="J4887">
        <v>-383.4753</v>
      </c>
      <c r="K4887">
        <v>1.111146</v>
      </c>
      <c r="L4887">
        <v>17.006160000000001</v>
      </c>
      <c r="M4887">
        <v>0.99375749999999996</v>
      </c>
      <c r="N4887">
        <v>-3.2440839999999999E-3</v>
      </c>
      <c r="O4887">
        <v>-0.1115158</v>
      </c>
      <c r="P4887">
        <v>0.99523139999999999</v>
      </c>
      <c r="Q4887">
        <v>-5.49877E-2</v>
      </c>
      <c r="R4887">
        <v>8.0568790000000001E-2</v>
      </c>
      <c r="S4887">
        <v>3.0025940000000002</v>
      </c>
      <c r="T4887">
        <v>-4.4534329999999997E-2</v>
      </c>
      <c r="U4887">
        <v>0.10891720000000001</v>
      </c>
      <c r="V4887">
        <v>-0.19065869999999999</v>
      </c>
      <c r="W4887">
        <v>-5.3233170000000003E-2</v>
      </c>
      <c r="X4887">
        <v>0.98021199999999997</v>
      </c>
      <c r="Y4887">
        <v>-0.147440299999999</v>
      </c>
      <c r="Z4887">
        <v>2.6218410000000002E-3</v>
      </c>
      <c r="AA4887">
        <v>0.98906749999999999</v>
      </c>
      <c r="AB4887">
        <v>29</v>
      </c>
      <c r="AC4887">
        <v>77.863999999999905</v>
      </c>
      <c r="AD4887">
        <v>-1.161146</v>
      </c>
      <c r="AE4887">
        <v>2.8832099999999898</v>
      </c>
      <c r="AF4887">
        <v>-11.545772981694901</v>
      </c>
      <c r="AG4887">
        <v>-1.161146</v>
      </c>
      <c r="AH4887">
        <v>77.039696910635897</v>
      </c>
      <c r="AI4887">
        <v>90.8539638670279</v>
      </c>
      <c r="AJ4887">
        <v>98.523359890164699</v>
      </c>
      <c r="AK4887">
        <v>77.908716032680104</v>
      </c>
      <c r="AL4887">
        <v>93.051478213213997</v>
      </c>
      <c r="AM4887">
        <v>101.007028452219</v>
      </c>
      <c r="AN4887">
        <v>1.0000000376089599</v>
      </c>
    </row>
    <row r="4888" spans="1:40" x14ac:dyDescent="0.25">
      <c r="A4888" t="str">
        <f>"20190305135927744"</f>
        <v>20190305135927744</v>
      </c>
      <c r="B4888" t="str">
        <f>"1551765567734260"</f>
        <v>1551765567734260</v>
      </c>
      <c r="C4888" t="s">
        <v>40</v>
      </c>
      <c r="D4888">
        <v>4.3854649999999999</v>
      </c>
      <c r="E4888">
        <v>0.51588670000000003</v>
      </c>
      <c r="F4888" t="s">
        <v>43</v>
      </c>
      <c r="G4888">
        <v>-308.39909999999998</v>
      </c>
      <c r="H4888">
        <v>-0.05</v>
      </c>
      <c r="I4888">
        <v>20.061419999999998</v>
      </c>
      <c r="J4888">
        <v>-383.19409999999999</v>
      </c>
      <c r="K4888">
        <v>1.1111679999999999</v>
      </c>
      <c r="L4888">
        <v>16.978579999999901</v>
      </c>
      <c r="M4888">
        <v>0.994197</v>
      </c>
      <c r="N4888">
        <v>-3.2059979999999998E-3</v>
      </c>
      <c r="O4888">
        <v>-0.1075266</v>
      </c>
      <c r="P4888">
        <v>0.99499340000000003</v>
      </c>
      <c r="Q4888">
        <v>-5.589214E-2</v>
      </c>
      <c r="R4888">
        <v>8.2851190000000005E-2</v>
      </c>
      <c r="S4888">
        <v>3.001862</v>
      </c>
      <c r="T4888">
        <v>-4.6427490000000002E-2</v>
      </c>
      <c r="U4888">
        <v>0.1221619</v>
      </c>
      <c r="V4888">
        <v>-0.1889564</v>
      </c>
      <c r="W4888">
        <v>-5.4176019999999998E-2</v>
      </c>
      <c r="X4888">
        <v>0.98048990000000003</v>
      </c>
      <c r="Y4888">
        <v>-0.14783479999999999</v>
      </c>
      <c r="Z4888">
        <v>2.695631E-3</v>
      </c>
      <c r="AA4888">
        <v>0.98900840000000001</v>
      </c>
      <c r="AB4888">
        <v>29</v>
      </c>
      <c r="AC4888">
        <v>74.795000000000002</v>
      </c>
      <c r="AD4888">
        <v>-1.161168</v>
      </c>
      <c r="AE4888">
        <v>3.08284</v>
      </c>
      <c r="AF4888">
        <v>-11.1047879512517</v>
      </c>
      <c r="AG4888">
        <v>-1.161168</v>
      </c>
      <c r="AH4888">
        <v>74.012052820476697</v>
      </c>
      <c r="AI4888">
        <v>90.888886218203993</v>
      </c>
      <c r="AJ4888">
        <v>98.533021794758795</v>
      </c>
      <c r="AK4888">
        <v>74.849506272703707</v>
      </c>
      <c r="AL4888">
        <v>93.1055777187497</v>
      </c>
      <c r="AM4888">
        <v>100.90810271184</v>
      </c>
      <c r="AN4888">
        <v>1.0000000031230001</v>
      </c>
    </row>
    <row r="4889" spans="1:40" x14ac:dyDescent="0.25">
      <c r="A4889" t="str">
        <f>"20190305135927766"</f>
        <v>20190305135927766</v>
      </c>
      <c r="B4889" t="str">
        <f>"1551765567763540"</f>
        <v>1551765567763540</v>
      </c>
      <c r="C4889" t="s">
        <v>40</v>
      </c>
      <c r="D4889">
        <v>4.0934290000000004</v>
      </c>
      <c r="E4889">
        <v>0.51646590000000003</v>
      </c>
      <c r="F4889" t="s">
        <v>43</v>
      </c>
      <c r="G4889">
        <v>-310.2593</v>
      </c>
      <c r="H4889">
        <v>-0.05</v>
      </c>
      <c r="I4889">
        <v>20.092099999999999</v>
      </c>
      <c r="J4889">
        <v>-382.91379999999998</v>
      </c>
      <c r="K4889">
        <v>1.111191</v>
      </c>
      <c r="L4889">
        <v>16.95215</v>
      </c>
      <c r="M4889">
        <v>0.99461900000000003</v>
      </c>
      <c r="N4889">
        <v>-3.173019E-3</v>
      </c>
      <c r="O4889">
        <v>-0.1035537</v>
      </c>
      <c r="P4889">
        <v>0.99479919999999999</v>
      </c>
      <c r="Q4889">
        <v>-5.5753619999999997E-2</v>
      </c>
      <c r="R4889">
        <v>8.5243340000000001E-2</v>
      </c>
      <c r="S4889">
        <v>3.00177</v>
      </c>
      <c r="T4889">
        <v>-4.7790050000000001E-2</v>
      </c>
      <c r="U4889">
        <v>0.12814329999999999</v>
      </c>
      <c r="V4889">
        <v>-0.18739430000000001</v>
      </c>
      <c r="W4889">
        <v>-5.407153E-2</v>
      </c>
      <c r="X4889">
        <v>0.98079539999999998</v>
      </c>
      <c r="Y4889">
        <v>-0.1458506</v>
      </c>
      <c r="Z4889">
        <v>2.7097319999999999E-3</v>
      </c>
      <c r="AA4889">
        <v>0.98930289999999999</v>
      </c>
      <c r="AB4889">
        <v>29</v>
      </c>
      <c r="AC4889">
        <v>72.654499999999899</v>
      </c>
      <c r="AD4889">
        <v>-1.1611910000000001</v>
      </c>
      <c r="AE4889">
        <v>3.13994999999999</v>
      </c>
      <c r="AF4889">
        <v>-10.6440339332243</v>
      </c>
      <c r="AG4889">
        <v>-1.1611910000000001</v>
      </c>
      <c r="AH4889">
        <v>71.920403918429798</v>
      </c>
      <c r="AI4889">
        <v>90.915023746045804</v>
      </c>
      <c r="AJ4889">
        <v>98.418517995463603</v>
      </c>
      <c r="AK4889">
        <v>72.713054692401698</v>
      </c>
      <c r="AL4889">
        <v>93.099582149741707</v>
      </c>
      <c r="AM4889">
        <v>100.81677211384201</v>
      </c>
      <c r="AN4889">
        <v>0.99999998534509504</v>
      </c>
    </row>
    <row r="4890" spans="1:40" x14ac:dyDescent="0.25">
      <c r="A4890" t="str">
        <f>"20190305135927788"</f>
        <v>20190305135927788</v>
      </c>
      <c r="B4890" t="str">
        <f>"1551765567784036"</f>
        <v>1551765567784036</v>
      </c>
      <c r="C4890" t="s">
        <v>40</v>
      </c>
      <c r="D4890">
        <v>4.119211</v>
      </c>
      <c r="E4890">
        <v>0.51662699999999995</v>
      </c>
      <c r="F4890" t="s">
        <v>43</v>
      </c>
      <c r="G4890">
        <v>-308.38220000000001</v>
      </c>
      <c r="H4890">
        <v>-0.05</v>
      </c>
      <c r="I4890">
        <v>20.19971</v>
      </c>
      <c r="J4890">
        <v>-382.62689999999998</v>
      </c>
      <c r="K4890">
        <v>1.1112139999999999</v>
      </c>
      <c r="L4890">
        <v>16.92624</v>
      </c>
      <c r="M4890">
        <v>0.99503339999999996</v>
      </c>
      <c r="N4890">
        <v>-3.1438099999999999E-3</v>
      </c>
      <c r="O4890">
        <v>-9.9492239999999996E-2</v>
      </c>
      <c r="P4890">
        <v>0.99464149999999996</v>
      </c>
      <c r="Q4890">
        <v>-5.5680920000000002E-2</v>
      </c>
      <c r="R4890">
        <v>8.7109909999999999E-2</v>
      </c>
      <c r="S4890">
        <v>3.0018310000000001</v>
      </c>
      <c r="T4890">
        <v>-4.6768070000000002E-2</v>
      </c>
      <c r="U4890">
        <v>0.13079830000000001</v>
      </c>
      <c r="V4890">
        <v>-0.18522710000000001</v>
      </c>
      <c r="W4890">
        <v>-5.4024269999999999E-2</v>
      </c>
      <c r="X4890">
        <v>0.98120960000000002</v>
      </c>
      <c r="Y4890">
        <v>-0.14268549999999999</v>
      </c>
      <c r="Z4890">
        <v>2.5706430000000001E-3</v>
      </c>
      <c r="AA4890">
        <v>0.9897648</v>
      </c>
      <c r="AB4890">
        <v>29</v>
      </c>
      <c r="AC4890">
        <v>74.244699999999895</v>
      </c>
      <c r="AD4890">
        <v>-1.161214</v>
      </c>
      <c r="AE4890">
        <v>3.2734700000000001</v>
      </c>
      <c r="AF4890">
        <v>-10.641437727095401</v>
      </c>
      <c r="AG4890">
        <v>-1.161214</v>
      </c>
      <c r="AH4890">
        <v>73.532680071081899</v>
      </c>
      <c r="AI4890">
        <v>90.895402671268997</v>
      </c>
      <c r="AJ4890">
        <v>98.234512545491697</v>
      </c>
      <c r="AK4890">
        <v>74.307763075532904</v>
      </c>
      <c r="AL4890">
        <v>93.096870373912495</v>
      </c>
      <c r="AM4890">
        <v>100.69016819959</v>
      </c>
      <c r="AN4890">
        <v>0.99999998972780102</v>
      </c>
    </row>
    <row r="4891" spans="1:40" x14ac:dyDescent="0.25">
      <c r="A4891" t="str">
        <f>"20190305135927812"</f>
        <v>20190305135927812</v>
      </c>
      <c r="B4891" t="str">
        <f>"1551765567803556"</f>
        <v>1551765567803556</v>
      </c>
      <c r="C4891" t="s">
        <v>40</v>
      </c>
      <c r="D4891">
        <v>4.0878459999999999</v>
      </c>
      <c r="E4891">
        <v>0.51666529999999999</v>
      </c>
      <c r="F4891" t="s">
        <v>43</v>
      </c>
      <c r="G4891">
        <v>-309.66329999999999</v>
      </c>
      <c r="H4891">
        <v>-0.05</v>
      </c>
      <c r="I4891">
        <v>20.20956</v>
      </c>
      <c r="J4891">
        <v>-382.31939999999997</v>
      </c>
      <c r="K4891">
        <v>1.111237</v>
      </c>
      <c r="L4891">
        <v>16.89978</v>
      </c>
      <c r="M4891">
        <v>0.99545870000000003</v>
      </c>
      <c r="N4891">
        <v>-3.1167759999999999E-3</v>
      </c>
      <c r="O4891">
        <v>-9.5143710000000006E-2</v>
      </c>
      <c r="P4891">
        <v>0.9946102</v>
      </c>
      <c r="Q4891">
        <v>-5.4596869999999999E-2</v>
      </c>
      <c r="R4891">
        <v>8.8147489999999995E-2</v>
      </c>
      <c r="S4891">
        <v>3.001617</v>
      </c>
      <c r="T4891">
        <v>-4.777062E-2</v>
      </c>
      <c r="U4891">
        <v>0.13507079999999999</v>
      </c>
      <c r="V4891">
        <v>-0.18197260000000001</v>
      </c>
      <c r="W4891">
        <v>-5.2954899999999999E-2</v>
      </c>
      <c r="X4891">
        <v>0.98187670000000005</v>
      </c>
      <c r="Y4891">
        <v>-0.139769</v>
      </c>
      <c r="Z4891">
        <v>2.5453989999999998E-3</v>
      </c>
      <c r="AA4891">
        <v>0.99018090000000003</v>
      </c>
      <c r="AB4891">
        <v>29</v>
      </c>
      <c r="AC4891">
        <v>72.656099999999896</v>
      </c>
      <c r="AD4891">
        <v>-1.1612370000000001</v>
      </c>
      <c r="AE4891">
        <v>3.3097799999999999</v>
      </c>
      <c r="AF4891">
        <v>-10.204968050529899</v>
      </c>
      <c r="AG4891">
        <v>-1.1612370000000001</v>
      </c>
      <c r="AH4891">
        <v>71.993237363633696</v>
      </c>
      <c r="AI4891">
        <v>90.914945111766798</v>
      </c>
      <c r="AJ4891">
        <v>98.067869598155994</v>
      </c>
      <c r="AK4891">
        <v>72.722184169474801</v>
      </c>
      <c r="AL4891">
        <v>93.035511955542304</v>
      </c>
      <c r="AM4891">
        <v>100.499577458069</v>
      </c>
      <c r="AN4891">
        <v>1.0000000512938201</v>
      </c>
    </row>
    <row r="4892" spans="1:40" x14ac:dyDescent="0.25">
      <c r="A4892" t="str">
        <f>"20190305135927835"</f>
        <v>20190305135927835</v>
      </c>
      <c r="B4892" t="str">
        <f>"1551765567824052"</f>
        <v>1551765567824052</v>
      </c>
      <c r="C4892" t="s">
        <v>40</v>
      </c>
      <c r="D4892">
        <v>4.1081349999999999</v>
      </c>
      <c r="E4892">
        <v>0.51674779999999998</v>
      </c>
      <c r="F4892" t="s">
        <v>43</v>
      </c>
      <c r="G4892">
        <v>-306.74200000000002</v>
      </c>
      <c r="H4892">
        <v>-0.05</v>
      </c>
      <c r="I4892">
        <v>20.37079</v>
      </c>
      <c r="J4892">
        <v>-382.0129</v>
      </c>
      <c r="K4892">
        <v>1.1112580000000001</v>
      </c>
      <c r="L4892">
        <v>16.874690000000001</v>
      </c>
      <c r="M4892">
        <v>0.99586300000000005</v>
      </c>
      <c r="N4892">
        <v>-3.0937830000000001E-3</v>
      </c>
      <c r="O4892">
        <v>-9.081533E-2</v>
      </c>
      <c r="P4892">
        <v>0.99446670000000004</v>
      </c>
      <c r="Q4892">
        <v>-5.4617369999999998E-2</v>
      </c>
      <c r="R4892">
        <v>8.9738029999999996E-2</v>
      </c>
      <c r="S4892">
        <v>3.0014949999999998</v>
      </c>
      <c r="T4892">
        <v>-4.6117539999999999E-2</v>
      </c>
      <c r="U4892">
        <v>0.1378479</v>
      </c>
      <c r="V4892">
        <v>-0.1792686</v>
      </c>
      <c r="W4892">
        <v>-5.2990460000000003E-2</v>
      </c>
      <c r="X4892">
        <v>0.98237200000000002</v>
      </c>
      <c r="Y4892">
        <v>-0.13638249999999999</v>
      </c>
      <c r="Z4892">
        <v>2.371115E-3</v>
      </c>
      <c r="AA4892">
        <v>0.99065340000000002</v>
      </c>
      <c r="AB4892">
        <v>30</v>
      </c>
      <c r="AC4892">
        <v>75.270899999999898</v>
      </c>
      <c r="AD4892">
        <v>-1.1612579999999999</v>
      </c>
      <c r="AE4892">
        <v>3.49609999999999</v>
      </c>
      <c r="AF4892">
        <v>-10.314987233928701</v>
      </c>
      <c r="AG4892">
        <v>-1.1612579999999999</v>
      </c>
      <c r="AH4892">
        <v>74.624634408641299</v>
      </c>
      <c r="AI4892">
        <v>90.883130799045404</v>
      </c>
      <c r="AJ4892">
        <v>97.869839019973696</v>
      </c>
      <c r="AK4892">
        <v>75.343105473573701</v>
      </c>
      <c r="AL4892">
        <v>93.037552465385005</v>
      </c>
      <c r="AM4892">
        <v>100.341850553981</v>
      </c>
      <c r="AN4892">
        <v>0.99999998309048499</v>
      </c>
    </row>
    <row r="4893" spans="1:40" x14ac:dyDescent="0.25">
      <c r="A4893" t="str">
        <f>"20190305135927856"</f>
        <v>20190305135927856</v>
      </c>
      <c r="B4893" t="str">
        <f>"1551765567843572"</f>
        <v>1551765567843572</v>
      </c>
      <c r="C4893" t="s">
        <v>40</v>
      </c>
      <c r="D4893">
        <v>4.0911660000000003</v>
      </c>
      <c r="E4893">
        <v>0.51682659999999903</v>
      </c>
      <c r="F4893" t="s">
        <v>43</v>
      </c>
      <c r="G4893">
        <v>-307.839</v>
      </c>
      <c r="H4893">
        <v>-0.05</v>
      </c>
      <c r="I4893">
        <v>20.384810000000002</v>
      </c>
      <c r="J4893">
        <v>-381.73410000000001</v>
      </c>
      <c r="K4893">
        <v>1.111281</v>
      </c>
      <c r="L4893">
        <v>16.852999999999899</v>
      </c>
      <c r="M4893">
        <v>0.99621389999999999</v>
      </c>
      <c r="N4893">
        <v>-3.0759160000000002E-3</v>
      </c>
      <c r="O4893">
        <v>-8.6882100000000004E-2</v>
      </c>
      <c r="P4893">
        <v>0.9943476</v>
      </c>
      <c r="Q4893">
        <v>-5.5573459999999998E-2</v>
      </c>
      <c r="R4893">
        <v>9.0468939999999998E-2</v>
      </c>
      <c r="S4893">
        <v>3.0012819999999998</v>
      </c>
      <c r="T4893">
        <v>-4.6987649999999999E-2</v>
      </c>
      <c r="U4893">
        <v>0.14202879999999901</v>
      </c>
      <c r="V4893">
        <v>-0.17609530000000001</v>
      </c>
      <c r="W4893">
        <v>-5.3951029999999997E-2</v>
      </c>
      <c r="X4893">
        <v>0.98289349999999998</v>
      </c>
      <c r="Y4893">
        <v>-0.13385</v>
      </c>
      <c r="Z4893">
        <v>2.3446909999999999E-3</v>
      </c>
      <c r="AA4893">
        <v>0.99099879999999996</v>
      </c>
      <c r="AB4893">
        <v>30</v>
      </c>
      <c r="AC4893">
        <v>73.895099999999999</v>
      </c>
      <c r="AD4893">
        <v>-1.161281</v>
      </c>
      <c r="AE4893">
        <v>3.5318100000000001</v>
      </c>
      <c r="AF4893">
        <v>-9.9361978802458299</v>
      </c>
      <c r="AG4893">
        <v>-1.161281</v>
      </c>
      <c r="AH4893">
        <v>73.290758674022399</v>
      </c>
      <c r="AI4893">
        <v>90.899539319391096</v>
      </c>
      <c r="AJ4893">
        <v>97.720649678602996</v>
      </c>
      <c r="AK4893">
        <v>73.970344793641203</v>
      </c>
      <c r="AL4893">
        <v>93.092668024065105</v>
      </c>
      <c r="AM4893">
        <v>100.157354551491</v>
      </c>
      <c r="AN4893">
        <v>0.99999995033119904</v>
      </c>
    </row>
    <row r="4894" spans="1:40" x14ac:dyDescent="0.25">
      <c r="A4894" t="str">
        <f>"20190305135927880"</f>
        <v>20190305135927880</v>
      </c>
      <c r="B4894" t="str">
        <f>"1551765567873828"</f>
        <v>1551765567873828</v>
      </c>
      <c r="C4894" t="s">
        <v>40</v>
      </c>
      <c r="D4894">
        <v>4.0996899999999998</v>
      </c>
      <c r="E4894">
        <v>0.51700100000000004</v>
      </c>
      <c r="F4894" t="s">
        <v>43</v>
      </c>
      <c r="G4894">
        <v>-312.7679</v>
      </c>
      <c r="H4894">
        <v>-0.05</v>
      </c>
      <c r="I4894">
        <v>20.153269999999999</v>
      </c>
      <c r="J4894">
        <v>-381.42169999999999</v>
      </c>
      <c r="K4894">
        <v>1.1113090000000001</v>
      </c>
      <c r="L4894">
        <v>16.829989999999999</v>
      </c>
      <c r="M4894">
        <v>0.99658659999999999</v>
      </c>
      <c r="N4894">
        <v>-3.052782E-3</v>
      </c>
      <c r="O4894">
        <v>-8.2497570000000006E-2</v>
      </c>
      <c r="P4894">
        <v>0.99421329999999997</v>
      </c>
      <c r="Q4894">
        <v>-5.6104870000000001E-2</v>
      </c>
      <c r="R4894">
        <v>9.1608899999999993E-2</v>
      </c>
      <c r="S4894">
        <v>3.00116</v>
      </c>
      <c r="T4894">
        <v>-5.053473E-2</v>
      </c>
      <c r="U4894">
        <v>0.14361570000000001</v>
      </c>
      <c r="V4894">
        <v>-0.17288539999999999</v>
      </c>
      <c r="W4894">
        <v>-5.449267E-2</v>
      </c>
      <c r="X4894">
        <v>0.98343340000000001</v>
      </c>
      <c r="Y4894">
        <v>-0.13000989999999901</v>
      </c>
      <c r="Z4894">
        <v>2.428408E-3</v>
      </c>
      <c r="AA4894">
        <v>0.99150970000000005</v>
      </c>
      <c r="AB4894">
        <v>30</v>
      </c>
      <c r="AC4894">
        <v>68.653799999999904</v>
      </c>
      <c r="AD4894">
        <v>-1.1613089999999999</v>
      </c>
      <c r="AE4894">
        <v>3.32328</v>
      </c>
      <c r="AF4894">
        <v>-8.9731882088861603</v>
      </c>
      <c r="AG4894">
        <v>-1.1613089999999999</v>
      </c>
      <c r="AH4894">
        <v>68.126163954090202</v>
      </c>
      <c r="AI4894">
        <v>90.968233798750902</v>
      </c>
      <c r="AJ4894">
        <v>97.503479182824094</v>
      </c>
      <c r="AK4894">
        <v>68.724384030161701</v>
      </c>
      <c r="AL4894">
        <v>93.123747175811801</v>
      </c>
      <c r="AM4894">
        <v>99.970590182746704</v>
      </c>
      <c r="AN4894">
        <v>1.0000000324262199</v>
      </c>
    </row>
    <row r="4895" spans="1:40" x14ac:dyDescent="0.25">
      <c r="A4895" t="str">
        <f>"20190305135927902"</f>
        <v>20190305135927902</v>
      </c>
      <c r="B4895" t="str">
        <f>"1551765567894324"</f>
        <v>1551765567894324</v>
      </c>
      <c r="C4895" t="s">
        <v>40</v>
      </c>
      <c r="D4895">
        <v>4.1192520000000004</v>
      </c>
      <c r="E4895">
        <v>0.51710859999999903</v>
      </c>
      <c r="F4895" t="s">
        <v>43</v>
      </c>
      <c r="G4895">
        <v>-316.29579999999999</v>
      </c>
      <c r="H4895">
        <v>-0.05</v>
      </c>
      <c r="I4895">
        <v>19.990310000000001</v>
      </c>
      <c r="J4895">
        <v>-381.125</v>
      </c>
      <c r="K4895">
        <v>1.111281</v>
      </c>
      <c r="L4895">
        <v>16.809539999999998</v>
      </c>
      <c r="M4895">
        <v>0.99689669999999997</v>
      </c>
      <c r="N4895">
        <v>-2.945352E-3</v>
      </c>
      <c r="O4895">
        <v>-7.8665460000000006E-2</v>
      </c>
      <c r="P4895">
        <v>0.99407449999999997</v>
      </c>
      <c r="Q4895">
        <v>-5.4932349999999998E-2</v>
      </c>
      <c r="R4895">
        <v>9.379999E-2</v>
      </c>
      <c r="S4895">
        <v>3.0010379999999999</v>
      </c>
      <c r="T4895">
        <v>-5.3513770000000002E-2</v>
      </c>
      <c r="U4895">
        <v>0.14562990000000001</v>
      </c>
      <c r="V4895">
        <v>-0.17128380000000001</v>
      </c>
      <c r="W4895">
        <v>-5.3419019999999998E-2</v>
      </c>
      <c r="X4895">
        <v>0.98377250000000005</v>
      </c>
      <c r="Y4895">
        <v>-0.12686049999999999</v>
      </c>
      <c r="Z4895">
        <v>2.4870420000000001E-3</v>
      </c>
      <c r="AA4895">
        <v>0.99191739999999995</v>
      </c>
      <c r="AB4895">
        <v>30</v>
      </c>
      <c r="AC4895">
        <v>64.8292</v>
      </c>
      <c r="AD4895">
        <v>-1.161281</v>
      </c>
      <c r="AE4895">
        <v>3.1807699999999999</v>
      </c>
      <c r="AF4895">
        <v>-8.2681073533829199</v>
      </c>
      <c r="AG4895">
        <v>-1.161281</v>
      </c>
      <c r="AH4895">
        <v>64.357478342433893</v>
      </c>
      <c r="AI4895">
        <v>91.025320928793704</v>
      </c>
      <c r="AJ4895">
        <v>97.320779092533698</v>
      </c>
      <c r="AK4895">
        <v>64.896804169118198</v>
      </c>
      <c r="AL4895">
        <v>93.062141823937395</v>
      </c>
      <c r="AM4895">
        <v>99.876713143758394</v>
      </c>
      <c r="AN4895">
        <v>1.0000000317982201</v>
      </c>
    </row>
    <row r="4896" spans="1:40" x14ac:dyDescent="0.25">
      <c r="A4896" t="str">
        <f>"20190305135927924"</f>
        <v>20190305135927924</v>
      </c>
      <c r="B4896" t="str">
        <f>"1551765567913844"</f>
        <v>1551765567913844</v>
      </c>
      <c r="C4896" t="s">
        <v>40</v>
      </c>
      <c r="D4896">
        <v>4.1156920000000001</v>
      </c>
      <c r="E4896">
        <v>0.51722570000000001</v>
      </c>
      <c r="F4896" t="s">
        <v>43</v>
      </c>
      <c r="G4896">
        <v>-311.71699999999998</v>
      </c>
      <c r="H4896">
        <v>-0.05</v>
      </c>
      <c r="I4896">
        <v>20.304210000000001</v>
      </c>
      <c r="J4896">
        <v>-380.81689999999998</v>
      </c>
      <c r="K4896">
        <v>1.111219</v>
      </c>
      <c r="L4896">
        <v>16.78952</v>
      </c>
      <c r="M4896">
        <v>0.99723740000000005</v>
      </c>
      <c r="N4896">
        <v>-3.138741E-3</v>
      </c>
      <c r="O4896">
        <v>-7.4213630000000003E-2</v>
      </c>
      <c r="P4896">
        <v>0.99382309999999996</v>
      </c>
      <c r="Q4896">
        <v>-5.3529930000000003E-2</v>
      </c>
      <c r="R4896">
        <v>9.7211950000000005E-2</v>
      </c>
      <c r="S4896">
        <v>3.0008539999999999</v>
      </c>
      <c r="T4896">
        <v>-5.0207969999999998E-2</v>
      </c>
      <c r="U4896">
        <v>0.15109249999999999</v>
      </c>
      <c r="V4896">
        <v>-0.17029549999999999</v>
      </c>
      <c r="W4896">
        <v>-5.1788790000000001E-2</v>
      </c>
      <c r="X4896">
        <v>0.98403119999999999</v>
      </c>
      <c r="Y4896">
        <v>-0.12424010000000001</v>
      </c>
      <c r="Z4896">
        <v>2.241439E-3</v>
      </c>
      <c r="AA4896">
        <v>0.99224970000000001</v>
      </c>
      <c r="AB4896">
        <v>30</v>
      </c>
      <c r="AC4896">
        <v>69.099899999999906</v>
      </c>
      <c r="AD4896">
        <v>-1.161219</v>
      </c>
      <c r="AE4896">
        <v>3.5146899999999999</v>
      </c>
      <c r="AF4896">
        <v>-8.6307464033918109</v>
      </c>
      <c r="AG4896">
        <v>-1.161219</v>
      </c>
      <c r="AH4896">
        <v>68.629175444786398</v>
      </c>
      <c r="AI4896">
        <v>90.961788990445399</v>
      </c>
      <c r="AJ4896">
        <v>97.167838959611899</v>
      </c>
      <c r="AK4896">
        <v>69.179490712760398</v>
      </c>
      <c r="AL4896">
        <v>92.968607051814601</v>
      </c>
      <c r="AM4896">
        <v>99.818306105367597</v>
      </c>
      <c r="AN4896">
        <v>1.00000001933167</v>
      </c>
    </row>
    <row r="4897" spans="1:40" x14ac:dyDescent="0.25">
      <c r="A4897" t="str">
        <f>"20190305135927945"</f>
        <v>20190305135927945</v>
      </c>
      <c r="B4897" t="str">
        <f>"1551765567934340"</f>
        <v>1551765567934340</v>
      </c>
      <c r="C4897" t="s">
        <v>40</v>
      </c>
      <c r="D4897">
        <v>4.1075049999999997</v>
      </c>
      <c r="E4897">
        <v>0.51738980000000001</v>
      </c>
      <c r="F4897" t="s">
        <v>43</v>
      </c>
      <c r="G4897">
        <v>-306.1823</v>
      </c>
      <c r="H4897">
        <v>-0.05</v>
      </c>
      <c r="I4897">
        <v>20.773350000000001</v>
      </c>
      <c r="J4897">
        <v>-380.53</v>
      </c>
      <c r="K4897">
        <v>1.1111070000000001</v>
      </c>
      <c r="L4897">
        <v>16.772029999999901</v>
      </c>
      <c r="M4897">
        <v>0.99755479999999996</v>
      </c>
      <c r="N4897">
        <v>-3.249077E-3</v>
      </c>
      <c r="O4897">
        <v>-6.9813630000000002E-2</v>
      </c>
      <c r="P4897">
        <v>0.99368400000000001</v>
      </c>
      <c r="Q4897">
        <v>-5.1756429999999999E-2</v>
      </c>
      <c r="R4897">
        <v>9.9566829999999995E-2</v>
      </c>
      <c r="S4897">
        <v>3.0004270000000002</v>
      </c>
      <c r="T4897">
        <v>-4.6682830000000002E-2</v>
      </c>
      <c r="U4897">
        <v>0.160156299999999</v>
      </c>
      <c r="V4897">
        <v>-0.16831750000000001</v>
      </c>
      <c r="W4897">
        <v>-4.9857779999999997E-2</v>
      </c>
      <c r="X4897">
        <v>0.98447110000000004</v>
      </c>
      <c r="Y4897">
        <v>-0.1228634</v>
      </c>
      <c r="Z4897">
        <v>2.0133400000000002E-3</v>
      </c>
      <c r="AA4897">
        <v>0.99242160000000001</v>
      </c>
      <c r="AB4897">
        <v>30</v>
      </c>
      <c r="AC4897">
        <v>74.347699999999904</v>
      </c>
      <c r="AD4897">
        <v>-1.1611069999999999</v>
      </c>
      <c r="AE4897">
        <v>4.0013199999999998</v>
      </c>
      <c r="AF4897">
        <v>-9.1798344138127401</v>
      </c>
      <c r="AG4897">
        <v>-1.1611069999999999</v>
      </c>
      <c r="AH4897">
        <v>73.868980915664494</v>
      </c>
      <c r="AI4897">
        <v>90.893654545419295</v>
      </c>
      <c r="AJ4897">
        <v>97.083934213760898</v>
      </c>
      <c r="AK4897">
        <v>74.446248198611599</v>
      </c>
      <c r="AL4897">
        <v>92.857825307153803</v>
      </c>
      <c r="AM4897">
        <v>99.702192503904797</v>
      </c>
      <c r="AN4897">
        <v>0.99999996288399295</v>
      </c>
    </row>
    <row r="4898" spans="1:40" x14ac:dyDescent="0.25">
      <c r="A4898" t="str">
        <f>"20190305135927967"</f>
        <v>20190305135927967</v>
      </c>
      <c r="B4898" t="str">
        <f>"1551765567963621"</f>
        <v>1551765567963621</v>
      </c>
      <c r="C4898" t="s">
        <v>40</v>
      </c>
      <c r="D4898">
        <v>4.3928949999999896</v>
      </c>
      <c r="E4898">
        <v>0.51766990000000002</v>
      </c>
      <c r="F4898" t="s">
        <v>43</v>
      </c>
      <c r="G4898">
        <v>-296.51119999999997</v>
      </c>
      <c r="H4898">
        <v>-0.05</v>
      </c>
      <c r="I4898">
        <v>21.413350000000001</v>
      </c>
      <c r="J4898">
        <v>-380.22719999999998</v>
      </c>
      <c r="K4898">
        <v>1.1110580000000001</v>
      </c>
      <c r="L4898">
        <v>16.754729999999999</v>
      </c>
      <c r="M4898">
        <v>0.99786039999999998</v>
      </c>
      <c r="N4898">
        <v>-3.2558830000000002E-3</v>
      </c>
      <c r="O4898">
        <v>-6.5300239999999996E-2</v>
      </c>
      <c r="P4898">
        <v>0.99362600000000001</v>
      </c>
      <c r="Q4898">
        <v>-4.9774039999999999E-2</v>
      </c>
      <c r="R4898">
        <v>0.1011432</v>
      </c>
      <c r="S4898">
        <v>3.000305</v>
      </c>
      <c r="T4898">
        <v>-4.1463020000000003E-2</v>
      </c>
      <c r="U4898">
        <v>0.165741</v>
      </c>
      <c r="V4898">
        <v>-0.16544610000000001</v>
      </c>
      <c r="W4898">
        <v>-4.7848719999999997E-2</v>
      </c>
      <c r="X4898">
        <v>0.98505739999999997</v>
      </c>
      <c r="Y4898">
        <v>-0.120223</v>
      </c>
      <c r="Z4898">
        <v>1.715081E-3</v>
      </c>
      <c r="AA4898">
        <v>0.99274549999999995</v>
      </c>
      <c r="AB4898">
        <v>31</v>
      </c>
      <c r="AC4898">
        <v>83.715999999999994</v>
      </c>
      <c r="AD4898">
        <v>-1.1610579999999999</v>
      </c>
      <c r="AE4898">
        <v>4.65862</v>
      </c>
      <c r="AF4898">
        <v>-10.1134411091162</v>
      </c>
      <c r="AG4898">
        <v>-1.1610579999999999</v>
      </c>
      <c r="AH4898">
        <v>83.217151892933899</v>
      </c>
      <c r="AI4898">
        <v>90.793509594744506</v>
      </c>
      <c r="AJ4898">
        <v>96.929216973767097</v>
      </c>
      <c r="AK4898">
        <v>83.837486340649306</v>
      </c>
      <c r="AL4898">
        <v>92.742576921602804</v>
      </c>
      <c r="AM4898">
        <v>99.5341725745632</v>
      </c>
      <c r="AN4898">
        <v>0.99999999665280404</v>
      </c>
    </row>
    <row r="4899" spans="1:40" x14ac:dyDescent="0.25">
      <c r="A4899" t="str">
        <f>"20190305135927990"</f>
        <v>20190305135927990</v>
      </c>
      <c r="B4899" t="str">
        <f>"1551765567984115"</f>
        <v>1551765567984115</v>
      </c>
      <c r="C4899" t="s">
        <v>40</v>
      </c>
      <c r="D4899">
        <v>4.0414719999999997</v>
      </c>
      <c r="E4899">
        <v>0.49542190000000003</v>
      </c>
      <c r="F4899" t="s">
        <v>43</v>
      </c>
      <c r="G4899">
        <v>-280.88249999999999</v>
      </c>
      <c r="H4899">
        <v>-0.05</v>
      </c>
      <c r="I4899">
        <v>22.318349999999999</v>
      </c>
      <c r="J4899">
        <v>-379.9153</v>
      </c>
      <c r="K4899">
        <v>1.1110799999999901</v>
      </c>
      <c r="L4899">
        <v>16.738340000000001</v>
      </c>
      <c r="M4899">
        <v>0.99813890000000005</v>
      </c>
      <c r="N4899">
        <v>-3.2422480000000001E-3</v>
      </c>
      <c r="O4899">
        <v>-6.0895829999999998E-2</v>
      </c>
      <c r="P4899">
        <v>0.99349270000000001</v>
      </c>
      <c r="Q4899">
        <v>-4.980681E-2</v>
      </c>
      <c r="R4899">
        <v>0.10242850000000001</v>
      </c>
      <c r="S4899">
        <v>3.0003660000000001</v>
      </c>
      <c r="T4899">
        <v>-3.5065770000000003E-2</v>
      </c>
      <c r="U4899">
        <v>0.16802979999999901</v>
      </c>
      <c r="V4899">
        <v>-0.16236300000000001</v>
      </c>
      <c r="W4899">
        <v>-4.7902609999999998E-2</v>
      </c>
      <c r="X4899">
        <v>0.98556759999999999</v>
      </c>
      <c r="Y4899">
        <v>-0.1166003</v>
      </c>
      <c r="Z4899">
        <v>1.38379E-3</v>
      </c>
      <c r="AA4899">
        <v>0.99317800000000001</v>
      </c>
      <c r="AB4899">
        <v>31</v>
      </c>
      <c r="AC4899">
        <v>99.032799999999995</v>
      </c>
      <c r="AD4899">
        <v>-1.1610799999999999</v>
      </c>
      <c r="AE4899">
        <v>5.5800099999999899</v>
      </c>
      <c r="AF4899">
        <v>-11.5987808315591</v>
      </c>
      <c r="AG4899">
        <v>-1.1610799999999999</v>
      </c>
      <c r="AH4899">
        <v>98.495708592747604</v>
      </c>
      <c r="AI4899">
        <v>90.670744441164004</v>
      </c>
      <c r="AJ4899">
        <v>96.716177084842897</v>
      </c>
      <c r="AK4899">
        <v>99.183085426560496</v>
      </c>
      <c r="AL4899">
        <v>92.745668266819493</v>
      </c>
      <c r="AM4899">
        <v>99.354916003329507</v>
      </c>
      <c r="AN4899">
        <v>0.99999994899178402</v>
      </c>
    </row>
    <row r="4900" spans="1:40" x14ac:dyDescent="0.25">
      <c r="A4900" t="str">
        <f>"20190305135928014"</f>
        <v>20190305135928014</v>
      </c>
      <c r="B4900" t="str">
        <f>"1551765568003637"</f>
        <v>1551765568003637</v>
      </c>
      <c r="C4900" t="s">
        <v>40</v>
      </c>
      <c r="D4900">
        <v>4.224666</v>
      </c>
      <c r="E4900">
        <v>0.48840020000000001</v>
      </c>
      <c r="F4900" t="s">
        <v>43</v>
      </c>
      <c r="G4900">
        <v>-275.28449999999998</v>
      </c>
      <c r="H4900">
        <v>-0.05</v>
      </c>
      <c r="I4900">
        <v>28.96752</v>
      </c>
      <c r="J4900">
        <v>-379.58429999999998</v>
      </c>
      <c r="K4900">
        <v>1.111132</v>
      </c>
      <c r="L4900">
        <v>16.722379999999902</v>
      </c>
      <c r="M4900">
        <v>0.99840379999999995</v>
      </c>
      <c r="N4900">
        <v>-3.2299999999999998E-3</v>
      </c>
      <c r="O4900">
        <v>-5.6385009999999999E-2</v>
      </c>
      <c r="P4900">
        <v>0.99325209999999997</v>
      </c>
      <c r="Q4900">
        <v>-5.1542690000000002E-2</v>
      </c>
      <c r="R4900">
        <v>0.1038932</v>
      </c>
      <c r="S4900">
        <v>2.982056</v>
      </c>
      <c r="T4900">
        <v>-3.3091660000000002E-2</v>
      </c>
      <c r="U4900">
        <v>0.3485413</v>
      </c>
      <c r="V4900">
        <v>-0.15933050000000001</v>
      </c>
      <c r="W4900">
        <v>-4.966657E-2</v>
      </c>
      <c r="X4900">
        <v>0.98597509999999999</v>
      </c>
      <c r="Y4900">
        <v>-0.1718934</v>
      </c>
      <c r="Z4900">
        <v>1.6714410000000001E-3</v>
      </c>
      <c r="AA4900">
        <v>0.98511420000000005</v>
      </c>
      <c r="AB4900">
        <v>31</v>
      </c>
      <c r="AC4900">
        <v>104.2998</v>
      </c>
      <c r="AD4900">
        <v>-1.1611320000000001</v>
      </c>
      <c r="AE4900">
        <v>12.245139999999999</v>
      </c>
      <c r="AF4900">
        <v>-18.1044221066795</v>
      </c>
      <c r="AG4900">
        <v>-1.1611320000000001</v>
      </c>
      <c r="AH4900">
        <v>103.43077720477601</v>
      </c>
      <c r="AI4900">
        <v>90.633553833384099</v>
      </c>
      <c r="AJ4900">
        <v>99.928414862336496</v>
      </c>
      <c r="AK4900">
        <v>105.00973288473</v>
      </c>
      <c r="AL4900">
        <v>92.846856264468599</v>
      </c>
      <c r="AM4900">
        <v>99.179465325231504</v>
      </c>
      <c r="AN4900">
        <v>0.99999993711291002</v>
      </c>
    </row>
    <row r="4901" spans="1:40" x14ac:dyDescent="0.25">
      <c r="A4901" t="str">
        <f>"20190305135928037"</f>
        <v>20190305135928037</v>
      </c>
      <c r="B4901" t="str">
        <f>"1551765568033894"</f>
        <v>1551765568033894</v>
      </c>
      <c r="C4901" t="s">
        <v>40</v>
      </c>
      <c r="D4901">
        <v>3.9847199999999998</v>
      </c>
      <c r="E4901">
        <v>0.48467919999999998</v>
      </c>
      <c r="F4901" t="s">
        <v>43</v>
      </c>
      <c r="G4901">
        <v>-309.25650000000002</v>
      </c>
      <c r="H4901">
        <v>-0.05</v>
      </c>
      <c r="I4901">
        <v>26.369440000000001</v>
      </c>
      <c r="J4901">
        <v>-379.26920000000001</v>
      </c>
      <c r="K4901">
        <v>1.1111679999999999</v>
      </c>
      <c r="L4901">
        <v>16.708649999999999</v>
      </c>
      <c r="M4901">
        <v>0.99863570000000002</v>
      </c>
      <c r="N4901">
        <v>-3.21325E-3</v>
      </c>
      <c r="O4901">
        <v>-5.2122250000000002E-2</v>
      </c>
      <c r="P4901">
        <v>0.99311050000000001</v>
      </c>
      <c r="Q4901">
        <v>-5.3035039999999999E-2</v>
      </c>
      <c r="R4901">
        <v>0.10449410000000001</v>
      </c>
      <c r="S4901">
        <v>2.9751590000000001</v>
      </c>
      <c r="T4901">
        <v>-4.9120780000000003E-2</v>
      </c>
      <c r="U4901">
        <v>0.40811160000000002</v>
      </c>
      <c r="V4901">
        <v>-0.15569079999999999</v>
      </c>
      <c r="W4901">
        <v>-5.1174600000000001E-2</v>
      </c>
      <c r="X4901">
        <v>0.98647929999999995</v>
      </c>
      <c r="Y4901">
        <v>-0.18732009999999999</v>
      </c>
      <c r="Z4901">
        <v>2.5317849999999999E-3</v>
      </c>
      <c r="AA4901">
        <v>0.98229569999999999</v>
      </c>
      <c r="AB4901">
        <v>31</v>
      </c>
      <c r="AC4901">
        <v>70.012699999999995</v>
      </c>
      <c r="AD4901">
        <v>-1.161168</v>
      </c>
      <c r="AE4901">
        <v>9.6607900000000004</v>
      </c>
      <c r="AF4901">
        <v>-13.293307573314401</v>
      </c>
      <c r="AG4901">
        <v>-1.161168</v>
      </c>
      <c r="AH4901">
        <v>69.395255368561394</v>
      </c>
      <c r="AI4901">
        <v>90.941506504452704</v>
      </c>
      <c r="AJ4901">
        <v>100.84417165696</v>
      </c>
      <c r="AK4901">
        <v>70.6665536518572</v>
      </c>
      <c r="AL4901">
        <v>92.933370071789597</v>
      </c>
      <c r="AM4901">
        <v>98.968711390095095</v>
      </c>
      <c r="AN4901">
        <v>0.99999993710914203</v>
      </c>
    </row>
    <row r="4902" spans="1:40" x14ac:dyDescent="0.25">
      <c r="A4902" t="str">
        <f>"20190305135928060"</f>
        <v>20190305135928060</v>
      </c>
      <c r="B4902" t="str">
        <f>"1551765568054389"</f>
        <v>1551765568054389</v>
      </c>
      <c r="C4902" t="s">
        <v>40</v>
      </c>
      <c r="D4902">
        <v>4.0166380000000004</v>
      </c>
      <c r="E4902">
        <v>0.48435349999999999</v>
      </c>
      <c r="F4902" t="s">
        <v>43</v>
      </c>
      <c r="G4902">
        <v>-302.66800000000001</v>
      </c>
      <c r="H4902">
        <v>-0.05</v>
      </c>
      <c r="I4902">
        <v>28.043379999999999</v>
      </c>
      <c r="J4902">
        <v>-378.96409999999997</v>
      </c>
      <c r="K4902">
        <v>1.1112029999999999</v>
      </c>
      <c r="L4902">
        <v>16.696660000000001</v>
      </c>
      <c r="M4902">
        <v>0.99884399999999995</v>
      </c>
      <c r="N4902">
        <v>-3.1943779999999999E-3</v>
      </c>
      <c r="O4902">
        <v>-4.7962640000000001E-2</v>
      </c>
      <c r="P4902">
        <v>0.99315450000000005</v>
      </c>
      <c r="Q4902">
        <v>-5.3565370000000001E-2</v>
      </c>
      <c r="R4902">
        <v>0.1038019</v>
      </c>
      <c r="S4902">
        <v>2.972137</v>
      </c>
      <c r="T4902">
        <v>-4.505348E-2</v>
      </c>
      <c r="U4902">
        <v>0.43978879999999998</v>
      </c>
      <c r="V4902">
        <v>-0.15088219999999999</v>
      </c>
      <c r="W4902">
        <v>-5.1699099999999998E-2</v>
      </c>
      <c r="X4902">
        <v>0.98719889999999999</v>
      </c>
      <c r="Y4902">
        <v>-0.19362470000000001</v>
      </c>
      <c r="Z4902">
        <v>2.3416819999999999E-3</v>
      </c>
      <c r="AA4902">
        <v>0.98107290000000003</v>
      </c>
      <c r="AB4902">
        <v>31</v>
      </c>
      <c r="AC4902">
        <v>76.296099999999896</v>
      </c>
      <c r="AD4902">
        <v>-1.161203</v>
      </c>
      <c r="AE4902">
        <v>11.3467199999999</v>
      </c>
      <c r="AF4902">
        <v>-14.989645348449899</v>
      </c>
      <c r="AG4902">
        <v>-1.161203</v>
      </c>
      <c r="AH4902">
        <v>75.6469271943634</v>
      </c>
      <c r="AI4902">
        <v>90.862667870701003</v>
      </c>
      <c r="AJ4902">
        <v>101.20812659167299</v>
      </c>
      <c r="AK4902">
        <v>77.126489963104305</v>
      </c>
      <c r="AL4902">
        <v>92.963461500754804</v>
      </c>
      <c r="AM4902">
        <v>98.689765718298503</v>
      </c>
      <c r="AN4902">
        <v>0.99999995168942801</v>
      </c>
    </row>
    <row r="4903" spans="1:40" x14ac:dyDescent="0.25">
      <c r="A4903" t="str">
        <f>"20190305135928080"</f>
        <v>20190305135928080</v>
      </c>
      <c r="B4903" t="str">
        <f>"1551765568073908"</f>
        <v>1551765568073908</v>
      </c>
      <c r="C4903" t="s">
        <v>40</v>
      </c>
      <c r="D4903">
        <v>3.9827300000000001</v>
      </c>
      <c r="E4903">
        <v>0.48433660000000001</v>
      </c>
      <c r="F4903" t="s">
        <v>43</v>
      </c>
      <c r="G4903">
        <v>-301.74669999999998</v>
      </c>
      <c r="H4903">
        <v>-0.05</v>
      </c>
      <c r="I4903">
        <v>28.1358</v>
      </c>
      <c r="J4903">
        <v>-378.65249999999997</v>
      </c>
      <c r="K4903">
        <v>1.1112249999999999</v>
      </c>
      <c r="L4903">
        <v>16.685790000000001</v>
      </c>
      <c r="M4903">
        <v>0.9990407</v>
      </c>
      <c r="N4903">
        <v>-3.1765869999999998E-3</v>
      </c>
      <c r="O4903">
        <v>-4.3678920000000003E-2</v>
      </c>
      <c r="P4903">
        <v>0.99327719999999997</v>
      </c>
      <c r="Q4903">
        <v>-5.3287859999999999E-2</v>
      </c>
      <c r="R4903">
        <v>0.1027672</v>
      </c>
      <c r="S4903">
        <v>2.9721980000000001</v>
      </c>
      <c r="T4903">
        <v>-4.469621E-2</v>
      </c>
      <c r="U4903">
        <v>0.44030760000000002</v>
      </c>
      <c r="V4903">
        <v>-0.1456191</v>
      </c>
      <c r="W4903">
        <v>-5.1401830000000003E-2</v>
      </c>
      <c r="X4903">
        <v>0.98800449999999995</v>
      </c>
      <c r="Y4903">
        <v>-0.189582</v>
      </c>
      <c r="Z4903">
        <v>2.236133E-3</v>
      </c>
      <c r="AA4903">
        <v>0.98186240000000002</v>
      </c>
      <c r="AB4903">
        <v>32</v>
      </c>
      <c r="AC4903">
        <v>76.905799999999999</v>
      </c>
      <c r="AD4903">
        <v>-1.161225</v>
      </c>
      <c r="AE4903">
        <v>11.450010000000001</v>
      </c>
      <c r="AF4903">
        <v>-14.7949610913308</v>
      </c>
      <c r="AG4903">
        <v>-1.161225</v>
      </c>
      <c r="AH4903">
        <v>76.315253678202396</v>
      </c>
      <c r="AI4903">
        <v>90.855822477339601</v>
      </c>
      <c r="AJ4903">
        <v>100.971622735908</v>
      </c>
      <c r="AK4903">
        <v>77.744821442736693</v>
      </c>
      <c r="AL4903">
        <v>92.946406419940203</v>
      </c>
      <c r="AM4903">
        <v>98.384294930407407</v>
      </c>
      <c r="AN4903">
        <v>0.99999998121620404</v>
      </c>
    </row>
    <row r="4904" spans="1:40" x14ac:dyDescent="0.25">
      <c r="A4904" t="str">
        <f>"20190305135928103"</f>
        <v>20190305135928103</v>
      </c>
      <c r="B4904" t="str">
        <f>"1551765568094406"</f>
        <v>1551765568094406</v>
      </c>
      <c r="C4904" t="s">
        <v>40</v>
      </c>
      <c r="D4904">
        <v>3.9669279999999998</v>
      </c>
      <c r="E4904">
        <v>0.48428339999999998</v>
      </c>
      <c r="F4904" t="s">
        <v>43</v>
      </c>
      <c r="G4904">
        <v>-293.69619999999998</v>
      </c>
      <c r="H4904">
        <v>-0.05</v>
      </c>
      <c r="I4904">
        <v>29.183219999999999</v>
      </c>
      <c r="J4904">
        <v>-378.34120000000001</v>
      </c>
      <c r="K4904">
        <v>1.111251</v>
      </c>
      <c r="L4904">
        <v>16.676210000000001</v>
      </c>
      <c r="M4904">
        <v>0.99921919999999997</v>
      </c>
      <c r="N4904">
        <v>-3.1607990000000002E-3</v>
      </c>
      <c r="O4904">
        <v>-3.9384879999999997E-2</v>
      </c>
      <c r="P4904">
        <v>0.99346489999999998</v>
      </c>
      <c r="Q4904">
        <v>-5.189676E-2</v>
      </c>
      <c r="R4904">
        <v>0.1016579</v>
      </c>
      <c r="S4904">
        <v>2.972839</v>
      </c>
      <c r="T4904">
        <v>-4.063427E-2</v>
      </c>
      <c r="U4904">
        <v>0.43731690000000001</v>
      </c>
      <c r="V4904">
        <v>-0.1402804</v>
      </c>
      <c r="W4904">
        <v>-4.9984859999999999E-2</v>
      </c>
      <c r="X4904">
        <v>0.98884930000000004</v>
      </c>
      <c r="Y4904">
        <v>-0.1843677</v>
      </c>
      <c r="Z4904">
        <v>1.958123E-3</v>
      </c>
      <c r="AA4904">
        <v>0.98285540000000005</v>
      </c>
      <c r="AB4904">
        <v>32</v>
      </c>
      <c r="AC4904">
        <v>84.644999999999996</v>
      </c>
      <c r="AD4904">
        <v>-1.161251</v>
      </c>
      <c r="AE4904">
        <v>12.507009999999999</v>
      </c>
      <c r="AF4904">
        <v>-15.828140026710701</v>
      </c>
      <c r="AG4904">
        <v>-1.161251</v>
      </c>
      <c r="AH4904">
        <v>84.0712498100944</v>
      </c>
      <c r="AI4904">
        <v>90.777697803728003</v>
      </c>
      <c r="AJ4904">
        <v>100.662298897754</v>
      </c>
      <c r="AK4904">
        <v>85.556142767316601</v>
      </c>
      <c r="AL4904">
        <v>92.865115417012007</v>
      </c>
      <c r="AM4904">
        <v>98.074232251939804</v>
      </c>
      <c r="AN4904">
        <v>1.00000000748193</v>
      </c>
    </row>
    <row r="4905" spans="1:40" x14ac:dyDescent="0.25">
      <c r="A4905" t="str">
        <f>"20190305135928124"</f>
        <v>20190305135928124</v>
      </c>
      <c r="B4905" t="str">
        <f>"1551765568113927"</f>
        <v>1551765568113927</v>
      </c>
      <c r="C4905" t="s">
        <v>40</v>
      </c>
      <c r="D4905">
        <v>3.9628269999999999</v>
      </c>
      <c r="E4905">
        <v>0.48419580000000001</v>
      </c>
      <c r="F4905" t="s">
        <v>43</v>
      </c>
      <c r="G4905">
        <v>-281.8159</v>
      </c>
      <c r="H4905">
        <v>-0.05</v>
      </c>
      <c r="I4905">
        <v>30.78369</v>
      </c>
      <c r="J4905">
        <v>-378.03219999999999</v>
      </c>
      <c r="K4905">
        <v>1.1112820000000001</v>
      </c>
      <c r="L4905">
        <v>16.667909999999999</v>
      </c>
      <c r="M4905">
        <v>0.99937750000000003</v>
      </c>
      <c r="N4905">
        <v>-3.1466409999999999E-3</v>
      </c>
      <c r="O4905">
        <v>-3.5136470000000003E-2</v>
      </c>
      <c r="P4905">
        <v>0.99367470000000002</v>
      </c>
      <c r="Q4905">
        <v>-5.1471999999999997E-2</v>
      </c>
      <c r="R4905">
        <v>9.9806220000000001E-2</v>
      </c>
      <c r="S4905">
        <v>2.9733890000000001</v>
      </c>
      <c r="T4905">
        <v>-3.5771490000000003E-2</v>
      </c>
      <c r="U4905">
        <v>0.43457030000000002</v>
      </c>
      <c r="V4905">
        <v>-0.1342341</v>
      </c>
      <c r="W4905">
        <v>-4.9524869999999999E-2</v>
      </c>
      <c r="X4905">
        <v>0.98971129999999996</v>
      </c>
      <c r="Y4905">
        <v>-0.1792773</v>
      </c>
      <c r="Z4905">
        <v>1.666975E-3</v>
      </c>
      <c r="AA4905">
        <v>0.98379709999999998</v>
      </c>
      <c r="AB4905">
        <v>32</v>
      </c>
      <c r="AC4905">
        <v>96.216300000000004</v>
      </c>
      <c r="AD4905">
        <v>-1.1612819999999999</v>
      </c>
      <c r="AE4905">
        <v>14.115780000000001</v>
      </c>
      <c r="AF4905">
        <v>-17.485288402049999</v>
      </c>
      <c r="AG4905">
        <v>-1.1612819999999999</v>
      </c>
      <c r="AH4905">
        <v>95.647267317227204</v>
      </c>
      <c r="AI4905">
        <v>90.684272012609199</v>
      </c>
      <c r="AJ4905">
        <v>100.35985202835499</v>
      </c>
      <c r="AK4905">
        <v>97.239311143382295</v>
      </c>
      <c r="AL4905">
        <v>92.8387273213702</v>
      </c>
      <c r="AM4905">
        <v>97.723869846816598</v>
      </c>
      <c r="AN4905">
        <v>0.999999981849508</v>
      </c>
    </row>
    <row r="4906" spans="1:40" x14ac:dyDescent="0.25">
      <c r="A4906" t="str">
        <f>"20190305135928145"</f>
        <v>20190305135928145</v>
      </c>
      <c r="B4906" t="str">
        <f>"1551765568134420"</f>
        <v>1551765568134420</v>
      </c>
      <c r="C4906" t="s">
        <v>40</v>
      </c>
      <c r="D4906">
        <v>3.9958770000000001</v>
      </c>
      <c r="E4906">
        <v>0.48404750000000002</v>
      </c>
      <c r="F4906" t="s">
        <v>43</v>
      </c>
      <c r="G4906">
        <v>-271.80059999999997</v>
      </c>
      <c r="H4906">
        <v>-0.05</v>
      </c>
      <c r="I4906">
        <v>32.019489999999998</v>
      </c>
      <c r="J4906">
        <v>-377.73610000000002</v>
      </c>
      <c r="K4906">
        <v>1.1113090000000001</v>
      </c>
      <c r="L4906">
        <v>16.66113</v>
      </c>
      <c r="M4906">
        <v>0.99951140000000005</v>
      </c>
      <c r="N4906">
        <v>-3.1339520000000002E-3</v>
      </c>
      <c r="O4906">
        <v>-3.1099979999999999E-2</v>
      </c>
      <c r="P4906">
        <v>0.99383290000000002</v>
      </c>
      <c r="Q4906">
        <v>-5.1298110000000001E-2</v>
      </c>
      <c r="R4906">
        <v>9.8309010000000002E-2</v>
      </c>
      <c r="S4906">
        <v>2.974243</v>
      </c>
      <c r="T4906">
        <v>-3.2513260000000002E-2</v>
      </c>
      <c r="U4906">
        <v>0.42980960000000001</v>
      </c>
      <c r="V4906">
        <v>-0.12874530000000001</v>
      </c>
      <c r="W4906">
        <v>-4.9317420000000001E-2</v>
      </c>
      <c r="X4906">
        <v>0.99045059999999996</v>
      </c>
      <c r="Y4906">
        <v>-0.17372199999999999</v>
      </c>
      <c r="Z4906">
        <v>1.4596699999999999E-3</v>
      </c>
      <c r="AA4906">
        <v>0.98479369999999999</v>
      </c>
      <c r="AB4906">
        <v>32</v>
      </c>
      <c r="AC4906">
        <v>105.9355</v>
      </c>
      <c r="AD4906">
        <v>-1.1613089999999999</v>
      </c>
      <c r="AE4906">
        <v>15.358359999999999</v>
      </c>
      <c r="AF4906">
        <v>-18.643344423658501</v>
      </c>
      <c r="AG4906">
        <v>-1.1613089999999999</v>
      </c>
      <c r="AH4906">
        <v>105.394204251399</v>
      </c>
      <c r="AI4906">
        <v>90.621650258849499</v>
      </c>
      <c r="AJ4906">
        <v>100.031369155037</v>
      </c>
      <c r="AK4906">
        <v>107.036728367781</v>
      </c>
      <c r="AL4906">
        <v>92.826826787179598</v>
      </c>
      <c r="AM4906">
        <v>97.406156784163898</v>
      </c>
      <c r="AN4906">
        <v>0.99999997561395204</v>
      </c>
    </row>
    <row r="4907" spans="1:40" x14ac:dyDescent="0.25">
      <c r="A4907" t="str">
        <f>"20190305135928167"</f>
        <v>20190305135928167</v>
      </c>
      <c r="B4907" t="str">
        <f>"1551765568163700"</f>
        <v>1551765568163700</v>
      </c>
      <c r="C4907" t="s">
        <v>40</v>
      </c>
      <c r="D4907">
        <v>4.0082579999999997</v>
      </c>
      <c r="E4907">
        <v>0.48379460000000002</v>
      </c>
      <c r="F4907" t="s">
        <v>43</v>
      </c>
      <c r="G4907">
        <v>-263.12639999999999</v>
      </c>
      <c r="H4907">
        <v>-0.05</v>
      </c>
      <c r="I4907">
        <v>33.102460000000001</v>
      </c>
      <c r="J4907">
        <v>-377.41750000000002</v>
      </c>
      <c r="K4907">
        <v>1.111324</v>
      </c>
      <c r="L4907">
        <v>16.655089999999898</v>
      </c>
      <c r="M4907">
        <v>0.9996353</v>
      </c>
      <c r="N4907">
        <v>-3.121197E-3</v>
      </c>
      <c r="O4907">
        <v>-2.6828100000000001E-2</v>
      </c>
      <c r="P4907">
        <v>0.99405849999999996</v>
      </c>
      <c r="Q4907">
        <v>-4.9840160000000001E-2</v>
      </c>
      <c r="R4907">
        <v>9.6766450000000004E-2</v>
      </c>
      <c r="S4907">
        <v>2.9748540000000001</v>
      </c>
      <c r="T4907">
        <v>-3.0143380000000001E-2</v>
      </c>
      <c r="U4907">
        <v>0.42675780000000002</v>
      </c>
      <c r="V4907">
        <v>-0.12298829999999999</v>
      </c>
      <c r="W4907">
        <v>-4.7820029999999999E-2</v>
      </c>
      <c r="X4907">
        <v>0.99125529999999995</v>
      </c>
      <c r="Y4907">
        <v>-0.168494899999999</v>
      </c>
      <c r="Z4907">
        <v>1.3008690000000001E-3</v>
      </c>
      <c r="AA4907">
        <v>0.98570170000000001</v>
      </c>
      <c r="AB4907">
        <v>32</v>
      </c>
      <c r="AC4907">
        <v>114.2911</v>
      </c>
      <c r="AD4907">
        <v>-1.161324</v>
      </c>
      <c r="AE4907">
        <v>16.447369999999999</v>
      </c>
      <c r="AF4907">
        <v>-19.5057044958196</v>
      </c>
      <c r="AG4907">
        <v>-1.161324</v>
      </c>
      <c r="AH4907">
        <v>113.797197125393</v>
      </c>
      <c r="AI4907">
        <v>90.576291004128805</v>
      </c>
      <c r="AJ4907">
        <v>99.726411300820601</v>
      </c>
      <c r="AK4907">
        <v>115.462648743681</v>
      </c>
      <c r="AL4907">
        <v>92.740931285349703</v>
      </c>
      <c r="AM4907">
        <v>97.072730339712507</v>
      </c>
      <c r="AN4907">
        <v>0.99999997349208902</v>
      </c>
    </row>
    <row r="4908" spans="1:40" x14ac:dyDescent="0.25">
      <c r="A4908" t="str">
        <f>"20190305135928191"</f>
        <v>20190305135928191</v>
      </c>
      <c r="B4908" t="str">
        <f>"1551765568184197"</f>
        <v>1551765568184197</v>
      </c>
      <c r="C4908" t="s">
        <v>40</v>
      </c>
      <c r="D4908">
        <v>4.1928409999999996</v>
      </c>
      <c r="E4908">
        <v>0.4839985</v>
      </c>
      <c r="F4908" t="s">
        <v>43</v>
      </c>
      <c r="G4908">
        <v>-243.6319</v>
      </c>
      <c r="H4908">
        <v>-0.05</v>
      </c>
      <c r="I4908">
        <v>35.731639999999999</v>
      </c>
      <c r="J4908">
        <v>-377.0727</v>
      </c>
      <c r="K4908">
        <v>1.111329</v>
      </c>
      <c r="L4908">
        <v>16.64996</v>
      </c>
      <c r="M4908">
        <v>0.99974620000000003</v>
      </c>
      <c r="N4908">
        <v>-3.1081920000000001E-3</v>
      </c>
      <c r="O4908">
        <v>-2.23111E-2</v>
      </c>
      <c r="P4908">
        <v>0.99424610000000002</v>
      </c>
      <c r="Q4908">
        <v>-4.8463069999999997E-2</v>
      </c>
      <c r="R4908">
        <v>9.5529740000000002E-2</v>
      </c>
      <c r="S4908">
        <v>2.9753419999999999</v>
      </c>
      <c r="T4908">
        <v>-2.5827409999999999E-2</v>
      </c>
      <c r="U4908">
        <v>0.4242554</v>
      </c>
      <c r="V4908">
        <v>-0.11729100000000001</v>
      </c>
      <c r="W4908">
        <v>-4.6398929999999998E-2</v>
      </c>
      <c r="X4908">
        <v>0.99201309999999998</v>
      </c>
      <c r="Y4908">
        <v>-0.16320670000000001</v>
      </c>
      <c r="Z4908">
        <v>1.0834849999999999E-3</v>
      </c>
      <c r="AA4908">
        <v>0.98659129999999995</v>
      </c>
      <c r="AB4908">
        <v>32</v>
      </c>
      <c r="AC4908">
        <v>133.4408</v>
      </c>
      <c r="AD4908">
        <v>-1.1613290000000001</v>
      </c>
      <c r="AE4908">
        <v>19.081679999999999</v>
      </c>
      <c r="AF4908">
        <v>-22.052518802842101</v>
      </c>
      <c r="AG4908">
        <v>-1.1613290000000001</v>
      </c>
      <c r="AH4908">
        <v>132.97197810404799</v>
      </c>
      <c r="AI4908">
        <v>90.4936455921478</v>
      </c>
      <c r="AJ4908">
        <v>99.416418662137602</v>
      </c>
      <c r="AK4908">
        <v>134.79320914459799</v>
      </c>
      <c r="AL4908">
        <v>92.659417631727493</v>
      </c>
      <c r="AM4908">
        <v>96.743080061632398</v>
      </c>
      <c r="AN4908">
        <v>1.0000000149788699</v>
      </c>
    </row>
    <row r="4909" spans="1:40" x14ac:dyDescent="0.25">
      <c r="A4909" t="str">
        <f>"20190305135928214"</f>
        <v>20190305135928214</v>
      </c>
      <c r="B4909" t="str">
        <f>"1551765568203716"</f>
        <v>1551765568203716</v>
      </c>
      <c r="C4909" t="s">
        <v>40</v>
      </c>
      <c r="D4909">
        <v>4.012893</v>
      </c>
      <c r="E4909">
        <v>0.4837031</v>
      </c>
      <c r="F4909" t="s">
        <v>43</v>
      </c>
      <c r="G4909">
        <v>-237.70859999999999</v>
      </c>
      <c r="H4909">
        <v>-0.05</v>
      </c>
      <c r="I4909">
        <v>36.2637</v>
      </c>
      <c r="J4909">
        <v>-376.74040000000002</v>
      </c>
      <c r="K4909">
        <v>1.11131</v>
      </c>
      <c r="L4909">
        <v>16.646329999999999</v>
      </c>
      <c r="M4909">
        <v>0.99983160000000004</v>
      </c>
      <c r="N4909">
        <v>-3.0965049999999998E-3</v>
      </c>
      <c r="O4909">
        <v>-1.8092569999999999E-2</v>
      </c>
      <c r="P4909">
        <v>0.99423499999999998</v>
      </c>
      <c r="Q4909">
        <v>-4.6672900000000003E-2</v>
      </c>
      <c r="R4909">
        <v>9.6533649999999999E-2</v>
      </c>
      <c r="S4909">
        <v>2.9759220000000002</v>
      </c>
      <c r="T4909">
        <v>-2.4798509999999999E-2</v>
      </c>
      <c r="U4909">
        <v>0.41882320000000001</v>
      </c>
      <c r="V4909">
        <v>-0.1141277</v>
      </c>
      <c r="W4909">
        <v>-4.4580509999999997E-2</v>
      </c>
      <c r="X4909">
        <v>0.99246529999999999</v>
      </c>
      <c r="Y4909">
        <v>-0.15724959999999999</v>
      </c>
      <c r="Z4909">
        <v>9.9095569999999998E-4</v>
      </c>
      <c r="AA4909">
        <v>0.98755839999999995</v>
      </c>
      <c r="AB4909">
        <v>32</v>
      </c>
      <c r="AC4909">
        <v>139.0318</v>
      </c>
      <c r="AD4909">
        <v>-1.1613100000000001</v>
      </c>
      <c r="AE4909">
        <v>19.617370000000001</v>
      </c>
      <c r="AF4909">
        <v>-22.128099618288701</v>
      </c>
      <c r="AG4909">
        <v>-1.1613100000000001</v>
      </c>
      <c r="AH4909">
        <v>138.64462780488699</v>
      </c>
      <c r="AI4909">
        <v>90.4739098193198</v>
      </c>
      <c r="AJ4909">
        <v>99.068097335169497</v>
      </c>
      <c r="AK4909">
        <v>140.40418174965001</v>
      </c>
      <c r="AL4909">
        <v>92.555121994731707</v>
      </c>
      <c r="AM4909">
        <v>96.559865391078404</v>
      </c>
      <c r="AN4909">
        <v>0.99999996274161895</v>
      </c>
    </row>
    <row r="4910" spans="1:40" x14ac:dyDescent="0.25">
      <c r="A4910" t="str">
        <f>"20190305135928235"</f>
        <v>20190305135928235</v>
      </c>
      <c r="B4910" t="str">
        <f>"1551765568224212"</f>
        <v>1551765568224212</v>
      </c>
      <c r="C4910" t="s">
        <v>40</v>
      </c>
      <c r="D4910">
        <v>4.030958</v>
      </c>
      <c r="E4910">
        <v>0.48339490000000002</v>
      </c>
      <c r="F4910" t="s">
        <v>56</v>
      </c>
      <c r="G4910">
        <v>-222.40889999999999</v>
      </c>
      <c r="H4910">
        <v>5.7899060000000002E-2</v>
      </c>
      <c r="I4910">
        <v>38.650019999999998</v>
      </c>
      <c r="J4910">
        <v>-376.41699999999997</v>
      </c>
      <c r="K4910">
        <v>1.11127</v>
      </c>
      <c r="L4910">
        <v>16.643979999999999</v>
      </c>
      <c r="M4910">
        <v>0.99989530000000004</v>
      </c>
      <c r="N4910">
        <v>-3.0861230000000001E-3</v>
      </c>
      <c r="O4910">
        <v>-1.414115E-2</v>
      </c>
      <c r="P4910">
        <v>0.99436769999999997</v>
      </c>
      <c r="Q4910">
        <v>-4.4909909999999997E-2</v>
      </c>
      <c r="R4910">
        <v>9.6000160000000001E-2</v>
      </c>
      <c r="S4910">
        <v>2.97525</v>
      </c>
      <c r="T4910">
        <v>-2.0307780000000001E-2</v>
      </c>
      <c r="U4910">
        <v>0.42419430000000002</v>
      </c>
      <c r="V4910">
        <v>-0.1096958</v>
      </c>
      <c r="W4910">
        <v>-4.2771120000000003E-2</v>
      </c>
      <c r="X4910">
        <v>0.99304460000000006</v>
      </c>
      <c r="Y4910">
        <v>-0.1551273</v>
      </c>
      <c r="Z4910">
        <v>8.1997099999999996E-4</v>
      </c>
      <c r="AA4910">
        <v>0.98789419999999994</v>
      </c>
      <c r="AB4910">
        <v>33</v>
      </c>
      <c r="AC4910">
        <v>154.00809999999899</v>
      </c>
      <c r="AD4910">
        <v>-1.05337094</v>
      </c>
      <c r="AE4910">
        <v>22.006039999999999</v>
      </c>
      <c r="AF4910">
        <v>-24.180592895661199</v>
      </c>
      <c r="AG4910">
        <v>-1.05337094</v>
      </c>
      <c r="AH4910">
        <v>153.67446294434001</v>
      </c>
      <c r="AI4910">
        <v>90.387958065489698</v>
      </c>
      <c r="AJ4910">
        <v>98.942141622815697</v>
      </c>
      <c r="AK4910">
        <v>155.56879900659499</v>
      </c>
      <c r="AL4910">
        <v>92.451352312551606</v>
      </c>
      <c r="AM4910">
        <v>96.303571483850206</v>
      </c>
      <c r="AN4910">
        <v>1.0000000574164201</v>
      </c>
    </row>
    <row r="4911" spans="1:40" x14ac:dyDescent="0.25">
      <c r="A4911" t="str">
        <f>"20190305135928250"</f>
        <v>20190305135928250</v>
      </c>
      <c r="B4911" t="str">
        <f>"1551765568243732"</f>
        <v>1551765568243732</v>
      </c>
      <c r="C4911" t="s">
        <v>40</v>
      </c>
      <c r="D4911">
        <v>3.9844780000000002</v>
      </c>
      <c r="E4911">
        <v>0.48314220000000002</v>
      </c>
      <c r="F4911" t="s">
        <v>56</v>
      </c>
      <c r="G4911">
        <v>-222.31620000000001</v>
      </c>
      <c r="H4911">
        <v>0.28392800000000001</v>
      </c>
      <c r="I4911">
        <v>38.650019999999998</v>
      </c>
      <c r="J4911">
        <v>-376.21550000000002</v>
      </c>
      <c r="K4911">
        <v>1.1112280000000001</v>
      </c>
      <c r="L4911">
        <v>16.643190000000001</v>
      </c>
      <c r="M4911">
        <v>0.99992570000000003</v>
      </c>
      <c r="N4911">
        <v>-3.0800089999999999E-3</v>
      </c>
      <c r="O4911">
        <v>-1.178592E-2</v>
      </c>
      <c r="P4911">
        <v>0.99436369999999996</v>
      </c>
      <c r="Q4911">
        <v>-4.3155829999999999E-2</v>
      </c>
      <c r="R4911">
        <v>9.6843150000000003E-2</v>
      </c>
      <c r="S4911">
        <v>2.9751889999999999</v>
      </c>
      <c r="T4911">
        <v>-1.5973089999999999E-2</v>
      </c>
      <c r="U4911">
        <v>0.42486570000000001</v>
      </c>
      <c r="V4911">
        <v>-0.1082197</v>
      </c>
      <c r="W4911">
        <v>-4.0995610000000002E-2</v>
      </c>
      <c r="X4911">
        <v>0.99328139999999998</v>
      </c>
      <c r="Y4911">
        <v>-0.1530231</v>
      </c>
      <c r="Z4911">
        <v>6.7240289999999999E-4</v>
      </c>
      <c r="AA4911">
        <v>0.98822239999999995</v>
      </c>
      <c r="AB4911">
        <v>33</v>
      </c>
      <c r="AC4911">
        <v>153.89930000000001</v>
      </c>
      <c r="AD4911">
        <v>-0.82730000000000004</v>
      </c>
      <c r="AE4911">
        <v>22.006830000000001</v>
      </c>
      <c r="AF4911">
        <v>-23.8184806026775</v>
      </c>
      <c r="AG4911">
        <v>-0.82730000000000004</v>
      </c>
      <c r="AH4911">
        <v>153.624888271663</v>
      </c>
      <c r="AI4911">
        <v>90.304903116218895</v>
      </c>
      <c r="AJ4911">
        <v>98.813145096518596</v>
      </c>
      <c r="AK4911">
        <v>155.46257022187399</v>
      </c>
      <c r="AL4911">
        <v>92.349533767664397</v>
      </c>
      <c r="AM4911">
        <v>96.217946823377403</v>
      </c>
      <c r="AN4911">
        <v>1.0000000415466599</v>
      </c>
    </row>
    <row r="4912" spans="1:40" x14ac:dyDescent="0.25">
      <c r="A4912" t="str">
        <f>"20190305135928268"</f>
        <v>20190305135928268</v>
      </c>
      <c r="B4912" t="str">
        <f>"1551765568264229"</f>
        <v>1551765568264229</v>
      </c>
      <c r="C4912" t="s">
        <v>40</v>
      </c>
      <c r="D4912">
        <v>4.0289000000000001</v>
      </c>
      <c r="E4912">
        <v>0.48287380000000002</v>
      </c>
      <c r="F4912" t="s">
        <v>56</v>
      </c>
      <c r="G4912">
        <v>-223.67930000000001</v>
      </c>
      <c r="H4912">
        <v>0.53179129999999997</v>
      </c>
      <c r="I4912">
        <v>38.650019999999998</v>
      </c>
      <c r="J4912">
        <v>-375.95069999999998</v>
      </c>
      <c r="K4912">
        <v>1.1111799999999901</v>
      </c>
      <c r="L4912">
        <v>16.64264</v>
      </c>
      <c r="M4912">
        <v>0.99995679999999998</v>
      </c>
      <c r="N4912">
        <v>-3.0725290000000001E-3</v>
      </c>
      <c r="O4912">
        <v>-8.7962000000000005E-3</v>
      </c>
      <c r="P4912">
        <v>0.99429149999999999</v>
      </c>
      <c r="Q4912">
        <v>-3.8388520000000002E-2</v>
      </c>
      <c r="R4912">
        <v>9.9552849999999998E-2</v>
      </c>
      <c r="S4912">
        <v>2.974701</v>
      </c>
      <c r="T4912">
        <v>-1.1299729999999999E-2</v>
      </c>
      <c r="U4912">
        <v>0.42916870000000001</v>
      </c>
      <c r="V4912">
        <v>-0.1080057</v>
      </c>
      <c r="W4912">
        <v>-3.6211300000000002E-2</v>
      </c>
      <c r="X4912">
        <v>0.9934906</v>
      </c>
      <c r="Y4912">
        <v>-0.15149309999999999</v>
      </c>
      <c r="Z4912">
        <v>5.265453E-4</v>
      </c>
      <c r="AA4912">
        <v>0.98845819999999995</v>
      </c>
      <c r="AB4912">
        <v>33</v>
      </c>
      <c r="AC4912">
        <v>152.27139999999901</v>
      </c>
      <c r="AD4912">
        <v>-0.57938869999999898</v>
      </c>
      <c r="AE4912">
        <v>22.007380000000001</v>
      </c>
      <c r="AF4912">
        <v>-23.345613240545301</v>
      </c>
      <c r="AG4912">
        <v>-0.57938869999999898</v>
      </c>
      <c r="AH4912">
        <v>152.06977019314999</v>
      </c>
      <c r="AI4912">
        <v>90.215769143053393</v>
      </c>
      <c r="AJ4912">
        <v>98.727855451229999</v>
      </c>
      <c r="AK4912">
        <v>153.85242395048601</v>
      </c>
      <c r="AL4912">
        <v>92.075208287514897</v>
      </c>
      <c r="AM4912">
        <v>96.204450564907404</v>
      </c>
      <c r="AN4912">
        <v>1.00000003088426</v>
      </c>
    </row>
    <row r="4913" spans="1:40" x14ac:dyDescent="0.25">
      <c r="A4913" t="str">
        <f>"20190305135928280"</f>
        <v>20190305135928280</v>
      </c>
      <c r="B4913" t="str">
        <f>"1551765568273988"</f>
        <v>1551765568273988</v>
      </c>
      <c r="C4913" t="s">
        <v>40</v>
      </c>
      <c r="D4913">
        <v>4.0141799999999996</v>
      </c>
      <c r="E4913">
        <v>0.48266740000000002</v>
      </c>
      <c r="F4913" t="s">
        <v>56</v>
      </c>
      <c r="G4913">
        <v>-226.78729999999999</v>
      </c>
      <c r="H4913">
        <v>1.2193229999999999</v>
      </c>
      <c r="I4913">
        <v>38.650019999999998</v>
      </c>
      <c r="J4913">
        <v>-375.75599999999997</v>
      </c>
      <c r="K4913">
        <v>1.1111340000000001</v>
      </c>
      <c r="L4913">
        <v>16.642669999999999</v>
      </c>
      <c r="M4913">
        <v>0.99997290000000005</v>
      </c>
      <c r="N4913">
        <v>-3.0675590000000001E-3</v>
      </c>
      <c r="O4913">
        <v>-6.6713409999999999E-3</v>
      </c>
      <c r="P4913">
        <v>0.9941757</v>
      </c>
      <c r="Q4913">
        <v>-3.4399079999999999E-2</v>
      </c>
      <c r="R4913">
        <v>0.1021329</v>
      </c>
      <c r="S4913">
        <v>2.9733890000000001</v>
      </c>
      <c r="T4913">
        <v>2.1559000000000001E-3</v>
      </c>
      <c r="U4913">
        <v>0.43869019999999997</v>
      </c>
      <c r="V4913">
        <v>-0.10851139999999999</v>
      </c>
      <c r="W4913">
        <v>-3.221251E-2</v>
      </c>
      <c r="X4913">
        <v>0.99357320000000005</v>
      </c>
      <c r="Y4913">
        <v>-0.15255550000000001</v>
      </c>
      <c r="Z4913">
        <v>1.5507419999999999E-4</v>
      </c>
      <c r="AA4913">
        <v>0.98829489999999998</v>
      </c>
      <c r="AB4913">
        <v>33</v>
      </c>
      <c r="AC4913">
        <v>148.96869999999899</v>
      </c>
      <c r="AD4913">
        <v>0.10818899999999899</v>
      </c>
      <c r="AE4913">
        <v>22.007349999999899</v>
      </c>
      <c r="AF4913">
        <v>-23.000674191446301</v>
      </c>
      <c r="AG4913">
        <v>0.10818899999999899</v>
      </c>
      <c r="AH4913">
        <v>148.81848880683501</v>
      </c>
      <c r="AI4913">
        <v>89.958835514404797</v>
      </c>
      <c r="AJ4913">
        <v>98.785845152022304</v>
      </c>
      <c r="AK4913">
        <v>150.58547515903001</v>
      </c>
      <c r="AL4913">
        <v>91.845960138720699</v>
      </c>
      <c r="AM4913">
        <v>96.232758528835802</v>
      </c>
      <c r="AN4913">
        <v>1.00000003674434</v>
      </c>
    </row>
    <row r="4914" spans="1:40" x14ac:dyDescent="0.25">
      <c r="A4914" t="str">
        <f>"20190305135928293"</f>
        <v>20190305135928293</v>
      </c>
      <c r="B4914" t="str">
        <f>"1551765568283749"</f>
        <v>1551765568283749</v>
      </c>
      <c r="C4914" t="s">
        <v>40</v>
      </c>
      <c r="D4914">
        <v>4.1250549999999997</v>
      </c>
      <c r="E4914">
        <v>0.48261209999999999</v>
      </c>
      <c r="F4914" t="s">
        <v>56</v>
      </c>
      <c r="G4914">
        <v>-229.61</v>
      </c>
      <c r="H4914">
        <v>1.753657</v>
      </c>
      <c r="I4914">
        <v>38.650019999999998</v>
      </c>
      <c r="J4914">
        <v>-375.56529999999998</v>
      </c>
      <c r="K4914">
        <v>1.1110880000000001</v>
      </c>
      <c r="L4914">
        <v>16.643039999999999</v>
      </c>
      <c r="M4914">
        <v>0.9999844</v>
      </c>
      <c r="N4914">
        <v>-3.0633990000000001E-3</v>
      </c>
      <c r="O4914">
        <v>-4.6778469999999997E-3</v>
      </c>
      <c r="P4914">
        <v>0.99399360000000003</v>
      </c>
      <c r="Q4914">
        <v>-2.9162569999999999E-2</v>
      </c>
      <c r="R4914">
        <v>0.10548150000000001</v>
      </c>
      <c r="S4914">
        <v>2.9720149999999999</v>
      </c>
      <c r="T4914">
        <v>1.306653E-2</v>
      </c>
      <c r="U4914">
        <v>0.4475403</v>
      </c>
      <c r="V4914">
        <v>-0.10992449999999999</v>
      </c>
      <c r="W4914">
        <v>-2.6972079999999999E-2</v>
      </c>
      <c r="X4914">
        <v>0.99357390000000001</v>
      </c>
      <c r="Y4914">
        <v>-0.15352950000000001</v>
      </c>
      <c r="Z4914">
        <v>-1.3382530000000001E-4</v>
      </c>
      <c r="AA4914">
        <v>0.98814400000000002</v>
      </c>
      <c r="AB4914">
        <v>33</v>
      </c>
      <c r="AC4914">
        <v>145.955299999999</v>
      </c>
      <c r="AD4914">
        <v>0.64256899999999995</v>
      </c>
      <c r="AE4914">
        <v>22.006979999999999</v>
      </c>
      <c r="AF4914">
        <v>-22.689068972992899</v>
      </c>
      <c r="AG4914">
        <v>0.64256899999999995</v>
      </c>
      <c r="AH4914">
        <v>145.84799329981701</v>
      </c>
      <c r="AI4914">
        <v>89.750571190982996</v>
      </c>
      <c r="AJ4914">
        <v>98.842429546823197</v>
      </c>
      <c r="AK4914">
        <v>147.60367168659599</v>
      </c>
      <c r="AL4914">
        <v>91.545573799081893</v>
      </c>
      <c r="AM4914">
        <v>96.313269580817106</v>
      </c>
      <c r="AN4914">
        <v>0.99999999178049304</v>
      </c>
    </row>
    <row r="4915" spans="1:40" x14ac:dyDescent="0.25">
      <c r="A4915" t="str">
        <f>"20190305135928314"</f>
        <v>20190305135928314</v>
      </c>
      <c r="B4915" t="str">
        <f>"1551765568304245"</f>
        <v>1551765568304245</v>
      </c>
      <c r="C4915" t="s">
        <v>40</v>
      </c>
      <c r="D4915">
        <v>4.050217</v>
      </c>
      <c r="E4915">
        <v>0.52507569999999903</v>
      </c>
      <c r="F4915" t="s">
        <v>56</v>
      </c>
      <c r="G4915">
        <v>-232.6241</v>
      </c>
      <c r="H4915">
        <v>2.5743559999999999</v>
      </c>
      <c r="I4915">
        <v>38.650019999999998</v>
      </c>
      <c r="J4915">
        <v>-375.25740000000002</v>
      </c>
      <c r="K4915">
        <v>1.111016</v>
      </c>
      <c r="L4915">
        <v>16.644349999999999</v>
      </c>
      <c r="M4915">
        <v>0.99999400000000005</v>
      </c>
      <c r="N4915">
        <v>-3.0577880000000001E-3</v>
      </c>
      <c r="O4915">
        <v>-1.598347E-3</v>
      </c>
      <c r="P4915">
        <v>0.99377780000000004</v>
      </c>
      <c r="Q4915">
        <v>-1.8750329999999999E-2</v>
      </c>
      <c r="R4915">
        <v>0.1097911</v>
      </c>
      <c r="S4915">
        <v>2.97052</v>
      </c>
      <c r="T4915">
        <v>3.0408979999999999E-2</v>
      </c>
      <c r="U4915">
        <v>0.45733639999999998</v>
      </c>
      <c r="V4915">
        <v>-0.1112587</v>
      </c>
      <c r="W4915">
        <v>-1.6543140000000001E-2</v>
      </c>
      <c r="X4915">
        <v>0.99365380000000003</v>
      </c>
      <c r="Y4915">
        <v>-0.1537395</v>
      </c>
      <c r="Z4915">
        <v>-5.6697289999999999E-4</v>
      </c>
      <c r="AA4915">
        <v>0.98811130000000003</v>
      </c>
      <c r="AB4915">
        <v>33</v>
      </c>
      <c r="AC4915">
        <v>142.63329999999999</v>
      </c>
      <c r="AD4915">
        <v>1.4633400000000001</v>
      </c>
      <c r="AE4915">
        <v>22.005669999999999</v>
      </c>
      <c r="AF4915">
        <v>-22.231334886839701</v>
      </c>
      <c r="AG4915">
        <v>1.4633400000000001</v>
      </c>
      <c r="AH4915">
        <v>142.583286056405</v>
      </c>
      <c r="AI4915">
        <v>89.419010130664603</v>
      </c>
      <c r="AJ4915">
        <v>98.862102727490793</v>
      </c>
      <c r="AK4915">
        <v>144.313433461507</v>
      </c>
      <c r="AL4915">
        <v>90.947895318418702</v>
      </c>
      <c r="AM4915">
        <v>96.388756956269702</v>
      </c>
      <c r="AN4915">
        <v>1.00000002403059</v>
      </c>
    </row>
    <row r="4916" spans="1:40" x14ac:dyDescent="0.25">
      <c r="A4916" t="str">
        <f>"20190305135928327"</f>
        <v>20190305135928327</v>
      </c>
      <c r="B4916" t="str">
        <f>"1551765568323765"</f>
        <v>1551765568323765</v>
      </c>
      <c r="C4916" t="s">
        <v>40</v>
      </c>
      <c r="D4916">
        <v>4.2128709999999998</v>
      </c>
      <c r="E4916">
        <v>0.54034040000000005</v>
      </c>
      <c r="F4916" t="s">
        <v>88</v>
      </c>
      <c r="G4916">
        <v>-279.68</v>
      </c>
      <c r="H4916">
        <v>0.63751709999999995</v>
      </c>
      <c r="I4916">
        <v>20.818549999999998</v>
      </c>
      <c r="J4916">
        <v>-375.06920000000002</v>
      </c>
      <c r="K4916">
        <v>1.1109639999999901</v>
      </c>
      <c r="L4916">
        <v>16.645510000000002</v>
      </c>
      <c r="M4916">
        <v>0.99999550000000004</v>
      </c>
      <c r="N4916">
        <v>-3.056675E-3</v>
      </c>
      <c r="O4916">
        <v>1.794829E-4</v>
      </c>
      <c r="P4916">
        <v>0.99367090000000002</v>
      </c>
      <c r="Q4916">
        <v>-1.3541030000000001E-2</v>
      </c>
      <c r="R4916">
        <v>0.11151320000000001</v>
      </c>
      <c r="S4916">
        <v>3.0039980000000002</v>
      </c>
      <c r="T4916">
        <v>-1.488197E-2</v>
      </c>
      <c r="U4916">
        <v>0.13119510000000001</v>
      </c>
      <c r="V4916">
        <v>-0.11125549999999999</v>
      </c>
      <c r="W4916">
        <v>-1.1313800000000001E-2</v>
      </c>
      <c r="X4916">
        <v>0.99372740000000004</v>
      </c>
      <c r="Y4916">
        <v>-4.3451730000000001E-2</v>
      </c>
      <c r="Z4916">
        <v>1.7368009999999901E-4</v>
      </c>
      <c r="AA4916">
        <v>0.99905549999999999</v>
      </c>
      <c r="AB4916">
        <v>33</v>
      </c>
      <c r="AC4916">
        <v>95.389200000000002</v>
      </c>
      <c r="AD4916">
        <v>-0.473446899999999</v>
      </c>
      <c r="AE4916">
        <v>4.1730399999999896</v>
      </c>
      <c r="AF4916">
        <v>-4.1558169447656699</v>
      </c>
      <c r="AG4916">
        <v>-0.473446899999999</v>
      </c>
      <c r="AH4916">
        <v>95.387602116849493</v>
      </c>
      <c r="AI4916">
        <v>90.284110073695004</v>
      </c>
      <c r="AJ4916">
        <v>92.494666825910301</v>
      </c>
      <c r="AK4916">
        <v>95.479262691162006</v>
      </c>
      <c r="AL4916">
        <v>90.6482468416838</v>
      </c>
      <c r="AM4916">
        <v>96.388105467946701</v>
      </c>
      <c r="AN4916">
        <v>0.99999996693072402</v>
      </c>
    </row>
    <row r="4917" spans="1:40" x14ac:dyDescent="0.25">
      <c r="A4917" t="str">
        <f>"20190305135928346"</f>
        <v>20190305135928346</v>
      </c>
      <c r="B4917" t="str">
        <f>"1551765568334500"</f>
        <v>1551765568334500</v>
      </c>
      <c r="C4917" t="s">
        <v>40</v>
      </c>
      <c r="D4917">
        <v>4.2305549999999998</v>
      </c>
      <c r="E4917">
        <v>0.60130189999999994</v>
      </c>
      <c r="F4917" t="s">
        <v>43</v>
      </c>
      <c r="G4917">
        <v>-285.00450000000001</v>
      </c>
      <c r="H4917">
        <v>-0.05</v>
      </c>
      <c r="I4917">
        <v>17.088270000000001</v>
      </c>
      <c r="J4917">
        <v>-374.78649999999999</v>
      </c>
      <c r="K4917">
        <v>1.1108739999999999</v>
      </c>
      <c r="L4917">
        <v>16.647770000000001</v>
      </c>
      <c r="M4917">
        <v>0.99999159999999998</v>
      </c>
      <c r="N4917">
        <v>-3.0591390000000002E-3</v>
      </c>
      <c r="O4917">
        <v>2.7237979999999999E-3</v>
      </c>
      <c r="P4917">
        <v>0.99370069999999999</v>
      </c>
      <c r="Q4917">
        <v>-7.4263150000000002E-3</v>
      </c>
      <c r="R4917">
        <v>0.111820699999999</v>
      </c>
      <c r="S4917">
        <v>3.0169069999999998</v>
      </c>
      <c r="T4917">
        <v>-3.8888930000000002E-2</v>
      </c>
      <c r="U4917">
        <v>1.4831540000000001E-2</v>
      </c>
      <c r="V4917">
        <v>-0.1090806</v>
      </c>
      <c r="W4917">
        <v>-5.1477199999999997E-3</v>
      </c>
      <c r="X4917">
        <v>0.9940196</v>
      </c>
      <c r="Y4917">
        <v>-2.1921929999999998E-3</v>
      </c>
      <c r="Z4917" s="1">
        <v>-9.2950149999999993E-6</v>
      </c>
      <c r="AA4917">
        <v>0.99999760000000004</v>
      </c>
      <c r="AB4917">
        <v>33</v>
      </c>
      <c r="AC4917">
        <v>89.781999999999897</v>
      </c>
      <c r="AD4917">
        <v>-1.160874</v>
      </c>
      <c r="AE4917">
        <v>0.4405</v>
      </c>
      <c r="AF4917">
        <v>-0.195916433780226</v>
      </c>
      <c r="AG4917">
        <v>-1.160874</v>
      </c>
      <c r="AH4917">
        <v>89.767859503539697</v>
      </c>
      <c r="AI4917">
        <v>90.740903429324803</v>
      </c>
      <c r="AJ4917">
        <v>90.125046615039494</v>
      </c>
      <c r="AK4917">
        <v>89.7755791490099</v>
      </c>
      <c r="AL4917">
        <v>90.294943926625393</v>
      </c>
      <c r="AM4917">
        <v>96.262402088512303</v>
      </c>
      <c r="AN4917">
        <v>1.0000000207508499</v>
      </c>
    </row>
    <row r="4918" spans="1:40" x14ac:dyDescent="0.25">
      <c r="A4918" t="str">
        <f>"20190305135928359"</f>
        <v>20190305135928359</v>
      </c>
      <c r="B4918" t="str">
        <f>"1551765568354020"</f>
        <v>1551765568354020</v>
      </c>
      <c r="C4918" t="s">
        <v>40</v>
      </c>
      <c r="D4918">
        <v>4.1703190000000001</v>
      </c>
      <c r="E4918">
        <v>0.60354669999999999</v>
      </c>
      <c r="F4918" t="s">
        <v>42</v>
      </c>
      <c r="G4918">
        <v>-356.72719999999998</v>
      </c>
      <c r="H4918" s="1">
        <v>-2.622311E-6</v>
      </c>
      <c r="I4918">
        <v>13.894069999999999</v>
      </c>
      <c r="J4918">
        <v>-374.5797</v>
      </c>
      <c r="K4918">
        <v>1.1108009999999999</v>
      </c>
      <c r="L4918">
        <v>16.649750000000001</v>
      </c>
      <c r="M4918">
        <v>0.99998529999999997</v>
      </c>
      <c r="N4918">
        <v>-3.0641219999999999E-3</v>
      </c>
      <c r="O4918">
        <v>4.4948640000000003E-3</v>
      </c>
      <c r="P4918">
        <v>0.99374830000000003</v>
      </c>
      <c r="Q4918">
        <v>-5.8593059999999999E-3</v>
      </c>
      <c r="R4918">
        <v>0.1114906</v>
      </c>
      <c r="S4918">
        <v>3.0702509999999998</v>
      </c>
      <c r="T4918">
        <v>-0.18885950000000001</v>
      </c>
      <c r="U4918">
        <v>-0.46813959999999999</v>
      </c>
      <c r="V4918">
        <v>-0.1070012</v>
      </c>
      <c r="W4918">
        <v>-3.53652E-3</v>
      </c>
      <c r="X4918">
        <v>0.99425260000000004</v>
      </c>
      <c r="Y4918">
        <v>0.1548677</v>
      </c>
      <c r="Z4918">
        <v>-5.2312540000000003E-3</v>
      </c>
      <c r="AA4918">
        <v>0.98792139999999995</v>
      </c>
      <c r="AB4918">
        <v>34</v>
      </c>
      <c r="AC4918">
        <v>17.852499999999999</v>
      </c>
      <c r="AD4918">
        <v>-1.1108036223109901</v>
      </c>
      <c r="AE4918">
        <v>-2.7556799999999999</v>
      </c>
      <c r="AF4918">
        <v>2.8252138876656399</v>
      </c>
      <c r="AG4918">
        <v>-1.1108036223109901</v>
      </c>
      <c r="AH4918">
        <v>17.772727779977</v>
      </c>
      <c r="AI4918">
        <v>93.532126007598904</v>
      </c>
      <c r="AJ4918">
        <v>80.967640675675597</v>
      </c>
      <c r="AK4918">
        <v>18.030129531968502</v>
      </c>
      <c r="AL4918">
        <v>90.202628092908995</v>
      </c>
      <c r="AM4918">
        <v>96.142515114212401</v>
      </c>
      <c r="AN4918">
        <v>0.99999999819095498</v>
      </c>
    </row>
    <row r="4919" spans="1:40" x14ac:dyDescent="0.25">
      <c r="A4919" t="str">
        <f>"20190305135928374"</f>
        <v>20190305135928374</v>
      </c>
      <c r="B4919" t="str">
        <f>"1551765568363781"</f>
        <v>1551765568363781</v>
      </c>
      <c r="C4919" t="s">
        <v>40</v>
      </c>
      <c r="D4919">
        <v>4.2099840000000004</v>
      </c>
      <c r="E4919">
        <v>0.60296400000000006</v>
      </c>
      <c r="F4919" t="s">
        <v>42</v>
      </c>
      <c r="G4919">
        <v>-356.66449999999998</v>
      </c>
      <c r="H4919" s="1">
        <v>-2.665501E-6</v>
      </c>
      <c r="I4919">
        <v>13.812049999999999</v>
      </c>
      <c r="J4919">
        <v>-374.3494</v>
      </c>
      <c r="K4919">
        <v>1.1107009999999999</v>
      </c>
      <c r="L4919">
        <v>16.652339999999999</v>
      </c>
      <c r="M4919">
        <v>0.99997530000000001</v>
      </c>
      <c r="N4919">
        <v>-3.0722649999999998E-3</v>
      </c>
      <c r="O4919">
        <v>6.3432649999999998E-3</v>
      </c>
      <c r="P4919">
        <v>0.99391269999999998</v>
      </c>
      <c r="Q4919">
        <v>-5.3499489999999997E-3</v>
      </c>
      <c r="R4919">
        <v>0.11004220000000001</v>
      </c>
      <c r="S4919">
        <v>3.0723569999999998</v>
      </c>
      <c r="T4919">
        <v>-0.190496</v>
      </c>
      <c r="U4919">
        <v>-0.48663329999999999</v>
      </c>
      <c r="V4919">
        <v>-0.1037182</v>
      </c>
      <c r="W4919">
        <v>-2.9694949999999999E-3</v>
      </c>
      <c r="X4919">
        <v>0.99460230000000005</v>
      </c>
      <c r="Y4919">
        <v>0.1623723</v>
      </c>
      <c r="Z4919">
        <v>-5.6203240000000003E-3</v>
      </c>
      <c r="AA4919">
        <v>0.98671350000000002</v>
      </c>
      <c r="AB4919">
        <v>34</v>
      </c>
      <c r="AC4919">
        <v>17.684899999999999</v>
      </c>
      <c r="AD4919">
        <v>-1.1107036655010001</v>
      </c>
      <c r="AE4919">
        <v>-2.8402899999999902</v>
      </c>
      <c r="AF4919">
        <v>2.9411039305242999</v>
      </c>
      <c r="AG4919">
        <v>-1.1107036655010001</v>
      </c>
      <c r="AH4919">
        <v>17.5988544092063</v>
      </c>
      <c r="AI4919">
        <v>93.562008173250902</v>
      </c>
      <c r="AJ4919">
        <v>80.512460200518703</v>
      </c>
      <c r="AK4919">
        <v>17.8774559565712</v>
      </c>
      <c r="AL4919">
        <v>90.170139779293905</v>
      </c>
      <c r="AM4919">
        <v>95.9533478966855</v>
      </c>
      <c r="AN4919">
        <v>1.0000000090385399</v>
      </c>
    </row>
    <row r="4920" spans="1:40" x14ac:dyDescent="0.25">
      <c r="A4920" t="str">
        <f>"20190305135928393"</f>
        <v>20190305135928393</v>
      </c>
      <c r="B4920" t="str">
        <f>"1551765568384277"</f>
        <v>1551765568384277</v>
      </c>
      <c r="C4920" t="s">
        <v>40</v>
      </c>
      <c r="D4920">
        <v>4.1624480000000004</v>
      </c>
      <c r="E4920">
        <v>0.60256219999999905</v>
      </c>
      <c r="F4920" t="s">
        <v>42</v>
      </c>
      <c r="G4920">
        <v>-356.82859999999999</v>
      </c>
      <c r="H4920" s="1">
        <v>-2.5921710000000002E-6</v>
      </c>
      <c r="I4920">
        <v>13.87778</v>
      </c>
      <c r="J4920">
        <v>-374.07690000000002</v>
      </c>
      <c r="K4920">
        <v>1.1105780000000001</v>
      </c>
      <c r="L4920">
        <v>16.655850000000001</v>
      </c>
      <c r="M4920">
        <v>0.99995990000000001</v>
      </c>
      <c r="N4920">
        <v>-3.0828800000000001E-3</v>
      </c>
      <c r="O4920">
        <v>8.4006879999999999E-3</v>
      </c>
      <c r="P4920">
        <v>0.99455229999999994</v>
      </c>
      <c r="Q4920">
        <v>-6.5735330000000003E-3</v>
      </c>
      <c r="R4920">
        <v>0.1040315</v>
      </c>
      <c r="S4920">
        <v>3.071167</v>
      </c>
      <c r="T4920">
        <v>-0.1946908</v>
      </c>
      <c r="U4920">
        <v>-0.48632809999999999</v>
      </c>
      <c r="V4920">
        <v>-9.5649150000000002E-2</v>
      </c>
      <c r="W4920">
        <v>-4.0982960000000004E-3</v>
      </c>
      <c r="X4920">
        <v>0.99540669999999998</v>
      </c>
      <c r="Y4920">
        <v>0.16434309999999999</v>
      </c>
      <c r="Z4920">
        <v>-5.9300169999999897E-3</v>
      </c>
      <c r="AA4920">
        <v>0.98638539999999997</v>
      </c>
      <c r="AB4920">
        <v>34</v>
      </c>
      <c r="AC4920">
        <v>17.2483</v>
      </c>
      <c r="AD4920">
        <v>-1.1105805921709999</v>
      </c>
      <c r="AE4920">
        <v>-2.77807</v>
      </c>
      <c r="AF4920">
        <v>2.9111065778543299</v>
      </c>
      <c r="AG4920">
        <v>-1.1105805921709999</v>
      </c>
      <c r="AH4920">
        <v>17.155030687591101</v>
      </c>
      <c r="AI4920">
        <v>93.651975675977198</v>
      </c>
      <c r="AJ4920">
        <v>80.368992997754901</v>
      </c>
      <c r="AK4920">
        <v>17.435682052948899</v>
      </c>
      <c r="AL4920">
        <v>90.234815714948198</v>
      </c>
      <c r="AM4920">
        <v>95.488729600116102</v>
      </c>
      <c r="AN4920">
        <v>1.00000002716535</v>
      </c>
    </row>
    <row r="4921" spans="1:40" x14ac:dyDescent="0.25">
      <c r="A4921" t="str">
        <f>"20190305135928405"</f>
        <v>20190305135928405</v>
      </c>
      <c r="B4921" t="str">
        <f>"1551765568394036"</f>
        <v>1551765568394036</v>
      </c>
      <c r="C4921" t="s">
        <v>40</v>
      </c>
      <c r="D4921">
        <v>4.1678410000000001</v>
      </c>
      <c r="E4921">
        <v>0.60248829999999998</v>
      </c>
      <c r="F4921" t="s">
        <v>42</v>
      </c>
      <c r="G4921">
        <v>-357.27339999999998</v>
      </c>
      <c r="H4921" s="1">
        <v>-2.4326409999999999E-6</v>
      </c>
      <c r="I4921">
        <v>13.908340000000001</v>
      </c>
      <c r="J4921">
        <v>-373.8768</v>
      </c>
      <c r="K4921">
        <v>1.1104780000000001</v>
      </c>
      <c r="L4921">
        <v>16.658719999999999</v>
      </c>
      <c r="M4921">
        <v>0.99994709999999998</v>
      </c>
      <c r="N4921">
        <v>-3.090878E-3</v>
      </c>
      <c r="O4921">
        <v>9.814283E-3</v>
      </c>
      <c r="P4921">
        <v>0.99488620000000005</v>
      </c>
      <c r="Q4921">
        <v>-7.3887249999999996E-3</v>
      </c>
      <c r="R4921">
        <v>0.10073360000000001</v>
      </c>
      <c r="S4921">
        <v>3.0675659999999998</v>
      </c>
      <c r="T4921">
        <v>-0.20274210000000001</v>
      </c>
      <c r="U4921">
        <v>-0.50155640000000001</v>
      </c>
      <c r="V4921">
        <v>-9.0937400000000002E-2</v>
      </c>
      <c r="W4921">
        <v>-4.8535419999999998E-3</v>
      </c>
      <c r="X4921">
        <v>0.99584479999999997</v>
      </c>
      <c r="Y4921">
        <v>0.1706394</v>
      </c>
      <c r="Z4921">
        <v>-6.4752350000000002E-3</v>
      </c>
      <c r="AA4921">
        <v>0.98531230000000003</v>
      </c>
      <c r="AB4921">
        <v>34</v>
      </c>
      <c r="AC4921">
        <v>16.603400000000001</v>
      </c>
      <c r="AD4921">
        <v>-1.110480432641</v>
      </c>
      <c r="AE4921">
        <v>-2.7503799999999998</v>
      </c>
      <c r="AF4921">
        <v>2.9005701968099</v>
      </c>
      <c r="AG4921">
        <v>-1.110480432641</v>
      </c>
      <c r="AH4921">
        <v>16.5037527441708</v>
      </c>
      <c r="AI4921">
        <v>93.791493752175697</v>
      </c>
      <c r="AJ4921">
        <v>80.031944818501799</v>
      </c>
      <c r="AK4921">
        <v>16.793460896986801</v>
      </c>
      <c r="AL4921">
        <v>90.278088559485894</v>
      </c>
      <c r="AM4921">
        <v>95.217598847173704</v>
      </c>
      <c r="AN4921">
        <v>1.00000001663787</v>
      </c>
    </row>
    <row r="4922" spans="1:40" x14ac:dyDescent="0.25">
      <c r="A4922" t="str">
        <f>"20190305135928427"</f>
        <v>20190305135928427</v>
      </c>
      <c r="B4922" t="str">
        <f>"1551765568424293"</f>
        <v>1551765568424293</v>
      </c>
      <c r="C4922" t="s">
        <v>40</v>
      </c>
      <c r="D4922">
        <v>4.2087110000000001</v>
      </c>
      <c r="E4922">
        <v>0.60175369999999995</v>
      </c>
      <c r="F4922" t="s">
        <v>42</v>
      </c>
      <c r="G4922">
        <v>-357.48899999999998</v>
      </c>
      <c r="H4922" s="1">
        <v>-2.3546450000000001E-6</v>
      </c>
      <c r="I4922">
        <v>13.92578</v>
      </c>
      <c r="J4922">
        <v>-373.5591</v>
      </c>
      <c r="K4922">
        <v>1.1103160000000001</v>
      </c>
      <c r="L4922">
        <v>16.66367</v>
      </c>
      <c r="M4922">
        <v>0.99992449999999999</v>
      </c>
      <c r="N4922">
        <v>-3.105343E-3</v>
      </c>
      <c r="O4922">
        <v>1.1891209999999999E-2</v>
      </c>
      <c r="P4922">
        <v>0.9956661</v>
      </c>
      <c r="Q4922">
        <v>-8.3517000000000001E-3</v>
      </c>
      <c r="R4922">
        <v>9.2624540000000005E-2</v>
      </c>
      <c r="S4922">
        <v>3.0656430000000001</v>
      </c>
      <c r="T4922">
        <v>-0.2077357</v>
      </c>
      <c r="U4922">
        <v>-0.51123050000000003</v>
      </c>
      <c r="V4922">
        <v>-8.0747749999999993E-2</v>
      </c>
      <c r="W4922">
        <v>-5.7068800000000001E-3</v>
      </c>
      <c r="X4922">
        <v>0.9967182</v>
      </c>
      <c r="Y4922">
        <v>0.1757725</v>
      </c>
      <c r="Z4922">
        <v>-6.9459379999999996E-3</v>
      </c>
      <c r="AA4922">
        <v>0.98440629999999996</v>
      </c>
      <c r="AB4922">
        <v>34</v>
      </c>
      <c r="AC4922">
        <v>16.070099999999901</v>
      </c>
      <c r="AD4922">
        <v>-1.1103183546449999</v>
      </c>
      <c r="AE4922">
        <v>-2.7378900000000002</v>
      </c>
      <c r="AF4922">
        <v>2.91526613589085</v>
      </c>
      <c r="AG4922">
        <v>-1.1103183546449999</v>
      </c>
      <c r="AH4922">
        <v>15.962356250126</v>
      </c>
      <c r="AI4922">
        <v>93.914460428832797</v>
      </c>
      <c r="AJ4922">
        <v>79.649922721129798</v>
      </c>
      <c r="AK4922">
        <v>16.264329083846899</v>
      </c>
      <c r="AL4922">
        <v>90.326981923253797</v>
      </c>
      <c r="AM4922">
        <v>94.631623443903493</v>
      </c>
      <c r="AN4922">
        <v>0.99999996891031795</v>
      </c>
    </row>
    <row r="4923" spans="1:40" x14ac:dyDescent="0.25">
      <c r="A4923" t="str">
        <f>"20190305135928449"</f>
        <v>20190305135928449</v>
      </c>
      <c r="B4923" t="str">
        <f>"1551765568443812"</f>
        <v>1551765568443812</v>
      </c>
      <c r="C4923" t="s">
        <v>40</v>
      </c>
      <c r="D4923">
        <v>4.1880600000000001</v>
      </c>
      <c r="E4923">
        <v>0.60109499999999905</v>
      </c>
      <c r="F4923" t="s">
        <v>42</v>
      </c>
      <c r="G4923">
        <v>-357.86279999999999</v>
      </c>
      <c r="H4923" s="1">
        <v>-2.2233069999999999E-6</v>
      </c>
      <c r="I4923">
        <v>13.94131</v>
      </c>
      <c r="J4923">
        <v>-373.2167</v>
      </c>
      <c r="K4923">
        <v>1.110139</v>
      </c>
      <c r="L4923">
        <v>16.669529999999899</v>
      </c>
      <c r="M4923">
        <v>0.99989859999999997</v>
      </c>
      <c r="N4923">
        <v>-3.125021E-3</v>
      </c>
      <c r="O4923">
        <v>1.390486E-2</v>
      </c>
      <c r="P4923">
        <v>0.99647430000000004</v>
      </c>
      <c r="Q4923">
        <v>-7.4766429999999998E-3</v>
      </c>
      <c r="R4923">
        <v>8.3566139999999997E-2</v>
      </c>
      <c r="S4923">
        <v>3.0606689999999999</v>
      </c>
      <c r="T4923">
        <v>-0.21650349999999999</v>
      </c>
      <c r="U4923">
        <v>-0.53082280000000004</v>
      </c>
      <c r="V4923">
        <v>-6.9678539999999997E-2</v>
      </c>
      <c r="W4923">
        <v>-4.7175009999999998E-3</v>
      </c>
      <c r="X4923">
        <v>0.99755839999999996</v>
      </c>
      <c r="Y4923">
        <v>0.1840687</v>
      </c>
      <c r="Z4923">
        <v>-7.6765610000000001E-3</v>
      </c>
      <c r="AA4923">
        <v>0.98288339999999996</v>
      </c>
      <c r="AB4923">
        <v>34</v>
      </c>
      <c r="AC4923">
        <v>15.353899999999999</v>
      </c>
      <c r="AD4923">
        <v>-1.110141223307</v>
      </c>
      <c r="AE4923">
        <v>-2.7282199999999901</v>
      </c>
      <c r="AF4923">
        <v>2.9266195752564301</v>
      </c>
      <c r="AG4923">
        <v>-1.110141223307</v>
      </c>
      <c r="AH4923">
        <v>15.2372606268905</v>
      </c>
      <c r="AI4923">
        <v>94.092493416039503</v>
      </c>
      <c r="AJ4923">
        <v>79.127610491897101</v>
      </c>
      <c r="AK4923">
        <v>15.555437219369599</v>
      </c>
      <c r="AL4923">
        <v>90.270293884147804</v>
      </c>
      <c r="AM4923">
        <v>93.995568136184502</v>
      </c>
      <c r="AN4923">
        <v>1.0000000575813801</v>
      </c>
    </row>
    <row r="4924" spans="1:40" x14ac:dyDescent="0.25">
      <c r="A4924" t="str">
        <f>"20190305135928470"</f>
        <v>20190305135928470</v>
      </c>
      <c r="B4924" t="str">
        <f>"1551765568464309"</f>
        <v>1551765568464309</v>
      </c>
      <c r="C4924" t="s">
        <v>40</v>
      </c>
      <c r="D4924">
        <v>4.1986299999999996</v>
      </c>
      <c r="E4924">
        <v>0.6005528</v>
      </c>
      <c r="F4924" t="s">
        <v>42</v>
      </c>
      <c r="G4924">
        <v>-357.5718</v>
      </c>
      <c r="H4924" s="1">
        <v>-2.3507740000000001E-6</v>
      </c>
      <c r="I4924">
        <v>13.834390000000001</v>
      </c>
      <c r="J4924">
        <v>-372.89440000000002</v>
      </c>
      <c r="K4924">
        <v>1.109969</v>
      </c>
      <c r="L4924">
        <v>16.67548</v>
      </c>
      <c r="M4924">
        <v>0.99987349999999997</v>
      </c>
      <c r="N4924">
        <v>-3.1452160000000002E-3</v>
      </c>
      <c r="O4924">
        <v>1.5600579999999999E-2</v>
      </c>
      <c r="P4924">
        <v>0.99722149999999998</v>
      </c>
      <c r="Q4924">
        <v>-7.6319990000000004E-3</v>
      </c>
      <c r="R4924">
        <v>7.4104760000000006E-2</v>
      </c>
      <c r="S4924">
        <v>3.0554199999999998</v>
      </c>
      <c r="T4924">
        <v>-0.21680859999999999</v>
      </c>
      <c r="U4924">
        <v>-0.55368039999999996</v>
      </c>
      <c r="V4924">
        <v>-5.8516539999999999E-2</v>
      </c>
      <c r="W4924">
        <v>-4.7693010000000001E-3</v>
      </c>
      <c r="X4924">
        <v>0.99827500000000002</v>
      </c>
      <c r="Y4924">
        <v>0.1931109</v>
      </c>
      <c r="Z4924">
        <v>-8.1427649999999997E-3</v>
      </c>
      <c r="AA4924">
        <v>0.98114310000000005</v>
      </c>
      <c r="AB4924">
        <v>34</v>
      </c>
      <c r="AC4924">
        <v>15.3226</v>
      </c>
      <c r="AD4924">
        <v>-1.1099713507740001</v>
      </c>
      <c r="AE4924">
        <v>-2.8410899999999999</v>
      </c>
      <c r="AF4924">
        <v>3.0642414554634101</v>
      </c>
      <c r="AG4924">
        <v>-1.1099713507740001</v>
      </c>
      <c r="AH4924">
        <v>15.199303917200099</v>
      </c>
      <c r="AI4924">
        <v>94.094673952628099</v>
      </c>
      <c r="AJ4924">
        <v>78.601723543249804</v>
      </c>
      <c r="AK4924">
        <v>15.544788569303</v>
      </c>
      <c r="AL4924">
        <v>90.273261867144797</v>
      </c>
      <c r="AM4924">
        <v>93.354705487789204</v>
      </c>
      <c r="AN4924">
        <v>0.99999995365529903</v>
      </c>
    </row>
    <row r="4925" spans="1:40" x14ac:dyDescent="0.25">
      <c r="A4925" t="str">
        <f>"20190305135928493"</f>
        <v>20190305135928493</v>
      </c>
      <c r="B4925" t="str">
        <f>"1551765568483832"</f>
        <v>1551765568483832</v>
      </c>
      <c r="C4925" t="s">
        <v>40</v>
      </c>
      <c r="D4925">
        <v>4.2022690000000003</v>
      </c>
      <c r="E4925">
        <v>0.59998859999999998</v>
      </c>
      <c r="F4925" t="s">
        <v>42</v>
      </c>
      <c r="G4925">
        <v>-357.46679999999998</v>
      </c>
      <c r="H4925" s="1">
        <v>-2.4092580000000001E-6</v>
      </c>
      <c r="I4925">
        <v>13.74896</v>
      </c>
      <c r="J4925">
        <v>-372.52789999999999</v>
      </c>
      <c r="K4925">
        <v>1.109769</v>
      </c>
      <c r="L4925">
        <v>16.682739999999999</v>
      </c>
      <c r="M4925">
        <v>0.9998454</v>
      </c>
      <c r="N4925">
        <v>-3.1681130000000002E-3</v>
      </c>
      <c r="O4925">
        <v>1.7301589999999999E-2</v>
      </c>
      <c r="P4925">
        <v>0.99789519999999998</v>
      </c>
      <c r="Q4925">
        <v>-9.497396E-3</v>
      </c>
      <c r="R4925">
        <v>6.4150479999999996E-2</v>
      </c>
      <c r="S4925">
        <v>3.0497130000000001</v>
      </c>
      <c r="T4925">
        <v>-0.21941730000000001</v>
      </c>
      <c r="U4925">
        <v>-0.57849119999999998</v>
      </c>
      <c r="V4925">
        <v>-4.6848090000000002E-2</v>
      </c>
      <c r="W4925">
        <v>-6.5332380000000002E-3</v>
      </c>
      <c r="X4925">
        <v>0.99888069999999896</v>
      </c>
      <c r="Y4925">
        <v>0.2027659</v>
      </c>
      <c r="Z4925">
        <v>-8.7235430000000003E-3</v>
      </c>
      <c r="AA4925">
        <v>0.97918839999999996</v>
      </c>
      <c r="AB4925">
        <v>35</v>
      </c>
      <c r="AC4925">
        <v>15.0611</v>
      </c>
      <c r="AD4925">
        <v>-1.109771409258</v>
      </c>
      <c r="AE4925">
        <v>-2.9337799999999898</v>
      </c>
      <c r="AF4925">
        <v>3.1773028315074301</v>
      </c>
      <c r="AG4925">
        <v>-1.109771409258</v>
      </c>
      <c r="AH4925">
        <v>14.929988382258999</v>
      </c>
      <c r="AI4925">
        <v>94.158291515393799</v>
      </c>
      <c r="AJ4925">
        <v>77.985916545629493</v>
      </c>
      <c r="AK4925">
        <v>15.304620183405399</v>
      </c>
      <c r="AL4925">
        <v>90.374329612025093</v>
      </c>
      <c r="AM4925">
        <v>92.685237903505893</v>
      </c>
      <c r="AN4925">
        <v>1.0000000397839499</v>
      </c>
    </row>
    <row r="4926" spans="1:40" x14ac:dyDescent="0.25">
      <c r="A4926" t="str">
        <f>"20190305135928505"</f>
        <v>20190305135928505</v>
      </c>
      <c r="B4926" t="str">
        <f>"1551765568494565"</f>
        <v>1551765568494565</v>
      </c>
      <c r="C4926" t="s">
        <v>40</v>
      </c>
      <c r="D4926">
        <v>4.1401050000000001</v>
      </c>
      <c r="E4926">
        <v>0.59969499999999998</v>
      </c>
      <c r="F4926" t="s">
        <v>42</v>
      </c>
      <c r="G4926">
        <v>-357.63740000000001</v>
      </c>
      <c r="H4926" s="1">
        <v>-2.3578410000000002E-6</v>
      </c>
      <c r="I4926">
        <v>13.723940000000001</v>
      </c>
      <c r="J4926">
        <v>-372.34480000000002</v>
      </c>
      <c r="K4926">
        <v>1.1096680000000001</v>
      </c>
      <c r="L4926">
        <v>16.686520000000002</v>
      </c>
      <c r="M4926">
        <v>0.9998321</v>
      </c>
      <c r="N4926">
        <v>-3.1792859999999999E-3</v>
      </c>
      <c r="O4926">
        <v>1.8051290000000001E-2</v>
      </c>
      <c r="P4926">
        <v>0.9982181</v>
      </c>
      <c r="Q4926">
        <v>-1.013682E-2</v>
      </c>
      <c r="R4926">
        <v>5.8804530000000001E-2</v>
      </c>
      <c r="S4926">
        <v>3.0430299999999999</v>
      </c>
      <c r="T4926">
        <v>-0.22679360000000001</v>
      </c>
      <c r="U4926">
        <v>-0.60464479999999998</v>
      </c>
      <c r="V4926">
        <v>-4.074755E-2</v>
      </c>
      <c r="W4926">
        <v>-7.125185E-3</v>
      </c>
      <c r="X4926">
        <v>0.99914409999999998</v>
      </c>
      <c r="Y4926">
        <v>0.2119268</v>
      </c>
      <c r="Z4926">
        <v>-9.4253099999999992E-3</v>
      </c>
      <c r="AA4926">
        <v>0.97724009999999994</v>
      </c>
      <c r="AB4926">
        <v>35</v>
      </c>
      <c r="AC4926">
        <v>14.7074</v>
      </c>
      <c r="AD4926">
        <v>-1.1096703578409901</v>
      </c>
      <c r="AE4926">
        <v>-2.96258</v>
      </c>
      <c r="AF4926">
        <v>3.21002507506374</v>
      </c>
      <c r="AG4926">
        <v>-1.1096703578409901</v>
      </c>
      <c r="AH4926">
        <v>14.571807037332899</v>
      </c>
      <c r="AI4926">
        <v>94.253187256220798</v>
      </c>
      <c r="AJ4926">
        <v>77.576727352878095</v>
      </c>
      <c r="AK4926">
        <v>14.962392509851901</v>
      </c>
      <c r="AL4926">
        <v>90.408246470132795</v>
      </c>
      <c r="AM4926">
        <v>92.335368428728998</v>
      </c>
      <c r="AN4926">
        <v>1.00000003182854</v>
      </c>
    </row>
    <row r="4927" spans="1:40" x14ac:dyDescent="0.25">
      <c r="A4927" t="str">
        <f>"20190305135928517"</f>
        <v>20190305135928517</v>
      </c>
      <c r="B4927" t="str">
        <f>"1551765568514085"</f>
        <v>1551765568514085</v>
      </c>
      <c r="C4927" t="s">
        <v>40</v>
      </c>
      <c r="D4927">
        <v>4.1596690000000001</v>
      </c>
      <c r="E4927">
        <v>0.59900880000000001</v>
      </c>
      <c r="F4927" t="s">
        <v>42</v>
      </c>
      <c r="G4927">
        <v>-357.43470000000002</v>
      </c>
      <c r="H4927" s="1">
        <v>-2.4461920000000002E-6</v>
      </c>
      <c r="I4927">
        <v>13.6512299999999</v>
      </c>
      <c r="J4927">
        <v>-372.15989999999999</v>
      </c>
      <c r="K4927">
        <v>1.109567</v>
      </c>
      <c r="L4927">
        <v>16.6904</v>
      </c>
      <c r="M4927">
        <v>0.99981900000000001</v>
      </c>
      <c r="N4927">
        <v>-3.1905100000000001E-3</v>
      </c>
      <c r="O4927">
        <v>1.8764240000000001E-2</v>
      </c>
      <c r="P4927">
        <v>0.99850700000000003</v>
      </c>
      <c r="Q4927">
        <v>-1.098653E-2</v>
      </c>
      <c r="R4927">
        <v>5.3508680000000003E-2</v>
      </c>
      <c r="S4927">
        <v>3.03952</v>
      </c>
      <c r="T4927">
        <v>-0.22621230000000001</v>
      </c>
      <c r="U4927">
        <v>-0.61874390000000001</v>
      </c>
      <c r="V4927">
        <v>-3.473267E-2</v>
      </c>
      <c r="W4927">
        <v>-7.9305109999999995E-3</v>
      </c>
      <c r="X4927">
        <v>0.99936519999999995</v>
      </c>
      <c r="Y4927">
        <v>0.2171787</v>
      </c>
      <c r="Z4927">
        <v>-9.6612339999999994E-3</v>
      </c>
      <c r="AA4927">
        <v>0.97608410000000001</v>
      </c>
      <c r="AB4927">
        <v>35</v>
      </c>
      <c r="AC4927">
        <v>14.7251999999999</v>
      </c>
      <c r="AD4927">
        <v>-1.109569446192</v>
      </c>
      <c r="AE4927">
        <v>-3.0391699999999999</v>
      </c>
      <c r="AF4927">
        <v>3.2969883844596701</v>
      </c>
      <c r="AG4927">
        <v>-1.109569446192</v>
      </c>
      <c r="AH4927">
        <v>14.5861447002485</v>
      </c>
      <c r="AI4927">
        <v>94.243469907579595</v>
      </c>
      <c r="AJ4927">
        <v>77.263151104611396</v>
      </c>
      <c r="AK4927">
        <v>14.995229040590599</v>
      </c>
      <c r="AL4927">
        <v>90.454389560408202</v>
      </c>
      <c r="AM4927">
        <v>91.990498301840802</v>
      </c>
      <c r="AN4927">
        <v>1.00000002717054</v>
      </c>
    </row>
    <row r="4928" spans="1:40" x14ac:dyDescent="0.25">
      <c r="A4928" t="str">
        <f>"20190305135928535"</f>
        <v>20190305135928535</v>
      </c>
      <c r="B4928" t="str">
        <f>"1551765568523845"</f>
        <v>1551765568523845</v>
      </c>
      <c r="C4928" t="s">
        <v>40</v>
      </c>
      <c r="D4928">
        <v>4.2106389999999996</v>
      </c>
      <c r="E4928">
        <v>0.59871169999999996</v>
      </c>
      <c r="F4928" t="s">
        <v>42</v>
      </c>
      <c r="G4928">
        <v>-357.41789999999997</v>
      </c>
      <c r="H4928" s="1">
        <v>-2.4568809999999998E-6</v>
      </c>
      <c r="I4928">
        <v>13.6325</v>
      </c>
      <c r="J4928">
        <v>-371.8689</v>
      </c>
      <c r="K4928">
        <v>1.1093930000000001</v>
      </c>
      <c r="L4928">
        <v>16.69669</v>
      </c>
      <c r="M4928">
        <v>0.99980040000000003</v>
      </c>
      <c r="N4928">
        <v>-3.2105469999999998E-3</v>
      </c>
      <c r="O4928">
        <v>1.9727160000000001E-2</v>
      </c>
      <c r="P4928">
        <v>0.99902190000000002</v>
      </c>
      <c r="Q4928">
        <v>-1.2110549999999999E-2</v>
      </c>
      <c r="R4928">
        <v>4.2529909999999997E-2</v>
      </c>
      <c r="S4928">
        <v>3.0357059999999998</v>
      </c>
      <c r="T4928">
        <v>-0.22848379999999999</v>
      </c>
      <c r="U4928">
        <v>-0.62966919999999904</v>
      </c>
      <c r="V4928">
        <v>-2.2783080000000001E-2</v>
      </c>
      <c r="W4928">
        <v>-8.9792869999999903E-3</v>
      </c>
      <c r="X4928">
        <v>0.99970009999999998</v>
      </c>
      <c r="Y4928">
        <v>0.22169720000000001</v>
      </c>
      <c r="Z4928">
        <v>-1.00093E-2</v>
      </c>
      <c r="AA4928">
        <v>0.97506420000000005</v>
      </c>
      <c r="AB4928">
        <v>35</v>
      </c>
      <c r="AC4928">
        <v>14.451000000000001</v>
      </c>
      <c r="AD4928">
        <v>-1.1093954568810001</v>
      </c>
      <c r="AE4928">
        <v>-3.06419</v>
      </c>
      <c r="AF4928">
        <v>3.3298918245823201</v>
      </c>
      <c r="AG4928">
        <v>-1.1093954568810001</v>
      </c>
      <c r="AH4928">
        <v>14.307048404754401</v>
      </c>
      <c r="AI4928">
        <v>94.318967511748795</v>
      </c>
      <c r="AJ4928">
        <v>76.897958553974902</v>
      </c>
      <c r="AK4928">
        <v>14.7312786919247</v>
      </c>
      <c r="AL4928">
        <v>90.514482165403393</v>
      </c>
      <c r="AM4928">
        <v>91.3055399349373</v>
      </c>
      <c r="AN4928">
        <v>0.99999999313466204</v>
      </c>
    </row>
    <row r="4929" spans="1:40" x14ac:dyDescent="0.25">
      <c r="A4929" t="str">
        <f>"20190305135928547"</f>
        <v>20190305135928547</v>
      </c>
      <c r="B4929" t="str">
        <f>"1551765568544340"</f>
        <v>1551765568544340</v>
      </c>
      <c r="C4929" t="s">
        <v>40</v>
      </c>
      <c r="D4929">
        <v>4.2412660000000004</v>
      </c>
      <c r="E4929">
        <v>0.5977635</v>
      </c>
      <c r="F4929" t="s">
        <v>42</v>
      </c>
      <c r="G4929">
        <v>-357.36619999999999</v>
      </c>
      <c r="H4929" s="1">
        <v>-2.5013889999999998E-6</v>
      </c>
      <c r="I4929">
        <v>13.53134</v>
      </c>
      <c r="J4929">
        <v>-371.68630000000002</v>
      </c>
      <c r="K4929">
        <v>1.1092820000000001</v>
      </c>
      <c r="L4929">
        <v>16.70074</v>
      </c>
      <c r="M4929">
        <v>0.99978999999999996</v>
      </c>
      <c r="N4929">
        <v>-3.2240839999999999E-3</v>
      </c>
      <c r="O4929">
        <v>2.0243339999999999E-2</v>
      </c>
      <c r="P4929">
        <v>0.99922080000000002</v>
      </c>
      <c r="Q4929">
        <v>-1.2790350000000001E-2</v>
      </c>
      <c r="R4929">
        <v>3.7341680000000002E-2</v>
      </c>
      <c r="S4929">
        <v>3.0282290000000001</v>
      </c>
      <c r="T4929">
        <v>-0.2316463</v>
      </c>
      <c r="U4929">
        <v>-0.66091919999999904</v>
      </c>
      <c r="V4929">
        <v>-1.7075650000000001E-2</v>
      </c>
      <c r="W4929">
        <v>-9.6214920000000006E-3</v>
      </c>
      <c r="X4929">
        <v>0.99980789999999997</v>
      </c>
      <c r="Y4929">
        <v>0.2322388</v>
      </c>
      <c r="Z4929">
        <v>-1.0610929999999999E-2</v>
      </c>
      <c r="AA4929">
        <v>0.97260089999999999</v>
      </c>
      <c r="AB4929">
        <v>35</v>
      </c>
      <c r="AC4929">
        <v>14.3201</v>
      </c>
      <c r="AD4929">
        <v>-1.10928450138899</v>
      </c>
      <c r="AE4929">
        <v>-3.1694</v>
      </c>
      <c r="AF4929">
        <v>3.4389664737221399</v>
      </c>
      <c r="AG4929">
        <v>-1.10928450138899</v>
      </c>
      <c r="AH4929">
        <v>14.171937157945999</v>
      </c>
      <c r="AI4929">
        <v>94.349873676057896</v>
      </c>
      <c r="AJ4929">
        <v>76.360231656415394</v>
      </c>
      <c r="AK4929">
        <v>14.6253480410272</v>
      </c>
      <c r="AL4929">
        <v>90.551279393403405</v>
      </c>
      <c r="AM4929">
        <v>90.9784555292308</v>
      </c>
      <c r="AN4929">
        <v>0.99999999391681904</v>
      </c>
    </row>
    <row r="4930" spans="1:40" x14ac:dyDescent="0.25">
      <c r="A4930" t="str">
        <f>"20190305135928558"</f>
        <v>20190305135928558</v>
      </c>
      <c r="B4930" t="str">
        <f>"1551765568554101"</f>
        <v>1551765568554101</v>
      </c>
      <c r="C4930" t="s">
        <v>40</v>
      </c>
      <c r="D4930">
        <v>4.2151509999999996</v>
      </c>
      <c r="E4930">
        <v>0.59731449999999997</v>
      </c>
      <c r="F4930" t="s">
        <v>42</v>
      </c>
      <c r="G4930">
        <v>-357.3777</v>
      </c>
      <c r="H4930" s="1">
        <v>-2.4966139999999999E-6</v>
      </c>
      <c r="I4930">
        <v>13.534529999999901</v>
      </c>
      <c r="J4930">
        <v>-371.5077</v>
      </c>
      <c r="K4930">
        <v>1.109181</v>
      </c>
      <c r="L4930">
        <v>16.704709999999999</v>
      </c>
      <c r="M4930">
        <v>0.99978020000000001</v>
      </c>
      <c r="N4930">
        <v>-3.2376459999999998E-3</v>
      </c>
      <c r="O4930">
        <v>2.072218E-2</v>
      </c>
      <c r="P4930">
        <v>0.99938570000000004</v>
      </c>
      <c r="Q4930">
        <v>-1.3763559999999999E-2</v>
      </c>
      <c r="R4930">
        <v>3.2238509999999998E-2</v>
      </c>
      <c r="S4930">
        <v>3.024384</v>
      </c>
      <c r="T4930">
        <v>-0.23446800000000001</v>
      </c>
      <c r="U4930">
        <v>-0.66922000000000004</v>
      </c>
      <c r="V4930">
        <v>-1.149119E-2</v>
      </c>
      <c r="W4930">
        <v>-1.0560369999999999E-2</v>
      </c>
      <c r="X4930">
        <v>0.99987820000000005</v>
      </c>
      <c r="Y4930">
        <v>0.2354772</v>
      </c>
      <c r="Z4930">
        <v>-1.091166E-2</v>
      </c>
      <c r="AA4930">
        <v>0.97181859999999998</v>
      </c>
      <c r="AB4930">
        <v>35</v>
      </c>
      <c r="AC4930">
        <v>14.1299999999999</v>
      </c>
      <c r="AD4930">
        <v>-1.109183496614</v>
      </c>
      <c r="AE4930">
        <v>-3.1701800000000002</v>
      </c>
      <c r="AF4930">
        <v>3.4421113171958599</v>
      </c>
      <c r="AG4930">
        <v>-1.109183496614</v>
      </c>
      <c r="AH4930">
        <v>13.9792603491143</v>
      </c>
      <c r="AI4930">
        <v>94.405578823593999</v>
      </c>
      <c r="AJ4930">
        <v>76.167242650462796</v>
      </c>
      <c r="AK4930">
        <v>14.4394646111776</v>
      </c>
      <c r="AL4930">
        <v>90.605075882870594</v>
      </c>
      <c r="AM4930">
        <v>90.658447902906204</v>
      </c>
      <c r="AN4930">
        <v>0.99999999184869603</v>
      </c>
    </row>
    <row r="4931" spans="1:40" x14ac:dyDescent="0.25">
      <c r="A4931" t="str">
        <f>"20190305135928570"</f>
        <v>20190305135928570</v>
      </c>
      <c r="B4931" t="str">
        <f>"1551765568563861"</f>
        <v>1551765568563861</v>
      </c>
      <c r="C4931" t="s">
        <v>40</v>
      </c>
      <c r="D4931">
        <v>4.2342459999999997</v>
      </c>
      <c r="E4931">
        <v>0.59731449999999997</v>
      </c>
      <c r="F4931" t="s">
        <v>42</v>
      </c>
      <c r="G4931">
        <v>-357.33300000000003</v>
      </c>
      <c r="H4931" s="1">
        <v>-2.5189370000000001E-6</v>
      </c>
      <c r="I4931">
        <v>13.507849999999999</v>
      </c>
      <c r="J4931">
        <v>-371.31310000000002</v>
      </c>
      <c r="K4931">
        <v>1.10907</v>
      </c>
      <c r="L4931">
        <v>16.709109999999999</v>
      </c>
      <c r="M4931">
        <v>0.99977139999999998</v>
      </c>
      <c r="N4931">
        <v>-3.2522879999999999E-3</v>
      </c>
      <c r="O4931">
        <v>2.1137980000000001E-2</v>
      </c>
      <c r="P4931">
        <v>0.99952969999999997</v>
      </c>
      <c r="Q4931">
        <v>-1.467309E-2</v>
      </c>
      <c r="R4931">
        <v>2.693007E-2</v>
      </c>
      <c r="S4931">
        <v>3.0205380000000002</v>
      </c>
      <c r="T4931">
        <v>-0.23636009999999999</v>
      </c>
      <c r="U4931">
        <v>-0.68121339999999997</v>
      </c>
      <c r="V4931">
        <v>-5.7653309999999899E-3</v>
      </c>
      <c r="W4931">
        <v>-1.1436719999999999E-2</v>
      </c>
      <c r="X4931">
        <v>0.99991799999999997</v>
      </c>
      <c r="Y4931">
        <v>0.23978749999999999</v>
      </c>
      <c r="Z4931">
        <v>-1.121144E-2</v>
      </c>
      <c r="AA4931">
        <v>0.97076059999999997</v>
      </c>
      <c r="AB4931">
        <v>35</v>
      </c>
      <c r="AC4931">
        <v>13.980099999999901</v>
      </c>
      <c r="AD4931">
        <v>-1.1090725189370001</v>
      </c>
      <c r="AE4931">
        <v>-3.20126</v>
      </c>
      <c r="AF4931">
        <v>3.4752750477654999</v>
      </c>
      <c r="AG4931">
        <v>-1.1090725189370001</v>
      </c>
      <c r="AH4931">
        <v>13.8266240886243</v>
      </c>
      <c r="AI4931">
        <v>94.448260618535699</v>
      </c>
      <c r="AJ4931">
        <v>75.891163210042706</v>
      </c>
      <c r="AK4931">
        <v>14.2997591657345</v>
      </c>
      <c r="AL4931">
        <v>90.655290058643999</v>
      </c>
      <c r="AM4931">
        <v>90.330352562237493</v>
      </c>
      <c r="AN4931">
        <v>1.0000000221649401</v>
      </c>
    </row>
    <row r="4932" spans="1:40" x14ac:dyDescent="0.25">
      <c r="A4932" t="str">
        <f>"20190305135928582"</f>
        <v>20190305135928582</v>
      </c>
      <c r="B4932" t="str">
        <f>"1551765568574598"</f>
        <v>1551765568574598</v>
      </c>
      <c r="C4932" t="s">
        <v>40</v>
      </c>
      <c r="D4932">
        <v>4.2294260000000001</v>
      </c>
      <c r="E4932">
        <v>0.58363750000000003</v>
      </c>
      <c r="F4932" t="s">
        <v>42</v>
      </c>
      <c r="G4932">
        <v>-357.31270000000001</v>
      </c>
      <c r="H4932" s="1">
        <v>-2.5351340000000002E-6</v>
      </c>
      <c r="I4932">
        <v>13.47292</v>
      </c>
      <c r="J4932">
        <v>-371.13369999999998</v>
      </c>
      <c r="K4932">
        <v>1.108968</v>
      </c>
      <c r="L4932">
        <v>16.713200000000001</v>
      </c>
      <c r="M4932">
        <v>0.99976370000000003</v>
      </c>
      <c r="N4932">
        <v>-3.2664259999999998E-3</v>
      </c>
      <c r="O4932">
        <v>2.1491159999999999E-2</v>
      </c>
      <c r="P4932">
        <v>0.99964299999999995</v>
      </c>
      <c r="Q4932">
        <v>-1.5281060000000001E-2</v>
      </c>
      <c r="R4932">
        <v>2.1928099999999999E-2</v>
      </c>
      <c r="S4932">
        <v>3.016724</v>
      </c>
      <c r="T4932">
        <v>-0.23897660000000001</v>
      </c>
      <c r="U4932">
        <v>-0.69729609999999997</v>
      </c>
      <c r="V4932">
        <v>-4.1035239999999998E-4</v>
      </c>
      <c r="W4932">
        <v>-1.2015980000000001E-2</v>
      </c>
      <c r="X4932">
        <v>0.99992769999999997</v>
      </c>
      <c r="Y4932">
        <v>0.2452723</v>
      </c>
      <c r="Z4932">
        <v>-1.1590069999999999E-2</v>
      </c>
      <c r="AA4932">
        <v>0.96938489999999999</v>
      </c>
      <c r="AB4932">
        <v>35</v>
      </c>
      <c r="AC4932">
        <v>13.8209999999999</v>
      </c>
      <c r="AD4932">
        <v>-1.108970535134</v>
      </c>
      <c r="AE4932">
        <v>-3.2402799999999901</v>
      </c>
      <c r="AF4932">
        <v>3.5151108025403701</v>
      </c>
      <c r="AG4932">
        <v>-1.108970535134</v>
      </c>
      <c r="AH4932">
        <v>13.6647778630958</v>
      </c>
      <c r="AI4932">
        <v>94.494015649280399</v>
      </c>
      <c r="AJ4932">
        <v>75.574071821983694</v>
      </c>
      <c r="AK4932">
        <v>14.153161259933601</v>
      </c>
      <c r="AL4932">
        <v>90.688481523652797</v>
      </c>
      <c r="AM4932">
        <v>90.023513159314604</v>
      </c>
      <c r="AN4932">
        <v>0.99999997869587098</v>
      </c>
    </row>
    <row r="4933" spans="1:40" x14ac:dyDescent="0.25">
      <c r="A4933" t="str">
        <f>"20190305135928593"</f>
        <v>20190305135928593</v>
      </c>
      <c r="B4933" t="str">
        <f>"1551765568584357"</f>
        <v>1551765568584357</v>
      </c>
      <c r="C4933" t="s">
        <v>40</v>
      </c>
      <c r="D4933">
        <v>4.2065679999999999</v>
      </c>
      <c r="E4933">
        <v>0.58312109999999995</v>
      </c>
      <c r="F4933" t="s">
        <v>42</v>
      </c>
      <c r="G4933">
        <v>-358.3793</v>
      </c>
      <c r="H4933" s="1">
        <v>-1.9904960000000001E-6</v>
      </c>
      <c r="I4933">
        <v>14.1557</v>
      </c>
      <c r="J4933">
        <v>-370.94880000000001</v>
      </c>
      <c r="K4933">
        <v>1.1088690000000001</v>
      </c>
      <c r="L4933">
        <v>16.71744</v>
      </c>
      <c r="M4933">
        <v>0.99975709999999995</v>
      </c>
      <c r="N4933">
        <v>-3.2821399999999998E-3</v>
      </c>
      <c r="O4933">
        <v>2.179532E-2</v>
      </c>
      <c r="P4933">
        <v>0.99972550000000004</v>
      </c>
      <c r="Q4933">
        <v>-1.6163179999999999E-2</v>
      </c>
      <c r="R4933">
        <v>1.6963180000000001E-2</v>
      </c>
      <c r="S4933">
        <v>3.0103149999999999</v>
      </c>
      <c r="T4933">
        <v>-0.26174190000000003</v>
      </c>
      <c r="U4933">
        <v>-0.60360719999999901</v>
      </c>
      <c r="V4933">
        <v>4.8590930000000001E-3</v>
      </c>
      <c r="W4933">
        <v>-1.2870619999999999E-2</v>
      </c>
      <c r="X4933">
        <v>0.9999053</v>
      </c>
      <c r="Y4933">
        <v>0.217031</v>
      </c>
      <c r="Z4933">
        <v>-1.1488719999999999E-2</v>
      </c>
      <c r="AA4933">
        <v>0.97609710000000005</v>
      </c>
      <c r="AB4933">
        <v>35</v>
      </c>
      <c r="AC4933">
        <v>12.5695</v>
      </c>
      <c r="AD4933">
        <v>-1.1088709904959999</v>
      </c>
      <c r="AE4933">
        <v>-2.5617399999999999</v>
      </c>
      <c r="AF4933">
        <v>2.8140618302470402</v>
      </c>
      <c r="AG4933">
        <v>-1.1088709904959999</v>
      </c>
      <c r="AH4933">
        <v>12.417890311673</v>
      </c>
      <c r="AI4933">
        <v>94.977222555156004</v>
      </c>
      <c r="AJ4933">
        <v>77.231653762451799</v>
      </c>
      <c r="AK4933">
        <v>12.780944356766399</v>
      </c>
      <c r="AL4933">
        <v>90.737452613833895</v>
      </c>
      <c r="AM4933">
        <v>89.721570303054406</v>
      </c>
      <c r="AN4933">
        <v>0.99999993630602602</v>
      </c>
    </row>
    <row r="4934" spans="1:40" x14ac:dyDescent="0.25">
      <c r="A4934" t="str">
        <f>"20190305135928604"</f>
        <v>20190305135928604</v>
      </c>
      <c r="B4934" t="str">
        <f>"1551765568594117"</f>
        <v>1551765568594117</v>
      </c>
      <c r="C4934" t="s">
        <v>40</v>
      </c>
      <c r="D4934">
        <v>4.2774489999999998</v>
      </c>
      <c r="E4934">
        <v>0.58312109999999995</v>
      </c>
      <c r="F4934" t="s">
        <v>42</v>
      </c>
      <c r="G4934">
        <v>-357.91649999999998</v>
      </c>
      <c r="H4934" s="1">
        <v>-2.1748779999999999E-6</v>
      </c>
      <c r="I4934">
        <v>14.05462</v>
      </c>
      <c r="J4934">
        <v>-370.76850000000002</v>
      </c>
      <c r="K4934">
        <v>1.108781</v>
      </c>
      <c r="L4934">
        <v>16.721589999999999</v>
      </c>
      <c r="M4934">
        <v>0.99975170000000002</v>
      </c>
      <c r="N4934">
        <v>-3.3003780000000001E-3</v>
      </c>
      <c r="O4934">
        <v>2.2039610000000001E-2</v>
      </c>
      <c r="P4934">
        <v>0.99971460000000001</v>
      </c>
      <c r="Q4934">
        <v>-1.6148099999999999E-2</v>
      </c>
      <c r="R4934">
        <v>1.760946E-2</v>
      </c>
      <c r="S4934">
        <v>3.0071110000000001</v>
      </c>
      <c r="T4934">
        <v>-0.25586560000000003</v>
      </c>
      <c r="U4934">
        <v>-0.61441040000000002</v>
      </c>
      <c r="V4934">
        <v>4.4539860000000001E-3</v>
      </c>
      <c r="W4934">
        <v>-1.283918E-2</v>
      </c>
      <c r="X4934">
        <v>0.99990769999999995</v>
      </c>
      <c r="Y4934">
        <v>0.22086</v>
      </c>
      <c r="Z4934">
        <v>-1.143459E-2</v>
      </c>
      <c r="AA4934">
        <v>0.97523850000000001</v>
      </c>
      <c r="AB4934">
        <v>35</v>
      </c>
      <c r="AC4934">
        <v>12.852</v>
      </c>
      <c r="AD4934">
        <v>-1.1087831748779999</v>
      </c>
      <c r="AE4934">
        <v>-2.6669699999999898</v>
      </c>
      <c r="AF4934">
        <v>2.9286783628760702</v>
      </c>
      <c r="AG4934">
        <v>-1.1087831748779999</v>
      </c>
      <c r="AH4934">
        <v>12.6994781697116</v>
      </c>
      <c r="AI4934">
        <v>94.862806187732801</v>
      </c>
      <c r="AJ4934">
        <v>77.013823989455503</v>
      </c>
      <c r="AK4934">
        <v>13.0798816074555</v>
      </c>
      <c r="AL4934">
        <v>90.7356510052023</v>
      </c>
      <c r="AM4934">
        <v>89.744783531517101</v>
      </c>
      <c r="AN4934">
        <v>1.0000000455268201</v>
      </c>
    </row>
    <row r="4935" spans="1:40" x14ac:dyDescent="0.25">
      <c r="A4935" t="str">
        <f>"20190305135928615"</f>
        <v>20190305135928615</v>
      </c>
      <c r="B4935" t="str">
        <f>"1551765568603879"</f>
        <v>1551765568603879</v>
      </c>
      <c r="C4935" t="s">
        <v>40</v>
      </c>
      <c r="D4935">
        <v>4.1308699999999998</v>
      </c>
      <c r="E4935">
        <v>0.56845009999999996</v>
      </c>
      <c r="F4935" t="s">
        <v>42</v>
      </c>
      <c r="G4935">
        <v>-357.71210000000002</v>
      </c>
      <c r="H4935" s="1">
        <v>-2.2425749999999999E-6</v>
      </c>
      <c r="I4935">
        <v>14.061629999999999</v>
      </c>
      <c r="J4935">
        <v>-370.59019999999998</v>
      </c>
      <c r="K4935">
        <v>1.1086910000000001</v>
      </c>
      <c r="L4935">
        <v>16.725680000000001</v>
      </c>
      <c r="M4935">
        <v>0.99974700000000005</v>
      </c>
      <c r="N4935">
        <v>-3.3203130000000001E-3</v>
      </c>
      <c r="O4935">
        <v>2.2247340000000001E-2</v>
      </c>
      <c r="P4935">
        <v>0.99977839999999996</v>
      </c>
      <c r="Q4935">
        <v>-1.6442869999999998E-2</v>
      </c>
      <c r="R4935">
        <v>1.3153430000000001E-2</v>
      </c>
      <c r="S4935">
        <v>3.0075379999999998</v>
      </c>
      <c r="T4935">
        <v>-0.25540839999999998</v>
      </c>
      <c r="U4935">
        <v>-0.61270139999999995</v>
      </c>
      <c r="V4935">
        <v>9.1157870000000002E-3</v>
      </c>
      <c r="W4935">
        <v>-1.310673E-2</v>
      </c>
      <c r="X4935">
        <v>0.9998726</v>
      </c>
      <c r="Y4935">
        <v>0.22050700000000001</v>
      </c>
      <c r="Z4935">
        <v>-1.141697E-2</v>
      </c>
      <c r="AA4935">
        <v>0.97531860000000004</v>
      </c>
      <c r="AB4935">
        <v>36</v>
      </c>
      <c r="AC4935">
        <v>12.8780999999999</v>
      </c>
      <c r="AD4935">
        <v>-1.108693242575</v>
      </c>
      <c r="AE4935">
        <v>-2.66405</v>
      </c>
      <c r="AF4935">
        <v>2.92907707510301</v>
      </c>
      <c r="AG4935">
        <v>-1.108693242575</v>
      </c>
      <c r="AH4935">
        <v>12.725199085243</v>
      </c>
      <c r="AI4935">
        <v>94.853091877193805</v>
      </c>
      <c r="AJ4935">
        <v>77.0374803456628</v>
      </c>
      <c r="AK4935">
        <v>13.1049374274392</v>
      </c>
      <c r="AL4935">
        <v>90.750981777054093</v>
      </c>
      <c r="AM4935">
        <v>89.4776518009445</v>
      </c>
      <c r="AN4935">
        <v>1.0000000500873301</v>
      </c>
    </row>
    <row r="4936" spans="1:40" x14ac:dyDescent="0.25">
      <c r="A4936" t="str">
        <f>"20190305135928630"</f>
        <v>20190305135928630</v>
      </c>
      <c r="B4936" t="str">
        <f>"1551765568624373"</f>
        <v>1551765568624373</v>
      </c>
      <c r="C4936" t="s">
        <v>40</v>
      </c>
      <c r="D4936">
        <v>4.1222089999999998</v>
      </c>
      <c r="E4936">
        <v>0.55733759999999999</v>
      </c>
      <c r="F4936" t="s">
        <v>42</v>
      </c>
      <c r="G4936">
        <v>-343.33120000000002</v>
      </c>
      <c r="H4936" s="1">
        <v>-4.2491819999999998E-6</v>
      </c>
      <c r="I4936">
        <v>12.123189999999999</v>
      </c>
      <c r="J4936">
        <v>-370.37729999999999</v>
      </c>
      <c r="K4936">
        <v>1.108595</v>
      </c>
      <c r="L4936">
        <v>16.730589999999999</v>
      </c>
      <c r="M4936">
        <v>0.99974300000000005</v>
      </c>
      <c r="N4936">
        <v>-3.3570480000000001E-3</v>
      </c>
      <c r="O4936">
        <v>2.2421630000000001E-2</v>
      </c>
      <c r="P4936">
        <v>0.99981889999999995</v>
      </c>
      <c r="Q4936">
        <v>-1.679746E-2</v>
      </c>
      <c r="R4936">
        <v>8.9477919999999996E-3</v>
      </c>
      <c r="S4936">
        <v>3.0053100000000001</v>
      </c>
      <c r="T4936">
        <v>-0.12223390000000001</v>
      </c>
      <c r="U4936">
        <v>-0.50741579999999997</v>
      </c>
      <c r="V4936">
        <v>1.349304E-2</v>
      </c>
      <c r="W4936">
        <v>-1.342015E-2</v>
      </c>
      <c r="X4936">
        <v>0.99981889999999995</v>
      </c>
      <c r="Y4936">
        <v>0.18837090000000001</v>
      </c>
      <c r="Z4936">
        <v>-4.9517160000000001E-3</v>
      </c>
      <c r="AA4936">
        <v>0.98208549999999994</v>
      </c>
      <c r="AB4936">
        <v>36</v>
      </c>
      <c r="AC4936">
        <v>27.0460999999999</v>
      </c>
      <c r="AD4936">
        <v>-1.108599249182</v>
      </c>
      <c r="AE4936">
        <v>-4.6074000000000002</v>
      </c>
      <c r="AF4936">
        <v>5.2041657205599403</v>
      </c>
      <c r="AG4936">
        <v>-1.108599249182</v>
      </c>
      <c r="AH4936">
        <v>26.892086964623999</v>
      </c>
      <c r="AI4936">
        <v>92.3176728094368</v>
      </c>
      <c r="AJ4936">
        <v>79.047486508845793</v>
      </c>
      <c r="AK4936">
        <v>27.413439668440699</v>
      </c>
      <c r="AL4936">
        <v>90.768941039498998</v>
      </c>
      <c r="AM4936">
        <v>89.226812659902507</v>
      </c>
      <c r="AN4936">
        <v>0.99999999767583703</v>
      </c>
    </row>
    <row r="4937" spans="1:40" x14ac:dyDescent="0.25">
      <c r="A4937" t="str">
        <f>"20190305135928648"</f>
        <v>20190305135928648</v>
      </c>
      <c r="B4937" t="str">
        <f>"1551765568643892"</f>
        <v>1551765568643892</v>
      </c>
      <c r="C4937" t="s">
        <v>40</v>
      </c>
      <c r="D4937">
        <v>4.1415419999999896</v>
      </c>
      <c r="E4937">
        <v>0.55112269999999997</v>
      </c>
      <c r="F4937" t="s">
        <v>42</v>
      </c>
      <c r="G4937">
        <v>-345.54289999999997</v>
      </c>
      <c r="H4937" s="1">
        <v>-3.2207689999999999E-6</v>
      </c>
      <c r="I4937">
        <v>13.15962</v>
      </c>
      <c r="J4937">
        <v>-370.07229999999998</v>
      </c>
      <c r="K4937">
        <v>1.1084689999999999</v>
      </c>
      <c r="L4937">
        <v>16.73761</v>
      </c>
      <c r="M4937">
        <v>0.99973889999999999</v>
      </c>
      <c r="N4937">
        <v>-3.441127E-3</v>
      </c>
      <c r="O4937">
        <v>2.2589229999999998E-2</v>
      </c>
      <c r="P4937">
        <v>0.99985639999999998</v>
      </c>
      <c r="Q4937">
        <v>-1.688723E-2</v>
      </c>
      <c r="R4937">
        <v>1.53743E-3</v>
      </c>
      <c r="S4937">
        <v>3.0021360000000001</v>
      </c>
      <c r="T4937">
        <v>-0.13401450000000001</v>
      </c>
      <c r="U4937">
        <v>-0.43167109999999898</v>
      </c>
      <c r="V4937">
        <v>2.1065400000000001E-2</v>
      </c>
      <c r="W4937">
        <v>-1.342141E-2</v>
      </c>
      <c r="X4937">
        <v>0.99968800000000002</v>
      </c>
      <c r="Y4937">
        <v>0.164455399999999</v>
      </c>
      <c r="Z4937">
        <v>-4.8603989999999996E-3</v>
      </c>
      <c r="AA4937">
        <v>0.98637249999999999</v>
      </c>
      <c r="AB4937">
        <v>36</v>
      </c>
      <c r="AC4937">
        <v>24.529399999999999</v>
      </c>
      <c r="AD4937">
        <v>-1.1084722207690001</v>
      </c>
      <c r="AE4937">
        <v>-3.5779899999999998</v>
      </c>
      <c r="AF4937">
        <v>4.1229365207970696</v>
      </c>
      <c r="AG4937">
        <v>-1.1084722207690001</v>
      </c>
      <c r="AH4937">
        <v>24.393540147387998</v>
      </c>
      <c r="AI4937">
        <v>92.565464229240305</v>
      </c>
      <c r="AJ4937">
        <v>80.406672398526396</v>
      </c>
      <c r="AK4937">
        <v>24.7643315504572</v>
      </c>
      <c r="AL4937">
        <v>90.769013243561304</v>
      </c>
      <c r="AM4937">
        <v>88.792843446990801</v>
      </c>
      <c r="AN4937">
        <v>0.99999999133377404</v>
      </c>
    </row>
    <row r="4938" spans="1:40" x14ac:dyDescent="0.25">
      <c r="A4938" t="str">
        <f>"20190305135928662"</f>
        <v>20190305135928662</v>
      </c>
      <c r="B4938" t="str">
        <f>"1551765568654629"</f>
        <v>1551765568654629</v>
      </c>
      <c r="C4938" t="s">
        <v>40</v>
      </c>
      <c r="D4938">
        <v>4.1231119999999999</v>
      </c>
      <c r="E4938">
        <v>0.54944289999999996</v>
      </c>
      <c r="F4938" t="s">
        <v>42</v>
      </c>
      <c r="G4938">
        <v>-345.38240000000002</v>
      </c>
      <c r="H4938" s="1">
        <v>-3.2093680000000001E-6</v>
      </c>
      <c r="I4938">
        <v>13.40781</v>
      </c>
      <c r="J4938">
        <v>-369.84719999999999</v>
      </c>
      <c r="K4938">
        <v>1.108392</v>
      </c>
      <c r="L4938">
        <v>16.742739999999898</v>
      </c>
      <c r="M4938">
        <v>0.9997374</v>
      </c>
      <c r="N4938">
        <v>-3.5394070000000001E-3</v>
      </c>
      <c r="O4938">
        <v>2.2649510000000001E-2</v>
      </c>
      <c r="P4938">
        <v>0.99986059999999999</v>
      </c>
      <c r="Q4938">
        <v>-1.6628319999999999E-2</v>
      </c>
      <c r="R4938">
        <v>-1.6878450000000001E-3</v>
      </c>
      <c r="S4938">
        <v>2.9987789999999999</v>
      </c>
      <c r="T4938">
        <v>-0.1346321</v>
      </c>
      <c r="U4938">
        <v>-0.40441890000000003</v>
      </c>
      <c r="V4938">
        <v>2.4346820000000002E-2</v>
      </c>
      <c r="W4938">
        <v>-1.3066080000000001E-2</v>
      </c>
      <c r="X4938">
        <v>0.99961820000000001</v>
      </c>
      <c r="Y4938">
        <v>0.15587779999999901</v>
      </c>
      <c r="Z4938">
        <v>-4.6912239999999999E-3</v>
      </c>
      <c r="AA4938">
        <v>0.98776520000000001</v>
      </c>
      <c r="AB4938">
        <v>36</v>
      </c>
      <c r="AC4938">
        <v>24.464799999999901</v>
      </c>
      <c r="AD4938">
        <v>-1.1083952093680001</v>
      </c>
      <c r="AE4938">
        <v>-3.3349299999999902</v>
      </c>
      <c r="AF4938">
        <v>3.8803739804577799</v>
      </c>
      <c r="AG4938">
        <v>-1.1083952093680001</v>
      </c>
      <c r="AH4938">
        <v>24.3339520475424</v>
      </c>
      <c r="AI4938">
        <v>92.575486475524201</v>
      </c>
      <c r="AJ4938">
        <v>80.939704796300205</v>
      </c>
      <c r="AK4938">
        <v>24.666314366367299</v>
      </c>
      <c r="AL4938">
        <v>90.748652528351499</v>
      </c>
      <c r="AM4938">
        <v>88.604773015258402</v>
      </c>
      <c r="AN4938">
        <v>1.0000000179309501</v>
      </c>
    </row>
    <row r="4939" spans="1:40" x14ac:dyDescent="0.25">
      <c r="A4939" t="str">
        <f>"20190305135928673"</f>
        <v>20190305135928673</v>
      </c>
      <c r="B4939" t="str">
        <f>"1551765568664389"</f>
        <v>1551765568664389</v>
      </c>
      <c r="C4939" t="s">
        <v>40</v>
      </c>
      <c r="D4939">
        <v>4.1660469999999998</v>
      </c>
      <c r="E4939">
        <v>0.54791690000000004</v>
      </c>
      <c r="F4939" t="s">
        <v>42</v>
      </c>
      <c r="G4939">
        <v>-344.96960000000001</v>
      </c>
      <c r="H4939" s="1">
        <v>-3.3473440000000001E-6</v>
      </c>
      <c r="I4939">
        <v>13.417129999999901</v>
      </c>
      <c r="J4939">
        <v>-369.66989999999998</v>
      </c>
      <c r="K4939">
        <v>1.108341</v>
      </c>
      <c r="L4939">
        <v>16.746770000000001</v>
      </c>
      <c r="M4939">
        <v>0.99973670000000003</v>
      </c>
      <c r="N4939">
        <v>-3.6498279999999999E-3</v>
      </c>
      <c r="O4939">
        <v>2.265443E-2</v>
      </c>
      <c r="P4939">
        <v>0.99985440000000003</v>
      </c>
      <c r="Q4939">
        <v>-1.6328990000000002E-2</v>
      </c>
      <c r="R4939">
        <v>-4.9327390000000002E-3</v>
      </c>
      <c r="S4939">
        <v>2.997528</v>
      </c>
      <c r="T4939">
        <v>-0.133551799999999</v>
      </c>
      <c r="U4939">
        <v>-0.40069579999999999</v>
      </c>
      <c r="V4939">
        <v>2.7593240000000002E-2</v>
      </c>
      <c r="W4939">
        <v>-1.2658229999999999E-2</v>
      </c>
      <c r="X4939">
        <v>0.99953910000000001</v>
      </c>
      <c r="Y4939">
        <v>0.1547356</v>
      </c>
      <c r="Z4939">
        <v>-4.6363250000000002E-3</v>
      </c>
      <c r="AA4939">
        <v>0.98794499999999996</v>
      </c>
      <c r="AB4939">
        <v>36</v>
      </c>
      <c r="AC4939">
        <v>24.700299999999899</v>
      </c>
      <c r="AD4939">
        <v>-1.108344347344</v>
      </c>
      <c r="AE4939">
        <v>-3.3296399999999999</v>
      </c>
      <c r="AF4939">
        <v>3.8806862049727799</v>
      </c>
      <c r="AG4939">
        <v>-1.108344347344</v>
      </c>
      <c r="AH4939">
        <v>24.569941217189999</v>
      </c>
      <c r="AI4939">
        <v>92.551264424838607</v>
      </c>
      <c r="AJ4939">
        <v>81.024593533650901</v>
      </c>
      <c r="AK4939">
        <v>24.899200068073</v>
      </c>
      <c r="AL4939">
        <v>90.725282513830706</v>
      </c>
      <c r="AM4939">
        <v>88.418696413520195</v>
      </c>
      <c r="AN4939">
        <v>1.00000001505462</v>
      </c>
    </row>
    <row r="4940" spans="1:40" x14ac:dyDescent="0.25">
      <c r="A4940" t="str">
        <f>"20190305135928683"</f>
        <v>20190305135928683</v>
      </c>
      <c r="B4940" t="str">
        <f>"1551765568674149"</f>
        <v>1551765568674149</v>
      </c>
      <c r="C4940" t="s">
        <v>40</v>
      </c>
      <c r="D4940">
        <v>4.096527</v>
      </c>
      <c r="E4940">
        <v>0.54701999999999995</v>
      </c>
      <c r="F4940" t="s">
        <v>42</v>
      </c>
      <c r="G4940">
        <v>-345.14069999999998</v>
      </c>
      <c r="H4940" s="1">
        <v>-3.2707310000000001E-6</v>
      </c>
      <c r="I4940">
        <v>13.48631</v>
      </c>
      <c r="J4940">
        <v>-369.49869999999999</v>
      </c>
      <c r="K4940">
        <v>1.1083069999999999</v>
      </c>
      <c r="L4940">
        <v>16.75067</v>
      </c>
      <c r="M4940">
        <v>0.99973679999999998</v>
      </c>
      <c r="N4940">
        <v>-3.7962130000000001E-3</v>
      </c>
      <c r="O4940">
        <v>2.2627609999999999E-2</v>
      </c>
      <c r="P4940">
        <v>0.99983489999999997</v>
      </c>
      <c r="Q4940">
        <v>-1.6347739999999999E-2</v>
      </c>
      <c r="R4940">
        <v>-7.9601569999999903E-3</v>
      </c>
      <c r="S4940">
        <v>2.9962460000000002</v>
      </c>
      <c r="T4940">
        <v>-0.13538439999999999</v>
      </c>
      <c r="U4940">
        <v>-0.39825440000000001</v>
      </c>
      <c r="V4940">
        <v>3.059023E-2</v>
      </c>
      <c r="W4940">
        <v>-1.2533580000000001E-2</v>
      </c>
      <c r="X4940">
        <v>0.99945340000000005</v>
      </c>
      <c r="Y4940">
        <v>0.15396899999999999</v>
      </c>
      <c r="Z4940">
        <v>-4.6875279999999998E-3</v>
      </c>
      <c r="AA4940">
        <v>0.98806450000000001</v>
      </c>
      <c r="AB4940">
        <v>36</v>
      </c>
      <c r="AC4940">
        <v>24.358000000000001</v>
      </c>
      <c r="AD4940">
        <v>-1.108310270731</v>
      </c>
      <c r="AE4940">
        <v>-3.2643599999999902</v>
      </c>
      <c r="AF4940">
        <v>3.8069488822799</v>
      </c>
      <c r="AG4940">
        <v>-1.108310270731</v>
      </c>
      <c r="AH4940">
        <v>24.2286219481099</v>
      </c>
      <c r="AI4940">
        <v>92.5874023103366</v>
      </c>
      <c r="AJ4940">
        <v>81.070346861366801</v>
      </c>
      <c r="AK4940">
        <v>24.5509130777846</v>
      </c>
      <c r="AL4940">
        <v>90.718140056595203</v>
      </c>
      <c r="AM4940">
        <v>88.246897672329496</v>
      </c>
      <c r="AN4940">
        <v>0.99999997578531397</v>
      </c>
    </row>
    <row r="4941" spans="1:40" x14ac:dyDescent="0.25">
      <c r="A4941" t="str">
        <f>"20190305135928695"</f>
        <v>20190305135928695</v>
      </c>
      <c r="B4941" t="str">
        <f>"1551765568683909"</f>
        <v>1551765568683909</v>
      </c>
      <c r="C4941" t="s">
        <v>40</v>
      </c>
      <c r="D4941">
        <v>4.1116849999999996</v>
      </c>
      <c r="E4941">
        <v>0.54615509999999901</v>
      </c>
      <c r="F4941" t="s">
        <v>42</v>
      </c>
      <c r="G4941">
        <v>-344.6558</v>
      </c>
      <c r="H4941" s="1">
        <v>-3.4502870000000001E-6</v>
      </c>
      <c r="I4941">
        <v>13.43159</v>
      </c>
      <c r="J4941">
        <v>-369.31540000000001</v>
      </c>
      <c r="K4941">
        <v>1.108277</v>
      </c>
      <c r="L4941">
        <v>16.75479</v>
      </c>
      <c r="M4941">
        <v>0.99973730000000005</v>
      </c>
      <c r="N4941">
        <v>-3.986336E-3</v>
      </c>
      <c r="O4941">
        <v>2.2572700000000001E-2</v>
      </c>
      <c r="P4941">
        <v>0.99981299999999995</v>
      </c>
      <c r="Q4941">
        <v>-1.6368219999999999E-2</v>
      </c>
      <c r="R4941">
        <v>-1.0320330000000001E-2</v>
      </c>
      <c r="S4941">
        <v>2.995117</v>
      </c>
      <c r="T4941">
        <v>-0.13362070000000001</v>
      </c>
      <c r="U4941">
        <v>-0.40014650000000002</v>
      </c>
      <c r="V4941">
        <v>3.2892280000000003E-2</v>
      </c>
      <c r="W4941">
        <v>-1.2368530000000001E-2</v>
      </c>
      <c r="X4941">
        <v>0.9993824</v>
      </c>
      <c r="Y4941">
        <v>0.1545802</v>
      </c>
      <c r="Z4941">
        <v>-4.6537139999999998E-3</v>
      </c>
      <c r="AA4941">
        <v>0.98796930000000005</v>
      </c>
      <c r="AB4941">
        <v>36</v>
      </c>
      <c r="AC4941">
        <v>24.659600000000001</v>
      </c>
      <c r="AD4941">
        <v>-1.1082804502869901</v>
      </c>
      <c r="AE4941">
        <v>-3.3231999999999999</v>
      </c>
      <c r="AF4941">
        <v>3.87131126472348</v>
      </c>
      <c r="AG4941">
        <v>-1.1082804502869901</v>
      </c>
      <c r="AH4941">
        <v>24.529639200894799</v>
      </c>
      <c r="AI4941">
        <v>92.555351681827901</v>
      </c>
      <c r="AJ4941">
        <v>81.031452000765995</v>
      </c>
      <c r="AK4941">
        <v>24.857967249775999</v>
      </c>
      <c r="AL4941">
        <v>90.708682614976397</v>
      </c>
      <c r="AM4941">
        <v>88.114927001553198</v>
      </c>
      <c r="AN4941">
        <v>1.00000003202385</v>
      </c>
    </row>
    <row r="4942" spans="1:40" x14ac:dyDescent="0.25">
      <c r="A4942" t="str">
        <f>"20190305135928706"</f>
        <v>20190305135928706</v>
      </c>
      <c r="B4942" t="str">
        <f>"1551765568704405"</f>
        <v>1551765568704405</v>
      </c>
      <c r="C4942" t="s">
        <v>40</v>
      </c>
      <c r="D4942">
        <v>4.1107950000000004</v>
      </c>
      <c r="E4942">
        <v>0.54471150000000002</v>
      </c>
      <c r="F4942" t="s">
        <v>42</v>
      </c>
      <c r="G4942">
        <v>-344.73899999999998</v>
      </c>
      <c r="H4942" s="1">
        <v>-3.4120889999999998E-6</v>
      </c>
      <c r="I4942">
        <v>13.468819999999999</v>
      </c>
      <c r="J4942">
        <v>-369.13830000000002</v>
      </c>
      <c r="K4942">
        <v>1.1082609999999999</v>
      </c>
      <c r="L4942">
        <v>16.758700000000001</v>
      </c>
      <c r="M4942">
        <v>0.99973860000000003</v>
      </c>
      <c r="N4942">
        <v>-4.2408309999999996E-3</v>
      </c>
      <c r="O4942">
        <v>2.247439E-2</v>
      </c>
      <c r="P4942">
        <v>0.99978310000000004</v>
      </c>
      <c r="Q4942">
        <v>-1.65525999999999E-2</v>
      </c>
      <c r="R4942">
        <v>-1.2652210000000001E-2</v>
      </c>
      <c r="S4942">
        <v>2.9942319999999998</v>
      </c>
      <c r="T4942">
        <v>-0.13502539999999999</v>
      </c>
      <c r="U4942">
        <v>-0.40032960000000001</v>
      </c>
      <c r="V4942">
        <v>3.5122599999999997E-2</v>
      </c>
      <c r="W4942">
        <v>-1.2303740000000001E-2</v>
      </c>
      <c r="X4942">
        <v>0.99930730000000001</v>
      </c>
      <c r="Y4942">
        <v>0.1545763</v>
      </c>
      <c r="Z4942">
        <v>-4.711532E-3</v>
      </c>
      <c r="AA4942">
        <v>0.9879696</v>
      </c>
      <c r="AB4942">
        <v>36</v>
      </c>
      <c r="AC4942">
        <v>24.399299999999901</v>
      </c>
      <c r="AD4942">
        <v>-1.108264412089</v>
      </c>
      <c r="AE4942">
        <v>-3.2898800000000001</v>
      </c>
      <c r="AF4942">
        <v>3.82965315363312</v>
      </c>
      <c r="AG4942">
        <v>-1.108264412089</v>
      </c>
      <c r="AH4942">
        <v>24.2700196530845</v>
      </c>
      <c r="AI4942">
        <v>92.582623670559201</v>
      </c>
      <c r="AJ4942">
        <v>81.033028661831807</v>
      </c>
      <c r="AK4942">
        <v>24.595291160003399</v>
      </c>
      <c r="AL4942">
        <v>90.704970140867403</v>
      </c>
      <c r="AM4942">
        <v>87.987056910084505</v>
      </c>
      <c r="AN4942">
        <v>1.0000000294410101</v>
      </c>
    </row>
    <row r="4943" spans="1:40" x14ac:dyDescent="0.25">
      <c r="A4943" t="str">
        <f>"20190305135928718"</f>
        <v>20190305135928718</v>
      </c>
      <c r="B4943" t="str">
        <f>"1551765568714165"</f>
        <v>1551765568714165</v>
      </c>
      <c r="C4943" t="s">
        <v>40</v>
      </c>
      <c r="D4943">
        <v>4.5838340000000004</v>
      </c>
      <c r="E4943">
        <v>0.5443403</v>
      </c>
      <c r="F4943" t="s">
        <v>42</v>
      </c>
      <c r="G4943">
        <v>-344.46519999999998</v>
      </c>
      <c r="H4943" s="1">
        <v>-3.497932E-6</v>
      </c>
      <c r="I4943">
        <v>13.496370000000001</v>
      </c>
      <c r="J4943">
        <v>-368.95650000000001</v>
      </c>
      <c r="K4943">
        <v>1.10825</v>
      </c>
      <c r="L4943">
        <v>16.762729999999902</v>
      </c>
      <c r="M4943">
        <v>0.99973990000000001</v>
      </c>
      <c r="N4943">
        <v>-4.5257409999999998E-3</v>
      </c>
      <c r="O4943">
        <v>2.2358570000000001E-2</v>
      </c>
      <c r="P4943">
        <v>0.99974859999999999</v>
      </c>
      <c r="Q4943">
        <v>-1.7209370000000002E-2</v>
      </c>
      <c r="R4943">
        <v>-1.4386349999999999E-2</v>
      </c>
      <c r="S4943">
        <v>2.9934080000000001</v>
      </c>
      <c r="T4943">
        <v>-0.1344572</v>
      </c>
      <c r="U4943">
        <v>-0.39578249999999998</v>
      </c>
      <c r="V4943">
        <v>3.6737640000000002E-2</v>
      </c>
      <c r="W4943">
        <v>-1.2681950000000001E-2</v>
      </c>
      <c r="X4943">
        <v>0.99924449999999998</v>
      </c>
      <c r="Y4943">
        <v>0.1530252</v>
      </c>
      <c r="Z4943">
        <v>-4.6672290000000002E-3</v>
      </c>
      <c r="AA4943">
        <v>0.98821130000000001</v>
      </c>
      <c r="AB4943">
        <v>36</v>
      </c>
      <c r="AC4943">
        <v>24.491299999999999</v>
      </c>
      <c r="AD4943">
        <v>-1.108253497932</v>
      </c>
      <c r="AE4943">
        <v>-3.2663599999999899</v>
      </c>
      <c r="AF4943">
        <v>3.8054833317814398</v>
      </c>
      <c r="AG4943">
        <v>-1.108253497932</v>
      </c>
      <c r="AH4943">
        <v>24.3631303722875</v>
      </c>
      <c r="AI4943">
        <v>92.573369433373998</v>
      </c>
      <c r="AJ4943">
        <v>81.122223779242006</v>
      </c>
      <c r="AK4943">
        <v>24.683436769243102</v>
      </c>
      <c r="AL4943">
        <v>90.726641669090597</v>
      </c>
      <c r="AM4943">
        <v>87.894445163757496</v>
      </c>
      <c r="AN4943">
        <v>1.0000000284144099</v>
      </c>
    </row>
    <row r="4944" spans="1:40" x14ac:dyDescent="0.25">
      <c r="A4944" t="str">
        <f>"20190305135928729"</f>
        <v>20190305135928729</v>
      </c>
      <c r="B4944" t="str">
        <f>"1551765568723925"</f>
        <v>1551765568723925</v>
      </c>
      <c r="C4944" t="s">
        <v>40</v>
      </c>
      <c r="D4944">
        <v>4.1058079999999997</v>
      </c>
      <c r="E4944">
        <v>0.54388309999999995</v>
      </c>
      <c r="F4944" t="s">
        <v>42</v>
      </c>
      <c r="G4944">
        <v>-344.27760000000001</v>
      </c>
      <c r="H4944" s="1">
        <v>-3.5659940000000001E-6</v>
      </c>
      <c r="I4944">
        <v>13.480499999999999</v>
      </c>
      <c r="J4944">
        <v>-368.77730000000003</v>
      </c>
      <c r="K4944">
        <v>1.1082559999999999</v>
      </c>
      <c r="L4944">
        <v>16.7666</v>
      </c>
      <c r="M4944">
        <v>0.99974200000000002</v>
      </c>
      <c r="N4944">
        <v>-4.8942329999999996E-3</v>
      </c>
      <c r="O4944">
        <v>2.218761E-2</v>
      </c>
      <c r="P4944">
        <v>0.99970650000000005</v>
      </c>
      <c r="Q4944">
        <v>-1.8085850000000001E-2</v>
      </c>
      <c r="R4944">
        <v>-1.6120039999999999E-2</v>
      </c>
      <c r="S4944">
        <v>2.9927060000000001</v>
      </c>
      <c r="T4944">
        <v>-0.13439309999999999</v>
      </c>
      <c r="U4944">
        <v>-0.39801029999999998</v>
      </c>
      <c r="V4944">
        <v>3.8297039999999997E-2</v>
      </c>
      <c r="W4944">
        <v>-1.3196660000000001E-2</v>
      </c>
      <c r="X4944">
        <v>0.99917920000000005</v>
      </c>
      <c r="Y4944">
        <v>0.15360789999999999</v>
      </c>
      <c r="Z4944">
        <v>-4.6937380000000003E-3</v>
      </c>
      <c r="AA4944">
        <v>0.98812069999999996</v>
      </c>
      <c r="AB4944">
        <v>36</v>
      </c>
      <c r="AC4944">
        <v>24.499700000000001</v>
      </c>
      <c r="AD4944">
        <v>-1.108259565994</v>
      </c>
      <c r="AE4944">
        <v>-3.2860999999999998</v>
      </c>
      <c r="AF4944">
        <v>3.8212062305046399</v>
      </c>
      <c r="AG4944">
        <v>-1.108259565994</v>
      </c>
      <c r="AH4944">
        <v>24.371767366459299</v>
      </c>
      <c r="AI4944">
        <v>92.572241330269406</v>
      </c>
      <c r="AJ4944">
        <v>81.089240045874504</v>
      </c>
      <c r="AK4944">
        <v>24.694390069132702</v>
      </c>
      <c r="AL4944">
        <v>90.756134911833698</v>
      </c>
      <c r="AM4944">
        <v>87.805013158264501</v>
      </c>
      <c r="AN4944">
        <v>0.99999994441027695</v>
      </c>
    </row>
    <row r="4945" spans="1:40" x14ac:dyDescent="0.25">
      <c r="A4945" t="str">
        <f>"20190305135928747"</f>
        <v>20190305135928747</v>
      </c>
      <c r="B4945" t="str">
        <f>"1551765568744421"</f>
        <v>1551765568744421</v>
      </c>
      <c r="C4945" t="s">
        <v>40</v>
      </c>
      <c r="D4945">
        <v>4.1188120000000001</v>
      </c>
      <c r="E4945">
        <v>0.54322219999999999</v>
      </c>
      <c r="F4945" t="s">
        <v>42</v>
      </c>
      <c r="G4945">
        <v>-344.4169</v>
      </c>
      <c r="H4945" s="1">
        <v>-3.509866E-6</v>
      </c>
      <c r="I4945">
        <v>13.51327</v>
      </c>
      <c r="J4945">
        <v>-368.47669999999999</v>
      </c>
      <c r="K4945">
        <v>1.1082620000000001</v>
      </c>
      <c r="L4945">
        <v>16.773009999999999</v>
      </c>
      <c r="M4945">
        <v>0.99974580000000002</v>
      </c>
      <c r="N4945">
        <v>-5.5568240000000001E-3</v>
      </c>
      <c r="O4945">
        <v>2.1852770000000001E-2</v>
      </c>
      <c r="P4945">
        <v>0.99963239999999998</v>
      </c>
      <c r="Q4945">
        <v>-1.9610240000000001E-2</v>
      </c>
      <c r="R4945">
        <v>-1.8723509999999999E-2</v>
      </c>
      <c r="S4945">
        <v>2.9919739999999999</v>
      </c>
      <c r="T4945">
        <v>-0.13611770000000001</v>
      </c>
      <c r="U4945">
        <v>-0.3995667</v>
      </c>
      <c r="V4945">
        <v>4.0559900000000003E-2</v>
      </c>
      <c r="W4945">
        <v>-1.407071E-2</v>
      </c>
      <c r="X4945">
        <v>0.99907800000000002</v>
      </c>
      <c r="Y4945">
        <v>0.15380729999999901</v>
      </c>
      <c r="Z4945">
        <v>-4.779686E-3</v>
      </c>
      <c r="AA4945">
        <v>0.98808929999999995</v>
      </c>
      <c r="AB4945">
        <v>36</v>
      </c>
      <c r="AC4945">
        <v>24.059799999999999</v>
      </c>
      <c r="AD4945">
        <v>-1.1082655098659999</v>
      </c>
      <c r="AE4945">
        <v>-3.2597399999999901</v>
      </c>
      <c r="AF4945">
        <v>3.7768736149721001</v>
      </c>
      <c r="AG4945">
        <v>-1.1082655098659999</v>
      </c>
      <c r="AH4945">
        <v>23.932953387044499</v>
      </c>
      <c r="AI4945">
        <v>92.618942199486796</v>
      </c>
      <c r="AJ4945">
        <v>81.032077149603197</v>
      </c>
      <c r="AK4945">
        <v>24.254469373092299</v>
      </c>
      <c r="AL4945">
        <v>90.806218926442995</v>
      </c>
      <c r="AM4945">
        <v>87.675220917975693</v>
      </c>
      <c r="AN4945">
        <v>0.99999997022595599</v>
      </c>
    </row>
    <row r="4946" spans="1:40" x14ac:dyDescent="0.25">
      <c r="A4946" t="str">
        <f>"20190305135928759"</f>
        <v>20190305135928759</v>
      </c>
      <c r="B4946" t="str">
        <f>"1551765568754181"</f>
        <v>1551765568754181</v>
      </c>
      <c r="C4946" t="s">
        <v>40</v>
      </c>
      <c r="D4946">
        <v>4.1256519999999997</v>
      </c>
      <c r="E4946">
        <v>0.54292859999999998</v>
      </c>
      <c r="F4946" t="s">
        <v>42</v>
      </c>
      <c r="G4946">
        <v>-344.42660000000001</v>
      </c>
      <c r="H4946" s="1">
        <v>-3.499356E-6</v>
      </c>
      <c r="I4946">
        <v>13.54031</v>
      </c>
      <c r="J4946">
        <v>-368.2989</v>
      </c>
      <c r="K4946">
        <v>1.108274</v>
      </c>
      <c r="L4946">
        <v>16.776759999999999</v>
      </c>
      <c r="M4946">
        <v>0.99974830000000003</v>
      </c>
      <c r="N4946">
        <v>-5.9714360000000001E-3</v>
      </c>
      <c r="O4946">
        <v>2.1627049999999998E-2</v>
      </c>
      <c r="P4946">
        <v>0.99958809999999998</v>
      </c>
      <c r="Q4946">
        <v>-2.0505280000000001E-2</v>
      </c>
      <c r="R4946">
        <v>-2.0076259999999999E-2</v>
      </c>
      <c r="S4946">
        <v>2.990875</v>
      </c>
      <c r="T4946">
        <v>-0.1378239</v>
      </c>
      <c r="U4946">
        <v>-0.40200809999999998</v>
      </c>
      <c r="V4946">
        <v>4.1683640000000001E-2</v>
      </c>
      <c r="W4946">
        <v>-1.455878E-2</v>
      </c>
      <c r="X4946">
        <v>0.99902480000000005</v>
      </c>
      <c r="Y4946">
        <v>0.15441779999999999</v>
      </c>
      <c r="Z4946">
        <v>-4.866965E-3</v>
      </c>
      <c r="AA4946">
        <v>0.98799369999999997</v>
      </c>
      <c r="AB4946">
        <v>36</v>
      </c>
      <c r="AC4946">
        <v>23.872299999999999</v>
      </c>
      <c r="AD4946">
        <v>-1.1082774993560001</v>
      </c>
      <c r="AE4946">
        <v>-3.23645</v>
      </c>
      <c r="AF4946">
        <v>3.7440656554954601</v>
      </c>
      <c r="AG4946">
        <v>-1.1082774993560001</v>
      </c>
      <c r="AH4946">
        <v>23.746463039450401</v>
      </c>
      <c r="AI4946">
        <v>92.639567031861901</v>
      </c>
      <c r="AJ4946">
        <v>81.040029302899796</v>
      </c>
      <c r="AK4946">
        <v>24.0653446584965</v>
      </c>
      <c r="AL4946">
        <v>90.834186104805099</v>
      </c>
      <c r="AM4946">
        <v>87.610757862641705</v>
      </c>
      <c r="AN4946">
        <v>1.0000000174668799</v>
      </c>
    </row>
    <row r="4947" spans="1:40" x14ac:dyDescent="0.25">
      <c r="A4947" t="str">
        <f>"20190305135928771"</f>
        <v>20190305135928771</v>
      </c>
      <c r="B4947" t="str">
        <f>"1551765568763941"</f>
        <v>1551765568763941</v>
      </c>
      <c r="C4947" t="s">
        <v>40</v>
      </c>
      <c r="D4947">
        <v>4.117381</v>
      </c>
      <c r="E4947">
        <v>0.54264659999999998</v>
      </c>
      <c r="F4947" t="s">
        <v>42</v>
      </c>
      <c r="G4947">
        <v>-344.46660000000003</v>
      </c>
      <c r="H4947" s="1">
        <v>-3.4807380000000002E-6</v>
      </c>
      <c r="I4947">
        <v>13.559100000000001</v>
      </c>
      <c r="J4947">
        <v>-368.0883</v>
      </c>
      <c r="K4947">
        <v>1.108279</v>
      </c>
      <c r="L4947">
        <v>16.78107</v>
      </c>
      <c r="M4947">
        <v>0.99975219999999998</v>
      </c>
      <c r="N4947">
        <v>-6.4581069999999898E-3</v>
      </c>
      <c r="O4947">
        <v>2.1308290000000001E-2</v>
      </c>
      <c r="P4947">
        <v>0.99955579999999999</v>
      </c>
      <c r="Q4947">
        <v>-2.1089340000000002E-2</v>
      </c>
      <c r="R4947">
        <v>-2.106922E-2</v>
      </c>
      <c r="S4947">
        <v>2.9902950000000001</v>
      </c>
      <c r="T4947">
        <v>-0.13905819999999999</v>
      </c>
      <c r="U4947">
        <v>-0.40371699999999999</v>
      </c>
      <c r="V4947">
        <v>4.2354429999999998E-2</v>
      </c>
      <c r="W4947">
        <v>-1.46646E-2</v>
      </c>
      <c r="X4947">
        <v>0.99899499999999997</v>
      </c>
      <c r="Y4947">
        <v>0.154677799999999</v>
      </c>
      <c r="Z4947">
        <v>-4.9296940000000001E-3</v>
      </c>
      <c r="AA4947">
        <v>0.98795259999999996</v>
      </c>
      <c r="AB4947">
        <v>36</v>
      </c>
      <c r="AC4947">
        <v>23.621699999999901</v>
      </c>
      <c r="AD4947">
        <v>-1.1082824807380001</v>
      </c>
      <c r="AE4947">
        <v>-3.22196999999999</v>
      </c>
      <c r="AF4947">
        <v>3.7165550943788501</v>
      </c>
      <c r="AG4947">
        <v>-1.1082824807380001</v>
      </c>
      <c r="AH4947">
        <v>23.496901500871701</v>
      </c>
      <c r="AI4947">
        <v>92.667366913848795</v>
      </c>
      <c r="AJ4947">
        <v>81.011866865963398</v>
      </c>
      <c r="AK4947">
        <v>23.814815807986701</v>
      </c>
      <c r="AL4947">
        <v>90.840249823643006</v>
      </c>
      <c r="AM4947">
        <v>87.572282518075795</v>
      </c>
      <c r="AN4947">
        <v>0.99999997912939198</v>
      </c>
    </row>
    <row r="4948" spans="1:40" x14ac:dyDescent="0.25">
      <c r="A4948" t="str">
        <f>"20190305135928782"</f>
        <v>20190305135928782</v>
      </c>
      <c r="B4948" t="str">
        <f>"1551765568773701"</f>
        <v>1551765568773701</v>
      </c>
      <c r="C4948" t="s">
        <v>40</v>
      </c>
      <c r="D4948">
        <v>4.1282990000000002</v>
      </c>
      <c r="E4948">
        <v>0.54232999999999998</v>
      </c>
      <c r="F4948" t="s">
        <v>42</v>
      </c>
      <c r="G4948">
        <v>-344.36110000000002</v>
      </c>
      <c r="H4948" s="1">
        <v>-3.5130800000000002E-6</v>
      </c>
      <c r="I4948">
        <v>13.572559999999999</v>
      </c>
      <c r="J4948">
        <v>-367.90480000000002</v>
      </c>
      <c r="K4948">
        <v>1.1082799999999999</v>
      </c>
      <c r="L4948">
        <v>16.784759999999999</v>
      </c>
      <c r="M4948">
        <v>0.99975559999999997</v>
      </c>
      <c r="N4948">
        <v>-6.8727930000000003E-3</v>
      </c>
      <c r="O4948">
        <v>2.1014789999999998E-2</v>
      </c>
      <c r="P4948">
        <v>0.99951849999999998</v>
      </c>
      <c r="Q4948">
        <v>-2.1525809999999999E-2</v>
      </c>
      <c r="R4948">
        <v>-2.2348690000000001E-2</v>
      </c>
      <c r="S4948">
        <v>2.9898989999999999</v>
      </c>
      <c r="T4948">
        <v>-0.1396558</v>
      </c>
      <c r="U4948">
        <v>-0.40429690000000001</v>
      </c>
      <c r="V4948">
        <v>4.3337699999999903E-2</v>
      </c>
      <c r="W4948">
        <v>-1.469409E-2</v>
      </c>
      <c r="X4948">
        <v>0.99895239999999996</v>
      </c>
      <c r="Y4948">
        <v>0.1545908</v>
      </c>
      <c r="Z4948">
        <v>-4.9593320000000003E-3</v>
      </c>
      <c r="AA4948">
        <v>0.98796609999999996</v>
      </c>
      <c r="AB4948">
        <v>36</v>
      </c>
      <c r="AC4948">
        <v>23.543700000000001</v>
      </c>
      <c r="AD4948">
        <v>-1.1082835130799999</v>
      </c>
      <c r="AE4948">
        <v>-3.2122000000000002</v>
      </c>
      <c r="AF4948">
        <v>3.6982229936178901</v>
      </c>
      <c r="AG4948">
        <v>-1.1082835130799999</v>
      </c>
      <c r="AH4948">
        <v>23.420046829205301</v>
      </c>
      <c r="AI4948">
        <v>92.676218520427597</v>
      </c>
      <c r="AJ4948">
        <v>81.026607508759298</v>
      </c>
      <c r="AK4948">
        <v>23.736127298657198</v>
      </c>
      <c r="AL4948">
        <v>90.841939653353506</v>
      </c>
      <c r="AM4948">
        <v>87.515886373599599</v>
      </c>
      <c r="AN4948">
        <v>0.99999998499398801</v>
      </c>
    </row>
    <row r="4949" spans="1:40" x14ac:dyDescent="0.25">
      <c r="A4949" t="str">
        <f>"20190305135928793"</f>
        <v>20190305135928793</v>
      </c>
      <c r="B4949" t="str">
        <f>"1551765568784437"</f>
        <v>1551765568784437</v>
      </c>
      <c r="C4949" t="s">
        <v>40</v>
      </c>
      <c r="D4949">
        <v>4.1300429999999997</v>
      </c>
      <c r="E4949">
        <v>0.54201719999999998</v>
      </c>
      <c r="F4949" t="s">
        <v>42</v>
      </c>
      <c r="G4949">
        <v>-344.3492</v>
      </c>
      <c r="H4949" s="1">
        <v>-3.5129299999999998E-6</v>
      </c>
      <c r="I4949">
        <v>13.588290000000001</v>
      </c>
      <c r="J4949">
        <v>-367.7149</v>
      </c>
      <c r="K4949">
        <v>1.108277</v>
      </c>
      <c r="L4949">
        <v>16.788509999999999</v>
      </c>
      <c r="M4949">
        <v>0.99975959999999997</v>
      </c>
      <c r="N4949">
        <v>-7.2883779999999999E-3</v>
      </c>
      <c r="O4949">
        <v>2.0688419999999999E-2</v>
      </c>
      <c r="P4949">
        <v>0.99948970000000004</v>
      </c>
      <c r="Q4949">
        <v>-2.162387E-2</v>
      </c>
      <c r="R4949">
        <v>-2.3517469999999999E-2</v>
      </c>
      <c r="S4949">
        <v>2.9893489999999998</v>
      </c>
      <c r="T4949">
        <v>-0.14064779999999999</v>
      </c>
      <c r="U4949">
        <v>-0.40563959999999999</v>
      </c>
      <c r="V4949">
        <v>4.4177670000000002E-2</v>
      </c>
      <c r="W4949">
        <v>-1.43842E-2</v>
      </c>
      <c r="X4949">
        <v>0.99892009999999998</v>
      </c>
      <c r="Y4949">
        <v>0.15472429999999901</v>
      </c>
      <c r="Z4949">
        <v>-5.0067760000000001E-3</v>
      </c>
      <c r="AA4949">
        <v>0.98794499999999996</v>
      </c>
      <c r="AB4949">
        <v>36</v>
      </c>
      <c r="AC4949">
        <v>23.3657</v>
      </c>
      <c r="AD4949">
        <v>-1.10828051293</v>
      </c>
      <c r="AE4949">
        <v>-3.2002199999999998</v>
      </c>
      <c r="AF4949">
        <v>3.67483182420332</v>
      </c>
      <c r="AG4949">
        <v>-1.10828051293</v>
      </c>
      <c r="AH4949">
        <v>23.243160237351599</v>
      </c>
      <c r="AI4949">
        <v>92.696466926001307</v>
      </c>
      <c r="AJ4949">
        <v>81.015687013090201</v>
      </c>
      <c r="AK4949">
        <v>23.557953486046198</v>
      </c>
      <c r="AL4949">
        <v>90.824182400193806</v>
      </c>
      <c r="AM4949">
        <v>87.467719661325503</v>
      </c>
      <c r="AN4949">
        <v>0.99999996896013899</v>
      </c>
    </row>
    <row r="4950" spans="1:40" x14ac:dyDescent="0.25">
      <c r="A4950" t="str">
        <f>"20190305135928807"</f>
        <v>20190305135928807</v>
      </c>
      <c r="B4950" t="str">
        <f>"1551765568803633"</f>
        <v>1551765568803633</v>
      </c>
      <c r="C4950" t="s">
        <v>40</v>
      </c>
      <c r="D4950">
        <v>4.1514309999999996</v>
      </c>
      <c r="E4950">
        <v>0.54127789999999998</v>
      </c>
      <c r="F4950" t="s">
        <v>42</v>
      </c>
      <c r="G4950">
        <v>-344.13830000000002</v>
      </c>
      <c r="H4950" s="1">
        <v>-3.5865779999999999E-6</v>
      </c>
      <c r="I4950">
        <v>13.58128</v>
      </c>
      <c r="J4950">
        <v>-367.52350000000001</v>
      </c>
      <c r="K4950">
        <v>1.108274</v>
      </c>
      <c r="L4950">
        <v>16.792179999999998</v>
      </c>
      <c r="M4950">
        <v>0.99976370000000003</v>
      </c>
      <c r="N4950">
        <v>-7.6871049999999996E-3</v>
      </c>
      <c r="O4950">
        <v>2.0339139999999999E-2</v>
      </c>
      <c r="P4950">
        <v>0.99946990000000002</v>
      </c>
      <c r="Q4950">
        <v>-2.1946609999999998E-2</v>
      </c>
      <c r="R4950">
        <v>-2.4054409999999998E-2</v>
      </c>
      <c r="S4950">
        <v>2.9889220000000001</v>
      </c>
      <c r="T4950">
        <v>-0.14050219999999999</v>
      </c>
      <c r="U4950">
        <v>-0.40658569999999999</v>
      </c>
      <c r="V4950">
        <v>4.436325E-2</v>
      </c>
      <c r="W4950">
        <v>-1.431468E-2</v>
      </c>
      <c r="X4950">
        <v>0.99891289999999999</v>
      </c>
      <c r="Y4950">
        <v>0.1547046</v>
      </c>
      <c r="Z4950">
        <v>-5.0111929999999997E-3</v>
      </c>
      <c r="AA4950">
        <v>0.9879481</v>
      </c>
      <c r="AB4950">
        <v>36</v>
      </c>
      <c r="AC4950">
        <v>23.385200000000001</v>
      </c>
      <c r="AD4950">
        <v>-1.1082775865779999</v>
      </c>
      <c r="AE4950">
        <v>-3.2108999999999899</v>
      </c>
      <c r="AF4950">
        <v>3.6777770673223502</v>
      </c>
      <c r="AG4950">
        <v>-1.1082775865779999</v>
      </c>
      <c r="AH4950">
        <v>23.2637691393065</v>
      </c>
      <c r="AI4950">
        <v>92.694080182802395</v>
      </c>
      <c r="AJ4950">
        <v>81.016439341465698</v>
      </c>
      <c r="AK4950">
        <v>23.578746318088701</v>
      </c>
      <c r="AL4950">
        <v>90.820198766053196</v>
      </c>
      <c r="AM4950">
        <v>87.457077776798897</v>
      </c>
      <c r="AN4950">
        <v>0.99999999490023705</v>
      </c>
    </row>
    <row r="4951" spans="1:40" x14ac:dyDescent="0.25">
      <c r="A4951" t="str">
        <f>"20190305135928817"</f>
        <v>20190305135928817</v>
      </c>
      <c r="B4951" t="str">
        <f>"1551765568814368"</f>
        <v>1551765568814368</v>
      </c>
      <c r="C4951" t="s">
        <v>40</v>
      </c>
      <c r="D4951">
        <v>4.1807220000000003</v>
      </c>
      <c r="E4951">
        <v>0.54095629999999995</v>
      </c>
      <c r="F4951" t="s">
        <v>42</v>
      </c>
      <c r="G4951">
        <v>-344.18880000000001</v>
      </c>
      <c r="H4951" s="1">
        <v>-3.5507780000000002E-6</v>
      </c>
      <c r="I4951">
        <v>13.65131</v>
      </c>
      <c r="J4951">
        <v>-367.34829999999999</v>
      </c>
      <c r="K4951">
        <v>1.1082650000000001</v>
      </c>
      <c r="L4951">
        <v>16.795500000000001</v>
      </c>
      <c r="M4951">
        <v>0.99976739999999997</v>
      </c>
      <c r="N4951">
        <v>-8.0447999999999995E-3</v>
      </c>
      <c r="O4951">
        <v>2.001174E-2</v>
      </c>
      <c r="P4951">
        <v>0.99944929999999998</v>
      </c>
      <c r="Q4951">
        <v>-2.2153349999999999E-2</v>
      </c>
      <c r="R4951">
        <v>-2.470702E-2</v>
      </c>
      <c r="S4951">
        <v>2.9887999999999999</v>
      </c>
      <c r="T4951">
        <v>-0.14195199999999999</v>
      </c>
      <c r="U4951">
        <v>-0.40228269999999999</v>
      </c>
      <c r="V4951">
        <v>4.4687039999999997E-2</v>
      </c>
      <c r="W4951">
        <v>-1.416969E-2</v>
      </c>
      <c r="X4951">
        <v>0.99890049999999997</v>
      </c>
      <c r="Y4951">
        <v>0.1529867</v>
      </c>
      <c r="Z4951">
        <v>-5.019033E-3</v>
      </c>
      <c r="AA4951">
        <v>0.98821550000000002</v>
      </c>
      <c r="AB4951">
        <v>36</v>
      </c>
      <c r="AC4951">
        <v>23.159499999999898</v>
      </c>
      <c r="AD4951">
        <v>-1.1082685507779999</v>
      </c>
      <c r="AE4951">
        <v>-3.14419</v>
      </c>
      <c r="AF4951">
        <v>3.59894484308444</v>
      </c>
      <c r="AG4951">
        <v>-1.1082685507779999</v>
      </c>
      <c r="AH4951">
        <v>23.040132578748199</v>
      </c>
      <c r="AI4951">
        <v>92.720954880140496</v>
      </c>
      <c r="AJ4951">
        <v>81.121952565567</v>
      </c>
      <c r="AK4951">
        <v>23.345842722217199</v>
      </c>
      <c r="AL4951">
        <v>90.811890636386707</v>
      </c>
      <c r="AM4951">
        <v>87.438510857992497</v>
      </c>
      <c r="AN4951">
        <v>0.99999996027945304</v>
      </c>
    </row>
    <row r="4952" spans="1:40" x14ac:dyDescent="0.25">
      <c r="A4952" t="str">
        <f>"20190305135928838"</f>
        <v>20190305135928838</v>
      </c>
      <c r="B4952" t="str">
        <f>"1551765568833887"</f>
        <v>1551765568833887</v>
      </c>
      <c r="C4952" t="s">
        <v>40</v>
      </c>
      <c r="D4952">
        <v>4.1687399999999997</v>
      </c>
      <c r="E4952">
        <v>0.54034569999999904</v>
      </c>
      <c r="F4952" t="s">
        <v>42</v>
      </c>
      <c r="G4952">
        <v>-344.1429</v>
      </c>
      <c r="H4952" s="1">
        <v>-3.5595820000000001E-6</v>
      </c>
      <c r="I4952">
        <v>13.6768</v>
      </c>
      <c r="J4952">
        <v>-367.0247</v>
      </c>
      <c r="K4952">
        <v>1.1082449999999999</v>
      </c>
      <c r="L4952">
        <v>16.801389999999898</v>
      </c>
      <c r="M4952">
        <v>0.99977510000000003</v>
      </c>
      <c r="N4952">
        <v>-8.649248E-3</v>
      </c>
      <c r="O4952">
        <v>1.9374010000000001E-2</v>
      </c>
      <c r="P4952">
        <v>0.99941020000000003</v>
      </c>
      <c r="Q4952">
        <v>-2.3032049999999998E-2</v>
      </c>
      <c r="R4952">
        <v>-2.547694E-2</v>
      </c>
      <c r="S4952">
        <v>2.9885860000000002</v>
      </c>
      <c r="T4952">
        <v>-0.14273239999999901</v>
      </c>
      <c r="U4952">
        <v>-0.40164179999999999</v>
      </c>
      <c r="V4952">
        <v>4.4816300000000003E-2</v>
      </c>
      <c r="W4952">
        <v>-1.445279E-2</v>
      </c>
      <c r="X4952">
        <v>0.99889070000000002</v>
      </c>
      <c r="Y4952">
        <v>0.15215519999999999</v>
      </c>
      <c r="Z4952">
        <v>-5.0306999999999999E-3</v>
      </c>
      <c r="AA4952">
        <v>0.98834379999999999</v>
      </c>
      <c r="AB4952">
        <v>36</v>
      </c>
      <c r="AC4952">
        <v>22.881799999999998</v>
      </c>
      <c r="AD4952">
        <v>-1.108248559582</v>
      </c>
      <c r="AE4952">
        <v>-3.1245899999999902</v>
      </c>
      <c r="AF4952">
        <v>3.5591359593276501</v>
      </c>
      <c r="AG4952">
        <v>-1.108248559582</v>
      </c>
      <c r="AH4952">
        <v>22.764542927269702</v>
      </c>
      <c r="AI4952">
        <v>92.753735326863506</v>
      </c>
      <c r="AJ4952">
        <v>81.113994392724194</v>
      </c>
      <c r="AK4952">
        <v>23.067728070495001</v>
      </c>
      <c r="AL4952">
        <v>90.828112694716296</v>
      </c>
      <c r="AM4952">
        <v>87.431086335735998</v>
      </c>
      <c r="AN4952">
        <v>1.00000000721548</v>
      </c>
    </row>
    <row r="4953" spans="1:40" x14ac:dyDescent="0.25">
      <c r="A4953" t="str">
        <f>"20190305135928852"</f>
        <v>20190305135928852</v>
      </c>
      <c r="B4953" t="str">
        <f>"1551765568843648"</f>
        <v>1551765568843648</v>
      </c>
      <c r="C4953" t="s">
        <v>40</v>
      </c>
      <c r="D4953">
        <v>4.171297</v>
      </c>
      <c r="E4953">
        <v>0.54010480000000005</v>
      </c>
      <c r="F4953" t="s">
        <v>42</v>
      </c>
      <c r="G4953">
        <v>-344.28030000000001</v>
      </c>
      <c r="H4953" s="1">
        <v>-3.4895549999999998E-6</v>
      </c>
      <c r="I4953">
        <v>13.764250000000001</v>
      </c>
      <c r="J4953">
        <v>-366.80169999999998</v>
      </c>
      <c r="K4953">
        <v>1.1082350000000001</v>
      </c>
      <c r="L4953">
        <v>16.80527</v>
      </c>
      <c r="M4953">
        <v>0.99978049999999996</v>
      </c>
      <c r="N4953">
        <v>-9.0185309999999998E-3</v>
      </c>
      <c r="O4953">
        <v>1.891814E-2</v>
      </c>
      <c r="P4953">
        <v>0.99938669999999996</v>
      </c>
      <c r="Q4953">
        <v>-2.3680900000000001E-2</v>
      </c>
      <c r="R4953">
        <v>-2.5808359999999999E-2</v>
      </c>
      <c r="S4953">
        <v>2.9882200000000001</v>
      </c>
      <c r="T4953">
        <v>-0.1456047</v>
      </c>
      <c r="U4953">
        <v>-0.39901730000000002</v>
      </c>
      <c r="V4953">
        <v>4.4689810000000003E-2</v>
      </c>
      <c r="W4953">
        <v>-1.4736920000000001E-2</v>
      </c>
      <c r="X4953">
        <v>0.99889220000000001</v>
      </c>
      <c r="Y4953">
        <v>0.15086050000000001</v>
      </c>
      <c r="Z4953">
        <v>-5.0885230000000002E-3</v>
      </c>
      <c r="AA4953">
        <v>0.98854200000000003</v>
      </c>
      <c r="AB4953">
        <v>36</v>
      </c>
      <c r="AC4953">
        <v>22.5213999999999</v>
      </c>
      <c r="AD4953">
        <v>-1.1082384895549999</v>
      </c>
      <c r="AE4953">
        <v>-3.0410200000000001</v>
      </c>
      <c r="AF4953">
        <v>3.4583317572447601</v>
      </c>
      <c r="AG4953">
        <v>-1.1082384895549999</v>
      </c>
      <c r="AH4953">
        <v>22.406551531250301</v>
      </c>
      <c r="AI4953">
        <v>92.798485149964307</v>
      </c>
      <c r="AJ4953">
        <v>81.225937483172999</v>
      </c>
      <c r="AK4953">
        <v>22.698938358775099</v>
      </c>
      <c r="AL4953">
        <v>90.844393891812601</v>
      </c>
      <c r="AM4953">
        <v>87.438331034452204</v>
      </c>
      <c r="AN4953">
        <v>0.99999999157488095</v>
      </c>
    </row>
    <row r="4954" spans="1:40" x14ac:dyDescent="0.25">
      <c r="A4954" t="str">
        <f>"20190305135928871"</f>
        <v>20190305135928871</v>
      </c>
      <c r="B4954" t="str">
        <f>"1551765568864147"</f>
        <v>1551765568864147</v>
      </c>
      <c r="C4954" t="s">
        <v>40</v>
      </c>
      <c r="D4954">
        <v>4.1711090000000004</v>
      </c>
      <c r="E4954">
        <v>0.5396147</v>
      </c>
      <c r="F4954" t="s">
        <v>42</v>
      </c>
      <c r="G4954">
        <v>-344.37119999999999</v>
      </c>
      <c r="H4954" s="1">
        <v>-3.444731E-6</v>
      </c>
      <c r="I4954">
        <v>13.81649</v>
      </c>
      <c r="J4954">
        <v>-366.46960000000001</v>
      </c>
      <c r="K4954">
        <v>1.108209</v>
      </c>
      <c r="L4954">
        <v>16.810879999999901</v>
      </c>
      <c r="M4954">
        <v>0.99978849999999997</v>
      </c>
      <c r="N4954">
        <v>-9.5189269999999999E-3</v>
      </c>
      <c r="O4954">
        <v>1.8228379999999999E-2</v>
      </c>
      <c r="P4954">
        <v>0.99933819999999995</v>
      </c>
      <c r="Q4954">
        <v>-2.4645210000000001E-2</v>
      </c>
      <c r="R4954">
        <v>-2.6754719999999999E-2</v>
      </c>
      <c r="S4954">
        <v>2.9880369999999998</v>
      </c>
      <c r="T4954">
        <v>-0.1476316</v>
      </c>
      <c r="U4954">
        <v>-0.39813229999999999</v>
      </c>
      <c r="V4954">
        <v>4.4943909999999997E-2</v>
      </c>
      <c r="W4954">
        <v>-1.520736E-2</v>
      </c>
      <c r="X4954">
        <v>0.99887380000000003</v>
      </c>
      <c r="Y4954">
        <v>0.14989330000000001</v>
      </c>
      <c r="Z4954">
        <v>-5.1252260000000001E-3</v>
      </c>
      <c r="AA4954">
        <v>0.98868889999999998</v>
      </c>
      <c r="AB4954">
        <v>36</v>
      </c>
      <c r="AC4954">
        <v>22.098400000000002</v>
      </c>
      <c r="AD4954">
        <v>-1.108212444731</v>
      </c>
      <c r="AE4954">
        <v>-2.9943899999999899</v>
      </c>
      <c r="AF4954">
        <v>3.3883609130481598</v>
      </c>
      <c r="AG4954">
        <v>-1.108212444731</v>
      </c>
      <c r="AH4954">
        <v>21.985846896660899</v>
      </c>
      <c r="AI4954">
        <v>92.851978638569605</v>
      </c>
      <c r="AJ4954">
        <v>81.238759903218806</v>
      </c>
      <c r="AK4954">
        <v>22.273001330380801</v>
      </c>
      <c r="AL4954">
        <v>90.871351095084705</v>
      </c>
      <c r="AM4954">
        <v>87.423737919572702</v>
      </c>
      <c r="AN4954">
        <v>1.00000004358534</v>
      </c>
    </row>
    <row r="4955" spans="1:40" x14ac:dyDescent="0.25">
      <c r="A4955" t="str">
        <f>"20190305135928883"</f>
        <v>20190305135928883</v>
      </c>
      <c r="B4955" t="str">
        <f>"1551765568873904"</f>
        <v>1551765568873904</v>
      </c>
      <c r="C4955" t="s">
        <v>40</v>
      </c>
      <c r="D4955">
        <v>4.1915129999999996</v>
      </c>
      <c r="E4955">
        <v>0.53938980000000003</v>
      </c>
      <c r="F4955" t="s">
        <v>42</v>
      </c>
      <c r="G4955">
        <v>-344.45639999999997</v>
      </c>
      <c r="H4955" s="1">
        <v>-3.397238E-6</v>
      </c>
      <c r="I4955">
        <v>13.886089999999999</v>
      </c>
      <c r="J4955">
        <v>-366.28699999999998</v>
      </c>
      <c r="K4955">
        <v>1.108198</v>
      </c>
      <c r="L4955">
        <v>16.813870000000001</v>
      </c>
      <c r="M4955">
        <v>0.99979320000000005</v>
      </c>
      <c r="N4955">
        <v>-9.7649339999999994E-3</v>
      </c>
      <c r="O4955">
        <v>1.7844450000000001E-2</v>
      </c>
      <c r="P4955">
        <v>0.9993126</v>
      </c>
      <c r="Q4955">
        <v>-2.506419E-2</v>
      </c>
      <c r="R4955">
        <v>-2.732151E-2</v>
      </c>
      <c r="S4955">
        <v>2.9876399999999999</v>
      </c>
      <c r="T4955">
        <v>-0.1504066</v>
      </c>
      <c r="U4955">
        <v>-0.39694210000000002</v>
      </c>
      <c r="V4955">
        <v>4.5125699999999998E-2</v>
      </c>
      <c r="W4955">
        <v>-1.538336E-2</v>
      </c>
      <c r="X4955">
        <v>0.9988629</v>
      </c>
      <c r="Y4955">
        <v>0.149136299999999</v>
      </c>
      <c r="Z4955">
        <v>-5.1878430000000001E-3</v>
      </c>
      <c r="AA4955">
        <v>0.98880299999999999</v>
      </c>
      <c r="AB4955">
        <v>36</v>
      </c>
      <c r="AC4955">
        <v>21.8306</v>
      </c>
      <c r="AD4955">
        <v>-1.108201397238</v>
      </c>
      <c r="AE4955">
        <v>-2.9277799999999998</v>
      </c>
      <c r="AF4955">
        <v>3.30851213084398</v>
      </c>
      <c r="AG4955">
        <v>-1.108201397238</v>
      </c>
      <c r="AH4955">
        <v>21.719894431153499</v>
      </c>
      <c r="AI4955">
        <v>92.887584711461898</v>
      </c>
      <c r="AJ4955">
        <v>81.338922367134103</v>
      </c>
      <c r="AK4955">
        <v>21.9983675975568</v>
      </c>
      <c r="AL4955">
        <v>90.881436339393204</v>
      </c>
      <c r="AM4955">
        <v>87.413303341068499</v>
      </c>
      <c r="AN4955">
        <v>1.0000000347808899</v>
      </c>
    </row>
    <row r="4956" spans="1:40" x14ac:dyDescent="0.25">
      <c r="A4956" t="str">
        <f>"20190305135928894"</f>
        <v>20190305135928894</v>
      </c>
      <c r="B4956" t="str">
        <f>"1551765568883664"</f>
        <v>1551765568883664</v>
      </c>
      <c r="C4956" t="s">
        <v>40</v>
      </c>
      <c r="D4956">
        <v>4.1601470000000003</v>
      </c>
      <c r="E4956">
        <v>0.53909940000000001</v>
      </c>
      <c r="F4956" t="s">
        <v>42</v>
      </c>
      <c r="G4956">
        <v>-344.44459999999998</v>
      </c>
      <c r="H4956" s="1">
        <v>-3.394198E-6</v>
      </c>
      <c r="I4956">
        <v>13.91249</v>
      </c>
      <c r="J4956">
        <v>-366.0994</v>
      </c>
      <c r="K4956">
        <v>1.108185</v>
      </c>
      <c r="L4956">
        <v>16.816859999999998</v>
      </c>
      <c r="M4956">
        <v>0.99979779999999996</v>
      </c>
      <c r="N4956">
        <v>-9.998659E-3</v>
      </c>
      <c r="O4956">
        <v>1.744737E-2</v>
      </c>
      <c r="P4956">
        <v>0.99928470000000003</v>
      </c>
      <c r="Q4956">
        <v>-2.560055E-2</v>
      </c>
      <c r="R4956">
        <v>-2.7837839999999999E-2</v>
      </c>
      <c r="S4956">
        <v>2.987457</v>
      </c>
      <c r="T4956">
        <v>-0.15157219999999999</v>
      </c>
      <c r="U4956">
        <v>-0.39682010000000001</v>
      </c>
      <c r="V4956">
        <v>4.5243409999999998E-2</v>
      </c>
      <c r="W4956">
        <v>-1.56886E-2</v>
      </c>
      <c r="X4956">
        <v>0.99885279999999999</v>
      </c>
      <c r="Y4956">
        <v>0.1487086</v>
      </c>
      <c r="Z4956">
        <v>-5.2082989999999996E-3</v>
      </c>
      <c r="AA4956">
        <v>0.9888673</v>
      </c>
      <c r="AB4956">
        <v>36</v>
      </c>
      <c r="AC4956">
        <v>21.654800000000002</v>
      </c>
      <c r="AD4956">
        <v>-1.108188394198</v>
      </c>
      <c r="AE4956">
        <v>-2.9043700000000001</v>
      </c>
      <c r="AF4956">
        <v>3.2733449730863899</v>
      </c>
      <c r="AG4956">
        <v>-1.108188394198</v>
      </c>
      <c r="AH4956">
        <v>21.545399127208398</v>
      </c>
      <c r="AI4956">
        <v>92.911069188788403</v>
      </c>
      <c r="AJ4956">
        <v>81.361241104003398</v>
      </c>
      <c r="AK4956">
        <v>21.8207949529933</v>
      </c>
      <c r="AL4956">
        <v>90.898927438401302</v>
      </c>
      <c r="AM4956">
        <v>87.406538977535703</v>
      </c>
      <c r="AN4956">
        <v>1.0000000071931101</v>
      </c>
    </row>
    <row r="4957" spans="1:40" x14ac:dyDescent="0.25">
      <c r="A4957" t="str">
        <f>"20190305135928905"</f>
        <v>20190305135928905</v>
      </c>
      <c r="B4957" t="str">
        <f>"1551765568893932"</f>
        <v>1551765568893932</v>
      </c>
      <c r="C4957" t="s">
        <v>40</v>
      </c>
      <c r="D4957">
        <v>4.1939640000000002</v>
      </c>
      <c r="E4957">
        <v>0.53884149999999997</v>
      </c>
      <c r="F4957" t="s">
        <v>42</v>
      </c>
      <c r="G4957">
        <v>-344.57569999999998</v>
      </c>
      <c r="H4957" s="1">
        <v>-3.3360860000000002E-6</v>
      </c>
      <c r="I4957">
        <v>13.96326</v>
      </c>
      <c r="J4957">
        <v>-365.93450000000001</v>
      </c>
      <c r="K4957">
        <v>1.1081730000000001</v>
      </c>
      <c r="L4957">
        <v>16.819369999999999</v>
      </c>
      <c r="M4957">
        <v>0.99980210000000003</v>
      </c>
      <c r="N4957">
        <v>-1.018052E-2</v>
      </c>
      <c r="O4957">
        <v>1.7096650000000001E-2</v>
      </c>
      <c r="P4957">
        <v>0.99925710000000001</v>
      </c>
      <c r="Q4957">
        <v>-2.6102739999999999E-2</v>
      </c>
      <c r="R4957">
        <v>-2.8357960000000001E-2</v>
      </c>
      <c r="S4957">
        <v>2.9871829999999999</v>
      </c>
      <c r="T4957">
        <v>-0.15380050000000001</v>
      </c>
      <c r="U4957">
        <v>-0.39602660000000001</v>
      </c>
      <c r="V4957">
        <v>4.5411779999999999E-2</v>
      </c>
      <c r="W4957">
        <v>-1.6010980000000001E-2</v>
      </c>
      <c r="X4957">
        <v>0.99883999999999995</v>
      </c>
      <c r="Y4957">
        <v>0.1481094</v>
      </c>
      <c r="Z4957">
        <v>-5.2544549999999999E-3</v>
      </c>
      <c r="AA4957">
        <v>0.98895699999999997</v>
      </c>
      <c r="AB4957">
        <v>36</v>
      </c>
      <c r="AC4957">
        <v>21.358799999999999</v>
      </c>
      <c r="AD4957">
        <v>-1.10817633608599</v>
      </c>
      <c r="AE4957">
        <v>-2.8561100000000001</v>
      </c>
      <c r="AF4957">
        <v>3.2123797369734102</v>
      </c>
      <c r="AG4957">
        <v>-1.10817633608599</v>
      </c>
      <c r="AH4957">
        <v>21.2506451118028</v>
      </c>
      <c r="AI4957">
        <v>92.951676206725907</v>
      </c>
      <c r="AJ4957">
        <v>81.403896355057796</v>
      </c>
      <c r="AK4957">
        <v>21.520626292795701</v>
      </c>
      <c r="AL4957">
        <v>90.917400812450197</v>
      </c>
      <c r="AM4957">
        <v>87.396867542970199</v>
      </c>
      <c r="AN4957">
        <v>0.99999996342166297</v>
      </c>
    </row>
    <row r="4958" spans="1:40" x14ac:dyDescent="0.25">
      <c r="A4958" t="str">
        <f>"20190305135928916"</f>
        <v>20190305135928916</v>
      </c>
      <c r="B4958" t="str">
        <f>"1551765568904669"</f>
        <v>1551765568904669</v>
      </c>
      <c r="C4958" t="s">
        <v>40</v>
      </c>
      <c r="D4958">
        <v>4.1916729999999998</v>
      </c>
      <c r="E4958">
        <v>0.5386109</v>
      </c>
      <c r="F4958" t="s">
        <v>42</v>
      </c>
      <c r="G4958">
        <v>-344.70929999999998</v>
      </c>
      <c r="H4958" s="1">
        <v>-3.2784510000000002E-6</v>
      </c>
      <c r="I4958">
        <v>14.009040000000001</v>
      </c>
      <c r="J4958">
        <v>-365.7568</v>
      </c>
      <c r="K4958">
        <v>1.1081540000000001</v>
      </c>
      <c r="L4958">
        <v>16.82208</v>
      </c>
      <c r="M4958">
        <v>0.99980659999999999</v>
      </c>
      <c r="N4958">
        <v>-1.036638E-2</v>
      </c>
      <c r="O4958">
        <v>1.6717760000000002E-2</v>
      </c>
      <c r="P4958">
        <v>0.99922279999999997</v>
      </c>
      <c r="Q4958">
        <v>-2.6802619999999999E-2</v>
      </c>
      <c r="R4958">
        <v>-2.8907120000000001E-2</v>
      </c>
      <c r="S4958">
        <v>2.9869690000000002</v>
      </c>
      <c r="T4958">
        <v>-0.15595049999999999</v>
      </c>
      <c r="U4958">
        <v>-0.39547729999999998</v>
      </c>
      <c r="V4958">
        <v>4.5580660000000002E-2</v>
      </c>
      <c r="W4958">
        <v>-1.6527050000000001E-2</v>
      </c>
      <c r="X4958">
        <v>0.99882389999999999</v>
      </c>
      <c r="Y4958">
        <v>0.14755929999999901</v>
      </c>
      <c r="Z4958">
        <v>-5.2977839999999998E-3</v>
      </c>
      <c r="AA4958">
        <v>0.989039</v>
      </c>
      <c r="AB4958">
        <v>36</v>
      </c>
      <c r="AC4958">
        <v>21.047499999999999</v>
      </c>
      <c r="AD4958">
        <v>-1.1081572784510001</v>
      </c>
      <c r="AE4958">
        <v>-2.81304</v>
      </c>
      <c r="AF4958">
        <v>3.1559378579316699</v>
      </c>
      <c r="AG4958">
        <v>-1.1081572784510001</v>
      </c>
      <c r="AH4958">
        <v>20.9404985194974</v>
      </c>
      <c r="AI4958">
        <v>92.995463996053601</v>
      </c>
      <c r="AJ4958">
        <v>81.429466199867605</v>
      </c>
      <c r="AK4958">
        <v>21.205952809576502</v>
      </c>
      <c r="AL4958">
        <v>90.946973362441099</v>
      </c>
      <c r="AM4958">
        <v>87.387158194071205</v>
      </c>
      <c r="AN4958">
        <v>0.99999996157947302</v>
      </c>
    </row>
    <row r="4959" spans="1:40" x14ac:dyDescent="0.25">
      <c r="A4959" t="str">
        <f>"20190305135928928"</f>
        <v>20190305135928928</v>
      </c>
      <c r="B4959" t="str">
        <f>"1551765568924189"</f>
        <v>1551765568924189</v>
      </c>
      <c r="C4959" t="s">
        <v>40</v>
      </c>
      <c r="D4959">
        <v>4.1795559999999998</v>
      </c>
      <c r="E4959">
        <v>0.53819099999999997</v>
      </c>
      <c r="F4959" t="s">
        <v>42</v>
      </c>
      <c r="G4959">
        <v>-344.94299999999998</v>
      </c>
      <c r="H4959" s="1">
        <v>-3.1834439999999998E-6</v>
      </c>
      <c r="I4959">
        <v>14.067170000000001</v>
      </c>
      <c r="J4959">
        <v>-365.58269999999999</v>
      </c>
      <c r="K4959">
        <v>1.108144</v>
      </c>
      <c r="L4959">
        <v>16.824619999999999</v>
      </c>
      <c r="M4959">
        <v>0.99981109999999895</v>
      </c>
      <c r="N4959">
        <v>-1.0521620000000001E-2</v>
      </c>
      <c r="O4959">
        <v>1.634685E-2</v>
      </c>
      <c r="P4959">
        <v>0.99918359999999995</v>
      </c>
      <c r="Q4959">
        <v>-2.778423E-2</v>
      </c>
      <c r="R4959">
        <v>-2.9329750000000002E-2</v>
      </c>
      <c r="S4959">
        <v>2.9866030000000001</v>
      </c>
      <c r="T4959">
        <v>-0.15901119999999999</v>
      </c>
      <c r="U4959">
        <v>-0.39529419999999998</v>
      </c>
      <c r="V4959">
        <v>4.5630480000000001E-2</v>
      </c>
      <c r="W4959">
        <v>-1.7354809999999998E-2</v>
      </c>
      <c r="X4959">
        <v>0.99880760000000002</v>
      </c>
      <c r="Y4959">
        <v>0.14713970000000001</v>
      </c>
      <c r="Z4959">
        <v>-5.3703780000000003E-3</v>
      </c>
      <c r="AA4959">
        <v>0.98910109999999996</v>
      </c>
      <c r="AB4959">
        <v>36</v>
      </c>
      <c r="AC4959">
        <v>20.639699999999898</v>
      </c>
      <c r="AD4959">
        <v>-1.108147183444</v>
      </c>
      <c r="AE4959">
        <v>-2.7574499999999902</v>
      </c>
      <c r="AF4959">
        <v>3.0857551500318698</v>
      </c>
      <c r="AG4959">
        <v>-1.108147183444</v>
      </c>
      <c r="AH4959">
        <v>20.533710707318999</v>
      </c>
      <c r="AI4959">
        <v>93.054861201497303</v>
      </c>
      <c r="AJ4959">
        <v>81.453684114607597</v>
      </c>
      <c r="AK4959">
        <v>20.793824815025999</v>
      </c>
      <c r="AL4959">
        <v>90.994407312897593</v>
      </c>
      <c r="AM4959">
        <v>87.384263675349004</v>
      </c>
      <c r="AN4959">
        <v>0.99999997597646295</v>
      </c>
    </row>
    <row r="4960" spans="1:40" x14ac:dyDescent="0.25">
      <c r="A4960" t="str">
        <f>"20190305135928939"</f>
        <v>20190305135928939</v>
      </c>
      <c r="B4960" t="str">
        <f>"1551765568933950"</f>
        <v>1551765568933950</v>
      </c>
      <c r="C4960" t="s">
        <v>40</v>
      </c>
      <c r="D4960">
        <v>4.1885779999999997</v>
      </c>
      <c r="E4960">
        <v>0.53802289999999997</v>
      </c>
      <c r="F4960" t="s">
        <v>42</v>
      </c>
      <c r="G4960">
        <v>-345.28989999999999</v>
      </c>
      <c r="H4960" s="1">
        <v>-3.0426860000000001E-6</v>
      </c>
      <c r="I4960">
        <v>14.152559999999999</v>
      </c>
      <c r="J4960">
        <v>-365.38830000000002</v>
      </c>
      <c r="K4960">
        <v>1.1081319999999999</v>
      </c>
      <c r="L4960">
        <v>16.82742</v>
      </c>
      <c r="M4960">
        <v>0.99981609999999999</v>
      </c>
      <c r="N4960">
        <v>-1.068673E-2</v>
      </c>
      <c r="O4960">
        <v>1.59329E-2</v>
      </c>
      <c r="P4960">
        <v>0.99914650000000005</v>
      </c>
      <c r="Q4960">
        <v>-2.8552890000000001E-2</v>
      </c>
      <c r="R4960">
        <v>-2.9852E-2</v>
      </c>
      <c r="S4960">
        <v>2.986389</v>
      </c>
      <c r="T4960">
        <v>-0.16308</v>
      </c>
      <c r="U4960">
        <v>-0.39321899999999999</v>
      </c>
      <c r="V4960">
        <v>4.573721E-2</v>
      </c>
      <c r="W4960">
        <v>-1.795979E-2</v>
      </c>
      <c r="X4960">
        <v>0.99879209999999996</v>
      </c>
      <c r="Y4960">
        <v>0.14605290000000001</v>
      </c>
      <c r="Z4960">
        <v>-5.448708E-3</v>
      </c>
      <c r="AA4960">
        <v>0.98926179999999997</v>
      </c>
      <c r="AB4960">
        <v>36</v>
      </c>
      <c r="AC4960">
        <v>20.098400000000002</v>
      </c>
      <c r="AD4960">
        <v>-1.1081350426859999</v>
      </c>
      <c r="AE4960">
        <v>-2.67485999999999</v>
      </c>
      <c r="AF4960">
        <v>2.9858456966144402</v>
      </c>
      <c r="AG4960">
        <v>-1.1081350426859999</v>
      </c>
      <c r="AH4960">
        <v>19.993506887987198</v>
      </c>
      <c r="AI4960">
        <v>93.137633127796306</v>
      </c>
      <c r="AJ4960">
        <v>81.506177953347901</v>
      </c>
      <c r="AK4960">
        <v>20.2455811345787</v>
      </c>
      <c r="AL4960">
        <v>91.029075440809393</v>
      </c>
      <c r="AM4960">
        <v>87.378113346865405</v>
      </c>
      <c r="AN4960">
        <v>1.0000000527289099</v>
      </c>
    </row>
    <row r="4961" spans="1:40" x14ac:dyDescent="0.25">
      <c r="A4961" t="str">
        <f>"20190305135928951"</f>
        <v>20190305135928951</v>
      </c>
      <c r="B4961" t="str">
        <f>"1551765568943709"</f>
        <v>1551765568943709</v>
      </c>
      <c r="C4961" t="s">
        <v>40</v>
      </c>
      <c r="D4961">
        <v>4.2174050000000003</v>
      </c>
      <c r="E4961">
        <v>0.53789310000000001</v>
      </c>
      <c r="F4961" t="s">
        <v>42</v>
      </c>
      <c r="G4961">
        <v>-345.42149999999998</v>
      </c>
      <c r="H4961" s="1">
        <v>-2.9861009999999999E-6</v>
      </c>
      <c r="I4961">
        <v>14.196820000000001</v>
      </c>
      <c r="J4961">
        <v>-365.18549999999999</v>
      </c>
      <c r="K4961">
        <v>1.108128</v>
      </c>
      <c r="L4961">
        <v>16.83023</v>
      </c>
      <c r="M4961">
        <v>0.99982119999999997</v>
      </c>
      <c r="N4961">
        <v>-1.083336E-2</v>
      </c>
      <c r="O4961">
        <v>1.5504270000000001E-2</v>
      </c>
      <c r="P4961">
        <v>0.99911459999999996</v>
      </c>
      <c r="Q4961">
        <v>-2.9056849999999999E-2</v>
      </c>
      <c r="R4961">
        <v>-3.0431099999999999E-2</v>
      </c>
      <c r="S4961">
        <v>2.986084</v>
      </c>
      <c r="T4961">
        <v>-0.16572479999999901</v>
      </c>
      <c r="U4961">
        <v>-0.39340209999999998</v>
      </c>
      <c r="V4961">
        <v>4.5886950000000003E-2</v>
      </c>
      <c r="W4961">
        <v>-1.831808E-2</v>
      </c>
      <c r="X4961">
        <v>0.99877870000000002</v>
      </c>
      <c r="Y4961">
        <v>0.14569370000000001</v>
      </c>
      <c r="Z4961">
        <v>-5.5049979999999997E-3</v>
      </c>
      <c r="AA4961">
        <v>0.98931440000000004</v>
      </c>
      <c r="AB4961">
        <v>36</v>
      </c>
      <c r="AC4961">
        <v>19.763999999999999</v>
      </c>
      <c r="AD4961">
        <v>-1.108130986101</v>
      </c>
      <c r="AE4961">
        <v>-2.63341</v>
      </c>
      <c r="AF4961">
        <v>2.9304860927968299</v>
      </c>
      <c r="AG4961">
        <v>-1.108130986101</v>
      </c>
      <c r="AH4961">
        <v>19.6600666061567</v>
      </c>
      <c r="AI4961">
        <v>93.190859085146002</v>
      </c>
      <c r="AJ4961">
        <v>81.522038366025797</v>
      </c>
      <c r="AK4961">
        <v>19.9081370796202</v>
      </c>
      <c r="AL4961">
        <v>91.049607348724805</v>
      </c>
      <c r="AM4961">
        <v>87.369506293109197</v>
      </c>
      <c r="AN4961">
        <v>1.0000000279044301</v>
      </c>
    </row>
    <row r="4962" spans="1:40" x14ac:dyDescent="0.25">
      <c r="A4962" t="str">
        <f>"20190305135928963"</f>
        <v>20190305135928963</v>
      </c>
      <c r="B4962" t="str">
        <f>"1551765568954445"</f>
        <v>1551765568954445</v>
      </c>
      <c r="C4962" t="s">
        <v>40</v>
      </c>
      <c r="D4962">
        <v>4.1910910000000001</v>
      </c>
      <c r="E4962">
        <v>0.53774789999999995</v>
      </c>
      <c r="F4962" t="s">
        <v>42</v>
      </c>
      <c r="G4962">
        <v>-345.44060000000002</v>
      </c>
      <c r="H4962" s="1">
        <v>-2.9723969999999998E-6</v>
      </c>
      <c r="I4962">
        <v>14.223940000000001</v>
      </c>
      <c r="J4962">
        <v>-365.00650000000002</v>
      </c>
      <c r="K4962">
        <v>1.1081259999999999</v>
      </c>
      <c r="L4962">
        <v>16.832609999999999</v>
      </c>
      <c r="M4962">
        <v>0.99982559999999998</v>
      </c>
      <c r="N4962">
        <v>-1.095409E-2</v>
      </c>
      <c r="O4962">
        <v>1.51283999999999E-2</v>
      </c>
      <c r="P4962">
        <v>0.99907939999999995</v>
      </c>
      <c r="Q4962">
        <v>-2.981108E-2</v>
      </c>
      <c r="R4962">
        <v>-3.0848739999999999E-2</v>
      </c>
      <c r="S4962">
        <v>2.985779</v>
      </c>
      <c r="T4962">
        <v>-0.16756879999999999</v>
      </c>
      <c r="U4962">
        <v>-0.39410400000000001</v>
      </c>
      <c r="V4962">
        <v>4.5927519999999999E-2</v>
      </c>
      <c r="W4962">
        <v>-1.8952110000000001E-2</v>
      </c>
      <c r="X4962">
        <v>0.99876500000000001</v>
      </c>
      <c r="Y4962">
        <v>0.14555789999999999</v>
      </c>
      <c r="Z4962">
        <v>-5.5451980000000003E-3</v>
      </c>
      <c r="AA4962">
        <v>0.98933419999999905</v>
      </c>
      <c r="AB4962">
        <v>36</v>
      </c>
      <c r="AC4962">
        <v>19.565899999999999</v>
      </c>
      <c r="AD4962">
        <v>-1.108128972397</v>
      </c>
      <c r="AE4962">
        <v>-2.60867</v>
      </c>
      <c r="AF4962">
        <v>2.8952652672696302</v>
      </c>
      <c r="AG4962">
        <v>-1.108128972397</v>
      </c>
      <c r="AH4962">
        <v>19.462854434347701</v>
      </c>
      <c r="AI4962">
        <v>93.223257809338193</v>
      </c>
      <c r="AJ4962">
        <v>81.538813791663301</v>
      </c>
      <c r="AK4962">
        <v>19.708201681531701</v>
      </c>
      <c r="AL4962">
        <v>91.085940906652795</v>
      </c>
      <c r="AM4962">
        <v>87.367147804028207</v>
      </c>
      <c r="AN4962">
        <v>1.0000000223959</v>
      </c>
    </row>
    <row r="4963" spans="1:40" x14ac:dyDescent="0.25">
      <c r="A4963" t="str">
        <f>"20190305135928973"</f>
        <v>20190305135928973</v>
      </c>
      <c r="B4963" t="str">
        <f>"1551765568964205"</f>
        <v>1551765568964205</v>
      </c>
      <c r="C4963" t="s">
        <v>40</v>
      </c>
      <c r="D4963">
        <v>4.2028999999999996</v>
      </c>
      <c r="E4963">
        <v>0.53757929999999998</v>
      </c>
      <c r="F4963" t="s">
        <v>42</v>
      </c>
      <c r="G4963">
        <v>-345.56939999999997</v>
      </c>
      <c r="H4963" s="1">
        <v>-2.917355E-6</v>
      </c>
      <c r="I4963">
        <v>14.26609</v>
      </c>
      <c r="J4963">
        <v>-364.82810000000001</v>
      </c>
      <c r="K4963">
        <v>1.108128</v>
      </c>
      <c r="L4963">
        <v>16.834989999999902</v>
      </c>
      <c r="M4963">
        <v>0.99982990000000005</v>
      </c>
      <c r="N4963">
        <v>-1.1064239999999999E-2</v>
      </c>
      <c r="O4963">
        <v>1.475627E-2</v>
      </c>
      <c r="P4963">
        <v>0.9990559</v>
      </c>
      <c r="Q4963">
        <v>-3.0148339999999999E-2</v>
      </c>
      <c r="R4963">
        <v>-3.1280339999999997E-2</v>
      </c>
      <c r="S4963">
        <v>2.985474</v>
      </c>
      <c r="T4963">
        <v>-0.17020479999999999</v>
      </c>
      <c r="U4963">
        <v>-0.39419559999999998</v>
      </c>
      <c r="V4963">
        <v>4.5986730000000003E-2</v>
      </c>
      <c r="W4963">
        <v>-1.9179439999999999E-2</v>
      </c>
      <c r="X4963">
        <v>0.99875789999999998</v>
      </c>
      <c r="Y4963">
        <v>0.14522479999999999</v>
      </c>
      <c r="Z4963">
        <v>-5.6008969999999996E-3</v>
      </c>
      <c r="AA4963">
        <v>0.98938280000000001</v>
      </c>
      <c r="AB4963">
        <v>36</v>
      </c>
      <c r="AC4963">
        <v>19.258700000000001</v>
      </c>
      <c r="AD4963">
        <v>-1.108130917355</v>
      </c>
      <c r="AE4963">
        <v>-2.56889999999999</v>
      </c>
      <c r="AF4963">
        <v>2.84357441433046</v>
      </c>
      <c r="AG4963">
        <v>-1.108130917355</v>
      </c>
      <c r="AH4963">
        <v>19.156379632211198</v>
      </c>
      <c r="AI4963">
        <v>93.274871017106307</v>
      </c>
      <c r="AJ4963">
        <v>81.556664758846395</v>
      </c>
      <c r="AK4963">
        <v>19.3979573716727</v>
      </c>
      <c r="AL4963">
        <v>91.098968363335004</v>
      </c>
      <c r="AM4963">
        <v>87.363739588408194</v>
      </c>
      <c r="AN4963">
        <v>0.999999986533608</v>
      </c>
    </row>
    <row r="4964" spans="1:40" x14ac:dyDescent="0.25">
      <c r="A4964" t="str">
        <f>"20190305135928984"</f>
        <v>20190305135928984</v>
      </c>
      <c r="B4964" t="str">
        <f>"1551765568973965"</f>
        <v>1551765568973965</v>
      </c>
      <c r="C4964" t="s">
        <v>40</v>
      </c>
      <c r="D4964">
        <v>4.2023080000000004</v>
      </c>
      <c r="E4964">
        <v>0.53745039999999999</v>
      </c>
      <c r="F4964" t="s">
        <v>42</v>
      </c>
      <c r="G4964">
        <v>-345.54419999999999</v>
      </c>
      <c r="H4964" s="1">
        <v>-2.9199140000000002E-6</v>
      </c>
      <c r="I4964">
        <v>14.28876</v>
      </c>
      <c r="J4964">
        <v>-364.66300000000001</v>
      </c>
      <c r="K4964">
        <v>1.1081319999999999</v>
      </c>
      <c r="L4964">
        <v>16.8371</v>
      </c>
      <c r="M4964">
        <v>0.999834</v>
      </c>
      <c r="N4964">
        <v>-1.115556E-2</v>
      </c>
      <c r="O4964">
        <v>1.441718E-2</v>
      </c>
      <c r="P4964">
        <v>0.99903730000000002</v>
      </c>
      <c r="Q4964">
        <v>-3.0328270000000001E-2</v>
      </c>
      <c r="R4964">
        <v>-3.169955E-2</v>
      </c>
      <c r="S4964">
        <v>2.9853209999999999</v>
      </c>
      <c r="T4964">
        <v>-0.171547799999999</v>
      </c>
      <c r="U4964">
        <v>-0.39416499999999999</v>
      </c>
      <c r="V4964">
        <v>4.60671E-2</v>
      </c>
      <c r="W4964">
        <v>-1.926804E-2</v>
      </c>
      <c r="X4964">
        <v>0.99875250000000004</v>
      </c>
      <c r="Y4964">
        <v>0.14488219999999999</v>
      </c>
      <c r="Z4964">
        <v>-5.6181879999999997E-3</v>
      </c>
      <c r="AA4964">
        <v>0.98943289999999995</v>
      </c>
      <c r="AB4964">
        <v>36</v>
      </c>
      <c r="AC4964">
        <v>19.1188</v>
      </c>
      <c r="AD4964">
        <v>-1.10813491991399</v>
      </c>
      <c r="AE4964">
        <v>-2.54834</v>
      </c>
      <c r="AF4964">
        <v>2.8144415586716001</v>
      </c>
      <c r="AG4964">
        <v>-1.10813491991399</v>
      </c>
      <c r="AH4964">
        <v>19.017298685750301</v>
      </c>
      <c r="AI4964">
        <v>93.298993680721907</v>
      </c>
      <c r="AJ4964">
        <v>81.581686922517306</v>
      </c>
      <c r="AK4964">
        <v>19.256341646090199</v>
      </c>
      <c r="AL4964">
        <v>91.1040456976489</v>
      </c>
      <c r="AM4964">
        <v>87.359124512534095</v>
      </c>
      <c r="AN4964">
        <v>0.99999999566205</v>
      </c>
    </row>
    <row r="4965" spans="1:40" x14ac:dyDescent="0.25">
      <c r="A4965" t="str">
        <f>"20190305135928995"</f>
        <v>20190305135928995</v>
      </c>
      <c r="B4965" t="str">
        <f>"1551765568983725"</f>
        <v>1551765568983725</v>
      </c>
      <c r="C4965" t="s">
        <v>40</v>
      </c>
      <c r="D4965">
        <v>4.1822900000000001</v>
      </c>
      <c r="E4965">
        <v>0.53732150000000001</v>
      </c>
      <c r="F4965" t="s">
        <v>42</v>
      </c>
      <c r="G4965">
        <v>-345.46559999999999</v>
      </c>
      <c r="H4965" s="1">
        <v>-2.9434660000000002E-6</v>
      </c>
      <c r="I4965">
        <v>14.300750000000001</v>
      </c>
      <c r="J4965">
        <v>-364.47980000000001</v>
      </c>
      <c r="K4965">
        <v>1.108139</v>
      </c>
      <c r="L4965">
        <v>16.839389999999899</v>
      </c>
      <c r="M4965">
        <v>0.99983809999999995</v>
      </c>
      <c r="N4965">
        <v>-1.1250130000000001E-2</v>
      </c>
      <c r="O4965">
        <v>1.404477E-2</v>
      </c>
      <c r="P4965">
        <v>0.99902329999999995</v>
      </c>
      <c r="Q4965">
        <v>-3.0353459999999999E-2</v>
      </c>
      <c r="R4965">
        <v>-3.2115640000000001E-2</v>
      </c>
      <c r="S4965">
        <v>2.9851380000000001</v>
      </c>
      <c r="T4965">
        <v>-0.17231089999999999</v>
      </c>
      <c r="U4965">
        <v>-0.39437870000000003</v>
      </c>
      <c r="V4965">
        <v>4.6111199999999998E-2</v>
      </c>
      <c r="W4965">
        <v>-1.9198349999999999E-2</v>
      </c>
      <c r="X4965">
        <v>0.99875179999999997</v>
      </c>
      <c r="Y4965">
        <v>0.144589299999999</v>
      </c>
      <c r="Z4965">
        <v>-5.6187759999999998E-3</v>
      </c>
      <c r="AA4965">
        <v>0.98947580000000002</v>
      </c>
      <c r="AB4965">
        <v>36</v>
      </c>
      <c r="AC4965">
        <v>19.014199999999999</v>
      </c>
      <c r="AD4965">
        <v>-1.108141943466</v>
      </c>
      <c r="AE4965">
        <v>-2.5386399999999898</v>
      </c>
      <c r="AF4965">
        <v>2.7961257558538302</v>
      </c>
      <c r="AG4965">
        <v>-1.108141943466</v>
      </c>
      <c r="AH4965">
        <v>18.913552212078098</v>
      </c>
      <c r="AI4965">
        <v>93.317145350376606</v>
      </c>
      <c r="AJ4965">
        <v>81.590467660284006</v>
      </c>
      <c r="AK4965">
        <v>19.1512076665786</v>
      </c>
      <c r="AL4965">
        <v>91.1000520236786</v>
      </c>
      <c r="AM4965">
        <v>87.356598138566298</v>
      </c>
      <c r="AN4965">
        <v>0.99999998870570095</v>
      </c>
    </row>
    <row r="4966" spans="1:40" x14ac:dyDescent="0.25">
      <c r="A4966" t="str">
        <f>"20190305135929007"</f>
        <v>20190305135929007</v>
      </c>
      <c r="B4966" t="str">
        <f>"1551765569003753"</f>
        <v>1551765569003753</v>
      </c>
      <c r="C4966" t="s">
        <v>40</v>
      </c>
      <c r="D4966">
        <v>4.1695840000000004</v>
      </c>
      <c r="E4966">
        <v>0.53709980000000002</v>
      </c>
      <c r="F4966" t="s">
        <v>42</v>
      </c>
      <c r="G4966">
        <v>-345.29259999999999</v>
      </c>
      <c r="H4966" s="1">
        <v>-3.001771E-6</v>
      </c>
      <c r="I4966">
        <v>14.30289</v>
      </c>
      <c r="J4966">
        <v>-364.30029999999999</v>
      </c>
      <c r="K4966">
        <v>1.10815</v>
      </c>
      <c r="L4966">
        <v>16.841550000000002</v>
      </c>
      <c r="M4966">
        <v>0.99984220000000001</v>
      </c>
      <c r="N4966">
        <v>-1.1330679999999999E-2</v>
      </c>
      <c r="O4966">
        <v>1.3691450000000001E-2</v>
      </c>
      <c r="P4966">
        <v>0.99901209999999996</v>
      </c>
      <c r="Q4966">
        <v>-3.0203520000000001E-2</v>
      </c>
      <c r="R4966">
        <v>-3.2597109999999999E-2</v>
      </c>
      <c r="S4966">
        <v>2.984985</v>
      </c>
      <c r="T4966">
        <v>-0.17239499999999999</v>
      </c>
      <c r="U4966">
        <v>-0.39459230000000001</v>
      </c>
      <c r="V4966">
        <v>4.6240549999999998E-2</v>
      </c>
      <c r="W4966">
        <v>-1.8967350000000001E-2</v>
      </c>
      <c r="X4966">
        <v>0.99875029999999998</v>
      </c>
      <c r="Y4966">
        <v>0.14431620000000001</v>
      </c>
      <c r="Z4966">
        <v>-5.600425E-3</v>
      </c>
      <c r="AA4966">
        <v>0.98951579999999995</v>
      </c>
      <c r="AB4966">
        <v>36</v>
      </c>
      <c r="AC4966">
        <v>19.0077</v>
      </c>
      <c r="AD4966">
        <v>-1.108153001771</v>
      </c>
      <c r="AE4966">
        <v>-2.5386600000000001</v>
      </c>
      <c r="AF4966">
        <v>2.7893669967605401</v>
      </c>
      <c r="AG4966">
        <v>-1.108153001771</v>
      </c>
      <c r="AH4966">
        <v>18.908017535725101</v>
      </c>
      <c r="AI4966">
        <v>93.318297536813901</v>
      </c>
      <c r="AJ4966">
        <v>81.608084654291801</v>
      </c>
      <c r="AK4966">
        <v>19.144756421778801</v>
      </c>
      <c r="AL4966">
        <v>91.086814215543995</v>
      </c>
      <c r="AM4966">
        <v>87.349189519511199</v>
      </c>
      <c r="AN4966">
        <v>1.0000000552902</v>
      </c>
    </row>
    <row r="4967" spans="1:40" x14ac:dyDescent="0.25">
      <c r="A4967" t="str">
        <f>"20190305135929020"</f>
        <v>20190305135929020</v>
      </c>
      <c r="B4967" t="str">
        <f>"1551765569014491"</f>
        <v>1551765569014491</v>
      </c>
      <c r="C4967" t="s">
        <v>40</v>
      </c>
      <c r="D4967">
        <v>4.1716629999999997</v>
      </c>
      <c r="E4967">
        <v>0.53698710000000005</v>
      </c>
      <c r="F4967" t="s">
        <v>42</v>
      </c>
      <c r="G4967">
        <v>-344.96809999999999</v>
      </c>
      <c r="H4967" s="1">
        <v>-3.1160919999999999E-6</v>
      </c>
      <c r="I4967">
        <v>14.288220000000001</v>
      </c>
      <c r="J4967">
        <v>-364.09500000000003</v>
      </c>
      <c r="K4967">
        <v>1.108163</v>
      </c>
      <c r="L4967">
        <v>16.843989999999899</v>
      </c>
      <c r="M4967">
        <v>0.99984649999999997</v>
      </c>
      <c r="N4967">
        <v>-1.1417770000000001E-2</v>
      </c>
      <c r="O4967">
        <v>1.329373E-2</v>
      </c>
      <c r="P4967">
        <v>0.9990076</v>
      </c>
      <c r="Q4967">
        <v>-2.9855449999999999E-2</v>
      </c>
      <c r="R4967">
        <v>-3.3053989999999998E-2</v>
      </c>
      <c r="S4967">
        <v>2.9849239999999999</v>
      </c>
      <c r="T4967">
        <v>-0.17110059999999999</v>
      </c>
      <c r="U4967">
        <v>-0.39422610000000002</v>
      </c>
      <c r="V4967">
        <v>4.6301370000000001E-2</v>
      </c>
      <c r="W4967">
        <v>-1.8531180000000001E-2</v>
      </c>
      <c r="X4967">
        <v>0.99875559999999997</v>
      </c>
      <c r="Y4967">
        <v>0.1438111</v>
      </c>
      <c r="Z4967">
        <v>-5.5332250000000001E-3</v>
      </c>
      <c r="AA4967">
        <v>0.98958970000000002</v>
      </c>
      <c r="AB4967">
        <v>36</v>
      </c>
      <c r="AC4967">
        <v>19.126899999999999</v>
      </c>
      <c r="AD4967">
        <v>-1.108166116092</v>
      </c>
      <c r="AE4967">
        <v>-2.5557699999999901</v>
      </c>
      <c r="AF4967">
        <v>2.8005925183926501</v>
      </c>
      <c r="AG4967">
        <v>-1.108166116092</v>
      </c>
      <c r="AH4967">
        <v>19.028478070172198</v>
      </c>
      <c r="AI4967">
        <v>93.297539572264299</v>
      </c>
      <c r="AJ4967">
        <v>81.627373720075397</v>
      </c>
      <c r="AK4967">
        <v>19.2653660297944</v>
      </c>
      <c r="AL4967">
        <v>91.061819197496703</v>
      </c>
      <c r="AM4967">
        <v>87.345721967832802</v>
      </c>
      <c r="AN4967">
        <v>0.99999998501371401</v>
      </c>
    </row>
    <row r="4968" spans="1:40" x14ac:dyDescent="0.25">
      <c r="A4968" t="str">
        <f>"20190305135929039"</f>
        <v>20190305135929039</v>
      </c>
      <c r="B4968" t="str">
        <f>"1551765569034009"</f>
        <v>1551765569034009</v>
      </c>
      <c r="C4968" t="s">
        <v>40</v>
      </c>
      <c r="D4968">
        <v>4.2148919999999999</v>
      </c>
      <c r="E4968">
        <v>0.53683099999999995</v>
      </c>
      <c r="F4968" t="s">
        <v>42</v>
      </c>
      <c r="G4968">
        <v>-344.60759999999999</v>
      </c>
      <c r="H4968" s="1">
        <v>-3.2444729999999999E-6</v>
      </c>
      <c r="I4968">
        <v>14.267110000000001</v>
      </c>
      <c r="J4968">
        <v>-363.77780000000001</v>
      </c>
      <c r="K4968">
        <v>1.1081970000000001</v>
      </c>
      <c r="L4968">
        <v>16.8476</v>
      </c>
      <c r="M4968">
        <v>0.99985270000000004</v>
      </c>
      <c r="N4968">
        <v>-1.1533949999999999E-2</v>
      </c>
      <c r="O4968">
        <v>1.2713520000000001E-2</v>
      </c>
      <c r="P4968">
        <v>0.99902360000000001</v>
      </c>
      <c r="Q4968">
        <v>-2.857409E-2</v>
      </c>
      <c r="R4968">
        <v>-3.3695330000000003E-2</v>
      </c>
      <c r="S4968">
        <v>2.9848629999999998</v>
      </c>
      <c r="T4968">
        <v>-0.16973629999999901</v>
      </c>
      <c r="U4968">
        <v>-0.39468379999999997</v>
      </c>
      <c r="V4968">
        <v>4.6366900000000003E-2</v>
      </c>
      <c r="W4968">
        <v>-1.7130889999999999E-2</v>
      </c>
      <c r="X4968">
        <v>0.99877760000000004</v>
      </c>
      <c r="Y4968">
        <v>0.14339399999999999</v>
      </c>
      <c r="Z4968">
        <v>-5.4610550000000002E-3</v>
      </c>
      <c r="AA4968">
        <v>0.98965060000000005</v>
      </c>
      <c r="AB4968">
        <v>36</v>
      </c>
      <c r="AC4968">
        <v>19.170200000000001</v>
      </c>
      <c r="AD4968">
        <v>-1.1082002444729999</v>
      </c>
      <c r="AE4968">
        <v>-2.5804900000000002</v>
      </c>
      <c r="AF4968">
        <v>2.8147792609914202</v>
      </c>
      <c r="AG4968">
        <v>-1.1082002444729999</v>
      </c>
      <c r="AH4968">
        <v>19.073236205293</v>
      </c>
      <c r="AI4968">
        <v>93.289730870242494</v>
      </c>
      <c r="AJ4968">
        <v>81.605030852291605</v>
      </c>
      <c r="AK4968">
        <v>19.311639739101899</v>
      </c>
      <c r="AL4968">
        <v>90.981575685305998</v>
      </c>
      <c r="AM4968">
        <v>87.342029234960094</v>
      </c>
      <c r="AN4968">
        <v>1.0000000255347801</v>
      </c>
    </row>
    <row r="4969" spans="1:40" x14ac:dyDescent="0.25">
      <c r="A4969" t="str">
        <f>"20190305135929054"</f>
        <v>20190305135929054</v>
      </c>
      <c r="B4969" t="str">
        <f>"1551765569043769"</f>
        <v>1551765569043769</v>
      </c>
      <c r="C4969" t="s">
        <v>40</v>
      </c>
      <c r="D4969">
        <v>4.200615</v>
      </c>
      <c r="E4969">
        <v>0.53679529999999998</v>
      </c>
      <c r="F4969" t="s">
        <v>42</v>
      </c>
      <c r="G4969">
        <v>-343.72390000000001</v>
      </c>
      <c r="H4969" s="1">
        <v>-3.6369669999999998E-6</v>
      </c>
      <c r="I4969">
        <v>14.191739999999999</v>
      </c>
      <c r="J4969">
        <v>-363.54059999999998</v>
      </c>
      <c r="K4969">
        <v>1.1082299999999901</v>
      </c>
      <c r="L4969">
        <v>16.850189999999898</v>
      </c>
      <c r="M4969">
        <v>0.999857</v>
      </c>
      <c r="N4969">
        <v>-1.1609029999999999E-2</v>
      </c>
      <c r="O4969">
        <v>1.230965E-2</v>
      </c>
      <c r="P4969">
        <v>0.99903209999999998</v>
      </c>
      <c r="Q4969">
        <v>-2.800267E-2</v>
      </c>
      <c r="R4969">
        <v>-3.3923960000000003E-2</v>
      </c>
      <c r="S4969">
        <v>2.9848940000000002</v>
      </c>
      <c r="T4969">
        <v>-0.16494819999999999</v>
      </c>
      <c r="U4969">
        <v>-0.39529419999999998</v>
      </c>
      <c r="V4969">
        <v>4.6194209999999999E-2</v>
      </c>
      <c r="W4969">
        <v>-1.6481289999999999E-2</v>
      </c>
      <c r="X4969">
        <v>0.99879649999999998</v>
      </c>
      <c r="Y4969">
        <v>0.14320720000000001</v>
      </c>
      <c r="Z4969">
        <v>-5.307094E-3</v>
      </c>
      <c r="AA4969">
        <v>0.98967850000000002</v>
      </c>
      <c r="AB4969">
        <v>36</v>
      </c>
      <c r="AC4969">
        <v>19.816699999999901</v>
      </c>
      <c r="AD4969">
        <v>-1.1082336369669901</v>
      </c>
      <c r="AE4969">
        <v>-2.65844999999999</v>
      </c>
      <c r="AF4969">
        <v>2.8933126736458101</v>
      </c>
      <c r="AG4969">
        <v>-1.1082336369669901</v>
      </c>
      <c r="AH4969">
        <v>19.721881427803101</v>
      </c>
      <c r="AI4969">
        <v>93.182253294855599</v>
      </c>
      <c r="AJ4969">
        <v>81.653918357483406</v>
      </c>
      <c r="AK4969">
        <v>19.9637683585517</v>
      </c>
      <c r="AL4969">
        <v>90.944351120466806</v>
      </c>
      <c r="AM4969">
        <v>87.351964565556401</v>
      </c>
      <c r="AN4969">
        <v>0.99999999318491894</v>
      </c>
    </row>
    <row r="4970" spans="1:40" x14ac:dyDescent="0.25">
      <c r="A4970" t="str">
        <f>"20190305135929075"</f>
        <v>20190305135929075</v>
      </c>
      <c r="B4970" t="str">
        <f>"1551765569064265"</f>
        <v>1551765569064265</v>
      </c>
      <c r="C4970" t="s">
        <v>40</v>
      </c>
      <c r="D4970">
        <v>4.1576700000000004</v>
      </c>
      <c r="E4970">
        <v>0.53665949999999996</v>
      </c>
      <c r="F4970" t="s">
        <v>42</v>
      </c>
      <c r="G4970">
        <v>-343.27350000000001</v>
      </c>
      <c r="H4970" s="1">
        <v>-3.8351890000000001E-6</v>
      </c>
      <c r="I4970">
        <v>14.163399999999999</v>
      </c>
      <c r="J4970">
        <v>-363.22320000000002</v>
      </c>
      <c r="K4970">
        <v>1.1082829999999999</v>
      </c>
      <c r="L4970">
        <v>16.853549999999998</v>
      </c>
      <c r="M4970">
        <v>0.99986189999999997</v>
      </c>
      <c r="N4970">
        <v>-1.1697849999999999E-2</v>
      </c>
      <c r="O4970">
        <v>1.180816E-2</v>
      </c>
      <c r="P4970">
        <v>0.99905560000000004</v>
      </c>
      <c r="Q4970">
        <v>-2.7128019999999999E-2</v>
      </c>
      <c r="R4970">
        <v>-3.3946219999999999E-2</v>
      </c>
      <c r="S4970">
        <v>2.9848940000000002</v>
      </c>
      <c r="T4970">
        <v>-0.1632179</v>
      </c>
      <c r="U4970">
        <v>-0.39569090000000001</v>
      </c>
      <c r="V4970">
        <v>4.5718729999999999E-2</v>
      </c>
      <c r="W4970">
        <v>-1.551253E-2</v>
      </c>
      <c r="X4970">
        <v>0.99883390000000005</v>
      </c>
      <c r="Y4970">
        <v>0.1428461</v>
      </c>
      <c r="Z4970">
        <v>-5.2306280000000002E-3</v>
      </c>
      <c r="AA4970">
        <v>0.98973109999999997</v>
      </c>
      <c r="AB4970">
        <v>36</v>
      </c>
      <c r="AC4970">
        <v>19.9497</v>
      </c>
      <c r="AD4970">
        <v>-1.1082868351889901</v>
      </c>
      <c r="AE4970">
        <v>-2.6901499999999898</v>
      </c>
      <c r="AF4970">
        <v>2.9167068416882098</v>
      </c>
      <c r="AG4970">
        <v>-1.1082868351889901</v>
      </c>
      <c r="AH4970">
        <v>19.856353727599998</v>
      </c>
      <c r="AI4970">
        <v>93.160813826537805</v>
      </c>
      <c r="AJ4970">
        <v>81.643562328987997</v>
      </c>
      <c r="AK4970">
        <v>20.100006514053099</v>
      </c>
      <c r="AL4970">
        <v>90.888838148838502</v>
      </c>
      <c r="AM4970">
        <v>87.379280761545999</v>
      </c>
      <c r="AN4970">
        <v>1.00000000032451</v>
      </c>
    </row>
    <row r="4971" spans="1:40" x14ac:dyDescent="0.25">
      <c r="A4971" t="str">
        <f>"20190305135929096"</f>
        <v>20190305135929096</v>
      </c>
      <c r="B4971" t="str">
        <f>"1551765569083786"</f>
        <v>1551765569083786</v>
      </c>
      <c r="C4971" t="s">
        <v>40</v>
      </c>
      <c r="D4971">
        <v>4.1809940000000001</v>
      </c>
      <c r="E4971">
        <v>0.53654799999999903</v>
      </c>
      <c r="F4971" t="s">
        <v>42</v>
      </c>
      <c r="G4971">
        <v>-342.50850000000003</v>
      </c>
      <c r="H4971" s="1">
        <v>-4.1718880000000003E-6</v>
      </c>
      <c r="I4971">
        <v>14.115460000000001</v>
      </c>
      <c r="J4971">
        <v>-362.87610000000001</v>
      </c>
      <c r="K4971">
        <v>1.1083590000000001</v>
      </c>
      <c r="L4971">
        <v>16.857150000000001</v>
      </c>
      <c r="M4971">
        <v>0.99986629999999999</v>
      </c>
      <c r="N4971">
        <v>-1.178123E-2</v>
      </c>
      <c r="O4971">
        <v>1.1346520000000001E-2</v>
      </c>
      <c r="P4971">
        <v>0.99910310000000002</v>
      </c>
      <c r="Q4971">
        <v>-2.615166E-2</v>
      </c>
      <c r="R4971">
        <v>-3.3305229999999998E-2</v>
      </c>
      <c r="S4971">
        <v>2.9851070000000002</v>
      </c>
      <c r="T4971">
        <v>-0.15971050000000001</v>
      </c>
      <c r="U4971">
        <v>-0.39456180000000002</v>
      </c>
      <c r="V4971">
        <v>4.4621040000000001E-2</v>
      </c>
      <c r="W4971">
        <v>-1.4443889999999999E-2</v>
      </c>
      <c r="X4971">
        <v>0.9988996</v>
      </c>
      <c r="Y4971">
        <v>0.14202409999999999</v>
      </c>
      <c r="Z4971">
        <v>-5.092287E-3</v>
      </c>
      <c r="AA4971">
        <v>0.98985009999999996</v>
      </c>
      <c r="AB4971">
        <v>36</v>
      </c>
      <c r="AC4971">
        <v>20.3675999999999</v>
      </c>
      <c r="AD4971">
        <v>-1.108363171888</v>
      </c>
      <c r="AE4971">
        <v>-2.7416900000000002</v>
      </c>
      <c r="AF4971">
        <v>2.9640097359114601</v>
      </c>
      <c r="AG4971">
        <v>-1.108363171888</v>
      </c>
      <c r="AH4971">
        <v>20.276202313315999</v>
      </c>
      <c r="AI4971">
        <v>93.096020065302497</v>
      </c>
      <c r="AJ4971">
        <v>81.683311684971102</v>
      </c>
      <c r="AK4971">
        <v>20.5216520506001</v>
      </c>
      <c r="AL4971">
        <v>90.827602684376799</v>
      </c>
      <c r="AM4971">
        <v>87.442286690253894</v>
      </c>
      <c r="AN4971">
        <v>1.0000000370245801</v>
      </c>
    </row>
    <row r="4972" spans="1:40" x14ac:dyDescent="0.25">
      <c r="A4972" t="str">
        <f>"20190305135929108"</f>
        <v>20190305135929108</v>
      </c>
      <c r="B4972" t="str">
        <f>"1551765569103812"</f>
        <v>1551765569103812</v>
      </c>
      <c r="C4972" t="s">
        <v>40</v>
      </c>
      <c r="D4972">
        <v>4.2705799999999998</v>
      </c>
      <c r="E4972">
        <v>0.53647199999999995</v>
      </c>
      <c r="F4972" t="s">
        <v>42</v>
      </c>
      <c r="G4972">
        <v>-341.74180000000001</v>
      </c>
      <c r="H4972" s="1">
        <v>-4.5063509999999999E-6</v>
      </c>
      <c r="I4972">
        <v>14.084059999999999</v>
      </c>
      <c r="J4972">
        <v>-362.68150000000003</v>
      </c>
      <c r="K4972">
        <v>1.1084160000000001</v>
      </c>
      <c r="L4972">
        <v>16.85913</v>
      </c>
      <c r="M4972">
        <v>0.99986799999999998</v>
      </c>
      <c r="N4972">
        <v>-1.1821379999999999E-2</v>
      </c>
      <c r="O4972">
        <v>1.1150510000000001E-2</v>
      </c>
      <c r="P4972">
        <v>0.99913229999999997</v>
      </c>
      <c r="Q4972">
        <v>-2.5869679999999999E-2</v>
      </c>
      <c r="R4972">
        <v>-3.2642610000000002E-2</v>
      </c>
      <c r="S4972">
        <v>2.9855040000000002</v>
      </c>
      <c r="T4972">
        <v>-0.1565715</v>
      </c>
      <c r="U4972">
        <v>-0.39172360000000001</v>
      </c>
      <c r="V4972">
        <v>4.3765030000000003E-2</v>
      </c>
      <c r="W4972">
        <v>-1.411509E-2</v>
      </c>
      <c r="X4972">
        <v>0.99894210000000006</v>
      </c>
      <c r="Y4972">
        <v>0.14089889999999999</v>
      </c>
      <c r="Z4972">
        <v>-4.964286E-3</v>
      </c>
      <c r="AA4972">
        <v>0.99001150000000004</v>
      </c>
      <c r="AB4972">
        <v>36</v>
      </c>
      <c r="AC4972">
        <v>20.939699999999998</v>
      </c>
      <c r="AD4972">
        <v>-1.108420506351</v>
      </c>
      <c r="AE4972">
        <v>-2.7750699999999902</v>
      </c>
      <c r="AF4972">
        <v>3.0001407923342098</v>
      </c>
      <c r="AG4972">
        <v>-1.108420506351</v>
      </c>
      <c r="AH4972">
        <v>20.850038968101401</v>
      </c>
      <c r="AI4972">
        <v>93.012103577545702</v>
      </c>
      <c r="AJ4972">
        <v>81.811834034625306</v>
      </c>
      <c r="AK4972">
        <v>21.093922484072898</v>
      </c>
      <c r="AL4972">
        <v>90.808761968869604</v>
      </c>
      <c r="AM4972">
        <v>87.491397156889406</v>
      </c>
      <c r="AN4972">
        <v>0.99999996638450805</v>
      </c>
    </row>
    <row r="4973" spans="1:40" x14ac:dyDescent="0.25">
      <c r="A4973" t="str">
        <f>"20190305135929121"</f>
        <v>20190305135929121</v>
      </c>
      <c r="B4973" t="str">
        <f>"1551765569114549"</f>
        <v>1551765569114549</v>
      </c>
      <c r="C4973" t="s">
        <v>40</v>
      </c>
      <c r="D4973">
        <v>4.8677349999999997</v>
      </c>
      <c r="E4973">
        <v>0.53647199999999995</v>
      </c>
      <c r="F4973" t="s">
        <v>42</v>
      </c>
      <c r="G4973">
        <v>-341.2749</v>
      </c>
      <c r="H4973" s="1">
        <v>-4.7091929999999998E-6</v>
      </c>
      <c r="I4973">
        <v>14.06972</v>
      </c>
      <c r="J4973">
        <v>-362.47390000000001</v>
      </c>
      <c r="K4973">
        <v>1.1084769999999999</v>
      </c>
      <c r="L4973">
        <v>16.861239999999999</v>
      </c>
      <c r="M4973">
        <v>0.99986949999999997</v>
      </c>
      <c r="N4973">
        <v>-1.1861750000000001E-2</v>
      </c>
      <c r="O4973">
        <v>1.0969090000000001E-2</v>
      </c>
      <c r="P4973">
        <v>0.99917409999999995</v>
      </c>
      <c r="Q4973">
        <v>-2.5084160000000001E-2</v>
      </c>
      <c r="R4973">
        <v>-3.1969190000000001E-2</v>
      </c>
      <c r="S4973">
        <v>2.9859010000000001</v>
      </c>
      <c r="T4973">
        <v>-0.15460789999999999</v>
      </c>
      <c r="U4973">
        <v>-0.38906859999999999</v>
      </c>
      <c r="V4973">
        <v>4.291358E-2</v>
      </c>
      <c r="W4973">
        <v>-1.328178E-2</v>
      </c>
      <c r="X4973">
        <v>0.9989905</v>
      </c>
      <c r="Y4973">
        <v>0.139844</v>
      </c>
      <c r="Z4973">
        <v>-4.8723000000000004E-3</v>
      </c>
      <c r="AA4973">
        <v>0.99016150000000003</v>
      </c>
      <c r="AB4973">
        <v>36</v>
      </c>
      <c r="AC4973">
        <v>21.199000000000002</v>
      </c>
      <c r="AD4973">
        <v>-1.1084817091929999</v>
      </c>
      <c r="AE4973">
        <v>-2.79151999999999</v>
      </c>
      <c r="AF4973">
        <v>3.01579695463349</v>
      </c>
      <c r="AG4973">
        <v>-1.1084817091929999</v>
      </c>
      <c r="AH4973">
        <v>21.110366216002902</v>
      </c>
      <c r="AI4973">
        <v>92.975621198418196</v>
      </c>
      <c r="AJ4973">
        <v>81.8698169139508</v>
      </c>
      <c r="AK4973">
        <v>21.353485072581201</v>
      </c>
      <c r="AL4973">
        <v>90.761012313976906</v>
      </c>
      <c r="AM4973">
        <v>87.540260589865596</v>
      </c>
      <c r="AN4973">
        <v>1.0000000000593099</v>
      </c>
    </row>
    <row r="4974" spans="1:40" x14ac:dyDescent="0.25">
      <c r="A4974" t="str">
        <f>"20190305135929138"</f>
        <v>20190305135929138</v>
      </c>
      <c r="B4974" t="str">
        <f>"1551765569134068"</f>
        <v>1551765569134068</v>
      </c>
      <c r="C4974" t="s">
        <v>40</v>
      </c>
      <c r="D4974">
        <v>4.1564809999999897</v>
      </c>
      <c r="E4974">
        <v>0.4988205</v>
      </c>
      <c r="F4974" t="s">
        <v>42</v>
      </c>
      <c r="G4974">
        <v>-340.74829999999997</v>
      </c>
      <c r="H4974" s="1">
        <v>-4.9393969999999998E-6</v>
      </c>
      <c r="I4974">
        <v>14.0457</v>
      </c>
      <c r="J4974">
        <v>-362.19569999999999</v>
      </c>
      <c r="K4974">
        <v>1.1085739999999999</v>
      </c>
      <c r="L4974">
        <v>16.864070000000002</v>
      </c>
      <c r="M4974">
        <v>0.99987090000000001</v>
      </c>
      <c r="N4974">
        <v>-1.190975E-2</v>
      </c>
      <c r="O4974">
        <v>1.079773E-2</v>
      </c>
      <c r="P4974">
        <v>0.99927060000000001</v>
      </c>
      <c r="Q4974">
        <v>-2.3728780000000001E-2</v>
      </c>
      <c r="R4974">
        <v>-2.9928110000000001E-2</v>
      </c>
      <c r="S4974">
        <v>2.9862669999999998</v>
      </c>
      <c r="T4974">
        <v>-0.15236459999999999</v>
      </c>
      <c r="U4974">
        <v>-0.38699339999999999</v>
      </c>
      <c r="V4974">
        <v>4.0706590000000001E-2</v>
      </c>
      <c r="W4974">
        <v>-1.186625E-2</v>
      </c>
      <c r="X4974">
        <v>0.99910069999999995</v>
      </c>
      <c r="Y4974">
        <v>0.13898969999999999</v>
      </c>
      <c r="Z4974">
        <v>-4.7808959999999998E-3</v>
      </c>
      <c r="AA4974">
        <v>0.99028229999999995</v>
      </c>
      <c r="AB4974">
        <v>36</v>
      </c>
      <c r="AC4974">
        <v>21.447399999999998</v>
      </c>
      <c r="AD4974">
        <v>-1.108578939397</v>
      </c>
      <c r="AE4974">
        <v>-2.8183699999999998</v>
      </c>
      <c r="AF4974">
        <v>3.0418165060517302</v>
      </c>
      <c r="AG4974">
        <v>-1.108578939397</v>
      </c>
      <c r="AH4974">
        <v>21.359618046202201</v>
      </c>
      <c r="AI4974">
        <v>92.941400852538294</v>
      </c>
      <c r="AJ4974">
        <v>81.895023841443106</v>
      </c>
      <c r="AK4974">
        <v>21.603584841433399</v>
      </c>
      <c r="AL4974">
        <v>90.679901985558999</v>
      </c>
      <c r="AM4974">
        <v>87.666875288189402</v>
      </c>
      <c r="AN4974">
        <v>1.00000002154949</v>
      </c>
    </row>
    <row r="4975" spans="1:40" x14ac:dyDescent="0.25">
      <c r="A4975" t="str">
        <f>"20190305135929149"</f>
        <v>20190305135929149</v>
      </c>
      <c r="B4975" t="str">
        <f>"1551765569143829"</f>
        <v>1551765569143829</v>
      </c>
      <c r="C4975" t="s">
        <v>40</v>
      </c>
      <c r="D4975">
        <v>4.1491639999999999</v>
      </c>
      <c r="E4975">
        <v>0.42205009999999998</v>
      </c>
      <c r="F4975" t="s">
        <v>42</v>
      </c>
      <c r="G4975">
        <v>-334.92500000000001</v>
      </c>
      <c r="H4975" s="1">
        <v>-2.7777959999999998E-6</v>
      </c>
      <c r="I4975">
        <v>16.130589999999899</v>
      </c>
      <c r="J4975">
        <v>-362.01350000000002</v>
      </c>
      <c r="K4975">
        <v>1.1086419999999999</v>
      </c>
      <c r="L4975">
        <v>16.865970000000001</v>
      </c>
      <c r="M4975">
        <v>0.99987119999999996</v>
      </c>
      <c r="N4975">
        <v>-1.193426E-2</v>
      </c>
      <c r="O4975">
        <v>1.0747909999999999E-2</v>
      </c>
      <c r="P4975">
        <v>0.9993301</v>
      </c>
      <c r="Q4975">
        <v>-2.2772609999999999E-2</v>
      </c>
      <c r="R4975">
        <v>-2.8651220000000002E-2</v>
      </c>
      <c r="S4975">
        <v>2.9968870000000001</v>
      </c>
      <c r="T4975">
        <v>-0.1218255</v>
      </c>
      <c r="U4975">
        <v>-8.0596920000000002E-2</v>
      </c>
      <c r="V4975">
        <v>3.9383149999999999E-2</v>
      </c>
      <c r="W4975">
        <v>-1.087782E-2</v>
      </c>
      <c r="X4975">
        <v>0.99916499999999997</v>
      </c>
      <c r="Y4975">
        <v>3.7582499999999998E-2</v>
      </c>
      <c r="Z4975">
        <v>-1.296302E-3</v>
      </c>
      <c r="AA4975">
        <v>0.99929270000000003</v>
      </c>
      <c r="AB4975">
        <v>36</v>
      </c>
      <c r="AC4975">
        <v>27.0885</v>
      </c>
      <c r="AD4975">
        <v>-1.108644777796</v>
      </c>
      <c r="AE4975">
        <v>-0.73538000000000203</v>
      </c>
      <c r="AF4975">
        <v>1.02478770546292</v>
      </c>
      <c r="AG4975">
        <v>-1.108644777796</v>
      </c>
      <c r="AH4975">
        <v>27.033782524254999</v>
      </c>
      <c r="AI4975">
        <v>92.346677881376394</v>
      </c>
      <c r="AJ4975">
        <v>87.829089962161703</v>
      </c>
      <c r="AK4975">
        <v>27.0759059064201</v>
      </c>
      <c r="AL4975">
        <v>90.623265450564602</v>
      </c>
      <c r="AM4975">
        <v>87.742794445919301</v>
      </c>
      <c r="AN4975">
        <v>1.00000002834843</v>
      </c>
    </row>
    <row r="4976" spans="1:40" x14ac:dyDescent="0.25">
      <c r="A4976" t="str">
        <f>"20190305135929162"</f>
        <v>20190305135929162</v>
      </c>
      <c r="B4976" t="str">
        <f>"1551765569154564"</f>
        <v>1551765569154564</v>
      </c>
      <c r="C4976" t="s">
        <v>40</v>
      </c>
      <c r="D4976">
        <v>4.1796680000000004</v>
      </c>
      <c r="E4976">
        <v>0.41616700000000001</v>
      </c>
      <c r="F4976" t="s">
        <v>43</v>
      </c>
      <c r="G4976">
        <v>-305.13690000000003</v>
      </c>
      <c r="H4976">
        <v>-0.05</v>
      </c>
      <c r="I4976">
        <v>26.96387</v>
      </c>
      <c r="J4976">
        <v>-361.81790000000001</v>
      </c>
      <c r="K4976">
        <v>1.1087149999999999</v>
      </c>
      <c r="L4976">
        <v>16.867979999999999</v>
      </c>
      <c r="M4976">
        <v>0.99987099999999995</v>
      </c>
      <c r="N4976">
        <v>-1.195791E-2</v>
      </c>
      <c r="O4976">
        <v>1.071837E-2</v>
      </c>
      <c r="P4976">
        <v>0.99937849999999995</v>
      </c>
      <c r="Q4976">
        <v>-2.221561E-2</v>
      </c>
      <c r="R4976">
        <v>-2.7372810000000001E-2</v>
      </c>
      <c r="S4976">
        <v>3.0159910000000001</v>
      </c>
      <c r="T4976">
        <v>-6.1439279999999999E-2</v>
      </c>
      <c r="U4976">
        <v>0.53546139999999998</v>
      </c>
      <c r="V4976">
        <v>3.807779E-2</v>
      </c>
      <c r="W4976">
        <v>-1.0289400000000001E-2</v>
      </c>
      <c r="X4976">
        <v>0.99922180000000005</v>
      </c>
      <c r="Y4976">
        <v>-0.16419039999999999</v>
      </c>
      <c r="Z4976">
        <v>2.559361E-3</v>
      </c>
      <c r="AA4976">
        <v>0.98642529999999995</v>
      </c>
      <c r="AB4976">
        <v>36</v>
      </c>
      <c r="AC4976">
        <v>56.680999999999898</v>
      </c>
      <c r="AD4976">
        <v>-1.1587149999999999</v>
      </c>
      <c r="AE4976">
        <v>10.095889999999899</v>
      </c>
      <c r="AF4976">
        <v>-9.4838970725923897</v>
      </c>
      <c r="AG4976">
        <v>-1.1587149999999999</v>
      </c>
      <c r="AH4976">
        <v>56.762970693318003</v>
      </c>
      <c r="AI4976">
        <v>91.153444731921297</v>
      </c>
      <c r="AJ4976">
        <v>99.485303868986506</v>
      </c>
      <c r="AK4976">
        <v>57.561460770772896</v>
      </c>
      <c r="AL4976">
        <v>90.589549598153297</v>
      </c>
      <c r="AM4976">
        <v>87.817660193950601</v>
      </c>
      <c r="AN4976">
        <v>0.99999999771944204</v>
      </c>
    </row>
    <row r="4977" spans="1:40" x14ac:dyDescent="0.25">
      <c r="A4977" t="str">
        <f>"20190305135929183"</f>
        <v>20190305135929183</v>
      </c>
      <c r="B4977" t="str">
        <f>"1551765569174088"</f>
        <v>1551765569174088</v>
      </c>
      <c r="C4977" t="s">
        <v>40</v>
      </c>
      <c r="D4977">
        <v>4.1132960000000001</v>
      </c>
      <c r="E4977">
        <v>0.41432459999999999</v>
      </c>
      <c r="F4977" t="s">
        <v>43</v>
      </c>
      <c r="G4977">
        <v>-290.78320000000002</v>
      </c>
      <c r="H4977">
        <v>-0.05</v>
      </c>
      <c r="I4977">
        <v>30.673100000000002</v>
      </c>
      <c r="J4977">
        <v>-361.47179999999997</v>
      </c>
      <c r="K4977">
        <v>1.108854</v>
      </c>
      <c r="L4977">
        <v>16.871700000000001</v>
      </c>
      <c r="M4977">
        <v>0.99986989999999998</v>
      </c>
      <c r="N4977">
        <v>-1.198366E-2</v>
      </c>
      <c r="O4977">
        <v>1.08077E-2</v>
      </c>
      <c r="P4977">
        <v>0.99945209999999995</v>
      </c>
      <c r="Q4977">
        <v>-2.117991E-2</v>
      </c>
      <c r="R4977">
        <v>-2.544424E-2</v>
      </c>
      <c r="S4977">
        <v>3.0168460000000001</v>
      </c>
      <c r="T4977">
        <v>-4.9210669999999998E-2</v>
      </c>
      <c r="U4977">
        <v>0.58630369999999998</v>
      </c>
      <c r="V4977">
        <v>3.6242900000000002E-2</v>
      </c>
      <c r="W4977">
        <v>-9.2145790000000005E-3</v>
      </c>
      <c r="X4977">
        <v>0.99930050000000004</v>
      </c>
      <c r="Y4977">
        <v>-0.180112299999999</v>
      </c>
      <c r="Z4977">
        <v>2.4984009999999999E-3</v>
      </c>
      <c r="AA4977">
        <v>0.98364289999999999</v>
      </c>
      <c r="AB4977">
        <v>36</v>
      </c>
      <c r="AC4977">
        <v>70.688599999999894</v>
      </c>
      <c r="AD4977">
        <v>-1.1588540000000001</v>
      </c>
      <c r="AE4977">
        <v>13.801399999999999</v>
      </c>
      <c r="AF4977">
        <v>-13.0331837281757</v>
      </c>
      <c r="AG4977">
        <v>-1.1588540000000001</v>
      </c>
      <c r="AH4977">
        <v>70.815309723920507</v>
      </c>
      <c r="AI4977">
        <v>90.922047344686007</v>
      </c>
      <c r="AJ4977">
        <v>100.428286770843</v>
      </c>
      <c r="AK4977">
        <v>72.013991084930794</v>
      </c>
      <c r="AL4977">
        <v>90.527963972674399</v>
      </c>
      <c r="AM4977">
        <v>87.922891633356102</v>
      </c>
      <c r="AN4977">
        <v>0.99999997278340302</v>
      </c>
    </row>
    <row r="4978" spans="1:40" x14ac:dyDescent="0.25">
      <c r="A4978" t="str">
        <f>"20190305135929195"</f>
        <v>20190305135929195</v>
      </c>
      <c r="B4978" t="str">
        <f>"1551765569183845"</f>
        <v>1551765569183845</v>
      </c>
      <c r="C4978" t="s">
        <v>40</v>
      </c>
      <c r="D4978">
        <v>4.076848</v>
      </c>
      <c r="E4978">
        <v>0.41448119999999999</v>
      </c>
      <c r="F4978" t="s">
        <v>43</v>
      </c>
      <c r="G4978">
        <v>-285.05399999999997</v>
      </c>
      <c r="H4978">
        <v>-0.05</v>
      </c>
      <c r="I4978">
        <v>32.243729999999999</v>
      </c>
      <c r="J4978">
        <v>-361.27910000000003</v>
      </c>
      <c r="K4978">
        <v>1.108941</v>
      </c>
      <c r="L4978">
        <v>16.873839999999898</v>
      </c>
      <c r="M4978">
        <v>0.99986830000000004</v>
      </c>
      <c r="N4978">
        <v>-1.198801E-2</v>
      </c>
      <c r="O4978">
        <v>1.094033E-2</v>
      </c>
      <c r="P4978">
        <v>0.99948809999999999</v>
      </c>
      <c r="Q4978">
        <v>-2.0858000000000002E-2</v>
      </c>
      <c r="R4978">
        <v>-2.4265100000000001E-2</v>
      </c>
      <c r="S4978">
        <v>3.0161440000000002</v>
      </c>
      <c r="T4978">
        <v>-4.5738939999999999E-2</v>
      </c>
      <c r="U4978">
        <v>0.60672000000000004</v>
      </c>
      <c r="V4978">
        <v>3.5198649999999998E-2</v>
      </c>
      <c r="W4978">
        <v>-8.8803749999999994E-3</v>
      </c>
      <c r="X4978">
        <v>0.99934089999999998</v>
      </c>
      <c r="Y4978">
        <v>-0.18643170000000001</v>
      </c>
      <c r="Z4978">
        <v>2.4938899999999999E-3</v>
      </c>
      <c r="AA4978">
        <v>0.98246480000000003</v>
      </c>
      <c r="AB4978">
        <v>36</v>
      </c>
      <c r="AC4978">
        <v>76.225099999999998</v>
      </c>
      <c r="AD4978">
        <v>-1.158941</v>
      </c>
      <c r="AE4978">
        <v>15.36989</v>
      </c>
      <c r="AF4978">
        <v>-14.5317543303557</v>
      </c>
      <c r="AG4978">
        <v>-1.158941</v>
      </c>
      <c r="AH4978">
        <v>76.371736336407295</v>
      </c>
      <c r="AI4978">
        <v>90.854075464835006</v>
      </c>
      <c r="AJ4978">
        <v>100.77326214827499</v>
      </c>
      <c r="AK4978">
        <v>77.750608609817405</v>
      </c>
      <c r="AL4978">
        <v>90.508814685466803</v>
      </c>
      <c r="AM4978">
        <v>87.982769706900001</v>
      </c>
      <c r="AN4978">
        <v>1.00000002021738</v>
      </c>
    </row>
    <row r="4979" spans="1:40" x14ac:dyDescent="0.25">
      <c r="A4979" t="str">
        <f>"20190305135929206"</f>
        <v>20190305135929206</v>
      </c>
      <c r="B4979" t="str">
        <f>"1551765569203871"</f>
        <v>1551765569203871</v>
      </c>
      <c r="C4979" t="s">
        <v>40</v>
      </c>
      <c r="D4979">
        <v>4.0541019999999897</v>
      </c>
      <c r="E4979">
        <v>0.4153116</v>
      </c>
      <c r="F4979" t="s">
        <v>43</v>
      </c>
      <c r="G4979">
        <v>-280.3383</v>
      </c>
      <c r="H4979">
        <v>-0.05</v>
      </c>
      <c r="I4979">
        <v>33.221890000000002</v>
      </c>
      <c r="J4979">
        <v>-361.10930000000002</v>
      </c>
      <c r="K4979">
        <v>1.109029</v>
      </c>
      <c r="L4979">
        <v>16.875820000000001</v>
      </c>
      <c r="M4979">
        <v>0.99986620000000004</v>
      </c>
      <c r="N4979">
        <v>-1.1983809999999999E-2</v>
      </c>
      <c r="O4979">
        <v>1.113655E-2</v>
      </c>
      <c r="P4979">
        <v>0.99952770000000002</v>
      </c>
      <c r="Q4979">
        <v>-2.058041E-2</v>
      </c>
      <c r="R4979">
        <v>-2.2826909999999999E-2</v>
      </c>
      <c r="S4979">
        <v>3.0154109999999998</v>
      </c>
      <c r="T4979">
        <v>-4.3175819999999997E-2</v>
      </c>
      <c r="U4979">
        <v>0.60903929999999995</v>
      </c>
      <c r="V4979">
        <v>3.3958929999999998E-2</v>
      </c>
      <c r="W4979">
        <v>-8.5993470000000002E-3</v>
      </c>
      <c r="X4979">
        <v>0.99938629999999995</v>
      </c>
      <c r="Y4979">
        <v>-0.18701409999999999</v>
      </c>
      <c r="Z4979">
        <v>2.4316960000000001E-3</v>
      </c>
      <c r="AA4979">
        <v>0.98235419999999996</v>
      </c>
      <c r="AB4979">
        <v>36</v>
      </c>
      <c r="AC4979">
        <v>80.771000000000001</v>
      </c>
      <c r="AD4979">
        <v>-1.1590290000000001</v>
      </c>
      <c r="AE4979">
        <v>16.346070000000001</v>
      </c>
      <c r="AF4979">
        <v>-15.4424266809245</v>
      </c>
      <c r="AG4979">
        <v>-1.1590290000000001</v>
      </c>
      <c r="AH4979">
        <v>80.932033238830499</v>
      </c>
      <c r="AI4979">
        <v>90.805939751811295</v>
      </c>
      <c r="AJ4979">
        <v>100.802606420304</v>
      </c>
      <c r="AK4979">
        <v>82.4002784836904</v>
      </c>
      <c r="AL4979">
        <v>90.492712329282298</v>
      </c>
      <c r="AM4979">
        <v>88.053850617007498</v>
      </c>
      <c r="AN4979">
        <v>1.00000006716162</v>
      </c>
    </row>
    <row r="4980" spans="1:40" x14ac:dyDescent="0.25">
      <c r="A4980" t="str">
        <f>"20190305135929217"</f>
        <v>20190305135929217</v>
      </c>
      <c r="B4980" t="str">
        <f>"1551765569214607"</f>
        <v>1551765569214607</v>
      </c>
      <c r="C4980" t="s">
        <v>40</v>
      </c>
      <c r="D4980">
        <v>4.0708869999999999</v>
      </c>
      <c r="E4980">
        <v>0.41575010000000001</v>
      </c>
      <c r="F4980" t="s">
        <v>43</v>
      </c>
      <c r="G4980">
        <v>-286.36799999999999</v>
      </c>
      <c r="H4980">
        <v>-0.05</v>
      </c>
      <c r="I4980">
        <v>31.919750000000001</v>
      </c>
      <c r="J4980">
        <v>-360.9271</v>
      </c>
      <c r="K4980">
        <v>1.109124</v>
      </c>
      <c r="L4980">
        <v>16.87799</v>
      </c>
      <c r="M4980">
        <v>0.99986379999999997</v>
      </c>
      <c r="N4980">
        <v>-1.1976540000000001E-2</v>
      </c>
      <c r="O4980">
        <v>1.137379E-2</v>
      </c>
      <c r="P4980">
        <v>0.99955899999999998</v>
      </c>
      <c r="Q4980">
        <v>-2.0236440000000001E-2</v>
      </c>
      <c r="R4980">
        <v>-2.1747510000000001E-2</v>
      </c>
      <c r="S4980">
        <v>3.014313</v>
      </c>
      <c r="T4980">
        <v>-4.6743510000000002E-2</v>
      </c>
      <c r="U4980">
        <v>0.60672000000000004</v>
      </c>
      <c r="V4980">
        <v>3.3118799999999997E-2</v>
      </c>
      <c r="W4980">
        <v>-8.2547079999999995E-3</v>
      </c>
      <c r="X4980">
        <v>0.99941729999999995</v>
      </c>
      <c r="Y4980">
        <v>-0.1861199</v>
      </c>
      <c r="Z4980">
        <v>2.5147939999999999E-3</v>
      </c>
      <c r="AA4980">
        <v>0.98252379999999995</v>
      </c>
      <c r="AB4980">
        <v>36</v>
      </c>
      <c r="AC4980">
        <v>74.559100000000001</v>
      </c>
      <c r="AD4980">
        <v>-1.159124</v>
      </c>
      <c r="AE4980">
        <v>15.04176</v>
      </c>
      <c r="AF4980">
        <v>-14.189411393983599</v>
      </c>
      <c r="AG4980">
        <v>-1.159124</v>
      </c>
      <c r="AH4980">
        <v>74.708020586128498</v>
      </c>
      <c r="AI4980">
        <v>90.873285563875498</v>
      </c>
      <c r="AJ4980">
        <v>100.75418271503599</v>
      </c>
      <c r="AK4980">
        <v>76.052424708568594</v>
      </c>
      <c r="AL4980">
        <v>90.472965316394806</v>
      </c>
      <c r="AM4980">
        <v>88.102020722283797</v>
      </c>
      <c r="AN4980">
        <v>0.99999996732844698</v>
      </c>
    </row>
    <row r="4981" spans="1:40" x14ac:dyDescent="0.25">
      <c r="A4981" t="str">
        <f>"20190305135929229"</f>
        <v>20190305135929229</v>
      </c>
      <c r="B4981" t="str">
        <f>"1551765569224367"</f>
        <v>1551765569224367</v>
      </c>
      <c r="C4981" t="s">
        <v>40</v>
      </c>
      <c r="D4981">
        <v>4.0977779999999999</v>
      </c>
      <c r="E4981">
        <v>0.41611789999999999</v>
      </c>
      <c r="F4981" t="s">
        <v>43</v>
      </c>
      <c r="G4981">
        <v>-286.17529999999999</v>
      </c>
      <c r="H4981">
        <v>-0.05</v>
      </c>
      <c r="I4981">
        <v>31.92238</v>
      </c>
      <c r="J4981">
        <v>-360.74090000000001</v>
      </c>
      <c r="K4981">
        <v>1.109246</v>
      </c>
      <c r="L4981">
        <v>16.880369999999999</v>
      </c>
      <c r="M4981">
        <v>0.99985959999999996</v>
      </c>
      <c r="N4981">
        <v>-1.19466E-2</v>
      </c>
      <c r="O4981">
        <v>1.1762409999999999E-2</v>
      </c>
      <c r="P4981">
        <v>0.99959330000000002</v>
      </c>
      <c r="Q4981">
        <v>-2.0103759999999998E-2</v>
      </c>
      <c r="R4981">
        <v>-2.0226600000000001E-2</v>
      </c>
      <c r="S4981">
        <v>3.0135800000000001</v>
      </c>
      <c r="T4981">
        <v>-4.6729449999999999E-2</v>
      </c>
      <c r="U4981">
        <v>0.60650630000000005</v>
      </c>
      <c r="V4981">
        <v>3.1989280000000002E-2</v>
      </c>
      <c r="W4981">
        <v>-8.1421930000000007E-3</v>
      </c>
      <c r="X4981">
        <v>0.99945499999999998</v>
      </c>
      <c r="Y4981">
        <v>-0.1857174</v>
      </c>
      <c r="Z4981">
        <v>2.50469E-3</v>
      </c>
      <c r="AA4981">
        <v>0.98260000000000003</v>
      </c>
      <c r="AB4981">
        <v>36</v>
      </c>
      <c r="AC4981">
        <v>74.565600000000003</v>
      </c>
      <c r="AD4981">
        <v>-1.159246</v>
      </c>
      <c r="AE4981">
        <v>15.0420099999999</v>
      </c>
      <c r="AF4981">
        <v>-14.1605468769016</v>
      </c>
      <c r="AG4981">
        <v>-1.159246</v>
      </c>
      <c r="AH4981">
        <v>74.720030204747601</v>
      </c>
      <c r="AI4981">
        <v>90.873303760325499</v>
      </c>
      <c r="AJ4981">
        <v>100.731129919075</v>
      </c>
      <c r="AK4981">
        <v>76.058844672660101</v>
      </c>
      <c r="AL4981">
        <v>90.466518471482999</v>
      </c>
      <c r="AM4981">
        <v>88.166775650627599</v>
      </c>
      <c r="AN4981">
        <v>0.99999995318338197</v>
      </c>
    </row>
    <row r="4982" spans="1:40" x14ac:dyDescent="0.25">
      <c r="A4982" t="str">
        <f>"20190305135929239"</f>
        <v>20190305135929239</v>
      </c>
      <c r="B4982" t="str">
        <f>"1551765569234127"</f>
        <v>1551765569234127</v>
      </c>
      <c r="C4982" t="s">
        <v>40</v>
      </c>
      <c r="D4982">
        <v>4.0752670000000002</v>
      </c>
      <c r="E4982">
        <v>0.41644619999999999</v>
      </c>
      <c r="F4982" t="s">
        <v>43</v>
      </c>
      <c r="G4982">
        <v>-287.99540000000002</v>
      </c>
      <c r="H4982">
        <v>-0.05</v>
      </c>
      <c r="I4982">
        <v>31.56861</v>
      </c>
      <c r="J4982">
        <v>-360.56939999999997</v>
      </c>
      <c r="K4982">
        <v>1.109364</v>
      </c>
      <c r="L4982">
        <v>16.882660000000001</v>
      </c>
      <c r="M4982">
        <v>0.99985520000000006</v>
      </c>
      <c r="N4982">
        <v>-1.191449E-2</v>
      </c>
      <c r="O4982">
        <v>1.2153310000000001E-2</v>
      </c>
      <c r="P4982">
        <v>0.99961809999999995</v>
      </c>
      <c r="Q4982">
        <v>-2.0341430000000001E-2</v>
      </c>
      <c r="R4982">
        <v>-1.8710000000000001E-2</v>
      </c>
      <c r="S4982">
        <v>3.0125730000000002</v>
      </c>
      <c r="T4982">
        <v>-4.8007250000000001E-2</v>
      </c>
      <c r="U4982">
        <v>0.60827640000000005</v>
      </c>
      <c r="V4982">
        <v>3.086643E-2</v>
      </c>
      <c r="W4982">
        <v>-8.4032589999999997E-3</v>
      </c>
      <c r="X4982">
        <v>0.99948820000000005</v>
      </c>
      <c r="Y4982">
        <v>-0.1859499</v>
      </c>
      <c r="Z4982">
        <v>2.5374400000000002E-3</v>
      </c>
      <c r="AA4982">
        <v>0.98255590000000004</v>
      </c>
      <c r="AB4982">
        <v>36</v>
      </c>
      <c r="AC4982">
        <v>72.573999999999899</v>
      </c>
      <c r="AD4982">
        <v>-1.1593639999999901</v>
      </c>
      <c r="AE4982">
        <v>14.685949999999901</v>
      </c>
      <c r="AF4982">
        <v>-13.799405281623301</v>
      </c>
      <c r="AG4982">
        <v>-1.1593639999999901</v>
      </c>
      <c r="AH4982">
        <v>72.729304656084096</v>
      </c>
      <c r="AI4982">
        <v>90.897258615126304</v>
      </c>
      <c r="AJ4982">
        <v>100.743396167474</v>
      </c>
      <c r="AK4982">
        <v>74.035933618537399</v>
      </c>
      <c r="AL4982">
        <v>90.481476938353595</v>
      </c>
      <c r="AM4982">
        <v>88.231140427178204</v>
      </c>
      <c r="AN4982">
        <v>1.000000006601</v>
      </c>
    </row>
    <row r="4983" spans="1:40" x14ac:dyDescent="0.25">
      <c r="A4983" t="str">
        <f>"20190305135929252"</f>
        <v>20190305135929252</v>
      </c>
      <c r="B4983" t="str">
        <f>"1551765569243887"</f>
        <v>1551765569243887</v>
      </c>
      <c r="C4983" t="s">
        <v>40</v>
      </c>
      <c r="D4983">
        <v>4.0835379999999999</v>
      </c>
      <c r="E4983">
        <v>0.41679319999999997</v>
      </c>
      <c r="F4983" t="s">
        <v>43</v>
      </c>
      <c r="G4983">
        <v>-291.04399999999998</v>
      </c>
      <c r="H4983">
        <v>-0.05</v>
      </c>
      <c r="I4983">
        <v>30.968509999999998</v>
      </c>
      <c r="J4983">
        <v>-360.35919999999999</v>
      </c>
      <c r="K4983">
        <v>1.1095330000000001</v>
      </c>
      <c r="L4983">
        <v>16.885739999999998</v>
      </c>
      <c r="M4983">
        <v>0.99984790000000001</v>
      </c>
      <c r="N4983">
        <v>-1.1853539999999999E-2</v>
      </c>
      <c r="O4983">
        <v>1.279887E-2</v>
      </c>
      <c r="P4983">
        <v>0.99964920000000002</v>
      </c>
      <c r="Q4983">
        <v>-2.0269760000000001E-2</v>
      </c>
      <c r="R4983">
        <v>-1.7063749999999999E-2</v>
      </c>
      <c r="S4983">
        <v>3.011536</v>
      </c>
      <c r="T4983">
        <v>-5.0218579999999999E-2</v>
      </c>
      <c r="U4983">
        <v>0.61013790000000001</v>
      </c>
      <c r="V4983">
        <v>2.9869369999999999E-2</v>
      </c>
      <c r="W4983">
        <v>-8.3803019999999992E-3</v>
      </c>
      <c r="X4983">
        <v>0.99951869999999998</v>
      </c>
      <c r="Y4983">
        <v>-0.18596180000000001</v>
      </c>
      <c r="Z4983">
        <v>2.5872500000000001E-3</v>
      </c>
      <c r="AA4983">
        <v>0.98255349999999997</v>
      </c>
      <c r="AB4983">
        <v>36</v>
      </c>
      <c r="AC4983">
        <v>69.315199999999905</v>
      </c>
      <c r="AD4983">
        <v>-1.1595329999999999</v>
      </c>
      <c r="AE4983">
        <v>14.08277</v>
      </c>
      <c r="AF4983">
        <v>-13.190852837059801</v>
      </c>
      <c r="AG4983">
        <v>-1.1595329999999999</v>
      </c>
      <c r="AH4983">
        <v>69.471107759998404</v>
      </c>
      <c r="AI4983">
        <v>90.939445704890502</v>
      </c>
      <c r="AJ4983">
        <v>100.75107539341499</v>
      </c>
      <c r="AK4983">
        <v>70.721834879677502</v>
      </c>
      <c r="AL4983">
        <v>90.480161546311194</v>
      </c>
      <c r="AM4983">
        <v>88.288296492073798</v>
      </c>
      <c r="AN4983">
        <v>1.0000000201877399</v>
      </c>
    </row>
    <row r="4984" spans="1:40" x14ac:dyDescent="0.25">
      <c r="A4984" t="str">
        <f>"20190305135929276"</f>
        <v>20190305135929276</v>
      </c>
      <c r="B4984" t="str">
        <f>"1551765569264382"</f>
        <v>1551765569264382</v>
      </c>
      <c r="C4984" t="s">
        <v>40</v>
      </c>
      <c r="D4984">
        <v>4.0790680000000004</v>
      </c>
      <c r="E4984">
        <v>0.41738769999999997</v>
      </c>
      <c r="F4984" t="s">
        <v>43</v>
      </c>
      <c r="G4984">
        <v>-291.68990000000002</v>
      </c>
      <c r="H4984">
        <v>-0.05</v>
      </c>
      <c r="I4984">
        <v>30.853200000000001</v>
      </c>
      <c r="J4984">
        <v>-359.99619999999999</v>
      </c>
      <c r="K4984">
        <v>1.109842</v>
      </c>
      <c r="L4984">
        <v>16.891539999999999</v>
      </c>
      <c r="M4984">
        <v>0.99983089999999997</v>
      </c>
      <c r="N4984">
        <v>-1.1728560000000001E-2</v>
      </c>
      <c r="O4984">
        <v>1.416794E-2</v>
      </c>
      <c r="P4984">
        <v>0.99971940000000004</v>
      </c>
      <c r="Q4984">
        <v>-1.9507750000000001E-2</v>
      </c>
      <c r="R4984">
        <v>-1.344856E-2</v>
      </c>
      <c r="S4984">
        <v>3.0104679999999999</v>
      </c>
      <c r="T4984">
        <v>-5.083406E-2</v>
      </c>
      <c r="U4984">
        <v>0.61233519999999997</v>
      </c>
      <c r="V4984">
        <v>2.7629049999999999E-2</v>
      </c>
      <c r="W4984">
        <v>-7.7236980000000002E-3</v>
      </c>
      <c r="X4984">
        <v>0.99958840000000004</v>
      </c>
      <c r="Y4984">
        <v>-0.1853725</v>
      </c>
      <c r="Z4984">
        <v>2.5752169999999999E-3</v>
      </c>
      <c r="AA4984">
        <v>0.98266489999999995</v>
      </c>
      <c r="AB4984">
        <v>36</v>
      </c>
      <c r="AC4984">
        <v>68.306299999999894</v>
      </c>
      <c r="AD4984">
        <v>-1.159842</v>
      </c>
      <c r="AE4984">
        <v>13.96166</v>
      </c>
      <c r="AF4984">
        <v>-12.988837630136601</v>
      </c>
      <c r="AG4984">
        <v>-1.159842</v>
      </c>
      <c r="AH4984">
        <v>68.478312743783704</v>
      </c>
      <c r="AI4984">
        <v>90.953351618296296</v>
      </c>
      <c r="AJ4984">
        <v>100.74016625182099</v>
      </c>
      <c r="AK4984">
        <v>69.708926635564197</v>
      </c>
      <c r="AL4984">
        <v>90.442539700057793</v>
      </c>
      <c r="AM4984">
        <v>88.416723322527702</v>
      </c>
      <c r="AN4984">
        <v>0.99999999466462797</v>
      </c>
    </row>
    <row r="4985" spans="1:40" x14ac:dyDescent="0.25">
      <c r="A4985" t="str">
        <f>"20190305135929288"</f>
        <v>20190305135929288</v>
      </c>
      <c r="B4985" t="str">
        <f>"1551765569283902"</f>
        <v>1551765569283902</v>
      </c>
      <c r="C4985" t="s">
        <v>40</v>
      </c>
      <c r="D4985">
        <v>4.0848110000000002</v>
      </c>
      <c r="E4985">
        <v>0.41796440000000001</v>
      </c>
      <c r="F4985" t="s">
        <v>43</v>
      </c>
      <c r="G4985">
        <v>-293.03140000000002</v>
      </c>
      <c r="H4985">
        <v>-0.05</v>
      </c>
      <c r="I4985">
        <v>30.658570000000001</v>
      </c>
      <c r="J4985">
        <v>-359.79340000000002</v>
      </c>
      <c r="K4985">
        <v>1.1100270000000001</v>
      </c>
      <c r="L4985">
        <v>16.895229999999898</v>
      </c>
      <c r="M4985">
        <v>0.99981779999999998</v>
      </c>
      <c r="N4985">
        <v>-1.163817E-2</v>
      </c>
      <c r="O4985">
        <v>1.513655E-2</v>
      </c>
      <c r="P4985">
        <v>0.99976050000000005</v>
      </c>
      <c r="Q4985">
        <v>-1.8664400000000001E-2</v>
      </c>
      <c r="R4985">
        <v>-1.1442590000000001E-2</v>
      </c>
      <c r="S4985">
        <v>3.0081790000000002</v>
      </c>
      <c r="T4985">
        <v>-5.2102089999999997E-2</v>
      </c>
      <c r="U4985">
        <v>0.61843870000000001</v>
      </c>
      <c r="V4985">
        <v>2.6593769999999999E-2</v>
      </c>
      <c r="W4985">
        <v>-6.9602489999999999E-3</v>
      </c>
      <c r="X4985">
        <v>0.99962209999999996</v>
      </c>
      <c r="Y4985">
        <v>-0.18647839999999999</v>
      </c>
      <c r="Z4985">
        <v>2.6097070000000002E-3</v>
      </c>
      <c r="AA4985">
        <v>0.98245559999999998</v>
      </c>
      <c r="AB4985">
        <v>36</v>
      </c>
      <c r="AC4985">
        <v>66.762</v>
      </c>
      <c r="AD4985">
        <v>-1.1600269999999999</v>
      </c>
      <c r="AE4985">
        <v>13.763339999999999</v>
      </c>
      <c r="AF4985">
        <v>-12.747456616440701</v>
      </c>
      <c r="AG4985">
        <v>-1.1600269999999999</v>
      </c>
      <c r="AH4985">
        <v>66.943307097530806</v>
      </c>
      <c r="AI4985">
        <v>90.9752302626394</v>
      </c>
      <c r="AJ4985">
        <v>100.781283645353</v>
      </c>
      <c r="AK4985">
        <v>68.156068533793004</v>
      </c>
      <c r="AL4985">
        <v>90.398796108769403</v>
      </c>
      <c r="AM4985">
        <v>88.476072648524706</v>
      </c>
      <c r="AN4985">
        <v>1.00000000823868</v>
      </c>
    </row>
    <row r="4986" spans="1:40" x14ac:dyDescent="0.25">
      <c r="A4986" t="str">
        <f>"20190305135929306"</f>
        <v>20190305135929306</v>
      </c>
      <c r="B4986" t="str">
        <f>"1551765569294639"</f>
        <v>1551765569294639</v>
      </c>
      <c r="C4986" t="s">
        <v>40</v>
      </c>
      <c r="D4986">
        <v>4.0526600000000004</v>
      </c>
      <c r="E4986">
        <v>0.41819980000000001</v>
      </c>
      <c r="F4986" t="s">
        <v>43</v>
      </c>
      <c r="G4986">
        <v>-291.4821</v>
      </c>
      <c r="H4986">
        <v>-0.05</v>
      </c>
      <c r="I4986">
        <v>30.977650000000001</v>
      </c>
      <c r="J4986">
        <v>-359.51310000000001</v>
      </c>
      <c r="K4986">
        <v>1.110277</v>
      </c>
      <c r="L4986">
        <v>16.900759999999998</v>
      </c>
      <c r="M4986">
        <v>0.99979530000000005</v>
      </c>
      <c r="N4986">
        <v>-1.1492530000000001E-2</v>
      </c>
      <c r="O4986">
        <v>1.6658639999999999E-2</v>
      </c>
      <c r="P4986">
        <v>0.99983509999999998</v>
      </c>
      <c r="Q4986">
        <v>-1.6377650000000001E-2</v>
      </c>
      <c r="R4986">
        <v>-7.8532710000000002E-3</v>
      </c>
      <c r="S4986">
        <v>3.0068969999999999</v>
      </c>
      <c r="T4986">
        <v>-5.1061509999999997E-2</v>
      </c>
      <c r="U4986">
        <v>0.61987300000000001</v>
      </c>
      <c r="V4986">
        <v>2.452524E-2</v>
      </c>
      <c r="W4986">
        <v>-4.8078970000000002E-3</v>
      </c>
      <c r="X4986">
        <v>0.99968769999999996</v>
      </c>
      <c r="Y4986">
        <v>-0.18551670000000001</v>
      </c>
      <c r="Z4986">
        <v>2.5457079999999998E-3</v>
      </c>
      <c r="AA4986">
        <v>0.98263780000000001</v>
      </c>
      <c r="AB4986">
        <v>36</v>
      </c>
      <c r="AC4986">
        <v>68.031000000000006</v>
      </c>
      <c r="AD4986">
        <v>-1.160277</v>
      </c>
      <c r="AE4986">
        <v>14.076890000000001</v>
      </c>
      <c r="AF4986">
        <v>-12.9379488686361</v>
      </c>
      <c r="AG4986">
        <v>-1.160277</v>
      </c>
      <c r="AH4986">
        <v>68.237042087366106</v>
      </c>
      <c r="AI4986">
        <v>90.957093736329099</v>
      </c>
      <c r="AJ4986">
        <v>100.736012394475</v>
      </c>
      <c r="AK4986">
        <v>69.462440761012303</v>
      </c>
      <c r="AL4986">
        <v>90.2754732538572</v>
      </c>
      <c r="AM4986">
        <v>88.594650175241</v>
      </c>
      <c r="AN4986">
        <v>1.0000000504009501</v>
      </c>
    </row>
    <row r="4987" spans="1:40" x14ac:dyDescent="0.25">
      <c r="A4987" t="str">
        <f>"20190305135929317"</f>
        <v>20190305135929317</v>
      </c>
      <c r="B4987" t="str">
        <f>"1551765569314159"</f>
        <v>1551765569314159</v>
      </c>
      <c r="C4987" t="s">
        <v>40</v>
      </c>
      <c r="D4987">
        <v>4.0592819999999996</v>
      </c>
      <c r="E4987">
        <v>0.426755</v>
      </c>
      <c r="F4987" t="s">
        <v>43</v>
      </c>
      <c r="G4987">
        <v>-280.51560000000001</v>
      </c>
      <c r="H4987">
        <v>-0.05</v>
      </c>
      <c r="I4987">
        <v>33.433929999999997</v>
      </c>
      <c r="J4987">
        <v>-359.33420000000001</v>
      </c>
      <c r="K4987">
        <v>1.110436</v>
      </c>
      <c r="L4987">
        <v>16.904540000000001</v>
      </c>
      <c r="M4987">
        <v>0.9997779</v>
      </c>
      <c r="N4987">
        <v>-1.138718E-2</v>
      </c>
      <c r="O4987">
        <v>1.7737679999999999E-2</v>
      </c>
      <c r="P4987">
        <v>0.99986280000000005</v>
      </c>
      <c r="Q4987">
        <v>-1.557711E-2</v>
      </c>
      <c r="R4987">
        <v>-5.6523579999999997E-3</v>
      </c>
      <c r="S4987">
        <v>3.0047000000000001</v>
      </c>
      <c r="T4987">
        <v>-4.413152E-2</v>
      </c>
      <c r="U4987">
        <v>0.62884519999999899</v>
      </c>
      <c r="V4987">
        <v>2.3403159999999999E-2</v>
      </c>
      <c r="W4987">
        <v>-4.1063559999999898E-3</v>
      </c>
      <c r="X4987">
        <v>0.99971770000000004</v>
      </c>
      <c r="Y4987">
        <v>-0.18741920000000001</v>
      </c>
      <c r="Z4987">
        <v>2.382533E-3</v>
      </c>
      <c r="AA4987">
        <v>0.98227719999999996</v>
      </c>
      <c r="AB4987">
        <v>36</v>
      </c>
      <c r="AC4987">
        <v>78.818600000000004</v>
      </c>
      <c r="AD4987">
        <v>-1.160436</v>
      </c>
      <c r="AE4987">
        <v>16.5293899999999</v>
      </c>
      <c r="AF4987">
        <v>-15.1254989943836</v>
      </c>
      <c r="AG4987">
        <v>-1.160436</v>
      </c>
      <c r="AH4987">
        <v>79.082990175174203</v>
      </c>
      <c r="AI4987">
        <v>90.825712948692399</v>
      </c>
      <c r="AJ4987">
        <v>100.827688602268</v>
      </c>
      <c r="AK4987">
        <v>80.524820189714703</v>
      </c>
      <c r="AL4987">
        <v>90.2352775233432</v>
      </c>
      <c r="AM4987">
        <v>88.658963995626706</v>
      </c>
      <c r="AN4987">
        <v>1.0000000248754299</v>
      </c>
    </row>
    <row r="4988" spans="1:40" x14ac:dyDescent="0.25">
      <c r="A4988" t="str">
        <f>"20190305135929328"</f>
        <v>20190305135929328</v>
      </c>
      <c r="B4988" t="str">
        <f>"1551765569323919"</f>
        <v>1551765569323919</v>
      </c>
      <c r="C4988" t="s">
        <v>40</v>
      </c>
      <c r="D4988">
        <v>4.0625739999999997</v>
      </c>
      <c r="E4988">
        <v>0.42656119999999997</v>
      </c>
      <c r="F4988" t="s">
        <v>42</v>
      </c>
      <c r="G4988">
        <v>-324.97399999999999</v>
      </c>
      <c r="H4988" s="1">
        <v>-3.360952E-6</v>
      </c>
      <c r="I4988">
        <v>23.392099999999999</v>
      </c>
      <c r="J4988">
        <v>-359.14920000000001</v>
      </c>
      <c r="K4988">
        <v>1.1105879999999999</v>
      </c>
      <c r="L4988">
        <v>16.908909999999999</v>
      </c>
      <c r="M4988">
        <v>0.99975590000000003</v>
      </c>
      <c r="N4988">
        <v>-1.12684E-2</v>
      </c>
      <c r="O4988">
        <v>1.9009379999999999E-2</v>
      </c>
      <c r="P4988">
        <v>0.99987939999999997</v>
      </c>
      <c r="Q4988">
        <v>-1.512616E-2</v>
      </c>
      <c r="R4988">
        <v>-3.5222159999999999E-3</v>
      </c>
      <c r="S4988">
        <v>3.0021360000000001</v>
      </c>
      <c r="T4988">
        <v>-9.7021819999999995E-2</v>
      </c>
      <c r="U4988">
        <v>0.56683349999999999</v>
      </c>
      <c r="V4988">
        <v>2.2545610000000001E-2</v>
      </c>
      <c r="W4988">
        <v>-3.7678719999999998E-3</v>
      </c>
      <c r="X4988">
        <v>0.99973869999999998</v>
      </c>
      <c r="Y4988">
        <v>-0.16670779999999999</v>
      </c>
      <c r="Z4988">
        <v>3.221275E-3</v>
      </c>
      <c r="AA4988">
        <v>0.98600109999999996</v>
      </c>
      <c r="AB4988">
        <v>36</v>
      </c>
      <c r="AC4988">
        <v>34.175199999999997</v>
      </c>
      <c r="AD4988">
        <v>-1.110591360952</v>
      </c>
      <c r="AE4988">
        <v>6.4831899999999898</v>
      </c>
      <c r="AF4988">
        <v>-5.8263885790774896</v>
      </c>
      <c r="AG4988">
        <v>-1.110591360952</v>
      </c>
      <c r="AH4988">
        <v>34.257352264767199</v>
      </c>
      <c r="AI4988">
        <v>91.830556818261996</v>
      </c>
      <c r="AJ4988">
        <v>99.652334544612003</v>
      </c>
      <c r="AK4988">
        <v>34.767030377036498</v>
      </c>
      <c r="AL4988">
        <v>90.215883677433396</v>
      </c>
      <c r="AM4988">
        <v>88.708113048580501</v>
      </c>
      <c r="AN4988">
        <v>0.99999998483368502</v>
      </c>
    </row>
    <row r="4989" spans="1:40" x14ac:dyDescent="0.25">
      <c r="A4989" t="str">
        <f>"20190305135929340"</f>
        <v>20190305135929340</v>
      </c>
      <c r="B4989" t="str">
        <f>"1551765569333679"</f>
        <v>1551765569333679</v>
      </c>
      <c r="C4989" t="s">
        <v>40</v>
      </c>
      <c r="D4989">
        <v>4.0734919999999999</v>
      </c>
      <c r="E4989">
        <v>0.4238905</v>
      </c>
      <c r="F4989" t="s">
        <v>43</v>
      </c>
      <c r="G4989">
        <v>-316.78030000000001</v>
      </c>
      <c r="H4989">
        <v>-0.05</v>
      </c>
      <c r="I4989">
        <v>25.025089999999999</v>
      </c>
      <c r="J4989">
        <v>-358.96109999999999</v>
      </c>
      <c r="K4989">
        <v>1.1107389999999999</v>
      </c>
      <c r="L4989">
        <v>16.913509999999999</v>
      </c>
      <c r="M4989">
        <v>0.99973089999999998</v>
      </c>
      <c r="N4989">
        <v>-1.114475E-2</v>
      </c>
      <c r="O4989">
        <v>2.0348729999999999E-2</v>
      </c>
      <c r="P4989">
        <v>0.99989150000000004</v>
      </c>
      <c r="Q4989">
        <v>-1.470434E-2</v>
      </c>
      <c r="R4989">
        <v>-1.1172420000000001E-3</v>
      </c>
      <c r="S4989">
        <v>3.001099</v>
      </c>
      <c r="T4989">
        <v>-8.2207559999999999E-2</v>
      </c>
      <c r="U4989">
        <v>0.57489009999999996</v>
      </c>
      <c r="V4989">
        <v>2.148073E-2</v>
      </c>
      <c r="W4989">
        <v>-3.4649759999999998E-3</v>
      </c>
      <c r="X4989">
        <v>0.99976330000000002</v>
      </c>
      <c r="Y4989">
        <v>-0.16802990000000001</v>
      </c>
      <c r="Z4989">
        <v>2.8981179999999999E-3</v>
      </c>
      <c r="AA4989">
        <v>0.98577760000000003</v>
      </c>
      <c r="AB4989">
        <v>36</v>
      </c>
      <c r="AC4989">
        <v>42.180799999999898</v>
      </c>
      <c r="AD4989">
        <v>-1.160739</v>
      </c>
      <c r="AE4989">
        <v>8.1115799999999894</v>
      </c>
      <c r="AF4989">
        <v>-7.2462297539746299</v>
      </c>
      <c r="AG4989">
        <v>-1.160739</v>
      </c>
      <c r="AH4989">
        <v>42.306241759059603</v>
      </c>
      <c r="AI4989">
        <v>91.549059648552003</v>
      </c>
      <c r="AJ4989">
        <v>99.719330779863498</v>
      </c>
      <c r="AK4989">
        <v>42.938016400964599</v>
      </c>
      <c r="AL4989">
        <v>90.198528889850706</v>
      </c>
      <c r="AM4989">
        <v>88.769142822524401</v>
      </c>
      <c r="AN4989">
        <v>1.00000004192345</v>
      </c>
    </row>
    <row r="4990" spans="1:40" x14ac:dyDescent="0.25">
      <c r="A4990" t="str">
        <f>"20190305135929351"</f>
        <v>20190305135929351</v>
      </c>
      <c r="B4990" t="str">
        <f>"1551765569344414"</f>
        <v>1551765569344414</v>
      </c>
      <c r="C4990" t="s">
        <v>40</v>
      </c>
      <c r="D4990">
        <v>3.9837229999999999</v>
      </c>
      <c r="E4990">
        <v>0.4238905</v>
      </c>
      <c r="F4990" t="s">
        <v>43</v>
      </c>
      <c r="G4990">
        <v>-312.82819999999998</v>
      </c>
      <c r="H4990">
        <v>-0.05</v>
      </c>
      <c r="I4990">
        <v>26.19312</v>
      </c>
      <c r="J4990">
        <v>-358.77359999999999</v>
      </c>
      <c r="K4990">
        <v>1.1108830000000001</v>
      </c>
      <c r="L4990">
        <v>16.918520000000001</v>
      </c>
      <c r="M4990">
        <v>0.99970119999999896</v>
      </c>
      <c r="N4990">
        <v>-1.1014609999999999E-2</v>
      </c>
      <c r="O4990">
        <v>2.1825890000000001E-2</v>
      </c>
      <c r="P4990">
        <v>0.99989340000000004</v>
      </c>
      <c r="Q4990">
        <v>-1.452341E-2</v>
      </c>
      <c r="R4990">
        <v>1.5721719999999999E-3</v>
      </c>
      <c r="S4990">
        <v>2.9998779999999998</v>
      </c>
      <c r="T4990">
        <v>-7.5479270000000001E-2</v>
      </c>
      <c r="U4990">
        <v>0.60342410000000002</v>
      </c>
      <c r="V4990">
        <v>2.0270110000000001E-2</v>
      </c>
      <c r="W4990">
        <v>-3.411491E-3</v>
      </c>
      <c r="X4990">
        <v>0.99978869999999997</v>
      </c>
      <c r="Y4990">
        <v>-0.17567859999999999</v>
      </c>
      <c r="Z4990">
        <v>2.8600600000000002E-3</v>
      </c>
      <c r="AA4990">
        <v>0.98444339999999997</v>
      </c>
      <c r="AB4990">
        <v>36</v>
      </c>
      <c r="AC4990">
        <v>45.945399999999999</v>
      </c>
      <c r="AD4990">
        <v>-1.1608829999999899</v>
      </c>
      <c r="AE4990">
        <v>9.2745999999999995</v>
      </c>
      <c r="AF4990">
        <v>-8.2644609480087201</v>
      </c>
      <c r="AG4990">
        <v>-1.1608829999999899</v>
      </c>
      <c r="AH4990">
        <v>46.108609291724001</v>
      </c>
      <c r="AI4990">
        <v>91.419625155351099</v>
      </c>
      <c r="AJ4990">
        <v>100.161734321521</v>
      </c>
      <c r="AK4990">
        <v>46.857793534456</v>
      </c>
      <c r="AL4990">
        <v>90.195464419174897</v>
      </c>
      <c r="AM4990">
        <v>88.838521917614003</v>
      </c>
      <c r="AN4990">
        <v>0.99999998013897196</v>
      </c>
    </row>
    <row r="4991" spans="1:40" x14ac:dyDescent="0.25">
      <c r="A4991" t="str">
        <f>"20190305135929363"</f>
        <v>20190305135929363</v>
      </c>
      <c r="B4991" t="str">
        <f>"1551765569354175"</f>
        <v>1551765569354175</v>
      </c>
      <c r="C4991" t="s">
        <v>40</v>
      </c>
      <c r="D4991">
        <v>4.0196110000000003</v>
      </c>
      <c r="E4991">
        <v>0.3941134</v>
      </c>
      <c r="F4991" t="s">
        <v>43</v>
      </c>
      <c r="G4991">
        <v>-312.30540000000002</v>
      </c>
      <c r="H4991">
        <v>-0.05</v>
      </c>
      <c r="I4991">
        <v>26.395479999999999</v>
      </c>
      <c r="J4991">
        <v>-358.57909999999998</v>
      </c>
      <c r="K4991">
        <v>1.1110260000000001</v>
      </c>
      <c r="L4991">
        <v>16.924039999999898</v>
      </c>
      <c r="M4991">
        <v>0.99966650000000001</v>
      </c>
      <c r="N4991">
        <v>-1.087773E-2</v>
      </c>
      <c r="O4991">
        <v>2.3423570000000001E-2</v>
      </c>
      <c r="P4991">
        <v>0.99988779999999999</v>
      </c>
      <c r="Q4991">
        <v>-1.436688E-2</v>
      </c>
      <c r="R4991">
        <v>4.2067169999999996E-3</v>
      </c>
      <c r="S4991">
        <v>2.9982600000000001</v>
      </c>
      <c r="T4991">
        <v>-7.4903490000000003E-2</v>
      </c>
      <c r="U4991">
        <v>0.61148069999999999</v>
      </c>
      <c r="V4991">
        <v>1.9235209999999999E-2</v>
      </c>
      <c r="W4991">
        <v>-3.389226E-3</v>
      </c>
      <c r="X4991">
        <v>0.99980930000000001</v>
      </c>
      <c r="Y4991">
        <v>-0.17674979999999901</v>
      </c>
      <c r="Z4991">
        <v>2.8299480000000001E-3</v>
      </c>
      <c r="AA4991">
        <v>0.98425169999999995</v>
      </c>
      <c r="AB4991">
        <v>36</v>
      </c>
      <c r="AC4991">
        <v>46.273699999999899</v>
      </c>
      <c r="AD4991">
        <v>-1.1610259999999999</v>
      </c>
      <c r="AE4991">
        <v>9.4714399999999994</v>
      </c>
      <c r="AF4991">
        <v>-8.3798184790781001</v>
      </c>
      <c r="AG4991">
        <v>-1.1610259999999999</v>
      </c>
      <c r="AH4991">
        <v>46.454801778936101</v>
      </c>
      <c r="AI4991">
        <v>91.408942023376497</v>
      </c>
      <c r="AJ4991">
        <v>100.225421376235</v>
      </c>
      <c r="AK4991">
        <v>47.218830432733299</v>
      </c>
      <c r="AL4991">
        <v>90.194188706072893</v>
      </c>
      <c r="AM4991">
        <v>88.897829409443602</v>
      </c>
      <c r="AN4991">
        <v>1.00000005826155</v>
      </c>
    </row>
    <row r="4992" spans="1:40" x14ac:dyDescent="0.25">
      <c r="A4992" t="str">
        <f>"20190305135929375"</f>
        <v>20190305135929375</v>
      </c>
      <c r="B4992" t="str">
        <f>"1551765569363936"</f>
        <v>1551765569363936</v>
      </c>
      <c r="C4992" t="s">
        <v>40</v>
      </c>
      <c r="D4992">
        <v>4.0523569999999998</v>
      </c>
      <c r="E4992">
        <v>0.39000839999999998</v>
      </c>
      <c r="F4992" t="s">
        <v>43</v>
      </c>
      <c r="G4992">
        <v>-299.50810000000001</v>
      </c>
      <c r="H4992">
        <v>-0.05</v>
      </c>
      <c r="I4992">
        <v>33.821150000000003</v>
      </c>
      <c r="J4992">
        <v>-358.38549999999998</v>
      </c>
      <c r="K4992">
        <v>1.1111599999999999</v>
      </c>
      <c r="L4992">
        <v>16.929839999999999</v>
      </c>
      <c r="M4992">
        <v>0.9996275</v>
      </c>
      <c r="N4992">
        <v>-1.073939E-2</v>
      </c>
      <c r="O4992">
        <v>2.5092059999999999E-2</v>
      </c>
      <c r="P4992">
        <v>0.99987040000000005</v>
      </c>
      <c r="Q4992">
        <v>-1.4355929999999999E-2</v>
      </c>
      <c r="R4992">
        <v>7.2926469999999898E-3</v>
      </c>
      <c r="S4992">
        <v>2.9958800000000001</v>
      </c>
      <c r="T4992">
        <v>-5.8883310000000001E-2</v>
      </c>
      <c r="U4992">
        <v>0.85696410000000001</v>
      </c>
      <c r="V4992">
        <v>1.7820099999999998E-2</v>
      </c>
      <c r="W4992">
        <v>-3.5173079999999998E-3</v>
      </c>
      <c r="X4992">
        <v>0.99983500000000003</v>
      </c>
      <c r="Y4992">
        <v>-0.25073479999999998</v>
      </c>
      <c r="Z4992">
        <v>3.5699350000000002E-3</v>
      </c>
      <c r="AA4992">
        <v>0.96804920000000005</v>
      </c>
      <c r="AB4992">
        <v>36</v>
      </c>
      <c r="AC4992">
        <v>58.877399999999902</v>
      </c>
      <c r="AD4992">
        <v>-1.16116</v>
      </c>
      <c r="AE4992">
        <v>16.891310000000001</v>
      </c>
      <c r="AF4992">
        <v>-15.4030153551928</v>
      </c>
      <c r="AG4992">
        <v>-1.16116</v>
      </c>
      <c r="AH4992">
        <v>59.261425649809297</v>
      </c>
      <c r="AI4992">
        <v>91.086413394390902</v>
      </c>
      <c r="AJ4992">
        <v>104.569728517087</v>
      </c>
      <c r="AK4992">
        <v>61.241470790843898</v>
      </c>
      <c r="AL4992">
        <v>90.201527323750298</v>
      </c>
      <c r="AM4992">
        <v>88.978923093510801</v>
      </c>
      <c r="AN4992">
        <v>0.99999997732228796</v>
      </c>
    </row>
    <row r="4993" spans="1:40" x14ac:dyDescent="0.25">
      <c r="A4993" t="str">
        <f>"20190305135929387"</f>
        <v>20190305135929387</v>
      </c>
      <c r="B4993" t="str">
        <f>"1551765569384431"</f>
        <v>1551765569384431</v>
      </c>
      <c r="C4993" t="s">
        <v>40</v>
      </c>
      <c r="D4993">
        <v>3.9908049999999999</v>
      </c>
      <c r="E4993">
        <v>0.38788420000000001</v>
      </c>
      <c r="F4993" t="s">
        <v>43</v>
      </c>
      <c r="G4993">
        <v>-299.87689999999998</v>
      </c>
      <c r="H4993">
        <v>-0.05</v>
      </c>
      <c r="I4993">
        <v>34.502009999999999</v>
      </c>
      <c r="J4993">
        <v>-358.20830000000001</v>
      </c>
      <c r="K4993">
        <v>1.1112709999999999</v>
      </c>
      <c r="L4993">
        <v>16.93561</v>
      </c>
      <c r="M4993">
        <v>0.99958709999999995</v>
      </c>
      <c r="N4993">
        <v>-1.06125E-2</v>
      </c>
      <c r="O4993">
        <v>2.670227E-2</v>
      </c>
      <c r="P4993">
        <v>0.99984669999999998</v>
      </c>
      <c r="Q4993">
        <v>-1.400539E-2</v>
      </c>
      <c r="R4993">
        <v>1.0525670000000001E-2</v>
      </c>
      <c r="S4993">
        <v>2.9929809999999999</v>
      </c>
      <c r="T4993">
        <v>-5.9398529999999998E-2</v>
      </c>
      <c r="U4993">
        <v>0.89889529999999995</v>
      </c>
      <c r="V4993">
        <v>1.6197739999999999E-2</v>
      </c>
      <c r="W4993">
        <v>-3.2975209999999999E-3</v>
      </c>
      <c r="X4993">
        <v>0.99986339999999996</v>
      </c>
      <c r="Y4993">
        <v>-0.26189040000000002</v>
      </c>
      <c r="Z4993">
        <v>3.7219689999999999E-3</v>
      </c>
      <c r="AA4993">
        <v>0.96509049999999996</v>
      </c>
      <c r="AB4993">
        <v>36</v>
      </c>
      <c r="AC4993">
        <v>58.331400000000002</v>
      </c>
      <c r="AD4993">
        <v>-1.1612709999999999</v>
      </c>
      <c r="AE4993">
        <v>17.566399999999899</v>
      </c>
      <c r="AF4993">
        <v>-15.996654288900601</v>
      </c>
      <c r="AG4993">
        <v>-1.1612709999999999</v>
      </c>
      <c r="AH4993">
        <v>58.758336048656801</v>
      </c>
      <c r="AI4993">
        <v>91.092466787474805</v>
      </c>
      <c r="AJ4993">
        <v>105.229388274331</v>
      </c>
      <c r="AK4993">
        <v>60.907992529559898</v>
      </c>
      <c r="AL4993">
        <v>90.188934372975993</v>
      </c>
      <c r="AM4993">
        <v>89.071892254454298</v>
      </c>
      <c r="AN4993">
        <v>1.0000000295427001</v>
      </c>
    </row>
    <row r="4994" spans="1:40" x14ac:dyDescent="0.25">
      <c r="A4994" t="str">
        <f>"20190305135929398"</f>
        <v>20190305135929398</v>
      </c>
      <c r="B4994" t="str">
        <f>"1551765569394191"</f>
        <v>1551765569394191</v>
      </c>
      <c r="C4994" t="s">
        <v>40</v>
      </c>
      <c r="D4994">
        <v>3.9933749999999999</v>
      </c>
      <c r="E4994">
        <v>0.3880017</v>
      </c>
      <c r="F4994" t="s">
        <v>43</v>
      </c>
      <c r="G4994">
        <v>-300.6413</v>
      </c>
      <c r="H4994">
        <v>-0.05</v>
      </c>
      <c r="I4994">
        <v>34.755940000000002</v>
      </c>
      <c r="J4994">
        <v>-358.02359999999999</v>
      </c>
      <c r="K4994">
        <v>1.1113839999999999</v>
      </c>
      <c r="L4994">
        <v>16.94171</v>
      </c>
      <c r="M4994">
        <v>0.99954160000000003</v>
      </c>
      <c r="N4994">
        <v>-1.0479779999999999E-2</v>
      </c>
      <c r="O4994">
        <v>2.840664E-2</v>
      </c>
      <c r="P4994">
        <v>0.99980999999999998</v>
      </c>
      <c r="Q4994">
        <v>-1.383771E-2</v>
      </c>
      <c r="R4994">
        <v>1.373073E-2</v>
      </c>
      <c r="S4994">
        <v>2.989868</v>
      </c>
      <c r="T4994">
        <v>-6.0313110000000003E-2</v>
      </c>
      <c r="U4994">
        <v>0.9255371</v>
      </c>
      <c r="V4994">
        <v>1.4698589999999999E-2</v>
      </c>
      <c r="W4994">
        <v>-3.2666629999999999E-3</v>
      </c>
      <c r="X4994">
        <v>0.99988659999999996</v>
      </c>
      <c r="Y4994">
        <v>-0.2683797</v>
      </c>
      <c r="Z4994">
        <v>3.8154909999999998E-3</v>
      </c>
      <c r="AA4994">
        <v>0.96330570000000004</v>
      </c>
      <c r="AB4994">
        <v>36</v>
      </c>
      <c r="AC4994">
        <v>57.382300000000001</v>
      </c>
      <c r="AD4994">
        <v>-1.161384</v>
      </c>
      <c r="AE4994">
        <v>17.814229999999998</v>
      </c>
      <c r="AF4994">
        <v>-16.1708707289431</v>
      </c>
      <c r="AG4994">
        <v>-1.161384</v>
      </c>
      <c r="AH4994">
        <v>57.8435992064448</v>
      </c>
      <c r="AI4994">
        <v>91.107767102047404</v>
      </c>
      <c r="AJ4994">
        <v>105.61897128807399</v>
      </c>
      <c r="AK4994">
        <v>60.072687987832403</v>
      </c>
      <c r="AL4994">
        <v>90.187166342187894</v>
      </c>
      <c r="AM4994">
        <v>89.157797978055697</v>
      </c>
      <c r="AN4994">
        <v>0.99999996624735099</v>
      </c>
    </row>
    <row r="4995" spans="1:40" x14ac:dyDescent="0.25">
      <c r="A4995" t="str">
        <f>"20190305135929409"</f>
        <v>20190305135929409</v>
      </c>
      <c r="B4995" t="str">
        <f>"1551765569403951"</f>
        <v>1551765569403951</v>
      </c>
      <c r="C4995" t="s">
        <v>40</v>
      </c>
      <c r="D4995">
        <v>3.939454</v>
      </c>
      <c r="E4995">
        <v>0.38810800000000001</v>
      </c>
      <c r="F4995" t="s">
        <v>43</v>
      </c>
      <c r="G4995">
        <v>-297.48700000000002</v>
      </c>
      <c r="H4995">
        <v>-0.05</v>
      </c>
      <c r="I4995">
        <v>35.87594</v>
      </c>
      <c r="J4995">
        <v>-357.83409999999998</v>
      </c>
      <c r="K4995">
        <v>1.1114889999999999</v>
      </c>
      <c r="L4995">
        <v>16.948609999999999</v>
      </c>
      <c r="M4995">
        <v>0.99948910000000002</v>
      </c>
      <c r="N4995">
        <v>-1.03473E-2</v>
      </c>
      <c r="O4995">
        <v>3.0243369999999999E-2</v>
      </c>
      <c r="P4995">
        <v>0.99976359999999997</v>
      </c>
      <c r="Q4995">
        <v>-1.362967E-2</v>
      </c>
      <c r="R4995">
        <v>1.6942039999999998E-2</v>
      </c>
      <c r="S4995">
        <v>2.9869379999999999</v>
      </c>
      <c r="T4995">
        <v>-5.730391E-2</v>
      </c>
      <c r="U4995">
        <v>0.93423460000000003</v>
      </c>
      <c r="V4995">
        <v>1.332498E-2</v>
      </c>
      <c r="W4995">
        <v>-3.1957309999999998E-3</v>
      </c>
      <c r="X4995">
        <v>0.99990610000000002</v>
      </c>
      <c r="Y4995">
        <v>-0.269439599999999</v>
      </c>
      <c r="Z4995">
        <v>3.690923E-3</v>
      </c>
      <c r="AA4995">
        <v>0.96301020000000004</v>
      </c>
      <c r="AB4995">
        <v>36</v>
      </c>
      <c r="AC4995">
        <v>60.347099999999898</v>
      </c>
      <c r="AD4995">
        <v>-1.161489</v>
      </c>
      <c r="AE4995">
        <v>18.927330000000001</v>
      </c>
      <c r="AF4995">
        <v>-17.087710782921299</v>
      </c>
      <c r="AG4995">
        <v>-1.161489</v>
      </c>
      <c r="AH4995">
        <v>60.871419323770198</v>
      </c>
      <c r="AI4995">
        <v>91.052457215991893</v>
      </c>
      <c r="AJ4995">
        <v>105.680393651603</v>
      </c>
      <c r="AK4995">
        <v>63.235026741420299</v>
      </c>
      <c r="AL4995">
        <v>90.183102212563</v>
      </c>
      <c r="AM4995">
        <v>89.236508381419199</v>
      </c>
      <c r="AN4995">
        <v>0.99999998830291703</v>
      </c>
    </row>
    <row r="4996" spans="1:40" x14ac:dyDescent="0.25">
      <c r="A4996" t="str">
        <f>"20190305135929421"</f>
        <v>20190305135929421</v>
      </c>
      <c r="B4996" t="str">
        <f>"1551765569413711"</f>
        <v>1551765569413711</v>
      </c>
      <c r="C4996" t="s">
        <v>40</v>
      </c>
      <c r="D4996">
        <v>3.9379080000000002</v>
      </c>
      <c r="E4996">
        <v>0.38822590000000001</v>
      </c>
      <c r="F4996" t="s">
        <v>43</v>
      </c>
      <c r="G4996">
        <v>-295.5446</v>
      </c>
      <c r="H4996">
        <v>-0.05</v>
      </c>
      <c r="I4996">
        <v>36.63306</v>
      </c>
      <c r="J4996">
        <v>-357.63330000000002</v>
      </c>
      <c r="K4996">
        <v>1.1115969999999999</v>
      </c>
      <c r="L4996">
        <v>16.95618</v>
      </c>
      <c r="M4996">
        <v>0.99942900000000001</v>
      </c>
      <c r="N4996">
        <v>-1.0208399999999999E-2</v>
      </c>
      <c r="O4996">
        <v>3.2214270000000003E-2</v>
      </c>
      <c r="P4996">
        <v>0.99970460000000005</v>
      </c>
      <c r="Q4996">
        <v>-1.3268790000000001E-2</v>
      </c>
      <c r="R4996">
        <v>2.0369290000000002E-2</v>
      </c>
      <c r="S4996">
        <v>2.9840089999999999</v>
      </c>
      <c r="T4996">
        <v>-5.5641650000000001E-2</v>
      </c>
      <c r="U4996">
        <v>0.94299319999999998</v>
      </c>
      <c r="V4996">
        <v>1.1868460000000001E-2</v>
      </c>
      <c r="W4996">
        <v>-2.9796760000000001E-3</v>
      </c>
      <c r="X4996">
        <v>0.99992510000000001</v>
      </c>
      <c r="Y4996">
        <v>-0.2703853</v>
      </c>
      <c r="Z4996">
        <v>3.6098010000000002E-3</v>
      </c>
      <c r="AA4996">
        <v>0.96274539999999997</v>
      </c>
      <c r="AB4996">
        <v>36</v>
      </c>
      <c r="AC4996">
        <v>62.088700000000003</v>
      </c>
      <c r="AD4996">
        <v>-1.161597</v>
      </c>
      <c r="AE4996">
        <v>19.676880000000001</v>
      </c>
      <c r="AF4996">
        <v>-17.6608029281489</v>
      </c>
      <c r="AG4996">
        <v>-1.161597</v>
      </c>
      <c r="AH4996">
        <v>62.670447468876901</v>
      </c>
      <c r="AI4996">
        <v>91.022057412687204</v>
      </c>
      <c r="AJ4996">
        <v>105.738065728896</v>
      </c>
      <c r="AK4996">
        <v>65.121718755009695</v>
      </c>
      <c r="AL4996">
        <v>90.170723116487906</v>
      </c>
      <c r="AM4996">
        <v>89.319968329331601</v>
      </c>
      <c r="AN4996">
        <v>0.99999997221092296</v>
      </c>
    </row>
    <row r="4997" spans="1:40" x14ac:dyDescent="0.25">
      <c r="A4997" t="str">
        <f>"20190305135929433"</f>
        <v>20190305135929433</v>
      </c>
      <c r="B4997" t="str">
        <f>"1551765569424624"</f>
        <v>1551765569424624</v>
      </c>
      <c r="C4997" t="s">
        <v>40</v>
      </c>
      <c r="D4997">
        <v>3.9181759999999999</v>
      </c>
      <c r="E4997">
        <v>0.38865529999999998</v>
      </c>
      <c r="F4997" t="s">
        <v>43</v>
      </c>
      <c r="G4997">
        <v>-296.18779999999998</v>
      </c>
      <c r="H4997">
        <v>-0.05</v>
      </c>
      <c r="I4997">
        <v>36.584110000000003</v>
      </c>
      <c r="J4997">
        <v>-357.44670000000002</v>
      </c>
      <c r="K4997">
        <v>1.111685</v>
      </c>
      <c r="L4997">
        <v>16.963619999999999</v>
      </c>
      <c r="M4997">
        <v>0.99936800000000003</v>
      </c>
      <c r="N4997">
        <v>-1.008305E-2</v>
      </c>
      <c r="O4997">
        <v>3.4089550000000003E-2</v>
      </c>
      <c r="P4997">
        <v>0.99963919999999995</v>
      </c>
      <c r="Q4997">
        <v>-1.274751E-2</v>
      </c>
      <c r="R4997">
        <v>2.364985E-2</v>
      </c>
      <c r="S4997">
        <v>2.9807130000000002</v>
      </c>
      <c r="T4997">
        <v>-5.6348919999999997E-2</v>
      </c>
      <c r="U4997">
        <v>0.95214840000000001</v>
      </c>
      <c r="V4997">
        <v>1.0461639999999999E-2</v>
      </c>
      <c r="W4997">
        <v>-2.5906689999999999E-3</v>
      </c>
      <c r="X4997">
        <v>0.99994190000000005</v>
      </c>
      <c r="Y4997">
        <v>-0.2715689</v>
      </c>
      <c r="Z4997">
        <v>3.615048E-3</v>
      </c>
      <c r="AA4997">
        <v>0.96241220000000005</v>
      </c>
      <c r="AB4997">
        <v>36</v>
      </c>
      <c r="AC4997">
        <v>61.258899999999997</v>
      </c>
      <c r="AD4997">
        <v>-1.1616850000000001</v>
      </c>
      <c r="AE4997">
        <v>19.62049</v>
      </c>
      <c r="AF4997">
        <v>-17.514978110634601</v>
      </c>
      <c r="AG4997">
        <v>-1.1616850000000001</v>
      </c>
      <c r="AH4997">
        <v>61.871999277859999</v>
      </c>
      <c r="AI4997">
        <v>91.034976010893502</v>
      </c>
      <c r="AJ4997">
        <v>105.80597328416199</v>
      </c>
      <c r="AK4997">
        <v>64.313826389779905</v>
      </c>
      <c r="AL4997">
        <v>90.1484345687591</v>
      </c>
      <c r="AM4997">
        <v>89.400579223551006</v>
      </c>
      <c r="AN4997">
        <v>0.99999998042648297</v>
      </c>
    </row>
    <row r="4998" spans="1:40" x14ac:dyDescent="0.25">
      <c r="A4998" t="str">
        <f>"20190305135929446"</f>
        <v>20190305135929446</v>
      </c>
      <c r="B4998" t="str">
        <f>"1551765569434386"</f>
        <v>1551765569434386</v>
      </c>
      <c r="C4998" t="s">
        <v>40</v>
      </c>
      <c r="D4998">
        <v>3.9354260000000001</v>
      </c>
      <c r="E4998">
        <v>0.38889449999999998</v>
      </c>
      <c r="F4998" t="s">
        <v>43</v>
      </c>
      <c r="G4998">
        <v>-291.88479999999998</v>
      </c>
      <c r="H4998">
        <v>-0.05</v>
      </c>
      <c r="I4998">
        <v>38.06841</v>
      </c>
      <c r="J4998">
        <v>-357.25659999999999</v>
      </c>
      <c r="K4998">
        <v>1.1117669999999999</v>
      </c>
      <c r="L4998">
        <v>16.97156</v>
      </c>
      <c r="M4998">
        <v>0.9993012</v>
      </c>
      <c r="N4998">
        <v>-9.9604719999999997E-3</v>
      </c>
      <c r="O4998">
        <v>3.6026679999999998E-2</v>
      </c>
      <c r="P4998">
        <v>0.99956310000000004</v>
      </c>
      <c r="Q4998">
        <v>-1.2529480000000001E-2</v>
      </c>
      <c r="R4998">
        <v>2.6769979999999999E-2</v>
      </c>
      <c r="S4998">
        <v>2.9777529999999999</v>
      </c>
      <c r="T4998">
        <v>-5.2762509999999999E-2</v>
      </c>
      <c r="U4998">
        <v>0.95855710000000005</v>
      </c>
      <c r="V4998">
        <v>9.2786369999999993E-3</v>
      </c>
      <c r="W4998">
        <v>-2.5014199999999999E-3</v>
      </c>
      <c r="X4998">
        <v>0.9999538</v>
      </c>
      <c r="Y4998">
        <v>-0.27186559999999999</v>
      </c>
      <c r="Z4998">
        <v>3.4655430000000002E-3</v>
      </c>
      <c r="AA4998">
        <v>0.96232899999999999</v>
      </c>
      <c r="AB4998">
        <v>36</v>
      </c>
      <c r="AC4998">
        <v>65.371799999999993</v>
      </c>
      <c r="AD4998">
        <v>-1.161767</v>
      </c>
      <c r="AE4998">
        <v>21.09685</v>
      </c>
      <c r="AF4998">
        <v>-18.7225520019024</v>
      </c>
      <c r="AG4998">
        <v>-1.161767</v>
      </c>
      <c r="AH4998">
        <v>66.070546496503596</v>
      </c>
      <c r="AI4998">
        <v>90.969215164767704</v>
      </c>
      <c r="AJ4998">
        <v>105.821252034544</v>
      </c>
      <c r="AK4998">
        <v>68.681880946672393</v>
      </c>
      <c r="AL4998">
        <v>90.143320961667399</v>
      </c>
      <c r="AM4998">
        <v>89.468363955767899</v>
      </c>
      <c r="AN4998">
        <v>0.99999997617051595</v>
      </c>
    </row>
    <row r="4999" spans="1:40" x14ac:dyDescent="0.25">
      <c r="A4999" t="str">
        <f>"20190305135929464"</f>
        <v>20190305135929464</v>
      </c>
      <c r="B4999" t="str">
        <f>"1551765569453904"</f>
        <v>1551765569453904</v>
      </c>
      <c r="C4999" t="s">
        <v>40</v>
      </c>
      <c r="D4999">
        <v>3.8748649999999998</v>
      </c>
      <c r="E4999">
        <v>0.38922659999999998</v>
      </c>
      <c r="F4999" t="s">
        <v>43</v>
      </c>
      <c r="G4999">
        <v>-289.93329999999997</v>
      </c>
      <c r="H4999">
        <v>-0.05</v>
      </c>
      <c r="I4999">
        <v>38.829970000000003</v>
      </c>
      <c r="J4999">
        <v>-356.94990000000001</v>
      </c>
      <c r="K4999">
        <v>1.1118870000000001</v>
      </c>
      <c r="L4999">
        <v>16.985199999999999</v>
      </c>
      <c r="M4999">
        <v>0.99918379999999996</v>
      </c>
      <c r="N4999">
        <v>-9.7717480000000002E-3</v>
      </c>
      <c r="O4999">
        <v>3.9194769999999997E-2</v>
      </c>
      <c r="P4999">
        <v>0.99940850000000003</v>
      </c>
      <c r="Q4999">
        <v>-1.214119E-2</v>
      </c>
      <c r="R4999">
        <v>3.21766E-2</v>
      </c>
      <c r="S4999">
        <v>2.9747919999999999</v>
      </c>
      <c r="T4999">
        <v>-5.1334619999999997E-2</v>
      </c>
      <c r="U4999">
        <v>0.96585080000000001</v>
      </c>
      <c r="V4999">
        <v>7.0396620000000003E-3</v>
      </c>
      <c r="W4999">
        <v>-2.3158300000000001E-3</v>
      </c>
      <c r="X4999">
        <v>0.99997250000000004</v>
      </c>
      <c r="Y4999">
        <v>-0.27123320000000001</v>
      </c>
      <c r="Z4999">
        <v>3.3559340000000001E-3</v>
      </c>
      <c r="AA4999">
        <v>0.96250780000000002</v>
      </c>
      <c r="AB4999">
        <v>36</v>
      </c>
      <c r="AC4999">
        <v>67.016599999999997</v>
      </c>
      <c r="AD4999">
        <v>-1.1618869999999999</v>
      </c>
      <c r="AE4999">
        <v>21.84477</v>
      </c>
      <c r="AF4999">
        <v>-19.195941212403302</v>
      </c>
      <c r="AG4999">
        <v>-1.1618869999999999</v>
      </c>
      <c r="AH4999">
        <v>67.802917563355706</v>
      </c>
      <c r="AI4999">
        <v>90.944617678779494</v>
      </c>
      <c r="AJ4999">
        <v>105.807549330458</v>
      </c>
      <c r="AK4999">
        <v>70.477441571995399</v>
      </c>
      <c r="AL4999">
        <v>90.132687408935197</v>
      </c>
      <c r="AM4999">
        <v>89.5966526491179</v>
      </c>
      <c r="AN4999">
        <v>0.99999996033295502</v>
      </c>
    </row>
    <row r="5000" spans="1:40" x14ac:dyDescent="0.25">
      <c r="A5000" t="str">
        <f>"20190305135929485"</f>
        <v>20190305135929485</v>
      </c>
      <c r="B5000" t="str">
        <f>"1551765569474400"</f>
        <v>1551765569474400</v>
      </c>
      <c r="C5000" t="s">
        <v>40</v>
      </c>
      <c r="D5000">
        <v>3.829081</v>
      </c>
      <c r="E5000">
        <v>0.3898568</v>
      </c>
      <c r="F5000" t="s">
        <v>43</v>
      </c>
      <c r="G5000">
        <v>-286.17849999999999</v>
      </c>
      <c r="H5000">
        <v>-0.05</v>
      </c>
      <c r="I5000">
        <v>40.32452</v>
      </c>
      <c r="J5000">
        <v>-356.61250000000001</v>
      </c>
      <c r="K5000">
        <v>1.111991</v>
      </c>
      <c r="L5000">
        <v>17.001339999999999</v>
      </c>
      <c r="M5000">
        <v>0.99904099999999996</v>
      </c>
      <c r="N5000">
        <v>-9.5784029999999992E-3</v>
      </c>
      <c r="O5000">
        <v>4.2723749999999998E-2</v>
      </c>
      <c r="P5000">
        <v>0.99924619999999997</v>
      </c>
      <c r="Q5000">
        <v>-1.1444340000000001E-2</v>
      </c>
      <c r="R5000">
        <v>3.7099170000000001E-2</v>
      </c>
      <c r="S5000">
        <v>2.9696349999999998</v>
      </c>
      <c r="T5000">
        <v>-4.8753860000000003E-2</v>
      </c>
      <c r="U5000">
        <v>0.97933959999999998</v>
      </c>
      <c r="V5000">
        <v>5.6429319999999998E-3</v>
      </c>
      <c r="W5000">
        <v>-1.8212300000000001E-3</v>
      </c>
      <c r="X5000">
        <v>0.99998240000000005</v>
      </c>
      <c r="Y5000">
        <v>-0.2722774</v>
      </c>
      <c r="Z5000">
        <v>3.2325740000000002E-3</v>
      </c>
      <c r="AA5000">
        <v>0.96221330000000005</v>
      </c>
      <c r="AB5000">
        <v>37</v>
      </c>
      <c r="AC5000">
        <v>70.433999999999997</v>
      </c>
      <c r="AD5000">
        <v>-1.161991</v>
      </c>
      <c r="AE5000">
        <v>23.323179999999901</v>
      </c>
      <c r="AF5000">
        <v>-20.287563474141599</v>
      </c>
      <c r="AG5000">
        <v>-1.161991</v>
      </c>
      <c r="AH5000">
        <v>71.348681814263202</v>
      </c>
      <c r="AI5000">
        <v>90.897472014142593</v>
      </c>
      <c r="AJ5000">
        <v>105.87277893375099</v>
      </c>
      <c r="AK5000">
        <v>74.186048900277598</v>
      </c>
      <c r="AL5000">
        <v>90.104348852301797</v>
      </c>
      <c r="AM5000">
        <v>89.676681553722702</v>
      </c>
      <c r="AN5000">
        <v>0.99999997993501399</v>
      </c>
    </row>
    <row r="5001" spans="1:40" x14ac:dyDescent="0.25">
      <c r="A5001" t="str">
        <f>"20190305135929496"</f>
        <v>20190305135929496</v>
      </c>
      <c r="B5001" t="str">
        <f>"1551765569484161"</f>
        <v>1551765569484161</v>
      </c>
      <c r="C5001" t="s">
        <v>40</v>
      </c>
      <c r="D5001">
        <v>3.8566780000000001</v>
      </c>
      <c r="E5001">
        <v>0.39021329999999999</v>
      </c>
      <c r="F5001" t="s">
        <v>42</v>
      </c>
      <c r="G5001">
        <v>-288.38220000000001</v>
      </c>
      <c r="H5001">
        <v>7.998545E-2</v>
      </c>
      <c r="I5001">
        <v>39.762079999999997</v>
      </c>
      <c r="J5001">
        <v>-356.42239999999998</v>
      </c>
      <c r="K5001">
        <v>1.112045</v>
      </c>
      <c r="L5001">
        <v>17.010860000000001</v>
      </c>
      <c r="M5001">
        <v>0.99895460000000003</v>
      </c>
      <c r="N5001">
        <v>-9.4753999999999897E-3</v>
      </c>
      <c r="O5001">
        <v>4.4722100000000001E-2</v>
      </c>
      <c r="P5001">
        <v>0.99916260000000001</v>
      </c>
      <c r="Q5001">
        <v>-1.0731330000000001E-2</v>
      </c>
      <c r="R5001">
        <v>3.9483520000000001E-2</v>
      </c>
      <c r="S5001">
        <v>2.9650569999999998</v>
      </c>
      <c r="T5001">
        <v>-4.4847489999999997E-2</v>
      </c>
      <c r="U5001">
        <v>0.98910520000000002</v>
      </c>
      <c r="V5001">
        <v>5.2527249999999998E-3</v>
      </c>
      <c r="W5001">
        <v>-1.2134800000000001E-3</v>
      </c>
      <c r="X5001">
        <v>0.99998549999999997</v>
      </c>
      <c r="Y5001">
        <v>-0.27365529999999999</v>
      </c>
      <c r="Z5001">
        <v>3.1019860000000002E-3</v>
      </c>
      <c r="AA5001">
        <v>0.96182279999999998</v>
      </c>
      <c r="AB5001">
        <v>37</v>
      </c>
      <c r="AC5001">
        <v>68.040199999999899</v>
      </c>
      <c r="AD5001">
        <v>-1.03205955</v>
      </c>
      <c r="AE5001">
        <v>22.75122</v>
      </c>
      <c r="AF5001">
        <v>-19.6813446843516</v>
      </c>
      <c r="AG5001">
        <v>-1.03205955</v>
      </c>
      <c r="AH5001">
        <v>68.975371446641603</v>
      </c>
      <c r="AI5001">
        <v>90.824340312902606</v>
      </c>
      <c r="AJ5001">
        <v>105.925499994427</v>
      </c>
      <c r="AK5001">
        <v>71.735781460169406</v>
      </c>
      <c r="AL5001">
        <v>90.069527297366903</v>
      </c>
      <c r="AM5001">
        <v>89.699039430594993</v>
      </c>
      <c r="AN5001">
        <v>1.00000003193194</v>
      </c>
    </row>
    <row r="5002" spans="1:40" x14ac:dyDescent="0.25">
      <c r="A5002" t="str">
        <f>"20190305135929508"</f>
        <v>20190305135929508</v>
      </c>
      <c r="B5002" t="str">
        <f>"1551765569504657"</f>
        <v>1551765569504657</v>
      </c>
      <c r="C5002" t="s">
        <v>40</v>
      </c>
      <c r="D5002">
        <v>3.8471120000000001</v>
      </c>
      <c r="E5002">
        <v>0.39097959999999998</v>
      </c>
      <c r="F5002" t="s">
        <v>43</v>
      </c>
      <c r="G5002">
        <v>-273.74869999999999</v>
      </c>
      <c r="H5002">
        <v>-0.05</v>
      </c>
      <c r="I5002">
        <v>44.727159999999998</v>
      </c>
      <c r="J5002">
        <v>-356.23140000000001</v>
      </c>
      <c r="K5002">
        <v>1.1120909999999999</v>
      </c>
      <c r="L5002">
        <v>17.021000000000001</v>
      </c>
      <c r="M5002">
        <v>0.9988631</v>
      </c>
      <c r="N5002">
        <v>-9.3805199999999998E-3</v>
      </c>
      <c r="O5002">
        <v>4.6737380000000002E-2</v>
      </c>
      <c r="P5002">
        <v>0.99908839999999999</v>
      </c>
      <c r="Q5002">
        <v>-1.032279E-2</v>
      </c>
      <c r="R5002">
        <v>4.1421399999999997E-2</v>
      </c>
      <c r="S5002">
        <v>2.9628299999999999</v>
      </c>
      <c r="T5002">
        <v>-4.1644929999999997E-2</v>
      </c>
      <c r="U5002">
        <v>0.99328609999999995</v>
      </c>
      <c r="V5002">
        <v>5.3283360000000004E-3</v>
      </c>
      <c r="W5002">
        <v>-8.9848710000000004E-4</v>
      </c>
      <c r="X5002">
        <v>0.99998540000000002</v>
      </c>
      <c r="Y5002">
        <v>-0.27315780000000001</v>
      </c>
      <c r="Z5002">
        <v>2.9736580000000001E-3</v>
      </c>
      <c r="AA5002">
        <v>0.96196470000000001</v>
      </c>
      <c r="AB5002">
        <v>37</v>
      </c>
      <c r="AC5002">
        <v>82.482699999999994</v>
      </c>
      <c r="AD5002">
        <v>-1.162091</v>
      </c>
      <c r="AE5002">
        <v>27.706160000000001</v>
      </c>
      <c r="AF5002">
        <v>-23.8164370189909</v>
      </c>
      <c r="AG5002">
        <v>-1.162091</v>
      </c>
      <c r="AH5002">
        <v>83.672601492053403</v>
      </c>
      <c r="AI5002">
        <v>90.765309315123702</v>
      </c>
      <c r="AJ5002">
        <v>105.888389380851</v>
      </c>
      <c r="AK5002">
        <v>87.003892833710694</v>
      </c>
      <c r="AL5002">
        <v>90.051479525737903</v>
      </c>
      <c r="AM5002">
        <v>89.694707267324205</v>
      </c>
      <c r="AN5002">
        <v>0.99999999932837802</v>
      </c>
    </row>
    <row r="5003" spans="1:40" x14ac:dyDescent="0.25">
      <c r="A5003" t="str">
        <f>"20190305135929521"</f>
        <v>20190305135929521</v>
      </c>
      <c r="B5003" t="str">
        <f>"1551765569514417"</f>
        <v>1551765569514417</v>
      </c>
      <c r="C5003" t="s">
        <v>40</v>
      </c>
      <c r="D5003">
        <v>3.8680379999999999</v>
      </c>
      <c r="E5003">
        <v>0.39128970000000002</v>
      </c>
      <c r="F5003" t="s">
        <v>89</v>
      </c>
      <c r="G5003">
        <v>-280.86250000000001</v>
      </c>
      <c r="H5003">
        <v>0.16089120000000001</v>
      </c>
      <c r="I5003">
        <v>42.294119999999999</v>
      </c>
      <c r="J5003">
        <v>-356.02100000000002</v>
      </c>
      <c r="K5003">
        <v>1.112142</v>
      </c>
      <c r="L5003">
        <v>17.03247</v>
      </c>
      <c r="M5003">
        <v>0.99875769999999997</v>
      </c>
      <c r="N5003">
        <v>-9.2798289999999999E-3</v>
      </c>
      <c r="O5003">
        <v>4.895965E-2</v>
      </c>
      <c r="P5003">
        <v>0.99901439999999997</v>
      </c>
      <c r="Q5003">
        <v>-9.5880879999999998E-3</v>
      </c>
      <c r="R5003">
        <v>4.3343029999999998E-2</v>
      </c>
      <c r="S5003">
        <v>2.9611510000000001</v>
      </c>
      <c r="T5003">
        <v>-3.7371399999999999E-2</v>
      </c>
      <c r="U5003">
        <v>0.99295040000000001</v>
      </c>
      <c r="V5003">
        <v>5.6247409999999999E-3</v>
      </c>
      <c r="W5003">
        <v>-2.6124010000000002E-4</v>
      </c>
      <c r="X5003">
        <v>0.99998410000000004</v>
      </c>
      <c r="Y5003">
        <v>-0.27108989999999999</v>
      </c>
      <c r="Z5003">
        <v>2.7997450000000002E-3</v>
      </c>
      <c r="AA5003">
        <v>0.96254989999999996</v>
      </c>
      <c r="AB5003">
        <v>37</v>
      </c>
      <c r="AC5003">
        <v>75.158499999999904</v>
      </c>
      <c r="AD5003">
        <v>-0.95125079999999995</v>
      </c>
      <c r="AE5003">
        <v>25.261649999999999</v>
      </c>
      <c r="AF5003">
        <v>-21.548358985533</v>
      </c>
      <c r="AG5003">
        <v>-0.95125079999999995</v>
      </c>
      <c r="AH5003">
        <v>76.294232694714296</v>
      </c>
      <c r="AI5003">
        <v>90.687447108323397</v>
      </c>
      <c r="AJ5003">
        <v>105.771674195589</v>
      </c>
      <c r="AK5003">
        <v>79.284592422040802</v>
      </c>
      <c r="AL5003">
        <v>90.014967956041701</v>
      </c>
      <c r="AM5003">
        <v>89.677724354376295</v>
      </c>
      <c r="AN5003">
        <v>0.99999995310525702</v>
      </c>
    </row>
    <row r="5004" spans="1:40" x14ac:dyDescent="0.25">
      <c r="A5004" t="str">
        <f>"20190305135929541"</f>
        <v>20190305135929541</v>
      </c>
      <c r="B5004" t="str">
        <f>"1551765569533939"</f>
        <v>1551765569533939</v>
      </c>
      <c r="C5004" t="s">
        <v>40</v>
      </c>
      <c r="D5004">
        <v>3.8366579999999999</v>
      </c>
      <c r="E5004">
        <v>0.39175739999999998</v>
      </c>
      <c r="F5004" t="s">
        <v>89</v>
      </c>
      <c r="G5004">
        <v>-280.86259999999999</v>
      </c>
      <c r="H5004">
        <v>0.24575089999999999</v>
      </c>
      <c r="I5004">
        <v>42.331490000000002</v>
      </c>
      <c r="J5004">
        <v>-355.68259999999998</v>
      </c>
      <c r="K5004">
        <v>1.1122080000000001</v>
      </c>
      <c r="L5004">
        <v>17.051970000000001</v>
      </c>
      <c r="M5004">
        <v>0.99857720000000005</v>
      </c>
      <c r="N5004">
        <v>-9.1342430000000002E-3</v>
      </c>
      <c r="O5004">
        <v>5.2536640000000003E-2</v>
      </c>
      <c r="P5004">
        <v>0.99894110000000003</v>
      </c>
      <c r="Q5004">
        <v>-8.6918429999999994E-3</v>
      </c>
      <c r="R5004">
        <v>4.5176679999999997E-2</v>
      </c>
      <c r="S5004">
        <v>2.959381</v>
      </c>
      <c r="T5004">
        <v>-3.4114239999999997E-2</v>
      </c>
      <c r="U5004">
        <v>0.99615480000000001</v>
      </c>
      <c r="V5004">
        <v>7.3648910000000001E-3</v>
      </c>
      <c r="W5004">
        <v>5.0574940000000003E-4</v>
      </c>
      <c r="X5004">
        <v>0.9999728</v>
      </c>
      <c r="Y5004">
        <v>-0.26875660000000001</v>
      </c>
      <c r="Z5004">
        <v>2.6482670000000002E-3</v>
      </c>
      <c r="AA5004">
        <v>0.96320450000000002</v>
      </c>
      <c r="AB5004">
        <v>37</v>
      </c>
      <c r="AC5004">
        <v>74.819999999999993</v>
      </c>
      <c r="AD5004">
        <v>-0.86645709999999998</v>
      </c>
      <c r="AE5004">
        <v>25.279520000000002</v>
      </c>
      <c r="AF5004">
        <v>-21.311085333061801</v>
      </c>
      <c r="AG5004">
        <v>-0.86645709999999998</v>
      </c>
      <c r="AH5004">
        <v>76.035668923212995</v>
      </c>
      <c r="AI5004">
        <v>90.628656856106304</v>
      </c>
      <c r="AJ5004">
        <v>105.656987767389</v>
      </c>
      <c r="AK5004">
        <v>78.970475841162596</v>
      </c>
      <c r="AL5004">
        <v>89.971022694075302</v>
      </c>
      <c r="AM5004">
        <v>89.578018980984098</v>
      </c>
      <c r="AN5004">
        <v>1.00000004907086</v>
      </c>
    </row>
    <row r="5005" spans="1:40" x14ac:dyDescent="0.25">
      <c r="A5005" t="str">
        <f>"20190305135929552"</f>
        <v>20190305135929552</v>
      </c>
      <c r="B5005" t="str">
        <f>"1551765569543698"</f>
        <v>1551765569543698</v>
      </c>
      <c r="C5005" t="s">
        <v>40</v>
      </c>
      <c r="D5005">
        <v>3.898279</v>
      </c>
      <c r="E5005">
        <v>0.39212900000000001</v>
      </c>
      <c r="F5005" t="s">
        <v>89</v>
      </c>
      <c r="G5005">
        <v>-280.86250000000001</v>
      </c>
      <c r="H5005">
        <v>0.37262889999999999</v>
      </c>
      <c r="I5005">
        <v>42.293810000000001</v>
      </c>
      <c r="J5005">
        <v>-355.4948</v>
      </c>
      <c r="K5005">
        <v>1.112242</v>
      </c>
      <c r="L5005">
        <v>17.06335</v>
      </c>
      <c r="M5005">
        <v>0.99847160000000001</v>
      </c>
      <c r="N5005">
        <v>-9.0609990000000001E-3</v>
      </c>
      <c r="O5005">
        <v>5.4520770000000003E-2</v>
      </c>
      <c r="P5005">
        <v>0.99891719999999895</v>
      </c>
      <c r="Q5005">
        <v>-8.6740869999999901E-3</v>
      </c>
      <c r="R5005">
        <v>4.5709479999999997E-2</v>
      </c>
      <c r="S5005">
        <v>2.9577939999999998</v>
      </c>
      <c r="T5005">
        <v>-2.9237030000000001E-2</v>
      </c>
      <c r="U5005">
        <v>0.99786379999999997</v>
      </c>
      <c r="V5005">
        <v>8.8187660000000005E-3</v>
      </c>
      <c r="W5005">
        <v>4.6283400000000002E-4</v>
      </c>
      <c r="X5005">
        <v>0.99996099999999999</v>
      </c>
      <c r="Y5005">
        <v>-0.26750459999999998</v>
      </c>
      <c r="Z5005">
        <v>2.490122E-3</v>
      </c>
      <c r="AA5005">
        <v>0.9635534</v>
      </c>
      <c r="AB5005">
        <v>37</v>
      </c>
      <c r="AC5005">
        <v>74.632299999999901</v>
      </c>
      <c r="AD5005">
        <v>-0.73961309999999902</v>
      </c>
      <c r="AE5005">
        <v>25.230460000000001</v>
      </c>
      <c r="AF5005">
        <v>-21.121891240591701</v>
      </c>
      <c r="AG5005">
        <v>-0.73961309999999902</v>
      </c>
      <c r="AH5005">
        <v>75.890237284317394</v>
      </c>
      <c r="AI5005">
        <v>90.537932014739795</v>
      </c>
      <c r="AJ5005">
        <v>105.553032938383</v>
      </c>
      <c r="AK5005">
        <v>78.778229430389501</v>
      </c>
      <c r="AL5005">
        <v>89.973481564057295</v>
      </c>
      <c r="AM5005">
        <v>89.494715320593102</v>
      </c>
      <c r="AN5005">
        <v>0.99999999318503696</v>
      </c>
    </row>
    <row r="5006" spans="1:40" x14ac:dyDescent="0.25">
      <c r="A5006" t="str">
        <f>"20190305135929564"</f>
        <v>20190305135929564</v>
      </c>
      <c r="B5006" t="str">
        <f>"1551765569554433"</f>
        <v>1551765569554433</v>
      </c>
      <c r="C5006" t="s">
        <v>40</v>
      </c>
      <c r="D5006">
        <v>4.3847239999999896</v>
      </c>
      <c r="E5006">
        <v>0.39212900000000001</v>
      </c>
      <c r="F5006" t="s">
        <v>89</v>
      </c>
      <c r="G5006">
        <v>-280.86259999999999</v>
      </c>
      <c r="H5006">
        <v>0.35553610000000002</v>
      </c>
      <c r="I5006">
        <v>42.2121</v>
      </c>
      <c r="J5006">
        <v>-355.31830000000002</v>
      </c>
      <c r="K5006">
        <v>1.112268</v>
      </c>
      <c r="L5006">
        <v>17.074369999999998</v>
      </c>
      <c r="M5006">
        <v>0.99836860000000005</v>
      </c>
      <c r="N5006">
        <v>-8.9963040000000001E-3</v>
      </c>
      <c r="O5006">
        <v>5.6385079999999997E-2</v>
      </c>
      <c r="P5006">
        <v>0.99891169999999996</v>
      </c>
      <c r="Q5006">
        <v>-8.9428489999999992E-3</v>
      </c>
      <c r="R5006">
        <v>4.5775259999999998E-2</v>
      </c>
      <c r="S5006">
        <v>2.9573969999999998</v>
      </c>
      <c r="T5006">
        <v>-2.9985310000000001E-2</v>
      </c>
      <c r="U5006">
        <v>0.99655150000000003</v>
      </c>
      <c r="V5006">
        <v>1.0622589999999999E-2</v>
      </c>
      <c r="W5006">
        <v>1.4621419999999999E-4</v>
      </c>
      <c r="X5006">
        <v>0.99994360000000004</v>
      </c>
      <c r="Y5006">
        <v>-0.26535950000000003</v>
      </c>
      <c r="Z5006">
        <v>2.4750779999999999E-3</v>
      </c>
      <c r="AA5006">
        <v>0.96414639999999996</v>
      </c>
      <c r="AB5006">
        <v>37</v>
      </c>
      <c r="AC5006">
        <v>74.455699999999993</v>
      </c>
      <c r="AD5006">
        <v>-0.75673190000000001</v>
      </c>
      <c r="AE5006">
        <v>25.137730000000001</v>
      </c>
      <c r="AF5006">
        <v>-20.897436934093299</v>
      </c>
      <c r="AG5006">
        <v>-0.75673190000000001</v>
      </c>
      <c r="AH5006">
        <v>75.747664878667607</v>
      </c>
      <c r="AI5006">
        <v>90.551764125354197</v>
      </c>
      <c r="AJ5006">
        <v>105.423236333292</v>
      </c>
      <c r="AK5006">
        <v>78.581068000847594</v>
      </c>
      <c r="AL5006">
        <v>89.991622543673202</v>
      </c>
      <c r="AM5006">
        <v>89.391358991650606</v>
      </c>
      <c r="AN5006">
        <v>1.00000003198892</v>
      </c>
    </row>
    <row r="5007" spans="1:40" x14ac:dyDescent="0.25">
      <c r="A5007" t="str">
        <f>"20190305135929573"</f>
        <v>20190305135929573</v>
      </c>
      <c r="B5007" t="str">
        <f>"1551765569564193"</f>
        <v>1551765569564193</v>
      </c>
      <c r="C5007" t="s">
        <v>40</v>
      </c>
      <c r="D5007">
        <v>4.4584229999999998</v>
      </c>
      <c r="E5007">
        <v>0.45975870000000002</v>
      </c>
      <c r="F5007" t="s">
        <v>89</v>
      </c>
      <c r="G5007">
        <v>-280.86259999999999</v>
      </c>
      <c r="H5007">
        <v>0.32775959999999899</v>
      </c>
      <c r="I5007">
        <v>42.166739999999997</v>
      </c>
      <c r="J5007">
        <v>-355.14359999999999</v>
      </c>
      <c r="K5007">
        <v>1.1122920000000001</v>
      </c>
      <c r="L5007">
        <v>17.085539999999899</v>
      </c>
      <c r="M5007">
        <v>0.99826329999999996</v>
      </c>
      <c r="N5007">
        <v>-8.935709E-3</v>
      </c>
      <c r="O5007">
        <v>5.8229349999999999E-2</v>
      </c>
      <c r="P5007">
        <v>0.99890100000000004</v>
      </c>
      <c r="Q5007">
        <v>-9.4205460000000001E-3</v>
      </c>
      <c r="R5007">
        <v>4.5911960000000002E-2</v>
      </c>
      <c r="S5007">
        <v>2.957306</v>
      </c>
      <c r="T5007">
        <v>-3.1159760000000002E-2</v>
      </c>
      <c r="U5007">
        <v>0.9966431</v>
      </c>
      <c r="V5007">
        <v>1.2337570000000001E-2</v>
      </c>
      <c r="W5007">
        <v>-3.7676030000000001E-4</v>
      </c>
      <c r="X5007">
        <v>0.99992380000000003</v>
      </c>
      <c r="Y5007">
        <v>-0.26361259999999997</v>
      </c>
      <c r="Z5007">
        <v>2.4734219999999999E-3</v>
      </c>
      <c r="AA5007">
        <v>0.96462550000000002</v>
      </c>
      <c r="AB5007">
        <v>37</v>
      </c>
      <c r="AC5007">
        <v>74.281000000000006</v>
      </c>
      <c r="AD5007">
        <v>-0.78453240000000002</v>
      </c>
      <c r="AE5007">
        <v>25.081199999999999</v>
      </c>
      <c r="AF5007">
        <v>-20.711058982443301</v>
      </c>
      <c r="AG5007">
        <v>-0.78453240000000002</v>
      </c>
      <c r="AH5007">
        <v>75.607901656908396</v>
      </c>
      <c r="AI5007">
        <v>90.573377054734095</v>
      </c>
      <c r="AJ5007">
        <v>105.319089010452</v>
      </c>
      <c r="AK5007">
        <v>78.397182654873703</v>
      </c>
      <c r="AL5007">
        <v>90.021586775983906</v>
      </c>
      <c r="AM5007">
        <v>89.293091311905798</v>
      </c>
      <c r="AN5007">
        <v>0.99999998169413395</v>
      </c>
    </row>
    <row r="5008" spans="1:40" x14ac:dyDescent="0.25">
      <c r="A5008" t="str">
        <f>"20190305135929585"</f>
        <v>20190305135929585</v>
      </c>
      <c r="B5008" t="str">
        <f>"1551765569573953"</f>
        <v>1551765569573953</v>
      </c>
      <c r="C5008" t="s">
        <v>40</v>
      </c>
      <c r="D5008">
        <v>4.529623</v>
      </c>
      <c r="E5008">
        <v>0.45975870000000002</v>
      </c>
      <c r="F5008" t="s">
        <v>43</v>
      </c>
      <c r="G5008">
        <v>-316.55250000000001</v>
      </c>
      <c r="H5008">
        <v>-0.05</v>
      </c>
      <c r="I5008">
        <v>23.009599999999999</v>
      </c>
      <c r="J5008">
        <v>-354.96379999999999</v>
      </c>
      <c r="K5008">
        <v>1.1123190000000001</v>
      </c>
      <c r="L5008">
        <v>17.097470000000001</v>
      </c>
      <c r="M5008">
        <v>0.99815129999999996</v>
      </c>
      <c r="N5008">
        <v>-8.8784509999999903E-3</v>
      </c>
      <c r="O5008">
        <v>6.012671E-2</v>
      </c>
      <c r="P5008">
        <v>0.99889950000000005</v>
      </c>
      <c r="Q5008">
        <v>-9.9010309999999994E-3</v>
      </c>
      <c r="R5008">
        <v>4.5846390000000001E-2</v>
      </c>
      <c r="S5008">
        <v>2.9814150000000001</v>
      </c>
      <c r="T5008">
        <v>-8.9794639999999995E-2</v>
      </c>
      <c r="U5008">
        <v>0.45767210000000003</v>
      </c>
      <c r="V5008">
        <v>1.43079E-2</v>
      </c>
      <c r="W5008">
        <v>-8.9642289999999902E-4</v>
      </c>
      <c r="X5008">
        <v>0.99989720000000004</v>
      </c>
      <c r="Y5008">
        <v>-9.1983850000000006E-2</v>
      </c>
      <c r="Z5008">
        <v>5.220836E-4</v>
      </c>
      <c r="AA5008">
        <v>0.99576039999999999</v>
      </c>
      <c r="AB5008">
        <v>37</v>
      </c>
      <c r="AC5008">
        <v>38.411299999999898</v>
      </c>
      <c r="AD5008">
        <v>-1.1623190000000001</v>
      </c>
      <c r="AE5008">
        <v>5.9121299999999897</v>
      </c>
      <c r="AF5008">
        <v>-3.5885867283936701</v>
      </c>
      <c r="AG5008">
        <v>-1.1623190000000001</v>
      </c>
      <c r="AH5008">
        <v>38.662707408034002</v>
      </c>
      <c r="AI5008">
        <v>91.714601883351904</v>
      </c>
      <c r="AJ5008">
        <v>95.302873637915994</v>
      </c>
      <c r="AK5008">
        <v>38.846285334433297</v>
      </c>
      <c r="AL5008">
        <v>90.051361257501497</v>
      </c>
      <c r="AM5008">
        <v>89.180189385254394</v>
      </c>
      <c r="AN5008">
        <v>0.99999996507213196</v>
      </c>
    </row>
    <row r="5009" spans="1:40" x14ac:dyDescent="0.25">
      <c r="A5009" t="str">
        <f>"20190305135929597"</f>
        <v>20190305135929597</v>
      </c>
      <c r="B5009" t="str">
        <f>"1551765569594449"</f>
        <v>1551765569594449</v>
      </c>
      <c r="C5009" t="s">
        <v>40</v>
      </c>
      <c r="D5009">
        <v>4.0010529999999997</v>
      </c>
      <c r="E5009">
        <v>0.54839589999999905</v>
      </c>
      <c r="F5009" t="s">
        <v>43</v>
      </c>
      <c r="G5009">
        <v>-317.06900000000002</v>
      </c>
      <c r="H5009">
        <v>-0.05</v>
      </c>
      <c r="I5009">
        <v>22.911860000000001</v>
      </c>
      <c r="J5009">
        <v>-354.77</v>
      </c>
      <c r="K5009">
        <v>1.1123400000000001</v>
      </c>
      <c r="L5009">
        <v>17.110529999999901</v>
      </c>
      <c r="M5009">
        <v>0.99802670000000004</v>
      </c>
      <c r="N5009">
        <v>-8.8192979999999997E-3</v>
      </c>
      <c r="O5009">
        <v>6.2169809999999999E-2</v>
      </c>
      <c r="P5009">
        <v>0.99890429999999997</v>
      </c>
      <c r="Q5009">
        <v>-1.03975E-2</v>
      </c>
      <c r="R5009">
        <v>4.5630080000000003E-2</v>
      </c>
      <c r="S5009">
        <v>2.9814449999999999</v>
      </c>
      <c r="T5009">
        <v>-9.1447589999999995E-2</v>
      </c>
      <c r="U5009">
        <v>0.45745849999999999</v>
      </c>
      <c r="V5009">
        <v>1.6575840000000001E-2</v>
      </c>
      <c r="W5009">
        <v>-1.4310739999999901E-3</v>
      </c>
      <c r="X5009">
        <v>0.99986160000000002</v>
      </c>
      <c r="Y5009">
        <v>-8.9874969999999998E-2</v>
      </c>
      <c r="Z5009">
        <v>4.2249410000000002E-4</v>
      </c>
      <c r="AA5009">
        <v>0.99595299999999998</v>
      </c>
      <c r="AB5009">
        <v>37</v>
      </c>
      <c r="AC5009">
        <v>37.700999999999901</v>
      </c>
      <c r="AD5009">
        <v>-1.1623399999999999</v>
      </c>
      <c r="AE5009">
        <v>5.8013300000000001</v>
      </c>
      <c r="AF5009">
        <v>-3.44295508181821</v>
      </c>
      <c r="AG5009">
        <v>-1.1623399999999999</v>
      </c>
      <c r="AH5009">
        <v>37.9535055206563</v>
      </c>
      <c r="AI5009">
        <v>91.746986969505699</v>
      </c>
      <c r="AJ5009">
        <v>95.183403512452699</v>
      </c>
      <c r="AK5009">
        <v>38.127071160495703</v>
      </c>
      <c r="AL5009">
        <v>90.081994527308495</v>
      </c>
      <c r="AM5009">
        <v>89.0502298693917</v>
      </c>
      <c r="AN5009">
        <v>1.0000000127995201</v>
      </c>
    </row>
    <row r="5010" spans="1:40" x14ac:dyDescent="0.25">
      <c r="A5010" t="str">
        <f>"20190305135929609"</f>
        <v>20190305135929609</v>
      </c>
      <c r="B5010" t="str">
        <f>"1551765569604208"</f>
        <v>1551765569604208</v>
      </c>
      <c r="C5010" t="s">
        <v>40</v>
      </c>
      <c r="D5010">
        <v>4.0250680000000001</v>
      </c>
      <c r="E5010">
        <v>0.55359630000000004</v>
      </c>
      <c r="F5010" t="s">
        <v>42</v>
      </c>
      <c r="G5010">
        <v>-337.09280000000001</v>
      </c>
      <c r="H5010" s="1">
        <v>-2.0332829999999998E-6</v>
      </c>
      <c r="I5010">
        <v>15.640359999999999</v>
      </c>
      <c r="J5010">
        <v>-354.58319999999998</v>
      </c>
      <c r="K5010">
        <v>1.1123590000000001</v>
      </c>
      <c r="L5010">
        <v>17.12378</v>
      </c>
      <c r="M5010">
        <v>0.99790259999999997</v>
      </c>
      <c r="N5010">
        <v>-8.768695E-3</v>
      </c>
      <c r="O5010">
        <v>6.4139039999999994E-2</v>
      </c>
      <c r="P5010">
        <v>0.9989228</v>
      </c>
      <c r="Q5010">
        <v>-1.074438E-2</v>
      </c>
      <c r="R5010">
        <v>4.5148779999999999E-2</v>
      </c>
      <c r="S5010">
        <v>3.012756</v>
      </c>
      <c r="T5010">
        <v>-0.1895781</v>
      </c>
      <c r="U5010">
        <v>-0.25054929999999997</v>
      </c>
      <c r="V5010">
        <v>1.9033560000000001E-2</v>
      </c>
      <c r="W5010">
        <v>-1.80583E-3</v>
      </c>
      <c r="X5010">
        <v>0.99981719999999996</v>
      </c>
      <c r="Y5010">
        <v>0.14620569999999999</v>
      </c>
      <c r="Z5010">
        <v>-8.6951659999999903E-3</v>
      </c>
      <c r="AA5010">
        <v>0.98921599999999998</v>
      </c>
      <c r="AB5010">
        <v>37</v>
      </c>
      <c r="AC5010">
        <v>17.490399999999902</v>
      </c>
      <c r="AD5010">
        <v>-1.1123610332830001</v>
      </c>
      <c r="AE5010">
        <v>-1.48341999999999</v>
      </c>
      <c r="AF5010">
        <v>2.5918173955752999</v>
      </c>
      <c r="AG5010">
        <v>-1.1123610332830001</v>
      </c>
      <c r="AH5010">
        <v>17.289801709301599</v>
      </c>
      <c r="AI5010">
        <v>93.640556770326995</v>
      </c>
      <c r="AJ5010">
        <v>81.474591267089707</v>
      </c>
      <c r="AK5010">
        <v>17.518336325899899</v>
      </c>
      <c r="AL5010">
        <v>90.103466495260903</v>
      </c>
      <c r="AM5010">
        <v>88.909389691472498</v>
      </c>
      <c r="AN5010">
        <v>0.99999998542205104</v>
      </c>
    </row>
    <row r="5011" spans="1:40" x14ac:dyDescent="0.25">
      <c r="A5011" t="str">
        <f>"20190305135929619"</f>
        <v>20190305135929619</v>
      </c>
      <c r="B5011" t="str">
        <f>"1551765569613969"</f>
        <v>1551765569613969</v>
      </c>
      <c r="C5011" t="s">
        <v>40</v>
      </c>
      <c r="D5011">
        <v>4.0162519999999997</v>
      </c>
      <c r="E5011">
        <v>0.555652699999999</v>
      </c>
      <c r="F5011" t="s">
        <v>42</v>
      </c>
      <c r="G5011">
        <v>-336.75869999999998</v>
      </c>
      <c r="H5011" s="1">
        <v>-2.2141020000000002E-6</v>
      </c>
      <c r="I5011">
        <v>15.38815</v>
      </c>
      <c r="J5011">
        <v>-354.39640000000003</v>
      </c>
      <c r="K5011">
        <v>1.1123749999999999</v>
      </c>
      <c r="L5011">
        <v>17.137149999999998</v>
      </c>
      <c r="M5011">
        <v>0.99777450000000001</v>
      </c>
      <c r="N5011">
        <v>-8.7195780000000004E-3</v>
      </c>
      <c r="O5011">
        <v>6.6106659999999998E-2</v>
      </c>
      <c r="P5011">
        <v>0.99895409999999996</v>
      </c>
      <c r="Q5011">
        <v>-1.09797E-2</v>
      </c>
      <c r="R5011">
        <v>4.4389999999999999E-2</v>
      </c>
      <c r="S5011">
        <v>3.0144959999999998</v>
      </c>
      <c r="T5011">
        <v>-0.18812329999999999</v>
      </c>
      <c r="U5011">
        <v>-0.293518099999999</v>
      </c>
      <c r="V5011">
        <v>2.1766799999999999E-2</v>
      </c>
      <c r="W5011">
        <v>-2.0648900000000002E-3</v>
      </c>
      <c r="X5011">
        <v>0.99976089999999995</v>
      </c>
      <c r="Y5011">
        <v>0.16204549999999901</v>
      </c>
      <c r="Z5011">
        <v>-9.2868320000000001E-3</v>
      </c>
      <c r="AA5011">
        <v>0.98673960000000005</v>
      </c>
      <c r="AB5011">
        <v>37</v>
      </c>
      <c r="AC5011">
        <v>17.637699999999999</v>
      </c>
      <c r="AD5011">
        <v>-1.1123772141020001</v>
      </c>
      <c r="AE5011">
        <v>-1.7489999999999899</v>
      </c>
      <c r="AF5011">
        <v>2.8997658283021299</v>
      </c>
      <c r="AG5011">
        <v>-1.1123772141020001</v>
      </c>
      <c r="AH5011">
        <v>17.414895909036002</v>
      </c>
      <c r="AI5011">
        <v>93.605300601554802</v>
      </c>
      <c r="AJ5011">
        <v>80.546374900464698</v>
      </c>
      <c r="AK5011">
        <v>17.689675645641501</v>
      </c>
      <c r="AL5011">
        <v>90.118309571289402</v>
      </c>
      <c r="AM5011">
        <v>88.752753011155804</v>
      </c>
      <c r="AN5011">
        <v>0.99999995726087998</v>
      </c>
    </row>
    <row r="5012" spans="1:40" x14ac:dyDescent="0.25">
      <c r="A5012" t="str">
        <f>"20190305135929631"</f>
        <v>20190305135929631</v>
      </c>
      <c r="B5012" t="str">
        <f>"1551765569623729"</f>
        <v>1551765569623729</v>
      </c>
      <c r="C5012" t="s">
        <v>40</v>
      </c>
      <c r="D5012">
        <v>3.9831810000000001</v>
      </c>
      <c r="E5012">
        <v>0.55632169999999903</v>
      </c>
      <c r="F5012" t="s">
        <v>42</v>
      </c>
      <c r="G5012">
        <v>-336.45139999999998</v>
      </c>
      <c r="H5012" s="1">
        <v>-2.3479329999999999E-6</v>
      </c>
      <c r="I5012">
        <v>15.27815</v>
      </c>
      <c r="J5012">
        <v>-354.21</v>
      </c>
      <c r="K5012">
        <v>1.1123909999999999</v>
      </c>
      <c r="L5012">
        <v>17.151029999999999</v>
      </c>
      <c r="M5012">
        <v>0.99764280000000005</v>
      </c>
      <c r="N5012">
        <v>-8.6758269999999901E-3</v>
      </c>
      <c r="O5012">
        <v>6.8069809999999994E-2</v>
      </c>
      <c r="P5012">
        <v>0.99900219999999995</v>
      </c>
      <c r="Q5012">
        <v>-1.0695400000000001E-2</v>
      </c>
      <c r="R5012">
        <v>4.3359429999999997E-2</v>
      </c>
      <c r="S5012">
        <v>3.0149539999999999</v>
      </c>
      <c r="T5012">
        <v>-0.18689120000000001</v>
      </c>
      <c r="U5012">
        <v>-0.31231690000000001</v>
      </c>
      <c r="V5012">
        <v>2.4763050000000002E-2</v>
      </c>
      <c r="W5012">
        <v>-1.796501E-3</v>
      </c>
      <c r="X5012">
        <v>0.99969169999999996</v>
      </c>
      <c r="Y5012">
        <v>0.17004420000000001</v>
      </c>
      <c r="Z5012">
        <v>-9.6088849999999993E-3</v>
      </c>
      <c r="AA5012">
        <v>0.98538959999999998</v>
      </c>
      <c r="AB5012">
        <v>37</v>
      </c>
      <c r="AC5012">
        <v>17.758600000000001</v>
      </c>
      <c r="AD5012">
        <v>-1.1123933479329999</v>
      </c>
      <c r="AE5012">
        <v>-1.8728799999999901</v>
      </c>
      <c r="AF5012">
        <v>3.0655097844023098</v>
      </c>
      <c r="AG5012">
        <v>-1.1123933479329999</v>
      </c>
      <c r="AH5012">
        <v>17.521920465290702</v>
      </c>
      <c r="AI5012">
        <v>93.578386692757903</v>
      </c>
      <c r="AJ5012">
        <v>80.076376174793594</v>
      </c>
      <c r="AK5012">
        <v>17.822807466579601</v>
      </c>
      <c r="AL5012">
        <v>90.102931984103904</v>
      </c>
      <c r="AM5012">
        <v>88.581034362678295</v>
      </c>
      <c r="AN5012">
        <v>0.99999996555501702</v>
      </c>
    </row>
    <row r="5013" spans="1:40" x14ac:dyDescent="0.25">
      <c r="A5013" t="str">
        <f>"20190305135929643"</f>
        <v>20190305135929643</v>
      </c>
      <c r="B5013" t="str">
        <f>"1551765569634465"</f>
        <v>1551765569634465</v>
      </c>
      <c r="C5013" t="s">
        <v>40</v>
      </c>
      <c r="D5013">
        <v>3.9443809999999999</v>
      </c>
      <c r="E5013">
        <v>0.55624759999999995</v>
      </c>
      <c r="F5013" t="s">
        <v>42</v>
      </c>
      <c r="G5013">
        <v>-336.21440000000001</v>
      </c>
      <c r="H5013" s="1">
        <v>-2.4399850000000002E-6</v>
      </c>
      <c r="I5013">
        <v>15.235239999999999</v>
      </c>
      <c r="J5013">
        <v>-354.01409999999998</v>
      </c>
      <c r="K5013">
        <v>1.1124080000000001</v>
      </c>
      <c r="L5013">
        <v>17.165949999999999</v>
      </c>
      <c r="M5013">
        <v>0.99750039999999995</v>
      </c>
      <c r="N5013">
        <v>-8.632341E-3</v>
      </c>
      <c r="O5013">
        <v>7.0131659999999998E-2</v>
      </c>
      <c r="P5013">
        <v>0.99903869999999895</v>
      </c>
      <c r="Q5013">
        <v>-1.0840850000000001E-2</v>
      </c>
      <c r="R5013">
        <v>4.2474409999999997E-2</v>
      </c>
      <c r="S5013">
        <v>3.014923</v>
      </c>
      <c r="T5013">
        <v>-0.186367</v>
      </c>
      <c r="U5013">
        <v>-0.3209534</v>
      </c>
      <c r="V5013">
        <v>2.7716109999999999E-2</v>
      </c>
      <c r="W5013">
        <v>-1.957809E-3</v>
      </c>
      <c r="X5013">
        <v>0.99961390000000006</v>
      </c>
      <c r="Y5013">
        <v>0.17486109999999999</v>
      </c>
      <c r="Z5013">
        <v>-9.8590810000000004E-3</v>
      </c>
      <c r="AA5013">
        <v>0.98454370000000002</v>
      </c>
      <c r="AB5013">
        <v>37</v>
      </c>
      <c r="AC5013">
        <v>17.799699999999898</v>
      </c>
      <c r="AD5013">
        <v>-1.1124104399850001</v>
      </c>
      <c r="AE5013">
        <v>-1.9307099999999999</v>
      </c>
      <c r="AF5013">
        <v>3.1621179233491499</v>
      </c>
      <c r="AG5013">
        <v>-1.1124104399850001</v>
      </c>
      <c r="AH5013">
        <v>17.5527010754031</v>
      </c>
      <c r="AI5013">
        <v>93.568996811485405</v>
      </c>
      <c r="AJ5013">
        <v>79.787705563816601</v>
      </c>
      <c r="AK5013">
        <v>17.869912193142099</v>
      </c>
      <c r="AL5013">
        <v>90.112174266425598</v>
      </c>
      <c r="AM5013">
        <v>88.411777415181703</v>
      </c>
      <c r="AN5013">
        <v>0.99999998242141097</v>
      </c>
    </row>
    <row r="5014" spans="1:40" x14ac:dyDescent="0.25">
      <c r="A5014" t="str">
        <f>"20190305135929654"</f>
        <v>20190305135929654</v>
      </c>
      <c r="B5014" t="str">
        <f>"1551765569644226"</f>
        <v>1551765569644226</v>
      </c>
      <c r="C5014" t="s">
        <v>40</v>
      </c>
      <c r="D5014">
        <v>3.9330859999999999</v>
      </c>
      <c r="E5014">
        <v>0.55610609999999905</v>
      </c>
      <c r="F5014" t="s">
        <v>42</v>
      </c>
      <c r="G5014">
        <v>-336.13159999999999</v>
      </c>
      <c r="H5014" s="1">
        <v>-2.4646589999999998E-6</v>
      </c>
      <c r="I5014">
        <v>15.24854</v>
      </c>
      <c r="J5014">
        <v>-353.80799999999999</v>
      </c>
      <c r="K5014">
        <v>1.1124179999999999</v>
      </c>
      <c r="L5014">
        <v>17.182040000000001</v>
      </c>
      <c r="M5014">
        <v>0.99734579999999995</v>
      </c>
      <c r="N5014">
        <v>-8.5901559999999998E-3</v>
      </c>
      <c r="O5014">
        <v>7.2301210000000005E-2</v>
      </c>
      <c r="P5014">
        <v>0.99907860000000004</v>
      </c>
      <c r="Q5014">
        <v>-1.105182E-2</v>
      </c>
      <c r="R5014">
        <v>4.146772E-2</v>
      </c>
      <c r="S5014">
        <v>3.014526</v>
      </c>
      <c r="T5014">
        <v>-0.18752250000000001</v>
      </c>
      <c r="U5014">
        <v>-0.32321169999999999</v>
      </c>
      <c r="V5014">
        <v>3.0899550000000001E-2</v>
      </c>
      <c r="W5014">
        <v>-2.1811199999999999E-3</v>
      </c>
      <c r="X5014">
        <v>0.99952010000000002</v>
      </c>
      <c r="Y5014">
        <v>0.17772950000000001</v>
      </c>
      <c r="Z5014">
        <v>-1.013649E-2</v>
      </c>
      <c r="AA5014">
        <v>0.98402710000000004</v>
      </c>
      <c r="AB5014">
        <v>37</v>
      </c>
      <c r="AC5014">
        <v>17.676400000000001</v>
      </c>
      <c r="AD5014">
        <v>-1.1124204646589999</v>
      </c>
      <c r="AE5014">
        <v>-1.9335</v>
      </c>
      <c r="AF5014">
        <v>3.1940113520756901</v>
      </c>
      <c r="AG5014">
        <v>-1.1124204646589999</v>
      </c>
      <c r="AH5014">
        <v>17.422150439770999</v>
      </c>
      <c r="AI5014">
        <v>93.593696897298202</v>
      </c>
      <c r="AJ5014">
        <v>79.611299877276096</v>
      </c>
      <c r="AK5014">
        <v>17.7474086489661</v>
      </c>
      <c r="AL5014">
        <v>90.124969071585596</v>
      </c>
      <c r="AM5014">
        <v>88.229300108465395</v>
      </c>
      <c r="AN5014">
        <v>0.99999998488933295</v>
      </c>
    </row>
    <row r="5015" spans="1:40" x14ac:dyDescent="0.25">
      <c r="A5015" t="str">
        <f>"20190305135929668"</f>
        <v>20190305135929668</v>
      </c>
      <c r="B5015" t="str">
        <f>"1551765569663745"</f>
        <v>1551765569663745</v>
      </c>
      <c r="C5015" t="s">
        <v>40</v>
      </c>
      <c r="D5015">
        <v>3.971082</v>
      </c>
      <c r="E5015">
        <v>0.55575379999999996</v>
      </c>
      <c r="F5015" t="s">
        <v>42</v>
      </c>
      <c r="G5015">
        <v>-336.13749999999999</v>
      </c>
      <c r="H5015" s="1">
        <v>-2.4556799999999999E-6</v>
      </c>
      <c r="I5015">
        <v>15.274609999999999</v>
      </c>
      <c r="J5015">
        <v>-353.61110000000002</v>
      </c>
      <c r="K5015">
        <v>1.1124270000000001</v>
      </c>
      <c r="L5015">
        <v>17.197939999999999</v>
      </c>
      <c r="M5015">
        <v>0.99719409999999997</v>
      </c>
      <c r="N5015">
        <v>-8.5540640000000001E-3</v>
      </c>
      <c r="O5015">
        <v>7.4370030000000004E-2</v>
      </c>
      <c r="P5015">
        <v>0.99911309999999998</v>
      </c>
      <c r="Q5015">
        <v>-1.122428E-2</v>
      </c>
      <c r="R5015">
        <v>4.0583870000000001E-2</v>
      </c>
      <c r="S5015">
        <v>3.01416</v>
      </c>
      <c r="T5015">
        <v>-0.18975210000000001</v>
      </c>
      <c r="U5015">
        <v>-0.32534790000000002</v>
      </c>
      <c r="V5015">
        <v>3.3858550000000001E-2</v>
      </c>
      <c r="W5015">
        <v>-2.3619499999999998E-3</v>
      </c>
      <c r="X5015">
        <v>0.99942390000000003</v>
      </c>
      <c r="Y5015">
        <v>0.18045149999999999</v>
      </c>
      <c r="Z5015">
        <v>-1.046449E-2</v>
      </c>
      <c r="AA5015">
        <v>0.98352819999999996</v>
      </c>
      <c r="AB5015">
        <v>37</v>
      </c>
      <c r="AC5015">
        <v>17.473600000000001</v>
      </c>
      <c r="AD5015">
        <v>-1.1124294556799901</v>
      </c>
      <c r="AE5015">
        <v>-1.92332999999999</v>
      </c>
      <c r="AF5015">
        <v>3.2047295764394401</v>
      </c>
      <c r="AG5015">
        <v>-1.1124294556799901</v>
      </c>
      <c r="AH5015">
        <v>17.213233071639699</v>
      </c>
      <c r="AI5015">
        <v>93.635381530331401</v>
      </c>
      <c r="AJ5015">
        <v>79.453521022278593</v>
      </c>
      <c r="AK5015">
        <v>17.544320554828001</v>
      </c>
      <c r="AL5015">
        <v>90.135329884665296</v>
      </c>
      <c r="AM5015">
        <v>88.059671826967403</v>
      </c>
      <c r="AN5015">
        <v>1.00000005605355</v>
      </c>
    </row>
    <row r="5016" spans="1:40" x14ac:dyDescent="0.25">
      <c r="A5016" t="str">
        <f>"20190305135929687"</f>
        <v>20190305135929687</v>
      </c>
      <c r="B5016" t="str">
        <f>"1551765569684241"</f>
        <v>1551765569684241</v>
      </c>
      <c r="C5016" t="s">
        <v>40</v>
      </c>
      <c r="D5016">
        <v>3.9860530000000001</v>
      </c>
      <c r="E5016">
        <v>0.55536660000000004</v>
      </c>
      <c r="F5016" t="s">
        <v>42</v>
      </c>
      <c r="G5016">
        <v>-336.28109999999998</v>
      </c>
      <c r="H5016" s="1">
        <v>-2.3929820000000001E-6</v>
      </c>
      <c r="I5016">
        <v>15.32662</v>
      </c>
      <c r="J5016">
        <v>-353.29520000000002</v>
      </c>
      <c r="K5016">
        <v>1.112439</v>
      </c>
      <c r="L5016">
        <v>17.22418</v>
      </c>
      <c r="M5016">
        <v>0.99694210000000005</v>
      </c>
      <c r="N5016">
        <v>-8.5009639999999997E-3</v>
      </c>
      <c r="O5016">
        <v>7.7680289999999999E-2</v>
      </c>
      <c r="P5016">
        <v>0.99923550000000005</v>
      </c>
      <c r="Q5016">
        <v>-1.2173750000000001E-2</v>
      </c>
      <c r="R5016">
        <v>3.7152890000000001E-2</v>
      </c>
      <c r="S5016">
        <v>3.0137019999999999</v>
      </c>
      <c r="T5016">
        <v>-0.19345200000000001</v>
      </c>
      <c r="U5016">
        <v>-0.3254089</v>
      </c>
      <c r="V5016">
        <v>4.061567E-2</v>
      </c>
      <c r="W5016">
        <v>-3.3023900000000001E-3</v>
      </c>
      <c r="X5016">
        <v>0.99916939999999999</v>
      </c>
      <c r="Y5016">
        <v>0.18371870000000001</v>
      </c>
      <c r="Z5016">
        <v>-1.096811E-2</v>
      </c>
      <c r="AA5016">
        <v>0.98291770000000001</v>
      </c>
      <c r="AB5016">
        <v>37</v>
      </c>
      <c r="AC5016">
        <v>17.014099999999999</v>
      </c>
      <c r="AD5016">
        <v>-1.1124413929820001</v>
      </c>
      <c r="AE5016">
        <v>-1.8975599999999899</v>
      </c>
      <c r="AF5016">
        <v>3.2000216913508002</v>
      </c>
      <c r="AG5016">
        <v>-1.1124413929820001</v>
      </c>
      <c r="AH5016">
        <v>16.744573172340601</v>
      </c>
      <c r="AI5016">
        <v>93.733542235186604</v>
      </c>
      <c r="AJ5016">
        <v>79.180774225808193</v>
      </c>
      <c r="AK5016">
        <v>17.083863597026401</v>
      </c>
      <c r="AL5016">
        <v>90.189213350547305</v>
      </c>
      <c r="AM5016">
        <v>87.672240572627103</v>
      </c>
      <c r="AN5016">
        <v>1.00000001416281</v>
      </c>
    </row>
    <row r="5017" spans="1:40" x14ac:dyDescent="0.25">
      <c r="A5017" t="str">
        <f>"20190305135929699"</f>
        <v>20190305135929699</v>
      </c>
      <c r="B5017" t="str">
        <f>"1551765569694002"</f>
        <v>1551765569694002</v>
      </c>
      <c r="C5017" t="s">
        <v>40</v>
      </c>
      <c r="D5017">
        <v>3.9783010000000001</v>
      </c>
      <c r="E5017">
        <v>0.55513469999999998</v>
      </c>
      <c r="F5017" t="s">
        <v>42</v>
      </c>
      <c r="G5017">
        <v>-336.2878</v>
      </c>
      <c r="H5017" s="1">
        <v>-2.3861010000000001E-6</v>
      </c>
      <c r="I5017">
        <v>15.34393</v>
      </c>
      <c r="J5017">
        <v>-353.0924</v>
      </c>
      <c r="K5017">
        <v>1.112441</v>
      </c>
      <c r="L5017">
        <v>17.24146</v>
      </c>
      <c r="M5017">
        <v>0.99677530000000003</v>
      </c>
      <c r="N5017">
        <v>-8.4695689999999997E-3</v>
      </c>
      <c r="O5017">
        <v>7.9796130000000007E-2</v>
      </c>
      <c r="P5017">
        <v>0.9992723</v>
      </c>
      <c r="Q5017">
        <v>-1.2828900000000001E-2</v>
      </c>
      <c r="R5017">
        <v>3.5920870000000001E-2</v>
      </c>
      <c r="S5017">
        <v>3.0122680000000002</v>
      </c>
      <c r="T5017">
        <v>-0.19703039999999999</v>
      </c>
      <c r="U5017">
        <v>-0.33300780000000002</v>
      </c>
      <c r="V5017">
        <v>4.3973390000000001E-2</v>
      </c>
      <c r="W5017">
        <v>-3.9582130000000004E-3</v>
      </c>
      <c r="X5017">
        <v>0.99902489999999999</v>
      </c>
      <c r="Y5017">
        <v>0.1882684</v>
      </c>
      <c r="Z5017">
        <v>-1.145937E-2</v>
      </c>
      <c r="AA5017">
        <v>0.9820508</v>
      </c>
      <c r="AB5017">
        <v>37</v>
      </c>
      <c r="AC5017">
        <v>16.804599999999901</v>
      </c>
      <c r="AD5017">
        <v>-1.1124433861009999</v>
      </c>
      <c r="AE5017">
        <v>-1.8975299999999999</v>
      </c>
      <c r="AF5017">
        <v>3.21854181426247</v>
      </c>
      <c r="AG5017">
        <v>-1.1124433861009999</v>
      </c>
      <c r="AH5017">
        <v>16.528070118667198</v>
      </c>
      <c r="AI5017">
        <v>93.779772898840207</v>
      </c>
      <c r="AJ5017">
        <v>78.980592317245197</v>
      </c>
      <c r="AK5017">
        <v>16.875237584846499</v>
      </c>
      <c r="AL5017">
        <v>90.226789482753304</v>
      </c>
      <c r="AM5017">
        <v>87.479678003588504</v>
      </c>
      <c r="AN5017">
        <v>1.0000000386491199</v>
      </c>
    </row>
    <row r="5018" spans="1:40" x14ac:dyDescent="0.25">
      <c r="A5018" t="str">
        <f>"20190305135929710"</f>
        <v>20190305135929710</v>
      </c>
      <c r="B5018" t="str">
        <f>"1551765569704737"</f>
        <v>1551765569704737</v>
      </c>
      <c r="C5018" t="s">
        <v>40</v>
      </c>
      <c r="D5018">
        <v>3.9896850000000001</v>
      </c>
      <c r="E5018">
        <v>0.55506869999999997</v>
      </c>
      <c r="F5018" t="s">
        <v>42</v>
      </c>
      <c r="G5018">
        <v>-336.27319999999997</v>
      </c>
      <c r="H5018" s="1">
        <v>-2.3839379999999999E-6</v>
      </c>
      <c r="I5018">
        <v>15.37072</v>
      </c>
      <c r="J5018">
        <v>-352.8895</v>
      </c>
      <c r="K5018">
        <v>1.112433</v>
      </c>
      <c r="L5018">
        <v>17.259399999999999</v>
      </c>
      <c r="M5018">
        <v>0.99660530000000003</v>
      </c>
      <c r="N5018">
        <v>-8.4417769999999993E-3</v>
      </c>
      <c r="O5018">
        <v>8.189391E-2</v>
      </c>
      <c r="P5018">
        <v>0.99930909999999995</v>
      </c>
      <c r="Q5018">
        <v>-1.3111619999999999E-2</v>
      </c>
      <c r="R5018">
        <v>3.4780619999999998E-2</v>
      </c>
      <c r="S5018">
        <v>3.0116580000000002</v>
      </c>
      <c r="T5018">
        <v>-0.19919500000000001</v>
      </c>
      <c r="U5018">
        <v>-0.33496090000000001</v>
      </c>
      <c r="V5018">
        <v>4.7218059999999999E-2</v>
      </c>
      <c r="W5018">
        <v>-4.2398490000000004E-3</v>
      </c>
      <c r="X5018">
        <v>0.99887559999999997</v>
      </c>
      <c r="Y5018">
        <v>0.19096260000000001</v>
      </c>
      <c r="Z5018">
        <v>-1.180586E-2</v>
      </c>
      <c r="AA5018">
        <v>0.98152629999999996</v>
      </c>
      <c r="AB5018">
        <v>37</v>
      </c>
      <c r="AC5018">
        <v>16.616299999999999</v>
      </c>
      <c r="AD5018">
        <v>-1.1124353839379999</v>
      </c>
      <c r="AE5018">
        <v>-1.8886799999999899</v>
      </c>
      <c r="AF5018">
        <v>3.2288703251261599</v>
      </c>
      <c r="AG5018">
        <v>-1.1124353839379999</v>
      </c>
      <c r="AH5018">
        <v>16.333531173712501</v>
      </c>
      <c r="AI5018">
        <v>93.822505279994004</v>
      </c>
      <c r="AJ5018">
        <v>78.817742617298606</v>
      </c>
      <c r="AK5018">
        <v>16.6867419427087</v>
      </c>
      <c r="AL5018">
        <v>90.242926183022803</v>
      </c>
      <c r="AM5018">
        <v>87.293573771717107</v>
      </c>
      <c r="AN5018">
        <v>0.99999999289253305</v>
      </c>
    </row>
    <row r="5019" spans="1:40" x14ac:dyDescent="0.25">
      <c r="A5019" t="str">
        <f>"20190305135929722"</f>
        <v>20190305135929722</v>
      </c>
      <c r="B5019" t="str">
        <f>"1551765569714497"</f>
        <v>1551765569714497</v>
      </c>
      <c r="C5019" t="s">
        <v>40</v>
      </c>
      <c r="D5019">
        <v>4.0334260000000004</v>
      </c>
      <c r="E5019">
        <v>0.55498479999999994</v>
      </c>
      <c r="F5019" t="s">
        <v>42</v>
      </c>
      <c r="G5019">
        <v>-336.23059999999998</v>
      </c>
      <c r="H5019" s="1">
        <v>-2.3934869999999999E-6</v>
      </c>
      <c r="I5019">
        <v>15.38932</v>
      </c>
      <c r="J5019">
        <v>-352.7047</v>
      </c>
      <c r="K5019">
        <v>1.112428</v>
      </c>
      <c r="L5019">
        <v>17.275970000000001</v>
      </c>
      <c r="M5019">
        <v>0.99644759999999999</v>
      </c>
      <c r="N5019">
        <v>-8.4175139999999992E-3</v>
      </c>
      <c r="O5019">
        <v>8.3795060000000005E-2</v>
      </c>
      <c r="P5019">
        <v>0.99936349999999996</v>
      </c>
      <c r="Q5019">
        <v>-1.359927E-2</v>
      </c>
      <c r="R5019">
        <v>3.2979939999999999E-2</v>
      </c>
      <c r="S5019">
        <v>3.0112000000000001</v>
      </c>
      <c r="T5019">
        <v>-0.20107910000000001</v>
      </c>
      <c r="U5019">
        <v>-0.3380127</v>
      </c>
      <c r="V5019">
        <v>5.0926819999999998E-2</v>
      </c>
      <c r="W5019">
        <v>-4.7193239999999996E-3</v>
      </c>
      <c r="X5019">
        <v>0.99869129999999995</v>
      </c>
      <c r="Y5019">
        <v>0.1938115</v>
      </c>
      <c r="Z5019">
        <v>-1.2134280000000001E-2</v>
      </c>
      <c r="AA5019">
        <v>0.98096380000000005</v>
      </c>
      <c r="AB5019">
        <v>37</v>
      </c>
      <c r="AC5019">
        <v>16.4741</v>
      </c>
      <c r="AD5019">
        <v>-1.1124303934869999</v>
      </c>
      <c r="AE5019">
        <v>-1.8866499999999899</v>
      </c>
      <c r="AF5019">
        <v>3.24590216467131</v>
      </c>
      <c r="AG5019">
        <v>-1.1124303934869999</v>
      </c>
      <c r="AH5019">
        <v>16.185213767384099</v>
      </c>
      <c r="AI5019">
        <v>93.855302495156096</v>
      </c>
      <c r="AJ5019">
        <v>78.659914565468597</v>
      </c>
      <c r="AK5019">
        <v>16.544924506896201</v>
      </c>
      <c r="AL5019">
        <v>90.270398334084604</v>
      </c>
      <c r="AM5019">
        <v>87.080813044196304</v>
      </c>
      <c r="AN5019">
        <v>1.0000000628550001</v>
      </c>
    </row>
    <row r="5020" spans="1:40" x14ac:dyDescent="0.25">
      <c r="A5020" t="str">
        <f>"20190305135929733"</f>
        <v>20190305135929733</v>
      </c>
      <c r="B5020" t="str">
        <f>"1551765569724257"</f>
        <v>1551765569724257</v>
      </c>
      <c r="C5020" t="s">
        <v>40</v>
      </c>
      <c r="D5020">
        <v>3.9632149999999999</v>
      </c>
      <c r="E5020">
        <v>0.55482259999999906</v>
      </c>
      <c r="F5020" t="s">
        <v>42</v>
      </c>
      <c r="G5020">
        <v>-336.2002</v>
      </c>
      <c r="H5020" s="1">
        <v>-2.4020870000000001E-6</v>
      </c>
      <c r="I5020">
        <v>15.39587</v>
      </c>
      <c r="J5020">
        <v>-352.5154</v>
      </c>
      <c r="K5020">
        <v>1.112414</v>
      </c>
      <c r="L5020">
        <v>17.293329999999902</v>
      </c>
      <c r="M5020">
        <v>0.99628369999999999</v>
      </c>
      <c r="N5020">
        <v>-8.3946319999999904E-3</v>
      </c>
      <c r="O5020">
        <v>8.5722080000000006E-2</v>
      </c>
      <c r="P5020">
        <v>0.99940530000000005</v>
      </c>
      <c r="Q5020">
        <v>-1.393523E-2</v>
      </c>
      <c r="R5020">
        <v>3.1547829999999999E-2</v>
      </c>
      <c r="S5020">
        <v>3.0104980000000001</v>
      </c>
      <c r="T5020">
        <v>-0.20291319999999999</v>
      </c>
      <c r="U5020">
        <v>-0.34292600000000001</v>
      </c>
      <c r="V5020">
        <v>5.4291520000000003E-2</v>
      </c>
      <c r="W5020">
        <v>-5.0497729999999996E-3</v>
      </c>
      <c r="X5020">
        <v>0.99851239999999997</v>
      </c>
      <c r="Y5020">
        <v>0.19728999999999999</v>
      </c>
      <c r="Z5020">
        <v>-1.248986E-2</v>
      </c>
      <c r="AA5020">
        <v>0.98026559999999996</v>
      </c>
      <c r="AB5020">
        <v>37</v>
      </c>
      <c r="AC5020">
        <v>16.315200000000001</v>
      </c>
      <c r="AD5020">
        <v>-1.112416402087</v>
      </c>
      <c r="AE5020">
        <v>-1.8974599999999899</v>
      </c>
      <c r="AF5020">
        <v>3.2740795805354699</v>
      </c>
      <c r="AG5020">
        <v>-1.112416402087</v>
      </c>
      <c r="AH5020">
        <v>16.019004108790799</v>
      </c>
      <c r="AI5020">
        <v>93.892233963894398</v>
      </c>
      <c r="AJ5020">
        <v>78.448572030870295</v>
      </c>
      <c r="AK5020">
        <v>16.3879699776625</v>
      </c>
      <c r="AL5020">
        <v>90.289331898171696</v>
      </c>
      <c r="AM5020">
        <v>86.887755262646706</v>
      </c>
      <c r="AN5020">
        <v>1.0000000411525101</v>
      </c>
    </row>
    <row r="5021" spans="1:40" x14ac:dyDescent="0.25">
      <c r="A5021" t="str">
        <f>"20190305135929744"</f>
        <v>20190305135929744</v>
      </c>
      <c r="B5021" t="str">
        <f>"1551765569734016"</f>
        <v>1551765569734016</v>
      </c>
      <c r="C5021" t="s">
        <v>40</v>
      </c>
      <c r="D5021">
        <v>3.9639540000000002</v>
      </c>
      <c r="E5021">
        <v>0.55460359999999997</v>
      </c>
      <c r="F5021" t="s">
        <v>42</v>
      </c>
      <c r="G5021">
        <v>-336.07600000000002</v>
      </c>
      <c r="H5021" s="1">
        <v>-2.442474E-6</v>
      </c>
      <c r="I5021">
        <v>15.40292</v>
      </c>
      <c r="J5021">
        <v>-352.33260000000001</v>
      </c>
      <c r="K5021">
        <v>1.112392</v>
      </c>
      <c r="L5021">
        <v>17.310420000000001</v>
      </c>
      <c r="M5021">
        <v>0.99612440000000002</v>
      </c>
      <c r="N5021">
        <v>-8.3752870000000004E-3</v>
      </c>
      <c r="O5021">
        <v>8.7555469999999996E-2</v>
      </c>
      <c r="P5021">
        <v>0.99945910000000004</v>
      </c>
      <c r="Q5021">
        <v>-1.401438E-2</v>
      </c>
      <c r="R5021">
        <v>2.9753660000000001E-2</v>
      </c>
      <c r="S5021">
        <v>3.0098569999999998</v>
      </c>
      <c r="T5021">
        <v>-0.20367089999999999</v>
      </c>
      <c r="U5021">
        <v>-0.34609990000000002</v>
      </c>
      <c r="V5021">
        <v>5.7921500000000001E-2</v>
      </c>
      <c r="W5021">
        <v>-5.1188420000000002E-3</v>
      </c>
      <c r="X5021">
        <v>0.99830799999999997</v>
      </c>
      <c r="Y5021">
        <v>0.20012150000000001</v>
      </c>
      <c r="Z5021">
        <v>-1.2753230000000001E-2</v>
      </c>
      <c r="AA5021">
        <v>0.97968809999999995</v>
      </c>
      <c r="AB5021">
        <v>37</v>
      </c>
      <c r="AC5021">
        <v>16.256599999999999</v>
      </c>
      <c r="AD5021">
        <v>-1.112394442474</v>
      </c>
      <c r="AE5021">
        <v>-1.90749999999999</v>
      </c>
      <c r="AF5021">
        <v>3.30829820631264</v>
      </c>
      <c r="AG5021">
        <v>-1.112394442474</v>
      </c>
      <c r="AH5021">
        <v>15.953462346580499</v>
      </c>
      <c r="AI5021">
        <v>93.905802173045203</v>
      </c>
      <c r="AJ5021">
        <v>78.2845213102038</v>
      </c>
      <c r="AK5021">
        <v>16.3308058362501</v>
      </c>
      <c r="AL5021">
        <v>90.293289328473904</v>
      </c>
      <c r="AM5021">
        <v>86.679440462611396</v>
      </c>
      <c r="AN5021">
        <v>0.99999998278483504</v>
      </c>
    </row>
    <row r="5022" spans="1:40" x14ac:dyDescent="0.25">
      <c r="A5022" t="str">
        <f>"20190305135929755"</f>
        <v>20190305135929755</v>
      </c>
      <c r="B5022" t="str">
        <f>"1551765569743777"</f>
        <v>1551765569743777</v>
      </c>
      <c r="C5022" t="s">
        <v>40</v>
      </c>
      <c r="D5022">
        <v>3.9471940000000001</v>
      </c>
      <c r="E5022">
        <v>0.55436830000000004</v>
      </c>
      <c r="F5022" t="s">
        <v>42</v>
      </c>
      <c r="G5022">
        <v>-335.97500000000002</v>
      </c>
      <c r="H5022" s="1">
        <v>-2.4752079999999998E-6</v>
      </c>
      <c r="I5022">
        <v>15.40906</v>
      </c>
      <c r="J5022">
        <v>-352.14600000000002</v>
      </c>
      <c r="K5022">
        <v>1.1123670000000001</v>
      </c>
      <c r="L5022">
        <v>17.32816</v>
      </c>
      <c r="M5022">
        <v>0.99596010000000001</v>
      </c>
      <c r="N5022">
        <v>-8.3576380000000006E-3</v>
      </c>
      <c r="O5022">
        <v>8.940679E-2</v>
      </c>
      <c r="P5022">
        <v>0.99950550000000005</v>
      </c>
      <c r="Q5022">
        <v>-1.415873E-2</v>
      </c>
      <c r="R5022">
        <v>2.8081129999999999E-2</v>
      </c>
      <c r="S5022">
        <v>3.0091549999999998</v>
      </c>
      <c r="T5022">
        <v>-0.20463690000000001</v>
      </c>
      <c r="U5022">
        <v>-0.34976200000000002</v>
      </c>
      <c r="V5022">
        <v>6.1447620000000001E-2</v>
      </c>
      <c r="W5022">
        <v>-5.2536909999999996E-3</v>
      </c>
      <c r="X5022">
        <v>0.99809650000000005</v>
      </c>
      <c r="Y5022">
        <v>0.20312649999999999</v>
      </c>
      <c r="Z5022">
        <v>-1.30393E-2</v>
      </c>
      <c r="AA5022">
        <v>0.97906570000000004</v>
      </c>
      <c r="AB5022">
        <v>38</v>
      </c>
      <c r="AC5022">
        <v>16.1709999999999</v>
      </c>
      <c r="AD5022">
        <v>-1.112369475208</v>
      </c>
      <c r="AE5022">
        <v>-1.9191</v>
      </c>
      <c r="AF5022">
        <v>3.3416691405653798</v>
      </c>
      <c r="AG5022">
        <v>-1.112369475208</v>
      </c>
      <c r="AH5022">
        <v>15.8606404412982</v>
      </c>
      <c r="AI5022">
        <v>93.925899734521707</v>
      </c>
      <c r="AJ5022">
        <v>78.102393666473105</v>
      </c>
      <c r="AK5022">
        <v>16.246969985278099</v>
      </c>
      <c r="AL5022">
        <v>90.301015700707197</v>
      </c>
      <c r="AM5022">
        <v>86.477042744493104</v>
      </c>
      <c r="AN5022">
        <v>1.0000000172925101</v>
      </c>
    </row>
    <row r="5023" spans="1:40" x14ac:dyDescent="0.25">
      <c r="A5023" t="str">
        <f>"20190305135929766"</f>
        <v>20190305135929766</v>
      </c>
      <c r="B5023" t="str">
        <f>"1551765569754513"</f>
        <v>1551765569754513</v>
      </c>
      <c r="C5023" t="s">
        <v>40</v>
      </c>
      <c r="D5023">
        <v>3.9294389999999999</v>
      </c>
      <c r="E5023">
        <v>0.55415409999999998</v>
      </c>
      <c r="F5023" t="s">
        <v>42</v>
      </c>
      <c r="G5023">
        <v>-335.8227</v>
      </c>
      <c r="H5023" s="1">
        <v>-2.5260520000000002E-6</v>
      </c>
      <c r="I5023">
        <v>15.412800000000001</v>
      </c>
      <c r="J5023">
        <v>-351.97590000000002</v>
      </c>
      <c r="K5023">
        <v>1.1123320000000001</v>
      </c>
      <c r="L5023">
        <v>17.344729999999998</v>
      </c>
      <c r="M5023">
        <v>0.99581149999999996</v>
      </c>
      <c r="N5023">
        <v>-8.3437890000000008E-3</v>
      </c>
      <c r="O5023">
        <v>9.1048240000000003E-2</v>
      </c>
      <c r="P5023">
        <v>0.99955340000000004</v>
      </c>
      <c r="Q5023">
        <v>-1.4221900000000001E-2</v>
      </c>
      <c r="R5023">
        <v>2.6282239999999998E-2</v>
      </c>
      <c r="S5023">
        <v>3.0084840000000002</v>
      </c>
      <c r="T5023">
        <v>-0.205016</v>
      </c>
      <c r="U5023">
        <v>-0.3529968</v>
      </c>
      <c r="V5023">
        <v>6.4888589999999996E-2</v>
      </c>
      <c r="W5023">
        <v>-5.3063590000000001E-3</v>
      </c>
      <c r="X5023">
        <v>0.99787840000000005</v>
      </c>
      <c r="Y5023">
        <v>0.20579049999999999</v>
      </c>
      <c r="Z5023">
        <v>-1.3264450000000001E-2</v>
      </c>
      <c r="AA5023">
        <v>0.97850610000000005</v>
      </c>
      <c r="AB5023">
        <v>38</v>
      </c>
      <c r="AC5023">
        <v>16.153199999999998</v>
      </c>
      <c r="AD5023">
        <v>-1.1123345260519999</v>
      </c>
      <c r="AE5023">
        <v>-1.9319299999999899</v>
      </c>
      <c r="AF5023">
        <v>3.3788803997099599</v>
      </c>
      <c r="AG5023">
        <v>-1.1123345260519999</v>
      </c>
      <c r="AH5023">
        <v>15.8361630577611</v>
      </c>
      <c r="AI5023">
        <v>93.929698537519201</v>
      </c>
      <c r="AJ5023">
        <v>77.955698240260901</v>
      </c>
      <c r="AK5023">
        <v>16.230778824362901</v>
      </c>
      <c r="AL5023">
        <v>90.304033403956296</v>
      </c>
      <c r="AM5023">
        <v>86.279491207760501</v>
      </c>
      <c r="AN5023">
        <v>0.99999999387229199</v>
      </c>
    </row>
    <row r="5024" spans="1:40" x14ac:dyDescent="0.25">
      <c r="A5024" t="str">
        <f>"20190305135929776"</f>
        <v>20190305135929776</v>
      </c>
      <c r="B5024" t="str">
        <f>"1551765569774033"</f>
        <v>1551765569774033</v>
      </c>
      <c r="C5024" t="s">
        <v>40</v>
      </c>
      <c r="D5024">
        <v>3.9290210000000001</v>
      </c>
      <c r="E5024">
        <v>0.55391829999999997</v>
      </c>
      <c r="F5024" t="s">
        <v>42</v>
      </c>
      <c r="G5024">
        <v>-335.63929999999999</v>
      </c>
      <c r="H5024" s="1">
        <v>-2.5996340000000002E-6</v>
      </c>
      <c r="I5024">
        <v>15.40729</v>
      </c>
      <c r="J5024">
        <v>-351.78719999999998</v>
      </c>
      <c r="K5024">
        <v>1.112287</v>
      </c>
      <c r="L5024">
        <v>17.363189999999999</v>
      </c>
      <c r="M5024">
        <v>0.99564520000000001</v>
      </c>
      <c r="N5024">
        <v>-8.329365E-3</v>
      </c>
      <c r="O5024">
        <v>9.2850859999999993E-2</v>
      </c>
      <c r="P5024">
        <v>0.99959189999999998</v>
      </c>
      <c r="Q5024">
        <v>-1.4261009999999999E-2</v>
      </c>
      <c r="R5024">
        <v>2.475834E-2</v>
      </c>
      <c r="S5024">
        <v>3.0077509999999998</v>
      </c>
      <c r="T5024">
        <v>-0.20479359999999999</v>
      </c>
      <c r="U5024">
        <v>-0.35668949999999999</v>
      </c>
      <c r="V5024">
        <v>6.8215509999999993E-2</v>
      </c>
      <c r="W5024">
        <v>-5.3384869999999899E-3</v>
      </c>
      <c r="X5024">
        <v>0.99765630000000005</v>
      </c>
      <c r="Y5024">
        <v>0.2087637</v>
      </c>
      <c r="Z5024">
        <v>-1.347282E-2</v>
      </c>
      <c r="AA5024">
        <v>0.97787329999999995</v>
      </c>
      <c r="AB5024">
        <v>38</v>
      </c>
      <c r="AC5024">
        <v>16.1478999999999</v>
      </c>
      <c r="AD5024">
        <v>-1.1122895996340001</v>
      </c>
      <c r="AE5024">
        <v>-1.9559</v>
      </c>
      <c r="AF5024">
        <v>3.43080578535396</v>
      </c>
      <c r="AG5024">
        <v>-1.1122895996340001</v>
      </c>
      <c r="AH5024">
        <v>15.8225365358822</v>
      </c>
      <c r="AI5024">
        <v>93.930121622066494</v>
      </c>
      <c r="AJ5024">
        <v>77.765920993704498</v>
      </c>
      <c r="AK5024">
        <v>16.228378813658502</v>
      </c>
      <c r="AL5024">
        <v>90.305874234897004</v>
      </c>
      <c r="AM5024">
        <v>86.088445644210594</v>
      </c>
      <c r="AN5024">
        <v>0.999999974088849</v>
      </c>
    </row>
    <row r="5025" spans="1:40" x14ac:dyDescent="0.25">
      <c r="A5025" t="str">
        <f>"20190305135929788"</f>
        <v>20190305135929788</v>
      </c>
      <c r="B5025" t="str">
        <f>"1551765569783794"</f>
        <v>1551765569783794</v>
      </c>
      <c r="C5025" t="s">
        <v>40</v>
      </c>
      <c r="D5025">
        <v>3.9219460000000002</v>
      </c>
      <c r="E5025">
        <v>0.55391230000000002</v>
      </c>
      <c r="F5025" t="s">
        <v>42</v>
      </c>
      <c r="G5025">
        <v>-335.3922</v>
      </c>
      <c r="H5025" s="1">
        <v>-2.7064009999999999E-6</v>
      </c>
      <c r="I5025">
        <v>15.40302</v>
      </c>
      <c r="J5025">
        <v>-351.60559999999998</v>
      </c>
      <c r="K5025">
        <v>1.112222</v>
      </c>
      <c r="L5025">
        <v>17.38147</v>
      </c>
      <c r="M5025">
        <v>0.99548930000000002</v>
      </c>
      <c r="N5025">
        <v>-8.3190090000000005E-3</v>
      </c>
      <c r="O5025">
        <v>9.4509099999999999E-2</v>
      </c>
      <c r="P5025">
        <v>0.99963440000000003</v>
      </c>
      <c r="Q5025">
        <v>-1.4340250000000001E-2</v>
      </c>
      <c r="R5025">
        <v>2.292692E-2</v>
      </c>
      <c r="S5025">
        <v>3.0072329999999998</v>
      </c>
      <c r="T5025">
        <v>-0.20402000000000001</v>
      </c>
      <c r="U5025">
        <v>-0.3595276</v>
      </c>
      <c r="V5025">
        <v>7.1704110000000001E-2</v>
      </c>
      <c r="W5025">
        <v>-5.4086480000000003E-3</v>
      </c>
      <c r="X5025">
        <v>0.9974113</v>
      </c>
      <c r="Y5025">
        <v>0.211317</v>
      </c>
      <c r="Z5025">
        <v>-1.3619060000000001E-2</v>
      </c>
      <c r="AA5025">
        <v>0.97732269999999999</v>
      </c>
      <c r="AB5025">
        <v>38</v>
      </c>
      <c r="AC5025">
        <v>16.213399999999901</v>
      </c>
      <c r="AD5025">
        <v>-1.112224706401</v>
      </c>
      <c r="AE5025">
        <v>-1.97844999999999</v>
      </c>
      <c r="AF5025">
        <v>3.4857976878455998</v>
      </c>
      <c r="AG5025">
        <v>-1.112224706401</v>
      </c>
      <c r="AH5025">
        <v>15.880202543631</v>
      </c>
      <c r="AI5025">
        <v>93.913492438449595</v>
      </c>
      <c r="AJ5025">
        <v>77.619588770792802</v>
      </c>
      <c r="AK5025">
        <v>16.2962775548548</v>
      </c>
      <c r="AL5025">
        <v>90.309894208893894</v>
      </c>
      <c r="AM5025">
        <v>85.8880682820771</v>
      </c>
      <c r="AN5025">
        <v>1.00000001711588</v>
      </c>
    </row>
    <row r="5026" spans="1:40" x14ac:dyDescent="0.25">
      <c r="A5026" t="str">
        <f>"20190305135929809"</f>
        <v>20190305135929809</v>
      </c>
      <c r="B5026" t="str">
        <f>"1551765569804289"</f>
        <v>1551765569804289</v>
      </c>
      <c r="C5026" t="s">
        <v>40</v>
      </c>
      <c r="D5026">
        <v>3.9357340000000001</v>
      </c>
      <c r="E5026">
        <v>0.55379060000000002</v>
      </c>
      <c r="F5026" t="s">
        <v>42</v>
      </c>
      <c r="G5026">
        <v>-334.5745</v>
      </c>
      <c r="H5026" s="1">
        <v>-3.0728649999999999E-6</v>
      </c>
      <c r="I5026">
        <v>15.314629999999999</v>
      </c>
      <c r="J5026">
        <v>-351.25639999999999</v>
      </c>
      <c r="K5026">
        <v>1.1120920000000001</v>
      </c>
      <c r="L5026">
        <v>17.41714</v>
      </c>
      <c r="M5026">
        <v>0.99519279999999999</v>
      </c>
      <c r="N5026">
        <v>-8.3026780000000008E-3</v>
      </c>
      <c r="O5026">
        <v>9.7583030000000001E-2</v>
      </c>
      <c r="P5026">
        <v>0.99971460000000001</v>
      </c>
      <c r="Q5026">
        <v>-1.4434519999999999E-2</v>
      </c>
      <c r="R5026">
        <v>1.9036520000000001E-2</v>
      </c>
      <c r="S5026">
        <v>3.0066830000000002</v>
      </c>
      <c r="T5026">
        <v>-0.19635340000000001</v>
      </c>
      <c r="U5026">
        <v>-0.36486819999999998</v>
      </c>
      <c r="V5026">
        <v>7.8662689999999993E-2</v>
      </c>
      <c r="W5026">
        <v>-5.4866280000000003E-3</v>
      </c>
      <c r="X5026">
        <v>0.99688619999999994</v>
      </c>
      <c r="Y5026">
        <v>0.21609980000000001</v>
      </c>
      <c r="Z5026">
        <v>-1.3462780000000001E-2</v>
      </c>
      <c r="AA5026">
        <v>0.97627850000000005</v>
      </c>
      <c r="AB5026">
        <v>38</v>
      </c>
      <c r="AC5026">
        <v>16.681899999999899</v>
      </c>
      <c r="AD5026">
        <v>-1.1120950728650001</v>
      </c>
      <c r="AE5026">
        <v>-2.1025100000000001</v>
      </c>
      <c r="AF5026">
        <v>3.70419647733865</v>
      </c>
      <c r="AG5026">
        <v>-1.1120950728650001</v>
      </c>
      <c r="AH5026">
        <v>16.325681933900398</v>
      </c>
      <c r="AI5026">
        <v>93.800623987915202</v>
      </c>
      <c r="AJ5026">
        <v>77.216378651088405</v>
      </c>
      <c r="AK5026">
        <v>16.777536100414199</v>
      </c>
      <c r="AL5026">
        <v>90.314362202611903</v>
      </c>
      <c r="AM5026">
        <v>85.488230732126596</v>
      </c>
      <c r="AN5026">
        <v>1.00000000881764</v>
      </c>
    </row>
    <row r="5027" spans="1:40" x14ac:dyDescent="0.25">
      <c r="A5027" t="str">
        <f>"20190305135929820"</f>
        <v>20190305135929820</v>
      </c>
      <c r="B5027" t="str">
        <f>"1551765569814049"</f>
        <v>1551765569814049</v>
      </c>
      <c r="C5027" t="s">
        <v>40</v>
      </c>
      <c r="D5027">
        <v>3.9447739999999998</v>
      </c>
      <c r="E5027">
        <v>0.55368969999999995</v>
      </c>
      <c r="F5027" t="s">
        <v>42</v>
      </c>
      <c r="G5027">
        <v>-333.67759999999998</v>
      </c>
      <c r="H5027" s="1">
        <v>-3.4743150000000001E-6</v>
      </c>
      <c r="I5027">
        <v>15.220689999999999</v>
      </c>
      <c r="J5027">
        <v>-351.06639999999999</v>
      </c>
      <c r="K5027">
        <v>1.1120049999999999</v>
      </c>
      <c r="L5027">
        <v>17.436889999999998</v>
      </c>
      <c r="M5027">
        <v>0.99503450000000004</v>
      </c>
      <c r="N5027">
        <v>-8.2955790000000008E-3</v>
      </c>
      <c r="O5027">
        <v>9.9184720000000004E-2</v>
      </c>
      <c r="P5027">
        <v>0.99974540000000001</v>
      </c>
      <c r="Q5027">
        <v>-1.451682E-2</v>
      </c>
      <c r="R5027">
        <v>1.7280960000000001E-2</v>
      </c>
      <c r="S5027">
        <v>3.0052490000000001</v>
      </c>
      <c r="T5027">
        <v>-0.1901217</v>
      </c>
      <c r="U5027">
        <v>-0.3754883</v>
      </c>
      <c r="V5027">
        <v>8.2016210000000006E-2</v>
      </c>
      <c r="W5027">
        <v>-5.5656400000000002E-3</v>
      </c>
      <c r="X5027">
        <v>0.99661549999999999</v>
      </c>
      <c r="Y5027">
        <v>0.2211497</v>
      </c>
      <c r="Z5027">
        <v>-1.331076E-2</v>
      </c>
      <c r="AA5027">
        <v>0.97514900000000004</v>
      </c>
      <c r="AB5027">
        <v>38</v>
      </c>
      <c r="AC5027">
        <v>17.3888</v>
      </c>
      <c r="AD5027">
        <v>-1.1120084743149901</v>
      </c>
      <c r="AE5027">
        <v>-2.2162000000000002</v>
      </c>
      <c r="AF5027">
        <v>3.9142819454645701</v>
      </c>
      <c r="AG5027">
        <v>-1.1120084743149901</v>
      </c>
      <c r="AH5027">
        <v>17.014759118324001</v>
      </c>
      <c r="AI5027">
        <v>93.644350866543107</v>
      </c>
      <c r="AJ5027">
        <v>77.044397575104895</v>
      </c>
      <c r="AK5027">
        <v>17.4945761266207</v>
      </c>
      <c r="AL5027">
        <v>90.318889314308606</v>
      </c>
      <c r="AM5027">
        <v>85.295460186828393</v>
      </c>
      <c r="AN5027">
        <v>1.00000004494581</v>
      </c>
    </row>
    <row r="5028" spans="1:40" x14ac:dyDescent="0.25">
      <c r="A5028" t="str">
        <f>"20190305135929831"</f>
        <v>20190305135929831</v>
      </c>
      <c r="B5028" t="str">
        <f>"1551765569823809"</f>
        <v>1551765569823809</v>
      </c>
      <c r="C5028" t="s">
        <v>40</v>
      </c>
      <c r="D5028">
        <v>3.9976959999999999</v>
      </c>
      <c r="E5028">
        <v>0.55361149999999903</v>
      </c>
      <c r="F5028" t="s">
        <v>42</v>
      </c>
      <c r="G5028">
        <v>-333.55930000000001</v>
      </c>
      <c r="H5028" s="1">
        <v>-3.5247809999999998E-6</v>
      </c>
      <c r="I5028">
        <v>15.222250000000001</v>
      </c>
      <c r="J5028">
        <v>-350.86399999999998</v>
      </c>
      <c r="K5028">
        <v>1.11191</v>
      </c>
      <c r="L5028">
        <v>17.45834</v>
      </c>
      <c r="M5028">
        <v>0.99487219999999998</v>
      </c>
      <c r="N5028">
        <v>-8.2892350000000007E-3</v>
      </c>
      <c r="O5028">
        <v>0.1008005</v>
      </c>
      <c r="P5028">
        <v>0.99977680000000002</v>
      </c>
      <c r="Q5028">
        <v>-1.444514E-2</v>
      </c>
      <c r="R5028">
        <v>1.54293999999999E-2</v>
      </c>
      <c r="S5028">
        <v>3.0046080000000002</v>
      </c>
      <c r="T5028">
        <v>-0.19084470000000001</v>
      </c>
      <c r="U5028">
        <v>-0.38006590000000001</v>
      </c>
      <c r="V5028">
        <v>8.5477789999999998E-2</v>
      </c>
      <c r="W5028">
        <v>-5.4932829999999998E-3</v>
      </c>
      <c r="X5028">
        <v>0.99632500000000002</v>
      </c>
      <c r="Y5028">
        <v>0.22420599999999999</v>
      </c>
      <c r="Z5028">
        <v>-1.356071E-2</v>
      </c>
      <c r="AA5028">
        <v>0.97444739999999996</v>
      </c>
      <c r="AB5028">
        <v>38</v>
      </c>
      <c r="AC5028">
        <v>17.3047</v>
      </c>
      <c r="AD5028">
        <v>-1.1119135247809999</v>
      </c>
      <c r="AE5028">
        <v>-2.2360899999999901</v>
      </c>
      <c r="AF5028">
        <v>3.9530294108564199</v>
      </c>
      <c r="AG5028">
        <v>-1.1119135247809999</v>
      </c>
      <c r="AH5028">
        <v>16.9224282133457</v>
      </c>
      <c r="AI5028">
        <v>93.661020367946094</v>
      </c>
      <c r="AJ5028">
        <v>76.851648524095793</v>
      </c>
      <c r="AK5028">
        <v>17.413539842476801</v>
      </c>
      <c r="AL5028">
        <v>90.314743493397103</v>
      </c>
      <c r="AM5028">
        <v>85.096425947286406</v>
      </c>
      <c r="AN5028">
        <v>1.0000000671831899</v>
      </c>
    </row>
    <row r="5029" spans="1:40" x14ac:dyDescent="0.25">
      <c r="A5029" t="str">
        <f>"20190305135929843"</f>
        <v>20190305135929843</v>
      </c>
      <c r="B5029" t="str">
        <f>"1551765569834547"</f>
        <v>1551765569834547</v>
      </c>
      <c r="C5029" t="s">
        <v>40</v>
      </c>
      <c r="D5029">
        <v>3.9157739999999999</v>
      </c>
      <c r="E5029">
        <v>0.55350379999999999</v>
      </c>
      <c r="F5029" t="s">
        <v>42</v>
      </c>
      <c r="G5029">
        <v>-333.37830000000002</v>
      </c>
      <c r="H5029" s="1">
        <v>-3.6033689999999999E-6</v>
      </c>
      <c r="I5029">
        <v>15.2168799999999</v>
      </c>
      <c r="J5029">
        <v>-350.68079999999998</v>
      </c>
      <c r="K5029">
        <v>1.11182</v>
      </c>
      <c r="L5029">
        <v>17.47794</v>
      </c>
      <c r="M5029">
        <v>0.99472819999999995</v>
      </c>
      <c r="N5029">
        <v>-8.2841559999999904E-3</v>
      </c>
      <c r="O5029">
        <v>0.10221139999999999</v>
      </c>
      <c r="P5029">
        <v>0.99980380000000002</v>
      </c>
      <c r="Q5029">
        <v>-1.4589009999999999E-2</v>
      </c>
      <c r="R5029">
        <v>1.3412500000000001E-2</v>
      </c>
      <c r="S5029">
        <v>3.0038149999999999</v>
      </c>
      <c r="T5029">
        <v>-0.1910123</v>
      </c>
      <c r="U5029">
        <v>-0.3850403</v>
      </c>
      <c r="V5029">
        <v>8.8899690000000003E-2</v>
      </c>
      <c r="W5029">
        <v>-5.6359979999999997E-3</v>
      </c>
      <c r="X5029">
        <v>0.99602469999999999</v>
      </c>
      <c r="Y5029">
        <v>0.2271967</v>
      </c>
      <c r="Z5029">
        <v>-1.3759540000000001E-2</v>
      </c>
      <c r="AA5029">
        <v>0.9737517</v>
      </c>
      <c r="AB5029">
        <v>38</v>
      </c>
      <c r="AC5029">
        <v>17.302499999999899</v>
      </c>
      <c r="AD5029">
        <v>-1.1118236033689901</v>
      </c>
      <c r="AE5029">
        <v>-2.2610600000000001</v>
      </c>
      <c r="AF5029">
        <v>4.0015454684113303</v>
      </c>
      <c r="AG5029">
        <v>-1.1118236033689901</v>
      </c>
      <c r="AH5029">
        <v>16.912102274423301</v>
      </c>
      <c r="AI5029">
        <v>93.660504191562595</v>
      </c>
      <c r="AJ5029">
        <v>76.688148476195195</v>
      </c>
      <c r="AK5029">
        <v>17.4145835781774</v>
      </c>
      <c r="AL5029">
        <v>90.322920588569303</v>
      </c>
      <c r="AM5029">
        <v>84.899608859922694</v>
      </c>
      <c r="AN5029">
        <v>1.0000000611828099</v>
      </c>
    </row>
    <row r="5030" spans="1:40" x14ac:dyDescent="0.25">
      <c r="A5030" t="str">
        <f>"20190305135929855"</f>
        <v>20190305135929855</v>
      </c>
      <c r="B5030" t="str">
        <f>"1551765569844305"</f>
        <v>1551765569844305</v>
      </c>
      <c r="C5030" t="s">
        <v>40</v>
      </c>
      <c r="D5030">
        <v>3.9012799999999999</v>
      </c>
      <c r="E5030">
        <v>0.5534076</v>
      </c>
      <c r="F5030" t="s">
        <v>42</v>
      </c>
      <c r="G5030">
        <v>-333.16300000000001</v>
      </c>
      <c r="H5030" s="1">
        <v>-3.6984940000000001E-6</v>
      </c>
      <c r="I5030">
        <v>15.201370000000001</v>
      </c>
      <c r="J5030">
        <v>-350.47730000000001</v>
      </c>
      <c r="K5030">
        <v>1.1117189999999999</v>
      </c>
      <c r="L5030">
        <v>17.49991</v>
      </c>
      <c r="M5030">
        <v>0.99457309999999999</v>
      </c>
      <c r="N5030">
        <v>-8.2793139999999994E-3</v>
      </c>
      <c r="O5030">
        <v>0.1037116</v>
      </c>
      <c r="P5030">
        <v>0.99981969999999998</v>
      </c>
      <c r="Q5030">
        <v>-1.498756E-2</v>
      </c>
      <c r="R5030">
        <v>1.1669479999999999E-2</v>
      </c>
      <c r="S5030">
        <v>3.003082</v>
      </c>
      <c r="T5030">
        <v>-0.1906004</v>
      </c>
      <c r="U5030">
        <v>-0.39025880000000002</v>
      </c>
      <c r="V5030">
        <v>9.2138689999999995E-2</v>
      </c>
      <c r="W5030">
        <v>-6.0391289999999999E-3</v>
      </c>
      <c r="X5030">
        <v>0.9957279</v>
      </c>
      <c r="Y5030">
        <v>0.23035169999999999</v>
      </c>
      <c r="Z5030">
        <v>-1.392725E-2</v>
      </c>
      <c r="AA5030">
        <v>0.97300779999999998</v>
      </c>
      <c r="AB5030">
        <v>38</v>
      </c>
      <c r="AC5030">
        <v>17.314299999999999</v>
      </c>
      <c r="AD5030">
        <v>-1.1117226984940001</v>
      </c>
      <c r="AE5030">
        <v>-2.2985399999999898</v>
      </c>
      <c r="AF5030">
        <v>4.0654287834344904</v>
      </c>
      <c r="AG5030">
        <v>-1.1117226984940001</v>
      </c>
      <c r="AH5030">
        <v>16.914007371651898</v>
      </c>
      <c r="AI5030">
        <v>93.656674375506597</v>
      </c>
      <c r="AJ5030">
        <v>76.4848357563029</v>
      </c>
      <c r="AK5030">
        <v>17.431215790065199</v>
      </c>
      <c r="AL5030">
        <v>90.346018696535893</v>
      </c>
      <c r="AM5030">
        <v>84.713247126844905</v>
      </c>
      <c r="AN5030">
        <v>1.0000000300562</v>
      </c>
    </row>
    <row r="5031" spans="1:40" x14ac:dyDescent="0.25">
      <c r="A5031" t="str">
        <f>"20190305135929868"</f>
        <v>20190305135929868</v>
      </c>
      <c r="B5031" t="str">
        <f>"1551765569863825"</f>
        <v>1551765569863825</v>
      </c>
      <c r="C5031" t="s">
        <v>40</v>
      </c>
      <c r="D5031">
        <v>3.9102030000000001</v>
      </c>
      <c r="E5031">
        <v>0.55350100000000002</v>
      </c>
      <c r="F5031" t="s">
        <v>42</v>
      </c>
      <c r="G5031">
        <v>-332.96460000000002</v>
      </c>
      <c r="H5031" s="1">
        <v>-3.784373E-6</v>
      </c>
      <c r="I5031">
        <v>15.19706</v>
      </c>
      <c r="J5031">
        <v>-350.26029999999997</v>
      </c>
      <c r="K5031">
        <v>1.111599</v>
      </c>
      <c r="L5031">
        <v>17.523710000000001</v>
      </c>
      <c r="M5031">
        <v>0.99441729999999995</v>
      </c>
      <c r="N5031">
        <v>-8.2749E-3</v>
      </c>
      <c r="O5031">
        <v>0.1051941</v>
      </c>
      <c r="P5031">
        <v>0.99983730000000004</v>
      </c>
      <c r="Q5031">
        <v>-1.483402E-2</v>
      </c>
      <c r="R5031">
        <v>1.027082E-2</v>
      </c>
      <c r="S5031">
        <v>3.0022890000000002</v>
      </c>
      <c r="T5031">
        <v>-0.19058810000000001</v>
      </c>
      <c r="U5031">
        <v>-0.3947754</v>
      </c>
      <c r="V5031">
        <v>9.501271E-2</v>
      </c>
      <c r="W5031">
        <v>-5.8974609999999997E-3</v>
      </c>
      <c r="X5031">
        <v>0.99545859999999997</v>
      </c>
      <c r="Y5031">
        <v>0.2332641</v>
      </c>
      <c r="Z5031">
        <v>-1.411432E-2</v>
      </c>
      <c r="AA5031">
        <v>0.97231100000000004</v>
      </c>
      <c r="AB5031">
        <v>38</v>
      </c>
      <c r="AC5031">
        <v>17.295699999999901</v>
      </c>
      <c r="AD5031">
        <v>-1.1116027843729901</v>
      </c>
      <c r="AE5031">
        <v>-2.3266499999999999</v>
      </c>
      <c r="AF5031">
        <v>4.1165062488985598</v>
      </c>
      <c r="AG5031">
        <v>-1.1116027843729901</v>
      </c>
      <c r="AH5031">
        <v>16.886460635652298</v>
      </c>
      <c r="AI5031">
        <v>93.659376773445601</v>
      </c>
      <c r="AJ5031">
        <v>76.299901129019901</v>
      </c>
      <c r="AK5031">
        <v>17.416481770061399</v>
      </c>
      <c r="AL5031">
        <v>90.337901580586305</v>
      </c>
      <c r="AM5031">
        <v>84.547853601349104</v>
      </c>
      <c r="AN5031">
        <v>1.0000000097108701</v>
      </c>
    </row>
    <row r="5032" spans="1:40" x14ac:dyDescent="0.25">
      <c r="A5032" t="str">
        <f>"20190305135929881"</f>
        <v>20190305135929881</v>
      </c>
      <c r="B5032" t="str">
        <f>"1551765569874561"</f>
        <v>1551765569874561</v>
      </c>
      <c r="C5032" t="s">
        <v>40</v>
      </c>
      <c r="D5032">
        <v>3.9875159999999998</v>
      </c>
      <c r="E5032">
        <v>0.55348739999999996</v>
      </c>
      <c r="F5032" t="s">
        <v>42</v>
      </c>
      <c r="G5032">
        <v>-331.64609999999999</v>
      </c>
      <c r="H5032" s="1">
        <v>-4.376746E-6</v>
      </c>
      <c r="I5032">
        <v>15.046379999999999</v>
      </c>
      <c r="J5032">
        <v>-350.03980000000001</v>
      </c>
      <c r="K5032">
        <v>1.111469</v>
      </c>
      <c r="L5032">
        <v>17.548100000000002</v>
      </c>
      <c r="M5032">
        <v>0.99426479999999995</v>
      </c>
      <c r="N5032">
        <v>-8.2709569999999902E-3</v>
      </c>
      <c r="O5032">
        <v>0.10662580000000001</v>
      </c>
      <c r="P5032">
        <v>0.99985310000000005</v>
      </c>
      <c r="Q5032">
        <v>-1.4843830000000001E-2</v>
      </c>
      <c r="R5032">
        <v>8.5717659999999998E-3</v>
      </c>
      <c r="S5032">
        <v>3.0019230000000001</v>
      </c>
      <c r="T5032">
        <v>-0.17926800000000001</v>
      </c>
      <c r="U5032">
        <v>-0.39950560000000002</v>
      </c>
      <c r="V5032">
        <v>9.8135040000000007E-2</v>
      </c>
      <c r="W5032">
        <v>-5.9208589999999997E-3</v>
      </c>
      <c r="X5032">
        <v>0.99515549999999997</v>
      </c>
      <c r="Y5032">
        <v>0.23625389999999999</v>
      </c>
      <c r="Z5032">
        <v>-1.345846E-2</v>
      </c>
      <c r="AA5032">
        <v>0.97159810000000002</v>
      </c>
      <c r="AB5032">
        <v>38</v>
      </c>
      <c r="AC5032">
        <v>18.393699999999999</v>
      </c>
      <c r="AD5032">
        <v>-1.1114733767460001</v>
      </c>
      <c r="AE5032">
        <v>-2.5017200000000002</v>
      </c>
      <c r="AF5032">
        <v>4.4328751309602001</v>
      </c>
      <c r="AG5032">
        <v>-1.1114733767460001</v>
      </c>
      <c r="AH5032">
        <v>17.957697461306601</v>
      </c>
      <c r="AI5032">
        <v>93.438782191821403</v>
      </c>
      <c r="AJ5032">
        <v>76.133694494746806</v>
      </c>
      <c r="AK5032">
        <v>18.530101270789601</v>
      </c>
      <c r="AL5032">
        <v>90.339242211916996</v>
      </c>
      <c r="AM5032">
        <v>84.368113117627004</v>
      </c>
      <c r="AN5032">
        <v>1.00000000591367</v>
      </c>
    </row>
    <row r="5033" spans="1:40" x14ac:dyDescent="0.25">
      <c r="A5033" t="str">
        <f>"20190305135929897"</f>
        <v>20190305135929897</v>
      </c>
      <c r="B5033" t="str">
        <f>"1551765569894081"</f>
        <v>1551765569894081</v>
      </c>
      <c r="C5033" t="s">
        <v>40</v>
      </c>
      <c r="D5033">
        <v>3.893726</v>
      </c>
      <c r="E5033">
        <v>0.55343580000000003</v>
      </c>
      <c r="F5033" t="s">
        <v>42</v>
      </c>
      <c r="G5033">
        <v>-330.8972</v>
      </c>
      <c r="H5033" s="1">
        <v>-4.7117909999999999E-6</v>
      </c>
      <c r="I5033">
        <v>14.968629999999999</v>
      </c>
      <c r="J5033">
        <v>-349.76530000000002</v>
      </c>
      <c r="K5033">
        <v>1.111294</v>
      </c>
      <c r="L5033">
        <v>17.578769999999999</v>
      </c>
      <c r="M5033">
        <v>0.99409000000000003</v>
      </c>
      <c r="N5033">
        <v>-8.2667179999999993E-3</v>
      </c>
      <c r="O5033">
        <v>0.10824499999999999</v>
      </c>
      <c r="P5033">
        <v>0.99987539999999997</v>
      </c>
      <c r="Q5033">
        <v>-1.506945E-2</v>
      </c>
      <c r="R5033">
        <v>4.7142879999999996E-3</v>
      </c>
      <c r="S5033">
        <v>3.0013429999999999</v>
      </c>
      <c r="T5033">
        <v>-0.1742667</v>
      </c>
      <c r="U5033">
        <v>-0.40441890000000003</v>
      </c>
      <c r="V5033">
        <v>0.1035919</v>
      </c>
      <c r="W5033">
        <v>-6.1602410000000003E-3</v>
      </c>
      <c r="X5033">
        <v>0.99460079999999995</v>
      </c>
      <c r="Y5033">
        <v>0.2394471</v>
      </c>
      <c r="Z5033">
        <v>-1.3273439999999999E-2</v>
      </c>
      <c r="AA5033">
        <v>0.97081870000000003</v>
      </c>
      <c r="AB5033">
        <v>38</v>
      </c>
      <c r="AC5033">
        <v>18.868099999999998</v>
      </c>
      <c r="AD5033">
        <v>-1.111298711791</v>
      </c>
      <c r="AE5033">
        <v>-2.6101399999999999</v>
      </c>
      <c r="AF5033">
        <v>4.62151839879209</v>
      </c>
      <c r="AG5033">
        <v>-1.111298711791</v>
      </c>
      <c r="AH5033">
        <v>18.4120118577498</v>
      </c>
      <c r="AI5033">
        <v>93.3503439876568</v>
      </c>
      <c r="AJ5033">
        <v>75.909541031245993</v>
      </c>
      <c r="AK5033">
        <v>19.0156671665004</v>
      </c>
      <c r="AL5033">
        <v>90.352958045716804</v>
      </c>
      <c r="AM5033">
        <v>84.053840754234997</v>
      </c>
      <c r="AN5033">
        <v>0.99999999083771396</v>
      </c>
    </row>
    <row r="5034" spans="1:40" x14ac:dyDescent="0.25">
      <c r="A5034" t="str">
        <f>"20190305135929909"</f>
        <v>20190305135929909</v>
      </c>
      <c r="B5034" t="str">
        <f>"1551765569903841"</f>
        <v>1551765569903841</v>
      </c>
      <c r="C5034" t="s">
        <v>40</v>
      </c>
      <c r="D5034">
        <v>3.8827379999999998</v>
      </c>
      <c r="E5034">
        <v>0.553346</v>
      </c>
      <c r="F5034" t="s">
        <v>42</v>
      </c>
      <c r="G5034">
        <v>-329.67520000000002</v>
      </c>
      <c r="H5034" s="1">
        <v>-1.3912079999999999E-6</v>
      </c>
      <c r="I5034">
        <v>14.79715</v>
      </c>
      <c r="J5034">
        <v>-349.56450000000001</v>
      </c>
      <c r="K5034">
        <v>1.1111580000000001</v>
      </c>
      <c r="L5034">
        <v>17.601469999999999</v>
      </c>
      <c r="M5034">
        <v>0.99397579999999996</v>
      </c>
      <c r="N5034">
        <v>-8.2642719999999996E-3</v>
      </c>
      <c r="O5034">
        <v>0.1092878</v>
      </c>
      <c r="P5034">
        <v>0.99988509999999997</v>
      </c>
      <c r="Q5034">
        <v>-1.4833880000000001E-2</v>
      </c>
      <c r="R5034">
        <v>3.1564649999999998E-3</v>
      </c>
      <c r="S5034">
        <v>2.9998170000000002</v>
      </c>
      <c r="T5034">
        <v>-0.16593620000000001</v>
      </c>
      <c r="U5034">
        <v>-0.4153442</v>
      </c>
      <c r="V5034">
        <v>0.106181</v>
      </c>
      <c r="W5034">
        <v>-5.9467879999999997E-3</v>
      </c>
      <c r="X5034">
        <v>0.99432900000000002</v>
      </c>
      <c r="Y5034">
        <v>0.24404390000000001</v>
      </c>
      <c r="Z5034">
        <v>-1.28431E-2</v>
      </c>
      <c r="AA5034">
        <v>0.96967910000000002</v>
      </c>
      <c r="AB5034">
        <v>38</v>
      </c>
      <c r="AC5034">
        <v>19.889299999999899</v>
      </c>
      <c r="AD5034">
        <v>-1.111159391208</v>
      </c>
      <c r="AE5034">
        <v>-2.8043200000000001</v>
      </c>
      <c r="AF5034">
        <v>4.9461168263699697</v>
      </c>
      <c r="AG5034">
        <v>-1.111159391208</v>
      </c>
      <c r="AH5034">
        <v>19.4042864459512</v>
      </c>
      <c r="AI5034">
        <v>93.176046535032896</v>
      </c>
      <c r="AJ5034">
        <v>75.6999272687992</v>
      </c>
      <c r="AK5034">
        <v>20.055549838618099</v>
      </c>
      <c r="AL5034">
        <v>90.340727874392101</v>
      </c>
      <c r="AM5034">
        <v>83.904678314327001</v>
      </c>
      <c r="AN5034">
        <v>0.99999996464475704</v>
      </c>
    </row>
    <row r="5035" spans="1:40" x14ac:dyDescent="0.25">
      <c r="A5035" t="str">
        <f>"20190305135929922"</f>
        <v>20190305135929922</v>
      </c>
      <c r="B5035" t="str">
        <f>"1551765569914578"</f>
        <v>1551765569914578</v>
      </c>
      <c r="C5035" t="s">
        <v>40</v>
      </c>
      <c r="D5035">
        <v>3.9077440000000001</v>
      </c>
      <c r="E5035">
        <v>0.55330040000000003</v>
      </c>
      <c r="F5035" t="s">
        <v>42</v>
      </c>
      <c r="G5035">
        <v>-328.87950000000001</v>
      </c>
      <c r="H5035" s="1">
        <v>-1.7200729999999999E-6</v>
      </c>
      <c r="I5035">
        <v>14.709569999999999</v>
      </c>
      <c r="J5035">
        <v>-349.35419999999999</v>
      </c>
      <c r="K5035">
        <v>1.1110139999999999</v>
      </c>
      <c r="L5035">
        <v>17.625399999999999</v>
      </c>
      <c r="M5035">
        <v>0.99386189999999996</v>
      </c>
      <c r="N5035">
        <v>-8.2620980000000007E-3</v>
      </c>
      <c r="O5035">
        <v>0.1103203</v>
      </c>
      <c r="P5035">
        <v>0.99988880000000002</v>
      </c>
      <c r="Q5035">
        <v>-1.4848760000000001E-2</v>
      </c>
      <c r="R5035">
        <v>1.4806120000000001E-3</v>
      </c>
      <c r="S5035">
        <v>2.9992369999999999</v>
      </c>
      <c r="T5035">
        <v>-0.1611128</v>
      </c>
      <c r="U5035">
        <v>-0.4193115</v>
      </c>
      <c r="V5035">
        <v>0.1088778</v>
      </c>
      <c r="W5035">
        <v>-5.9877769999999997E-3</v>
      </c>
      <c r="X5035">
        <v>0.99403710000000001</v>
      </c>
      <c r="Y5035">
        <v>0.24635979999999999</v>
      </c>
      <c r="Z5035">
        <v>-1.259322E-2</v>
      </c>
      <c r="AA5035">
        <v>0.96909659999999997</v>
      </c>
      <c r="AB5035">
        <v>38</v>
      </c>
      <c r="AC5035">
        <v>20.474699999999899</v>
      </c>
      <c r="AD5035">
        <v>-1.111015720073</v>
      </c>
      <c r="AE5035">
        <v>-2.9158299999999899</v>
      </c>
      <c r="AF5035">
        <v>5.1420430447783296</v>
      </c>
      <c r="AG5035">
        <v>-1.111015720073</v>
      </c>
      <c r="AH5035">
        <v>19.970396389600101</v>
      </c>
      <c r="AI5035">
        <v>93.083878503762506</v>
      </c>
      <c r="AJ5035">
        <v>75.560933621801297</v>
      </c>
      <c r="AK5035">
        <v>20.651675345171299</v>
      </c>
      <c r="AL5035">
        <v>90.343076403442495</v>
      </c>
      <c r="AM5035">
        <v>83.749257741763302</v>
      </c>
      <c r="AN5035">
        <v>0.99999999249132498</v>
      </c>
    </row>
    <row r="5036" spans="1:40" x14ac:dyDescent="0.25">
      <c r="A5036" t="str">
        <f>"20190305135929932"</f>
        <v>20190305135929932</v>
      </c>
      <c r="B5036" t="str">
        <f>"1551765569924338"</f>
        <v>1551765569924338</v>
      </c>
      <c r="C5036" t="s">
        <v>40</v>
      </c>
      <c r="D5036">
        <v>3.9068000000000001</v>
      </c>
      <c r="E5036">
        <v>0.55323420000000001</v>
      </c>
      <c r="F5036" t="s">
        <v>42</v>
      </c>
      <c r="G5036">
        <v>-328.19839999999999</v>
      </c>
      <c r="H5036" s="1">
        <v>-2.0015759999999998E-6</v>
      </c>
      <c r="I5036">
        <v>14.63461</v>
      </c>
      <c r="J5036">
        <v>-349.16669999999999</v>
      </c>
      <c r="K5036">
        <v>1.1108750000000001</v>
      </c>
      <c r="L5036">
        <v>17.646820000000002</v>
      </c>
      <c r="M5036">
        <v>0.99377159999999998</v>
      </c>
      <c r="N5036">
        <v>-8.2604710000000001E-3</v>
      </c>
      <c r="O5036">
        <v>0.111130199999999</v>
      </c>
      <c r="P5036">
        <v>0.99989539999999999</v>
      </c>
      <c r="Q5036">
        <v>-1.446733E-2</v>
      </c>
      <c r="R5036">
        <v>-1.979664E-4</v>
      </c>
      <c r="S5036">
        <v>2.9986570000000001</v>
      </c>
      <c r="T5036">
        <v>-0.15747729999999999</v>
      </c>
      <c r="U5036">
        <v>-0.42391970000000001</v>
      </c>
      <c r="V5036">
        <v>0.1113526</v>
      </c>
      <c r="W5036">
        <v>-5.6331990000000002E-3</v>
      </c>
      <c r="X5036">
        <v>0.99376500000000001</v>
      </c>
      <c r="Y5036">
        <v>0.24865329999999999</v>
      </c>
      <c r="Z5036">
        <v>-1.241841E-2</v>
      </c>
      <c r="AA5036">
        <v>0.96851299999999996</v>
      </c>
      <c r="AB5036">
        <v>38</v>
      </c>
      <c r="AC5036">
        <v>20.968299999999999</v>
      </c>
      <c r="AD5036">
        <v>-1.1108770015759999</v>
      </c>
      <c r="AE5036">
        <v>-3.0122100000000001</v>
      </c>
      <c r="AF5036">
        <v>5.3092409008429202</v>
      </c>
      <c r="AG5036">
        <v>-1.1108770015759999</v>
      </c>
      <c r="AH5036">
        <v>20.447420945769</v>
      </c>
      <c r="AI5036">
        <v>93.010111717219999</v>
      </c>
      <c r="AJ5036">
        <v>75.444390499000505</v>
      </c>
      <c r="AK5036">
        <v>21.1546474796742</v>
      </c>
      <c r="AL5036">
        <v>90.322760233331394</v>
      </c>
      <c r="AM5036">
        <v>83.606605266463006</v>
      </c>
      <c r="AN5036">
        <v>1.00000000484136</v>
      </c>
    </row>
    <row r="5037" spans="1:40" x14ac:dyDescent="0.25">
      <c r="A5037" t="str">
        <f>"20190305135929943"</f>
        <v>20190305135929943</v>
      </c>
      <c r="B5037" t="str">
        <f>"1551765569934098"</f>
        <v>1551765569934098</v>
      </c>
      <c r="C5037" t="s">
        <v>40</v>
      </c>
      <c r="D5037">
        <v>3.9071959999999999</v>
      </c>
      <c r="E5037">
        <v>0.55313369999999995</v>
      </c>
      <c r="F5037" t="s">
        <v>42</v>
      </c>
      <c r="G5037">
        <v>-327.38900000000001</v>
      </c>
      <c r="H5037" s="1">
        <v>-2.3386879999999998E-6</v>
      </c>
      <c r="I5037">
        <v>14.53575</v>
      </c>
      <c r="J5037">
        <v>-348.9821</v>
      </c>
      <c r="K5037">
        <v>1.110733</v>
      </c>
      <c r="L5037">
        <v>17.668029999999899</v>
      </c>
      <c r="M5037">
        <v>0.99369070000000004</v>
      </c>
      <c r="N5037">
        <v>-8.2591899999999996E-3</v>
      </c>
      <c r="O5037">
        <v>0.11185059999999999</v>
      </c>
      <c r="P5037">
        <v>0.99989550000000005</v>
      </c>
      <c r="Q5037">
        <v>-1.425824E-2</v>
      </c>
      <c r="R5037">
        <v>-2.4365649999999999E-3</v>
      </c>
      <c r="S5037">
        <v>2.9980159999999998</v>
      </c>
      <c r="T5037">
        <v>-0.15292819999999999</v>
      </c>
      <c r="U5037">
        <v>-0.42828369999999999</v>
      </c>
      <c r="V5037">
        <v>0.1142942</v>
      </c>
      <c r="W5037">
        <v>-5.4507829999999998E-3</v>
      </c>
      <c r="X5037">
        <v>0.99343199999999998</v>
      </c>
      <c r="Y5037">
        <v>0.25078929999999999</v>
      </c>
      <c r="Z5037">
        <v>-1.2158800000000001E-2</v>
      </c>
      <c r="AA5037">
        <v>0.96796539999999998</v>
      </c>
      <c r="AB5037">
        <v>38</v>
      </c>
      <c r="AC5037">
        <v>21.5931</v>
      </c>
      <c r="AD5037">
        <v>-1.1107353386879999</v>
      </c>
      <c r="AE5037">
        <v>-3.13227999999999</v>
      </c>
      <c r="AF5037">
        <v>5.5136188800725696</v>
      </c>
      <c r="AG5037">
        <v>-1.1107353386879999</v>
      </c>
      <c r="AH5037">
        <v>21.052677858380001</v>
      </c>
      <c r="AI5037">
        <v>92.921754432440494</v>
      </c>
      <c r="AJ5037">
        <v>75.324059442640007</v>
      </c>
      <c r="AK5037">
        <v>21.7910296029359</v>
      </c>
      <c r="AL5037">
        <v>90.312308405298694</v>
      </c>
      <c r="AM5037">
        <v>83.436984848067695</v>
      </c>
      <c r="AN5037">
        <v>1.0000000069064701</v>
      </c>
    </row>
    <row r="5038" spans="1:40" x14ac:dyDescent="0.25">
      <c r="A5038" t="str">
        <f>"20190305135929953"</f>
        <v>20190305135929953</v>
      </c>
      <c r="B5038" t="str">
        <f>"1551765569943857"</f>
        <v>1551765569943857</v>
      </c>
      <c r="C5038" t="s">
        <v>40</v>
      </c>
      <c r="D5038">
        <v>3.9028489999999998</v>
      </c>
      <c r="E5038">
        <v>0.55310429999999999</v>
      </c>
      <c r="F5038" t="s">
        <v>42</v>
      </c>
      <c r="G5038">
        <v>-326.60579999999999</v>
      </c>
      <c r="H5038" s="1">
        <v>-2.668562E-6</v>
      </c>
      <c r="I5038">
        <v>14.426299999999999</v>
      </c>
      <c r="J5038">
        <v>-348.80610000000001</v>
      </c>
      <c r="K5038">
        <v>1.110589</v>
      </c>
      <c r="L5038">
        <v>17.688320000000001</v>
      </c>
      <c r="M5038">
        <v>0.99362090000000003</v>
      </c>
      <c r="N5038">
        <v>-8.2582469999999998E-3</v>
      </c>
      <c r="O5038">
        <v>0.1124694</v>
      </c>
      <c r="P5038">
        <v>0.99989260000000002</v>
      </c>
      <c r="Q5038">
        <v>-1.40633999999999E-2</v>
      </c>
      <c r="R5038">
        <v>-4.1191379999999996E-3</v>
      </c>
      <c r="S5038">
        <v>2.997131</v>
      </c>
      <c r="T5038">
        <v>-0.1487743</v>
      </c>
      <c r="U5038">
        <v>-0.43420409999999998</v>
      </c>
      <c r="V5038">
        <v>0.11658159999999999</v>
      </c>
      <c r="W5038">
        <v>-5.2860669999999898E-3</v>
      </c>
      <c r="X5038">
        <v>0.99316700000000002</v>
      </c>
      <c r="Y5038">
        <v>0.25332519999999997</v>
      </c>
      <c r="Z5038">
        <v>-1.1932979999999999E-2</v>
      </c>
      <c r="AA5038">
        <v>0.96730760000000005</v>
      </c>
      <c r="AB5038">
        <v>38</v>
      </c>
      <c r="AC5038">
        <v>22.200299999999999</v>
      </c>
      <c r="AD5038">
        <v>-1.1105916685619901</v>
      </c>
      <c r="AE5038">
        <v>-3.2620200000000001</v>
      </c>
      <c r="AF5038">
        <v>5.7242384615662001</v>
      </c>
      <c r="AG5038">
        <v>-1.1105916685619901</v>
      </c>
      <c r="AH5038">
        <v>21.6395331718135</v>
      </c>
      <c r="AI5038">
        <v>92.840445463777002</v>
      </c>
      <c r="AJ5038">
        <v>75.183104294329993</v>
      </c>
      <c r="AK5038">
        <v>22.411374694854601</v>
      </c>
      <c r="AL5038">
        <v>90.302870754692194</v>
      </c>
      <c r="AM5038">
        <v>83.305047975432899</v>
      </c>
      <c r="AN5038">
        <v>0.99999995092594296</v>
      </c>
    </row>
    <row r="5039" spans="1:40" x14ac:dyDescent="0.25">
      <c r="A5039" t="str">
        <f>"20190305135929965"</f>
        <v>20190305135929965</v>
      </c>
      <c r="B5039" t="str">
        <f>"1551765569954594"</f>
        <v>1551765569954594</v>
      </c>
      <c r="C5039" t="s">
        <v>40</v>
      </c>
      <c r="D5039">
        <v>3.8906770000000002</v>
      </c>
      <c r="E5039">
        <v>0.55307289999999998</v>
      </c>
      <c r="F5039" t="s">
        <v>42</v>
      </c>
      <c r="G5039">
        <v>-325.91329999999999</v>
      </c>
      <c r="H5039" s="1">
        <v>-2.9588820000000001E-6</v>
      </c>
      <c r="I5039">
        <v>14.33469</v>
      </c>
      <c r="J5039">
        <v>-348.6223</v>
      </c>
      <c r="K5039">
        <v>1.1104430000000001</v>
      </c>
      <c r="L5039">
        <v>17.709589999999999</v>
      </c>
      <c r="M5039">
        <v>0.99355859999999996</v>
      </c>
      <c r="N5039">
        <v>-8.2576390000000006E-3</v>
      </c>
      <c r="O5039">
        <v>0.1130181</v>
      </c>
      <c r="P5039">
        <v>0.99988860000000002</v>
      </c>
      <c r="Q5039">
        <v>-1.36640999999999E-2</v>
      </c>
      <c r="R5039">
        <v>-6.0096400000000001E-3</v>
      </c>
      <c r="S5039">
        <v>2.9964900000000001</v>
      </c>
      <c r="T5039">
        <v>-0.1453681</v>
      </c>
      <c r="U5039">
        <v>-0.43896479999999999</v>
      </c>
      <c r="V5039">
        <v>0.119004399999999</v>
      </c>
      <c r="W5039">
        <v>-4.9207089999999997E-3</v>
      </c>
      <c r="X5039">
        <v>0.99288149999999997</v>
      </c>
      <c r="Y5039">
        <v>0.25540980000000002</v>
      </c>
      <c r="Z5039">
        <v>-1.174535E-2</v>
      </c>
      <c r="AA5039">
        <v>0.96676150000000005</v>
      </c>
      <c r="AB5039">
        <v>38</v>
      </c>
      <c r="AC5039">
        <v>22.709</v>
      </c>
      <c r="AD5039">
        <v>-1.1104459588819999</v>
      </c>
      <c r="AE5039">
        <v>-3.37489999999999</v>
      </c>
      <c r="AF5039">
        <v>5.9060739920421303</v>
      </c>
      <c r="AG5039">
        <v>-1.1104459588819999</v>
      </c>
      <c r="AH5039">
        <v>22.130281693805799</v>
      </c>
      <c r="AI5039">
        <v>92.775576137922698</v>
      </c>
      <c r="AJ5039">
        <v>75.057306166259494</v>
      </c>
      <c r="AK5039">
        <v>22.9317284144539</v>
      </c>
      <c r="AL5039">
        <v>90.281937005049201</v>
      </c>
      <c r="AM5039">
        <v>83.165269461334802</v>
      </c>
      <c r="AN5039">
        <v>0.99999996681933501</v>
      </c>
    </row>
    <row r="5040" spans="1:40" x14ac:dyDescent="0.25">
      <c r="A5040" t="str">
        <f>"20190305135929976"</f>
        <v>20190305135929976</v>
      </c>
      <c r="B5040" t="str">
        <f>"1551765569964354"</f>
        <v>1551765569964354</v>
      </c>
      <c r="C5040" t="s">
        <v>40</v>
      </c>
      <c r="D5040">
        <v>3.931978</v>
      </c>
      <c r="E5040">
        <v>0.55301199999999995</v>
      </c>
      <c r="F5040" t="s">
        <v>42</v>
      </c>
      <c r="G5040">
        <v>-325.07549999999998</v>
      </c>
      <c r="H5040" s="1">
        <v>-3.3117680000000002E-6</v>
      </c>
      <c r="I5040">
        <v>14.21752</v>
      </c>
      <c r="J5040">
        <v>-348.43740000000003</v>
      </c>
      <c r="K5040">
        <v>1.1102909999999999</v>
      </c>
      <c r="L5040">
        <v>17.730989999999998</v>
      </c>
      <c r="M5040">
        <v>0.99350229999999995</v>
      </c>
      <c r="N5040">
        <v>-8.2573070000000002E-3</v>
      </c>
      <c r="O5040">
        <v>0.1135129</v>
      </c>
      <c r="P5040">
        <v>0.99987919999999997</v>
      </c>
      <c r="Q5040">
        <v>-1.321372E-2</v>
      </c>
      <c r="R5040">
        <v>-8.1884569999999997E-3</v>
      </c>
      <c r="S5040">
        <v>2.9956969999999998</v>
      </c>
      <c r="T5040">
        <v>-0.14127490000000001</v>
      </c>
      <c r="U5040">
        <v>-0.44427489999999997</v>
      </c>
      <c r="V5040">
        <v>0.12165860000000001</v>
      </c>
      <c r="W5040">
        <v>-4.5060990000000004E-3</v>
      </c>
      <c r="X5040">
        <v>0.99256180000000005</v>
      </c>
      <c r="Y5040">
        <v>0.2576251</v>
      </c>
      <c r="Z5040">
        <v>-1.150085E-2</v>
      </c>
      <c r="AA5040">
        <v>0.96617649999999999</v>
      </c>
      <c r="AB5040">
        <v>38</v>
      </c>
      <c r="AC5040">
        <v>23.361899999999999</v>
      </c>
      <c r="AD5040">
        <v>-1.110294311768</v>
      </c>
      <c r="AE5040">
        <v>-3.5134699999999901</v>
      </c>
      <c r="AF5040">
        <v>6.1291885639582597</v>
      </c>
      <c r="AG5040">
        <v>-1.110294311768</v>
      </c>
      <c r="AH5040">
        <v>22.7617777913091</v>
      </c>
      <c r="AI5040">
        <v>92.696703403354405</v>
      </c>
      <c r="AJ5040">
        <v>74.929123446551301</v>
      </c>
      <c r="AK5040">
        <v>23.598691364824301</v>
      </c>
      <c r="AL5040">
        <v>90.258181322469895</v>
      </c>
      <c r="AM5040">
        <v>83.012094093442101</v>
      </c>
      <c r="AN5040">
        <v>1.00000002335069</v>
      </c>
    </row>
    <row r="5041" spans="1:40" x14ac:dyDescent="0.25">
      <c r="A5041" t="str">
        <f>"20190305135929987"</f>
        <v>20190305135929987</v>
      </c>
      <c r="B5041" t="str">
        <f>"1551765569983873"</f>
        <v>1551765569983873</v>
      </c>
      <c r="C5041" t="s">
        <v>40</v>
      </c>
      <c r="D5041">
        <v>4.2222980000000003</v>
      </c>
      <c r="E5041">
        <v>0.55282540000000002</v>
      </c>
      <c r="F5041" t="s">
        <v>42</v>
      </c>
      <c r="G5041">
        <v>-324.25029999999998</v>
      </c>
      <c r="H5041" s="1">
        <v>-3.6779489999999998E-6</v>
      </c>
      <c r="I5041">
        <v>14.093909999999999</v>
      </c>
      <c r="J5041">
        <v>-348.24979999999999</v>
      </c>
      <c r="K5041">
        <v>1.110136</v>
      </c>
      <c r="L5041">
        <v>17.752749999999999</v>
      </c>
      <c r="M5041">
        <v>0.99345859999999997</v>
      </c>
      <c r="N5041">
        <v>-8.2573560000000004E-3</v>
      </c>
      <c r="O5041">
        <v>0.11389389999999899</v>
      </c>
      <c r="P5041">
        <v>0.99986710000000001</v>
      </c>
      <c r="Q5041">
        <v>-1.2679579999999999E-2</v>
      </c>
      <c r="R5041">
        <v>-1.024918E-2</v>
      </c>
      <c r="S5041">
        <v>2.9948730000000001</v>
      </c>
      <c r="T5041">
        <v>-0.1374784</v>
      </c>
      <c r="U5041">
        <v>-0.45034790000000002</v>
      </c>
      <c r="V5041">
        <v>0.124081399999999</v>
      </c>
      <c r="W5041">
        <v>-4.0114840000000001E-3</v>
      </c>
      <c r="X5041">
        <v>0.99226389999999998</v>
      </c>
      <c r="Y5041">
        <v>0.25996829999999999</v>
      </c>
      <c r="Z5041">
        <v>-1.127504E-2</v>
      </c>
      <c r="AA5041">
        <v>0.9655513</v>
      </c>
      <c r="AB5041">
        <v>38</v>
      </c>
      <c r="AC5041">
        <v>23.999500000000001</v>
      </c>
      <c r="AD5041">
        <v>-1.110139677949</v>
      </c>
      <c r="AE5041">
        <v>-3.6588399999999899</v>
      </c>
      <c r="AF5041">
        <v>6.3552305082756604</v>
      </c>
      <c r="AG5041">
        <v>-1.110139677949</v>
      </c>
      <c r="AH5041">
        <v>23.377704017024001</v>
      </c>
      <c r="AI5041">
        <v>92.623688525240595</v>
      </c>
      <c r="AJ5041">
        <v>74.791672100856502</v>
      </c>
      <c r="AK5041">
        <v>24.2515651046578</v>
      </c>
      <c r="AL5041">
        <v>90.229841726914003</v>
      </c>
      <c r="AM5041">
        <v>82.872231216805204</v>
      </c>
      <c r="AN5041">
        <v>0.99999996653652501</v>
      </c>
    </row>
    <row r="5042" spans="1:40" x14ac:dyDescent="0.25">
      <c r="A5042" t="str">
        <f>"20190305135929997"</f>
        <v>20190305135929997</v>
      </c>
      <c r="B5042" t="str">
        <f>"1551765569994609"</f>
        <v>1551765569994609</v>
      </c>
      <c r="C5042" t="s">
        <v>40</v>
      </c>
      <c r="D5042">
        <v>3.9406509999999999</v>
      </c>
      <c r="E5042">
        <v>0.55277969999999998</v>
      </c>
      <c r="F5042" t="s">
        <v>42</v>
      </c>
      <c r="G5042">
        <v>-323.0951</v>
      </c>
      <c r="H5042" s="1">
        <v>-4.2529070000000004E-6</v>
      </c>
      <c r="I5042">
        <v>13.93117</v>
      </c>
      <c r="J5042">
        <v>-348.06130000000002</v>
      </c>
      <c r="K5042">
        <v>1.1099829999999999</v>
      </c>
      <c r="L5042">
        <v>17.774660000000001</v>
      </c>
      <c r="M5042">
        <v>0.99341829999999998</v>
      </c>
      <c r="N5042">
        <v>-8.2575970000000002E-3</v>
      </c>
      <c r="O5042">
        <v>0.1142444</v>
      </c>
      <c r="P5042">
        <v>0.99984320000000004</v>
      </c>
      <c r="Q5042">
        <v>-1.2561559999999999E-2</v>
      </c>
      <c r="R5042">
        <v>-1.249899E-2</v>
      </c>
      <c r="S5042">
        <v>2.994049</v>
      </c>
      <c r="T5042">
        <v>-0.132135</v>
      </c>
      <c r="U5042">
        <v>-0.4548645</v>
      </c>
      <c r="V5042">
        <v>0.12666160000000001</v>
      </c>
      <c r="W5042">
        <v>-3.934781E-3</v>
      </c>
      <c r="X5042">
        <v>0.99193819999999999</v>
      </c>
      <c r="Y5042">
        <v>0.2617988</v>
      </c>
      <c r="Z5042">
        <v>-1.0905130000000001E-2</v>
      </c>
      <c r="AA5042">
        <v>0.9650609</v>
      </c>
      <c r="AB5042">
        <v>38</v>
      </c>
      <c r="AC5042">
        <v>24.966200000000001</v>
      </c>
      <c r="AD5042">
        <v>-1.1099872529069901</v>
      </c>
      <c r="AE5042">
        <v>-3.8434899999999899</v>
      </c>
      <c r="AF5042">
        <v>6.6578141095187204</v>
      </c>
      <c r="AG5042">
        <v>-1.1099872529069901</v>
      </c>
      <c r="AH5042">
        <v>24.316661867314799</v>
      </c>
      <c r="AI5042">
        <v>92.520921047627795</v>
      </c>
      <c r="AJ5042">
        <v>74.687881948523795</v>
      </c>
      <c r="AK5042">
        <v>25.2360576316477</v>
      </c>
      <c r="AL5042">
        <v>90.225446922295802</v>
      </c>
      <c r="AM5042">
        <v>82.7232222745982</v>
      </c>
      <c r="AN5042">
        <v>1.00000001801765</v>
      </c>
    </row>
    <row r="5043" spans="1:40" x14ac:dyDescent="0.25">
      <c r="A5043" t="str">
        <f>"20190305135930010"</f>
        <v>20190305135930010</v>
      </c>
      <c r="B5043" t="str">
        <f>"1551765570004370"</f>
        <v>1551765570004370</v>
      </c>
      <c r="C5043" t="s">
        <v>40</v>
      </c>
      <c r="D5043">
        <v>3.9201609999999998</v>
      </c>
      <c r="E5043">
        <v>0.55272069999999995</v>
      </c>
      <c r="F5043" t="s">
        <v>42</v>
      </c>
      <c r="G5043">
        <v>-322.52159999999998</v>
      </c>
      <c r="H5043" s="1">
        <v>-4.5404190000000001E-6</v>
      </c>
      <c r="I5043">
        <v>13.83864</v>
      </c>
      <c r="J5043">
        <v>-347.86419999999998</v>
      </c>
      <c r="K5043">
        <v>1.109812</v>
      </c>
      <c r="L5043">
        <v>17.797519999999999</v>
      </c>
      <c r="M5043">
        <v>0.99339540000000004</v>
      </c>
      <c r="N5043">
        <v>-8.2582349999999992E-3</v>
      </c>
      <c r="O5043">
        <v>0.11444459999999999</v>
      </c>
      <c r="P5043">
        <v>0.99981690000000001</v>
      </c>
      <c r="Q5043">
        <v>-1.211684E-2</v>
      </c>
      <c r="R5043">
        <v>-1.481969E-2</v>
      </c>
      <c r="S5043">
        <v>2.9930729999999999</v>
      </c>
      <c r="T5043">
        <v>-0.1300827</v>
      </c>
      <c r="U5043">
        <v>-0.46127319999999999</v>
      </c>
      <c r="V5043">
        <v>0.1291611</v>
      </c>
      <c r="W5043">
        <v>-3.5374040000000001E-3</v>
      </c>
      <c r="X5043">
        <v>0.99161730000000003</v>
      </c>
      <c r="Y5043">
        <v>0.26406679999999999</v>
      </c>
      <c r="Z5043">
        <v>-1.0805850000000001E-2</v>
      </c>
      <c r="AA5043">
        <v>0.96444390000000002</v>
      </c>
      <c r="AB5043">
        <v>38</v>
      </c>
      <c r="AC5043">
        <v>25.342600000000001</v>
      </c>
      <c r="AD5043">
        <v>-1.1098165404189999</v>
      </c>
      <c r="AE5043">
        <v>-3.9588800000000002</v>
      </c>
      <c r="AF5043">
        <v>6.8205205785926601</v>
      </c>
      <c r="AG5043">
        <v>-1.1098165404189999</v>
      </c>
      <c r="AH5043">
        <v>24.676793135995801</v>
      </c>
      <c r="AI5043">
        <v>92.482148271235005</v>
      </c>
      <c r="AJ5043">
        <v>74.549513943004897</v>
      </c>
      <c r="AK5043">
        <v>25.626067064478001</v>
      </c>
      <c r="AL5043">
        <v>90.202678745100997</v>
      </c>
      <c r="AM5043">
        <v>82.578835009739706</v>
      </c>
      <c r="AN5043">
        <v>0.99999998631977904</v>
      </c>
    </row>
    <row r="5044" spans="1:40" x14ac:dyDescent="0.25">
      <c r="A5044" t="str">
        <f>"20190305135930021"</f>
        <v>20190305135930021</v>
      </c>
      <c r="B5044" t="str">
        <f>"1551765570014129"</f>
        <v>1551765570014129</v>
      </c>
      <c r="C5044" t="s">
        <v>40</v>
      </c>
      <c r="D5044">
        <v>3.9589099999999999</v>
      </c>
      <c r="E5044">
        <v>0.55263109999999904</v>
      </c>
      <c r="F5044" t="s">
        <v>42</v>
      </c>
      <c r="G5044">
        <v>-321.62479999999999</v>
      </c>
      <c r="H5044" s="1">
        <v>-4.9896259999999999E-6</v>
      </c>
      <c r="I5044">
        <v>13.69619</v>
      </c>
      <c r="J5044">
        <v>-347.65170000000001</v>
      </c>
      <c r="K5044">
        <v>1.1096269999999999</v>
      </c>
      <c r="L5044">
        <v>17.82217</v>
      </c>
      <c r="M5044">
        <v>0.99337779999999998</v>
      </c>
      <c r="N5044">
        <v>-8.259186E-3</v>
      </c>
      <c r="O5044">
        <v>0.1145975</v>
      </c>
      <c r="P5044">
        <v>0.99977990000000005</v>
      </c>
      <c r="Q5044">
        <v>-1.202108E-2</v>
      </c>
      <c r="R5044">
        <v>-1.7207279999999998E-2</v>
      </c>
      <c r="S5044">
        <v>2.9921259999999998</v>
      </c>
      <c r="T5044">
        <v>-0.12655430000000001</v>
      </c>
      <c r="U5044">
        <v>-0.46768189999999998</v>
      </c>
      <c r="V5044">
        <v>0.131679399999999</v>
      </c>
      <c r="W5044">
        <v>-3.496285E-3</v>
      </c>
      <c r="X5044">
        <v>0.99128620000000001</v>
      </c>
      <c r="Y5044">
        <v>0.26629389999999997</v>
      </c>
      <c r="Z5044">
        <v>-1.0580549999999999E-2</v>
      </c>
      <c r="AA5044">
        <v>0.96383379999999996</v>
      </c>
      <c r="AB5044">
        <v>38</v>
      </c>
      <c r="AC5044">
        <v>26.026900000000001</v>
      </c>
      <c r="AD5044">
        <v>-1.1096319896259901</v>
      </c>
      <c r="AE5044">
        <v>-4.1259800000000002</v>
      </c>
      <c r="AF5044">
        <v>7.0689812160791003</v>
      </c>
      <c r="AG5044">
        <v>-1.1096319896259901</v>
      </c>
      <c r="AH5044">
        <v>25.337653935476201</v>
      </c>
      <c r="AI5044">
        <v>92.415468900763898</v>
      </c>
      <c r="AJ5044">
        <v>74.411368120811801</v>
      </c>
      <c r="AK5044">
        <v>26.328662813360499</v>
      </c>
      <c r="AL5044">
        <v>90.200322780727504</v>
      </c>
      <c r="AM5044">
        <v>82.4333043459892</v>
      </c>
      <c r="AN5044">
        <v>1.0000000093518</v>
      </c>
    </row>
    <row r="5045" spans="1:40" x14ac:dyDescent="0.25">
      <c r="A5045" t="str">
        <f>"20190305135930034"</f>
        <v>20190305135930034</v>
      </c>
      <c r="B5045" t="str">
        <f>"1551765570023890"</f>
        <v>1551765570023890</v>
      </c>
      <c r="C5045" t="s">
        <v>40</v>
      </c>
      <c r="D5045">
        <v>3.985525</v>
      </c>
      <c r="E5045">
        <v>0.55256689999999997</v>
      </c>
      <c r="F5045" t="s">
        <v>42</v>
      </c>
      <c r="G5045">
        <v>-320.98070000000001</v>
      </c>
      <c r="H5045" s="1">
        <v>-5.3121990000000003E-6</v>
      </c>
      <c r="I5045">
        <v>13.59412</v>
      </c>
      <c r="J5045">
        <v>-347.42700000000002</v>
      </c>
      <c r="K5045">
        <v>1.109421</v>
      </c>
      <c r="L5045">
        <v>17.848210000000002</v>
      </c>
      <c r="M5045">
        <v>0.99337580000000003</v>
      </c>
      <c r="N5045">
        <v>-8.2606290000000002E-3</v>
      </c>
      <c r="O5045">
        <v>0.11461399999999999</v>
      </c>
      <c r="P5045">
        <v>0.99973800000000002</v>
      </c>
      <c r="Q5045">
        <v>-1.172288E-2</v>
      </c>
      <c r="R5045">
        <v>-1.9662570000000001E-2</v>
      </c>
      <c r="S5045">
        <v>2.9909970000000001</v>
      </c>
      <c r="T5045">
        <v>-0.12443890000000001</v>
      </c>
      <c r="U5045">
        <v>-0.47415160000000001</v>
      </c>
      <c r="V5045">
        <v>0.13412789999999999</v>
      </c>
      <c r="W5045">
        <v>-3.2609800000000001E-3</v>
      </c>
      <c r="X5045">
        <v>0.99095869999999997</v>
      </c>
      <c r="Y5045">
        <v>0.26840809999999998</v>
      </c>
      <c r="Z5045">
        <v>-1.0462300000000001E-2</v>
      </c>
      <c r="AA5045">
        <v>0.96324849999999995</v>
      </c>
      <c r="AB5045">
        <v>38</v>
      </c>
      <c r="AC5045">
        <v>26.446299999999901</v>
      </c>
      <c r="AD5045">
        <v>-1.109426312199</v>
      </c>
      <c r="AE5045">
        <v>-4.2540899999999997</v>
      </c>
      <c r="AF5045">
        <v>7.2448455718333697</v>
      </c>
      <c r="AG5045">
        <v>-1.109426312199</v>
      </c>
      <c r="AH5045">
        <v>25.740259212022</v>
      </c>
      <c r="AI5045">
        <v>92.375769339055395</v>
      </c>
      <c r="AJ5045">
        <v>74.280228718526004</v>
      </c>
      <c r="AK5045">
        <v>26.7633996047587</v>
      </c>
      <c r="AL5045">
        <v>90.186840715433803</v>
      </c>
      <c r="AM5045">
        <v>82.291765441836603</v>
      </c>
      <c r="AN5045">
        <v>1.00000003632732</v>
      </c>
    </row>
    <row r="5046" spans="1:40" x14ac:dyDescent="0.25">
      <c r="A5046" t="str">
        <f>"20190305135930047"</f>
        <v>20190305135930047</v>
      </c>
      <c r="B5046" t="str">
        <f>"1551765570044386"</f>
        <v>1551765570044386</v>
      </c>
      <c r="C5046" t="s">
        <v>40</v>
      </c>
      <c r="D5046">
        <v>3.9190749999999999</v>
      </c>
      <c r="E5046">
        <v>0.55237829999999999</v>
      </c>
      <c r="F5046" t="s">
        <v>42</v>
      </c>
      <c r="G5046">
        <v>-320.10210000000001</v>
      </c>
      <c r="H5046" s="1">
        <v>-5.7524360000000003E-6</v>
      </c>
      <c r="I5046">
        <v>13.4535</v>
      </c>
      <c r="J5046">
        <v>-347.23250000000002</v>
      </c>
      <c r="K5046">
        <v>1.109237</v>
      </c>
      <c r="L5046">
        <v>17.870609999999999</v>
      </c>
      <c r="M5046">
        <v>0.99338850000000001</v>
      </c>
      <c r="N5046">
        <v>-8.2623619999999901E-3</v>
      </c>
      <c r="O5046">
        <v>0.1145036</v>
      </c>
      <c r="P5046">
        <v>0.99968789999999996</v>
      </c>
      <c r="Q5046">
        <v>-1.138981E-2</v>
      </c>
      <c r="R5046">
        <v>-2.2229260000000001E-2</v>
      </c>
      <c r="S5046">
        <v>2.989868</v>
      </c>
      <c r="T5046">
        <v>-0.12139270000000001</v>
      </c>
      <c r="U5046">
        <v>-0.4808655</v>
      </c>
      <c r="V5046">
        <v>0.13655989999999901</v>
      </c>
      <c r="W5046">
        <v>-2.9850839999999998E-3</v>
      </c>
      <c r="X5046">
        <v>0.99062729999999999</v>
      </c>
      <c r="Y5046">
        <v>0.27047959999999999</v>
      </c>
      <c r="Z5046">
        <v>-1.026007E-2</v>
      </c>
      <c r="AA5046">
        <v>0.96267100000000005</v>
      </c>
      <c r="AB5046">
        <v>38</v>
      </c>
      <c r="AC5046">
        <v>27.130400000000002</v>
      </c>
      <c r="AD5046">
        <v>-1.109242752436</v>
      </c>
      <c r="AE5046">
        <v>-4.4171099999999903</v>
      </c>
      <c r="AF5046">
        <v>7.4825053626005698</v>
      </c>
      <c r="AG5046">
        <v>-1.109242752436</v>
      </c>
      <c r="AH5046">
        <v>26.4031577185029</v>
      </c>
      <c r="AI5046">
        <v>92.3146340945557</v>
      </c>
      <c r="AJ5046">
        <v>74.177570619019093</v>
      </c>
      <c r="AK5046">
        <v>27.465342588311501</v>
      </c>
      <c r="AL5046">
        <v>90.171032971731506</v>
      </c>
      <c r="AM5046">
        <v>82.1511336414666</v>
      </c>
      <c r="AN5046">
        <v>0.99999998225989295</v>
      </c>
    </row>
    <row r="5047" spans="1:40" x14ac:dyDescent="0.25">
      <c r="A5047" t="str">
        <f>"20190305135930060"</f>
        <v>20190305135930060</v>
      </c>
      <c r="B5047" t="str">
        <f>"1551765570054145"</f>
        <v>1551765570054145</v>
      </c>
      <c r="C5047" t="s">
        <v>40</v>
      </c>
      <c r="D5047">
        <v>3.9580350000000002</v>
      </c>
      <c r="E5047">
        <v>0.5522861</v>
      </c>
      <c r="F5047" t="s">
        <v>43</v>
      </c>
      <c r="G5047">
        <v>-317.6859</v>
      </c>
      <c r="H5047">
        <v>-0.05</v>
      </c>
      <c r="I5047">
        <v>13.056789999999999</v>
      </c>
      <c r="J5047">
        <v>-346.99759999999998</v>
      </c>
      <c r="K5047">
        <v>1.1090059999999999</v>
      </c>
      <c r="L5047">
        <v>17.89761</v>
      </c>
      <c r="M5047">
        <v>0.99341420000000002</v>
      </c>
      <c r="N5047">
        <v>-8.2647689999999999E-3</v>
      </c>
      <c r="O5047">
        <v>0.1142813</v>
      </c>
      <c r="P5047">
        <v>0.99962289999999998</v>
      </c>
      <c r="Q5047">
        <v>-1.136127E-2</v>
      </c>
      <c r="R5047">
        <v>-2.5004479999999999E-2</v>
      </c>
      <c r="S5047">
        <v>2.9887700000000001</v>
      </c>
      <c r="T5047">
        <v>-0.1172619</v>
      </c>
      <c r="U5047">
        <v>-0.4869385</v>
      </c>
      <c r="V5047">
        <v>0.13908599999999999</v>
      </c>
      <c r="W5047">
        <v>-3.029506E-3</v>
      </c>
      <c r="X5047">
        <v>0.99027569999999998</v>
      </c>
      <c r="Y5047">
        <v>0.27224470000000001</v>
      </c>
      <c r="Z5047">
        <v>-9.9548789999999998E-3</v>
      </c>
      <c r="AA5047">
        <v>0.96217660000000005</v>
      </c>
      <c r="AB5047">
        <v>39</v>
      </c>
      <c r="AC5047">
        <v>29.311699999999899</v>
      </c>
      <c r="AD5047">
        <v>-1.159006</v>
      </c>
      <c r="AE5047">
        <v>-4.8408199999999999</v>
      </c>
      <c r="AF5047">
        <v>8.1465971826266106</v>
      </c>
      <c r="AG5047">
        <v>-1.159006</v>
      </c>
      <c r="AH5047">
        <v>28.523004410228999</v>
      </c>
      <c r="AI5047">
        <v>92.2375033427289</v>
      </c>
      <c r="AJ5047">
        <v>74.059864898073599</v>
      </c>
      <c r="AK5047">
        <v>29.686227802635301</v>
      </c>
      <c r="AL5047">
        <v>90.173578168523704</v>
      </c>
      <c r="AM5047">
        <v>82.005002824750306</v>
      </c>
      <c r="AN5047">
        <v>1.0000000276565399</v>
      </c>
    </row>
    <row r="5048" spans="1:40" x14ac:dyDescent="0.25">
      <c r="A5048" t="str">
        <f>"20190305135930077"</f>
        <v>20190305135930077</v>
      </c>
      <c r="B5048" t="str">
        <f>"1551765570074643"</f>
        <v>1551765570074643</v>
      </c>
      <c r="C5048" t="s">
        <v>40</v>
      </c>
      <c r="D5048">
        <v>4.0299469999999999</v>
      </c>
      <c r="E5048">
        <v>0.55205000000000004</v>
      </c>
      <c r="F5048" t="s">
        <v>43</v>
      </c>
      <c r="G5048">
        <v>-317.09140000000002</v>
      </c>
      <c r="H5048">
        <v>-0.05</v>
      </c>
      <c r="I5048">
        <v>12.947329999999999</v>
      </c>
      <c r="J5048">
        <v>-346.69990000000001</v>
      </c>
      <c r="K5048">
        <v>1.108711</v>
      </c>
      <c r="L5048">
        <v>17.931550000000001</v>
      </c>
      <c r="M5048">
        <v>0.99347439999999998</v>
      </c>
      <c r="N5048">
        <v>-8.2689570000000004E-3</v>
      </c>
      <c r="O5048">
        <v>0.113755</v>
      </c>
      <c r="P5048">
        <v>0.99946360000000001</v>
      </c>
      <c r="Q5048">
        <v>-1.154089E-2</v>
      </c>
      <c r="R5048">
        <v>-3.065151E-2</v>
      </c>
      <c r="S5048">
        <v>2.987457</v>
      </c>
      <c r="T5048">
        <v>-0.1157783</v>
      </c>
      <c r="U5048">
        <v>-0.49450680000000002</v>
      </c>
      <c r="V5048">
        <v>0.14415129999999901</v>
      </c>
      <c r="W5048">
        <v>-3.3107670000000001E-3</v>
      </c>
      <c r="X5048">
        <v>0.98955009999999999</v>
      </c>
      <c r="Y5048">
        <v>0.2741808</v>
      </c>
      <c r="Z5048">
        <v>-9.8638030000000008E-3</v>
      </c>
      <c r="AA5048">
        <v>0.96162760000000003</v>
      </c>
      <c r="AB5048">
        <v>39</v>
      </c>
      <c r="AC5048">
        <v>29.6084999999999</v>
      </c>
      <c r="AD5048">
        <v>-1.158711</v>
      </c>
      <c r="AE5048">
        <v>-4.9842199999999997</v>
      </c>
      <c r="AF5048">
        <v>8.3077218340436403</v>
      </c>
      <c r="AG5048">
        <v>-1.158711</v>
      </c>
      <c r="AH5048">
        <v>28.8063924082951</v>
      </c>
      <c r="AI5048">
        <v>92.213317565879805</v>
      </c>
      <c r="AJ5048">
        <v>73.912515385694704</v>
      </c>
      <c r="AK5048">
        <v>30.002818148201499</v>
      </c>
      <c r="AL5048">
        <v>90.189693326496098</v>
      </c>
      <c r="AM5048">
        <v>81.711818136563096</v>
      </c>
      <c r="AN5048">
        <v>0.99999997943991303</v>
      </c>
    </row>
    <row r="5049" spans="1:40" x14ac:dyDescent="0.25">
      <c r="A5049" t="str">
        <f>"20190305135930092"</f>
        <v>20190305135930092</v>
      </c>
      <c r="B5049" t="str">
        <f>"1551765570084401"</f>
        <v>1551765570084401</v>
      </c>
      <c r="C5049" t="s">
        <v>40</v>
      </c>
      <c r="D5049">
        <v>4.0095850000000004</v>
      </c>
      <c r="E5049">
        <v>0.55189829999999995</v>
      </c>
      <c r="F5049" t="s">
        <v>43</v>
      </c>
      <c r="G5049">
        <v>-316.52730000000003</v>
      </c>
      <c r="H5049">
        <v>-0.05</v>
      </c>
      <c r="I5049">
        <v>12.781890000000001</v>
      </c>
      <c r="J5049">
        <v>-346.4622</v>
      </c>
      <c r="K5049">
        <v>1.1084689999999999</v>
      </c>
      <c r="L5049">
        <v>17.95834</v>
      </c>
      <c r="M5049">
        <v>0.99354609999999999</v>
      </c>
      <c r="N5049">
        <v>-8.2733659999999903E-3</v>
      </c>
      <c r="O5049">
        <v>0.11312759999999999</v>
      </c>
      <c r="P5049">
        <v>0.99937240000000005</v>
      </c>
      <c r="Q5049">
        <v>-1.144396E-2</v>
      </c>
      <c r="R5049">
        <v>-3.3530079999999997E-2</v>
      </c>
      <c r="S5049">
        <v>2.9846499999999998</v>
      </c>
      <c r="T5049">
        <v>-0.1146187</v>
      </c>
      <c r="U5049">
        <v>-0.50939939999999995</v>
      </c>
      <c r="V5049">
        <v>0.14637429999999901</v>
      </c>
      <c r="W5049">
        <v>-3.2985549999999999E-3</v>
      </c>
      <c r="X5049">
        <v>0.98922379999999999</v>
      </c>
      <c r="Y5049">
        <v>0.27838499999999999</v>
      </c>
      <c r="Z5049">
        <v>-9.8523340000000008E-3</v>
      </c>
      <c r="AA5049">
        <v>0.96041909999999997</v>
      </c>
      <c r="AB5049">
        <v>39</v>
      </c>
      <c r="AC5049">
        <v>29.934899999999899</v>
      </c>
      <c r="AD5049">
        <v>-1.158469</v>
      </c>
      <c r="AE5049">
        <v>-5.17645</v>
      </c>
      <c r="AF5049">
        <v>8.5174105546844405</v>
      </c>
      <c r="AG5049">
        <v>-1.158469</v>
      </c>
      <c r="AH5049">
        <v>29.1147614211459</v>
      </c>
      <c r="AI5049">
        <v>92.187012458111496</v>
      </c>
      <c r="AJ5049">
        <v>73.693367687682297</v>
      </c>
      <c r="AK5049">
        <v>30.357168273593299</v>
      </c>
      <c r="AL5049">
        <v>90.188993618685402</v>
      </c>
      <c r="AM5049">
        <v>81.583084095987502</v>
      </c>
      <c r="AN5049">
        <v>1.0000000213260001</v>
      </c>
    </row>
    <row r="5050" spans="1:40" x14ac:dyDescent="0.25">
      <c r="A5050" t="str">
        <f>"20190305135930106"</f>
        <v>20190305135930106</v>
      </c>
      <c r="B5050" t="str">
        <f>"1551765570103922"</f>
        <v>1551765570103922</v>
      </c>
      <c r="C5050" t="s">
        <v>40</v>
      </c>
      <c r="D5050">
        <v>4.0178799999999999</v>
      </c>
      <c r="E5050">
        <v>0.55162299999999997</v>
      </c>
      <c r="F5050" t="s">
        <v>43</v>
      </c>
      <c r="G5050">
        <v>-316.06299999999999</v>
      </c>
      <c r="H5050">
        <v>-0.05</v>
      </c>
      <c r="I5050">
        <v>12.69266</v>
      </c>
      <c r="J5050">
        <v>-346.2047</v>
      </c>
      <c r="K5050">
        <v>1.108195</v>
      </c>
      <c r="L5050">
        <v>17.98715</v>
      </c>
      <c r="M5050">
        <v>0.99364160000000001</v>
      </c>
      <c r="N5050">
        <v>-8.2806159999999993E-3</v>
      </c>
      <c r="O5050">
        <v>0.1122853</v>
      </c>
      <c r="P5050">
        <v>0.99927250000000001</v>
      </c>
      <c r="Q5050">
        <v>-1.157005E-2</v>
      </c>
      <c r="R5050">
        <v>-3.6339910000000003E-2</v>
      </c>
      <c r="S5050">
        <v>2.9832459999999998</v>
      </c>
      <c r="T5050">
        <v>-0.11368739999999999</v>
      </c>
      <c r="U5050">
        <v>-0.51675420000000005</v>
      </c>
      <c r="V5050">
        <v>0.14831440000000001</v>
      </c>
      <c r="W5050">
        <v>-3.5205480000000001E-3</v>
      </c>
      <c r="X5050">
        <v>0.98893399999999998</v>
      </c>
      <c r="Y5050">
        <v>0.27994869999999999</v>
      </c>
      <c r="Z5050">
        <v>-9.7886529999999996E-3</v>
      </c>
      <c r="AA5050">
        <v>0.95996510000000002</v>
      </c>
      <c r="AB5050">
        <v>39</v>
      </c>
      <c r="AC5050">
        <v>30.1417</v>
      </c>
      <c r="AD5050">
        <v>-1.1581950000000001</v>
      </c>
      <c r="AE5050">
        <v>-5.2944899999999997</v>
      </c>
      <c r="AF5050">
        <v>8.6332256739050397</v>
      </c>
      <c r="AG5050">
        <v>-1.1581950000000001</v>
      </c>
      <c r="AH5050">
        <v>29.3145704265782</v>
      </c>
      <c r="AI5050">
        <v>92.170459844816904</v>
      </c>
      <c r="AJ5050">
        <v>73.590146443130294</v>
      </c>
      <c r="AK5050">
        <v>30.581334838254101</v>
      </c>
      <c r="AL5050">
        <v>90.201712957458696</v>
      </c>
      <c r="AM5050">
        <v>81.470690609363899</v>
      </c>
      <c r="AN5050">
        <v>1.0000000059307901</v>
      </c>
    </row>
    <row r="5051" spans="1:40" x14ac:dyDescent="0.25">
      <c r="A5051" t="str">
        <f>"20190305135930122"</f>
        <v>20190305135930122</v>
      </c>
      <c r="B5051" t="str">
        <f>"1551765570114667"</f>
        <v>1551765570114667</v>
      </c>
      <c r="C5051" t="s">
        <v>40</v>
      </c>
      <c r="D5051">
        <v>4.0100259999999999</v>
      </c>
      <c r="E5051">
        <v>0.55147749999999995</v>
      </c>
      <c r="F5051" t="s">
        <v>43</v>
      </c>
      <c r="G5051">
        <v>-315.68299999999999</v>
      </c>
      <c r="H5051">
        <v>-0.05</v>
      </c>
      <c r="I5051">
        <v>12.633699999999999</v>
      </c>
      <c r="J5051">
        <v>-345.92180000000002</v>
      </c>
      <c r="K5051">
        <v>1.107882</v>
      </c>
      <c r="L5051">
        <v>18.018339999999998</v>
      </c>
      <c r="M5051">
        <v>0.9937705</v>
      </c>
      <c r="N5051">
        <v>-8.2920310000000001E-3</v>
      </c>
      <c r="O5051">
        <v>0.1111375</v>
      </c>
      <c r="P5051">
        <v>0.99907800000000002</v>
      </c>
      <c r="Q5051">
        <v>-1.21023E-2</v>
      </c>
      <c r="R5051">
        <v>-4.1193899999999999E-2</v>
      </c>
      <c r="S5051">
        <v>2.9818419999999999</v>
      </c>
      <c r="T5051">
        <v>-0.113151</v>
      </c>
      <c r="U5051">
        <v>-0.52301030000000004</v>
      </c>
      <c r="V5051">
        <v>0.15197060000000001</v>
      </c>
      <c r="W5051">
        <v>-4.167975E-3</v>
      </c>
      <c r="X5051">
        <v>0.98837629999999999</v>
      </c>
      <c r="Y5051">
        <v>0.28087259999999997</v>
      </c>
      <c r="Z5051">
        <v>-9.7347130000000007E-3</v>
      </c>
      <c r="AA5051">
        <v>0.95969570000000004</v>
      </c>
      <c r="AB5051">
        <v>39</v>
      </c>
      <c r="AC5051">
        <v>30.238800000000001</v>
      </c>
      <c r="AD5051">
        <v>-1.1578820000000001</v>
      </c>
      <c r="AE5051">
        <v>-5.3846399999999903</v>
      </c>
      <c r="AF5051">
        <v>8.6996964248818607</v>
      </c>
      <c r="AG5051">
        <v>-1.1578820000000001</v>
      </c>
      <c r="AH5051">
        <v>29.4112049943387</v>
      </c>
      <c r="AI5051">
        <v>92.161993172254</v>
      </c>
      <c r="AJ5051">
        <v>73.522030128017306</v>
      </c>
      <c r="AK5051">
        <v>30.6927416147538</v>
      </c>
      <c r="AL5051">
        <v>90.238808050653901</v>
      </c>
      <c r="AM5051">
        <v>81.258781102112707</v>
      </c>
      <c r="AN5051">
        <v>1.00000007284082</v>
      </c>
    </row>
    <row r="5052" spans="1:40" x14ac:dyDescent="0.25">
      <c r="A5052" t="str">
        <f>"20190305135930133"</f>
        <v>20190305135930133</v>
      </c>
      <c r="B5052" t="str">
        <f>"1551765570124417"</f>
        <v>1551765570124417</v>
      </c>
      <c r="C5052" t="s">
        <v>40</v>
      </c>
      <c r="D5052">
        <v>4.0157619999999996</v>
      </c>
      <c r="E5052">
        <v>0.55134989999999995</v>
      </c>
      <c r="F5052" t="s">
        <v>43</v>
      </c>
      <c r="G5052">
        <v>-316.03649999999999</v>
      </c>
      <c r="H5052">
        <v>-0.05</v>
      </c>
      <c r="I5052">
        <v>12.63626</v>
      </c>
      <c r="J5052">
        <v>-345.72739999999999</v>
      </c>
      <c r="K5052">
        <v>1.1076589999999999</v>
      </c>
      <c r="L5052">
        <v>18.039459999999998</v>
      </c>
      <c r="M5052">
        <v>0.99387510000000001</v>
      </c>
      <c r="N5052">
        <v>-8.3021209999999904E-3</v>
      </c>
      <c r="O5052">
        <v>0.110196699999999</v>
      </c>
      <c r="P5052">
        <v>0.99897309999999995</v>
      </c>
      <c r="Q5052">
        <v>-1.193702E-2</v>
      </c>
      <c r="R5052">
        <v>-4.370843E-2</v>
      </c>
      <c r="S5052">
        <v>2.9792179999999999</v>
      </c>
      <c r="T5052">
        <v>-0.1154274</v>
      </c>
      <c r="U5052">
        <v>-0.53652949999999999</v>
      </c>
      <c r="V5052">
        <v>0.15352070000000001</v>
      </c>
      <c r="W5052">
        <v>-4.0822139999999998E-3</v>
      </c>
      <c r="X5052">
        <v>0.98813700000000004</v>
      </c>
      <c r="Y5052">
        <v>0.28431329999999999</v>
      </c>
      <c r="Z5052">
        <v>-9.9833709999999996E-3</v>
      </c>
      <c r="AA5052">
        <v>0.95867939999999996</v>
      </c>
      <c r="AB5052">
        <v>39</v>
      </c>
      <c r="AC5052">
        <v>29.690899999999999</v>
      </c>
      <c r="AD5052">
        <v>-1.157659</v>
      </c>
      <c r="AE5052">
        <v>-5.4032</v>
      </c>
      <c r="AF5052">
        <v>8.6295446744035793</v>
      </c>
      <c r="AG5052">
        <v>-1.157659</v>
      </c>
      <c r="AH5052">
        <v>28.8721427628547</v>
      </c>
      <c r="AI5052">
        <v>92.200038015983694</v>
      </c>
      <c r="AJ5052">
        <v>73.359211879346802</v>
      </c>
      <c r="AK5052">
        <v>30.1564229206063</v>
      </c>
      <c r="AL5052">
        <v>90.233894282826498</v>
      </c>
      <c r="AM5052">
        <v>81.168914053444297</v>
      </c>
      <c r="AN5052">
        <v>1.0000000002843099</v>
      </c>
    </row>
    <row r="5053" spans="1:40" x14ac:dyDescent="0.25">
      <c r="A5053" t="str">
        <f>"20190305135930143"</f>
        <v>20190305135930143</v>
      </c>
      <c r="B5053" t="str">
        <f>"1551765570134178"</f>
        <v>1551765570134178</v>
      </c>
      <c r="C5053" t="s">
        <v>40</v>
      </c>
      <c r="D5053">
        <v>4.0164530000000003</v>
      </c>
      <c r="E5053">
        <v>0.55121209999999998</v>
      </c>
      <c r="F5053" t="s">
        <v>43</v>
      </c>
      <c r="G5053">
        <v>-316.01319999999998</v>
      </c>
      <c r="H5053">
        <v>-0.05</v>
      </c>
      <c r="I5053">
        <v>12.61957</v>
      </c>
      <c r="J5053">
        <v>-345.54160000000002</v>
      </c>
      <c r="K5053">
        <v>1.1074440000000001</v>
      </c>
      <c r="L5053">
        <v>18.05939</v>
      </c>
      <c r="M5053">
        <v>0.9939867</v>
      </c>
      <c r="N5053">
        <v>-8.3137679999999992E-3</v>
      </c>
      <c r="O5053">
        <v>0.1091863</v>
      </c>
      <c r="P5053">
        <v>0.99886010000000003</v>
      </c>
      <c r="Q5053">
        <v>-1.1722979999999999E-2</v>
      </c>
      <c r="R5053">
        <v>-4.627539E-2</v>
      </c>
      <c r="S5053">
        <v>2.9779659999999999</v>
      </c>
      <c r="T5053">
        <v>-0.1160207</v>
      </c>
      <c r="U5053">
        <v>-0.54318239999999995</v>
      </c>
      <c r="V5053">
        <v>0.15505369999999999</v>
      </c>
      <c r="W5053">
        <v>-3.9447220000000003E-3</v>
      </c>
      <c r="X5053">
        <v>0.98789819999999995</v>
      </c>
      <c r="Y5053">
        <v>0.28547860000000003</v>
      </c>
      <c r="Z5053">
        <v>-1.003296E-2</v>
      </c>
      <c r="AA5053">
        <v>0.95833250000000003</v>
      </c>
      <c r="AB5053">
        <v>39</v>
      </c>
      <c r="AC5053">
        <v>29.528400000000001</v>
      </c>
      <c r="AD5053">
        <v>-1.1574439999999999</v>
      </c>
      <c r="AE5053">
        <v>-5.4398200000000001</v>
      </c>
      <c r="AF5053">
        <v>8.6186947868300994</v>
      </c>
      <c r="AG5053">
        <v>-1.1574439999999999</v>
      </c>
      <c r="AH5053">
        <v>28.715200777587</v>
      </c>
      <c r="AI5053">
        <v>92.210877478275407</v>
      </c>
      <c r="AJ5053">
        <v>73.293187512233104</v>
      </c>
      <c r="AK5053">
        <v>30.0030720450224</v>
      </c>
      <c r="AL5053">
        <v>90.226016500858407</v>
      </c>
      <c r="AM5053">
        <v>81.080019632331101</v>
      </c>
      <c r="AN5053">
        <v>1.0000000321392899</v>
      </c>
    </row>
    <row r="5054" spans="1:40" x14ac:dyDescent="0.25">
      <c r="A5054" t="str">
        <f>"20190305135930154"</f>
        <v>20190305135930154</v>
      </c>
      <c r="B5054" t="str">
        <f>"1551765570143938"</f>
        <v>1551765570143938</v>
      </c>
      <c r="C5054" t="s">
        <v>40</v>
      </c>
      <c r="D5054">
        <v>4.0094779999999997</v>
      </c>
      <c r="E5054">
        <v>0.55104730000000002</v>
      </c>
      <c r="F5054" t="s">
        <v>43</v>
      </c>
      <c r="G5054">
        <v>-315.90519999999998</v>
      </c>
      <c r="H5054">
        <v>-0.05</v>
      </c>
      <c r="I5054">
        <v>12.584630000000001</v>
      </c>
      <c r="J5054">
        <v>-345.35809999999998</v>
      </c>
      <c r="K5054">
        <v>1.107224</v>
      </c>
      <c r="L5054">
        <v>18.078859999999999</v>
      </c>
      <c r="M5054">
        <v>0.99410399999999999</v>
      </c>
      <c r="N5054">
        <v>-8.3264710000000002E-3</v>
      </c>
      <c r="O5054">
        <v>0.1081104</v>
      </c>
      <c r="P5054">
        <v>0.99874750000000001</v>
      </c>
      <c r="Q5054">
        <v>-1.1326309999999999E-2</v>
      </c>
      <c r="R5054">
        <v>-4.8739629999999999E-2</v>
      </c>
      <c r="S5054">
        <v>2.9765630000000001</v>
      </c>
      <c r="T5054">
        <v>-0.1162494</v>
      </c>
      <c r="U5054">
        <v>-0.54986569999999901</v>
      </c>
      <c r="V5054">
        <v>0.15642130000000001</v>
      </c>
      <c r="W5054">
        <v>-3.6237840000000001E-3</v>
      </c>
      <c r="X5054">
        <v>0.9876838</v>
      </c>
      <c r="Y5054">
        <v>0.28660069999999999</v>
      </c>
      <c r="Z5054">
        <v>-1.004939E-2</v>
      </c>
      <c r="AA5054">
        <v>0.9579974</v>
      </c>
      <c r="AB5054">
        <v>39</v>
      </c>
      <c r="AC5054">
        <v>29.4529</v>
      </c>
      <c r="AD5054">
        <v>-1.157224</v>
      </c>
      <c r="AE5054">
        <v>-5.4942299999999902</v>
      </c>
      <c r="AF5054">
        <v>8.6334210527830493</v>
      </c>
      <c r="AG5054">
        <v>-1.157224</v>
      </c>
      <c r="AH5054">
        <v>28.643525785730201</v>
      </c>
      <c r="AI5054">
        <v>92.2152110125799</v>
      </c>
      <c r="AJ5054">
        <v>73.226712108724598</v>
      </c>
      <c r="AK5054">
        <v>29.938715668822599</v>
      </c>
      <c r="AL5054">
        <v>90.207627978955301</v>
      </c>
      <c r="AM5054">
        <v>81.0007043216401</v>
      </c>
      <c r="AN5054">
        <v>1.0000000218433001</v>
      </c>
    </row>
    <row r="5055" spans="1:40" x14ac:dyDescent="0.25">
      <c r="A5055" t="str">
        <f>"20190305135930166"</f>
        <v>20190305135930166</v>
      </c>
      <c r="B5055" t="str">
        <f>"1551765570154674"</f>
        <v>1551765570154674</v>
      </c>
      <c r="C5055" t="s">
        <v>40</v>
      </c>
      <c r="D5055">
        <v>4.0108410000000001</v>
      </c>
      <c r="E5055">
        <v>0.55090609999999995</v>
      </c>
      <c r="F5055" t="s">
        <v>43</v>
      </c>
      <c r="G5055">
        <v>-315.721</v>
      </c>
      <c r="H5055">
        <v>-0.05</v>
      </c>
      <c r="I5055">
        <v>12.5403</v>
      </c>
      <c r="J5055">
        <v>-345.16640000000001</v>
      </c>
      <c r="K5055">
        <v>1.107002</v>
      </c>
      <c r="L5055">
        <v>18.098790000000001</v>
      </c>
      <c r="M5055">
        <v>0.9942415</v>
      </c>
      <c r="N5055">
        <v>-8.3462859999999996E-3</v>
      </c>
      <c r="O5055">
        <v>0.1068378</v>
      </c>
      <c r="P5055">
        <v>0.99863150000000001</v>
      </c>
      <c r="Q5055">
        <v>-1.071063E-2</v>
      </c>
      <c r="R5055">
        <v>-5.1193309999999999E-2</v>
      </c>
      <c r="S5055">
        <v>2.9753419999999999</v>
      </c>
      <c r="T5055">
        <v>-0.1161766</v>
      </c>
      <c r="U5055">
        <v>-0.55603029999999998</v>
      </c>
      <c r="V5055">
        <v>0.1575848</v>
      </c>
      <c r="W5055">
        <v>-3.0825179999999998E-3</v>
      </c>
      <c r="X5055">
        <v>0.98750070000000001</v>
      </c>
      <c r="Y5055">
        <v>0.28736329999999999</v>
      </c>
      <c r="Z5055">
        <v>-1.0025900000000001E-2</v>
      </c>
      <c r="AA5055">
        <v>0.95776919999999999</v>
      </c>
      <c r="AB5055">
        <v>39</v>
      </c>
      <c r="AC5055">
        <v>29.445399999999999</v>
      </c>
      <c r="AD5055">
        <v>-1.1570020000000001</v>
      </c>
      <c r="AE5055">
        <v>-5.5584899999999999</v>
      </c>
      <c r="AF5055">
        <v>8.65975450259808</v>
      </c>
      <c r="AG5055">
        <v>-1.1570020000000001</v>
      </c>
      <c r="AH5055">
        <v>28.6402812862028</v>
      </c>
      <c r="AI5055">
        <v>92.214453381429294</v>
      </c>
      <c r="AJ5055">
        <v>73.176638336849507</v>
      </c>
      <c r="AK5055">
        <v>29.943208141848899</v>
      </c>
      <c r="AL5055">
        <v>90.176615542222095</v>
      </c>
      <c r="AM5055">
        <v>80.9332199570227</v>
      </c>
      <c r="AN5055">
        <v>1.0000000518043699</v>
      </c>
    </row>
    <row r="5056" spans="1:40" x14ac:dyDescent="0.25">
      <c r="A5056" t="str">
        <f>"20190305135930176"</f>
        <v>20190305135930176</v>
      </c>
      <c r="B5056" t="str">
        <f>"1551765570174193"</f>
        <v>1551765570174193</v>
      </c>
      <c r="C5056" t="s">
        <v>40</v>
      </c>
      <c r="D5056">
        <v>4.0597880000000002</v>
      </c>
      <c r="E5056">
        <v>0.55074259999999997</v>
      </c>
      <c r="F5056" t="s">
        <v>43</v>
      </c>
      <c r="G5056">
        <v>-315.2543</v>
      </c>
      <c r="H5056">
        <v>-0.05</v>
      </c>
      <c r="I5056">
        <v>12.44261</v>
      </c>
      <c r="J5056">
        <v>-344.97930000000002</v>
      </c>
      <c r="K5056">
        <v>1.106784</v>
      </c>
      <c r="L5056">
        <v>18.118069999999999</v>
      </c>
      <c r="M5056">
        <v>0.99438040000000005</v>
      </c>
      <c r="N5056">
        <v>-8.3677739999999997E-3</v>
      </c>
      <c r="O5056">
        <v>0.1055357</v>
      </c>
      <c r="P5056">
        <v>0.99850340000000004</v>
      </c>
      <c r="Q5056">
        <v>-1.0055680000000001E-2</v>
      </c>
      <c r="R5056">
        <v>-5.3760700000000002E-2</v>
      </c>
      <c r="S5056">
        <v>2.974091</v>
      </c>
      <c r="T5056">
        <v>-0.11503770000000001</v>
      </c>
      <c r="U5056">
        <v>-0.56237789999999999</v>
      </c>
      <c r="V5056">
        <v>0.15883220000000001</v>
      </c>
      <c r="W5056">
        <v>-2.5006970000000001E-3</v>
      </c>
      <c r="X5056">
        <v>0.98730240000000002</v>
      </c>
      <c r="Y5056">
        <v>0.28816180000000002</v>
      </c>
      <c r="Z5056">
        <v>-9.913893E-3</v>
      </c>
      <c r="AA5056">
        <v>0.9575304</v>
      </c>
      <c r="AB5056">
        <v>39</v>
      </c>
      <c r="AC5056">
        <v>29.725000000000001</v>
      </c>
      <c r="AD5056">
        <v>-1.156784</v>
      </c>
      <c r="AE5056">
        <v>-5.6754599999999904</v>
      </c>
      <c r="AF5056">
        <v>8.7681095045336708</v>
      </c>
      <c r="AG5056">
        <v>-1.156784</v>
      </c>
      <c r="AH5056">
        <v>28.917750310061699</v>
      </c>
      <c r="AI5056">
        <v>92.192299616609404</v>
      </c>
      <c r="AJ5056">
        <v>73.132247176158998</v>
      </c>
      <c r="AK5056">
        <v>30.239943394477802</v>
      </c>
      <c r="AL5056">
        <v>90.143279536835394</v>
      </c>
      <c r="AM5056">
        <v>80.860851509095497</v>
      </c>
      <c r="AN5056">
        <v>0.99999997514404204</v>
      </c>
    </row>
    <row r="5057" spans="1:40" x14ac:dyDescent="0.25">
      <c r="A5057" t="str">
        <f>"20190305135930187"</f>
        <v>20190305135930187</v>
      </c>
      <c r="B5057" t="str">
        <f>"1551765570183954"</f>
        <v>1551765570183954</v>
      </c>
      <c r="C5057" t="s">
        <v>40</v>
      </c>
      <c r="D5057">
        <v>4.0641540000000003</v>
      </c>
      <c r="E5057">
        <v>0.55064930000000001</v>
      </c>
      <c r="F5057" t="s">
        <v>43</v>
      </c>
      <c r="G5057">
        <v>-314.49029999999999</v>
      </c>
      <c r="H5057">
        <v>-0.05</v>
      </c>
      <c r="I5057">
        <v>12.28416</v>
      </c>
      <c r="J5057">
        <v>-344.78750000000002</v>
      </c>
      <c r="K5057">
        <v>1.1065659999999999</v>
      </c>
      <c r="L5057">
        <v>18.1373</v>
      </c>
      <c r="M5057">
        <v>0.99453990000000003</v>
      </c>
      <c r="N5057">
        <v>-8.4029659999999996E-3</v>
      </c>
      <c r="O5057">
        <v>0.1040185</v>
      </c>
      <c r="P5057">
        <v>0.99836709999999995</v>
      </c>
      <c r="Q5057">
        <v>-9.1388770000000001E-3</v>
      </c>
      <c r="R5057">
        <v>-5.6389599999999998E-2</v>
      </c>
      <c r="S5057">
        <v>2.9727480000000002</v>
      </c>
      <c r="T5057">
        <v>-0.11278879999999999</v>
      </c>
      <c r="U5057">
        <v>-0.56881709999999996</v>
      </c>
      <c r="V5057">
        <v>0.15992979999999901</v>
      </c>
      <c r="W5057">
        <v>-1.6469690000000001E-3</v>
      </c>
      <c r="X5057">
        <v>0.98712699999999998</v>
      </c>
      <c r="Y5057">
        <v>0.28879260000000001</v>
      </c>
      <c r="Z5057">
        <v>-9.7012580000000008E-3</v>
      </c>
      <c r="AA5057">
        <v>0.95734260000000004</v>
      </c>
      <c r="AB5057">
        <v>39</v>
      </c>
      <c r="AC5057">
        <v>30.2972</v>
      </c>
      <c r="AD5057">
        <v>-1.156566</v>
      </c>
      <c r="AE5057">
        <v>-5.8531399999999998</v>
      </c>
      <c r="AF5057">
        <v>8.9603792882935505</v>
      </c>
      <c r="AG5057">
        <v>-1.156566</v>
      </c>
      <c r="AH5057">
        <v>29.482562911178899</v>
      </c>
      <c r="AI5057">
        <v>92.149510076572795</v>
      </c>
      <c r="AJ5057">
        <v>73.0948552065813</v>
      </c>
      <c r="AK5057">
        <v>30.835816151256001</v>
      </c>
      <c r="AL5057">
        <v>90.094364416879998</v>
      </c>
      <c r="AM5057">
        <v>80.797165672262096</v>
      </c>
      <c r="AN5057">
        <v>0.99999998378196298</v>
      </c>
    </row>
    <row r="5058" spans="1:40" x14ac:dyDescent="0.25">
      <c r="A5058" t="str">
        <f>"20190305135930199"</f>
        <v>20190305135930199</v>
      </c>
      <c r="B5058" t="str">
        <f>"1551765570193713"</f>
        <v>1551765570193713</v>
      </c>
      <c r="C5058" t="s">
        <v>40</v>
      </c>
      <c r="D5058">
        <v>4.040152</v>
      </c>
      <c r="E5058">
        <v>0.5505525</v>
      </c>
      <c r="F5058" t="s">
        <v>43</v>
      </c>
      <c r="G5058">
        <v>-313.29669999999999</v>
      </c>
      <c r="H5058">
        <v>-0.05</v>
      </c>
      <c r="I5058">
        <v>12.033329999999999</v>
      </c>
      <c r="J5058">
        <v>-344.59739999999999</v>
      </c>
      <c r="K5058">
        <v>1.1063449999999999</v>
      </c>
      <c r="L5058">
        <v>18.156220000000001</v>
      </c>
      <c r="M5058">
        <v>0.99469940000000001</v>
      </c>
      <c r="N5058">
        <v>-8.4399200000000001E-3</v>
      </c>
      <c r="O5058">
        <v>0.1024786</v>
      </c>
      <c r="P5058">
        <v>0.99821210000000005</v>
      </c>
      <c r="Q5058">
        <v>-8.3228369999999996E-3</v>
      </c>
      <c r="R5058">
        <v>-5.9191239999999999E-2</v>
      </c>
      <c r="S5058">
        <v>2.9714049999999999</v>
      </c>
      <c r="T5058">
        <v>-0.109131199999999</v>
      </c>
      <c r="U5058">
        <v>-0.57595830000000003</v>
      </c>
      <c r="V5058">
        <v>0.16117590000000001</v>
      </c>
      <c r="W5058">
        <v>-8.9386149999999998E-4</v>
      </c>
      <c r="X5058">
        <v>0.98692530000000001</v>
      </c>
      <c r="Y5058">
        <v>0.28962640000000001</v>
      </c>
      <c r="Z5058">
        <v>-9.378183E-3</v>
      </c>
      <c r="AA5058">
        <v>0.95709379999999999</v>
      </c>
      <c r="AB5058">
        <v>39</v>
      </c>
      <c r="AC5058">
        <v>31.300699999999999</v>
      </c>
      <c r="AD5058">
        <v>-1.156345</v>
      </c>
      <c r="AE5058">
        <v>-6.1228899999999999</v>
      </c>
      <c r="AF5058">
        <v>9.2862114765552697</v>
      </c>
      <c r="AG5058">
        <v>-1.156345</v>
      </c>
      <c r="AH5058">
        <v>30.468358588392899</v>
      </c>
      <c r="AI5058">
        <v>92.079130087661298</v>
      </c>
      <c r="AJ5058">
        <v>73.049715007893397</v>
      </c>
      <c r="AK5058">
        <v>31.873056527688501</v>
      </c>
      <c r="AL5058">
        <v>90.051214497790795</v>
      </c>
      <c r="AM5058">
        <v>80.724840100746405</v>
      </c>
      <c r="AN5058">
        <v>1.0000000087546399</v>
      </c>
    </row>
    <row r="5059" spans="1:40" x14ac:dyDescent="0.25">
      <c r="A5059" t="str">
        <f>"20190305135930211"</f>
        <v>20190305135930211</v>
      </c>
      <c r="B5059" t="str">
        <f>"1551765570204449"</f>
        <v>1551765570204449</v>
      </c>
      <c r="C5059" t="s">
        <v>40</v>
      </c>
      <c r="D5059">
        <v>4.0285359999999999</v>
      </c>
      <c r="E5059">
        <v>0.55047349999999995</v>
      </c>
      <c r="F5059" t="s">
        <v>43</v>
      </c>
      <c r="G5059">
        <v>-312.59449999999998</v>
      </c>
      <c r="H5059">
        <v>-0.05</v>
      </c>
      <c r="I5059">
        <v>11.867599999999999</v>
      </c>
      <c r="J5059">
        <v>-344.36309999999997</v>
      </c>
      <c r="K5059">
        <v>1.1060749999999999</v>
      </c>
      <c r="L5059">
        <v>18.178709999999999</v>
      </c>
      <c r="M5059">
        <v>0.99491629999999998</v>
      </c>
      <c r="N5059">
        <v>-8.5073459999999903E-3</v>
      </c>
      <c r="O5059">
        <v>0.100346</v>
      </c>
      <c r="P5059">
        <v>0.9980194</v>
      </c>
      <c r="Q5059">
        <v>-7.4758050000000003E-3</v>
      </c>
      <c r="R5059">
        <v>-6.2461309999999999E-2</v>
      </c>
      <c r="S5059">
        <v>2.9698790000000002</v>
      </c>
      <c r="T5059">
        <v>-0.10730919999999999</v>
      </c>
      <c r="U5059">
        <v>-0.58358759999999998</v>
      </c>
      <c r="V5059">
        <v>0.16229950000000001</v>
      </c>
      <c r="W5059">
        <v>-1.007617E-4</v>
      </c>
      <c r="X5059">
        <v>0.98674150000000005</v>
      </c>
      <c r="Y5059">
        <v>0.29004390000000002</v>
      </c>
      <c r="Z5059">
        <v>-9.1848299999999997E-3</v>
      </c>
      <c r="AA5059">
        <v>0.95696930000000002</v>
      </c>
      <c r="AB5059">
        <v>39</v>
      </c>
      <c r="AC5059">
        <v>31.7685999999999</v>
      </c>
      <c r="AD5059">
        <v>-1.156075</v>
      </c>
      <c r="AE5059">
        <v>-6.3111099999999896</v>
      </c>
      <c r="AF5059">
        <v>9.4551742967961996</v>
      </c>
      <c r="AG5059">
        <v>-1.156075</v>
      </c>
      <c r="AH5059">
        <v>30.935510583019301</v>
      </c>
      <c r="AI5059">
        <v>92.046791979351298</v>
      </c>
      <c r="AJ5059">
        <v>73.004675696770406</v>
      </c>
      <c r="AK5059">
        <v>32.368853013669103</v>
      </c>
      <c r="AL5059">
        <v>90.005773220370799</v>
      </c>
      <c r="AM5059">
        <v>80.659606899897199</v>
      </c>
      <c r="AN5059">
        <v>0.99999996283770898</v>
      </c>
    </row>
    <row r="5060" spans="1:40" x14ac:dyDescent="0.25">
      <c r="A5060" t="str">
        <f>"20190305135930222"</f>
        <v>20190305135930222</v>
      </c>
      <c r="B5060" t="str">
        <f>"1551765570214209"</f>
        <v>1551765570214209</v>
      </c>
      <c r="C5060" t="s">
        <v>40</v>
      </c>
      <c r="D5060">
        <v>4.0672940000000004</v>
      </c>
      <c r="E5060">
        <v>0.55037159999999996</v>
      </c>
      <c r="F5060" t="s">
        <v>43</v>
      </c>
      <c r="G5060">
        <v>-311.86470000000003</v>
      </c>
      <c r="H5060">
        <v>-0.05</v>
      </c>
      <c r="I5060">
        <v>11.68825</v>
      </c>
      <c r="J5060">
        <v>-344.17790000000002</v>
      </c>
      <c r="K5060">
        <v>1.105874</v>
      </c>
      <c r="L5060">
        <v>18.196200000000001</v>
      </c>
      <c r="M5060">
        <v>0.99509170000000002</v>
      </c>
      <c r="N5060">
        <v>-8.5659050000000004E-3</v>
      </c>
      <c r="O5060">
        <v>9.8584909999999998E-2</v>
      </c>
      <c r="P5060">
        <v>0.99783869999999997</v>
      </c>
      <c r="Q5060">
        <v>-6.9736449999999997E-3</v>
      </c>
      <c r="R5060">
        <v>-6.5342750000000005E-2</v>
      </c>
      <c r="S5060">
        <v>2.9680789999999999</v>
      </c>
      <c r="T5060">
        <v>-0.10558430000000001</v>
      </c>
      <c r="U5060">
        <v>-0.59277340000000001</v>
      </c>
      <c r="V5060">
        <v>0.16340589999999999</v>
      </c>
      <c r="W5060">
        <v>3.62698E-4</v>
      </c>
      <c r="X5060">
        <v>0.98655890000000002</v>
      </c>
      <c r="Y5060">
        <v>0.29131699999999999</v>
      </c>
      <c r="Z5060">
        <v>-9.0306120000000004E-3</v>
      </c>
      <c r="AA5060">
        <v>0.95658390000000004</v>
      </c>
      <c r="AB5060">
        <v>39</v>
      </c>
      <c r="AC5060">
        <v>32.313199999999902</v>
      </c>
      <c r="AD5060">
        <v>-1.1558740000000001</v>
      </c>
      <c r="AE5060">
        <v>-6.5079500000000001</v>
      </c>
      <c r="AF5060">
        <v>9.6500896034489205</v>
      </c>
      <c r="AG5060">
        <v>-1.1558740000000001</v>
      </c>
      <c r="AH5060">
        <v>31.475465196577801</v>
      </c>
      <c r="AI5060">
        <v>92.010825381396501</v>
      </c>
      <c r="AJ5060">
        <v>72.954939719789806</v>
      </c>
      <c r="AK5060">
        <v>32.941845476528101</v>
      </c>
      <c r="AL5060">
        <v>89.979218935767605</v>
      </c>
      <c r="AM5060">
        <v>80.595357303857398</v>
      </c>
      <c r="AN5060">
        <v>1.0000000414369199</v>
      </c>
    </row>
    <row r="5061" spans="1:40" x14ac:dyDescent="0.25">
      <c r="A5061" t="str">
        <f>"20190305135930232"</f>
        <v>20190305135930232</v>
      </c>
      <c r="B5061" t="str">
        <f>"1551765570223970"</f>
        <v>1551765570223970</v>
      </c>
      <c r="C5061" t="s">
        <v>40</v>
      </c>
      <c r="D5061">
        <v>4.019857</v>
      </c>
      <c r="E5061">
        <v>0.55028149999999998</v>
      </c>
      <c r="F5061" t="s">
        <v>43</v>
      </c>
      <c r="G5061">
        <v>-311.4785</v>
      </c>
      <c r="H5061">
        <v>-0.05</v>
      </c>
      <c r="I5061">
        <v>11.57545</v>
      </c>
      <c r="J5061">
        <v>-343.9973</v>
      </c>
      <c r="K5061">
        <v>1.1056779999999999</v>
      </c>
      <c r="L5061">
        <v>18.212800000000001</v>
      </c>
      <c r="M5061">
        <v>0.99526939999999997</v>
      </c>
      <c r="N5061">
        <v>-8.6303119999999994E-3</v>
      </c>
      <c r="O5061">
        <v>9.6770200000000001E-2</v>
      </c>
      <c r="P5061">
        <v>0.99764819999999999</v>
      </c>
      <c r="Q5061">
        <v>-6.3813250000000002E-3</v>
      </c>
      <c r="R5061">
        <v>-6.8245829999999993E-2</v>
      </c>
      <c r="S5061">
        <v>2.9664000000000001</v>
      </c>
      <c r="T5061">
        <v>-0.10485800000000001</v>
      </c>
      <c r="U5061">
        <v>-0.6006165</v>
      </c>
      <c r="V5061">
        <v>0.16448289999999999</v>
      </c>
      <c r="W5061">
        <v>9.2584269999999998E-4</v>
      </c>
      <c r="X5061">
        <v>0.98637949999999996</v>
      </c>
      <c r="Y5061">
        <v>0.2921106</v>
      </c>
      <c r="Z5061">
        <v>-8.9471410000000005E-3</v>
      </c>
      <c r="AA5061">
        <v>0.95634269999999999</v>
      </c>
      <c r="AB5061">
        <v>39</v>
      </c>
      <c r="AC5061">
        <v>32.518799999999999</v>
      </c>
      <c r="AD5061">
        <v>-1.155678</v>
      </c>
      <c r="AE5061">
        <v>-6.6373499999999996</v>
      </c>
      <c r="AF5061">
        <v>9.7413534051911306</v>
      </c>
      <c r="AG5061">
        <v>-1.155678</v>
      </c>
      <c r="AH5061">
        <v>31.685429922220901</v>
      </c>
      <c r="AI5061">
        <v>91.996697850932406</v>
      </c>
      <c r="AJ5061">
        <v>72.9105029329464</v>
      </c>
      <c r="AK5061">
        <v>33.169202992542502</v>
      </c>
      <c r="AL5061">
        <v>89.946953113207798</v>
      </c>
      <c r="AM5061">
        <v>80.532799499122703</v>
      </c>
      <c r="AN5061">
        <v>0.99999999979868204</v>
      </c>
    </row>
    <row r="5062" spans="1:40" x14ac:dyDescent="0.25">
      <c r="A5062" t="str">
        <f>"20190305135930244"</f>
        <v>20190305135930244</v>
      </c>
      <c r="B5062" t="str">
        <f>"1551765570233729"</f>
        <v>1551765570233729</v>
      </c>
      <c r="C5062" t="s">
        <v>40</v>
      </c>
      <c r="D5062">
        <v>4.0527559999999996</v>
      </c>
      <c r="E5062">
        <v>0.55019770000000001</v>
      </c>
      <c r="F5062" t="s">
        <v>43</v>
      </c>
      <c r="G5062">
        <v>-311.0299</v>
      </c>
      <c r="H5062">
        <v>-0.05</v>
      </c>
      <c r="I5062">
        <v>11.44586</v>
      </c>
      <c r="J5062">
        <v>-343.80290000000002</v>
      </c>
      <c r="K5062">
        <v>1.105477</v>
      </c>
      <c r="L5062">
        <v>18.230219999999999</v>
      </c>
      <c r="M5062">
        <v>0.99546500000000004</v>
      </c>
      <c r="N5062">
        <v>-8.7084420000000003E-3</v>
      </c>
      <c r="O5062">
        <v>9.4729400000000005E-2</v>
      </c>
      <c r="P5062">
        <v>0.99744010000000005</v>
      </c>
      <c r="Q5062">
        <v>-6.2925630000000001E-3</v>
      </c>
      <c r="R5062">
        <v>-7.1231279999999994E-2</v>
      </c>
      <c r="S5062">
        <v>2.9647519999999998</v>
      </c>
      <c r="T5062">
        <v>-0.1039302</v>
      </c>
      <c r="U5062">
        <v>-0.60855099999999995</v>
      </c>
      <c r="V5062">
        <v>0.16541439999999999</v>
      </c>
      <c r="W5062">
        <v>9.959379E-4</v>
      </c>
      <c r="X5062">
        <v>0.98622359999999998</v>
      </c>
      <c r="Y5062">
        <v>0.29271469999999999</v>
      </c>
      <c r="Z5062">
        <v>-8.8389149999999993E-3</v>
      </c>
      <c r="AA5062">
        <v>0.95615899999999998</v>
      </c>
      <c r="AB5062">
        <v>39</v>
      </c>
      <c r="AC5062">
        <v>32.773000000000003</v>
      </c>
      <c r="AD5062">
        <v>-1.1554770000000001</v>
      </c>
      <c r="AE5062">
        <v>-6.7843600000000004</v>
      </c>
      <c r="AF5062">
        <v>9.8467959443732997</v>
      </c>
      <c r="AG5062">
        <v>-1.1554770000000001</v>
      </c>
      <c r="AH5062">
        <v>31.944830439056801</v>
      </c>
      <c r="AI5062">
        <v>91.979705495404701</v>
      </c>
      <c r="AJ5062">
        <v>72.868410109367403</v>
      </c>
      <c r="AK5062">
        <v>33.447970181279203</v>
      </c>
      <c r="AL5062">
        <v>89.942936949523698</v>
      </c>
      <c r="AM5062">
        <v>80.478686130770399</v>
      </c>
      <c r="AN5062">
        <v>0.99999995240830897</v>
      </c>
    </row>
    <row r="5063" spans="1:40" x14ac:dyDescent="0.25">
      <c r="A5063" t="str">
        <f>"20190305135930254"</f>
        <v>20190305135930254</v>
      </c>
      <c r="B5063" t="str">
        <f>"1551765570244466"</f>
        <v>1551765570244466</v>
      </c>
      <c r="C5063" t="s">
        <v>40</v>
      </c>
      <c r="D5063">
        <v>4.068479</v>
      </c>
      <c r="E5063">
        <v>0.55011279999999996</v>
      </c>
      <c r="F5063" t="s">
        <v>43</v>
      </c>
      <c r="G5063">
        <v>-311.06790000000001</v>
      </c>
      <c r="H5063">
        <v>-0.05</v>
      </c>
      <c r="I5063">
        <v>11.415570000000001</v>
      </c>
      <c r="J5063">
        <v>-343.61360000000002</v>
      </c>
      <c r="K5063">
        <v>1.105286</v>
      </c>
      <c r="L5063">
        <v>18.246860000000002</v>
      </c>
      <c r="M5063">
        <v>0.9956583</v>
      </c>
      <c r="N5063">
        <v>-8.7917729999999993E-3</v>
      </c>
      <c r="O5063">
        <v>9.2667620000000006E-2</v>
      </c>
      <c r="P5063">
        <v>0.99724520000000005</v>
      </c>
      <c r="Q5063">
        <v>-6.2439110000000004E-3</v>
      </c>
      <c r="R5063">
        <v>-7.3912950000000005E-2</v>
      </c>
      <c r="S5063">
        <v>2.9629819999999998</v>
      </c>
      <c r="T5063">
        <v>-0.104587</v>
      </c>
      <c r="U5063">
        <v>-0.61682130000000002</v>
      </c>
      <c r="V5063">
        <v>0.16602529999999999</v>
      </c>
      <c r="W5063">
        <v>1.0383759999999999E-3</v>
      </c>
      <c r="X5063">
        <v>0.98612089999999997</v>
      </c>
      <c r="Y5063">
        <v>0.29340329999999998</v>
      </c>
      <c r="Z5063">
        <v>-8.860494E-3</v>
      </c>
      <c r="AA5063">
        <v>0.95594769999999896</v>
      </c>
      <c r="AB5063">
        <v>39</v>
      </c>
      <c r="AC5063">
        <v>32.545699999999997</v>
      </c>
      <c r="AD5063">
        <v>-1.155286</v>
      </c>
      <c r="AE5063">
        <v>-6.8312900000000001</v>
      </c>
      <c r="AF5063">
        <v>9.8061075456133207</v>
      </c>
      <c r="AG5063">
        <v>-1.155286</v>
      </c>
      <c r="AH5063">
        <v>31.734284607717498</v>
      </c>
      <c r="AI5063">
        <v>91.992072480039795</v>
      </c>
      <c r="AJ5063">
        <v>72.828498943000199</v>
      </c>
      <c r="AK5063">
        <v>33.2349101172478</v>
      </c>
      <c r="AL5063">
        <v>89.940505424220603</v>
      </c>
      <c r="AM5063">
        <v>80.443192954096901</v>
      </c>
      <c r="AN5063">
        <v>0.99999995394080698</v>
      </c>
    </row>
    <row r="5064" spans="1:40" x14ac:dyDescent="0.25">
      <c r="A5064" t="str">
        <f>"20190305135930267"</f>
        <v>20190305135930267</v>
      </c>
      <c r="B5064" t="str">
        <f>"1551765570254225"</f>
        <v>1551765570254225</v>
      </c>
      <c r="C5064" t="s">
        <v>40</v>
      </c>
      <c r="D5064">
        <v>4.0722009999999997</v>
      </c>
      <c r="E5064">
        <v>0.55000539999999998</v>
      </c>
      <c r="F5064" t="s">
        <v>43</v>
      </c>
      <c r="G5064">
        <v>-310.84949999999998</v>
      </c>
      <c r="H5064">
        <v>-0.05</v>
      </c>
      <c r="I5064">
        <v>11.34207</v>
      </c>
      <c r="J5064">
        <v>-343.40960000000001</v>
      </c>
      <c r="K5064">
        <v>1.1050960000000001</v>
      </c>
      <c r="L5064">
        <v>18.264099999999999</v>
      </c>
      <c r="M5064">
        <v>0.99587150000000002</v>
      </c>
      <c r="N5064">
        <v>-8.8968190000000003E-3</v>
      </c>
      <c r="O5064">
        <v>9.0337189999999998E-2</v>
      </c>
      <c r="P5064">
        <v>0.99700489999999997</v>
      </c>
      <c r="Q5064">
        <v>-6.5273900000000001E-3</v>
      </c>
      <c r="R5064">
        <v>-7.70623E-2</v>
      </c>
      <c r="S5064">
        <v>2.9613649999999998</v>
      </c>
      <c r="T5064">
        <v>-0.10441979999999999</v>
      </c>
      <c r="U5064">
        <v>-0.62408450000000004</v>
      </c>
      <c r="V5064">
        <v>0.1668308</v>
      </c>
      <c r="W5064">
        <v>7.6562570000000005E-4</v>
      </c>
      <c r="X5064">
        <v>0.98598520000000001</v>
      </c>
      <c r="Y5064">
        <v>0.29351739999999998</v>
      </c>
      <c r="Z5064">
        <v>-8.7977400000000001E-3</v>
      </c>
      <c r="AA5064">
        <v>0.95591320000000002</v>
      </c>
      <c r="AB5064">
        <v>39</v>
      </c>
      <c r="AC5064">
        <v>32.560099999999998</v>
      </c>
      <c r="AD5064">
        <v>-1.1550959999999999</v>
      </c>
      <c r="AE5064">
        <v>-6.9220300000000003</v>
      </c>
      <c r="AF5064">
        <v>9.8234010818208901</v>
      </c>
      <c r="AG5064">
        <v>-1.1550959999999999</v>
      </c>
      <c r="AH5064">
        <v>31.763370743710301</v>
      </c>
      <c r="AI5064">
        <v>91.989776022972706</v>
      </c>
      <c r="AJ5064">
        <v>72.814823700802094</v>
      </c>
      <c r="AK5064">
        <v>33.267779856580901</v>
      </c>
      <c r="AL5064">
        <v>89.956132872588896</v>
      </c>
      <c r="AM5064">
        <v>80.396390847300907</v>
      </c>
      <c r="AN5064">
        <v>0.99999995831519495</v>
      </c>
    </row>
    <row r="5065" spans="1:40" x14ac:dyDescent="0.25">
      <c r="A5065" t="str">
        <f>"20190305135930280"</f>
        <v>20190305135930280</v>
      </c>
      <c r="B5065" t="str">
        <f>"1551765570273745"</f>
        <v>1551765570273745</v>
      </c>
      <c r="C5065" t="s">
        <v>40</v>
      </c>
      <c r="D5065">
        <v>4.0104350000000002</v>
      </c>
      <c r="E5065">
        <v>0.54985519999999999</v>
      </c>
      <c r="F5065" t="s">
        <v>43</v>
      </c>
      <c r="G5065">
        <v>-310.99200000000002</v>
      </c>
      <c r="H5065">
        <v>-0.05</v>
      </c>
      <c r="I5065">
        <v>11.335330000000001</v>
      </c>
      <c r="J5065">
        <v>-343.17189999999999</v>
      </c>
      <c r="K5065">
        <v>1.104887</v>
      </c>
      <c r="L5065">
        <v>18.283719999999999</v>
      </c>
      <c r="M5065">
        <v>0.99611910000000004</v>
      </c>
      <c r="N5065">
        <v>-9.0301459999999993E-3</v>
      </c>
      <c r="O5065">
        <v>8.7551519999999994E-2</v>
      </c>
      <c r="P5065">
        <v>0.99674359999999995</v>
      </c>
      <c r="Q5065">
        <v>-6.8204889999999999E-3</v>
      </c>
      <c r="R5065">
        <v>-8.0349630000000005E-2</v>
      </c>
      <c r="S5065">
        <v>2.9594420000000001</v>
      </c>
      <c r="T5065">
        <v>-0.10545019999999999</v>
      </c>
      <c r="U5065">
        <v>-0.63253780000000004</v>
      </c>
      <c r="V5065">
        <v>0.16732320000000001</v>
      </c>
      <c r="W5065">
        <v>5.0288830000000005E-4</v>
      </c>
      <c r="X5065">
        <v>0.98590199999999995</v>
      </c>
      <c r="Y5065">
        <v>0.2935777</v>
      </c>
      <c r="Z5065">
        <v>-8.8187189999999992E-3</v>
      </c>
      <c r="AA5065">
        <v>0.95589449999999998</v>
      </c>
      <c r="AB5065">
        <v>39</v>
      </c>
      <c r="AC5065">
        <v>32.179899999999897</v>
      </c>
      <c r="AD5065">
        <v>-1.154887</v>
      </c>
      <c r="AE5065">
        <v>-6.9483899999999998</v>
      </c>
      <c r="AF5065">
        <v>9.7272494653135499</v>
      </c>
      <c r="AG5065">
        <v>-1.154887</v>
      </c>
      <c r="AH5065">
        <v>31.409299473676199</v>
      </c>
      <c r="AI5065">
        <v>92.011582970441907</v>
      </c>
      <c r="AJ5065">
        <v>72.792597376801396</v>
      </c>
      <c r="AK5065">
        <v>32.901325802622097</v>
      </c>
      <c r="AL5065">
        <v>89.971186622489896</v>
      </c>
      <c r="AM5065">
        <v>80.367778499766402</v>
      </c>
      <c r="AN5065">
        <v>1.00000002987944</v>
      </c>
    </row>
    <row r="5066" spans="1:40" x14ac:dyDescent="0.25">
      <c r="A5066" t="str">
        <f>"20190305135930293"</f>
        <v>20190305135930293</v>
      </c>
      <c r="B5066" t="str">
        <f>"1551765570284481"</f>
        <v>1551765570284481</v>
      </c>
      <c r="C5066" t="s">
        <v>40</v>
      </c>
      <c r="D5066">
        <v>4.0190769999999896</v>
      </c>
      <c r="E5066">
        <v>0.54980869999999904</v>
      </c>
      <c r="F5066" t="s">
        <v>43</v>
      </c>
      <c r="G5066">
        <v>-310.8175</v>
      </c>
      <c r="H5066">
        <v>-0.05</v>
      </c>
      <c r="I5066">
        <v>11.27017</v>
      </c>
      <c r="J5066">
        <v>-342.9325</v>
      </c>
      <c r="K5066">
        <v>1.1047020000000001</v>
      </c>
      <c r="L5066">
        <v>18.30255</v>
      </c>
      <c r="M5066">
        <v>0.9963706</v>
      </c>
      <c r="N5066">
        <v>-9.1929230000000004E-3</v>
      </c>
      <c r="O5066">
        <v>8.4623680000000007E-2</v>
      </c>
      <c r="P5066">
        <v>0.99652629999999998</v>
      </c>
      <c r="Q5066">
        <v>-7.0647779999999999E-3</v>
      </c>
      <c r="R5066">
        <v>-8.2979170000000005E-2</v>
      </c>
      <c r="S5066">
        <v>2.9573969999999998</v>
      </c>
      <c r="T5066">
        <v>-0.10556409999999999</v>
      </c>
      <c r="U5066">
        <v>-0.64108279999999995</v>
      </c>
      <c r="V5066">
        <v>0.16702639999999999</v>
      </c>
      <c r="W5066">
        <v>3.3504169999999997E-4</v>
      </c>
      <c r="X5066">
        <v>0.98595239999999995</v>
      </c>
      <c r="Y5066">
        <v>0.293543099999999</v>
      </c>
      <c r="Z5066">
        <v>-8.7639559999999998E-3</v>
      </c>
      <c r="AA5066">
        <v>0.95590569999999997</v>
      </c>
      <c r="AB5066">
        <v>39</v>
      </c>
      <c r="AC5066">
        <v>32.115000000000002</v>
      </c>
      <c r="AD5066">
        <v>-1.1547019999999999</v>
      </c>
      <c r="AE5066">
        <v>-7.0323799999999999</v>
      </c>
      <c r="AF5066">
        <v>9.7129746826877899</v>
      </c>
      <c r="AG5066">
        <v>-1.1547019999999999</v>
      </c>
      <c r="AH5066">
        <v>31.365968329889501</v>
      </c>
      <c r="AI5066">
        <v>92.014052720609598</v>
      </c>
      <c r="AJ5066">
        <v>72.794023216661998</v>
      </c>
      <c r="AK5066">
        <v>32.855732881294401</v>
      </c>
      <c r="AL5066">
        <v>89.980803524899699</v>
      </c>
      <c r="AM5066">
        <v>80.385027327927403</v>
      </c>
      <c r="AN5066">
        <v>1.00000003280783</v>
      </c>
    </row>
    <row r="5067" spans="1:40" x14ac:dyDescent="0.25">
      <c r="A5067" t="str">
        <f>"20190305135930305"</f>
        <v>20190305135930305</v>
      </c>
      <c r="B5067" t="str">
        <f>"1551765570294242"</f>
        <v>1551765570294242</v>
      </c>
      <c r="C5067" t="s">
        <v>40</v>
      </c>
      <c r="D5067">
        <v>4.0382490000000004</v>
      </c>
      <c r="E5067">
        <v>0.54976389999999997</v>
      </c>
      <c r="F5067" t="s">
        <v>43</v>
      </c>
      <c r="G5067">
        <v>-310.6302</v>
      </c>
      <c r="H5067">
        <v>-0.05</v>
      </c>
      <c r="I5067">
        <v>11.21458</v>
      </c>
      <c r="J5067">
        <v>-342.7165</v>
      </c>
      <c r="K5067">
        <v>1.1045560000000001</v>
      </c>
      <c r="L5067">
        <v>18.31888</v>
      </c>
      <c r="M5067">
        <v>0.99659560000000003</v>
      </c>
      <c r="N5067">
        <v>-9.3542179999999992E-3</v>
      </c>
      <c r="O5067">
        <v>8.1913970000000003E-2</v>
      </c>
      <c r="P5067">
        <v>0.9963069</v>
      </c>
      <c r="Q5067">
        <v>-6.9328699999999998E-3</v>
      </c>
      <c r="R5067">
        <v>-8.5583720000000002E-2</v>
      </c>
      <c r="S5067">
        <v>2.9557190000000002</v>
      </c>
      <c r="T5067">
        <v>-0.10565720000000001</v>
      </c>
      <c r="U5067">
        <v>-0.64855959999999901</v>
      </c>
      <c r="V5067">
        <v>0.16692589999999999</v>
      </c>
      <c r="W5067">
        <v>5.5438679999999998E-4</v>
      </c>
      <c r="X5067">
        <v>0.98596930000000005</v>
      </c>
      <c r="Y5067">
        <v>0.29336459999999998</v>
      </c>
      <c r="Z5067">
        <v>-8.7098169999999999E-3</v>
      </c>
      <c r="AA5067">
        <v>0.95596099999999995</v>
      </c>
      <c r="AB5067">
        <v>39</v>
      </c>
      <c r="AC5067">
        <v>32.086299999999902</v>
      </c>
      <c r="AD5067">
        <v>-1.1545559999999999</v>
      </c>
      <c r="AE5067">
        <v>-7.1043000000000003</v>
      </c>
      <c r="AF5067">
        <v>9.6968857457283892</v>
      </c>
      <c r="AG5067">
        <v>-1.1545559999999999</v>
      </c>
      <c r="AH5067">
        <v>31.357791082622899</v>
      </c>
      <c r="AI5067">
        <v>92.014568728364196</v>
      </c>
      <c r="AJ5067">
        <v>72.816628851198502</v>
      </c>
      <c r="AK5067">
        <v>32.843167543710997</v>
      </c>
      <c r="AL5067">
        <v>89.968235974895904</v>
      </c>
      <c r="AM5067">
        <v>80.390866396930306</v>
      </c>
      <c r="AN5067">
        <v>1.00000001198901</v>
      </c>
    </row>
    <row r="5068" spans="1:40" x14ac:dyDescent="0.25">
      <c r="A5068" t="str">
        <f>"20190305135930323"</f>
        <v>20190305135930323</v>
      </c>
      <c r="B5068" t="str">
        <f>"1551765570313765"</f>
        <v>1551765570313765</v>
      </c>
      <c r="C5068" t="s">
        <v>40</v>
      </c>
      <c r="D5068">
        <v>4.0516220000000001</v>
      </c>
      <c r="E5068">
        <v>0.54965310000000001</v>
      </c>
      <c r="F5068" t="s">
        <v>43</v>
      </c>
      <c r="G5068">
        <v>-310.13639999999998</v>
      </c>
      <c r="H5068">
        <v>-0.05</v>
      </c>
      <c r="I5068">
        <v>11.08446</v>
      </c>
      <c r="J5068">
        <v>-342.41219999999998</v>
      </c>
      <c r="K5068">
        <v>1.1043810000000001</v>
      </c>
      <c r="L5068">
        <v>18.340910000000001</v>
      </c>
      <c r="M5068">
        <v>0.99690579999999995</v>
      </c>
      <c r="N5068">
        <v>-9.6054499999999998E-3</v>
      </c>
      <c r="O5068">
        <v>7.8015509999999996E-2</v>
      </c>
      <c r="P5068">
        <v>0.99604979999999999</v>
      </c>
      <c r="Q5068">
        <v>-5.7250080000000002E-3</v>
      </c>
      <c r="R5068">
        <v>-8.8611960000000004E-2</v>
      </c>
      <c r="S5068">
        <v>2.9540410000000001</v>
      </c>
      <c r="T5068">
        <v>-0.1046836</v>
      </c>
      <c r="U5068">
        <v>-0.65594479999999999</v>
      </c>
      <c r="V5068">
        <v>0.1660838</v>
      </c>
      <c r="W5068">
        <v>1.9281540000000001E-3</v>
      </c>
      <c r="X5068">
        <v>0.98610980000000004</v>
      </c>
      <c r="Y5068">
        <v>0.29202400000000001</v>
      </c>
      <c r="Z5068">
        <v>-8.5256450000000001E-3</v>
      </c>
      <c r="AA5068">
        <v>0.95637300000000003</v>
      </c>
      <c r="AB5068">
        <v>39</v>
      </c>
      <c r="AC5068">
        <v>32.275799999999997</v>
      </c>
      <c r="AD5068">
        <v>-1.1543809999999901</v>
      </c>
      <c r="AE5068">
        <v>-7.2564500000000001</v>
      </c>
      <c r="AF5068">
        <v>9.7405998778858596</v>
      </c>
      <c r="AG5068">
        <v>-1.1543809999999901</v>
      </c>
      <c r="AH5068">
        <v>31.572831918598801</v>
      </c>
      <c r="AI5068">
        <v>92.000962550639997</v>
      </c>
      <c r="AJ5068">
        <v>72.854373936268999</v>
      </c>
      <c r="AK5068">
        <v>33.061391332403403</v>
      </c>
      <c r="AL5068">
        <v>89.889524849737995</v>
      </c>
      <c r="AM5068">
        <v>80.439782073516994</v>
      </c>
      <c r="AN5068">
        <v>1.0000000420281601</v>
      </c>
    </row>
    <row r="5069" spans="1:40" x14ac:dyDescent="0.25">
      <c r="A5069" t="str">
        <f>"20190305135930333"</f>
        <v>20190305135930333</v>
      </c>
      <c r="B5069" t="str">
        <f>"1551765570324498"</f>
        <v>1551765570324498</v>
      </c>
      <c r="C5069" t="s">
        <v>40</v>
      </c>
      <c r="D5069">
        <v>4.0344860000000002</v>
      </c>
      <c r="E5069">
        <v>0.54960319999999996</v>
      </c>
      <c r="F5069" t="s">
        <v>43</v>
      </c>
      <c r="G5069">
        <v>-308.52839999999998</v>
      </c>
      <c r="H5069">
        <v>-0.05</v>
      </c>
      <c r="I5069">
        <v>10.71916</v>
      </c>
      <c r="J5069">
        <v>-342.22829999999999</v>
      </c>
      <c r="K5069">
        <v>1.1042940000000001</v>
      </c>
      <c r="L5069">
        <v>18.35361</v>
      </c>
      <c r="M5069">
        <v>0.997089</v>
      </c>
      <c r="N5069">
        <v>-9.7754049999999992E-3</v>
      </c>
      <c r="O5069">
        <v>7.5617980000000001E-2</v>
      </c>
      <c r="P5069">
        <v>0.99587340000000002</v>
      </c>
      <c r="Q5069">
        <v>-5.2647419999999898E-3</v>
      </c>
      <c r="R5069">
        <v>-9.0600609999999998E-2</v>
      </c>
      <c r="S5069">
        <v>2.9522089999999999</v>
      </c>
      <c r="T5069">
        <v>-0.1005783</v>
      </c>
      <c r="U5069">
        <v>-0.6640625</v>
      </c>
      <c r="V5069">
        <v>0.16568959999999999</v>
      </c>
      <c r="W5069">
        <v>2.5118010000000001E-3</v>
      </c>
      <c r="X5069">
        <v>0.98617480000000002</v>
      </c>
      <c r="Y5069">
        <v>0.29237229999999997</v>
      </c>
      <c r="Z5069">
        <v>-8.1831200000000003E-3</v>
      </c>
      <c r="AA5069">
        <v>0.95626960000000005</v>
      </c>
      <c r="AB5069">
        <v>39</v>
      </c>
      <c r="AC5069">
        <v>33.6999</v>
      </c>
      <c r="AD5069">
        <v>-1.1542939999999999</v>
      </c>
      <c r="AE5069">
        <v>-7.6344499999999904</v>
      </c>
      <c r="AF5069">
        <v>10.149702971013101</v>
      </c>
      <c r="AG5069">
        <v>-1.1542939999999999</v>
      </c>
      <c r="AH5069">
        <v>32.989260087465098</v>
      </c>
      <c r="AI5069">
        <v>91.9154254602404</v>
      </c>
      <c r="AJ5069">
        <v>72.898601546864299</v>
      </c>
      <c r="AK5069">
        <v>34.534622426727701</v>
      </c>
      <c r="AL5069">
        <v>89.856084258785401</v>
      </c>
      <c r="AM5069">
        <v>80.4626729927393</v>
      </c>
      <c r="AN5069">
        <v>1.00000004442373</v>
      </c>
    </row>
    <row r="5070" spans="1:40" x14ac:dyDescent="0.25">
      <c r="A5070" t="str">
        <f>"20190305135930344"</f>
        <v>20190305135930344</v>
      </c>
      <c r="B5070" t="str">
        <f>"1551765570334257"</f>
        <v>1551765570334257</v>
      </c>
      <c r="C5070" t="s">
        <v>40</v>
      </c>
      <c r="D5070">
        <v>4.0258799999999999</v>
      </c>
      <c r="E5070">
        <v>0.54954259999999999</v>
      </c>
      <c r="F5070" t="s">
        <v>43</v>
      </c>
      <c r="G5070">
        <v>-307.7715</v>
      </c>
      <c r="H5070">
        <v>-0.05</v>
      </c>
      <c r="I5070">
        <v>10.53633</v>
      </c>
      <c r="J5070">
        <v>-342.04</v>
      </c>
      <c r="K5070">
        <v>1.1042149999999999</v>
      </c>
      <c r="L5070">
        <v>18.36609</v>
      </c>
      <c r="M5070">
        <v>0.9972723</v>
      </c>
      <c r="N5070">
        <v>-9.9592740000000006E-3</v>
      </c>
      <c r="O5070">
        <v>7.3136580000000007E-2</v>
      </c>
      <c r="P5070">
        <v>0.99568950000000001</v>
      </c>
      <c r="Q5070">
        <v>-4.3332170000000003E-3</v>
      </c>
      <c r="R5070">
        <v>-9.264965E-2</v>
      </c>
      <c r="S5070">
        <v>2.9509889999999999</v>
      </c>
      <c r="T5070">
        <v>-9.8857159999999999E-2</v>
      </c>
      <c r="U5070">
        <v>-0.66949459999999905</v>
      </c>
      <c r="V5070">
        <v>0.16527849999999999</v>
      </c>
      <c r="W5070">
        <v>3.5851569999999998E-3</v>
      </c>
      <c r="X5070">
        <v>0.98624040000000002</v>
      </c>
      <c r="Y5070">
        <v>0.29176000000000002</v>
      </c>
      <c r="Z5070">
        <v>-7.9998469999999992E-3</v>
      </c>
      <c r="AA5070">
        <v>0.95645809999999998</v>
      </c>
      <c r="AB5070">
        <v>39</v>
      </c>
      <c r="AC5070">
        <v>34.268500000000003</v>
      </c>
      <c r="AD5070">
        <v>-1.154215</v>
      </c>
      <c r="AE5070">
        <v>-7.8297600000000003</v>
      </c>
      <c r="AF5070">
        <v>10.3040848214989</v>
      </c>
      <c r="AG5070">
        <v>-1.154215</v>
      </c>
      <c r="AH5070">
        <v>33.567855877217703</v>
      </c>
      <c r="AI5070">
        <v>91.882677134660895</v>
      </c>
      <c r="AJ5070">
        <v>72.935458836529804</v>
      </c>
      <c r="AK5070">
        <v>35.132710178244601</v>
      </c>
      <c r="AL5070">
        <v>89.794585191110798</v>
      </c>
      <c r="AM5070">
        <v>80.486524634913707</v>
      </c>
      <c r="AN5070">
        <v>0.99999998125256195</v>
      </c>
    </row>
    <row r="5071" spans="1:40" x14ac:dyDescent="0.25">
      <c r="A5071" t="str">
        <f>"20190305135930354"</f>
        <v>20190305135930354</v>
      </c>
      <c r="B5071" t="str">
        <f>"1551765570344018"</f>
        <v>1551765570344018</v>
      </c>
      <c r="C5071" t="s">
        <v>40</v>
      </c>
      <c r="D5071">
        <v>4.0437139999999996</v>
      </c>
      <c r="E5071">
        <v>0.5494637</v>
      </c>
      <c r="F5071" t="s">
        <v>43</v>
      </c>
      <c r="G5071">
        <v>-306.5675</v>
      </c>
      <c r="H5071">
        <v>-0.05</v>
      </c>
      <c r="I5071">
        <v>10.2471</v>
      </c>
      <c r="J5071">
        <v>-341.84269999999998</v>
      </c>
      <c r="K5071">
        <v>1.104133</v>
      </c>
      <c r="L5071">
        <v>18.37875</v>
      </c>
      <c r="M5071">
        <v>0.99745890000000004</v>
      </c>
      <c r="N5071">
        <v>-1.015864E-2</v>
      </c>
      <c r="O5071">
        <v>7.05176E-2</v>
      </c>
      <c r="P5071">
        <v>0.99545450000000002</v>
      </c>
      <c r="Q5071">
        <v>-3.7984870000000001E-3</v>
      </c>
      <c r="R5071">
        <v>-9.5163600000000001E-2</v>
      </c>
      <c r="S5071">
        <v>2.949738</v>
      </c>
      <c r="T5071">
        <v>-9.5979449999999994E-2</v>
      </c>
      <c r="U5071">
        <v>-0.67514039999999997</v>
      </c>
      <c r="V5071">
        <v>0.16518929999999901</v>
      </c>
      <c r="W5071">
        <v>4.2737039999999997E-3</v>
      </c>
      <c r="X5071">
        <v>0.98625260000000003</v>
      </c>
      <c r="Y5071">
        <v>0.29108869999999998</v>
      </c>
      <c r="Z5071">
        <v>-7.7337219999999898E-3</v>
      </c>
      <c r="AA5071">
        <v>0.95666479999999998</v>
      </c>
      <c r="AB5071">
        <v>39</v>
      </c>
      <c r="AC5071">
        <v>35.275199999999899</v>
      </c>
      <c r="AD5071">
        <v>-1.1541330000000001</v>
      </c>
      <c r="AE5071">
        <v>-8.1316500000000005</v>
      </c>
      <c r="AF5071">
        <v>10.5882925415968</v>
      </c>
      <c r="AG5071">
        <v>-1.1541330000000001</v>
      </c>
      <c r="AH5071">
        <v>34.578772941884303</v>
      </c>
      <c r="AI5071">
        <v>91.827931288891406</v>
      </c>
      <c r="AJ5071">
        <v>72.974999380371699</v>
      </c>
      <c r="AK5071">
        <v>36.181977559200803</v>
      </c>
      <c r="AL5071">
        <v>89.755134047663702</v>
      </c>
      <c r="AM5071">
        <v>80.491680707616098</v>
      </c>
      <c r="AN5071">
        <v>0.99999998019356395</v>
      </c>
    </row>
    <row r="5072" spans="1:40" x14ac:dyDescent="0.25">
      <c r="A5072" t="str">
        <f>"20190305135930367"</f>
        <v>20190305135930367</v>
      </c>
      <c r="B5072" t="str">
        <f>"1551765570353778"</f>
        <v>1551765570353778</v>
      </c>
      <c r="C5072" t="s">
        <v>40</v>
      </c>
      <c r="D5072">
        <v>4.0260290000000003</v>
      </c>
      <c r="E5072">
        <v>0.54938619999999905</v>
      </c>
      <c r="F5072" t="s">
        <v>43</v>
      </c>
      <c r="G5072">
        <v>-305.827</v>
      </c>
      <c r="H5072">
        <v>-0.05</v>
      </c>
      <c r="I5072">
        <v>10.04861</v>
      </c>
      <c r="J5072">
        <v>-341.64580000000001</v>
      </c>
      <c r="K5072">
        <v>1.104077</v>
      </c>
      <c r="L5072">
        <v>18.39066</v>
      </c>
      <c r="M5072">
        <v>0.99763900000000005</v>
      </c>
      <c r="N5072">
        <v>-1.0366739999999999E-2</v>
      </c>
      <c r="O5072">
        <v>6.7890820000000004E-2</v>
      </c>
      <c r="P5072">
        <v>0.99522500000000003</v>
      </c>
      <c r="Q5072">
        <v>-3.3301839999999999E-3</v>
      </c>
      <c r="R5072">
        <v>-9.7551479999999996E-2</v>
      </c>
      <c r="S5072">
        <v>2.9481510000000002</v>
      </c>
      <c r="T5072">
        <v>-9.4474429999999998E-2</v>
      </c>
      <c r="U5072">
        <v>-0.68188479999999996</v>
      </c>
      <c r="V5072">
        <v>0.16496759999999999</v>
      </c>
      <c r="W5072">
        <v>4.9150440000000004E-3</v>
      </c>
      <c r="X5072">
        <v>0.98628680000000002</v>
      </c>
      <c r="Y5072">
        <v>0.29076639999999998</v>
      </c>
      <c r="Z5072">
        <v>-7.5804169999999999E-3</v>
      </c>
      <c r="AA5072">
        <v>0.95676399999999995</v>
      </c>
      <c r="AB5072">
        <v>39</v>
      </c>
      <c r="AC5072">
        <v>35.818800000000003</v>
      </c>
      <c r="AD5072">
        <v>-1.154077</v>
      </c>
      <c r="AE5072">
        <v>-8.3420500000000004</v>
      </c>
      <c r="AF5072">
        <v>10.744119096721199</v>
      </c>
      <c r="AG5072">
        <v>-1.154077</v>
      </c>
      <c r="AH5072">
        <v>35.135171530205803</v>
      </c>
      <c r="AI5072">
        <v>91.799124487646594</v>
      </c>
      <c r="AJ5072">
        <v>72.996690560475301</v>
      </c>
      <c r="AK5072">
        <v>36.759328983857202</v>
      </c>
      <c r="AL5072">
        <v>89.718387605516099</v>
      </c>
      <c r="AM5072">
        <v>80.504532519160406</v>
      </c>
      <c r="AN5072">
        <v>1.0000000592807501</v>
      </c>
    </row>
    <row r="5073" spans="1:40" x14ac:dyDescent="0.25">
      <c r="A5073" t="str">
        <f>"20190305135930378"</f>
        <v>20190305135930378</v>
      </c>
      <c r="B5073" t="str">
        <f>"1551765570374681"</f>
        <v>1551765570374681</v>
      </c>
      <c r="C5073" t="s">
        <v>40</v>
      </c>
      <c r="D5073">
        <v>4.0419099999999997</v>
      </c>
      <c r="E5073">
        <v>0.54926070000000005</v>
      </c>
      <c r="F5073" t="s">
        <v>43</v>
      </c>
      <c r="G5073">
        <v>-305.185</v>
      </c>
      <c r="H5073">
        <v>-0.05</v>
      </c>
      <c r="I5073">
        <v>9.8745419999999999</v>
      </c>
      <c r="J5073">
        <v>-341.4504</v>
      </c>
      <c r="K5073">
        <v>1.104023</v>
      </c>
      <c r="L5073">
        <v>18.402249999999999</v>
      </c>
      <c r="M5073">
        <v>0.99781109999999995</v>
      </c>
      <c r="N5073">
        <v>-1.0575330000000001E-2</v>
      </c>
      <c r="O5073">
        <v>6.5279299999999998E-2</v>
      </c>
      <c r="P5073">
        <v>0.99498149999999996</v>
      </c>
      <c r="Q5073">
        <v>-3.0868520000000002E-3</v>
      </c>
      <c r="R5073">
        <v>-0.100012</v>
      </c>
      <c r="S5073">
        <v>2.9465940000000002</v>
      </c>
      <c r="T5073">
        <v>-9.3267080000000002E-2</v>
      </c>
      <c r="U5073">
        <v>-0.68823239999999997</v>
      </c>
      <c r="V5073">
        <v>0.16483129999999999</v>
      </c>
      <c r="W5073">
        <v>5.3327469999999997E-3</v>
      </c>
      <c r="X5073">
        <v>0.9863073</v>
      </c>
      <c r="Y5073">
        <v>0.29033350000000002</v>
      </c>
      <c r="Z5073">
        <v>-7.4498300000000002E-3</v>
      </c>
      <c r="AA5073">
        <v>0.95689650000000004</v>
      </c>
      <c r="AB5073">
        <v>39</v>
      </c>
      <c r="AC5073">
        <v>36.2654</v>
      </c>
      <c r="AD5073">
        <v>-1.154023</v>
      </c>
      <c r="AE5073">
        <v>-8.5277079999999899</v>
      </c>
      <c r="AF5073">
        <v>10.8666015841792</v>
      </c>
      <c r="AG5073">
        <v>-1.154023</v>
      </c>
      <c r="AH5073">
        <v>35.597167043991597</v>
      </c>
      <c r="AI5073">
        <v>91.775968496238804</v>
      </c>
      <c r="AJ5073">
        <v>73.0243562997033</v>
      </c>
      <c r="AK5073">
        <v>37.236717103306297</v>
      </c>
      <c r="AL5073">
        <v>89.694454638019806</v>
      </c>
      <c r="AM5073">
        <v>80.512428814424496</v>
      </c>
      <c r="AN5073">
        <v>0.99999994284177096</v>
      </c>
    </row>
    <row r="5074" spans="1:40" x14ac:dyDescent="0.25">
      <c r="A5074" t="str">
        <f>"20190305135930389"</f>
        <v>20190305135930389</v>
      </c>
      <c r="B5074" t="str">
        <f>"1551765570384442"</f>
        <v>1551765570384442</v>
      </c>
      <c r="C5074" t="s">
        <v>40</v>
      </c>
      <c r="D5074">
        <v>4.0213700000000001</v>
      </c>
      <c r="E5074">
        <v>0.54919949999999995</v>
      </c>
      <c r="F5074" t="s">
        <v>43</v>
      </c>
      <c r="G5074">
        <v>-304.77229999999997</v>
      </c>
      <c r="H5074">
        <v>-0.05</v>
      </c>
      <c r="I5074">
        <v>9.7531429999999997</v>
      </c>
      <c r="J5074">
        <v>-341.25330000000002</v>
      </c>
      <c r="K5074">
        <v>1.1039939999999999</v>
      </c>
      <c r="L5074">
        <v>18.413019999999999</v>
      </c>
      <c r="M5074">
        <v>0.997977</v>
      </c>
      <c r="N5074">
        <v>-1.0784999999999999E-2</v>
      </c>
      <c r="O5074">
        <v>6.2655989999999995E-2</v>
      </c>
      <c r="P5074">
        <v>0.99476439999999999</v>
      </c>
      <c r="Q5074">
        <v>-3.1438059999999999E-3</v>
      </c>
      <c r="R5074">
        <v>-0.102147</v>
      </c>
      <c r="S5074">
        <v>2.9450989999999999</v>
      </c>
      <c r="T5074">
        <v>-9.2663289999999995E-2</v>
      </c>
      <c r="U5074">
        <v>-0.69448849999999995</v>
      </c>
      <c r="V5074">
        <v>0.16435759999999999</v>
      </c>
      <c r="W5074">
        <v>5.4662590000000002E-3</v>
      </c>
      <c r="X5074">
        <v>0.98638570000000003</v>
      </c>
      <c r="Y5074">
        <v>0.28985470000000002</v>
      </c>
      <c r="Z5074">
        <v>-7.3631490000000003E-3</v>
      </c>
      <c r="AA5074">
        <v>0.95704230000000001</v>
      </c>
      <c r="AB5074">
        <v>39</v>
      </c>
      <c r="AC5074">
        <v>36.481000000000002</v>
      </c>
      <c r="AD5074">
        <v>-1.153994</v>
      </c>
      <c r="AE5074">
        <v>-8.6598769999999998</v>
      </c>
      <c r="AF5074">
        <v>10.9184033693037</v>
      </c>
      <c r="AG5074">
        <v>-1.153994</v>
      </c>
      <c r="AH5074">
        <v>35.832745831416901</v>
      </c>
      <c r="AI5074">
        <v>91.764531823044393</v>
      </c>
      <c r="AJ5074">
        <v>73.053778804688804</v>
      </c>
      <c r="AK5074">
        <v>37.477045082367198</v>
      </c>
      <c r="AL5074">
        <v>89.6868048776536</v>
      </c>
      <c r="AM5074">
        <v>80.539939415995207</v>
      </c>
      <c r="AN5074">
        <v>1.00000002491485</v>
      </c>
    </row>
    <row r="5075" spans="1:40" x14ac:dyDescent="0.25">
      <c r="A5075" t="str">
        <f>"20190305135930401"</f>
        <v>20190305135930401</v>
      </c>
      <c r="B5075" t="str">
        <f>"1551765570394201"</f>
        <v>1551765570394201</v>
      </c>
      <c r="C5075" t="s">
        <v>40</v>
      </c>
      <c r="D5075">
        <v>3.9950209999999999</v>
      </c>
      <c r="E5075">
        <v>0.54913999999999996</v>
      </c>
      <c r="F5075" t="s">
        <v>43</v>
      </c>
      <c r="G5075">
        <v>-304.70400000000001</v>
      </c>
      <c r="H5075">
        <v>-0.05</v>
      </c>
      <c r="I5075">
        <v>9.7178039999999992</v>
      </c>
      <c r="J5075">
        <v>-341.05200000000002</v>
      </c>
      <c r="K5075">
        <v>1.103966</v>
      </c>
      <c r="L5075">
        <v>18.4238</v>
      </c>
      <c r="M5075">
        <v>0.99813879999999999</v>
      </c>
      <c r="N5075">
        <v>-1.0996000000000001E-2</v>
      </c>
      <c r="O5075">
        <v>5.9982050000000002E-2</v>
      </c>
      <c r="P5075">
        <v>0.99451979999999995</v>
      </c>
      <c r="Q5075">
        <v>-3.7584810000000001E-3</v>
      </c>
      <c r="R5075">
        <v>-0.1044805</v>
      </c>
      <c r="S5075">
        <v>2.9435730000000002</v>
      </c>
      <c r="T5075">
        <v>-9.2939140000000003E-2</v>
      </c>
      <c r="U5075">
        <v>-0.70028690000000005</v>
      </c>
      <c r="V5075">
        <v>0.1640249</v>
      </c>
      <c r="W5075">
        <v>5.0433099999999996E-3</v>
      </c>
      <c r="X5075">
        <v>0.98644330000000002</v>
      </c>
      <c r="Y5075">
        <v>0.28918579999999999</v>
      </c>
      <c r="Z5075">
        <v>-7.3340599999999999E-3</v>
      </c>
      <c r="AA5075">
        <v>0.95724489999999995</v>
      </c>
      <c r="AB5075">
        <v>39</v>
      </c>
      <c r="AC5075">
        <v>36.3479999999999</v>
      </c>
      <c r="AD5075">
        <v>-1.153966</v>
      </c>
      <c r="AE5075">
        <v>-8.7059960000000007</v>
      </c>
      <c r="AF5075">
        <v>10.860325729605099</v>
      </c>
      <c r="AG5075">
        <v>-1.153966</v>
      </c>
      <c r="AH5075">
        <v>35.726255381494902</v>
      </c>
      <c r="AI5075">
        <v>91.770098617031707</v>
      </c>
      <c r="AJ5075">
        <v>73.091397494789106</v>
      </c>
      <c r="AK5075">
        <v>37.358314149143197</v>
      </c>
      <c r="AL5075">
        <v>89.711038395368604</v>
      </c>
      <c r="AM5075">
        <v>80.559285155971807</v>
      </c>
      <c r="AN5075">
        <v>0.99999999345532797</v>
      </c>
    </row>
    <row r="5076" spans="1:40" x14ac:dyDescent="0.25">
      <c r="A5076" t="str">
        <f>"20190305135930411"</f>
        <v>20190305135930411</v>
      </c>
      <c r="B5076" t="str">
        <f>"1551765570403961"</f>
        <v>1551765570403961</v>
      </c>
      <c r="C5076" t="s">
        <v>40</v>
      </c>
      <c r="D5076">
        <v>4.0159449999999897</v>
      </c>
      <c r="E5076">
        <v>0.54905619999999999</v>
      </c>
      <c r="F5076" t="s">
        <v>43</v>
      </c>
      <c r="G5076">
        <v>-305.19760000000002</v>
      </c>
      <c r="H5076">
        <v>-0.05</v>
      </c>
      <c r="I5076">
        <v>9.8102870000000006</v>
      </c>
      <c r="J5076">
        <v>-340.85599999999999</v>
      </c>
      <c r="K5076">
        <v>1.103952</v>
      </c>
      <c r="L5076">
        <v>18.433589999999999</v>
      </c>
      <c r="M5076">
        <v>0.99828850000000002</v>
      </c>
      <c r="N5076">
        <v>-1.1192239999999999E-2</v>
      </c>
      <c r="O5076">
        <v>5.7399970000000002E-2</v>
      </c>
      <c r="P5076">
        <v>0.99426939999999997</v>
      </c>
      <c r="Q5076">
        <v>-4.1248389999999999E-3</v>
      </c>
      <c r="R5076">
        <v>-0.10682469999999999</v>
      </c>
      <c r="S5076">
        <v>2.9419249999999999</v>
      </c>
      <c r="T5076">
        <v>-9.4685320000000003E-2</v>
      </c>
      <c r="U5076">
        <v>-0.70675659999999996</v>
      </c>
      <c r="V5076">
        <v>0.1637969</v>
      </c>
      <c r="W5076">
        <v>4.8606839999999997E-3</v>
      </c>
      <c r="X5076">
        <v>0.98648210000000003</v>
      </c>
      <c r="Y5076">
        <v>0.28881499999999999</v>
      </c>
      <c r="Z5076">
        <v>-7.4118040000000001E-3</v>
      </c>
      <c r="AA5076">
        <v>0.95735619999999999</v>
      </c>
      <c r="AB5076">
        <v>39</v>
      </c>
      <c r="AC5076">
        <v>35.658399999999901</v>
      </c>
      <c r="AD5076">
        <v>-1.1539520000000001</v>
      </c>
      <c r="AE5076">
        <v>-8.6233029999999999</v>
      </c>
      <c r="AF5076">
        <v>10.645470463045999</v>
      </c>
      <c r="AG5076">
        <v>-1.1539520000000001</v>
      </c>
      <c r="AH5076">
        <v>35.069895075451797</v>
      </c>
      <c r="AI5076">
        <v>91.803402933009195</v>
      </c>
      <c r="AJ5076">
        <v>73.114327347250693</v>
      </c>
      <c r="AK5076">
        <v>36.668176764070097</v>
      </c>
      <c r="AL5076">
        <v>89.721502222419304</v>
      </c>
      <c r="AM5076">
        <v>80.572536461824697</v>
      </c>
      <c r="AN5076">
        <v>0.99999999215948299</v>
      </c>
    </row>
    <row r="5077" spans="1:40" x14ac:dyDescent="0.25">
      <c r="A5077" t="str">
        <f>"20190305135930423"</f>
        <v>20190305135930423</v>
      </c>
      <c r="B5077" t="str">
        <f>"1551765570414697"</f>
        <v>1551765570414697</v>
      </c>
      <c r="C5077" t="s">
        <v>40</v>
      </c>
      <c r="D5077">
        <v>4.013916</v>
      </c>
      <c r="E5077">
        <v>0.54897700000000005</v>
      </c>
      <c r="F5077" t="s">
        <v>43</v>
      </c>
      <c r="G5077">
        <v>-305.31259999999997</v>
      </c>
      <c r="H5077">
        <v>-0.05</v>
      </c>
      <c r="I5077">
        <v>9.8132780000000004</v>
      </c>
      <c r="J5077">
        <v>-340.66059999999999</v>
      </c>
      <c r="K5077">
        <v>1.1039540000000001</v>
      </c>
      <c r="L5077">
        <v>18.44293</v>
      </c>
      <c r="M5077">
        <v>0.99842969999999998</v>
      </c>
      <c r="N5077">
        <v>-1.1380650000000001E-2</v>
      </c>
      <c r="O5077">
        <v>5.4851030000000002E-2</v>
      </c>
      <c r="P5077">
        <v>0.99403799999999998</v>
      </c>
      <c r="Q5077">
        <v>-4.170053E-3</v>
      </c>
      <c r="R5077">
        <v>-0.10895580000000001</v>
      </c>
      <c r="S5077">
        <v>2.940277</v>
      </c>
      <c r="T5077">
        <v>-9.5459100000000005E-2</v>
      </c>
      <c r="U5077">
        <v>-0.71310419999999997</v>
      </c>
      <c r="V5077">
        <v>0.16339500000000001</v>
      </c>
      <c r="W5077">
        <v>4.9989650000000002E-3</v>
      </c>
      <c r="X5077">
        <v>0.98654810000000004</v>
      </c>
      <c r="Y5077">
        <v>0.2884427</v>
      </c>
      <c r="Z5077">
        <v>-7.4223199999999996E-3</v>
      </c>
      <c r="AA5077">
        <v>0.9574684</v>
      </c>
      <c r="AB5077">
        <v>39</v>
      </c>
      <c r="AC5077">
        <v>35.347999999999999</v>
      </c>
      <c r="AD5077">
        <v>-1.1539539999999999</v>
      </c>
      <c r="AE5077">
        <v>-8.6296520000000001</v>
      </c>
      <c r="AF5077">
        <v>10.545052514004</v>
      </c>
      <c r="AG5077">
        <v>-1.1539539999999999</v>
      </c>
      <c r="AH5077">
        <v>34.786414848388603</v>
      </c>
      <c r="AI5077">
        <v>91.8183009479323</v>
      </c>
      <c r="AJ5077">
        <v>73.135997625430406</v>
      </c>
      <c r="AK5077">
        <v>36.367903436428797</v>
      </c>
      <c r="AL5077">
        <v>89.713579220555005</v>
      </c>
      <c r="AM5077">
        <v>80.595872325335606</v>
      </c>
      <c r="AN5077">
        <v>1.0000000346448299</v>
      </c>
    </row>
    <row r="5078" spans="1:40" x14ac:dyDescent="0.25">
      <c r="A5078" t="str">
        <f>"20190305135930433"</f>
        <v>20190305135930433</v>
      </c>
      <c r="B5078" t="str">
        <f>"1551765570424458"</f>
        <v>1551765570424458</v>
      </c>
      <c r="C5078" t="s">
        <v>40</v>
      </c>
      <c r="D5078">
        <v>4.2813119999999998</v>
      </c>
      <c r="E5078">
        <v>0.54895629999999995</v>
      </c>
      <c r="F5078" t="s">
        <v>43</v>
      </c>
      <c r="G5078">
        <v>-305.16950000000003</v>
      </c>
      <c r="H5078">
        <v>-0.05</v>
      </c>
      <c r="I5078">
        <v>9.7636409999999998</v>
      </c>
      <c r="J5078">
        <v>-340.47500000000002</v>
      </c>
      <c r="K5078">
        <v>1.103966</v>
      </c>
      <c r="L5078">
        <v>18.451350000000001</v>
      </c>
      <c r="M5078">
        <v>0.99855629999999995</v>
      </c>
      <c r="N5078">
        <v>-1.1551540000000001E-2</v>
      </c>
      <c r="O5078">
        <v>5.245971E-2</v>
      </c>
      <c r="P5078">
        <v>0.99375530000000001</v>
      </c>
      <c r="Q5078">
        <v>-3.773298E-3</v>
      </c>
      <c r="R5078">
        <v>-0.1115178</v>
      </c>
      <c r="S5078">
        <v>2.9388429999999999</v>
      </c>
      <c r="T5078">
        <v>-9.5553280000000004E-2</v>
      </c>
      <c r="U5078">
        <v>-0.71868900000000002</v>
      </c>
      <c r="V5078">
        <v>0.16358300000000001</v>
      </c>
      <c r="W5078">
        <v>5.55924E-3</v>
      </c>
      <c r="X5078">
        <v>0.98651390000000005</v>
      </c>
      <c r="Y5078">
        <v>0.28797410000000001</v>
      </c>
      <c r="Z5078">
        <v>-7.3867009999999999E-3</v>
      </c>
      <c r="AA5078">
        <v>0.95760970000000001</v>
      </c>
      <c r="AB5078">
        <v>39</v>
      </c>
      <c r="AC5078">
        <v>35.305499999999903</v>
      </c>
      <c r="AD5078">
        <v>-1.153966</v>
      </c>
      <c r="AE5078">
        <v>-8.6877089999999999</v>
      </c>
      <c r="AF5078">
        <v>10.5173901040686</v>
      </c>
      <c r="AG5078">
        <v>-1.153966</v>
      </c>
      <c r="AH5078">
        <v>34.766073506152999</v>
      </c>
      <c r="AI5078">
        <v>91.819694877415998</v>
      </c>
      <c r="AJ5078">
        <v>73.168448272686007</v>
      </c>
      <c r="AK5078">
        <v>36.340432016770897</v>
      </c>
      <c r="AL5078">
        <v>89.681477366505703</v>
      </c>
      <c r="AM5078">
        <v>80.584925136546403</v>
      </c>
      <c r="AN5078">
        <v>0.99999998896579301</v>
      </c>
    </row>
    <row r="5079" spans="1:40" x14ac:dyDescent="0.25">
      <c r="A5079" t="str">
        <f>"20190305135930444"</f>
        <v>20190305135930444</v>
      </c>
      <c r="B5079" t="str">
        <f>"1551765570434218"</f>
        <v>1551765570434218</v>
      </c>
      <c r="C5079" t="s">
        <v>40</v>
      </c>
      <c r="D5079">
        <v>4.0184290000000003</v>
      </c>
      <c r="E5079">
        <v>0.54892750000000001</v>
      </c>
      <c r="F5079" t="s">
        <v>43</v>
      </c>
      <c r="G5079">
        <v>-304.54000000000002</v>
      </c>
      <c r="H5079">
        <v>-0.05</v>
      </c>
      <c r="I5079">
        <v>9.5673069999999996</v>
      </c>
      <c r="J5079">
        <v>-340.28699999999998</v>
      </c>
      <c r="K5079">
        <v>1.1039939999999999</v>
      </c>
      <c r="L5079">
        <v>18.459409999999998</v>
      </c>
      <c r="M5079">
        <v>0.99867609999999996</v>
      </c>
      <c r="N5079">
        <v>-1.171526E-2</v>
      </c>
      <c r="O5079">
        <v>5.0088500000000001E-2</v>
      </c>
      <c r="P5079">
        <v>0.99341800000000002</v>
      </c>
      <c r="Q5079">
        <v>-3.3966360000000002E-3</v>
      </c>
      <c r="R5079">
        <v>-0.114495</v>
      </c>
      <c r="S5079">
        <v>2.9370120000000002</v>
      </c>
      <c r="T5079">
        <v>-9.4315049999999997E-2</v>
      </c>
      <c r="U5079">
        <v>-0.72610469999999905</v>
      </c>
      <c r="V5079">
        <v>0.16420319999999999</v>
      </c>
      <c r="W5079">
        <v>6.0932909999999998E-3</v>
      </c>
      <c r="X5079">
        <v>0.9864077</v>
      </c>
      <c r="Y5079">
        <v>0.28812270000000001</v>
      </c>
      <c r="Z5079">
        <v>-7.2786739999999997E-3</v>
      </c>
      <c r="AA5079">
        <v>0.95756580000000002</v>
      </c>
      <c r="AB5079">
        <v>39</v>
      </c>
      <c r="AC5079">
        <v>35.7469999999999</v>
      </c>
      <c r="AD5079">
        <v>-1.153994</v>
      </c>
      <c r="AE5079">
        <v>-8.8921030000000005</v>
      </c>
      <c r="AF5079">
        <v>10.661113393478701</v>
      </c>
      <c r="AG5079">
        <v>-1.153994</v>
      </c>
      <c r="AH5079">
        <v>35.222133345549203</v>
      </c>
      <c r="AI5079">
        <v>91.796111041337596</v>
      </c>
      <c r="AJ5079">
        <v>73.159869515145402</v>
      </c>
      <c r="AK5079">
        <v>36.818333997511303</v>
      </c>
      <c r="AL5079">
        <v>89.650877976665299</v>
      </c>
      <c r="AM5079">
        <v>80.548872919065602</v>
      </c>
      <c r="AN5079">
        <v>0.99999998485236996</v>
      </c>
    </row>
    <row r="5080" spans="1:40" x14ac:dyDescent="0.25">
      <c r="A5080" t="str">
        <f>"20190305135930455"</f>
        <v>20190305135930455</v>
      </c>
      <c r="B5080" t="str">
        <f>"1551765570443977"</f>
        <v>1551765570443977</v>
      </c>
      <c r="C5080" t="s">
        <v>40</v>
      </c>
      <c r="D5080">
        <v>3.9723959999999998</v>
      </c>
      <c r="E5080">
        <v>0.54886619999999997</v>
      </c>
      <c r="F5080" t="s">
        <v>43</v>
      </c>
      <c r="G5080">
        <v>-303.93189999999998</v>
      </c>
      <c r="H5080">
        <v>-0.05</v>
      </c>
      <c r="I5080">
        <v>9.3600619999999992</v>
      </c>
      <c r="J5080">
        <v>-340.09100000000001</v>
      </c>
      <c r="K5080">
        <v>1.1040319999999999</v>
      </c>
      <c r="L5080">
        <v>18.467469999999999</v>
      </c>
      <c r="M5080">
        <v>0.9987933</v>
      </c>
      <c r="N5080">
        <v>-1.1879600000000001E-2</v>
      </c>
      <c r="O5080">
        <v>4.765175E-2</v>
      </c>
      <c r="P5080">
        <v>0.99300440000000001</v>
      </c>
      <c r="Q5080">
        <v>-2.8064140000000001E-3</v>
      </c>
      <c r="R5080">
        <v>-0.1180431</v>
      </c>
      <c r="S5080">
        <v>2.9349370000000001</v>
      </c>
      <c r="T5080">
        <v>-9.31617E-2</v>
      </c>
      <c r="U5080">
        <v>-0.73458859999999904</v>
      </c>
      <c r="V5080">
        <v>0.16532939999999999</v>
      </c>
      <c r="W5080">
        <v>6.8400020000000004E-3</v>
      </c>
      <c r="X5080">
        <v>0.9862147</v>
      </c>
      <c r="Y5080">
        <v>0.2885548</v>
      </c>
      <c r="Z5080">
        <v>-7.1839479999999999E-3</v>
      </c>
      <c r="AA5080">
        <v>0.95743639999999997</v>
      </c>
      <c r="AB5080">
        <v>39</v>
      </c>
      <c r="AC5080">
        <v>36.159100000000002</v>
      </c>
      <c r="AD5080">
        <v>-1.1540319999999999</v>
      </c>
      <c r="AE5080">
        <v>-9.1074079999999995</v>
      </c>
      <c r="AF5080">
        <v>10.8098727042769</v>
      </c>
      <c r="AG5080">
        <v>-1.1540319999999999</v>
      </c>
      <c r="AH5080">
        <v>35.649856769577099</v>
      </c>
      <c r="AI5080">
        <v>91.774367406808494</v>
      </c>
      <c r="AJ5080">
        <v>73.131465800247298</v>
      </c>
      <c r="AK5080">
        <v>37.270597331288698</v>
      </c>
      <c r="AL5080">
        <v>89.608093703569693</v>
      </c>
      <c r="AM5080">
        <v>80.483404941732203</v>
      </c>
      <c r="AN5080">
        <v>1.0000000153138999</v>
      </c>
    </row>
    <row r="5081" spans="1:40" x14ac:dyDescent="0.25">
      <c r="A5081" t="str">
        <f>"20190305135930467"</f>
        <v>20190305135930467</v>
      </c>
      <c r="B5081" t="str">
        <f>"1551765570454713"</f>
        <v>1551765570454713</v>
      </c>
      <c r="C5081" t="s">
        <v>40</v>
      </c>
      <c r="D5081">
        <v>3.985096</v>
      </c>
      <c r="E5081">
        <v>0.54878819999999995</v>
      </c>
      <c r="F5081" t="s">
        <v>43</v>
      </c>
      <c r="G5081">
        <v>-303.64510000000001</v>
      </c>
      <c r="H5081">
        <v>-0.05</v>
      </c>
      <c r="I5081">
        <v>9.2134699999999992</v>
      </c>
      <c r="J5081">
        <v>-339.90159999999997</v>
      </c>
      <c r="K5081">
        <v>1.1040939999999999</v>
      </c>
      <c r="L5081">
        <v>18.47467</v>
      </c>
      <c r="M5081">
        <v>0.99889700000000003</v>
      </c>
      <c r="N5081">
        <v>-1.202609E-2</v>
      </c>
      <c r="O5081">
        <v>4.5389239999999997E-2</v>
      </c>
      <c r="P5081">
        <v>0.99257490000000004</v>
      </c>
      <c r="Q5081">
        <v>-2.4313590000000001E-3</v>
      </c>
      <c r="R5081">
        <v>-0.1216119</v>
      </c>
      <c r="S5081">
        <v>2.932404</v>
      </c>
      <c r="T5081">
        <v>-9.2852229999999994E-2</v>
      </c>
      <c r="U5081">
        <v>-0.74456789999999995</v>
      </c>
      <c r="V5081">
        <v>0.16664599999999999</v>
      </c>
      <c r="W5081">
        <v>7.3626019999999898E-3</v>
      </c>
      <c r="X5081">
        <v>0.98598929999999996</v>
      </c>
      <c r="Y5081">
        <v>0.28964440000000002</v>
      </c>
      <c r="Z5081">
        <v>-7.1619169999999899E-3</v>
      </c>
      <c r="AA5081">
        <v>0.9571075</v>
      </c>
      <c r="AB5081">
        <v>39</v>
      </c>
      <c r="AC5081">
        <v>36.256499999999903</v>
      </c>
      <c r="AD5081">
        <v>-1.154094</v>
      </c>
      <c r="AE5081">
        <v>-9.2612000000000005</v>
      </c>
      <c r="AF5081">
        <v>10.8870722860092</v>
      </c>
      <c r="AG5081">
        <v>-1.154094</v>
      </c>
      <c r="AH5081">
        <v>35.764720112070101</v>
      </c>
      <c r="AI5081">
        <v>91.768184999617802</v>
      </c>
      <c r="AJ5081">
        <v>73.069323689904195</v>
      </c>
      <c r="AK5081">
        <v>37.402880645965404</v>
      </c>
      <c r="AL5081">
        <v>89.578150167195005</v>
      </c>
      <c r="AM5081">
        <v>80.406870193299099</v>
      </c>
      <c r="AN5081">
        <v>0.99999999846934995</v>
      </c>
    </row>
    <row r="5082" spans="1:40" x14ac:dyDescent="0.25">
      <c r="A5082" t="str">
        <f>"20190305135930480"</f>
        <v>20190305135930480</v>
      </c>
      <c r="B5082" t="str">
        <f>"1551765570474233"</f>
        <v>1551765570474233</v>
      </c>
      <c r="C5082" t="s">
        <v>40</v>
      </c>
      <c r="D5082">
        <v>4.0062759999999997</v>
      </c>
      <c r="E5082">
        <v>0.54866870000000001</v>
      </c>
      <c r="F5082" t="s">
        <v>43</v>
      </c>
      <c r="G5082">
        <v>-303.56540000000001</v>
      </c>
      <c r="H5082">
        <v>-0.05</v>
      </c>
      <c r="I5082">
        <v>9.1168669999999992</v>
      </c>
      <c r="J5082">
        <v>-339.68360000000001</v>
      </c>
      <c r="K5082">
        <v>1.104179</v>
      </c>
      <c r="L5082">
        <v>18.482700000000001</v>
      </c>
      <c r="M5082">
        <v>0.99900820000000001</v>
      </c>
      <c r="N5082">
        <v>-1.2189790000000001E-2</v>
      </c>
      <c r="O5082">
        <v>4.2826820000000002E-2</v>
      </c>
      <c r="P5082">
        <v>0.9920776</v>
      </c>
      <c r="Q5082">
        <v>-2.4594700000000001E-3</v>
      </c>
      <c r="R5082">
        <v>-0.12560389999999999</v>
      </c>
      <c r="S5082">
        <v>2.9297789999999999</v>
      </c>
      <c r="T5082">
        <v>-9.305418E-2</v>
      </c>
      <c r="U5082">
        <v>-0.75451659999999998</v>
      </c>
      <c r="V5082">
        <v>0.16808329999999999</v>
      </c>
      <c r="W5082">
        <v>7.5051719999999897E-3</v>
      </c>
      <c r="X5082">
        <v>0.98574419999999996</v>
      </c>
      <c r="Y5082">
        <v>0.2904427</v>
      </c>
      <c r="Z5082">
        <v>-7.1631919999999996E-3</v>
      </c>
      <c r="AA5082">
        <v>0.95686550000000004</v>
      </c>
      <c r="AB5082">
        <v>39</v>
      </c>
      <c r="AC5082">
        <v>36.118200000000002</v>
      </c>
      <c r="AD5082">
        <v>-1.1541790000000001</v>
      </c>
      <c r="AE5082">
        <v>-9.3658330000000003</v>
      </c>
      <c r="AF5082">
        <v>10.8937577834407</v>
      </c>
      <c r="AG5082">
        <v>-1.1541790000000001</v>
      </c>
      <c r="AH5082">
        <v>35.649807867802302</v>
      </c>
      <c r="AI5082">
        <v>91.773433345593006</v>
      </c>
      <c r="AJ5082">
        <v>73.008058183442898</v>
      </c>
      <c r="AK5082">
        <v>37.294971361023102</v>
      </c>
      <c r="AL5082">
        <v>89.569981272331106</v>
      </c>
      <c r="AM5082">
        <v>80.323327876366207</v>
      </c>
      <c r="AN5082">
        <v>0.99999997558963905</v>
      </c>
    </row>
    <row r="5083" spans="1:40" x14ac:dyDescent="0.25">
      <c r="A5083" t="str">
        <f>"20190305135930491"</f>
        <v>20190305135930491</v>
      </c>
      <c r="B5083" t="str">
        <f>"1551765570483993"</f>
        <v>1551765570483993</v>
      </c>
      <c r="C5083" t="s">
        <v>40</v>
      </c>
      <c r="D5083">
        <v>3.990148</v>
      </c>
      <c r="E5083">
        <v>0.54860949999999997</v>
      </c>
      <c r="F5083" t="s">
        <v>43</v>
      </c>
      <c r="G5083">
        <v>-304.31349999999998</v>
      </c>
      <c r="H5083">
        <v>-0.05</v>
      </c>
      <c r="I5083">
        <v>9.2327119999999994</v>
      </c>
      <c r="J5083">
        <v>-339.46550000000002</v>
      </c>
      <c r="K5083">
        <v>1.1042970000000001</v>
      </c>
      <c r="L5083">
        <v>18.490020000000001</v>
      </c>
      <c r="M5083">
        <v>0.99910670000000001</v>
      </c>
      <c r="N5083">
        <v>-1.233717E-2</v>
      </c>
      <c r="O5083">
        <v>4.0418919999999997E-2</v>
      </c>
      <c r="P5083">
        <v>0.9916026</v>
      </c>
      <c r="Q5083">
        <v>-2.8786319999999999E-3</v>
      </c>
      <c r="R5083">
        <v>-0.1292904</v>
      </c>
      <c r="S5083">
        <v>2.9267880000000002</v>
      </c>
      <c r="T5083">
        <v>-9.5505240000000005E-2</v>
      </c>
      <c r="U5083">
        <v>-0.76541139999999996</v>
      </c>
      <c r="V5083">
        <v>0.16936590000000001</v>
      </c>
      <c r="W5083">
        <v>7.260084E-3</v>
      </c>
      <c r="X5083">
        <v>0.98552649999999997</v>
      </c>
      <c r="Y5083">
        <v>0.29169879999999998</v>
      </c>
      <c r="Z5083">
        <v>-7.3176209999999998E-3</v>
      </c>
      <c r="AA5083">
        <v>0.95648219999999995</v>
      </c>
      <c r="AB5083">
        <v>39</v>
      </c>
      <c r="AC5083">
        <v>35.152000000000001</v>
      </c>
      <c r="AD5083">
        <v>-1.1542969999999999</v>
      </c>
      <c r="AE5083">
        <v>-9.2573080000000001</v>
      </c>
      <c r="AF5083">
        <v>10.659906949357699</v>
      </c>
      <c r="AG5083">
        <v>-1.1542969999999999</v>
      </c>
      <c r="AH5083">
        <v>34.714067196179002</v>
      </c>
      <c r="AI5083">
        <v>91.820626997848294</v>
      </c>
      <c r="AJ5083">
        <v>72.929458959170304</v>
      </c>
      <c r="AK5083">
        <v>36.332251224415003</v>
      </c>
      <c r="AL5083">
        <v>89.5840241733829</v>
      </c>
      <c r="AM5083">
        <v>80.248787294972402</v>
      </c>
      <c r="AN5083">
        <v>0.99999999955237295</v>
      </c>
    </row>
    <row r="5084" spans="1:40" x14ac:dyDescent="0.25">
      <c r="A5084" t="str">
        <f>"20190305135930505"</f>
        <v>20190305135930505</v>
      </c>
      <c r="B5084" t="str">
        <f>"1551765570494729"</f>
        <v>1551765570494729</v>
      </c>
      <c r="C5084" t="s">
        <v>40</v>
      </c>
      <c r="D5084">
        <v>3.9887160000000002</v>
      </c>
      <c r="E5084">
        <v>0.54854440000000004</v>
      </c>
      <c r="F5084" t="s">
        <v>43</v>
      </c>
      <c r="G5084">
        <v>-304.60730000000001</v>
      </c>
      <c r="H5084">
        <v>-0.05</v>
      </c>
      <c r="I5084">
        <v>9.2402800000000003</v>
      </c>
      <c r="J5084">
        <v>-339.24369999999999</v>
      </c>
      <c r="K5084">
        <v>1.104436</v>
      </c>
      <c r="L5084">
        <v>18.497129999999999</v>
      </c>
      <c r="M5084">
        <v>0.99919780000000002</v>
      </c>
      <c r="N5084">
        <v>-1.24793E-2</v>
      </c>
      <c r="O5084">
        <v>3.8055329999999998E-2</v>
      </c>
      <c r="P5084">
        <v>0.99113879999999999</v>
      </c>
      <c r="Q5084">
        <v>-3.6311989999999999E-3</v>
      </c>
      <c r="R5084">
        <v>-0.1327807</v>
      </c>
      <c r="S5084">
        <v>2.92395</v>
      </c>
      <c r="T5084">
        <v>-9.6823809999999996E-2</v>
      </c>
      <c r="U5084">
        <v>-0.77587890000000004</v>
      </c>
      <c r="V5084">
        <v>0.170494799999999</v>
      </c>
      <c r="W5084">
        <v>6.6864630000000001E-3</v>
      </c>
      <c r="X5084">
        <v>0.98533590000000004</v>
      </c>
      <c r="Y5084">
        <v>0.29285870000000003</v>
      </c>
      <c r="Z5084">
        <v>-7.3977649999999997E-3</v>
      </c>
      <c r="AA5084">
        <v>0.95612710000000001</v>
      </c>
      <c r="AB5084">
        <v>39</v>
      </c>
      <c r="AC5084">
        <v>34.636399999999902</v>
      </c>
      <c r="AD5084">
        <v>-1.154436</v>
      </c>
      <c r="AE5084">
        <v>-9.2568499999999894</v>
      </c>
      <c r="AF5084">
        <v>10.5573994292549</v>
      </c>
      <c r="AG5084">
        <v>-1.154436</v>
      </c>
      <c r="AH5084">
        <v>34.223522450996697</v>
      </c>
      <c r="AI5084">
        <v>91.846197766921193</v>
      </c>
      <c r="AJ5084">
        <v>72.855857493855694</v>
      </c>
      <c r="AK5084">
        <v>35.833516351884903</v>
      </c>
      <c r="AL5084">
        <v>89.616891039578206</v>
      </c>
      <c r="AM5084">
        <v>80.183189470948705</v>
      </c>
      <c r="AN5084">
        <v>1.00000001072165</v>
      </c>
    </row>
    <row r="5085" spans="1:40" x14ac:dyDescent="0.25">
      <c r="A5085" t="str">
        <f>"20190305135930516"</f>
        <v>20190305135930516</v>
      </c>
      <c r="B5085" t="str">
        <f>"1551765570504489"</f>
        <v>1551765570504489</v>
      </c>
      <c r="C5085" t="s">
        <v>40</v>
      </c>
      <c r="D5085">
        <v>4.000286</v>
      </c>
      <c r="E5085">
        <v>0.54847419999999902</v>
      </c>
      <c r="F5085" t="s">
        <v>43</v>
      </c>
      <c r="G5085">
        <v>-305.54570000000001</v>
      </c>
      <c r="H5085">
        <v>-0.05</v>
      </c>
      <c r="I5085">
        <v>9.4337769999999992</v>
      </c>
      <c r="J5085">
        <v>-339.02809999999999</v>
      </c>
      <c r="K5085">
        <v>1.1045849999999999</v>
      </c>
      <c r="L5085">
        <v>18.503630000000001</v>
      </c>
      <c r="M5085">
        <v>0.99927779999999999</v>
      </c>
      <c r="N5085">
        <v>-1.260934E-2</v>
      </c>
      <c r="O5085">
        <v>3.584768E-2</v>
      </c>
      <c r="P5085">
        <v>0.99066940000000003</v>
      </c>
      <c r="Q5085">
        <v>-4.0358080000000001E-3</v>
      </c>
      <c r="R5085">
        <v>-0.1362276</v>
      </c>
      <c r="S5085">
        <v>2.921173</v>
      </c>
      <c r="T5085">
        <v>-0.1000745</v>
      </c>
      <c r="U5085">
        <v>-0.78567500000000001</v>
      </c>
      <c r="V5085">
        <v>0.1717397</v>
      </c>
      <c r="W5085">
        <v>6.453294E-3</v>
      </c>
      <c r="X5085">
        <v>0.98512129999999998</v>
      </c>
      <c r="Y5085">
        <v>0.29394999999999999</v>
      </c>
      <c r="Z5085">
        <v>-7.5961809999999996E-3</v>
      </c>
      <c r="AA5085">
        <v>0.95579060000000005</v>
      </c>
      <c r="AB5085">
        <v>39</v>
      </c>
      <c r="AC5085">
        <v>33.482399999999899</v>
      </c>
      <c r="AD5085">
        <v>-1.154585</v>
      </c>
      <c r="AE5085">
        <v>-9.0698529999999895</v>
      </c>
      <c r="AF5085">
        <v>10.2530258317642</v>
      </c>
      <c r="AG5085">
        <v>-1.154585</v>
      </c>
      <c r="AH5085">
        <v>33.099049763923297</v>
      </c>
      <c r="AI5085">
        <v>91.908427947099796</v>
      </c>
      <c r="AJ5085">
        <v>72.788692773835507</v>
      </c>
      <c r="AK5085">
        <v>34.6699394361126</v>
      </c>
      <c r="AL5085">
        <v>89.630250950303306</v>
      </c>
      <c r="AM5085">
        <v>80.110808421924403</v>
      </c>
      <c r="AN5085">
        <v>1.0000000726366101</v>
      </c>
    </row>
    <row r="5086" spans="1:40" x14ac:dyDescent="0.25">
      <c r="A5086" t="str">
        <f>"20190305135930527"</f>
        <v>20190305135930527</v>
      </c>
      <c r="B5086" t="str">
        <f>"1551765570514249"</f>
        <v>1551765570514249</v>
      </c>
      <c r="C5086" t="s">
        <v>40</v>
      </c>
      <c r="D5086">
        <v>3.9824389999999998</v>
      </c>
      <c r="E5086">
        <v>0.54839039999999994</v>
      </c>
      <c r="F5086" t="s">
        <v>43</v>
      </c>
      <c r="G5086">
        <v>-306.03089999999997</v>
      </c>
      <c r="H5086">
        <v>-0.05</v>
      </c>
      <c r="I5086">
        <v>9.5114439999999991</v>
      </c>
      <c r="J5086">
        <v>-338.83929999999998</v>
      </c>
      <c r="K5086">
        <v>1.104732</v>
      </c>
      <c r="L5086">
        <v>18.50891</v>
      </c>
      <c r="M5086">
        <v>0.99933870000000002</v>
      </c>
      <c r="N5086">
        <v>-1.271223E-2</v>
      </c>
      <c r="O5086">
        <v>3.4069809999999999E-2</v>
      </c>
      <c r="P5086">
        <v>0.99026979999999998</v>
      </c>
      <c r="Q5086">
        <v>-4.3383019999999996E-3</v>
      </c>
      <c r="R5086">
        <v>-0.13909569999999999</v>
      </c>
      <c r="S5086">
        <v>2.9184570000000001</v>
      </c>
      <c r="T5086">
        <v>-0.1021179</v>
      </c>
      <c r="U5086">
        <v>-0.79531859999999999</v>
      </c>
      <c r="V5086">
        <v>0.1728346</v>
      </c>
      <c r="W5086">
        <v>6.2997560000000001E-3</v>
      </c>
      <c r="X5086">
        <v>0.98493070000000005</v>
      </c>
      <c r="Y5086">
        <v>0.29540490000000003</v>
      </c>
      <c r="Z5086">
        <v>-7.7329649999999996E-3</v>
      </c>
      <c r="AA5086">
        <v>0.95534090000000005</v>
      </c>
      <c r="AB5086">
        <v>39</v>
      </c>
      <c r="AC5086">
        <v>32.808399999999999</v>
      </c>
      <c r="AD5086">
        <v>-1.1547319999999901</v>
      </c>
      <c r="AE5086">
        <v>-8.9974659999999993</v>
      </c>
      <c r="AF5086">
        <v>10.0984732056582</v>
      </c>
      <c r="AG5086">
        <v>-1.1547319999999901</v>
      </c>
      <c r="AH5086">
        <v>32.4454023490418</v>
      </c>
      <c r="AI5086">
        <v>91.946279929792794</v>
      </c>
      <c r="AJ5086">
        <v>72.711501242006193</v>
      </c>
      <c r="AK5086">
        <v>34.0002455971781</v>
      </c>
      <c r="AL5086">
        <v>89.6390481762284</v>
      </c>
      <c r="AM5086">
        <v>80.047130565296499</v>
      </c>
      <c r="AN5086">
        <v>0.99999998484265396</v>
      </c>
    </row>
    <row r="5087" spans="1:40" x14ac:dyDescent="0.25">
      <c r="A5087" t="str">
        <f>"20190305135930539"</f>
        <v>20190305135930539</v>
      </c>
      <c r="B5087" t="str">
        <f>"1551765570534746"</f>
        <v>1551765570534746</v>
      </c>
      <c r="C5087" t="s">
        <v>40</v>
      </c>
      <c r="D5087">
        <v>3.9909880000000002</v>
      </c>
      <c r="E5087">
        <v>0.54823849999999996</v>
      </c>
      <c r="F5087" t="s">
        <v>43</v>
      </c>
      <c r="G5087">
        <v>-306.4348</v>
      </c>
      <c r="H5087">
        <v>-0.05</v>
      </c>
      <c r="I5087">
        <v>9.5846250000000008</v>
      </c>
      <c r="J5087">
        <v>-338.64</v>
      </c>
      <c r="K5087">
        <v>1.1049</v>
      </c>
      <c r="L5087">
        <v>18.51437</v>
      </c>
      <c r="M5087">
        <v>0.99939820000000001</v>
      </c>
      <c r="N5087">
        <v>-1.2818589999999999E-2</v>
      </c>
      <c r="O5087">
        <v>3.2234869999999999E-2</v>
      </c>
      <c r="P5087">
        <v>0.98983869999999896</v>
      </c>
      <c r="Q5087">
        <v>-4.5652710000000001E-3</v>
      </c>
      <c r="R5087">
        <v>-0.14212330000000001</v>
      </c>
      <c r="S5087">
        <v>2.9161990000000002</v>
      </c>
      <c r="T5087">
        <v>-0.10391880000000001</v>
      </c>
      <c r="U5087">
        <v>-0.80313109999999999</v>
      </c>
      <c r="V5087">
        <v>0.1740342</v>
      </c>
      <c r="W5087">
        <v>6.2306159999999996E-3</v>
      </c>
      <c r="X5087">
        <v>0.98471989999999998</v>
      </c>
      <c r="Y5087">
        <v>0.29621059999999999</v>
      </c>
      <c r="Z5087">
        <v>-7.8370360000000003E-3</v>
      </c>
      <c r="AA5087">
        <v>0.95509049999999995</v>
      </c>
      <c r="AB5087">
        <v>39</v>
      </c>
      <c r="AC5087">
        <v>32.205199999999898</v>
      </c>
      <c r="AD5087">
        <v>-1.1549</v>
      </c>
      <c r="AE5087">
        <v>-8.9297449999999898</v>
      </c>
      <c r="AF5087">
        <v>9.9514355217219599</v>
      </c>
      <c r="AG5087">
        <v>-1.1549</v>
      </c>
      <c r="AH5087">
        <v>31.862538608869698</v>
      </c>
      <c r="AI5087">
        <v>91.981536240791101</v>
      </c>
      <c r="AJ5087">
        <v>72.655162701388505</v>
      </c>
      <c r="AK5087">
        <v>33.4003926556965</v>
      </c>
      <c r="AL5087">
        <v>89.643009690503305</v>
      </c>
      <c r="AM5087">
        <v>79.977344046338004</v>
      </c>
      <c r="AN5087">
        <v>1.0000000024006901</v>
      </c>
    </row>
    <row r="5088" spans="1:40" x14ac:dyDescent="0.25">
      <c r="A5088" t="str">
        <f>"20190305135930549"</f>
        <v>20190305135930549</v>
      </c>
      <c r="B5088" t="str">
        <f>"1551765570544505"</f>
        <v>1551765570544505</v>
      </c>
      <c r="C5088" t="s">
        <v>40</v>
      </c>
      <c r="D5088">
        <v>3.9702130000000002</v>
      </c>
      <c r="E5088">
        <v>0.548149</v>
      </c>
      <c r="F5088" t="s">
        <v>43</v>
      </c>
      <c r="G5088">
        <v>-306.43200000000002</v>
      </c>
      <c r="H5088">
        <v>-0.05</v>
      </c>
      <c r="I5088">
        <v>9.5519259999999999</v>
      </c>
      <c r="J5088">
        <v>-338.46539999999999</v>
      </c>
      <c r="K5088">
        <v>1.1050660000000001</v>
      </c>
      <c r="L5088">
        <v>18.51877</v>
      </c>
      <c r="M5088">
        <v>0.99944219999999895</v>
      </c>
      <c r="N5088">
        <v>-1.2901340000000001E-2</v>
      </c>
      <c r="O5088">
        <v>3.0803649999999998E-2</v>
      </c>
      <c r="P5088">
        <v>0.98945939999999999</v>
      </c>
      <c r="Q5088">
        <v>-4.4593790000000003E-3</v>
      </c>
      <c r="R5088">
        <v>-0.1447415</v>
      </c>
      <c r="S5088">
        <v>2.913818</v>
      </c>
      <c r="T5088">
        <v>-0.1044823</v>
      </c>
      <c r="U5088">
        <v>-0.81082149999999997</v>
      </c>
      <c r="V5088">
        <v>0.17522879999999999</v>
      </c>
      <c r="W5088">
        <v>6.472368E-3</v>
      </c>
      <c r="X5088">
        <v>0.98450649999999995</v>
      </c>
      <c r="Y5088">
        <v>0.29738009999999998</v>
      </c>
      <c r="Z5088">
        <v>-7.8806789999999998E-3</v>
      </c>
      <c r="AA5088">
        <v>0.95472659999999998</v>
      </c>
      <c r="AB5088">
        <v>39</v>
      </c>
      <c r="AC5088">
        <v>32.033399999999901</v>
      </c>
      <c r="AD5088">
        <v>-1.1550659999999999</v>
      </c>
      <c r="AE5088">
        <v>-8.966844</v>
      </c>
      <c r="AF5088">
        <v>9.9374341505549904</v>
      </c>
      <c r="AG5088">
        <v>-1.1550659999999999</v>
      </c>
      <c r="AH5088">
        <v>31.703735941192601</v>
      </c>
      <c r="AI5088">
        <v>91.991103013072205</v>
      </c>
      <c r="AJ5088">
        <v>72.596568057523697</v>
      </c>
      <c r="AK5088">
        <v>33.2447536852033</v>
      </c>
      <c r="AL5088">
        <v>89.629158054355003</v>
      </c>
      <c r="AM5088">
        <v>79.907813640319503</v>
      </c>
      <c r="AN5088">
        <v>1.0000000362196</v>
      </c>
    </row>
    <row r="5089" spans="1:40" x14ac:dyDescent="0.25">
      <c r="A5089" t="str">
        <f>"20190305135930560"</f>
        <v>20190305135930560</v>
      </c>
      <c r="B5089" t="str">
        <f>"1551765570554266"</f>
        <v>1551765570554266</v>
      </c>
      <c r="C5089" t="s">
        <v>40</v>
      </c>
      <c r="D5089">
        <v>3.9785979999999999</v>
      </c>
      <c r="E5089">
        <v>0.54808389999999996</v>
      </c>
      <c r="F5089" t="s">
        <v>43</v>
      </c>
      <c r="G5089">
        <v>-306.1721</v>
      </c>
      <c r="H5089">
        <v>-0.05</v>
      </c>
      <c r="I5089">
        <v>9.4479369999999996</v>
      </c>
      <c r="J5089">
        <v>-338.27780000000001</v>
      </c>
      <c r="K5089">
        <v>1.1052519999999999</v>
      </c>
      <c r="L5089">
        <v>18.523409999999998</v>
      </c>
      <c r="M5089">
        <v>0.99948650000000006</v>
      </c>
      <c r="N5089">
        <v>-1.298916E-2</v>
      </c>
      <c r="O5089">
        <v>2.929468E-2</v>
      </c>
      <c r="P5089">
        <v>0.98908620000000003</v>
      </c>
      <c r="Q5089">
        <v>-4.7683789999999997E-3</v>
      </c>
      <c r="R5089">
        <v>-0.14726149999999999</v>
      </c>
      <c r="S5089">
        <v>2.911835</v>
      </c>
      <c r="T5089">
        <v>-0.1041504</v>
      </c>
      <c r="U5089">
        <v>-0.81790160000000001</v>
      </c>
      <c r="V5089">
        <v>0.17624489999999901</v>
      </c>
      <c r="W5089">
        <v>6.3131079999999996E-3</v>
      </c>
      <c r="X5089">
        <v>0.98432609999999998</v>
      </c>
      <c r="Y5089">
        <v>0.29826019999999998</v>
      </c>
      <c r="Z5089">
        <v>-7.8616290000000002E-3</v>
      </c>
      <c r="AA5089">
        <v>0.95445219999999997</v>
      </c>
      <c r="AB5089">
        <v>39</v>
      </c>
      <c r="AC5089">
        <v>32.105699999999999</v>
      </c>
      <c r="AD5089">
        <v>-1.1552519999999999</v>
      </c>
      <c r="AE5089">
        <v>-9.0754730000000006</v>
      </c>
      <c r="AF5089">
        <v>10.0001930036843</v>
      </c>
      <c r="AG5089">
        <v>-1.1552519999999999</v>
      </c>
      <c r="AH5089">
        <v>31.7879206764622</v>
      </c>
      <c r="AI5089">
        <v>91.985504734791604</v>
      </c>
      <c r="AJ5089">
        <v>72.536895037090005</v>
      </c>
      <c r="AK5089">
        <v>33.343820540356397</v>
      </c>
      <c r="AL5089">
        <v>89.638283151655799</v>
      </c>
      <c r="AM5089">
        <v>79.848683784956407</v>
      </c>
      <c r="AN5089">
        <v>0.99999999562491904</v>
      </c>
    </row>
    <row r="5090" spans="1:40" x14ac:dyDescent="0.25">
      <c r="A5090" t="str">
        <f>"20190305135930569"</f>
        <v>20190305135930569</v>
      </c>
      <c r="B5090" t="str">
        <f>"1551765570564025"</f>
        <v>1551765570564025</v>
      </c>
      <c r="C5090" t="s">
        <v>40</v>
      </c>
      <c r="D5090">
        <v>3.9582310000000001</v>
      </c>
      <c r="E5090">
        <v>0.54801429999999995</v>
      </c>
      <c r="F5090" t="s">
        <v>43</v>
      </c>
      <c r="G5090">
        <v>-306.25529999999998</v>
      </c>
      <c r="H5090">
        <v>-0.05</v>
      </c>
      <c r="I5090">
        <v>9.4467470000000002</v>
      </c>
      <c r="J5090">
        <v>-338.10660000000001</v>
      </c>
      <c r="K5090">
        <v>1.105426</v>
      </c>
      <c r="L5090">
        <v>18.527370000000001</v>
      </c>
      <c r="M5090">
        <v>0.99952070000000004</v>
      </c>
      <c r="N5090">
        <v>-1.3060830000000001E-2</v>
      </c>
      <c r="O5090">
        <v>2.8070029999999999E-2</v>
      </c>
      <c r="P5090">
        <v>0.98880650000000003</v>
      </c>
      <c r="Q5090">
        <v>-4.8509590000000002E-3</v>
      </c>
      <c r="R5090">
        <v>-0.149124799999999</v>
      </c>
      <c r="S5090">
        <v>2.9097900000000001</v>
      </c>
      <c r="T5090">
        <v>-0.1049742</v>
      </c>
      <c r="U5090">
        <v>-0.8247681</v>
      </c>
      <c r="V5090">
        <v>0.17689079999999999</v>
      </c>
      <c r="W5090">
        <v>6.366989E-3</v>
      </c>
      <c r="X5090">
        <v>0.98420989999999997</v>
      </c>
      <c r="Y5090">
        <v>0.29934660000000002</v>
      </c>
      <c r="Z5090">
        <v>-7.9217509999999994E-3</v>
      </c>
      <c r="AA5090">
        <v>0.9541115</v>
      </c>
      <c r="AB5090">
        <v>39</v>
      </c>
      <c r="AC5090">
        <v>31.851299999999998</v>
      </c>
      <c r="AD5090">
        <v>-1.1554260000000001</v>
      </c>
      <c r="AE5090">
        <v>-9.0806229999999992</v>
      </c>
      <c r="AF5090">
        <v>9.9590671708096092</v>
      </c>
      <c r="AG5090">
        <v>-1.1554260000000001</v>
      </c>
      <c r="AH5090">
        <v>31.5454411064932</v>
      </c>
      <c r="AI5090">
        <v>92.000416718584901</v>
      </c>
      <c r="AJ5090">
        <v>72.478810222984094</v>
      </c>
      <c r="AK5090">
        <v>33.100345659183098</v>
      </c>
      <c r="AL5090">
        <v>89.635195941112201</v>
      </c>
      <c r="AM5090">
        <v>79.811081578480298</v>
      </c>
      <c r="AN5090">
        <v>1.00000001046578</v>
      </c>
    </row>
    <row r="5091" spans="1:40" x14ac:dyDescent="0.25">
      <c r="A5091" t="str">
        <f>"20190305135930579"</f>
        <v>20190305135930579</v>
      </c>
      <c r="B5091" t="str">
        <f>"1551765570574762"</f>
        <v>1551765570574762</v>
      </c>
      <c r="C5091" t="s">
        <v>40</v>
      </c>
      <c r="D5091">
        <v>3.967228</v>
      </c>
      <c r="E5091">
        <v>0.54794160000000003</v>
      </c>
      <c r="F5091" t="s">
        <v>43</v>
      </c>
      <c r="G5091">
        <v>-306.18119999999999</v>
      </c>
      <c r="H5091">
        <v>-0.05</v>
      </c>
      <c r="I5091">
        <v>9.419098</v>
      </c>
      <c r="J5091">
        <v>-337.93310000000002</v>
      </c>
      <c r="K5091">
        <v>1.1056060000000001</v>
      </c>
      <c r="L5091">
        <v>18.53134</v>
      </c>
      <c r="M5091">
        <v>0.99955320000000003</v>
      </c>
      <c r="N5091">
        <v>-1.3132609999999999E-2</v>
      </c>
      <c r="O5091">
        <v>2.6854099999999999E-2</v>
      </c>
      <c r="P5091">
        <v>0.98852499999999999</v>
      </c>
      <c r="Q5091">
        <v>-4.9428459999999999E-3</v>
      </c>
      <c r="R5091">
        <v>-0.15097769999999999</v>
      </c>
      <c r="S5091">
        <v>2.908325</v>
      </c>
      <c r="T5091">
        <v>-0.10525660000000001</v>
      </c>
      <c r="U5091">
        <v>-0.82974239999999999</v>
      </c>
      <c r="V5091">
        <v>0.177535</v>
      </c>
      <c r="W5091">
        <v>6.412765E-3</v>
      </c>
      <c r="X5091">
        <v>0.98409360000000001</v>
      </c>
      <c r="Y5091">
        <v>0.29982019999999998</v>
      </c>
      <c r="Z5091">
        <v>-7.9338229999999996E-3</v>
      </c>
      <c r="AA5091">
        <v>0.95396270000000005</v>
      </c>
      <c r="AB5091">
        <v>39</v>
      </c>
      <c r="AC5091">
        <v>31.751899999999999</v>
      </c>
      <c r="AD5091">
        <v>-1.1556059999999999</v>
      </c>
      <c r="AE5091">
        <v>-9.1122420000000002</v>
      </c>
      <c r="AF5091">
        <v>9.9495211964349508</v>
      </c>
      <c r="AG5091">
        <v>-1.1556059999999999</v>
      </c>
      <c r="AH5091">
        <v>31.457227790406499</v>
      </c>
      <c r="AI5091">
        <v>92.005998929661303</v>
      </c>
      <c r="AJ5091">
        <v>72.4484992283152</v>
      </c>
      <c r="AK5091">
        <v>33.013415114511702</v>
      </c>
      <c r="AL5091">
        <v>89.632573114595701</v>
      </c>
      <c r="AM5091">
        <v>79.773574203781493</v>
      </c>
      <c r="AN5091">
        <v>1.00000000667045</v>
      </c>
    </row>
    <row r="5092" spans="1:40" x14ac:dyDescent="0.25">
      <c r="A5092" t="str">
        <f>"20190305135930590"</f>
        <v>20190305135930590</v>
      </c>
      <c r="B5092" t="str">
        <f>"1551765570584521"</f>
        <v>1551765570584521</v>
      </c>
      <c r="C5092" t="s">
        <v>40</v>
      </c>
      <c r="D5092">
        <v>4.0086500000000003</v>
      </c>
      <c r="E5092">
        <v>0.54786179999999995</v>
      </c>
      <c r="F5092" t="s">
        <v>43</v>
      </c>
      <c r="G5092">
        <v>-306.10730000000001</v>
      </c>
      <c r="H5092">
        <v>-0.05</v>
      </c>
      <c r="I5092">
        <v>9.3935999999999993</v>
      </c>
      <c r="J5092">
        <v>-337.74529999999999</v>
      </c>
      <c r="K5092">
        <v>1.105804</v>
      </c>
      <c r="L5092">
        <v>18.535399999999999</v>
      </c>
      <c r="M5092">
        <v>0.99958250000000004</v>
      </c>
      <c r="N5092">
        <v>-1.320204E-2</v>
      </c>
      <c r="O5092">
        <v>2.5700000000000001E-2</v>
      </c>
      <c r="P5092">
        <v>0.98832690000000001</v>
      </c>
      <c r="Q5092">
        <v>-4.8304610000000003E-3</v>
      </c>
      <c r="R5092">
        <v>-0.1522714</v>
      </c>
      <c r="S5092">
        <v>2.9067989999999999</v>
      </c>
      <c r="T5092">
        <v>-0.1055471</v>
      </c>
      <c r="U5092">
        <v>-0.83459470000000002</v>
      </c>
      <c r="V5092">
        <v>0.17768539999999999</v>
      </c>
      <c r="W5092">
        <v>6.6731119999999897E-3</v>
      </c>
      <c r="X5092">
        <v>0.98406470000000001</v>
      </c>
      <c r="Y5092">
        <v>0.3003208</v>
      </c>
      <c r="Z5092">
        <v>-7.9482990000000007E-3</v>
      </c>
      <c r="AA5092">
        <v>0.95380509999999996</v>
      </c>
      <c r="AB5092">
        <v>39</v>
      </c>
      <c r="AC5092">
        <v>31.637999999999899</v>
      </c>
      <c r="AD5092">
        <v>-1.1558040000000001</v>
      </c>
      <c r="AE5092">
        <v>-9.1417999999999999</v>
      </c>
      <c r="AF5092">
        <v>9.9397041385518801</v>
      </c>
      <c r="AG5092">
        <v>-1.1558040000000001</v>
      </c>
      <c r="AH5092">
        <v>31.353962994406</v>
      </c>
      <c r="AI5092">
        <v>92.012523154793698</v>
      </c>
      <c r="AJ5092">
        <v>72.4105581942881</v>
      </c>
      <c r="AK5092">
        <v>32.912073722312698</v>
      </c>
      <c r="AL5092">
        <v>89.617656001909694</v>
      </c>
      <c r="AM5092">
        <v>79.764799641634198</v>
      </c>
      <c r="AN5092">
        <v>0.99999998279150704</v>
      </c>
    </row>
    <row r="5093" spans="1:40" x14ac:dyDescent="0.25">
      <c r="A5093" t="str">
        <f>"20190305135930602"</f>
        <v>20190305135930602</v>
      </c>
      <c r="B5093" t="str">
        <f>"1551765570594282"</f>
        <v>1551765570594282</v>
      </c>
      <c r="C5093" t="s">
        <v>40</v>
      </c>
      <c r="D5093">
        <v>4.0014580000000004</v>
      </c>
      <c r="E5093">
        <v>0.5477765</v>
      </c>
      <c r="F5093" t="s">
        <v>43</v>
      </c>
      <c r="G5093">
        <v>-305.82589999999999</v>
      </c>
      <c r="H5093">
        <v>-0.05</v>
      </c>
      <c r="I5093">
        <v>9.3321380000000005</v>
      </c>
      <c r="J5093">
        <v>-337.53469999999999</v>
      </c>
      <c r="K5093">
        <v>1.1060239999999999</v>
      </c>
      <c r="L5093">
        <v>18.53979</v>
      </c>
      <c r="M5093">
        <v>0.99961230000000001</v>
      </c>
      <c r="N5093">
        <v>-1.327683E-2</v>
      </c>
      <c r="O5093">
        <v>2.4477720000000001E-2</v>
      </c>
      <c r="P5093">
        <v>0.98810779999999998</v>
      </c>
      <c r="Q5093">
        <v>-4.9496719999999996E-3</v>
      </c>
      <c r="R5093">
        <v>-0.15368409999999999</v>
      </c>
      <c r="S5093">
        <v>2.9058229999999998</v>
      </c>
      <c r="T5093">
        <v>-0.10521999999999999</v>
      </c>
      <c r="U5093">
        <v>-0.83782959999999995</v>
      </c>
      <c r="V5093">
        <v>0.17788519999999999</v>
      </c>
      <c r="W5093">
        <v>6.7160259999999999E-3</v>
      </c>
      <c r="X5093">
        <v>0.98402829999999997</v>
      </c>
      <c r="Y5093">
        <v>0.30022159999999998</v>
      </c>
      <c r="Z5093">
        <v>-7.9099600000000006E-3</v>
      </c>
      <c r="AA5093">
        <v>0.95383669999999998</v>
      </c>
      <c r="AB5093">
        <v>39</v>
      </c>
      <c r="AC5093">
        <v>31.7088</v>
      </c>
      <c r="AD5093">
        <v>-1.1560239999999999</v>
      </c>
      <c r="AE5093">
        <v>-9.2076519999999995</v>
      </c>
      <c r="AF5093">
        <v>9.9689003750835106</v>
      </c>
      <c r="AG5093">
        <v>-1.1560239999999999</v>
      </c>
      <c r="AH5093">
        <v>31.435362277430901</v>
      </c>
      <c r="AI5093">
        <v>92.007635576561896</v>
      </c>
      <c r="AJ5093">
        <v>72.404941557722694</v>
      </c>
      <c r="AK5093">
        <v>32.998444928363497</v>
      </c>
      <c r="AL5093">
        <v>89.615197151645106</v>
      </c>
      <c r="AM5093">
        <v>79.753163270555802</v>
      </c>
      <c r="AN5093">
        <v>0.99999997229258097</v>
      </c>
    </row>
    <row r="5094" spans="1:40" x14ac:dyDescent="0.25">
      <c r="A5094" t="str">
        <f>"20190305135930613"</f>
        <v>20190305135930613</v>
      </c>
      <c r="B5094" t="str">
        <f>"1551765570604309"</f>
        <v>1551765570604309</v>
      </c>
      <c r="C5094" t="s">
        <v>40</v>
      </c>
      <c r="D5094">
        <v>4.0025329999999997</v>
      </c>
      <c r="E5094">
        <v>0.54769569999999901</v>
      </c>
      <c r="F5094" t="s">
        <v>43</v>
      </c>
      <c r="G5094">
        <v>-305.77140000000003</v>
      </c>
      <c r="H5094">
        <v>-0.05</v>
      </c>
      <c r="I5094">
        <v>9.3411559999999998</v>
      </c>
      <c r="J5094">
        <v>-337.33839999999998</v>
      </c>
      <c r="K5094">
        <v>1.1062259999999999</v>
      </c>
      <c r="L5094">
        <v>18.54373</v>
      </c>
      <c r="M5094">
        <v>0.99963579999999996</v>
      </c>
      <c r="N5094">
        <v>-1.3340909999999999E-2</v>
      </c>
      <c r="O5094">
        <v>2.3459170000000001E-2</v>
      </c>
      <c r="P5094">
        <v>0.98792959999999996</v>
      </c>
      <c r="Q5094">
        <v>-5.3090139999999999E-3</v>
      </c>
      <c r="R5094">
        <v>-0.15481310000000001</v>
      </c>
      <c r="S5094">
        <v>2.9047550000000002</v>
      </c>
      <c r="T5094">
        <v>-0.10571850000000001</v>
      </c>
      <c r="U5094">
        <v>-0.84121699999999999</v>
      </c>
      <c r="V5094">
        <v>0.17800150000000001</v>
      </c>
      <c r="W5094">
        <v>6.5024080000000003E-3</v>
      </c>
      <c r="X5094">
        <v>0.98400869999999996</v>
      </c>
      <c r="Y5094">
        <v>0.3003673</v>
      </c>
      <c r="Z5094">
        <v>-7.9297029999999998E-3</v>
      </c>
      <c r="AA5094">
        <v>0.95379069999999999</v>
      </c>
      <c r="AB5094">
        <v>39</v>
      </c>
      <c r="AC5094">
        <v>31.566999999999901</v>
      </c>
      <c r="AD5094">
        <v>-1.156226</v>
      </c>
      <c r="AE5094">
        <v>-9.2025740000000003</v>
      </c>
      <c r="AF5094">
        <v>9.9283660429587606</v>
      </c>
      <c r="AG5094">
        <v>-1.156226</v>
      </c>
      <c r="AH5094">
        <v>31.3037000805414</v>
      </c>
      <c r="AI5094">
        <v>92.016402049063601</v>
      </c>
      <c r="AJ5094">
        <v>72.402914500204602</v>
      </c>
      <c r="AK5094">
        <v>32.860781329398399</v>
      </c>
      <c r="AL5094">
        <v>89.627436827748497</v>
      </c>
      <c r="AM5094">
        <v>79.746406138556196</v>
      </c>
      <c r="AN5094">
        <v>0.99999996849386796</v>
      </c>
    </row>
    <row r="5095" spans="1:40" x14ac:dyDescent="0.25">
      <c r="A5095" t="str">
        <f>"20190305135930623"</f>
        <v>20190305135930623</v>
      </c>
      <c r="B5095" t="str">
        <f>"1551765570614071"</f>
        <v>1551765570614071</v>
      </c>
      <c r="C5095" t="s">
        <v>40</v>
      </c>
      <c r="D5095">
        <v>3.9977</v>
      </c>
      <c r="E5095">
        <v>0.54763329999999999</v>
      </c>
      <c r="F5095" t="s">
        <v>43</v>
      </c>
      <c r="G5095">
        <v>-305.96609999999998</v>
      </c>
      <c r="H5095">
        <v>-0.05</v>
      </c>
      <c r="I5095">
        <v>9.4274290000000001</v>
      </c>
      <c r="J5095">
        <v>-337.16379999999998</v>
      </c>
      <c r="K5095">
        <v>1.1064020000000001</v>
      </c>
      <c r="L5095">
        <v>18.54712</v>
      </c>
      <c r="M5095">
        <v>0.99965409999999999</v>
      </c>
      <c r="N5095">
        <v>-1.339394E-2</v>
      </c>
      <c r="O5095">
        <v>2.2638129999999999E-2</v>
      </c>
      <c r="P5095">
        <v>0.98782309999999995</v>
      </c>
      <c r="Q5095">
        <v>-5.5278899999999997E-3</v>
      </c>
      <c r="R5095">
        <v>-0.15548389999999901</v>
      </c>
      <c r="S5095">
        <v>2.9038390000000001</v>
      </c>
      <c r="T5095">
        <v>-0.10702109999999999</v>
      </c>
      <c r="U5095">
        <v>-0.84381099999999998</v>
      </c>
      <c r="V5095">
        <v>0.1778576</v>
      </c>
      <c r="W5095">
        <v>6.4084729999999996E-3</v>
      </c>
      <c r="X5095">
        <v>0.9840354</v>
      </c>
      <c r="Y5095">
        <v>0.3004443</v>
      </c>
      <c r="Z5095">
        <v>-7.9973079999999998E-3</v>
      </c>
      <c r="AA5095">
        <v>0.95376590000000006</v>
      </c>
      <c r="AB5095">
        <v>39</v>
      </c>
      <c r="AC5095">
        <v>31.197700000000001</v>
      </c>
      <c r="AD5095">
        <v>-1.1564019999999999</v>
      </c>
      <c r="AE5095">
        <v>-9.1196909999999995</v>
      </c>
      <c r="AF5095">
        <v>9.8112552938784994</v>
      </c>
      <c r="AG5095">
        <v>-1.1564019999999999</v>
      </c>
      <c r="AH5095">
        <v>30.944063358860902</v>
      </c>
      <c r="AI5095">
        <v>92.040185384171195</v>
      </c>
      <c r="AJ5095">
        <v>72.408041460964</v>
      </c>
      <c r="AK5095">
        <v>32.482811657620701</v>
      </c>
      <c r="AL5095">
        <v>89.632819042223801</v>
      </c>
      <c r="AM5095">
        <v>79.754791810874906</v>
      </c>
      <c r="AN5095">
        <v>1.00000003142855</v>
      </c>
    </row>
    <row r="5096" spans="1:40" x14ac:dyDescent="0.25">
      <c r="A5096" t="str">
        <f>"20190305135930634"</f>
        <v>20190305135930634</v>
      </c>
      <c r="B5096" t="str">
        <f>"1551765570623829"</f>
        <v>1551765570623829</v>
      </c>
      <c r="C5096" t="s">
        <v>40</v>
      </c>
      <c r="D5096">
        <v>3.988947</v>
      </c>
      <c r="E5096">
        <v>0.54756329999999998</v>
      </c>
      <c r="F5096" t="s">
        <v>43</v>
      </c>
      <c r="G5096">
        <v>-306.0634</v>
      </c>
      <c r="H5096">
        <v>-0.05</v>
      </c>
      <c r="I5096">
        <v>9.4924929999999996</v>
      </c>
      <c r="J5096">
        <v>-336.97660000000002</v>
      </c>
      <c r="K5096">
        <v>1.1065849999999999</v>
      </c>
      <c r="L5096">
        <v>18.550660000000001</v>
      </c>
      <c r="M5096">
        <v>0.99967150000000005</v>
      </c>
      <c r="N5096">
        <v>-1.344768E-2</v>
      </c>
      <c r="O5096">
        <v>2.182593E-2</v>
      </c>
      <c r="P5096">
        <v>0.98774430000000002</v>
      </c>
      <c r="Q5096">
        <v>-5.5331640000000001E-3</v>
      </c>
      <c r="R5096">
        <v>-0.15598429999999999</v>
      </c>
      <c r="S5096">
        <v>2.9033199999999999</v>
      </c>
      <c r="T5096">
        <v>-0.10795349999999999</v>
      </c>
      <c r="U5096">
        <v>-0.84527589999999997</v>
      </c>
      <c r="V5096">
        <v>0.17755409999999999</v>
      </c>
      <c r="W5096">
        <v>6.5343559999999998E-3</v>
      </c>
      <c r="X5096">
        <v>0.9840894</v>
      </c>
      <c r="Y5096">
        <v>0.3001548</v>
      </c>
      <c r="Z5096">
        <v>-8.0333379999999992E-3</v>
      </c>
      <c r="AA5096">
        <v>0.95385660000000005</v>
      </c>
      <c r="AB5096">
        <v>39</v>
      </c>
      <c r="AC5096">
        <v>30.9132</v>
      </c>
      <c r="AD5096">
        <v>-1.156585</v>
      </c>
      <c r="AE5096">
        <v>-9.0581669999999992</v>
      </c>
      <c r="AF5096">
        <v>9.7182510876772703</v>
      </c>
      <c r="AG5096">
        <v>-1.156585</v>
      </c>
      <c r="AH5096">
        <v>30.668578482826</v>
      </c>
      <c r="AI5096">
        <v>92.058930727892403</v>
      </c>
      <c r="AJ5096">
        <v>72.417646487614604</v>
      </c>
      <c r="AK5096">
        <v>32.192294096920499</v>
      </c>
      <c r="AL5096">
        <v>89.625606334395002</v>
      </c>
      <c r="AM5096">
        <v>79.772454492263293</v>
      </c>
      <c r="AN5096">
        <v>1.0000000517137499</v>
      </c>
    </row>
    <row r="5097" spans="1:40" x14ac:dyDescent="0.25">
      <c r="A5097" t="str">
        <f>"20190305135930645"</f>
        <v>20190305135930645</v>
      </c>
      <c r="B5097" t="str">
        <f>"1551765570634565"</f>
        <v>1551765570634565</v>
      </c>
      <c r="C5097" t="s">
        <v>40</v>
      </c>
      <c r="D5097">
        <v>3.9674299999999998</v>
      </c>
      <c r="E5097">
        <v>0.54749169999999903</v>
      </c>
      <c r="F5097" t="s">
        <v>43</v>
      </c>
      <c r="G5097">
        <v>-306.03140000000002</v>
      </c>
      <c r="H5097">
        <v>-0.05</v>
      </c>
      <c r="I5097">
        <v>9.5316159999999996</v>
      </c>
      <c r="J5097">
        <v>-336.79669999999999</v>
      </c>
      <c r="K5097">
        <v>1.106751</v>
      </c>
      <c r="L5097">
        <v>18.55396</v>
      </c>
      <c r="M5097">
        <v>0.99968579999999996</v>
      </c>
      <c r="N5097">
        <v>-1.3494839999999999E-2</v>
      </c>
      <c r="O5097">
        <v>2.1130030000000001E-2</v>
      </c>
      <c r="P5097">
        <v>0.98767439999999995</v>
      </c>
      <c r="Q5097">
        <v>-5.3099790000000003E-3</v>
      </c>
      <c r="R5097">
        <v>-0.15643409999999999</v>
      </c>
      <c r="S5097">
        <v>2.9030459999999998</v>
      </c>
      <c r="T5097">
        <v>-0.1085021</v>
      </c>
      <c r="U5097">
        <v>-0.84609990000000002</v>
      </c>
      <c r="V5097">
        <v>0.17731649999999999</v>
      </c>
      <c r="W5097">
        <v>6.8743329999999998E-3</v>
      </c>
      <c r="X5097">
        <v>0.98412980000000005</v>
      </c>
      <c r="Y5097">
        <v>0.29976249999999999</v>
      </c>
      <c r="Z5097">
        <v>-8.0455790000000006E-3</v>
      </c>
      <c r="AA5097">
        <v>0.95398000000000005</v>
      </c>
      <c r="AB5097">
        <v>39</v>
      </c>
      <c r="AC5097">
        <v>30.7652999999999</v>
      </c>
      <c r="AD5097">
        <v>-1.1567510000000001</v>
      </c>
      <c r="AE5097">
        <v>-9.0223440000000004</v>
      </c>
      <c r="AF5097">
        <v>9.6578879722534197</v>
      </c>
      <c r="AG5097">
        <v>-1.1567510000000001</v>
      </c>
      <c r="AH5097">
        <v>30.528030495682</v>
      </c>
      <c r="AI5097">
        <v>92.0690066112561</v>
      </c>
      <c r="AJ5097">
        <v>72.444643306673996</v>
      </c>
      <c r="AK5097">
        <v>32.0401859998641</v>
      </c>
      <c r="AL5097">
        <v>89.606126602515104</v>
      </c>
      <c r="AM5097">
        <v>79.786262985594504</v>
      </c>
      <c r="AN5097">
        <v>0.99999993043724</v>
      </c>
    </row>
    <row r="5098" spans="1:40" x14ac:dyDescent="0.25">
      <c r="A5098" t="str">
        <f>"20190305135930656"</f>
        <v>20190305135930656</v>
      </c>
      <c r="B5098" t="str">
        <f>"1551765570644326"</f>
        <v>1551765570644326</v>
      </c>
      <c r="C5098" t="s">
        <v>40</v>
      </c>
      <c r="D5098">
        <v>3.9741369999999998</v>
      </c>
      <c r="E5098">
        <v>0.54741759999999995</v>
      </c>
      <c r="F5098" t="s">
        <v>43</v>
      </c>
      <c r="G5098">
        <v>-305.76859999999999</v>
      </c>
      <c r="H5098">
        <v>-0.05</v>
      </c>
      <c r="I5098">
        <v>9.5023649999999993</v>
      </c>
      <c r="J5098">
        <v>-336.60520000000002</v>
      </c>
      <c r="K5098">
        <v>1.1069199999999999</v>
      </c>
      <c r="L5098">
        <v>18.557369999999999</v>
      </c>
      <c r="M5098">
        <v>0.99969949999999996</v>
      </c>
      <c r="N5098">
        <v>-1.3542770000000001E-2</v>
      </c>
      <c r="O5098">
        <v>2.0434069999999999E-2</v>
      </c>
      <c r="P5098">
        <v>0.98764260000000004</v>
      </c>
      <c r="Q5098">
        <v>-5.3214439999999998E-3</v>
      </c>
      <c r="R5098">
        <v>-0.15663369999999999</v>
      </c>
      <c r="S5098">
        <v>2.902771</v>
      </c>
      <c r="T5098">
        <v>-0.10821740000000001</v>
      </c>
      <c r="U5098">
        <v>-0.84680180000000005</v>
      </c>
      <c r="V5098">
        <v>0.17682790000000001</v>
      </c>
      <c r="W5098">
        <v>6.9840029999999999E-3</v>
      </c>
      <c r="X5098">
        <v>0.98421700000000001</v>
      </c>
      <c r="Y5098">
        <v>0.29933680000000001</v>
      </c>
      <c r="Z5098">
        <v>-8.0090070000000003E-3</v>
      </c>
      <c r="AA5098">
        <v>0.95411389999999996</v>
      </c>
      <c r="AB5098">
        <v>39</v>
      </c>
      <c r="AC5098">
        <v>30.836600000000001</v>
      </c>
      <c r="AD5098">
        <v>-1.1569199999999999</v>
      </c>
      <c r="AE5098">
        <v>-9.0550049999999995</v>
      </c>
      <c r="AF5098">
        <v>9.6707572105514092</v>
      </c>
      <c r="AG5098">
        <v>-1.1569199999999999</v>
      </c>
      <c r="AH5098">
        <v>30.6054527275871</v>
      </c>
      <c r="AI5098">
        <v>92.064303611983206</v>
      </c>
      <c r="AJ5098">
        <v>72.464426975094</v>
      </c>
      <c r="AK5098">
        <v>32.117841545975701</v>
      </c>
      <c r="AL5098">
        <v>89.599842848037497</v>
      </c>
      <c r="AM5098">
        <v>79.814700697793398</v>
      </c>
      <c r="AN5098">
        <v>0.99999999280265695</v>
      </c>
    </row>
    <row r="5099" spans="1:40" x14ac:dyDescent="0.25">
      <c r="A5099" t="str">
        <f>"20190305135930668"</f>
        <v>20190305135930668</v>
      </c>
      <c r="B5099" t="str">
        <f>"1551765570654085"</f>
        <v>1551765570654085</v>
      </c>
      <c r="C5099" t="s">
        <v>40</v>
      </c>
      <c r="D5099">
        <v>3.9428450000000002</v>
      </c>
      <c r="E5099">
        <v>0.54734859999999996</v>
      </c>
      <c r="F5099" t="s">
        <v>43</v>
      </c>
      <c r="G5099">
        <v>-305.76769999999999</v>
      </c>
      <c r="H5099">
        <v>-0.05</v>
      </c>
      <c r="I5099">
        <v>9.5616610000000009</v>
      </c>
      <c r="J5099">
        <v>-336.40539999999999</v>
      </c>
      <c r="K5099">
        <v>1.1070819999999999</v>
      </c>
      <c r="L5099">
        <v>18.560790000000001</v>
      </c>
      <c r="M5099">
        <v>0.99971180000000004</v>
      </c>
      <c r="N5099">
        <v>-1.358736E-2</v>
      </c>
      <c r="O5099">
        <v>1.979392E-2</v>
      </c>
      <c r="P5099">
        <v>0.98766690000000001</v>
      </c>
      <c r="Q5099">
        <v>-5.3133019999999998E-3</v>
      </c>
      <c r="R5099">
        <v>-0.15647990000000001</v>
      </c>
      <c r="S5099">
        <v>2.9026489999999998</v>
      </c>
      <c r="T5099">
        <v>-0.1088976</v>
      </c>
      <c r="U5099">
        <v>-0.84674069999999901</v>
      </c>
      <c r="V5099">
        <v>0.176042</v>
      </c>
      <c r="W5099">
        <v>7.1070229999999996E-3</v>
      </c>
      <c r="X5099">
        <v>0.98435700000000004</v>
      </c>
      <c r="Y5099">
        <v>0.29871560000000003</v>
      </c>
      <c r="Z5099">
        <v>-8.0234599999999996E-3</v>
      </c>
      <c r="AA5099">
        <v>0.9543085</v>
      </c>
      <c r="AB5099">
        <v>39</v>
      </c>
      <c r="AC5099">
        <v>30.637699999999899</v>
      </c>
      <c r="AD5099">
        <v>-1.1570819999999999</v>
      </c>
      <c r="AE5099">
        <v>-8.9991289999999999</v>
      </c>
      <c r="AF5099">
        <v>9.5912680573703195</v>
      </c>
      <c r="AG5099">
        <v>-1.1570819999999999</v>
      </c>
      <c r="AH5099">
        <v>30.413617808382401</v>
      </c>
      <c r="AI5099">
        <v>92.077973333668893</v>
      </c>
      <c r="AJ5099">
        <v>72.496759421344905</v>
      </c>
      <c r="AK5099">
        <v>31.911117340159201</v>
      </c>
      <c r="AL5099">
        <v>89.592794148963193</v>
      </c>
      <c r="AM5099">
        <v>79.860439446854599</v>
      </c>
      <c r="AN5099">
        <v>0.99999999949446094</v>
      </c>
    </row>
    <row r="5100" spans="1:40" x14ac:dyDescent="0.25">
      <c r="A5100" t="str">
        <f>"20190305135930680"</f>
        <v>20190305135930680</v>
      </c>
      <c r="B5100" t="str">
        <f>"1551765570674582"</f>
        <v>1551765570674582</v>
      </c>
      <c r="C5100" t="s">
        <v>40</v>
      </c>
      <c r="D5100">
        <v>3.9442110000000001</v>
      </c>
      <c r="E5100">
        <v>0.54720530000000001</v>
      </c>
      <c r="F5100" t="s">
        <v>43</v>
      </c>
      <c r="G5100">
        <v>-305.72719999999998</v>
      </c>
      <c r="H5100">
        <v>-0.05</v>
      </c>
      <c r="I5100">
        <v>9.6226350000000007</v>
      </c>
      <c r="J5100">
        <v>-336.18630000000002</v>
      </c>
      <c r="K5100">
        <v>1.1072500000000001</v>
      </c>
      <c r="L5100">
        <v>18.564509999999999</v>
      </c>
      <c r="M5100">
        <v>0.99972419999999995</v>
      </c>
      <c r="N5100">
        <v>-1.363403E-2</v>
      </c>
      <c r="O5100">
        <v>1.912552E-2</v>
      </c>
      <c r="P5100">
        <v>0.9876471</v>
      </c>
      <c r="Q5100">
        <v>-5.3282499999999997E-3</v>
      </c>
      <c r="R5100">
        <v>-0.1566052</v>
      </c>
      <c r="S5100">
        <v>2.9028930000000002</v>
      </c>
      <c r="T5100">
        <v>-0.1094878</v>
      </c>
      <c r="U5100">
        <v>-0.84576419999999997</v>
      </c>
      <c r="V5100">
        <v>0.175506299999999</v>
      </c>
      <c r="W5100">
        <v>7.2095400000000004E-3</v>
      </c>
      <c r="X5100">
        <v>0.98445190000000005</v>
      </c>
      <c r="Y5100">
        <v>0.29775819999999997</v>
      </c>
      <c r="Z5100">
        <v>-8.022866E-3</v>
      </c>
      <c r="AA5100">
        <v>0.9546076</v>
      </c>
      <c r="AB5100">
        <v>39</v>
      </c>
      <c r="AC5100">
        <v>30.459099999999999</v>
      </c>
      <c r="AD5100">
        <v>-1.1572499999999999</v>
      </c>
      <c r="AE5100">
        <v>-8.9418749999999996</v>
      </c>
      <c r="AF5100">
        <v>9.5102005487146606</v>
      </c>
      <c r="AG5100">
        <v>-1.1572499999999999</v>
      </c>
      <c r="AH5100">
        <v>30.242302519518098</v>
      </c>
      <c r="AI5100">
        <v>92.090572298503403</v>
      </c>
      <c r="AJ5100">
        <v>72.543368552636906</v>
      </c>
      <c r="AK5100">
        <v>31.723492930655102</v>
      </c>
      <c r="AL5100">
        <v>89.586920203570699</v>
      </c>
      <c r="AM5100">
        <v>79.891611464474906</v>
      </c>
      <c r="AN5100">
        <v>0.99999999111015503</v>
      </c>
    </row>
    <row r="5101" spans="1:40" x14ac:dyDescent="0.25">
      <c r="A5101" t="str">
        <f>"20190305135930692"</f>
        <v>20190305135930692</v>
      </c>
      <c r="B5101" t="str">
        <f>"1551765570684434"</f>
        <v>1551765570684434</v>
      </c>
      <c r="C5101" t="s">
        <v>40</v>
      </c>
      <c r="D5101">
        <v>3.9564520000000001</v>
      </c>
      <c r="E5101">
        <v>0.5471395</v>
      </c>
      <c r="F5101" t="s">
        <v>43</v>
      </c>
      <c r="G5101">
        <v>-305.71010000000001</v>
      </c>
      <c r="H5101">
        <v>-0.05</v>
      </c>
      <c r="I5101">
        <v>9.6949009999999998</v>
      </c>
      <c r="J5101">
        <v>-335.97129999999999</v>
      </c>
      <c r="K5101">
        <v>1.1073999999999999</v>
      </c>
      <c r="L5101">
        <v>18.567990000000002</v>
      </c>
      <c r="M5101">
        <v>0.99973469999999998</v>
      </c>
      <c r="N5101">
        <v>-1.3674749999999999E-2</v>
      </c>
      <c r="O5101">
        <v>1.853235E-2</v>
      </c>
      <c r="P5101">
        <v>0.98766209999999999</v>
      </c>
      <c r="Q5101">
        <v>-4.899357E-3</v>
      </c>
      <c r="R5101">
        <v>-0.15652249999999901</v>
      </c>
      <c r="S5101">
        <v>2.9029240000000001</v>
      </c>
      <c r="T5101">
        <v>-0.11023040000000001</v>
      </c>
      <c r="U5101">
        <v>-0.84484859999999995</v>
      </c>
      <c r="V5101">
        <v>0.17483950000000001</v>
      </c>
      <c r="W5101">
        <v>7.7402460000000001E-3</v>
      </c>
      <c r="X5101">
        <v>0.98456650000000001</v>
      </c>
      <c r="Y5101">
        <v>0.29690889999999998</v>
      </c>
      <c r="Z5101">
        <v>-8.0346110000000005E-3</v>
      </c>
      <c r="AA5101">
        <v>0.95487200000000005</v>
      </c>
      <c r="AB5101">
        <v>39</v>
      </c>
      <c r="AC5101">
        <v>30.261199999999899</v>
      </c>
      <c r="AD5101">
        <v>-1.1574</v>
      </c>
      <c r="AE5101">
        <v>-8.8730889999999896</v>
      </c>
      <c r="AF5101">
        <v>9.4197398884150303</v>
      </c>
      <c r="AG5101">
        <v>-1.1574</v>
      </c>
      <c r="AH5101">
        <v>30.051068006930201</v>
      </c>
      <c r="AI5101">
        <v>92.104742848561798</v>
      </c>
      <c r="AJ5101">
        <v>72.595996567656101</v>
      </c>
      <c r="AK5101">
        <v>31.5140883206629</v>
      </c>
      <c r="AL5101">
        <v>89.556512133442894</v>
      </c>
      <c r="AM5101">
        <v>79.930376841955294</v>
      </c>
      <c r="AN5101">
        <v>0.99999997754532</v>
      </c>
    </row>
    <row r="5102" spans="1:40" x14ac:dyDescent="0.25">
      <c r="A5102" t="str">
        <f>"20190305135930704"</f>
        <v>20190305135930704</v>
      </c>
      <c r="B5102" t="str">
        <f>"1551765570694194"</f>
        <v>1551765570694194</v>
      </c>
      <c r="C5102" t="s">
        <v>40</v>
      </c>
      <c r="D5102">
        <v>3.9560949999999999</v>
      </c>
      <c r="E5102">
        <v>0.54708179999999995</v>
      </c>
      <c r="F5102" t="s">
        <v>43</v>
      </c>
      <c r="G5102">
        <v>-305.27300000000002</v>
      </c>
      <c r="H5102">
        <v>-0.05</v>
      </c>
      <c r="I5102">
        <v>9.6432950000000002</v>
      </c>
      <c r="J5102">
        <v>-335.77640000000002</v>
      </c>
      <c r="K5102">
        <v>1.1075159999999999</v>
      </c>
      <c r="L5102">
        <v>18.57104</v>
      </c>
      <c r="M5102">
        <v>0.99974379999999996</v>
      </c>
      <c r="N5102">
        <v>-1.370907E-2</v>
      </c>
      <c r="O5102">
        <v>1.801763E-2</v>
      </c>
      <c r="P5102">
        <v>0.98765380000000003</v>
      </c>
      <c r="Q5102">
        <v>-4.5841220000000004E-3</v>
      </c>
      <c r="R5102">
        <v>-0.1565869</v>
      </c>
      <c r="S5102">
        <v>2.9031980000000002</v>
      </c>
      <c r="T5102">
        <v>-0.109457399999999</v>
      </c>
      <c r="U5102">
        <v>-0.84402469999999996</v>
      </c>
      <c r="V5102">
        <v>0.1743962</v>
      </c>
      <c r="W5102">
        <v>8.1383919999999995E-3</v>
      </c>
      <c r="X5102">
        <v>0.98464189999999996</v>
      </c>
      <c r="Y5102">
        <v>0.2961472</v>
      </c>
      <c r="Z5102">
        <v>-7.9637189999999993E-3</v>
      </c>
      <c r="AA5102">
        <v>0.95510910000000004</v>
      </c>
      <c r="AB5102">
        <v>39</v>
      </c>
      <c r="AC5102">
        <v>30.503399999999999</v>
      </c>
      <c r="AD5102">
        <v>-1.157516</v>
      </c>
      <c r="AE5102">
        <v>-8.9277449999999998</v>
      </c>
      <c r="AF5102">
        <v>9.4633941308951997</v>
      </c>
      <c r="AG5102">
        <v>-1.157516</v>
      </c>
      <c r="AH5102">
        <v>30.297390139046801</v>
      </c>
      <c r="AI5102">
        <v>92.088513822459205</v>
      </c>
      <c r="AJ5102">
        <v>72.653797996535701</v>
      </c>
      <c r="AK5102">
        <v>31.762045290008199</v>
      </c>
      <c r="AL5102">
        <v>89.533699324664198</v>
      </c>
      <c r="AM5102">
        <v>79.956141013838703</v>
      </c>
      <c r="AN5102">
        <v>0.99999996961719695</v>
      </c>
    </row>
    <row r="5103" spans="1:40" x14ac:dyDescent="0.25">
      <c r="A5103" t="str">
        <f>"20190305135930716"</f>
        <v>20190305135930716</v>
      </c>
      <c r="B5103" t="str">
        <f>"1551765570704462"</f>
        <v>1551765570704462</v>
      </c>
      <c r="C5103" t="s">
        <v>40</v>
      </c>
      <c r="D5103">
        <v>3.9672990000000001</v>
      </c>
      <c r="E5103">
        <v>0.54702589999999995</v>
      </c>
      <c r="F5103" t="s">
        <v>43</v>
      </c>
      <c r="G5103">
        <v>-304.9631</v>
      </c>
      <c r="H5103">
        <v>-0.05</v>
      </c>
      <c r="I5103">
        <v>9.6165769999999995</v>
      </c>
      <c r="J5103">
        <v>-335.5745</v>
      </c>
      <c r="K5103">
        <v>1.1076250000000001</v>
      </c>
      <c r="L5103">
        <v>18.574159999999999</v>
      </c>
      <c r="M5103">
        <v>0.99975250000000004</v>
      </c>
      <c r="N5103">
        <v>-1.374217E-2</v>
      </c>
      <c r="O5103">
        <v>1.7506319999999999E-2</v>
      </c>
      <c r="P5103">
        <v>0.98760599999999998</v>
      </c>
      <c r="Q5103">
        <v>-4.3002830000000002E-3</v>
      </c>
      <c r="R5103">
        <v>-0.15689520000000001</v>
      </c>
      <c r="S5103">
        <v>2.9032290000000001</v>
      </c>
      <c r="T5103">
        <v>-0.10906109999999999</v>
      </c>
      <c r="U5103">
        <v>-0.84368899999999902</v>
      </c>
      <c r="V5103">
        <v>0.1741994</v>
      </c>
      <c r="W5103">
        <v>8.4998230000000001E-3</v>
      </c>
      <c r="X5103">
        <v>0.98467369999999999</v>
      </c>
      <c r="Y5103">
        <v>0.2955564</v>
      </c>
      <c r="Z5103">
        <v>-7.9189710000000003E-3</v>
      </c>
      <c r="AA5103">
        <v>0.95529249999999999</v>
      </c>
      <c r="AB5103">
        <v>39</v>
      </c>
      <c r="AC5103">
        <v>30.6114</v>
      </c>
      <c r="AD5103">
        <v>-1.1576249999999999</v>
      </c>
      <c r="AE5103">
        <v>-8.9575829999999907</v>
      </c>
      <c r="AF5103">
        <v>9.47966581485041</v>
      </c>
      <c r="AG5103">
        <v>-1.1576249999999999</v>
      </c>
      <c r="AH5103">
        <v>30.4098197068334</v>
      </c>
      <c r="AI5103">
        <v>92.081361274849797</v>
      </c>
      <c r="AJ5103">
        <v>72.686155014155901</v>
      </c>
      <c r="AK5103">
        <v>31.874147740825599</v>
      </c>
      <c r="AL5103">
        <v>89.512990144733905</v>
      </c>
      <c r="AM5103">
        <v>79.967562190503401</v>
      </c>
      <c r="AN5103">
        <v>0.99999998671154</v>
      </c>
    </row>
    <row r="5104" spans="1:40" x14ac:dyDescent="0.25">
      <c r="A5104" t="str">
        <f>"20190305135930727"</f>
        <v>20190305135930727</v>
      </c>
      <c r="B5104" t="str">
        <f>"1551765570714223"</f>
        <v>1551765570714223</v>
      </c>
      <c r="C5104" t="s">
        <v>40</v>
      </c>
      <c r="D5104">
        <v>3.9543729999999999</v>
      </c>
      <c r="E5104">
        <v>0.54697640000000003</v>
      </c>
      <c r="F5104" t="s">
        <v>43</v>
      </c>
      <c r="G5104">
        <v>-304.7056</v>
      </c>
      <c r="H5104">
        <v>-0.05</v>
      </c>
      <c r="I5104">
        <v>9.6008910000000007</v>
      </c>
      <c r="J5104">
        <v>-335.36959999999999</v>
      </c>
      <c r="K5104">
        <v>1.107723</v>
      </c>
      <c r="L5104">
        <v>18.577179999999998</v>
      </c>
      <c r="M5104">
        <v>0.99976039999999999</v>
      </c>
      <c r="N5104">
        <v>-1.3772319999999999E-2</v>
      </c>
      <c r="O5104">
        <v>1.7008789999999999E-2</v>
      </c>
      <c r="P5104">
        <v>0.98755210000000004</v>
      </c>
      <c r="Q5104">
        <v>-4.2487499999999999E-3</v>
      </c>
      <c r="R5104">
        <v>-0.1572345</v>
      </c>
      <c r="S5104">
        <v>2.9031069999999999</v>
      </c>
      <c r="T5104">
        <v>-0.10887040000000001</v>
      </c>
      <c r="U5104">
        <v>-0.84390259999999995</v>
      </c>
      <c r="V5104">
        <v>0.17404629999999999</v>
      </c>
      <c r="W5104">
        <v>8.6190269999999996E-3</v>
      </c>
      <c r="X5104">
        <v>0.98469969999999996</v>
      </c>
      <c r="Y5104">
        <v>0.29515770000000002</v>
      </c>
      <c r="Z5104">
        <v>-7.890869E-3</v>
      </c>
      <c r="AA5104">
        <v>0.95541600000000004</v>
      </c>
      <c r="AB5104">
        <v>39</v>
      </c>
      <c r="AC5104">
        <v>30.663999999999898</v>
      </c>
      <c r="AD5104">
        <v>-1.1577230000000001</v>
      </c>
      <c r="AE5104">
        <v>-8.9762889999999906</v>
      </c>
      <c r="AF5104">
        <v>9.4841451661994096</v>
      </c>
      <c r="AG5104">
        <v>-1.1577230000000001</v>
      </c>
      <c r="AH5104">
        <v>30.466871773410499</v>
      </c>
      <c r="AI5104">
        <v>92.077900304010797</v>
      </c>
      <c r="AJ5104">
        <v>72.708963897588504</v>
      </c>
      <c r="AK5104">
        <v>31.929917126978399</v>
      </c>
      <c r="AL5104">
        <v>89.506159990536005</v>
      </c>
      <c r="AM5104">
        <v>79.976459887944799</v>
      </c>
      <c r="AN5104">
        <v>0.99999995067510195</v>
      </c>
    </row>
    <row r="5105" spans="1:40" x14ac:dyDescent="0.25">
      <c r="A5105" t="str">
        <f>"20190305135930740"</f>
        <v>20190305135930740</v>
      </c>
      <c r="B5105" t="str">
        <f>"1551765570734719"</f>
        <v>1551765570734719</v>
      </c>
      <c r="C5105" t="s">
        <v>40</v>
      </c>
      <c r="D5105">
        <v>3.9547810000000001</v>
      </c>
      <c r="E5105">
        <v>0.54689259999999995</v>
      </c>
      <c r="F5105" t="s">
        <v>43</v>
      </c>
      <c r="G5105">
        <v>-304.58890000000002</v>
      </c>
      <c r="H5105">
        <v>-0.05</v>
      </c>
      <c r="I5105">
        <v>9.6219940000000008</v>
      </c>
      <c r="J5105">
        <v>-335.15899999999999</v>
      </c>
      <c r="K5105">
        <v>1.1078159999999999</v>
      </c>
      <c r="L5105">
        <v>18.580259999999999</v>
      </c>
      <c r="M5105">
        <v>0.99976849999999995</v>
      </c>
      <c r="N5105">
        <v>-1.3801890000000001E-2</v>
      </c>
      <c r="O5105">
        <v>1.6504020000000001E-2</v>
      </c>
      <c r="P5105">
        <v>0.98747430000000003</v>
      </c>
      <c r="Q5105">
        <v>-4.7965919999999997E-3</v>
      </c>
      <c r="R5105">
        <v>-0.1577074</v>
      </c>
      <c r="S5105">
        <v>2.902863</v>
      </c>
      <c r="T5105">
        <v>-0.10918219999999999</v>
      </c>
      <c r="U5105">
        <v>-0.8445435</v>
      </c>
      <c r="V5105">
        <v>0.1740167</v>
      </c>
      <c r="W5105">
        <v>8.1364850000000006E-3</v>
      </c>
      <c r="X5105">
        <v>0.9847091</v>
      </c>
      <c r="Y5105">
        <v>0.29489029999999999</v>
      </c>
      <c r="Z5105">
        <v>-7.8939179999999998E-3</v>
      </c>
      <c r="AA5105">
        <v>0.95549850000000003</v>
      </c>
      <c r="AB5105">
        <v>39</v>
      </c>
      <c r="AC5105">
        <v>30.570099999999901</v>
      </c>
      <c r="AD5105">
        <v>-1.157816</v>
      </c>
      <c r="AE5105">
        <v>-8.9582659999999894</v>
      </c>
      <c r="AF5105">
        <v>9.4491408454296</v>
      </c>
      <c r="AG5105">
        <v>-1.157816</v>
      </c>
      <c r="AH5105">
        <v>30.377944441575998</v>
      </c>
      <c r="AI5105">
        <v>92.084287370645001</v>
      </c>
      <c r="AJ5105">
        <v>72.721554411323297</v>
      </c>
      <c r="AK5105">
        <v>31.834671493547798</v>
      </c>
      <c r="AL5105">
        <v>89.533808611536301</v>
      </c>
      <c r="AM5105">
        <v>79.9782237562777</v>
      </c>
      <c r="AN5105">
        <v>1.00000001294492</v>
      </c>
    </row>
    <row r="5106" spans="1:40" x14ac:dyDescent="0.25">
      <c r="A5106" t="str">
        <f>"20190305135930751"</f>
        <v>20190305135930751</v>
      </c>
      <c r="B5106" t="str">
        <f>"1551765570744478"</f>
        <v>1551765570744478</v>
      </c>
      <c r="C5106" t="s">
        <v>40</v>
      </c>
      <c r="D5106">
        <v>3.98434</v>
      </c>
      <c r="E5106">
        <v>0.54685850000000003</v>
      </c>
      <c r="F5106" t="s">
        <v>43</v>
      </c>
      <c r="G5106">
        <v>-304.94380000000001</v>
      </c>
      <c r="H5106">
        <v>-0.05</v>
      </c>
      <c r="I5106">
        <v>9.7815860000000008</v>
      </c>
      <c r="J5106">
        <v>-334.9554</v>
      </c>
      <c r="K5106">
        <v>1.1078920000000001</v>
      </c>
      <c r="L5106">
        <v>18.583069999999999</v>
      </c>
      <c r="M5106">
        <v>0.99977609999999995</v>
      </c>
      <c r="N5106">
        <v>-1.382709E-2</v>
      </c>
      <c r="O5106">
        <v>1.6025580000000001E-2</v>
      </c>
      <c r="P5106">
        <v>0.98741559999999995</v>
      </c>
      <c r="Q5106">
        <v>-5.1485230000000003E-3</v>
      </c>
      <c r="R5106">
        <v>-0.15806410000000001</v>
      </c>
      <c r="S5106">
        <v>2.9025270000000001</v>
      </c>
      <c r="T5106">
        <v>-0.1112218</v>
      </c>
      <c r="U5106">
        <v>-0.84521480000000004</v>
      </c>
      <c r="V5106">
        <v>0.17389859999999999</v>
      </c>
      <c r="W5106">
        <v>7.839426E-3</v>
      </c>
      <c r="X5106">
        <v>0.98473239999999995</v>
      </c>
      <c r="Y5106">
        <v>0.29465770000000002</v>
      </c>
      <c r="Z5106">
        <v>-7.9931410000000005E-3</v>
      </c>
      <c r="AA5106">
        <v>0.95556940000000001</v>
      </c>
      <c r="AB5106">
        <v>39</v>
      </c>
      <c r="AC5106">
        <v>30.011599999999898</v>
      </c>
      <c r="AD5106">
        <v>-1.1578919999999999</v>
      </c>
      <c r="AE5106">
        <v>-8.8014840000000003</v>
      </c>
      <c r="AF5106">
        <v>9.2686487006972893</v>
      </c>
      <c r="AG5106">
        <v>-1.1578919999999999</v>
      </c>
      <c r="AH5106">
        <v>29.825802278083401</v>
      </c>
      <c r="AI5106">
        <v>92.123152769861903</v>
      </c>
      <c r="AJ5106">
        <v>72.736876186194095</v>
      </c>
      <c r="AK5106">
        <v>31.254232419816798</v>
      </c>
      <c r="AL5106">
        <v>89.550829393372894</v>
      </c>
      <c r="AM5106">
        <v>79.985119670611994</v>
      </c>
      <c r="AN5106">
        <v>1.0000000396458599</v>
      </c>
    </row>
    <row r="5107" spans="1:40" x14ac:dyDescent="0.25">
      <c r="A5107" t="str">
        <f>"20190305135930767"</f>
        <v>20190305135930767</v>
      </c>
      <c r="B5107" t="str">
        <f>"1551765570754238"</f>
        <v>1551765570754238</v>
      </c>
      <c r="C5107" t="s">
        <v>40</v>
      </c>
      <c r="D5107">
        <v>3.9718610000000001</v>
      </c>
      <c r="E5107">
        <v>0.54682339999999996</v>
      </c>
      <c r="F5107" t="s">
        <v>43</v>
      </c>
      <c r="G5107">
        <v>-305.05399999999997</v>
      </c>
      <c r="H5107">
        <v>-0.05</v>
      </c>
      <c r="I5107">
        <v>9.8663939999999997</v>
      </c>
      <c r="J5107">
        <v>-334.67450000000002</v>
      </c>
      <c r="K5107">
        <v>1.1079870000000001</v>
      </c>
      <c r="L5107">
        <v>18.586819999999999</v>
      </c>
      <c r="M5107">
        <v>0.99978610000000001</v>
      </c>
      <c r="N5107">
        <v>-1.3859049999999999E-2</v>
      </c>
      <c r="O5107">
        <v>1.5367189999999999E-2</v>
      </c>
      <c r="P5107">
        <v>0.98723709999999998</v>
      </c>
      <c r="Q5107">
        <v>-7.0740630000000002E-3</v>
      </c>
      <c r="R5107">
        <v>-0.15910189999999999</v>
      </c>
      <c r="S5107">
        <v>2.9022220000000001</v>
      </c>
      <c r="T5107">
        <v>-0.1123847</v>
      </c>
      <c r="U5107">
        <v>-0.84603879999999998</v>
      </c>
      <c r="V5107">
        <v>0.17427699999999999</v>
      </c>
      <c r="W5107">
        <v>5.9793270000000004E-3</v>
      </c>
      <c r="X5107">
        <v>0.98467850000000001</v>
      </c>
      <c r="Y5107">
        <v>0.29430070000000003</v>
      </c>
      <c r="Z5107">
        <v>-8.0366380000000005E-3</v>
      </c>
      <c r="AA5107">
        <v>0.9556791</v>
      </c>
      <c r="AB5107">
        <v>39</v>
      </c>
      <c r="AC5107">
        <v>29.6205</v>
      </c>
      <c r="AD5107">
        <v>-1.1579870000000001</v>
      </c>
      <c r="AE5107">
        <v>-8.7204259999999998</v>
      </c>
      <c r="AF5107">
        <v>9.16173804710259</v>
      </c>
      <c r="AG5107">
        <v>-1.1579870000000001</v>
      </c>
      <c r="AH5107">
        <v>29.441572398683199</v>
      </c>
      <c r="AI5107">
        <v>92.150753071845301</v>
      </c>
      <c r="AJ5107">
        <v>72.714708608351103</v>
      </c>
      <c r="AK5107">
        <v>30.855867565874799</v>
      </c>
      <c r="AL5107">
        <v>89.657407752588398</v>
      </c>
      <c r="AM5107">
        <v>79.963231855397495</v>
      </c>
      <c r="AN5107">
        <v>0.99999998672131096</v>
      </c>
    </row>
    <row r="5108" spans="1:40" x14ac:dyDescent="0.25">
      <c r="A5108" t="str">
        <f>"20190305135930779"</f>
        <v>20190305135930779</v>
      </c>
      <c r="B5108" t="str">
        <f>"1551765570774733"</f>
        <v>1551765570774733</v>
      </c>
      <c r="C5108" t="s">
        <v>40</v>
      </c>
      <c r="D5108">
        <v>3.9660510000000002</v>
      </c>
      <c r="E5108">
        <v>0.54675879999999999</v>
      </c>
      <c r="F5108" t="s">
        <v>43</v>
      </c>
      <c r="G5108">
        <v>-306.21469999999999</v>
      </c>
      <c r="H5108">
        <v>-0.05</v>
      </c>
      <c r="I5108">
        <v>10.259219999999999</v>
      </c>
      <c r="J5108">
        <v>-334.48039999999997</v>
      </c>
      <c r="K5108">
        <v>1.1080479999999999</v>
      </c>
      <c r="L5108">
        <v>18.589320000000001</v>
      </c>
      <c r="M5108">
        <v>0.99979260000000003</v>
      </c>
      <c r="N5108">
        <v>-1.3879600000000001E-2</v>
      </c>
      <c r="O5108">
        <v>1.49129E-2</v>
      </c>
      <c r="P5108">
        <v>0.98710980000000004</v>
      </c>
      <c r="Q5108">
        <v>-8.0881979999999996E-3</v>
      </c>
      <c r="R5108">
        <v>-0.15984129999999999</v>
      </c>
      <c r="S5108">
        <v>2.901154</v>
      </c>
      <c r="T5108">
        <v>-0.11804389999999899</v>
      </c>
      <c r="U5108">
        <v>-0.84890750000000004</v>
      </c>
      <c r="V5108">
        <v>0.17456289999999999</v>
      </c>
      <c r="W5108">
        <v>5.006595E-3</v>
      </c>
      <c r="X5108">
        <v>0.98463330000000004</v>
      </c>
      <c r="Y5108">
        <v>0.2948054</v>
      </c>
      <c r="Z5108">
        <v>-8.3530469999999902E-3</v>
      </c>
      <c r="AA5108">
        <v>0.95552079999999995</v>
      </c>
      <c r="AB5108">
        <v>39</v>
      </c>
      <c r="AC5108">
        <v>28.265699999999899</v>
      </c>
      <c r="AD5108">
        <v>-1.158048</v>
      </c>
      <c r="AE5108">
        <v>-8.3300999999999998</v>
      </c>
      <c r="AF5108">
        <v>8.7372436887699294</v>
      </c>
      <c r="AG5108">
        <v>-1.158048</v>
      </c>
      <c r="AH5108">
        <v>28.094928112194701</v>
      </c>
      <c r="AI5108">
        <v>92.253981223702297</v>
      </c>
      <c r="AJ5108">
        <v>72.724824920674806</v>
      </c>
      <c r="AK5108">
        <v>29.444956920950698</v>
      </c>
      <c r="AL5108">
        <v>89.713142039441905</v>
      </c>
      <c r="AM5108">
        <v>79.946650129593806</v>
      </c>
      <c r="AN5108">
        <v>1.0000000037593899</v>
      </c>
    </row>
    <row r="5109" spans="1:40" x14ac:dyDescent="0.25">
      <c r="A5109" t="str">
        <f>"20190305135930791"</f>
        <v>20190305135930791</v>
      </c>
      <c r="B5109" t="str">
        <f>"1551765570784494"</f>
        <v>1551765570784494</v>
      </c>
      <c r="C5109" t="s">
        <v>40</v>
      </c>
      <c r="D5109">
        <v>3.9652579999999999</v>
      </c>
      <c r="E5109">
        <v>0.54672969999999999</v>
      </c>
      <c r="F5109" t="s">
        <v>43</v>
      </c>
      <c r="G5109">
        <v>-306.7149</v>
      </c>
      <c r="H5109">
        <v>-0.05</v>
      </c>
      <c r="I5109">
        <v>10.44739</v>
      </c>
      <c r="J5109">
        <v>-334.2679</v>
      </c>
      <c r="K5109">
        <v>1.1081019999999999</v>
      </c>
      <c r="L5109">
        <v>18.591919999999998</v>
      </c>
      <c r="M5109">
        <v>0.99979969999999996</v>
      </c>
      <c r="N5109">
        <v>-1.389933E-2</v>
      </c>
      <c r="O5109">
        <v>1.4411820000000001E-2</v>
      </c>
      <c r="P5109">
        <v>0.98700160000000003</v>
      </c>
      <c r="Q5109">
        <v>-8.7195239999999993E-3</v>
      </c>
      <c r="R5109">
        <v>-0.16047500000000001</v>
      </c>
      <c r="S5109">
        <v>2.900452</v>
      </c>
      <c r="T5109">
        <v>-0.12097239999999999</v>
      </c>
      <c r="U5109">
        <v>-0.85052490000000003</v>
      </c>
      <c r="V5109">
        <v>0.17469879999999999</v>
      </c>
      <c r="W5109">
        <v>4.4153229999999996E-3</v>
      </c>
      <c r="X5109">
        <v>0.98461200000000004</v>
      </c>
      <c r="Y5109">
        <v>0.29486580000000001</v>
      </c>
      <c r="Z5109">
        <v>-8.5052919999999994E-3</v>
      </c>
      <c r="AA5109">
        <v>0.95550080000000004</v>
      </c>
      <c r="AB5109">
        <v>38</v>
      </c>
      <c r="AC5109">
        <v>27.553000000000001</v>
      </c>
      <c r="AD5109">
        <v>-1.158102</v>
      </c>
      <c r="AE5109">
        <v>-8.1445299999999996</v>
      </c>
      <c r="AF5109">
        <v>8.5269573192116201</v>
      </c>
      <c r="AG5109">
        <v>-1.158102</v>
      </c>
      <c r="AH5109">
        <v>27.388251119142101</v>
      </c>
      <c r="AI5109">
        <v>92.311957393011795</v>
      </c>
      <c r="AJ5109">
        <v>72.706737569009704</v>
      </c>
      <c r="AK5109">
        <v>28.708300206233901</v>
      </c>
      <c r="AL5109">
        <v>89.747019799408093</v>
      </c>
      <c r="AM5109">
        <v>79.938770073592394</v>
      </c>
      <c r="AN5109">
        <v>0.99999997817131703</v>
      </c>
    </row>
    <row r="5110" spans="1:40" x14ac:dyDescent="0.25">
      <c r="A5110" t="str">
        <f>"20190305135930803"</f>
        <v>20190305135930803</v>
      </c>
      <c r="B5110" t="str">
        <f>"1551765570794254"</f>
        <v>1551765570794254</v>
      </c>
      <c r="C5110" t="s">
        <v>40</v>
      </c>
      <c r="D5110">
        <v>3.9881129999999998</v>
      </c>
      <c r="E5110">
        <v>0.54671630000000004</v>
      </c>
      <c r="F5110" t="s">
        <v>43</v>
      </c>
      <c r="G5110">
        <v>-306.95780000000002</v>
      </c>
      <c r="H5110">
        <v>-0.05</v>
      </c>
      <c r="I5110">
        <v>10.56706</v>
      </c>
      <c r="J5110">
        <v>-334.06509999999997</v>
      </c>
      <c r="K5110">
        <v>1.1081529999999999</v>
      </c>
      <c r="L5110">
        <v>18.594360000000002</v>
      </c>
      <c r="M5110">
        <v>0.99980610000000003</v>
      </c>
      <c r="N5110">
        <v>-1.391702E-2</v>
      </c>
      <c r="O5110">
        <v>1.3931539999999999E-2</v>
      </c>
      <c r="P5110">
        <v>0.98684950000000005</v>
      </c>
      <c r="Q5110">
        <v>-8.787988E-3</v>
      </c>
      <c r="R5110">
        <v>-0.16140280000000001</v>
      </c>
      <c r="S5110">
        <v>2.899902</v>
      </c>
      <c r="T5110">
        <v>-0.122972</v>
      </c>
      <c r="U5110">
        <v>-0.85211179999999997</v>
      </c>
      <c r="V5110">
        <v>0.1751509</v>
      </c>
      <c r="W5110">
        <v>4.3809909999999999E-3</v>
      </c>
      <c r="X5110">
        <v>0.98453190000000002</v>
      </c>
      <c r="Y5110">
        <v>0.29492760000000001</v>
      </c>
      <c r="Z5110">
        <v>-8.6060890000000008E-3</v>
      </c>
      <c r="AA5110">
        <v>0.95548089999999997</v>
      </c>
      <c r="AB5110">
        <v>38</v>
      </c>
      <c r="AC5110">
        <v>27.107299999999899</v>
      </c>
      <c r="AD5110">
        <v>-1.158153</v>
      </c>
      <c r="AE5110">
        <v>-8.0273000000000003</v>
      </c>
      <c r="AF5110">
        <v>8.3901232183381804</v>
      </c>
      <c r="AG5110">
        <v>-1.158153</v>
      </c>
      <c r="AH5110">
        <v>26.947600863210301</v>
      </c>
      <c r="AI5110">
        <v>92.349815301806203</v>
      </c>
      <c r="AJ5110">
        <v>72.706046896510898</v>
      </c>
      <c r="AK5110">
        <v>28.247277360361601</v>
      </c>
      <c r="AL5110">
        <v>89.748986914326807</v>
      </c>
      <c r="AM5110">
        <v>79.912462983104405</v>
      </c>
      <c r="AN5110">
        <v>1.0000000464852801</v>
      </c>
    </row>
    <row r="5111" spans="1:40" x14ac:dyDescent="0.25">
      <c r="A5111" t="str">
        <f>"20190305135930812"</f>
        <v>20190305135930812</v>
      </c>
      <c r="B5111" t="str">
        <f>"1551765570804014"</f>
        <v>1551765570804014</v>
      </c>
      <c r="C5111" t="s">
        <v>40</v>
      </c>
      <c r="D5111">
        <v>3.9455529999999999</v>
      </c>
      <c r="E5111">
        <v>0.54670719999999995</v>
      </c>
      <c r="F5111" t="s">
        <v>43</v>
      </c>
      <c r="G5111">
        <v>-306.79430000000002</v>
      </c>
      <c r="H5111">
        <v>-0.05</v>
      </c>
      <c r="I5111">
        <v>10.553710000000001</v>
      </c>
      <c r="J5111">
        <v>-333.88959999999997</v>
      </c>
      <c r="K5111">
        <v>1.108195</v>
      </c>
      <c r="L5111">
        <v>18.596409999999999</v>
      </c>
      <c r="M5111">
        <v>0.99981160000000002</v>
      </c>
      <c r="N5111">
        <v>-1.393113E-2</v>
      </c>
      <c r="O5111">
        <v>1.351362E-2</v>
      </c>
      <c r="P5111">
        <v>0.98672539999999997</v>
      </c>
      <c r="Q5111">
        <v>-8.59668699999999E-3</v>
      </c>
      <c r="R5111">
        <v>-0.16217110000000001</v>
      </c>
      <c r="S5111">
        <v>2.8990480000000001</v>
      </c>
      <c r="T5111">
        <v>-0.1231183</v>
      </c>
      <c r="U5111">
        <v>-0.85476679999999905</v>
      </c>
      <c r="V5111">
        <v>0.1755061</v>
      </c>
      <c r="W5111">
        <v>4.5993809999999996E-3</v>
      </c>
      <c r="X5111">
        <v>0.9844676</v>
      </c>
      <c r="Y5111">
        <v>0.29540840000000002</v>
      </c>
      <c r="Z5111">
        <v>-8.6190620000000003E-3</v>
      </c>
      <c r="AA5111">
        <v>0.95533219999999996</v>
      </c>
      <c r="AB5111">
        <v>38</v>
      </c>
      <c r="AC5111">
        <v>27.095299999999899</v>
      </c>
      <c r="AD5111">
        <v>-1.1581950000000001</v>
      </c>
      <c r="AE5111">
        <v>-8.0427</v>
      </c>
      <c r="AF5111">
        <v>8.3940612509914505</v>
      </c>
      <c r="AG5111">
        <v>-1.1581950000000001</v>
      </c>
      <c r="AH5111">
        <v>26.938892928464298</v>
      </c>
      <c r="AI5111">
        <v>92.350494623453301</v>
      </c>
      <c r="AJ5111">
        <v>72.6931554265187</v>
      </c>
      <c r="AK5111">
        <v>28.240142212012401</v>
      </c>
      <c r="AL5111">
        <v>89.736473951320903</v>
      </c>
      <c r="AM5111">
        <v>79.891780627242994</v>
      </c>
      <c r="AN5111">
        <v>1.0000000004462699</v>
      </c>
    </row>
    <row r="5112" spans="1:40" x14ac:dyDescent="0.25">
      <c r="A5112" t="str">
        <f>"20190305135930824"</f>
        <v>20190305135930824</v>
      </c>
      <c r="B5112" t="str">
        <f>"1551765570814751"</f>
        <v>1551765570814751</v>
      </c>
      <c r="C5112" t="s">
        <v>40</v>
      </c>
      <c r="D5112">
        <v>3.974723</v>
      </c>
      <c r="E5112">
        <v>0.54669619999999997</v>
      </c>
      <c r="F5112" t="s">
        <v>43</v>
      </c>
      <c r="G5112">
        <v>-306.49380000000002</v>
      </c>
      <c r="H5112">
        <v>-0.05</v>
      </c>
      <c r="I5112">
        <v>10.49579</v>
      </c>
      <c r="J5112">
        <v>-333.709</v>
      </c>
      <c r="K5112">
        <v>1.108233</v>
      </c>
      <c r="L5112">
        <v>18.598389999999998</v>
      </c>
      <c r="M5112">
        <v>0.99981730000000002</v>
      </c>
      <c r="N5112">
        <v>-1.394453E-2</v>
      </c>
      <c r="O5112">
        <v>1.308145E-2</v>
      </c>
      <c r="P5112">
        <v>0.98656480000000002</v>
      </c>
      <c r="Q5112">
        <v>-8.1136179999999995E-3</v>
      </c>
      <c r="R5112">
        <v>-0.16316919999999999</v>
      </c>
      <c r="S5112">
        <v>2.8984070000000002</v>
      </c>
      <c r="T5112">
        <v>-0.122534</v>
      </c>
      <c r="U5112">
        <v>-0.85702509999999998</v>
      </c>
      <c r="V5112">
        <v>0.17607779999999901</v>
      </c>
      <c r="W5112">
        <v>5.1062520000000004E-3</v>
      </c>
      <c r="X5112">
        <v>0.98436299999999999</v>
      </c>
      <c r="Y5112">
        <v>0.2957399</v>
      </c>
      <c r="Z5112">
        <v>-8.5872899999999992E-3</v>
      </c>
      <c r="AA5112">
        <v>0.95522989999999997</v>
      </c>
      <c r="AB5112">
        <v>38</v>
      </c>
      <c r="AC5112">
        <v>27.2151999999999</v>
      </c>
      <c r="AD5112">
        <v>-1.1582330000000001</v>
      </c>
      <c r="AE5112">
        <v>-8.10259999999999</v>
      </c>
      <c r="AF5112">
        <v>8.4439069731813099</v>
      </c>
      <c r="AG5112">
        <v>-1.1582330000000001</v>
      </c>
      <c r="AH5112">
        <v>27.0618429965856</v>
      </c>
      <c r="AI5112">
        <v>92.339621101237697</v>
      </c>
      <c r="AJ5112">
        <v>72.670897517579704</v>
      </c>
      <c r="AK5112">
        <v>28.372247267812199</v>
      </c>
      <c r="AL5112">
        <v>89.707432037121194</v>
      </c>
      <c r="AM5112">
        <v>79.8584807884573</v>
      </c>
      <c r="AN5112">
        <v>0.99999999061566303</v>
      </c>
    </row>
    <row r="5113" spans="1:40" x14ac:dyDescent="0.25">
      <c r="A5113" t="str">
        <f>"20190305135930835"</f>
        <v>20190305135930835</v>
      </c>
      <c r="B5113" t="str">
        <f>"1551765570824511"</f>
        <v>1551765570824511</v>
      </c>
      <c r="C5113" t="s">
        <v>40</v>
      </c>
      <c r="D5113">
        <v>3.9571450000000001</v>
      </c>
      <c r="E5113">
        <v>0.54668519999999998</v>
      </c>
      <c r="F5113" t="s">
        <v>43</v>
      </c>
      <c r="G5113">
        <v>-306.03500000000003</v>
      </c>
      <c r="H5113">
        <v>-0.05</v>
      </c>
      <c r="I5113">
        <v>10.386900000000001</v>
      </c>
      <c r="J5113">
        <v>-333.52330000000001</v>
      </c>
      <c r="K5113">
        <v>1.1082689999999999</v>
      </c>
      <c r="L5113">
        <v>18.6004</v>
      </c>
      <c r="M5113">
        <v>0.99982280000000001</v>
      </c>
      <c r="N5113">
        <v>-1.395746E-2</v>
      </c>
      <c r="O5113">
        <v>1.263595E-2</v>
      </c>
      <c r="P5113">
        <v>0.9863577</v>
      </c>
      <c r="Q5113">
        <v>-7.6254180000000001E-3</v>
      </c>
      <c r="R5113">
        <v>-0.16444029999999901</v>
      </c>
      <c r="S5113">
        <v>2.897675</v>
      </c>
      <c r="T5113">
        <v>-0.1212757</v>
      </c>
      <c r="U5113">
        <v>-0.85980219999999896</v>
      </c>
      <c r="V5113">
        <v>0.1769085</v>
      </c>
      <c r="W5113">
        <v>5.6155069999999996E-3</v>
      </c>
      <c r="X5113">
        <v>0.98421130000000001</v>
      </c>
      <c r="Y5113">
        <v>0.29622700000000002</v>
      </c>
      <c r="Z5113">
        <v>-8.5230259999999995E-3</v>
      </c>
      <c r="AA5113">
        <v>0.95507960000000003</v>
      </c>
      <c r="AB5113">
        <v>38</v>
      </c>
      <c r="AC5113">
        <v>27.488299999999899</v>
      </c>
      <c r="AD5113">
        <v>-1.158269</v>
      </c>
      <c r="AE5113">
        <v>-8.2134999999999998</v>
      </c>
      <c r="AF5113">
        <v>8.5462884323785495</v>
      </c>
      <c r="AG5113">
        <v>-1.158269</v>
      </c>
      <c r="AH5113">
        <v>27.337749451647699</v>
      </c>
      <c r="AI5113">
        <v>92.315713880516</v>
      </c>
      <c r="AJ5113">
        <v>72.639785864312898</v>
      </c>
      <c r="AK5113">
        <v>28.6658887552232</v>
      </c>
      <c r="AL5113">
        <v>89.6782534635947</v>
      </c>
      <c r="AM5113">
        <v>79.810097610184101</v>
      </c>
      <c r="AN5113">
        <v>1.0000000171693999</v>
      </c>
    </row>
    <row r="5114" spans="1:40" x14ac:dyDescent="0.25">
      <c r="A5114" t="str">
        <f>"20190305135930845"</f>
        <v>20190305135930845</v>
      </c>
      <c r="B5114" t="str">
        <f>"1551765570834270"</f>
        <v>1551765570834270</v>
      </c>
      <c r="C5114" t="s">
        <v>40</v>
      </c>
      <c r="D5114">
        <v>3.9520900000000001</v>
      </c>
      <c r="E5114">
        <v>0.54667840000000001</v>
      </c>
      <c r="F5114" t="s">
        <v>43</v>
      </c>
      <c r="G5114">
        <v>-305.58920000000001</v>
      </c>
      <c r="H5114">
        <v>-0.05</v>
      </c>
      <c r="I5114">
        <v>10.27399</v>
      </c>
      <c r="J5114">
        <v>-333.33620000000002</v>
      </c>
      <c r="K5114">
        <v>1.1083000000000001</v>
      </c>
      <c r="L5114">
        <v>18.602329999999998</v>
      </c>
      <c r="M5114">
        <v>0.99982819999999994</v>
      </c>
      <c r="N5114">
        <v>-1.396906E-2</v>
      </c>
      <c r="O5114">
        <v>1.218609E-2</v>
      </c>
      <c r="P5114">
        <v>0.98617239999999995</v>
      </c>
      <c r="Q5114">
        <v>-6.7863990000000003E-3</v>
      </c>
      <c r="R5114">
        <v>-0.16558310000000001</v>
      </c>
      <c r="S5114">
        <v>2.8966059999999998</v>
      </c>
      <c r="T5114">
        <v>-0.120106</v>
      </c>
      <c r="U5114">
        <v>-0.86340329999999998</v>
      </c>
      <c r="V5114">
        <v>0.17760799999999999</v>
      </c>
      <c r="W5114">
        <v>6.4737989999999997E-3</v>
      </c>
      <c r="X5114">
        <v>0.98407999999999995</v>
      </c>
      <c r="Y5114">
        <v>0.2969888</v>
      </c>
      <c r="Z5114">
        <v>-8.4715320000000004E-3</v>
      </c>
      <c r="AA5114">
        <v>0.95484340000000001</v>
      </c>
      <c r="AB5114">
        <v>38</v>
      </c>
      <c r="AC5114">
        <v>27.747</v>
      </c>
      <c r="AD5114">
        <v>-1.1583000000000001</v>
      </c>
      <c r="AE5114">
        <v>-8.3283399999999901</v>
      </c>
      <c r="AF5114">
        <v>8.6520504999035399</v>
      </c>
      <c r="AG5114">
        <v>-1.1583000000000001</v>
      </c>
      <c r="AH5114">
        <v>27.5993184928438</v>
      </c>
      <c r="AI5114">
        <v>92.293284060243295</v>
      </c>
      <c r="AJ5114">
        <v>72.594426769500998</v>
      </c>
      <c r="AK5114">
        <v>28.9468826993911</v>
      </c>
      <c r="AL5114">
        <v>89.629076041180795</v>
      </c>
      <c r="AM5114">
        <v>79.769319625871304</v>
      </c>
      <c r="AN5114">
        <v>0.99999997906874605</v>
      </c>
    </row>
    <row r="5115" spans="1:40" x14ac:dyDescent="0.25">
      <c r="A5115" t="str">
        <f>"20190305135930857"</f>
        <v>20190305135930857</v>
      </c>
      <c r="B5115" t="str">
        <f>"1551765570853790"</f>
        <v>1551765570853790</v>
      </c>
      <c r="C5115" t="s">
        <v>40</v>
      </c>
      <c r="D5115">
        <v>3.9547859999999999</v>
      </c>
      <c r="E5115">
        <v>0.54667359999999998</v>
      </c>
      <c r="F5115" t="s">
        <v>43</v>
      </c>
      <c r="G5115">
        <v>-304.78440000000001</v>
      </c>
      <c r="H5115">
        <v>-0.05</v>
      </c>
      <c r="I5115">
        <v>10.057370000000001</v>
      </c>
      <c r="J5115">
        <v>-333.1395</v>
      </c>
      <c r="K5115">
        <v>1.1083259999999999</v>
      </c>
      <c r="L5115">
        <v>18.604310000000002</v>
      </c>
      <c r="M5115">
        <v>0.99983379999999999</v>
      </c>
      <c r="N5115">
        <v>-1.3980670000000001E-2</v>
      </c>
      <c r="O5115">
        <v>1.1712429999999999E-2</v>
      </c>
      <c r="P5115">
        <v>0.98596329999999999</v>
      </c>
      <c r="Q5115">
        <v>-6.1193319999999999E-3</v>
      </c>
      <c r="R5115">
        <v>-0.16685150000000001</v>
      </c>
      <c r="S5115">
        <v>2.8957519999999999</v>
      </c>
      <c r="T5115">
        <v>-0.1174761</v>
      </c>
      <c r="U5115">
        <v>-0.86663819999999903</v>
      </c>
      <c r="V5115">
        <v>0.17840909999999999</v>
      </c>
      <c r="W5115">
        <v>7.1585199999999998E-3</v>
      </c>
      <c r="X5115">
        <v>0.98393030000000004</v>
      </c>
      <c r="Y5115">
        <v>0.29760449999999999</v>
      </c>
      <c r="Z5115">
        <v>-8.33595E-3</v>
      </c>
      <c r="AA5115">
        <v>0.95465279999999997</v>
      </c>
      <c r="AB5115">
        <v>38</v>
      </c>
      <c r="AC5115">
        <v>28.3551</v>
      </c>
      <c r="AD5115">
        <v>-1.158326</v>
      </c>
      <c r="AE5115">
        <v>-8.5469399999999993</v>
      </c>
      <c r="AF5115">
        <v>8.8649316973230992</v>
      </c>
      <c r="AG5115">
        <v>-1.158326</v>
      </c>
      <c r="AH5115">
        <v>28.209884300262001</v>
      </c>
      <c r="AI5115">
        <v>92.243263037234399</v>
      </c>
      <c r="AJ5115">
        <v>72.554719106406196</v>
      </c>
      <c r="AK5115">
        <v>29.592673170138699</v>
      </c>
      <c r="AL5115">
        <v>89.589843490101103</v>
      </c>
      <c r="AM5115">
        <v>79.722625140156694</v>
      </c>
      <c r="AN5115">
        <v>0.99999994331474296</v>
      </c>
    </row>
    <row r="5116" spans="1:40" x14ac:dyDescent="0.25">
      <c r="A5116" t="str">
        <f>"20190305135930868"</f>
        <v>20190305135930868</v>
      </c>
      <c r="B5116" t="str">
        <f>"1551765570864527"</f>
        <v>1551765570864527</v>
      </c>
      <c r="C5116" t="s">
        <v>40</v>
      </c>
      <c r="D5116">
        <v>3.936035</v>
      </c>
      <c r="E5116">
        <v>0.54669730000000005</v>
      </c>
      <c r="F5116" t="s">
        <v>43</v>
      </c>
      <c r="G5116">
        <v>-304.10059999999999</v>
      </c>
      <c r="H5116">
        <v>-0.05</v>
      </c>
      <c r="I5116">
        <v>9.8733979999999999</v>
      </c>
      <c r="J5116">
        <v>-332.94970000000001</v>
      </c>
      <c r="K5116">
        <v>1.108347</v>
      </c>
      <c r="L5116">
        <v>18.60605</v>
      </c>
      <c r="M5116">
        <v>0.99983889999999997</v>
      </c>
      <c r="N5116">
        <v>-1.399046E-2</v>
      </c>
      <c r="O5116">
        <v>1.125553E-2</v>
      </c>
      <c r="P5116">
        <v>0.98577110000000001</v>
      </c>
      <c r="Q5116">
        <v>-5.4672189999999997E-3</v>
      </c>
      <c r="R5116">
        <v>-0.16800499999999999</v>
      </c>
      <c r="S5116">
        <v>2.894714</v>
      </c>
      <c r="T5116">
        <v>-0.1154665</v>
      </c>
      <c r="U5116">
        <v>-0.87033079999999996</v>
      </c>
      <c r="V5116">
        <v>0.1791122</v>
      </c>
      <c r="W5116">
        <v>7.8246429999999992E-3</v>
      </c>
      <c r="X5116">
        <v>0.98379760000000005</v>
      </c>
      <c r="Y5116">
        <v>0.29838779999999998</v>
      </c>
      <c r="Z5116">
        <v>-8.2391510000000001E-3</v>
      </c>
      <c r="AA5116">
        <v>0.95440910000000001</v>
      </c>
      <c r="AB5116">
        <v>38</v>
      </c>
      <c r="AC5116">
        <v>28.8491</v>
      </c>
      <c r="AD5116">
        <v>-1.158347</v>
      </c>
      <c r="AE5116">
        <v>-8.7326519999999999</v>
      </c>
      <c r="AF5116">
        <v>9.0434864430994804</v>
      </c>
      <c r="AG5116">
        <v>-1.158347</v>
      </c>
      <c r="AH5116">
        <v>28.706576463957699</v>
      </c>
      <c r="AI5116">
        <v>92.204034318906594</v>
      </c>
      <c r="AJ5116">
        <v>72.513911545867003</v>
      </c>
      <c r="AK5116">
        <v>30.119660474513701</v>
      </c>
      <c r="AL5116">
        <v>89.551676432623296</v>
      </c>
      <c r="AM5116">
        <v>79.681629060180597</v>
      </c>
      <c r="AN5116">
        <v>1.00000006149633</v>
      </c>
    </row>
    <row r="5117" spans="1:40" x14ac:dyDescent="0.25">
      <c r="A5117" t="str">
        <f>"20190305135930881"</f>
        <v>20190305135930881</v>
      </c>
      <c r="B5117" t="str">
        <f>"1551765570874286"</f>
        <v>1551765570874286</v>
      </c>
      <c r="C5117" t="s">
        <v>40</v>
      </c>
      <c r="D5117">
        <v>3.9084729999999999</v>
      </c>
      <c r="E5117">
        <v>0.54671259999999999</v>
      </c>
      <c r="F5117" t="s">
        <v>43</v>
      </c>
      <c r="G5117">
        <v>-303.36860000000001</v>
      </c>
      <c r="H5117">
        <v>-0.05</v>
      </c>
      <c r="I5117">
        <v>9.6707459999999994</v>
      </c>
      <c r="J5117">
        <v>-332.74130000000002</v>
      </c>
      <c r="K5117">
        <v>1.1083689999999999</v>
      </c>
      <c r="L5117">
        <v>18.607970000000002</v>
      </c>
      <c r="M5117">
        <v>0.99984410000000001</v>
      </c>
      <c r="N5117">
        <v>-1.4000810000000001E-2</v>
      </c>
      <c r="O5117">
        <v>1.0754110000000001E-2</v>
      </c>
      <c r="P5117">
        <v>0.98555490000000001</v>
      </c>
      <c r="Q5117">
        <v>-5.1429589999999999E-3</v>
      </c>
      <c r="R5117">
        <v>-0.1692785</v>
      </c>
      <c r="S5117">
        <v>2.8937379999999999</v>
      </c>
      <c r="T5117">
        <v>-0.1133139</v>
      </c>
      <c r="U5117">
        <v>-0.87408449999999904</v>
      </c>
      <c r="V5117">
        <v>0.1798902</v>
      </c>
      <c r="W5117">
        <v>8.1641409999999998E-3</v>
      </c>
      <c r="X5117">
        <v>0.98365279999999999</v>
      </c>
      <c r="Y5117">
        <v>0.29914190000000002</v>
      </c>
      <c r="Z5117">
        <v>-8.1327480000000004E-3</v>
      </c>
      <c r="AA5117">
        <v>0.95417399999999997</v>
      </c>
      <c r="AB5117">
        <v>38</v>
      </c>
      <c r="AC5117">
        <v>29.372699999999998</v>
      </c>
      <c r="AD5117">
        <v>-1.158369</v>
      </c>
      <c r="AE5117">
        <v>-8.9372240000000005</v>
      </c>
      <c r="AF5117">
        <v>9.2394630764840393</v>
      </c>
      <c r="AG5117">
        <v>-1.158369</v>
      </c>
      <c r="AH5117">
        <v>29.233266701028601</v>
      </c>
      <c r="AI5117">
        <v>92.163766001248902</v>
      </c>
      <c r="AJ5117">
        <v>72.460343945212898</v>
      </c>
      <c r="AK5117">
        <v>30.680504863762302</v>
      </c>
      <c r="AL5117">
        <v>89.532223973353496</v>
      </c>
      <c r="AM5117">
        <v>79.636286290319205</v>
      </c>
      <c r="AN5117">
        <v>0.99999998410107305</v>
      </c>
    </row>
    <row r="5118" spans="1:40" x14ac:dyDescent="0.25">
      <c r="A5118" t="str">
        <f>"20190305135930892"</f>
        <v>20190305135930892</v>
      </c>
      <c r="B5118" t="str">
        <f>"1551765570884045"</f>
        <v>1551765570884045</v>
      </c>
      <c r="C5118" t="s">
        <v>40</v>
      </c>
      <c r="D5118">
        <v>3.9481570000000001</v>
      </c>
      <c r="E5118">
        <v>0.54671539999999996</v>
      </c>
      <c r="F5118" t="s">
        <v>43</v>
      </c>
      <c r="G5118">
        <v>-302.88150000000002</v>
      </c>
      <c r="H5118">
        <v>-0.05</v>
      </c>
      <c r="I5118">
        <v>9.545166</v>
      </c>
      <c r="J5118">
        <v>-332.52370000000002</v>
      </c>
      <c r="K5118">
        <v>1.1083889999999901</v>
      </c>
      <c r="L5118">
        <v>18.6098</v>
      </c>
      <c r="M5118">
        <v>0.99984960000000001</v>
      </c>
      <c r="N5118">
        <v>-1.4010440000000001E-2</v>
      </c>
      <c r="O5118">
        <v>1.0230629999999999E-2</v>
      </c>
      <c r="P5118">
        <v>0.98537350000000001</v>
      </c>
      <c r="Q5118">
        <v>-5.0532370000000004E-3</v>
      </c>
      <c r="R5118">
        <v>-0.17033470000000001</v>
      </c>
      <c r="S5118">
        <v>2.8925779999999999</v>
      </c>
      <c r="T5118">
        <v>-0.1122133</v>
      </c>
      <c r="U5118">
        <v>-0.87792969999999904</v>
      </c>
      <c r="V5118">
        <v>0.18042929999999999</v>
      </c>
      <c r="W5118">
        <v>8.2676090000000004E-3</v>
      </c>
      <c r="X5118">
        <v>0.98355320000000002</v>
      </c>
      <c r="Y5118">
        <v>0.29991420000000002</v>
      </c>
      <c r="Z5118">
        <v>-8.0836269999999995E-3</v>
      </c>
      <c r="AA5118">
        <v>0.95393190000000005</v>
      </c>
      <c r="AB5118">
        <v>38</v>
      </c>
      <c r="AC5118">
        <v>29.642199999999999</v>
      </c>
      <c r="AD5118">
        <v>-1.1583889999999999</v>
      </c>
      <c r="AE5118">
        <v>-9.0646339999999999</v>
      </c>
      <c r="AF5118">
        <v>9.3543835656871899</v>
      </c>
      <c r="AG5118">
        <v>-1.1583889999999999</v>
      </c>
      <c r="AH5118">
        <v>29.506694154597199</v>
      </c>
      <c r="AI5118">
        <v>92.143175834691903</v>
      </c>
      <c r="AJ5118">
        <v>72.410041239840794</v>
      </c>
      <c r="AK5118">
        <v>30.975657489426499</v>
      </c>
      <c r="AL5118">
        <v>89.526295496928896</v>
      </c>
      <c r="AM5118">
        <v>79.604874375533996</v>
      </c>
      <c r="AN5118">
        <v>0.99999999144365304</v>
      </c>
    </row>
    <row r="5119" spans="1:40" x14ac:dyDescent="0.25">
      <c r="A5119" t="str">
        <f>"20190305135930906"</f>
        <v>20190305135930906</v>
      </c>
      <c r="B5119" t="str">
        <f>"1551765570894782"</f>
        <v>1551765570894782</v>
      </c>
      <c r="C5119" t="s">
        <v>40</v>
      </c>
      <c r="D5119">
        <v>3.9306230000000002</v>
      </c>
      <c r="E5119">
        <v>0.54672369999999904</v>
      </c>
      <c r="F5119" t="s">
        <v>43</v>
      </c>
      <c r="G5119">
        <v>-302.51170000000002</v>
      </c>
      <c r="H5119">
        <v>-0.05</v>
      </c>
      <c r="I5119">
        <v>9.4662629999999996</v>
      </c>
      <c r="J5119">
        <v>-332.32350000000002</v>
      </c>
      <c r="K5119">
        <v>1.1084050000000001</v>
      </c>
      <c r="L5119">
        <v>18.611419999999999</v>
      </c>
      <c r="M5119">
        <v>0.99985429999999997</v>
      </c>
      <c r="N5119">
        <v>-1.40185E-2</v>
      </c>
      <c r="O5119">
        <v>9.7499519999999992E-3</v>
      </c>
      <c r="P5119">
        <v>0.9852012</v>
      </c>
      <c r="Q5119">
        <v>-5.5819869999999897E-3</v>
      </c>
      <c r="R5119">
        <v>-0.1713122</v>
      </c>
      <c r="S5119">
        <v>2.8916629999999999</v>
      </c>
      <c r="T5119">
        <v>-0.1116111</v>
      </c>
      <c r="U5119">
        <v>-0.88098140000000003</v>
      </c>
      <c r="V5119">
        <v>0.1809306</v>
      </c>
      <c r="W5119">
        <v>7.7497819999999898E-3</v>
      </c>
      <c r="X5119">
        <v>0.98346529999999999</v>
      </c>
      <c r="Y5119">
        <v>0.30046319999999999</v>
      </c>
      <c r="Z5119">
        <v>-8.0562080000000005E-3</v>
      </c>
      <c r="AA5119">
        <v>0.95375940000000003</v>
      </c>
      <c r="AB5119">
        <v>38</v>
      </c>
      <c r="AC5119">
        <v>29.811800000000002</v>
      </c>
      <c r="AD5119">
        <v>-1.1584049999999999</v>
      </c>
      <c r="AE5119">
        <v>-9.1451569999999993</v>
      </c>
      <c r="AF5119">
        <v>9.4224112468647299</v>
      </c>
      <c r="AG5119">
        <v>-1.1584049999999999</v>
      </c>
      <c r="AH5119">
        <v>29.680249715264001</v>
      </c>
      <c r="AI5119">
        <v>92.130415723721597</v>
      </c>
      <c r="AJ5119">
        <v>72.387229689301094</v>
      </c>
      <c r="AK5119">
        <v>31.161530113418699</v>
      </c>
      <c r="AL5119">
        <v>89.555965740570798</v>
      </c>
      <c r="AM5119">
        <v>79.575713821792405</v>
      </c>
      <c r="AN5119">
        <v>0.99999996872074803</v>
      </c>
    </row>
    <row r="5120" spans="1:40" x14ac:dyDescent="0.25">
      <c r="A5120" t="str">
        <f>"20190305135930919"</f>
        <v>20190305135930919</v>
      </c>
      <c r="B5120" t="str">
        <f>"1551765570914811"</f>
        <v>1551765570914811</v>
      </c>
      <c r="C5120" t="s">
        <v>40</v>
      </c>
      <c r="D5120">
        <v>3.960556</v>
      </c>
      <c r="E5120">
        <v>0.54677989999999999</v>
      </c>
      <c r="F5120" t="s">
        <v>43</v>
      </c>
      <c r="G5120">
        <v>-302.61500000000001</v>
      </c>
      <c r="H5120">
        <v>-0.05</v>
      </c>
      <c r="I5120">
        <v>9.5260010000000008</v>
      </c>
      <c r="J5120">
        <v>-332.07530000000003</v>
      </c>
      <c r="K5120">
        <v>1.1084130000000001</v>
      </c>
      <c r="L5120">
        <v>18.613309999999998</v>
      </c>
      <c r="M5120">
        <v>0.99985979999999997</v>
      </c>
      <c r="N5120">
        <v>-1.4027660000000001E-2</v>
      </c>
      <c r="O5120">
        <v>9.1547260000000002E-3</v>
      </c>
      <c r="P5120">
        <v>0.98499720000000002</v>
      </c>
      <c r="Q5120">
        <v>-6.1029079999999998E-3</v>
      </c>
      <c r="R5120">
        <v>-0.17246349999999999</v>
      </c>
      <c r="S5120">
        <v>2.890717</v>
      </c>
      <c r="T5120">
        <v>-0.1127157</v>
      </c>
      <c r="U5120">
        <v>-0.88403319999999996</v>
      </c>
      <c r="V5120">
        <v>0.18149299999999999</v>
      </c>
      <c r="W5120">
        <v>7.2410109999999899E-3</v>
      </c>
      <c r="X5120">
        <v>0.98336559999999995</v>
      </c>
      <c r="Y5120">
        <v>0.30089829999999901</v>
      </c>
      <c r="Z5120">
        <v>-8.1154580000000007E-3</v>
      </c>
      <c r="AA5120">
        <v>0.95362170000000002</v>
      </c>
      <c r="AB5120">
        <v>38</v>
      </c>
      <c r="AC5120">
        <v>29.4603</v>
      </c>
      <c r="AD5120">
        <v>-1.1584129999999999</v>
      </c>
      <c r="AE5120">
        <v>-9.0873089999999994</v>
      </c>
      <c r="AF5120">
        <v>9.3434642939928505</v>
      </c>
      <c r="AG5120">
        <v>-1.1584129999999999</v>
      </c>
      <c r="AH5120">
        <v>29.334450183377601</v>
      </c>
      <c r="AI5120">
        <v>92.154867200336994</v>
      </c>
      <c r="AJ5120">
        <v>72.332539161432706</v>
      </c>
      <c r="AK5120">
        <v>30.808314028079302</v>
      </c>
      <c r="AL5120">
        <v>89.585117013939694</v>
      </c>
      <c r="AM5120">
        <v>79.542988086688993</v>
      </c>
      <c r="AN5120">
        <v>1.0000000222763299</v>
      </c>
    </row>
    <row r="5121" spans="1:40" x14ac:dyDescent="0.25">
      <c r="A5121" t="str">
        <f>"20190305135930935"</f>
        <v>20190305135930935</v>
      </c>
      <c r="B5121" t="str">
        <f>"1551765570924571"</f>
        <v>1551765570924571</v>
      </c>
      <c r="C5121" t="s">
        <v>40</v>
      </c>
      <c r="D5121">
        <v>3.9598010000000001</v>
      </c>
      <c r="E5121">
        <v>0.54681489999999999</v>
      </c>
      <c r="F5121" t="s">
        <v>43</v>
      </c>
      <c r="G5121">
        <v>-302.70530000000002</v>
      </c>
      <c r="H5121">
        <v>-0.05</v>
      </c>
      <c r="I5121">
        <v>9.5873109999999997</v>
      </c>
      <c r="J5121">
        <v>-331.8064</v>
      </c>
      <c r="K5121">
        <v>1.1084270000000001</v>
      </c>
      <c r="L5121">
        <v>18.615169999999999</v>
      </c>
      <c r="M5121">
        <v>0.99986520000000001</v>
      </c>
      <c r="N5121">
        <v>-1.403623E-2</v>
      </c>
      <c r="O5121">
        <v>8.5105879999999995E-3</v>
      </c>
      <c r="P5121">
        <v>0.98466609999999999</v>
      </c>
      <c r="Q5121">
        <v>-6.5213370000000003E-3</v>
      </c>
      <c r="R5121">
        <v>-0.1743277</v>
      </c>
      <c r="S5121">
        <v>2.8894959999999998</v>
      </c>
      <c r="T5121">
        <v>-0.1139675</v>
      </c>
      <c r="U5121">
        <v>-0.88800049999999997</v>
      </c>
      <c r="V5121">
        <v>0.18271960000000001</v>
      </c>
      <c r="W5121">
        <v>6.8299880000000004E-3</v>
      </c>
      <c r="X5121">
        <v>0.98314140000000005</v>
      </c>
      <c r="Y5121">
        <v>0.30158699999999999</v>
      </c>
      <c r="Z5121">
        <v>-8.1881739999999995E-3</v>
      </c>
      <c r="AA5121">
        <v>0.95340349999999996</v>
      </c>
      <c r="AB5121">
        <v>38</v>
      </c>
      <c r="AC5121">
        <v>29.101099999999899</v>
      </c>
      <c r="AD5121">
        <v>-1.1584270000000001</v>
      </c>
      <c r="AE5121">
        <v>-9.0278589999999994</v>
      </c>
      <c r="AF5121">
        <v>9.2618360386395295</v>
      </c>
      <c r="AG5121">
        <v>-1.1584270000000001</v>
      </c>
      <c r="AH5121">
        <v>28.981313883583798</v>
      </c>
      <c r="AI5121">
        <v>92.180453724986805</v>
      </c>
      <c r="AJ5121">
        <v>72.277181957070894</v>
      </c>
      <c r="AK5121">
        <v>30.447333452041001</v>
      </c>
      <c r="AL5121">
        <v>89.608667493086699</v>
      </c>
      <c r="AM5121">
        <v>79.471543173170403</v>
      </c>
      <c r="AN5121">
        <v>1.0000000566770899</v>
      </c>
    </row>
    <row r="5122" spans="1:40" x14ac:dyDescent="0.25">
      <c r="A5122" t="str">
        <f>"20190305135930946"</f>
        <v>20190305135930946</v>
      </c>
      <c r="B5122" t="str">
        <f>"1551765570934332"</f>
        <v>1551765570934332</v>
      </c>
      <c r="C5122" t="s">
        <v>40</v>
      </c>
      <c r="D5122">
        <v>3.9745720000000002</v>
      </c>
      <c r="E5122">
        <v>0.54684029999999995</v>
      </c>
      <c r="F5122" t="s">
        <v>43</v>
      </c>
      <c r="G5122">
        <v>-302.59969999999998</v>
      </c>
      <c r="H5122">
        <v>-0.05</v>
      </c>
      <c r="I5122">
        <v>9.5752109999999995</v>
      </c>
      <c r="J5122">
        <v>-331.61610000000002</v>
      </c>
      <c r="K5122">
        <v>1.1084369999999999</v>
      </c>
      <c r="L5122">
        <v>18.61636</v>
      </c>
      <c r="M5122">
        <v>0.99986900000000001</v>
      </c>
      <c r="N5122">
        <v>-1.4041619999999999E-2</v>
      </c>
      <c r="O5122">
        <v>8.0549030000000004E-3</v>
      </c>
      <c r="P5122">
        <v>0.98447220000000002</v>
      </c>
      <c r="Q5122">
        <v>-6.5544130000000003E-3</v>
      </c>
      <c r="R5122">
        <v>-0.17541979999999999</v>
      </c>
      <c r="S5122">
        <v>2.8877259999999998</v>
      </c>
      <c r="T5122">
        <v>-0.11453579999999999</v>
      </c>
      <c r="U5122">
        <v>-0.8937988</v>
      </c>
      <c r="V5122">
        <v>0.18336169999999999</v>
      </c>
      <c r="W5122">
        <v>6.8018549999999999E-3</v>
      </c>
      <c r="X5122">
        <v>0.98302199999999995</v>
      </c>
      <c r="Y5122">
        <v>0.303060099999999</v>
      </c>
      <c r="Z5122">
        <v>-8.2497860000000003E-3</v>
      </c>
      <c r="AA5122">
        <v>0.9529358</v>
      </c>
      <c r="AB5122">
        <v>38</v>
      </c>
      <c r="AC5122">
        <v>29.016400000000001</v>
      </c>
      <c r="AD5122">
        <v>-1.1584369999999999</v>
      </c>
      <c r="AE5122">
        <v>-9.0411490000000008</v>
      </c>
      <c r="AF5122">
        <v>9.2611480250394091</v>
      </c>
      <c r="AG5122">
        <v>-1.1584369999999999</v>
      </c>
      <c r="AH5122">
        <v>28.9006378234102</v>
      </c>
      <c r="AI5122">
        <v>92.186002885576102</v>
      </c>
      <c r="AJ5122">
        <v>72.232053605344703</v>
      </c>
      <c r="AK5122">
        <v>30.370342533869898</v>
      </c>
      <c r="AL5122">
        <v>89.610279416505605</v>
      </c>
      <c r="AM5122">
        <v>79.434122030203</v>
      </c>
      <c r="AN5122">
        <v>1.0000000153711599</v>
      </c>
    </row>
    <row r="5123" spans="1:40" x14ac:dyDescent="0.25">
      <c r="A5123" t="str">
        <f>"20190305135930957"</f>
        <v>20190305135930957</v>
      </c>
      <c r="B5123" t="str">
        <f>"1551765570953851"</f>
        <v>1551765570953851</v>
      </c>
      <c r="C5123" t="s">
        <v>40</v>
      </c>
      <c r="D5123">
        <v>3.8984480000000001</v>
      </c>
      <c r="E5123">
        <v>0.54691080000000003</v>
      </c>
      <c r="F5123" t="s">
        <v>43</v>
      </c>
      <c r="G5123">
        <v>-302.36610000000002</v>
      </c>
      <c r="H5123">
        <v>-0.05</v>
      </c>
      <c r="I5123">
        <v>9.5240779999999994</v>
      </c>
      <c r="J5123">
        <v>-331.41460000000001</v>
      </c>
      <c r="K5123">
        <v>1.108447</v>
      </c>
      <c r="L5123">
        <v>18.617609999999999</v>
      </c>
      <c r="M5123">
        <v>0.99987269999999995</v>
      </c>
      <c r="N5123">
        <v>-1.404707E-2</v>
      </c>
      <c r="O5123">
        <v>7.5725749999999998E-3</v>
      </c>
      <c r="P5123">
        <v>0.98426689999999994</v>
      </c>
      <c r="Q5123">
        <v>-6.6354150000000004E-3</v>
      </c>
      <c r="R5123">
        <v>-0.1765642</v>
      </c>
      <c r="S5123">
        <v>2.8866580000000002</v>
      </c>
      <c r="T5123">
        <v>-0.11432489999999999</v>
      </c>
      <c r="U5123">
        <v>-0.89730829999999995</v>
      </c>
      <c r="V5123">
        <v>0.18403</v>
      </c>
      <c r="W5123">
        <v>6.7255619999999896E-3</v>
      </c>
      <c r="X5123">
        <v>0.98289760000000004</v>
      </c>
      <c r="Y5123">
        <v>0.3037571</v>
      </c>
      <c r="Z5123">
        <v>-8.2471639999999995E-3</v>
      </c>
      <c r="AA5123">
        <v>0.95271380000000006</v>
      </c>
      <c r="AB5123">
        <v>38</v>
      </c>
      <c r="AC5123">
        <v>29.048499999999901</v>
      </c>
      <c r="AD5123">
        <v>-1.158447</v>
      </c>
      <c r="AE5123">
        <v>-9.0935319999999997</v>
      </c>
      <c r="AF5123">
        <v>9.2997945757757208</v>
      </c>
      <c r="AG5123">
        <v>-1.158447</v>
      </c>
      <c r="AH5123">
        <v>28.936885088806399</v>
      </c>
      <c r="AI5123">
        <v>92.182693368304598</v>
      </c>
      <c r="AJ5123">
        <v>72.1835285694833</v>
      </c>
      <c r="AK5123">
        <v>30.416631918182901</v>
      </c>
      <c r="AL5123">
        <v>89.614650770895494</v>
      </c>
      <c r="AM5123">
        <v>79.395172648544005</v>
      </c>
      <c r="AN5123">
        <v>0.99999998308498705</v>
      </c>
    </row>
    <row r="5124" spans="1:40" x14ac:dyDescent="0.25">
      <c r="A5124" t="str">
        <f>"20190305135930970"</f>
        <v>20190305135930970</v>
      </c>
      <c r="B5124" t="str">
        <f>"1551765570964588"</f>
        <v>1551765570964588</v>
      </c>
      <c r="C5124" t="s">
        <v>40</v>
      </c>
      <c r="D5124">
        <v>3.9337599999999999</v>
      </c>
      <c r="E5124">
        <v>0.55486829999999998</v>
      </c>
      <c r="F5124" t="s">
        <v>43</v>
      </c>
      <c r="G5124">
        <v>-302.10829999999999</v>
      </c>
      <c r="H5124">
        <v>-0.05</v>
      </c>
      <c r="I5124">
        <v>9.4642029999999995</v>
      </c>
      <c r="J5124">
        <v>-331.2124</v>
      </c>
      <c r="K5124">
        <v>1.1084579999999999</v>
      </c>
      <c r="L5124">
        <v>18.618649999999999</v>
      </c>
      <c r="M5124">
        <v>0.99987630000000005</v>
      </c>
      <c r="N5124">
        <v>-1.405172E-2</v>
      </c>
      <c r="O5124">
        <v>7.088558E-3</v>
      </c>
      <c r="P5124">
        <v>0.9840584</v>
      </c>
      <c r="Q5124">
        <v>-6.2913489999999999E-3</v>
      </c>
      <c r="R5124">
        <v>-0.1777338</v>
      </c>
      <c r="S5124">
        <v>2.8854980000000001</v>
      </c>
      <c r="T5124">
        <v>-0.1140608</v>
      </c>
      <c r="U5124">
        <v>-0.90124510000000002</v>
      </c>
      <c r="V5124">
        <v>0.18472340000000001</v>
      </c>
      <c r="W5124">
        <v>7.0731700000000002E-3</v>
      </c>
      <c r="X5124">
        <v>0.98276509999999995</v>
      </c>
      <c r="Y5124">
        <v>0.30458960000000002</v>
      </c>
      <c r="Z5124">
        <v>-8.2452229999999994E-3</v>
      </c>
      <c r="AA5124">
        <v>0.95244799999999996</v>
      </c>
      <c r="AB5124">
        <v>38</v>
      </c>
      <c r="AC5124">
        <v>29.104099999999999</v>
      </c>
      <c r="AD5124">
        <v>-1.158458</v>
      </c>
      <c r="AE5124">
        <v>-9.1544469999999993</v>
      </c>
      <c r="AF5124">
        <v>9.34706757989699</v>
      </c>
      <c r="AG5124">
        <v>-1.158458</v>
      </c>
      <c r="AH5124">
        <v>28.9966654597659</v>
      </c>
      <c r="AI5124">
        <v>92.177604370668703</v>
      </c>
      <c r="AJ5124">
        <v>72.133287162630097</v>
      </c>
      <c r="AK5124">
        <v>30.4879698416688</v>
      </c>
      <c r="AL5124">
        <v>89.594733833166799</v>
      </c>
      <c r="AM5124">
        <v>79.354724185061301</v>
      </c>
      <c r="AN5124">
        <v>1.0000000030097</v>
      </c>
    </row>
    <row r="5125" spans="1:40" x14ac:dyDescent="0.25">
      <c r="A5125" t="str">
        <f>"20190305135930982"</f>
        <v>20190305135930982</v>
      </c>
      <c r="B5125" t="str">
        <f>"1551765570974347"</f>
        <v>1551765570974347</v>
      </c>
      <c r="C5125" t="s">
        <v>40</v>
      </c>
      <c r="D5125">
        <v>3.9290090000000002</v>
      </c>
      <c r="E5125">
        <v>0.5561895</v>
      </c>
      <c r="F5125" t="s">
        <v>43</v>
      </c>
      <c r="G5125">
        <v>-289.57479999999998</v>
      </c>
      <c r="H5125">
        <v>-0.05</v>
      </c>
      <c r="I5125">
        <v>4.6206670000000001</v>
      </c>
      <c r="J5125">
        <v>-331.01139999999998</v>
      </c>
      <c r="K5125">
        <v>1.1084769999999999</v>
      </c>
      <c r="L5125">
        <v>18.619689999999999</v>
      </c>
      <c r="M5125">
        <v>0.99987939999999997</v>
      </c>
      <c r="N5125">
        <v>-1.405619E-2</v>
      </c>
      <c r="O5125">
        <v>6.607155E-3</v>
      </c>
      <c r="P5125">
        <v>0.98386510000000005</v>
      </c>
      <c r="Q5125">
        <v>-6.1884890000000001E-3</v>
      </c>
      <c r="R5125">
        <v>-0.17880509999999999</v>
      </c>
      <c r="S5125">
        <v>2.873596</v>
      </c>
      <c r="T5125">
        <v>-7.995033E-2</v>
      </c>
      <c r="U5125">
        <v>-0.96606449999999999</v>
      </c>
      <c r="V5125">
        <v>0.18532029999999999</v>
      </c>
      <c r="W5125">
        <v>7.1799780000000001E-3</v>
      </c>
      <c r="X5125">
        <v>0.98265190000000002</v>
      </c>
      <c r="Y5125">
        <v>0.3247409</v>
      </c>
      <c r="Z5125">
        <v>-6.8285419999999999E-3</v>
      </c>
      <c r="AA5125">
        <v>0.94577840000000002</v>
      </c>
      <c r="AB5125">
        <v>38</v>
      </c>
      <c r="AC5125">
        <v>41.436599999999999</v>
      </c>
      <c r="AD5125">
        <v>-1.158477</v>
      </c>
      <c r="AE5125">
        <v>-13.9990229999999</v>
      </c>
      <c r="AF5125">
        <v>14.2625163762011</v>
      </c>
      <c r="AG5125">
        <v>-1.158477</v>
      </c>
      <c r="AH5125">
        <v>41.3142079098713</v>
      </c>
      <c r="AI5125">
        <v>91.518306678840204</v>
      </c>
      <c r="AJ5125">
        <v>70.954270450086</v>
      </c>
      <c r="AK5125">
        <v>43.722136470682699</v>
      </c>
      <c r="AL5125">
        <v>89.588614012924594</v>
      </c>
      <c r="AM5125">
        <v>79.319913899622904</v>
      </c>
      <c r="AN5125">
        <v>0.99999996112488898</v>
      </c>
    </row>
    <row r="5126" spans="1:40" x14ac:dyDescent="0.25">
      <c r="A5126" t="str">
        <f>"20190305135930992"</f>
        <v>20190305135930992</v>
      </c>
      <c r="B5126" t="str">
        <f>"1551765570984107"</f>
        <v>1551765570984107</v>
      </c>
      <c r="C5126" t="s">
        <v>40</v>
      </c>
      <c r="D5126">
        <v>4.0054319999999999</v>
      </c>
      <c r="E5126">
        <v>0.55487149999999996</v>
      </c>
      <c r="F5126" t="s">
        <v>43</v>
      </c>
      <c r="G5126">
        <v>-287.38440000000003</v>
      </c>
      <c r="H5126">
        <v>-0.05</v>
      </c>
      <c r="I5126">
        <v>3.732758</v>
      </c>
      <c r="J5126">
        <v>-330.82190000000003</v>
      </c>
      <c r="K5126">
        <v>1.108487</v>
      </c>
      <c r="L5126">
        <v>18.620509999999999</v>
      </c>
      <c r="M5126">
        <v>0.99988220000000005</v>
      </c>
      <c r="N5126">
        <v>-1.4060049999999999E-2</v>
      </c>
      <c r="O5126">
        <v>6.1524910000000004E-3</v>
      </c>
      <c r="P5126">
        <v>0.98366489999999995</v>
      </c>
      <c r="Q5126">
        <v>-5.8170100000000001E-3</v>
      </c>
      <c r="R5126">
        <v>-0.1799162</v>
      </c>
      <c r="S5126">
        <v>2.8707280000000002</v>
      </c>
      <c r="T5126">
        <v>-7.6229569999999996E-2</v>
      </c>
      <c r="U5126">
        <v>-0.97958369999999995</v>
      </c>
      <c r="V5126">
        <v>0.1859837</v>
      </c>
      <c r="W5126">
        <v>7.5533319999999899E-3</v>
      </c>
      <c r="X5126">
        <v>0.98252379999999995</v>
      </c>
      <c r="Y5126">
        <v>0.32860009999999901</v>
      </c>
      <c r="Z5126">
        <v>-6.6911990000000001E-3</v>
      </c>
      <c r="AA5126">
        <v>0.94444539999999999</v>
      </c>
      <c r="AB5126">
        <v>38</v>
      </c>
      <c r="AC5126">
        <v>43.4375</v>
      </c>
      <c r="AD5126">
        <v>-1.158487</v>
      </c>
      <c r="AE5126">
        <v>-14.887752000000001</v>
      </c>
      <c r="AF5126">
        <v>15.1451051570274</v>
      </c>
      <c r="AG5126">
        <v>-1.158487</v>
      </c>
      <c r="AH5126">
        <v>43.3174991434974</v>
      </c>
      <c r="AI5126">
        <v>91.446155741737897</v>
      </c>
      <c r="AJ5126">
        <v>70.728832524966293</v>
      </c>
      <c r="AK5126">
        <v>45.903398941619699</v>
      </c>
      <c r="AL5126">
        <v>89.567221841396602</v>
      </c>
      <c r="AM5126">
        <v>79.281200999703401</v>
      </c>
      <c r="AN5126">
        <v>1.0000000035282099</v>
      </c>
    </row>
    <row r="5127" spans="1:40" x14ac:dyDescent="0.25">
      <c r="A5127" t="str">
        <f>"20190305135931003"</f>
        <v>20190305135931003</v>
      </c>
      <c r="B5127" t="str">
        <f>"1551765570993867"</f>
        <v>1551765570993867</v>
      </c>
      <c r="C5127" t="s">
        <v>40</v>
      </c>
      <c r="D5127">
        <v>3.9968659999999998</v>
      </c>
      <c r="E5127">
        <v>0.55413409999999996</v>
      </c>
      <c r="F5127" t="s">
        <v>43</v>
      </c>
      <c r="G5127">
        <v>-303.23390000000001</v>
      </c>
      <c r="H5127">
        <v>-0.05</v>
      </c>
      <c r="I5127">
        <v>9.2603760000000008</v>
      </c>
      <c r="J5127">
        <v>-330.64139999999998</v>
      </c>
      <c r="K5127">
        <v>1.1084959999999999</v>
      </c>
      <c r="L5127">
        <v>18.621279999999999</v>
      </c>
      <c r="M5127">
        <v>0.99988480000000002</v>
      </c>
      <c r="N5127">
        <v>-1.406337E-2</v>
      </c>
      <c r="O5127">
        <v>5.7174160000000003E-3</v>
      </c>
      <c r="P5127">
        <v>0.98347629999999997</v>
      </c>
      <c r="Q5127">
        <v>-5.55194E-3</v>
      </c>
      <c r="R5127">
        <v>-0.18095259999999999</v>
      </c>
      <c r="S5127">
        <v>2.8709410000000002</v>
      </c>
      <c r="T5127">
        <v>-0.120557399999999</v>
      </c>
      <c r="U5127">
        <v>-0.97406009999999998</v>
      </c>
      <c r="V5127">
        <v>0.18659220000000001</v>
      </c>
      <c r="W5127">
        <v>7.819398E-3</v>
      </c>
      <c r="X5127">
        <v>0.98240629999999995</v>
      </c>
      <c r="Y5127">
        <v>0.32634849999999999</v>
      </c>
      <c r="Z5127">
        <v>-9.1767250000000002E-3</v>
      </c>
      <c r="AA5127">
        <v>0.94520499999999996</v>
      </c>
      <c r="AB5127">
        <v>38</v>
      </c>
      <c r="AC5127">
        <v>27.407499999999899</v>
      </c>
      <c r="AD5127">
        <v>-1.158496</v>
      </c>
      <c r="AE5127">
        <v>-9.3609039999999997</v>
      </c>
      <c r="AF5127">
        <v>9.5022625033717798</v>
      </c>
      <c r="AG5127">
        <v>-1.158496</v>
      </c>
      <c r="AH5127">
        <v>27.3098295473051</v>
      </c>
      <c r="AI5127">
        <v>92.294302673038899</v>
      </c>
      <c r="AJ5127">
        <v>70.8150193637115</v>
      </c>
      <c r="AK5127">
        <v>28.938933905171002</v>
      </c>
      <c r="AL5127">
        <v>89.551976915010599</v>
      </c>
      <c r="AM5127">
        <v>79.245691625087801</v>
      </c>
      <c r="AN5127">
        <v>0.99999996518280498</v>
      </c>
    </row>
    <row r="5128" spans="1:40" x14ac:dyDescent="0.25">
      <c r="A5128" t="str">
        <f>"20190305135931013"</f>
        <v>20190305135931013</v>
      </c>
      <c r="B5128" t="str">
        <f>"1551765571004603"</f>
        <v>1551765571004603</v>
      </c>
      <c r="C5128" t="s">
        <v>40</v>
      </c>
      <c r="D5128">
        <v>4.0060779999999996</v>
      </c>
      <c r="E5128">
        <v>0.55366649999999995</v>
      </c>
      <c r="F5128" t="s">
        <v>43</v>
      </c>
      <c r="G5128">
        <v>-308.39190000000002</v>
      </c>
      <c r="H5128">
        <v>-0.05</v>
      </c>
      <c r="I5128">
        <v>11.08389</v>
      </c>
      <c r="J5128">
        <v>-330.45429999999999</v>
      </c>
      <c r="K5128">
        <v>1.1085050000000001</v>
      </c>
      <c r="L5128">
        <v>18.621949999999998</v>
      </c>
      <c r="M5128">
        <v>0.99988730000000003</v>
      </c>
      <c r="N5128">
        <v>-1.406642E-2</v>
      </c>
      <c r="O5128">
        <v>5.2645000000000001E-3</v>
      </c>
      <c r="P5128">
        <v>0.98322860000000001</v>
      </c>
      <c r="Q5128">
        <v>-5.2528139999999997E-3</v>
      </c>
      <c r="R5128">
        <v>-0.1823024</v>
      </c>
      <c r="S5128">
        <v>2.8706360000000002</v>
      </c>
      <c r="T5128">
        <v>-0.14946909999999999</v>
      </c>
      <c r="U5128">
        <v>-0.97247309999999998</v>
      </c>
      <c r="V5128">
        <v>0.1874963</v>
      </c>
      <c r="W5128">
        <v>8.1178889999999997E-3</v>
      </c>
      <c r="X5128">
        <v>0.98223170000000004</v>
      </c>
      <c r="Y5128">
        <v>0.32532109999999997</v>
      </c>
      <c r="Z5128">
        <v>-1.0781010000000001E-2</v>
      </c>
      <c r="AA5128">
        <v>0.9455422</v>
      </c>
      <c r="AB5128">
        <v>38</v>
      </c>
      <c r="AC5128">
        <v>22.062399999999901</v>
      </c>
      <c r="AD5128">
        <v>-1.1585049999999999</v>
      </c>
      <c r="AE5128">
        <v>-7.53805999999999</v>
      </c>
      <c r="AF5128">
        <v>7.6352622716923904</v>
      </c>
      <c r="AG5128">
        <v>-1.1585049999999999</v>
      </c>
      <c r="AH5128">
        <v>21.968164549184898</v>
      </c>
      <c r="AI5128">
        <v>92.851702680019002</v>
      </c>
      <c r="AJ5128">
        <v>70.834577065010194</v>
      </c>
      <c r="AK5128">
        <v>23.286039110433101</v>
      </c>
      <c r="AL5128">
        <v>89.5348740839638</v>
      </c>
      <c r="AM5128">
        <v>79.192931881033005</v>
      </c>
      <c r="AN5128">
        <v>0.99999993756019601</v>
      </c>
    </row>
    <row r="5129" spans="1:40" x14ac:dyDescent="0.25">
      <c r="A5129" t="str">
        <f>"20190305135931026"</f>
        <v>20190305135931026</v>
      </c>
      <c r="B5129" t="str">
        <f>"1551765571014364"</f>
        <v>1551765571014364</v>
      </c>
      <c r="C5129" t="s">
        <v>40</v>
      </c>
      <c r="D5129">
        <v>4.0064149999999996</v>
      </c>
      <c r="E5129">
        <v>0.55357449999999997</v>
      </c>
      <c r="F5129" t="s">
        <v>43</v>
      </c>
      <c r="G5129">
        <v>-310.45940000000002</v>
      </c>
      <c r="H5129">
        <v>-0.05</v>
      </c>
      <c r="I5129">
        <v>11.84052</v>
      </c>
      <c r="J5129">
        <v>-330.27280000000002</v>
      </c>
      <c r="K5129">
        <v>1.108511</v>
      </c>
      <c r="L5129">
        <v>18.622499999999999</v>
      </c>
      <c r="M5129">
        <v>0.99988960000000005</v>
      </c>
      <c r="N5129">
        <v>-1.406901E-2</v>
      </c>
      <c r="O5129">
        <v>4.8156190000000001E-3</v>
      </c>
      <c r="P5129">
        <v>0.98299599999999998</v>
      </c>
      <c r="Q5129">
        <v>-4.8621150000000002E-3</v>
      </c>
      <c r="R5129">
        <v>-0.1835639</v>
      </c>
      <c r="S5129">
        <v>2.8698429999999999</v>
      </c>
      <c r="T5129">
        <v>-0.1662787</v>
      </c>
      <c r="U5129">
        <v>-0.97332759999999996</v>
      </c>
      <c r="V5129">
        <v>0.1883167</v>
      </c>
      <c r="W5129">
        <v>8.5055440000000003E-3</v>
      </c>
      <c r="X5129">
        <v>0.98207149999999999</v>
      </c>
      <c r="Y5129">
        <v>0.3251211</v>
      </c>
      <c r="Z5129">
        <v>-1.171239E-2</v>
      </c>
      <c r="AA5129">
        <v>0.94559990000000005</v>
      </c>
      <c r="AB5129">
        <v>38</v>
      </c>
      <c r="AC5129">
        <v>19.813400000000001</v>
      </c>
      <c r="AD5129">
        <v>-1.1585110000000001</v>
      </c>
      <c r="AE5129">
        <v>-6.7819799999999901</v>
      </c>
      <c r="AF5129">
        <v>6.8563420341285299</v>
      </c>
      <c r="AG5129">
        <v>-1.1585110000000001</v>
      </c>
      <c r="AH5129">
        <v>19.720157778022301</v>
      </c>
      <c r="AI5129">
        <v>93.176048875248298</v>
      </c>
      <c r="AJ5129">
        <v>70.828361716082696</v>
      </c>
      <c r="AK5129">
        <v>20.910193605420599</v>
      </c>
      <c r="AL5129">
        <v>89.512662339209399</v>
      </c>
      <c r="AM5129">
        <v>79.145037322349793</v>
      </c>
      <c r="AN5129">
        <v>0.99999997744493696</v>
      </c>
    </row>
    <row r="5130" spans="1:40" x14ac:dyDescent="0.25">
      <c r="A5130" t="str">
        <f>"20190305135931036"</f>
        <v>20190305135931036</v>
      </c>
      <c r="B5130" t="str">
        <f>"1551765571024124"</f>
        <v>1551765571024124</v>
      </c>
      <c r="C5130" t="s">
        <v>40</v>
      </c>
      <c r="D5130">
        <v>4.0291680000000003</v>
      </c>
      <c r="E5130">
        <v>0.55341260000000003</v>
      </c>
      <c r="F5130" t="s">
        <v>43</v>
      </c>
      <c r="G5130">
        <v>-311.7029</v>
      </c>
      <c r="H5130">
        <v>-0.05</v>
      </c>
      <c r="I5130">
        <v>12.299189999999999</v>
      </c>
      <c r="J5130">
        <v>-330.06169999999997</v>
      </c>
      <c r="K5130">
        <v>1.108514</v>
      </c>
      <c r="L5130">
        <v>18.623080000000002</v>
      </c>
      <c r="M5130">
        <v>0.99989189999999994</v>
      </c>
      <c r="N5130">
        <v>-1.4071790000000001E-2</v>
      </c>
      <c r="O5130">
        <v>4.2878789999999996E-3</v>
      </c>
      <c r="P5130">
        <v>0.98275429999999997</v>
      </c>
      <c r="Q5130">
        <v>-4.108118E-3</v>
      </c>
      <c r="R5130">
        <v>-0.1848706</v>
      </c>
      <c r="S5130">
        <v>2.8686219999999998</v>
      </c>
      <c r="T5130">
        <v>-0.17896329999999999</v>
      </c>
      <c r="U5130">
        <v>-0.97680659999999997</v>
      </c>
      <c r="V5130">
        <v>0.1891062</v>
      </c>
      <c r="W5130">
        <v>9.2551019999999994E-3</v>
      </c>
      <c r="X5130">
        <v>0.98191300000000004</v>
      </c>
      <c r="Y5130">
        <v>0.32568340000000001</v>
      </c>
      <c r="Z5130">
        <v>-1.243E-2</v>
      </c>
      <c r="AA5130">
        <v>0.94539720000000005</v>
      </c>
      <c r="AB5130">
        <v>38</v>
      </c>
      <c r="AC5130">
        <v>18.358799999999899</v>
      </c>
      <c r="AD5130">
        <v>-1.158514</v>
      </c>
      <c r="AE5130">
        <v>-6.3238899999999898</v>
      </c>
      <c r="AF5130">
        <v>6.3798493382721597</v>
      </c>
      <c r="AG5130">
        <v>-1.158514</v>
      </c>
      <c r="AH5130">
        <v>18.266488460003199</v>
      </c>
      <c r="AI5130">
        <v>93.426548612751304</v>
      </c>
      <c r="AJ5130">
        <v>70.747467117124103</v>
      </c>
      <c r="AK5130">
        <v>19.3832203961746</v>
      </c>
      <c r="AL5130">
        <v>89.469714132914802</v>
      </c>
      <c r="AM5130">
        <v>79.098899472664598</v>
      </c>
      <c r="AN5130">
        <v>0.99999997568023402</v>
      </c>
    </row>
    <row r="5131" spans="1:40" x14ac:dyDescent="0.25">
      <c r="A5131" t="str">
        <f>"20190305135931048"</f>
        <v>20190305135931048</v>
      </c>
      <c r="B5131" t="str">
        <f>"1551765571044619"</f>
        <v>1551765571044619</v>
      </c>
      <c r="C5131" t="s">
        <v>40</v>
      </c>
      <c r="D5131">
        <v>4.0403849999999997</v>
      </c>
      <c r="E5131">
        <v>0.55247239999999997</v>
      </c>
      <c r="F5131" t="s">
        <v>43</v>
      </c>
      <c r="G5131">
        <v>-312.41590000000002</v>
      </c>
      <c r="H5131">
        <v>-0.05</v>
      </c>
      <c r="I5131">
        <v>12.59398</v>
      </c>
      <c r="J5131">
        <v>-329.87880000000001</v>
      </c>
      <c r="K5131">
        <v>1.108509</v>
      </c>
      <c r="L5131">
        <v>18.62341</v>
      </c>
      <c r="M5131">
        <v>0.9998937</v>
      </c>
      <c r="N5131">
        <v>-1.407394E-2</v>
      </c>
      <c r="O5131">
        <v>3.801479E-3</v>
      </c>
      <c r="P5131">
        <v>0.98243179999999997</v>
      </c>
      <c r="Q5131">
        <v>-3.2448860000000002E-3</v>
      </c>
      <c r="R5131">
        <v>-0.18659419999999999</v>
      </c>
      <c r="S5131">
        <v>2.8675540000000002</v>
      </c>
      <c r="T5131">
        <v>-0.18826590000000001</v>
      </c>
      <c r="U5131">
        <v>-0.97976680000000005</v>
      </c>
      <c r="V5131">
        <v>0.1903532</v>
      </c>
      <c r="W5131">
        <v>1.010669E-2</v>
      </c>
      <c r="X5131">
        <v>0.98166359999999997</v>
      </c>
      <c r="Y5131">
        <v>0.32613599999999998</v>
      </c>
      <c r="Z5131">
        <v>-1.295201E-2</v>
      </c>
      <c r="AA5131">
        <v>0.94523409999999997</v>
      </c>
      <c r="AB5131">
        <v>38</v>
      </c>
      <c r="AC5131">
        <v>17.462899999999902</v>
      </c>
      <c r="AD5131">
        <v>-1.158509</v>
      </c>
      <c r="AE5131">
        <v>-6.0294299999999996</v>
      </c>
      <c r="AF5131">
        <v>6.0719009232455496</v>
      </c>
      <c r="AG5131">
        <v>-1.158509</v>
      </c>
      <c r="AH5131">
        <v>17.3715395484531</v>
      </c>
      <c r="AI5131">
        <v>93.602310904726394</v>
      </c>
      <c r="AJ5131">
        <v>70.733869020451493</v>
      </c>
      <c r="AK5131">
        <v>18.438560415831301</v>
      </c>
      <c r="AL5131">
        <v>89.420919433281398</v>
      </c>
      <c r="AM5131">
        <v>79.026034800068302</v>
      </c>
      <c r="AN5131">
        <v>0.99999995474897696</v>
      </c>
    </row>
    <row r="5132" spans="1:40" x14ac:dyDescent="0.25">
      <c r="A5132" t="str">
        <f>"20190305135931060"</f>
        <v>20190305135931060</v>
      </c>
      <c r="B5132" t="str">
        <f>"1551765571054381"</f>
        <v>1551765571054381</v>
      </c>
      <c r="C5132" t="s">
        <v>40</v>
      </c>
      <c r="D5132">
        <v>4.1310149999999997</v>
      </c>
      <c r="E5132">
        <v>0.52673179999999997</v>
      </c>
      <c r="F5132" t="s">
        <v>43</v>
      </c>
      <c r="G5132">
        <v>-311.31900000000002</v>
      </c>
      <c r="H5132">
        <v>-0.05</v>
      </c>
      <c r="I5132">
        <v>12.2982</v>
      </c>
      <c r="J5132">
        <v>-329.6773</v>
      </c>
      <c r="K5132">
        <v>1.108493</v>
      </c>
      <c r="L5132">
        <v>18.623750000000001</v>
      </c>
      <c r="M5132">
        <v>0.99989570000000005</v>
      </c>
      <c r="N5132">
        <v>-1.407627E-2</v>
      </c>
      <c r="O5132">
        <v>3.2541710000000001E-3</v>
      </c>
      <c r="P5132">
        <v>0.98210169999999997</v>
      </c>
      <c r="Q5132">
        <v>-2.249582E-3</v>
      </c>
      <c r="R5132">
        <v>-0.18833910000000001</v>
      </c>
      <c r="S5132">
        <v>2.8674620000000002</v>
      </c>
      <c r="T5132">
        <v>-0.17898789999999901</v>
      </c>
      <c r="U5132">
        <v>-0.97723389999999999</v>
      </c>
      <c r="V5132">
        <v>0.1915625</v>
      </c>
      <c r="W5132">
        <v>1.108749E-2</v>
      </c>
      <c r="X5132">
        <v>0.98141780000000001</v>
      </c>
      <c r="Y5132">
        <v>0.32495099999999999</v>
      </c>
      <c r="Z5132">
        <v>-1.2359770000000001E-2</v>
      </c>
      <c r="AA5132">
        <v>0.94565010000000005</v>
      </c>
      <c r="AB5132">
        <v>38</v>
      </c>
      <c r="AC5132">
        <v>18.3582999999999</v>
      </c>
      <c r="AD5132">
        <v>-1.158493</v>
      </c>
      <c r="AE5132">
        <v>-6.3255499999999998</v>
      </c>
      <c r="AF5132">
        <v>6.3626151777666102</v>
      </c>
      <c r="AG5132">
        <v>-1.158493</v>
      </c>
      <c r="AH5132">
        <v>18.272573492575599</v>
      </c>
      <c r="AI5132">
        <v>93.426474159125902</v>
      </c>
      <c r="AJ5132">
        <v>70.801588833415394</v>
      </c>
      <c r="AK5132">
        <v>19.383289709772502</v>
      </c>
      <c r="AL5132">
        <v>89.364720608066804</v>
      </c>
      <c r="AM5132">
        <v>78.955328723200594</v>
      </c>
      <c r="AN5132">
        <v>1.0000000109987901</v>
      </c>
    </row>
    <row r="5133" spans="1:40" x14ac:dyDescent="0.25">
      <c r="A5133" t="str">
        <f>"20190305135931069"</f>
        <v>20190305135931069</v>
      </c>
      <c r="B5133" t="str">
        <f>"1551765571064139"</f>
        <v>1551765571064139</v>
      </c>
      <c r="C5133" t="s">
        <v>40</v>
      </c>
      <c r="D5133">
        <v>4.0940969999999997</v>
      </c>
      <c r="E5133">
        <v>0.52574069999999995</v>
      </c>
      <c r="F5133" t="s">
        <v>43</v>
      </c>
      <c r="G5133">
        <v>-298.57249999999999</v>
      </c>
      <c r="H5133">
        <v>-0.05</v>
      </c>
      <c r="I5133">
        <v>10.291499999999999</v>
      </c>
      <c r="J5133">
        <v>-329.49669999999998</v>
      </c>
      <c r="K5133">
        <v>1.108466</v>
      </c>
      <c r="L5133">
        <v>18.62387</v>
      </c>
      <c r="M5133">
        <v>0.99989729999999999</v>
      </c>
      <c r="N5133">
        <v>-1.407828E-2</v>
      </c>
      <c r="O5133">
        <v>2.7210469999999999E-3</v>
      </c>
      <c r="P5133">
        <v>0.98176470000000005</v>
      </c>
      <c r="Q5133">
        <v>-1.7347910000000001E-3</v>
      </c>
      <c r="R5133">
        <v>-0.1900935</v>
      </c>
      <c r="S5133">
        <v>2.9051819999999999</v>
      </c>
      <c r="T5133">
        <v>-0.1082029</v>
      </c>
      <c r="U5133">
        <v>-0.77822880000000005</v>
      </c>
      <c r="V5133">
        <v>0.19279479999999999</v>
      </c>
      <c r="W5133">
        <v>1.1581940000000001E-2</v>
      </c>
      <c r="X5133">
        <v>0.98117069999999995</v>
      </c>
      <c r="Y5133">
        <v>0.26114349999999997</v>
      </c>
      <c r="Z5133">
        <v>-6.7102300000000002E-3</v>
      </c>
      <c r="AA5133">
        <v>0.96527669999999999</v>
      </c>
      <c r="AB5133">
        <v>38</v>
      </c>
      <c r="AC5133">
        <v>30.9241999999999</v>
      </c>
      <c r="AD5133">
        <v>-1.158466</v>
      </c>
      <c r="AE5133">
        <v>-8.3323699999999992</v>
      </c>
      <c r="AF5133">
        <v>8.4054961546752907</v>
      </c>
      <c r="AG5133">
        <v>-1.158466</v>
      </c>
      <c r="AH5133">
        <v>30.861032734025699</v>
      </c>
      <c r="AI5133">
        <v>92.074275743988494</v>
      </c>
      <c r="AJ5133">
        <v>74.764149234845306</v>
      </c>
      <c r="AK5133">
        <v>32.006214248017898</v>
      </c>
      <c r="AL5133">
        <v>89.336388855631597</v>
      </c>
      <c r="AM5133">
        <v>78.883313762518199</v>
      </c>
      <c r="AN5133">
        <v>0.99999995938984498</v>
      </c>
    </row>
    <row r="5134" spans="1:40" x14ac:dyDescent="0.25">
      <c r="A5134" t="str">
        <f>"20190305135931082"</f>
        <v>20190305135931082</v>
      </c>
      <c r="B5134" t="str">
        <f>"1551765571073899"</f>
        <v>1551765571073899</v>
      </c>
      <c r="C5134" t="s">
        <v>40</v>
      </c>
      <c r="D5134">
        <v>4.0540029999999998</v>
      </c>
      <c r="E5134">
        <v>0.524823699999999</v>
      </c>
      <c r="F5134" t="s">
        <v>43</v>
      </c>
      <c r="G5134">
        <v>-295.58980000000003</v>
      </c>
      <c r="H5134">
        <v>-0.05</v>
      </c>
      <c r="I5134">
        <v>9.5740049999999997</v>
      </c>
      <c r="J5134">
        <v>-329.29360000000003</v>
      </c>
      <c r="K5134">
        <v>1.108422</v>
      </c>
      <c r="L5134">
        <v>18.623899999999999</v>
      </c>
      <c r="M5134">
        <v>0.99989859999999997</v>
      </c>
      <c r="N5134">
        <v>-1.4080519999999999E-2</v>
      </c>
      <c r="O5134">
        <v>2.0992139999999999E-3</v>
      </c>
      <c r="P5134">
        <v>0.98145340000000003</v>
      </c>
      <c r="Q5134">
        <v>-1.6352420000000001E-3</v>
      </c>
      <c r="R5134">
        <v>-0.19169459999999999</v>
      </c>
      <c r="S5134">
        <v>2.9053650000000002</v>
      </c>
      <c r="T5134">
        <v>-9.9264859999999996E-2</v>
      </c>
      <c r="U5134">
        <v>-0.77545169999999997</v>
      </c>
      <c r="V5134">
        <v>0.19378670000000001</v>
      </c>
      <c r="W5134">
        <v>1.165823E-2</v>
      </c>
      <c r="X5134">
        <v>0.98097440000000002</v>
      </c>
      <c r="Y5134">
        <v>0.2597003</v>
      </c>
      <c r="Z5134">
        <v>-6.2609919999999999E-3</v>
      </c>
      <c r="AA5134">
        <v>0.965669</v>
      </c>
      <c r="AB5134">
        <v>38</v>
      </c>
      <c r="AC5134">
        <v>33.703800000000001</v>
      </c>
      <c r="AD5134">
        <v>-1.1584219999999901</v>
      </c>
      <c r="AE5134">
        <v>-9.0498949999999994</v>
      </c>
      <c r="AF5134">
        <v>9.1105946278451704</v>
      </c>
      <c r="AG5134">
        <v>-1.1584219999999901</v>
      </c>
      <c r="AH5134">
        <v>33.647649932099</v>
      </c>
      <c r="AI5134">
        <v>91.903319093727106</v>
      </c>
      <c r="AJ5134">
        <v>74.849597603296601</v>
      </c>
      <c r="AK5134">
        <v>34.878492254627098</v>
      </c>
      <c r="AL5134">
        <v>89.332017483366997</v>
      </c>
      <c r="AM5134">
        <v>78.825375949157205</v>
      </c>
      <c r="AN5134">
        <v>0.99999998643949095</v>
      </c>
    </row>
    <row r="5135" spans="1:40" x14ac:dyDescent="0.25">
      <c r="A5135" t="str">
        <f>"20190305135931096"</f>
        <v>20190305135931096</v>
      </c>
      <c r="B5135" t="str">
        <f>"1551765571084635"</f>
        <v>1551765571084635</v>
      </c>
      <c r="C5135" t="s">
        <v>40</v>
      </c>
      <c r="D5135">
        <v>4.0936399999999997</v>
      </c>
      <c r="E5135">
        <v>0.52465349999999999</v>
      </c>
      <c r="F5135" t="s">
        <v>43</v>
      </c>
      <c r="G5135">
        <v>-302.18599999999998</v>
      </c>
      <c r="H5135">
        <v>-0.05</v>
      </c>
      <c r="I5135">
        <v>11.40321</v>
      </c>
      <c r="J5135">
        <v>-329.06599999999997</v>
      </c>
      <c r="K5135">
        <v>1.1083620000000001</v>
      </c>
      <c r="L5135">
        <v>18.623750000000001</v>
      </c>
      <c r="M5135">
        <v>0.99990000000000001</v>
      </c>
      <c r="N5135">
        <v>-1.4083E-2</v>
      </c>
      <c r="O5135">
        <v>1.357069E-3</v>
      </c>
      <c r="P5135">
        <v>0.98107409999999995</v>
      </c>
      <c r="Q5135">
        <v>-2.1353050000000001E-3</v>
      </c>
      <c r="R5135">
        <v>-0.19362209999999999</v>
      </c>
      <c r="S5135">
        <v>2.9053339999999999</v>
      </c>
      <c r="T5135">
        <v>-0.124157</v>
      </c>
      <c r="U5135">
        <v>-0.77389529999999995</v>
      </c>
      <c r="V5135">
        <v>0.19498560000000001</v>
      </c>
      <c r="W5135">
        <v>1.1125639999999999E-2</v>
      </c>
      <c r="X5135">
        <v>0.98074300000000003</v>
      </c>
      <c r="Y5135">
        <v>0.258409</v>
      </c>
      <c r="Z5135">
        <v>-7.3145839999999998E-3</v>
      </c>
      <c r="AA5135">
        <v>0.96600790000000003</v>
      </c>
      <c r="AB5135">
        <v>38</v>
      </c>
      <c r="AC5135">
        <v>26.8799999999999</v>
      </c>
      <c r="AD5135">
        <v>-1.1583619999999999</v>
      </c>
      <c r="AE5135">
        <v>-7.2205399999999997</v>
      </c>
      <c r="AF5135">
        <v>7.2444668794101803</v>
      </c>
      <c r="AG5135">
        <v>-1.1583619999999999</v>
      </c>
      <c r="AH5135">
        <v>26.8237142990391</v>
      </c>
      <c r="AI5135">
        <v>92.387308585453695</v>
      </c>
      <c r="AJ5135">
        <v>74.886315749532599</v>
      </c>
      <c r="AK5135">
        <v>27.808914967801101</v>
      </c>
      <c r="AL5135">
        <v>89.362534631024403</v>
      </c>
      <c r="AM5135">
        <v>78.755412569658901</v>
      </c>
      <c r="AN5135">
        <v>0.99999999806088402</v>
      </c>
    </row>
    <row r="5136" spans="1:40" x14ac:dyDescent="0.25">
      <c r="A5136" t="str">
        <f>"20190305135931110"</f>
        <v>20190305135931110</v>
      </c>
      <c r="B5136" t="str">
        <f>"1551765571104157"</f>
        <v>1551765571104157</v>
      </c>
      <c r="C5136" t="s">
        <v>40</v>
      </c>
      <c r="D5136">
        <v>4.0690179999999998</v>
      </c>
      <c r="E5136">
        <v>0.52510769999999996</v>
      </c>
      <c r="F5136" t="s">
        <v>43</v>
      </c>
      <c r="G5136">
        <v>-304.47410000000002</v>
      </c>
      <c r="H5136">
        <v>-0.05</v>
      </c>
      <c r="I5136">
        <v>12.029339999999999</v>
      </c>
      <c r="J5136">
        <v>-328.83589999999998</v>
      </c>
      <c r="K5136">
        <v>1.1082879999999999</v>
      </c>
      <c r="L5136">
        <v>18.62332</v>
      </c>
      <c r="M5136">
        <v>0.99990080000000003</v>
      </c>
      <c r="N5136">
        <v>-1.408561E-2</v>
      </c>
      <c r="O5136">
        <v>5.3430190000000003E-4</v>
      </c>
      <c r="P5136">
        <v>0.98074720000000004</v>
      </c>
      <c r="Q5136">
        <v>-2.7557430000000002E-3</v>
      </c>
      <c r="R5136">
        <v>-0.19526360000000001</v>
      </c>
      <c r="S5136">
        <v>2.9039000000000001</v>
      </c>
      <c r="T5136">
        <v>-0.13678309999999999</v>
      </c>
      <c r="U5136">
        <v>-0.77868649999999995</v>
      </c>
      <c r="V5136">
        <v>0.19581989999999999</v>
      </c>
      <c r="W5136">
        <v>1.046859E-2</v>
      </c>
      <c r="X5136">
        <v>0.98058400000000001</v>
      </c>
      <c r="Y5136">
        <v>0.25916450000000002</v>
      </c>
      <c r="Z5136">
        <v>-7.8702349999999997E-3</v>
      </c>
      <c r="AA5136">
        <v>0.96580109999999997</v>
      </c>
      <c r="AB5136">
        <v>38</v>
      </c>
      <c r="AC5136">
        <v>24.361799999999899</v>
      </c>
      <c r="AD5136">
        <v>-1.158288</v>
      </c>
      <c r="AE5136">
        <v>-6.5939800000000002</v>
      </c>
      <c r="AF5136">
        <v>6.5931102025224897</v>
      </c>
      <c r="AG5136">
        <v>-1.158288</v>
      </c>
      <c r="AH5136">
        <v>24.3070763527849</v>
      </c>
      <c r="AI5136">
        <v>92.633206203397194</v>
      </c>
      <c r="AJ5136">
        <v>74.824097059713495</v>
      </c>
      <c r="AK5136">
        <v>25.211995043107301</v>
      </c>
      <c r="AL5136">
        <v>89.400183021112298</v>
      </c>
      <c r="AM5136">
        <v>78.706749212818494</v>
      </c>
      <c r="AN5136">
        <v>1.0000000028342899</v>
      </c>
    </row>
    <row r="5137" spans="1:40" x14ac:dyDescent="0.25">
      <c r="A5137" t="str">
        <f>"20190305135931122"</f>
        <v>20190305135931122</v>
      </c>
      <c r="B5137" t="str">
        <f>"1551765571113914"</f>
        <v>1551765571113914</v>
      </c>
      <c r="C5137" t="s">
        <v>40</v>
      </c>
      <c r="D5137">
        <v>4.020562</v>
      </c>
      <c r="E5137">
        <v>0.52543050000000002</v>
      </c>
      <c r="F5137" t="s">
        <v>43</v>
      </c>
      <c r="G5137">
        <v>-307.57690000000002</v>
      </c>
      <c r="H5137">
        <v>-0.05</v>
      </c>
      <c r="I5137">
        <v>12.85033</v>
      </c>
      <c r="J5137">
        <v>-328.62909999999999</v>
      </c>
      <c r="K5137">
        <v>1.1082190000000001</v>
      </c>
      <c r="L5137">
        <v>18.622769999999999</v>
      </c>
      <c r="M5137">
        <v>0.99990080000000003</v>
      </c>
      <c r="N5137">
        <v>-1.408798E-2</v>
      </c>
      <c r="O5137">
        <v>-2.4631879999999998E-4</v>
      </c>
      <c r="P5137">
        <v>0.98042600000000002</v>
      </c>
      <c r="Q5137">
        <v>-3.8891899999999998E-3</v>
      </c>
      <c r="R5137">
        <v>-0.19685030000000001</v>
      </c>
      <c r="S5137">
        <v>2.9015499999999999</v>
      </c>
      <c r="T5137">
        <v>-0.15809010000000001</v>
      </c>
      <c r="U5137">
        <v>-0.78793329999999995</v>
      </c>
      <c r="V5137">
        <v>0.19663929999999999</v>
      </c>
      <c r="W5137">
        <v>9.2984929999999997E-3</v>
      </c>
      <c r="X5137">
        <v>0.98043179999999996</v>
      </c>
      <c r="Y5137">
        <v>0.26136749999999997</v>
      </c>
      <c r="Z5137">
        <v>-8.8544799999999996E-3</v>
      </c>
      <c r="AA5137">
        <v>0.96519880000000002</v>
      </c>
      <c r="AB5137">
        <v>38</v>
      </c>
      <c r="AC5137">
        <v>21.0521999999999</v>
      </c>
      <c r="AD5137">
        <v>-1.1582190000000001</v>
      </c>
      <c r="AE5137">
        <v>-5.7724399999999996</v>
      </c>
      <c r="AF5137">
        <v>5.7510635703848401</v>
      </c>
      <c r="AG5137">
        <v>-1.1582190000000001</v>
      </c>
      <c r="AH5137">
        <v>20.9945183490305</v>
      </c>
      <c r="AI5137">
        <v>93.045692456904106</v>
      </c>
      <c r="AJ5137">
        <v>74.680671224382294</v>
      </c>
      <c r="AK5137">
        <v>21.798761527902101</v>
      </c>
      <c r="AL5137">
        <v>89.467227915189099</v>
      </c>
      <c r="AM5137">
        <v>78.659000278998107</v>
      </c>
      <c r="AN5137">
        <v>0.99999999536390005</v>
      </c>
    </row>
    <row r="5138" spans="1:40" x14ac:dyDescent="0.25">
      <c r="A5138" t="str">
        <f>"20190305135931138"</f>
        <v>20190305135931138</v>
      </c>
      <c r="B5138" t="str">
        <f>"1551765571134411"</f>
        <v>1551765571134411</v>
      </c>
      <c r="C5138" t="s">
        <v>40</v>
      </c>
      <c r="D5138">
        <v>4.0698480000000004</v>
      </c>
      <c r="E5138">
        <v>0.5260224</v>
      </c>
      <c r="F5138" t="s">
        <v>43</v>
      </c>
      <c r="G5138">
        <v>-308.80079999999998</v>
      </c>
      <c r="H5138">
        <v>-0.05</v>
      </c>
      <c r="I5138">
        <v>13.181839999999999</v>
      </c>
      <c r="J5138">
        <v>-328.34960000000001</v>
      </c>
      <c r="K5138">
        <v>1.1081110000000001</v>
      </c>
      <c r="L5138">
        <v>18.621729999999999</v>
      </c>
      <c r="M5138">
        <v>0.99989969999999995</v>
      </c>
      <c r="N5138">
        <v>-1.4091319999999999E-2</v>
      </c>
      <c r="O5138">
        <v>-1.39911299999999E-3</v>
      </c>
      <c r="P5138">
        <v>0.97993300000000005</v>
      </c>
      <c r="Q5138">
        <v>-6.3824260000000001E-3</v>
      </c>
      <c r="R5138">
        <v>-0.19922580000000001</v>
      </c>
      <c r="S5138">
        <v>2.8994749999999998</v>
      </c>
      <c r="T5138">
        <v>-0.169365299999999</v>
      </c>
      <c r="U5138">
        <v>-0.79562379999999999</v>
      </c>
      <c r="V5138">
        <v>0.19787879999999999</v>
      </c>
      <c r="W5138">
        <v>6.7484509999999999E-3</v>
      </c>
      <c r="X5138">
        <v>0.9802033</v>
      </c>
      <c r="Y5138">
        <v>0.26274930000000002</v>
      </c>
      <c r="Z5138">
        <v>-9.3545269999999996E-3</v>
      </c>
      <c r="AA5138">
        <v>0.96481879999999998</v>
      </c>
      <c r="AB5138">
        <v>38</v>
      </c>
      <c r="AC5138">
        <v>19.5488</v>
      </c>
      <c r="AD5138">
        <v>-1.1581109999999999</v>
      </c>
      <c r="AE5138">
        <v>-5.4398900000000001</v>
      </c>
      <c r="AF5138">
        <v>5.3949575319776404</v>
      </c>
      <c r="AG5138">
        <v>-1.1581109999999999</v>
      </c>
      <c r="AH5138">
        <v>19.492896799204399</v>
      </c>
      <c r="AI5138">
        <v>93.277143690293897</v>
      </c>
      <c r="AJ5138">
        <v>74.529757984447002</v>
      </c>
      <c r="AK5138">
        <v>20.258820634098999</v>
      </c>
      <c r="AL5138">
        <v>89.613339318166894</v>
      </c>
      <c r="AM5138">
        <v>78.586792655738094</v>
      </c>
      <c r="AN5138">
        <v>1.00000003520561</v>
      </c>
    </row>
    <row r="5139" spans="1:40" x14ac:dyDescent="0.25">
      <c r="A5139" t="str">
        <f>"20190305135931150"</f>
        <v>20190305135931150</v>
      </c>
      <c r="B5139" t="str">
        <f>"1551765571144172"</f>
        <v>1551765571144172</v>
      </c>
      <c r="C5139" t="s">
        <v>40</v>
      </c>
      <c r="D5139">
        <v>4.0772389999999996</v>
      </c>
      <c r="E5139">
        <v>0.52620069999999997</v>
      </c>
      <c r="F5139" t="s">
        <v>43</v>
      </c>
      <c r="G5139">
        <v>-310.51859999999999</v>
      </c>
      <c r="H5139">
        <v>-0.05</v>
      </c>
      <c r="I5139">
        <v>13.64894</v>
      </c>
      <c r="J5139">
        <v>-328.15890000000002</v>
      </c>
      <c r="K5139">
        <v>1.108028</v>
      </c>
      <c r="L5139">
        <v>18.62067</v>
      </c>
      <c r="M5139">
        <v>0.99989819999999996</v>
      </c>
      <c r="N5139">
        <v>-1.4093960000000001E-2</v>
      </c>
      <c r="O5139">
        <v>-2.2849699999999999E-3</v>
      </c>
      <c r="P5139">
        <v>0.97958000000000001</v>
      </c>
      <c r="Q5139">
        <v>-7.0998759999999998E-3</v>
      </c>
      <c r="R5139">
        <v>-0.2009302</v>
      </c>
      <c r="S5139">
        <v>2.8959959999999998</v>
      </c>
      <c r="T5139">
        <v>-0.1880925</v>
      </c>
      <c r="U5139">
        <v>-0.80764769999999997</v>
      </c>
      <c r="V5139">
        <v>0.19871430000000001</v>
      </c>
      <c r="W5139">
        <v>5.9874350000000002E-3</v>
      </c>
      <c r="X5139">
        <v>0.9800392</v>
      </c>
      <c r="Y5139">
        <v>0.26579449999999999</v>
      </c>
      <c r="Z5139">
        <v>-1.0258110000000001E-2</v>
      </c>
      <c r="AA5139">
        <v>0.96397509999999997</v>
      </c>
      <c r="AB5139">
        <v>38</v>
      </c>
      <c r="AC5139">
        <v>17.6403</v>
      </c>
      <c r="AD5139">
        <v>-1.1580280000000001</v>
      </c>
      <c r="AE5139">
        <v>-4.97173</v>
      </c>
      <c r="AF5139">
        <v>4.9117957778032899</v>
      </c>
      <c r="AG5139">
        <v>-1.1580280000000001</v>
      </c>
      <c r="AH5139">
        <v>17.581423843991502</v>
      </c>
      <c r="AI5139">
        <v>93.629833015071497</v>
      </c>
      <c r="AJ5139">
        <v>74.391009261868405</v>
      </c>
      <c r="AK5139">
        <v>18.291343061505899</v>
      </c>
      <c r="AL5139">
        <v>89.656943204236597</v>
      </c>
      <c r="AM5139">
        <v>78.538007220715102</v>
      </c>
      <c r="AN5139">
        <v>1.0000000279695</v>
      </c>
    </row>
    <row r="5140" spans="1:40" x14ac:dyDescent="0.25">
      <c r="A5140" t="str">
        <f>"20190305135931160"</f>
        <v>20190305135931160</v>
      </c>
      <c r="B5140" t="str">
        <f>"1551765571153931"</f>
        <v>1551765571153931</v>
      </c>
      <c r="C5140" t="s">
        <v>40</v>
      </c>
      <c r="D5140">
        <v>4.0679369999999997</v>
      </c>
      <c r="E5140">
        <v>0.52640039999999999</v>
      </c>
      <c r="F5140" t="s">
        <v>43</v>
      </c>
      <c r="G5140">
        <v>-310.78089999999997</v>
      </c>
      <c r="H5140">
        <v>-0.05</v>
      </c>
      <c r="I5140">
        <v>13.73114</v>
      </c>
      <c r="J5140">
        <v>-327.97250000000003</v>
      </c>
      <c r="K5140">
        <v>1.107947</v>
      </c>
      <c r="L5140">
        <v>18.619540000000001</v>
      </c>
      <c r="M5140">
        <v>0.99989570000000005</v>
      </c>
      <c r="N5140">
        <v>-1.409647E-2</v>
      </c>
      <c r="O5140">
        <v>-3.1730040000000001E-3</v>
      </c>
      <c r="P5140">
        <v>0.97918720000000004</v>
      </c>
      <c r="Q5140">
        <v>-7.0578569999999998E-3</v>
      </c>
      <c r="R5140">
        <v>-0.20283670000000001</v>
      </c>
      <c r="S5140">
        <v>2.8941349999999999</v>
      </c>
      <c r="T5140">
        <v>-0.1928579</v>
      </c>
      <c r="U5140">
        <v>-0.81430049999999998</v>
      </c>
      <c r="V5140">
        <v>0.19975290000000001</v>
      </c>
      <c r="W5140">
        <v>5.9836189999999999E-3</v>
      </c>
      <c r="X5140">
        <v>0.97982809999999998</v>
      </c>
      <c r="Y5140">
        <v>0.2671212</v>
      </c>
      <c r="Z5140">
        <v>-1.0479240000000001E-2</v>
      </c>
      <c r="AA5140">
        <v>0.96360590000000002</v>
      </c>
      <c r="AB5140">
        <v>38</v>
      </c>
      <c r="AC5140">
        <v>17.191600000000001</v>
      </c>
      <c r="AD5140">
        <v>-1.1579469999999901</v>
      </c>
      <c r="AE5140">
        <v>-4.8883999999999999</v>
      </c>
      <c r="AF5140">
        <v>4.81361640240128</v>
      </c>
      <c r="AG5140">
        <v>-1.1579469999999901</v>
      </c>
      <c r="AH5140">
        <v>17.135103436622199</v>
      </c>
      <c r="AI5140">
        <v>93.722365223238398</v>
      </c>
      <c r="AJ5140">
        <v>74.308813566635806</v>
      </c>
      <c r="AK5140">
        <v>17.836017321925201</v>
      </c>
      <c r="AL5140">
        <v>89.6571618615896</v>
      </c>
      <c r="AM5140">
        <v>78.477281980975604</v>
      </c>
      <c r="AN5140">
        <v>1.0000000651521701</v>
      </c>
    </row>
    <row r="5141" spans="1:40" x14ac:dyDescent="0.25">
      <c r="A5141" t="str">
        <f>"20190305135931172"</f>
        <v>20190305135931172</v>
      </c>
      <c r="B5141" t="str">
        <f>"1551765571164667"</f>
        <v>1551765571164667</v>
      </c>
      <c r="C5141" t="s">
        <v>40</v>
      </c>
      <c r="D5141">
        <v>4.0825559999999896</v>
      </c>
      <c r="E5141">
        <v>0.52655879999999999</v>
      </c>
      <c r="F5141" t="s">
        <v>43</v>
      </c>
      <c r="G5141">
        <v>-310.81180000000001</v>
      </c>
      <c r="H5141">
        <v>-0.05</v>
      </c>
      <c r="I5141">
        <v>13.7449799999999</v>
      </c>
      <c r="J5141">
        <v>-327.7518</v>
      </c>
      <c r="K5141">
        <v>1.107839</v>
      </c>
      <c r="L5141">
        <v>18.617830000000001</v>
      </c>
      <c r="M5141">
        <v>0.99989119999999998</v>
      </c>
      <c r="N5141">
        <v>-1.409973E-2</v>
      </c>
      <c r="O5141">
        <v>-4.335495E-3</v>
      </c>
      <c r="P5141">
        <v>0.97870489999999999</v>
      </c>
      <c r="Q5141">
        <v>-6.3966939999999996E-3</v>
      </c>
      <c r="R5141">
        <v>-0.2051722</v>
      </c>
      <c r="S5141">
        <v>2.8921809999999999</v>
      </c>
      <c r="T5141">
        <v>-0.19515479999999999</v>
      </c>
      <c r="U5141">
        <v>-0.82153319999999996</v>
      </c>
      <c r="V5141">
        <v>0.20095579999999999</v>
      </c>
      <c r="W5141">
        <v>6.5848999999999899E-3</v>
      </c>
      <c r="X5141">
        <v>0.97957819999999995</v>
      </c>
      <c r="Y5141">
        <v>0.26838519999999999</v>
      </c>
      <c r="Z5141">
        <v>-1.0574429999999999E-2</v>
      </c>
      <c r="AA5141">
        <v>0.96325360000000004</v>
      </c>
      <c r="AB5141">
        <v>38</v>
      </c>
      <c r="AC5141">
        <v>16.939999999999898</v>
      </c>
      <c r="AD5141">
        <v>-1.1578389999999901</v>
      </c>
      <c r="AE5141">
        <v>-4.8728499999999997</v>
      </c>
      <c r="AF5141">
        <v>4.7787351349883496</v>
      </c>
      <c r="AG5141">
        <v>-1.1578389999999901</v>
      </c>
      <c r="AH5141">
        <v>16.888103164818499</v>
      </c>
      <c r="AI5141">
        <v>93.7742908817374</v>
      </c>
      <c r="AJ5141">
        <v>74.200365520835206</v>
      </c>
      <c r="AK5141">
        <v>17.589341350540799</v>
      </c>
      <c r="AL5141">
        <v>89.622710303218298</v>
      </c>
      <c r="AM5141">
        <v>78.406888254262896</v>
      </c>
      <c r="AN5141">
        <v>1.00000002218844</v>
      </c>
    </row>
    <row r="5142" spans="1:40" x14ac:dyDescent="0.25">
      <c r="A5142" t="str">
        <f>"20190305135931183"</f>
        <v>20190305135931183</v>
      </c>
      <c r="B5142" t="str">
        <f>"1551765571174427"</f>
        <v>1551765571174427</v>
      </c>
      <c r="C5142" t="s">
        <v>40</v>
      </c>
      <c r="D5142">
        <v>4.0973810000000004</v>
      </c>
      <c r="E5142">
        <v>0.52669029999999994</v>
      </c>
      <c r="F5142" t="s">
        <v>43</v>
      </c>
      <c r="G5142">
        <v>-310.62979999999999</v>
      </c>
      <c r="H5142">
        <v>-0.05</v>
      </c>
      <c r="I5142">
        <v>13.70209</v>
      </c>
      <c r="J5142">
        <v>-327.57650000000001</v>
      </c>
      <c r="K5142">
        <v>1.1077490000000001</v>
      </c>
      <c r="L5142">
        <v>18.616240000000001</v>
      </c>
      <c r="M5142">
        <v>0.99988639999999995</v>
      </c>
      <c r="N5142">
        <v>-1.410252E-2</v>
      </c>
      <c r="O5142">
        <v>-5.3152009999999899E-3</v>
      </c>
      <c r="P5142">
        <v>0.97825740000000005</v>
      </c>
      <c r="Q5142">
        <v>-5.7835430000000004E-3</v>
      </c>
      <c r="R5142">
        <v>-0.20731459999999999</v>
      </c>
      <c r="S5142">
        <v>2.8900760000000001</v>
      </c>
      <c r="T5142">
        <v>-0.19543559999999999</v>
      </c>
      <c r="U5142">
        <v>-0.82974239999999999</v>
      </c>
      <c r="V5142">
        <v>0.2021445</v>
      </c>
      <c r="W5142">
        <v>7.1461229999999999E-3</v>
      </c>
      <c r="X5142">
        <v>0.97932960000000002</v>
      </c>
      <c r="Y5142">
        <v>0.2701498</v>
      </c>
      <c r="Z5142">
        <v>-1.061044E-2</v>
      </c>
      <c r="AA5142">
        <v>0.9627599</v>
      </c>
      <c r="AB5142">
        <v>38</v>
      </c>
      <c r="AC5142">
        <v>16.9467</v>
      </c>
      <c r="AD5142">
        <v>-1.1577489999999999</v>
      </c>
      <c r="AE5142">
        <v>-4.9141499999999896</v>
      </c>
      <c r="AF5142">
        <v>4.8033171911898203</v>
      </c>
      <c r="AG5142">
        <v>-1.1577489999999999</v>
      </c>
      <c r="AH5142">
        <v>16.899825520807301</v>
      </c>
      <c r="AI5142">
        <v>93.770146294091901</v>
      </c>
      <c r="AJ5142">
        <v>74.133636940801296</v>
      </c>
      <c r="AK5142">
        <v>17.607280920684801</v>
      </c>
      <c r="AL5142">
        <v>89.590553813252299</v>
      </c>
      <c r="AM5142">
        <v>78.337305975239204</v>
      </c>
      <c r="AN5142">
        <v>0.99999996569517002</v>
      </c>
    </row>
    <row r="5143" spans="1:40" x14ac:dyDescent="0.25">
      <c r="A5143" t="str">
        <f>"20190305135931193"</f>
        <v>20190305135931193</v>
      </c>
      <c r="B5143" t="str">
        <f>"1551765571184188"</f>
        <v>1551765571184188</v>
      </c>
      <c r="C5143" t="s">
        <v>40</v>
      </c>
      <c r="D5143">
        <v>4.1190040000000003</v>
      </c>
      <c r="E5143">
        <v>0.52685479999999996</v>
      </c>
      <c r="F5143" t="s">
        <v>43</v>
      </c>
      <c r="G5143">
        <v>-310.56849999999997</v>
      </c>
      <c r="H5143">
        <v>-0.05</v>
      </c>
      <c r="I5143">
        <v>13.68661</v>
      </c>
      <c r="J5143">
        <v>-327.39640000000003</v>
      </c>
      <c r="K5143">
        <v>1.1076569999999999</v>
      </c>
      <c r="L5143">
        <v>18.614439999999998</v>
      </c>
      <c r="M5143">
        <v>0.99988030000000006</v>
      </c>
      <c r="N5143">
        <v>-1.410555E-2</v>
      </c>
      <c r="O5143">
        <v>-6.3735099999999998E-3</v>
      </c>
      <c r="P5143">
        <v>0.97773659999999996</v>
      </c>
      <c r="Q5143">
        <v>-4.7116470000000002E-3</v>
      </c>
      <c r="R5143">
        <v>-0.2097841</v>
      </c>
      <c r="S5143">
        <v>2.8881230000000002</v>
      </c>
      <c r="T5143">
        <v>-0.1965971</v>
      </c>
      <c r="U5143">
        <v>-0.83709719999999999</v>
      </c>
      <c r="V5143">
        <v>0.2035872</v>
      </c>
      <c r="W5143">
        <v>8.1612799999999999E-3</v>
      </c>
      <c r="X5143">
        <v>0.97902279999999997</v>
      </c>
      <c r="Y5143">
        <v>0.27155659999999998</v>
      </c>
      <c r="Z5143">
        <v>-1.066628E-2</v>
      </c>
      <c r="AA5143">
        <v>0.96236339999999998</v>
      </c>
      <c r="AB5143">
        <v>38</v>
      </c>
      <c r="AC5143">
        <v>16.8279</v>
      </c>
      <c r="AD5143">
        <v>-1.1576569999999999</v>
      </c>
      <c r="AE5143">
        <v>-4.9278299999999904</v>
      </c>
      <c r="AF5143">
        <v>4.7995460931099103</v>
      </c>
      <c r="AG5143">
        <v>-1.1576569999999999</v>
      </c>
      <c r="AH5143">
        <v>16.785802576306001</v>
      </c>
      <c r="AI5143">
        <v>93.793679113779206</v>
      </c>
      <c r="AJ5143">
        <v>74.043236203350801</v>
      </c>
      <c r="AK5143">
        <v>17.496827728484199</v>
      </c>
      <c r="AL5143">
        <v>89.532387908872906</v>
      </c>
      <c r="AM5143">
        <v>78.2527956104759</v>
      </c>
      <c r="AN5143">
        <v>0.99999999870745904</v>
      </c>
    </row>
    <row r="5144" spans="1:40" x14ac:dyDescent="0.25">
      <c r="A5144" t="str">
        <f>"20190305135931203"</f>
        <v>20190305135931203</v>
      </c>
      <c r="B5144" t="str">
        <f>"1551765571193948"</f>
        <v>1551765571193948</v>
      </c>
      <c r="C5144" t="s">
        <v>40</v>
      </c>
      <c r="D5144">
        <v>4.1406640000000001</v>
      </c>
      <c r="E5144">
        <v>0.52685479999999996</v>
      </c>
      <c r="F5144" t="s">
        <v>43</v>
      </c>
      <c r="G5144">
        <v>-310.36290000000002</v>
      </c>
      <c r="H5144">
        <v>-0.05</v>
      </c>
      <c r="I5144">
        <v>13.6238299999999</v>
      </c>
      <c r="J5144">
        <v>-327.2296</v>
      </c>
      <c r="K5144">
        <v>1.1075699999999999</v>
      </c>
      <c r="L5144">
        <v>18.612490000000001</v>
      </c>
      <c r="M5144">
        <v>0.99987300000000001</v>
      </c>
      <c r="N5144">
        <v>-1.4108539999999999E-2</v>
      </c>
      <c r="O5144">
        <v>-7.4167399999999998E-3</v>
      </c>
      <c r="P5144">
        <v>0.97720130000000005</v>
      </c>
      <c r="Q5144">
        <v>-3.210362E-3</v>
      </c>
      <c r="R5144">
        <v>-0.21229139999999999</v>
      </c>
      <c r="S5144">
        <v>2.8859560000000002</v>
      </c>
      <c r="T5144">
        <v>-0.19613990000000001</v>
      </c>
      <c r="U5144">
        <v>-0.84555049999999898</v>
      </c>
      <c r="V5144">
        <v>0.20508589999999999</v>
      </c>
      <c r="W5144">
        <v>9.6065160000000007E-3</v>
      </c>
      <c r="X5144">
        <v>0.97869680000000003</v>
      </c>
      <c r="Y5144">
        <v>0.2733428</v>
      </c>
      <c r="Z5144">
        <v>-1.066756E-2</v>
      </c>
      <c r="AA5144">
        <v>0.96185759999999998</v>
      </c>
      <c r="AB5144">
        <v>38</v>
      </c>
      <c r="AC5144">
        <v>16.866699999999899</v>
      </c>
      <c r="AD5144">
        <v>-1.15757</v>
      </c>
      <c r="AE5144">
        <v>-4.9886600000000003</v>
      </c>
      <c r="AF5144">
        <v>4.8424405731171598</v>
      </c>
      <c r="AG5144">
        <v>-1.15757</v>
      </c>
      <c r="AH5144">
        <v>16.8303428773958</v>
      </c>
      <c r="AI5144">
        <v>93.781593980200896</v>
      </c>
      <c r="AJ5144">
        <v>73.948369622908501</v>
      </c>
      <c r="AK5144">
        <v>17.5513429793785</v>
      </c>
      <c r="AL5144">
        <v>89.449578694099401</v>
      </c>
      <c r="AM5144">
        <v>78.164918013904696</v>
      </c>
      <c r="AN5144">
        <v>0.99999996892935294</v>
      </c>
    </row>
    <row r="5145" spans="1:40" x14ac:dyDescent="0.25">
      <c r="A5145" t="str">
        <f>"20190305135931214"</f>
        <v>20190305135931214</v>
      </c>
      <c r="B5145" t="str">
        <f>"1551765571204684"</f>
        <v>1551765571204684</v>
      </c>
      <c r="C5145" t="s">
        <v>40</v>
      </c>
      <c r="D5145">
        <v>4.0902629999999904</v>
      </c>
      <c r="E5145">
        <v>0.52697439999999995</v>
      </c>
      <c r="F5145" t="s">
        <v>43</v>
      </c>
      <c r="G5145">
        <v>-309.82819999999998</v>
      </c>
      <c r="H5145">
        <v>-0.05</v>
      </c>
      <c r="I5145">
        <v>13.466570000000001</v>
      </c>
      <c r="J5145">
        <v>-327.04809999999998</v>
      </c>
      <c r="K5145">
        <v>1.1074729999999999</v>
      </c>
      <c r="L5145">
        <v>18.610230000000001</v>
      </c>
      <c r="M5145">
        <v>0.99986359999999996</v>
      </c>
      <c r="N5145">
        <v>-1.411184E-2</v>
      </c>
      <c r="O5145">
        <v>-8.5991319999999902E-3</v>
      </c>
      <c r="P5145">
        <v>0.97668949999999999</v>
      </c>
      <c r="Q5145">
        <v>-1.7325859999999999E-3</v>
      </c>
      <c r="R5145">
        <v>-0.21465110000000001</v>
      </c>
      <c r="S5145">
        <v>2.8840940000000002</v>
      </c>
      <c r="T5145">
        <v>-0.19185389999999999</v>
      </c>
      <c r="U5145">
        <v>-0.85287479999999904</v>
      </c>
      <c r="V5145">
        <v>0.2063025</v>
      </c>
      <c r="W5145">
        <v>1.1024549999999999E-2</v>
      </c>
      <c r="X5145">
        <v>0.97842620000000002</v>
      </c>
      <c r="Y5145">
        <v>0.2746459</v>
      </c>
      <c r="Z5145">
        <v>-1.04747E-2</v>
      </c>
      <c r="AA5145">
        <v>0.96148840000000002</v>
      </c>
      <c r="AB5145">
        <v>38</v>
      </c>
      <c r="AC5145">
        <v>17.2198999999999</v>
      </c>
      <c r="AD5145">
        <v>-1.157473</v>
      </c>
      <c r="AE5145">
        <v>-5.1436599999999899</v>
      </c>
      <c r="AF5145">
        <v>4.9747434224690101</v>
      </c>
      <c r="AG5145">
        <v>-1.157473</v>
      </c>
      <c r="AH5145">
        <v>17.1921847012838</v>
      </c>
      <c r="AI5145">
        <v>93.700305395882793</v>
      </c>
      <c r="AJ5145">
        <v>73.861631879726204</v>
      </c>
      <c r="AK5145">
        <v>17.934855189495799</v>
      </c>
      <c r="AL5145">
        <v>89.368327046625097</v>
      </c>
      <c r="AM5145">
        <v>78.093509577839001</v>
      </c>
      <c r="AN5145">
        <v>1.0000000455276901</v>
      </c>
    </row>
    <row r="5146" spans="1:40" x14ac:dyDescent="0.25">
      <c r="A5146" t="str">
        <f>"20190305135931225"</f>
        <v>20190305135931225</v>
      </c>
      <c r="B5146" t="str">
        <f>"1551765571214444"</f>
        <v>1551765571214444</v>
      </c>
      <c r="C5146" t="s">
        <v>40</v>
      </c>
      <c r="D5146">
        <v>4.0983859999999996</v>
      </c>
      <c r="E5146">
        <v>0.52709280000000003</v>
      </c>
      <c r="F5146" t="s">
        <v>43</v>
      </c>
      <c r="G5146">
        <v>-309.40460000000002</v>
      </c>
      <c r="H5146">
        <v>-0.05</v>
      </c>
      <c r="I5146">
        <v>13.339969999999999</v>
      </c>
      <c r="J5146">
        <v>-326.86880000000002</v>
      </c>
      <c r="K5146">
        <v>1.107375</v>
      </c>
      <c r="L5146">
        <v>18.607669999999999</v>
      </c>
      <c r="M5146">
        <v>0.99985190000000002</v>
      </c>
      <c r="N5146">
        <v>-1.41154E-2</v>
      </c>
      <c r="O5146">
        <v>-9.8422600000000002E-3</v>
      </c>
      <c r="P5146">
        <v>0.97613139999999998</v>
      </c>
      <c r="Q5146">
        <v>-4.0734560000000003E-4</v>
      </c>
      <c r="R5146">
        <v>-0.21718109999999999</v>
      </c>
      <c r="S5146">
        <v>2.8820800000000002</v>
      </c>
      <c r="T5146">
        <v>-0.18907389999999999</v>
      </c>
      <c r="U5146">
        <v>-0.86090089999999997</v>
      </c>
      <c r="V5146">
        <v>0.20763090000000001</v>
      </c>
      <c r="W5146">
        <v>1.228809E-2</v>
      </c>
      <c r="X5146">
        <v>0.97813000000000005</v>
      </c>
      <c r="Y5146">
        <v>0.27610839999999998</v>
      </c>
      <c r="Z5146">
        <v>-1.035208E-2</v>
      </c>
      <c r="AA5146">
        <v>0.9610708</v>
      </c>
      <c r="AB5146">
        <v>38</v>
      </c>
      <c r="AC5146">
        <v>17.464200000000002</v>
      </c>
      <c r="AD5146">
        <v>-1.157375</v>
      </c>
      <c r="AE5146">
        <v>-5.2676999999999996</v>
      </c>
      <c r="AF5146">
        <v>5.0751099456384798</v>
      </c>
      <c r="AG5146">
        <v>-1.157375</v>
      </c>
      <c r="AH5146">
        <v>17.444978102589499</v>
      </c>
      <c r="AI5146">
        <v>93.645004346484797</v>
      </c>
      <c r="AJ5146">
        <v>73.779178807075795</v>
      </c>
      <c r="AK5146">
        <v>18.205041028538499</v>
      </c>
      <c r="AL5146">
        <v>89.295926544522601</v>
      </c>
      <c r="AM5146">
        <v>78.015528069967203</v>
      </c>
      <c r="AN5146">
        <v>0.99999994234532696</v>
      </c>
    </row>
    <row r="5147" spans="1:40" x14ac:dyDescent="0.25">
      <c r="A5147" t="str">
        <f>"20190305135931237"</f>
        <v>20190305135931237</v>
      </c>
      <c r="B5147" t="str">
        <f>"1551765571233963"</f>
        <v>1551765571233963</v>
      </c>
      <c r="C5147" t="s">
        <v>40</v>
      </c>
      <c r="D5147">
        <v>4.099151</v>
      </c>
      <c r="E5147">
        <v>0.52731079999999997</v>
      </c>
      <c r="F5147" t="s">
        <v>43</v>
      </c>
      <c r="G5147">
        <v>-308.9649</v>
      </c>
      <c r="H5147">
        <v>-0.05</v>
      </c>
      <c r="I5147">
        <v>13.20241</v>
      </c>
      <c r="J5147">
        <v>-326.65550000000002</v>
      </c>
      <c r="K5147">
        <v>1.107248</v>
      </c>
      <c r="L5147">
        <v>18.604369999999999</v>
      </c>
      <c r="M5147">
        <v>0.99983569999999999</v>
      </c>
      <c r="N5147">
        <v>-1.411953E-2</v>
      </c>
      <c r="O5147">
        <v>-1.136417E-2</v>
      </c>
      <c r="P5147">
        <v>0.97564450000000003</v>
      </c>
      <c r="Q5147">
        <v>8.3451350000000001E-4</v>
      </c>
      <c r="R5147">
        <v>-0.21935589999999999</v>
      </c>
      <c r="S5147">
        <v>2.879883</v>
      </c>
      <c r="T5147">
        <v>-0.1861662</v>
      </c>
      <c r="U5147">
        <v>-0.86944580000000005</v>
      </c>
      <c r="V5147">
        <v>0.20833299999999999</v>
      </c>
      <c r="W5147">
        <v>1.3462440000000001E-2</v>
      </c>
      <c r="X5147">
        <v>0.97796530000000004</v>
      </c>
      <c r="Y5147">
        <v>0.27747830000000001</v>
      </c>
      <c r="Z5147">
        <v>-1.0207890000000001E-2</v>
      </c>
      <c r="AA5147">
        <v>0.96067769999999997</v>
      </c>
      <c r="AB5147">
        <v>38</v>
      </c>
      <c r="AC5147">
        <v>17.6906</v>
      </c>
      <c r="AD5147">
        <v>-1.1572480000000001</v>
      </c>
      <c r="AE5147">
        <v>-5.4019599999999901</v>
      </c>
      <c r="AF5147">
        <v>5.1802750652148903</v>
      </c>
      <c r="AG5147">
        <v>-1.1572480000000001</v>
      </c>
      <c r="AH5147">
        <v>17.681641585362399</v>
      </c>
      <c r="AI5147">
        <v>93.593971311996299</v>
      </c>
      <c r="AJ5147">
        <v>73.670746227005907</v>
      </c>
      <c r="AK5147">
        <v>18.461173360271701</v>
      </c>
      <c r="AL5147">
        <v>89.228635706473199</v>
      </c>
      <c r="AM5147">
        <v>77.974214274028498</v>
      </c>
      <c r="AN5147">
        <v>1.00000000209192</v>
      </c>
    </row>
    <row r="5148" spans="1:40" x14ac:dyDescent="0.25">
      <c r="A5148" t="str">
        <f>"20190305135931250"</f>
        <v>20190305135931250</v>
      </c>
      <c r="B5148" t="str">
        <f>"1551765571244699"</f>
        <v>1551765571244699</v>
      </c>
      <c r="C5148" t="s">
        <v>40</v>
      </c>
      <c r="D5148">
        <v>4.1014359999999996</v>
      </c>
      <c r="E5148">
        <v>0.52745229999999999</v>
      </c>
      <c r="F5148" t="s">
        <v>43</v>
      </c>
      <c r="G5148">
        <v>-308.65660000000003</v>
      </c>
      <c r="H5148">
        <v>-0.05</v>
      </c>
      <c r="I5148">
        <v>13.1134</v>
      </c>
      <c r="J5148">
        <v>-326.46289999999999</v>
      </c>
      <c r="K5148">
        <v>1.1071299999999999</v>
      </c>
      <c r="L5148">
        <v>18.600860000000001</v>
      </c>
      <c r="M5148">
        <v>0.99981779999999998</v>
      </c>
      <c r="N5148">
        <v>-1.412361E-2</v>
      </c>
      <c r="O5148">
        <v>-1.28491E-2</v>
      </c>
      <c r="P5148">
        <v>0.97506859999999995</v>
      </c>
      <c r="Q5148">
        <v>1.199545E-3</v>
      </c>
      <c r="R5148">
        <v>-0.2219016</v>
      </c>
      <c r="S5148">
        <v>2.8776860000000002</v>
      </c>
      <c r="T5148">
        <v>-0.18502189999999999</v>
      </c>
      <c r="U5148">
        <v>-0.87789919999999999</v>
      </c>
      <c r="V5148">
        <v>0.20943880000000001</v>
      </c>
      <c r="W5148">
        <v>1.376282E-2</v>
      </c>
      <c r="X5148">
        <v>0.97772490000000001</v>
      </c>
      <c r="Y5148">
        <v>0.27884350000000002</v>
      </c>
      <c r="Z5148">
        <v>-1.01425E-2</v>
      </c>
      <c r="AA5148">
        <v>0.960283</v>
      </c>
      <c r="AB5148">
        <v>38</v>
      </c>
      <c r="AC5148">
        <v>17.806299999999901</v>
      </c>
      <c r="AD5148">
        <v>-1.15713</v>
      </c>
      <c r="AE5148">
        <v>-5.4874599999999996</v>
      </c>
      <c r="AF5148">
        <v>5.2379879157061904</v>
      </c>
      <c r="AG5148">
        <v>-1.15713</v>
      </c>
      <c r="AH5148">
        <v>17.8066710054939</v>
      </c>
      <c r="AI5148">
        <v>93.567300012900006</v>
      </c>
      <c r="AJ5148">
        <v>73.608292667297206</v>
      </c>
      <c r="AK5148">
        <v>18.5971234211069</v>
      </c>
      <c r="AL5148">
        <v>89.211423606198096</v>
      </c>
      <c r="AM5148">
        <v>77.909371078678902</v>
      </c>
      <c r="AN5148">
        <v>1.0000000031198999</v>
      </c>
    </row>
    <row r="5149" spans="1:40" x14ac:dyDescent="0.25">
      <c r="A5149" t="str">
        <f>"20190305135931263"</f>
        <v>20190305135931263</v>
      </c>
      <c r="B5149" t="str">
        <f>"1551765571254459"</f>
        <v>1551765571254459</v>
      </c>
      <c r="C5149" t="s">
        <v>40</v>
      </c>
      <c r="D5149">
        <v>4.1356460000000004</v>
      </c>
      <c r="E5149">
        <v>0.52773619999999899</v>
      </c>
      <c r="F5149" t="s">
        <v>43</v>
      </c>
      <c r="G5149">
        <v>-308.5086</v>
      </c>
      <c r="H5149">
        <v>-0.05</v>
      </c>
      <c r="I5149">
        <v>13.064209999999999</v>
      </c>
      <c r="J5149">
        <v>-326.2346</v>
      </c>
      <c r="K5149">
        <v>1.106995</v>
      </c>
      <c r="L5149">
        <v>18.59647</v>
      </c>
      <c r="M5149">
        <v>0.99979280000000004</v>
      </c>
      <c r="N5149">
        <v>-1.4128140000000001E-2</v>
      </c>
      <c r="O5149">
        <v>-1.4653070000000001E-2</v>
      </c>
      <c r="P5149">
        <v>0.97443199999999996</v>
      </c>
      <c r="Q5149">
        <v>1.2345539999999999E-3</v>
      </c>
      <c r="R5149">
        <v>-0.2246794</v>
      </c>
      <c r="S5149">
        <v>2.8751530000000001</v>
      </c>
      <c r="T5149">
        <v>-0.1853002</v>
      </c>
      <c r="U5149">
        <v>-0.88662719999999995</v>
      </c>
      <c r="V5149">
        <v>0.21046580000000001</v>
      </c>
      <c r="W5149">
        <v>1.372372E-2</v>
      </c>
      <c r="X5149">
        <v>0.97750490000000001</v>
      </c>
      <c r="Y5149">
        <v>0.2800086</v>
      </c>
      <c r="Z5149">
        <v>-1.0115829999999999E-2</v>
      </c>
      <c r="AA5149">
        <v>0.95994420000000003</v>
      </c>
      <c r="AB5149">
        <v>38</v>
      </c>
      <c r="AC5149">
        <v>17.725999999999999</v>
      </c>
      <c r="AD5149">
        <v>-1.156995</v>
      </c>
      <c r="AE5149">
        <v>-5.5322599999999902</v>
      </c>
      <c r="AF5149">
        <v>5.2515124229108796</v>
      </c>
      <c r="AG5149">
        <v>-1.156995</v>
      </c>
      <c r="AH5149">
        <v>17.7363138576161</v>
      </c>
      <c r="AI5149">
        <v>93.579127083464101</v>
      </c>
      <c r="AJ5149">
        <v>73.506602456831502</v>
      </c>
      <c r="AK5149">
        <v>18.5335870627863</v>
      </c>
      <c r="AL5149">
        <v>89.213664089351795</v>
      </c>
      <c r="AM5149">
        <v>77.849187673060698</v>
      </c>
      <c r="AN5149">
        <v>1.0000000114921399</v>
      </c>
    </row>
    <row r="5150" spans="1:40" x14ac:dyDescent="0.25">
      <c r="A5150" t="str">
        <f>"20190305135931274"</f>
        <v>20190305135931274</v>
      </c>
      <c r="B5150" t="str">
        <f>"1551765571264219"</f>
        <v>1551765571264219</v>
      </c>
      <c r="C5150" t="s">
        <v>40</v>
      </c>
      <c r="D5150">
        <v>4.4456850000000001</v>
      </c>
      <c r="E5150">
        <v>0.52773619999999899</v>
      </c>
      <c r="F5150" t="s">
        <v>43</v>
      </c>
      <c r="G5150">
        <v>-308.39789999999999</v>
      </c>
      <c r="H5150">
        <v>-0.05</v>
      </c>
      <c r="I5150">
        <v>13.02454</v>
      </c>
      <c r="J5150">
        <v>-326.02600000000001</v>
      </c>
      <c r="K5150">
        <v>1.1068750000000001</v>
      </c>
      <c r="L5150">
        <v>18.592009999999998</v>
      </c>
      <c r="M5150">
        <v>0.99976609999999999</v>
      </c>
      <c r="N5150">
        <v>-1.4132199999999999E-2</v>
      </c>
      <c r="O5150">
        <v>-1.637566E-2</v>
      </c>
      <c r="P5150">
        <v>0.97373589999999999</v>
      </c>
      <c r="Q5150">
        <v>1.8435979999999999E-3</v>
      </c>
      <c r="R5150">
        <v>-0.2276744</v>
      </c>
      <c r="S5150">
        <v>2.8720400000000001</v>
      </c>
      <c r="T5150">
        <v>-0.18629799999999999</v>
      </c>
      <c r="U5150">
        <v>-0.89718629999999999</v>
      </c>
      <c r="V5150">
        <v>0.21179480000000001</v>
      </c>
      <c r="W5150">
        <v>1.4262499999999999E-2</v>
      </c>
      <c r="X5150">
        <v>0.97721000000000002</v>
      </c>
      <c r="Y5150">
        <v>0.28185710000000003</v>
      </c>
      <c r="Z5150">
        <v>-1.0150660000000001E-2</v>
      </c>
      <c r="AA5150">
        <v>0.95940270000000005</v>
      </c>
      <c r="AB5150">
        <v>38</v>
      </c>
      <c r="AC5150">
        <v>17.6281</v>
      </c>
      <c r="AD5150">
        <v>-1.1568750000000001</v>
      </c>
      <c r="AE5150">
        <v>-5.5674700000000001</v>
      </c>
      <c r="AF5150">
        <v>5.2574333857673397</v>
      </c>
      <c r="AG5150">
        <v>-1.1568750000000001</v>
      </c>
      <c r="AH5150">
        <v>17.6478029442398</v>
      </c>
      <c r="AI5150">
        <v>93.594876846913095</v>
      </c>
      <c r="AJ5150">
        <v>73.410749920293597</v>
      </c>
      <c r="AK5150">
        <v>18.450580325022901</v>
      </c>
      <c r="AL5150">
        <v>89.182791171892404</v>
      </c>
      <c r="AM5150">
        <v>77.771183046338805</v>
      </c>
      <c r="AN5150">
        <v>0.99999992015664096</v>
      </c>
    </row>
    <row r="5151" spans="1:40" x14ac:dyDescent="0.25">
      <c r="A5151" t="str">
        <f>"20190305135931288"</f>
        <v>20190305135931288</v>
      </c>
      <c r="B5151" t="str">
        <f>"1551765571284716"</f>
        <v>1551765571284716</v>
      </c>
      <c r="C5151" t="s">
        <v>40</v>
      </c>
      <c r="D5151">
        <v>4.2201309999999896</v>
      </c>
      <c r="E5151">
        <v>0.53091899999999903</v>
      </c>
      <c r="F5151" t="s">
        <v>43</v>
      </c>
      <c r="G5151">
        <v>-308.02030000000002</v>
      </c>
      <c r="H5151">
        <v>-0.05</v>
      </c>
      <c r="I5151">
        <v>12.906219999999999</v>
      </c>
      <c r="J5151">
        <v>-325.81490000000002</v>
      </c>
      <c r="K5151">
        <v>1.1067709999999999</v>
      </c>
      <c r="L5151">
        <v>18.586980000000001</v>
      </c>
      <c r="M5151">
        <v>0.99973469999999998</v>
      </c>
      <c r="N5151">
        <v>-1.413612E-2</v>
      </c>
      <c r="O5151">
        <v>-1.818968E-2</v>
      </c>
      <c r="P5151">
        <v>0.97291660000000002</v>
      </c>
      <c r="Q5151">
        <v>2.9945190000000002E-3</v>
      </c>
      <c r="R5151">
        <v>-0.2311375</v>
      </c>
      <c r="S5151">
        <v>2.869415</v>
      </c>
      <c r="T5151">
        <v>-0.18436130000000001</v>
      </c>
      <c r="U5151">
        <v>-0.90609740000000005</v>
      </c>
      <c r="V5151">
        <v>0.21351059999999999</v>
      </c>
      <c r="W5151">
        <v>1.5341459999999999E-2</v>
      </c>
      <c r="X5151">
        <v>0.97682029999999997</v>
      </c>
      <c r="Y5151">
        <v>0.28308850000000002</v>
      </c>
      <c r="Z5151">
        <v>-1.0032620000000001E-2</v>
      </c>
      <c r="AA5151">
        <v>0.95904129999999999</v>
      </c>
      <c r="AB5151">
        <v>38</v>
      </c>
      <c r="AC5151">
        <v>17.794599999999999</v>
      </c>
      <c r="AD5151">
        <v>-1.156771</v>
      </c>
      <c r="AE5151">
        <v>-5.6807600000000003</v>
      </c>
      <c r="AF5151">
        <v>5.3356471124926896</v>
      </c>
      <c r="AG5151">
        <v>-1.156771</v>
      </c>
      <c r="AH5151">
        <v>17.826630972453898</v>
      </c>
      <c r="AI5151">
        <v>93.557227711585298</v>
      </c>
      <c r="AJ5151">
        <v>73.337155768664601</v>
      </c>
      <c r="AK5151">
        <v>18.643927190469999</v>
      </c>
      <c r="AL5151">
        <v>89.120964621917196</v>
      </c>
      <c r="AM5151">
        <v>77.670364223205794</v>
      </c>
      <c r="AN5151">
        <v>1.0000000175996899</v>
      </c>
    </row>
    <row r="5152" spans="1:40" x14ac:dyDescent="0.25">
      <c r="A5152" t="str">
        <f>"20190305135931303"</f>
        <v>20190305135931303</v>
      </c>
      <c r="B5152" t="str">
        <f>"1551765571294477"</f>
        <v>1551765571294477</v>
      </c>
      <c r="C5152" t="s">
        <v>40</v>
      </c>
      <c r="D5152">
        <v>4.1904979999999998</v>
      </c>
      <c r="E5152">
        <v>0.63710869999999997</v>
      </c>
      <c r="F5152" t="s">
        <v>43</v>
      </c>
      <c r="G5152">
        <v>-307.56240000000003</v>
      </c>
      <c r="H5152">
        <v>-0.05</v>
      </c>
      <c r="I5152">
        <v>12.58173</v>
      </c>
      <c r="J5152">
        <v>-325.5598</v>
      </c>
      <c r="K5152">
        <v>1.106649</v>
      </c>
      <c r="L5152">
        <v>18.58051</v>
      </c>
      <c r="M5152">
        <v>0.9996912</v>
      </c>
      <c r="N5152">
        <v>-1.4140369999999999E-2</v>
      </c>
      <c r="O5152">
        <v>-2.0438060000000001E-2</v>
      </c>
      <c r="P5152">
        <v>0.97177959999999997</v>
      </c>
      <c r="Q5152">
        <v>6.8270939999999997E-3</v>
      </c>
      <c r="R5152">
        <v>-0.2357918</v>
      </c>
      <c r="S5152">
        <v>2.8605040000000002</v>
      </c>
      <c r="T5152">
        <v>-0.18128759999999999</v>
      </c>
      <c r="U5152">
        <v>-0.94113159999999896</v>
      </c>
      <c r="V5152">
        <v>0.21602180000000001</v>
      </c>
      <c r="W5152">
        <v>1.9084549999999999E-2</v>
      </c>
      <c r="X5152">
        <v>0.97620200000000001</v>
      </c>
      <c r="Y5152">
        <v>0.29241209999999901</v>
      </c>
      <c r="Z5152">
        <v>-1.016443E-2</v>
      </c>
      <c r="AA5152">
        <v>0.95623840000000004</v>
      </c>
      <c r="AB5152">
        <v>38</v>
      </c>
      <c r="AC5152">
        <v>17.997399999999899</v>
      </c>
      <c r="AD5152">
        <v>-1.156649</v>
      </c>
      <c r="AE5152">
        <v>-5.99878</v>
      </c>
      <c r="AF5152">
        <v>5.6088082414141098</v>
      </c>
      <c r="AG5152">
        <v>-1.156649</v>
      </c>
      <c r="AH5152">
        <v>18.049160935733799</v>
      </c>
      <c r="AI5152">
        <v>93.501937705850096</v>
      </c>
      <c r="AJ5152">
        <v>72.737276695076105</v>
      </c>
      <c r="AK5152">
        <v>18.935912369943399</v>
      </c>
      <c r="AL5152">
        <v>88.906469433947706</v>
      </c>
      <c r="AM5152">
        <v>77.522209782237297</v>
      </c>
      <c r="AN5152">
        <v>0.99999999146397101</v>
      </c>
    </row>
    <row r="5153" spans="1:40" x14ac:dyDescent="0.25">
      <c r="A5153" t="str">
        <f>"20190305135931316"</f>
        <v>20190305135931316</v>
      </c>
      <c r="B5153" t="str">
        <f>"1551765571313995"</f>
        <v>1551765571313995</v>
      </c>
      <c r="C5153" t="s">
        <v>40</v>
      </c>
      <c r="D5153">
        <v>4.20242</v>
      </c>
      <c r="E5153">
        <v>0.64677189999999996</v>
      </c>
      <c r="F5153" t="s">
        <v>43</v>
      </c>
      <c r="G5153">
        <v>-310.43819999999999</v>
      </c>
      <c r="H5153">
        <v>-0.05</v>
      </c>
      <c r="I5153">
        <v>8.4471439999999998</v>
      </c>
      <c r="J5153">
        <v>-325.32010000000002</v>
      </c>
      <c r="K5153">
        <v>1.1065469999999999</v>
      </c>
      <c r="L5153">
        <v>18.573789999999999</v>
      </c>
      <c r="M5153">
        <v>0.99964430000000004</v>
      </c>
      <c r="N5153">
        <v>-1.414384E-2</v>
      </c>
      <c r="O5153">
        <v>-2.2612810000000001E-2</v>
      </c>
      <c r="P5153">
        <v>0.96996470000000001</v>
      </c>
      <c r="Q5153">
        <v>1.617304E-2</v>
      </c>
      <c r="R5153">
        <v>-0.24270800000000001</v>
      </c>
      <c r="S5153">
        <v>2.6565859999999999</v>
      </c>
      <c r="T5153">
        <v>-0.20320179999999999</v>
      </c>
      <c r="U5153">
        <v>-1.780243</v>
      </c>
      <c r="V5153">
        <v>0.22092680000000001</v>
      </c>
      <c r="W5153">
        <v>2.8321599999999999E-2</v>
      </c>
      <c r="X5153">
        <v>0.9748791</v>
      </c>
      <c r="Y5153">
        <v>0.53644190000000003</v>
      </c>
      <c r="Z5153">
        <v>-2.1473579999999999E-2</v>
      </c>
      <c r="AA5153">
        <v>0.84366409999999903</v>
      </c>
      <c r="AB5153">
        <v>38</v>
      </c>
      <c r="AC5153">
        <v>14.8819</v>
      </c>
      <c r="AD5153">
        <v>-1.156547</v>
      </c>
      <c r="AE5153">
        <v>-10.126645999999999</v>
      </c>
      <c r="AF5153">
        <v>9.7472627442672408</v>
      </c>
      <c r="AG5153">
        <v>-1.156547</v>
      </c>
      <c r="AH5153">
        <v>15.0450007845049</v>
      </c>
      <c r="AI5153">
        <v>93.691371391653604</v>
      </c>
      <c r="AJ5153">
        <v>57.061852778530501</v>
      </c>
      <c r="AK5153">
        <v>17.963818652356299</v>
      </c>
      <c r="AL5153">
        <v>88.377074859202295</v>
      </c>
      <c r="AM5153">
        <v>77.231317464917396</v>
      </c>
      <c r="AN5153">
        <v>1.0000000118007999</v>
      </c>
    </row>
    <row r="5154" spans="1:40" x14ac:dyDescent="0.25">
      <c r="A5154" t="str">
        <f>"20190305135931330"</f>
        <v>20190305135931330</v>
      </c>
      <c r="B5154" t="str">
        <f>"1551765571324731"</f>
        <v>1551765571324731</v>
      </c>
      <c r="C5154" t="s">
        <v>40</v>
      </c>
      <c r="D5154">
        <v>4.1708059999999998</v>
      </c>
      <c r="E5154">
        <v>0.64820089999999997</v>
      </c>
      <c r="F5154" t="s">
        <v>43</v>
      </c>
      <c r="G5154">
        <v>-311.5865</v>
      </c>
      <c r="H5154">
        <v>-0.05</v>
      </c>
      <c r="I5154">
        <v>8.7584079999999993</v>
      </c>
      <c r="J5154">
        <v>-325.10759999999999</v>
      </c>
      <c r="K5154">
        <v>1.1064529999999999</v>
      </c>
      <c r="L5154">
        <v>18.567229999999999</v>
      </c>
      <c r="M5154">
        <v>0.99959739999999997</v>
      </c>
      <c r="N5154">
        <v>-1.4146560000000001E-2</v>
      </c>
      <c r="O5154">
        <v>-2.4595700000000002E-2</v>
      </c>
      <c r="P5154">
        <v>0.96885600000000005</v>
      </c>
      <c r="Q5154">
        <v>1.9308860000000001E-2</v>
      </c>
      <c r="R5154">
        <v>-0.2468708</v>
      </c>
      <c r="S5154">
        <v>2.6268310000000001</v>
      </c>
      <c r="T5154">
        <v>-0.22121179999999999</v>
      </c>
      <c r="U5154">
        <v>-1.87738</v>
      </c>
      <c r="V5154">
        <v>0.22321060000000001</v>
      </c>
      <c r="W5154">
        <v>3.1388680000000002E-2</v>
      </c>
      <c r="X5154">
        <v>0.97426469999999998</v>
      </c>
      <c r="Y5154">
        <v>0.55969789999999997</v>
      </c>
      <c r="Z5154">
        <v>-2.394928E-2</v>
      </c>
      <c r="AA5154">
        <v>0.82835059999999905</v>
      </c>
      <c r="AB5154">
        <v>38</v>
      </c>
      <c r="AC5154">
        <v>13.521099999999899</v>
      </c>
      <c r="AD5154">
        <v>-1.156453</v>
      </c>
      <c r="AE5154">
        <v>-9.8088219999999993</v>
      </c>
      <c r="AF5154">
        <v>9.4280718502337599</v>
      </c>
      <c r="AG5154">
        <v>-1.156453</v>
      </c>
      <c r="AH5154">
        <v>13.6926599352315</v>
      </c>
      <c r="AI5154">
        <v>93.979241052543003</v>
      </c>
      <c r="AJ5154">
        <v>55.450671263758402</v>
      </c>
      <c r="AK5154">
        <v>16.664778980120701</v>
      </c>
      <c r="AL5154">
        <v>88.201265596271298</v>
      </c>
      <c r="AM5154">
        <v>77.095854113532795</v>
      </c>
      <c r="AN5154">
        <v>0.99999996342529496</v>
      </c>
    </row>
    <row r="5155" spans="1:40" x14ac:dyDescent="0.25">
      <c r="A5155" t="str">
        <f>"20190305135931343"</f>
        <v>20190305135931343</v>
      </c>
      <c r="B5155" t="str">
        <f>"1551765571334491"</f>
        <v>1551765571334491</v>
      </c>
      <c r="C5155" t="s">
        <v>40</v>
      </c>
      <c r="D5155">
        <v>4.2157619999999998</v>
      </c>
      <c r="E5155">
        <v>0.64884459999999999</v>
      </c>
      <c r="F5155" t="s">
        <v>43</v>
      </c>
      <c r="G5155">
        <v>-310.89080000000001</v>
      </c>
      <c r="H5155">
        <v>-0.05</v>
      </c>
      <c r="I5155">
        <v>8.2392269999999996</v>
      </c>
      <c r="J5155">
        <v>-324.87909999999999</v>
      </c>
      <c r="K5155">
        <v>1.1063459999999901</v>
      </c>
      <c r="L5155">
        <v>18.559840000000001</v>
      </c>
      <c r="M5155">
        <v>0.99954209999999999</v>
      </c>
      <c r="N5155">
        <v>-1.414903E-2</v>
      </c>
      <c r="O5155">
        <v>-2.6749889999999998E-2</v>
      </c>
      <c r="P5155">
        <v>0.96789550000000002</v>
      </c>
      <c r="Q5155">
        <v>1.9757960000000001E-2</v>
      </c>
      <c r="R5155">
        <v>-0.25057590000000002</v>
      </c>
      <c r="S5155">
        <v>2.6163639999999999</v>
      </c>
      <c r="T5155">
        <v>-0.21282590000000001</v>
      </c>
      <c r="U5155">
        <v>-1.9006959999999999</v>
      </c>
      <c r="V5155">
        <v>0.22484889999999999</v>
      </c>
      <c r="W5155">
        <v>3.1775680000000001E-2</v>
      </c>
      <c r="X5155">
        <v>0.97387539999999995</v>
      </c>
      <c r="Y5155">
        <v>0.56441709999999901</v>
      </c>
      <c r="Z5155">
        <v>-2.3328089999999999E-2</v>
      </c>
      <c r="AA5155">
        <v>0.82516009999999995</v>
      </c>
      <c r="AB5155">
        <v>38</v>
      </c>
      <c r="AC5155">
        <v>13.988299999999899</v>
      </c>
      <c r="AD5155">
        <v>-1.1563460000000001</v>
      </c>
      <c r="AE5155">
        <v>-10.3206129999999</v>
      </c>
      <c r="AF5155">
        <v>9.8988950232214208</v>
      </c>
      <c r="AG5155">
        <v>-1.1563460000000001</v>
      </c>
      <c r="AH5155">
        <v>14.196578479123</v>
      </c>
      <c r="AI5155">
        <v>93.822474310995105</v>
      </c>
      <c r="AJ5155">
        <v>55.112965723190797</v>
      </c>
      <c r="AK5155">
        <v>17.345549840416499</v>
      </c>
      <c r="AL5155">
        <v>88.1790811436382</v>
      </c>
      <c r="AM5155">
        <v>76.999327051830903</v>
      </c>
      <c r="AN5155">
        <v>1.0000000081979099</v>
      </c>
    </row>
    <row r="5156" spans="1:40" x14ac:dyDescent="0.25">
      <c r="A5156" t="str">
        <f>"20190305135931354"</f>
        <v>20190305135931354</v>
      </c>
      <c r="B5156" t="str">
        <f>"1551765571344251"</f>
        <v>1551765571344251</v>
      </c>
      <c r="C5156" t="s">
        <v>40</v>
      </c>
      <c r="D5156">
        <v>4.1674989999999896</v>
      </c>
      <c r="E5156">
        <v>0.64901629999999999</v>
      </c>
      <c r="F5156" t="s">
        <v>43</v>
      </c>
      <c r="G5156">
        <v>-310.16070000000002</v>
      </c>
      <c r="H5156">
        <v>-0.05</v>
      </c>
      <c r="I5156">
        <v>7.7430570000000003</v>
      </c>
      <c r="J5156">
        <v>-324.67970000000003</v>
      </c>
      <c r="K5156">
        <v>1.1062650000000001</v>
      </c>
      <c r="L5156">
        <v>18.552980000000002</v>
      </c>
      <c r="M5156">
        <v>0.99948919999999997</v>
      </c>
      <c r="N5156">
        <v>-1.415079E-2</v>
      </c>
      <c r="O5156">
        <v>-2.8655730000000001E-2</v>
      </c>
      <c r="P5156">
        <v>0.96702339999999998</v>
      </c>
      <c r="Q5156">
        <v>1.822644E-2</v>
      </c>
      <c r="R5156">
        <v>-0.25403540000000002</v>
      </c>
      <c r="S5156">
        <v>2.6075740000000001</v>
      </c>
      <c r="T5156">
        <v>-0.2048634</v>
      </c>
      <c r="U5156">
        <v>-1.9163509999999999</v>
      </c>
      <c r="V5156">
        <v>0.22646659999999999</v>
      </c>
      <c r="W5156">
        <v>3.0192859999999998E-2</v>
      </c>
      <c r="X5156">
        <v>0.9735509</v>
      </c>
      <c r="Y5156">
        <v>0.56747749999999997</v>
      </c>
      <c r="Z5156">
        <v>-2.268531E-2</v>
      </c>
      <c r="AA5156">
        <v>0.82307640000000004</v>
      </c>
      <c r="AB5156">
        <v>38</v>
      </c>
      <c r="AC5156">
        <v>14.519</v>
      </c>
      <c r="AD5156">
        <v>-1.1562649999999901</v>
      </c>
      <c r="AE5156">
        <v>-10.8099229999999</v>
      </c>
      <c r="AF5156">
        <v>10.3471686961814</v>
      </c>
      <c r="AG5156">
        <v>-1.1562649999999901</v>
      </c>
      <c r="AH5156">
        <v>14.762597189882801</v>
      </c>
      <c r="AI5156">
        <v>93.669822750744601</v>
      </c>
      <c r="AJ5156">
        <v>54.973218829970598</v>
      </c>
      <c r="AK5156">
        <v>18.064748118039098</v>
      </c>
      <c r="AL5156">
        <v>88.269813680329094</v>
      </c>
      <c r="AM5156">
        <v>76.904789735736401</v>
      </c>
      <c r="AN5156">
        <v>1.0000000423006701</v>
      </c>
    </row>
    <row r="5157" spans="1:40" x14ac:dyDescent="0.25">
      <c r="A5157" t="str">
        <f>"20190305135931366"</f>
        <v>20190305135931366</v>
      </c>
      <c r="B5157" t="str">
        <f>"1551765571354012"</f>
        <v>1551765571354012</v>
      </c>
      <c r="C5157" t="s">
        <v>40</v>
      </c>
      <c r="D5157">
        <v>4.2233309999999999</v>
      </c>
      <c r="E5157">
        <v>0.64868359999999903</v>
      </c>
      <c r="F5157" t="s">
        <v>43</v>
      </c>
      <c r="G5157">
        <v>-308.8929</v>
      </c>
      <c r="H5157">
        <v>-0.05</v>
      </c>
      <c r="I5157">
        <v>6.8552399999999896</v>
      </c>
      <c r="J5157">
        <v>-324.49560000000002</v>
      </c>
      <c r="K5157">
        <v>1.106185</v>
      </c>
      <c r="L5157">
        <v>18.54617</v>
      </c>
      <c r="M5157">
        <v>0.99943660000000001</v>
      </c>
      <c r="N5157">
        <v>-1.4152120000000001E-2</v>
      </c>
      <c r="O5157">
        <v>-3.0433080000000001E-2</v>
      </c>
      <c r="P5157">
        <v>0.96616360000000001</v>
      </c>
      <c r="Q5157">
        <v>1.3892369999999999E-2</v>
      </c>
      <c r="R5157">
        <v>-0.25755660000000002</v>
      </c>
      <c r="S5157">
        <v>2.5998230000000002</v>
      </c>
      <c r="T5157">
        <v>-0.19041739999999999</v>
      </c>
      <c r="U5157">
        <v>-1.9264220000000001</v>
      </c>
      <c r="V5157">
        <v>0.22824839999999999</v>
      </c>
      <c r="W5157">
        <v>2.5812450000000001E-2</v>
      </c>
      <c r="X5157">
        <v>0.97326069999999998</v>
      </c>
      <c r="Y5157">
        <v>0.56940769999999996</v>
      </c>
      <c r="Z5157">
        <v>-2.1440899999999999E-2</v>
      </c>
      <c r="AA5157">
        <v>0.82177559999999905</v>
      </c>
      <c r="AB5157">
        <v>38</v>
      </c>
      <c r="AC5157">
        <v>15.6027</v>
      </c>
      <c r="AD5157">
        <v>-1.156185</v>
      </c>
      <c r="AE5157">
        <v>-11.69093</v>
      </c>
      <c r="AF5157">
        <v>11.1713420531078</v>
      </c>
      <c r="AG5157">
        <v>-1.156185</v>
      </c>
      <c r="AH5157">
        <v>15.895399265522901</v>
      </c>
      <c r="AI5157">
        <v>93.405658576972399</v>
      </c>
      <c r="AJ5157">
        <v>54.900317665379099</v>
      </c>
      <c r="AK5157">
        <v>19.462768683621199</v>
      </c>
      <c r="AL5157">
        <v>88.520891277942994</v>
      </c>
      <c r="AM5157">
        <v>76.801553281008694</v>
      </c>
      <c r="AN5157">
        <v>1.0000000024210201</v>
      </c>
    </row>
    <row r="5158" spans="1:40" x14ac:dyDescent="0.25">
      <c r="A5158" t="str">
        <f>"20190305135931378"</f>
        <v>20190305135931378</v>
      </c>
      <c r="B5158" t="str">
        <f>"1551765571374508"</f>
        <v>1551765571374508</v>
      </c>
      <c r="C5158" t="s">
        <v>40</v>
      </c>
      <c r="D5158">
        <v>4.2509509999999997</v>
      </c>
      <c r="E5158">
        <v>0.64860739999999995</v>
      </c>
      <c r="F5158" t="s">
        <v>43</v>
      </c>
      <c r="G5158">
        <v>-309.12439999999998</v>
      </c>
      <c r="H5158">
        <v>-0.05</v>
      </c>
      <c r="I5158">
        <v>7.0850369999999998</v>
      </c>
      <c r="J5158">
        <v>-324.28739999999999</v>
      </c>
      <c r="K5158">
        <v>1.106101</v>
      </c>
      <c r="L5158">
        <v>18.538329999999998</v>
      </c>
      <c r="M5158">
        <v>0.99937310000000001</v>
      </c>
      <c r="N5158">
        <v>-1.415337E-2</v>
      </c>
      <c r="O5158">
        <v>-3.2449989999999998E-2</v>
      </c>
      <c r="P5158">
        <v>0.96517350000000002</v>
      </c>
      <c r="Q5158">
        <v>1.04723E-2</v>
      </c>
      <c r="R5158">
        <v>-0.26140039999999998</v>
      </c>
      <c r="S5158">
        <v>2.5925600000000002</v>
      </c>
      <c r="T5158">
        <v>-0.19500609999999999</v>
      </c>
      <c r="U5158">
        <v>-1.9330750000000001</v>
      </c>
      <c r="V5158">
        <v>0.23013239999999999</v>
      </c>
      <c r="W5158">
        <v>2.234208E-2</v>
      </c>
      <c r="X5158">
        <v>0.97290279999999996</v>
      </c>
      <c r="Y5158">
        <v>0.57015319999999903</v>
      </c>
      <c r="Z5158">
        <v>-2.1793099999999999E-2</v>
      </c>
      <c r="AA5158">
        <v>0.82124929999999996</v>
      </c>
      <c r="AB5158">
        <v>38</v>
      </c>
      <c r="AC5158">
        <v>15.163</v>
      </c>
      <c r="AD5158">
        <v>-1.156101</v>
      </c>
      <c r="AE5158">
        <v>-11.453293</v>
      </c>
      <c r="AF5158">
        <v>10.914771155048699</v>
      </c>
      <c r="AG5158">
        <v>-1.156101</v>
      </c>
      <c r="AH5158">
        <v>15.4694502137987</v>
      </c>
      <c r="AI5158">
        <v>93.494407781585593</v>
      </c>
      <c r="AJ5158">
        <v>54.794375410663299</v>
      </c>
      <c r="AK5158">
        <v>18.967674839222699</v>
      </c>
      <c r="AL5158">
        <v>88.7197865552575</v>
      </c>
      <c r="AM5158">
        <v>76.691749859310306</v>
      </c>
      <c r="AN5158">
        <v>0.999999974158162</v>
      </c>
    </row>
    <row r="5159" spans="1:40" x14ac:dyDescent="0.25">
      <c r="A5159" t="str">
        <f>"20190305135931394"</f>
        <v>20190305135931394</v>
      </c>
      <c r="B5159" t="str">
        <f>"1551765571384267"</f>
        <v>1551765571384267</v>
      </c>
      <c r="C5159" t="s">
        <v>40</v>
      </c>
      <c r="D5159">
        <v>4.2369339999999998</v>
      </c>
      <c r="E5159">
        <v>0.64870319999999904</v>
      </c>
      <c r="F5159" t="s">
        <v>43</v>
      </c>
      <c r="G5159">
        <v>-309.29430000000002</v>
      </c>
      <c r="H5159">
        <v>-0.05</v>
      </c>
      <c r="I5159">
        <v>7.270111</v>
      </c>
      <c r="J5159">
        <v>-324.01690000000002</v>
      </c>
      <c r="K5159">
        <v>1.1060000000000001</v>
      </c>
      <c r="L5159">
        <v>18.527159999999999</v>
      </c>
      <c r="M5159">
        <v>0.9992839</v>
      </c>
      <c r="N5159">
        <v>-1.417994E-2</v>
      </c>
      <c r="O5159">
        <v>-3.5084810000000001E-2</v>
      </c>
      <c r="P5159">
        <v>0.96331160000000005</v>
      </c>
      <c r="Q5159">
        <v>6.0189659999999997E-3</v>
      </c>
      <c r="R5159">
        <v>-0.26831909999999998</v>
      </c>
      <c r="S5159">
        <v>2.5843509999999998</v>
      </c>
      <c r="T5159">
        <v>-0.1992757</v>
      </c>
      <c r="U5159">
        <v>-1.942291</v>
      </c>
      <c r="V5159">
        <v>0.23451089999999999</v>
      </c>
      <c r="W5159">
        <v>1.7833069999999999E-2</v>
      </c>
      <c r="X5159">
        <v>0.97194990000000003</v>
      </c>
      <c r="Y5159">
        <v>0.57106080000000004</v>
      </c>
      <c r="Z5159">
        <v>-2.2096629999999999E-2</v>
      </c>
      <c r="AA5159">
        <v>0.82061030000000001</v>
      </c>
      <c r="AB5159">
        <v>38</v>
      </c>
      <c r="AC5159">
        <v>14.7226</v>
      </c>
      <c r="AD5159">
        <v>-1.1559999999999999</v>
      </c>
      <c r="AE5159">
        <v>-11.257049</v>
      </c>
      <c r="AF5159">
        <v>10.691927341677699</v>
      </c>
      <c r="AG5159">
        <v>-1.1559999999999999</v>
      </c>
      <c r="AH5159">
        <v>15.0499713516868</v>
      </c>
      <c r="AI5159">
        <v>93.583042391195804</v>
      </c>
      <c r="AJ5159">
        <v>54.608931692937098</v>
      </c>
      <c r="AK5159">
        <v>18.4974399300635</v>
      </c>
      <c r="AL5159">
        <v>88.978186183328205</v>
      </c>
      <c r="AM5159">
        <v>76.435007807760002</v>
      </c>
      <c r="AN5159">
        <v>0.99999999435722198</v>
      </c>
    </row>
    <row r="5160" spans="1:40" x14ac:dyDescent="0.25">
      <c r="A5160" t="str">
        <f>"20190305135931405"</f>
        <v>20190305135931405</v>
      </c>
      <c r="B5160" t="str">
        <f>"1551765571394028"</f>
        <v>1551765571394028</v>
      </c>
      <c r="C5160" t="s">
        <v>40</v>
      </c>
      <c r="D5160">
        <v>4.1788019999999904</v>
      </c>
      <c r="E5160">
        <v>0.64899149999999906</v>
      </c>
      <c r="F5160" t="s">
        <v>43</v>
      </c>
      <c r="G5160">
        <v>-310.28590000000003</v>
      </c>
      <c r="H5160">
        <v>-0.05</v>
      </c>
      <c r="I5160">
        <v>8.0501100000000001</v>
      </c>
      <c r="J5160">
        <v>-323.82780000000002</v>
      </c>
      <c r="K5160">
        <v>1.1059760000000001</v>
      </c>
      <c r="L5160">
        <v>18.51895</v>
      </c>
      <c r="M5160">
        <v>0.99921660000000001</v>
      </c>
      <c r="N5160">
        <v>-1.42536E-2</v>
      </c>
      <c r="O5160">
        <v>-3.6916379999999999E-2</v>
      </c>
      <c r="P5160">
        <v>0.9621149</v>
      </c>
      <c r="Q5160">
        <v>4.8096809999999997E-3</v>
      </c>
      <c r="R5160">
        <v>-0.27260220000000002</v>
      </c>
      <c r="S5160">
        <v>2.5695190000000001</v>
      </c>
      <c r="T5160">
        <v>-0.21632560000000001</v>
      </c>
      <c r="U5160">
        <v>-1.960602</v>
      </c>
      <c r="V5160">
        <v>0.23704449999999999</v>
      </c>
      <c r="W5160">
        <v>1.6648300000000001E-2</v>
      </c>
      <c r="X5160">
        <v>0.9713562</v>
      </c>
      <c r="Y5160">
        <v>0.57530609999999904</v>
      </c>
      <c r="Z5160">
        <v>-2.3726150000000001E-2</v>
      </c>
      <c r="AA5160">
        <v>0.81759399999999904</v>
      </c>
      <c r="AB5160">
        <v>38</v>
      </c>
      <c r="AC5160">
        <v>13.541899999999901</v>
      </c>
      <c r="AD5160">
        <v>-1.1559759999999999</v>
      </c>
      <c r="AE5160">
        <v>-10.46884</v>
      </c>
      <c r="AF5160">
        <v>9.9165045947075896</v>
      </c>
      <c r="AG5160">
        <v>-1.1559759999999999</v>
      </c>
      <c r="AH5160">
        <v>13.855981232690599</v>
      </c>
      <c r="AI5160">
        <v>93.881182277635901</v>
      </c>
      <c r="AJ5160">
        <v>54.409306158899398</v>
      </c>
      <c r="AK5160">
        <v>17.0781017624942</v>
      </c>
      <c r="AL5160">
        <v>89.046078665854395</v>
      </c>
      <c r="AM5160">
        <v>76.285893326033005</v>
      </c>
      <c r="AN5160">
        <v>1.00000006407578</v>
      </c>
    </row>
    <row r="5161" spans="1:40" x14ac:dyDescent="0.25">
      <c r="A5161" t="str">
        <f>"20190305135931415"</f>
        <v>20190305135931415</v>
      </c>
      <c r="B5161" t="str">
        <f>"1551765571403789"</f>
        <v>1551765571403789</v>
      </c>
      <c r="C5161" t="s">
        <v>40</v>
      </c>
      <c r="D5161">
        <v>4.2153049999999999</v>
      </c>
      <c r="E5161">
        <v>0.64859419999999901</v>
      </c>
      <c r="F5161" t="s">
        <v>43</v>
      </c>
      <c r="G5161">
        <v>-311.14069999999998</v>
      </c>
      <c r="H5161">
        <v>-0.05</v>
      </c>
      <c r="I5161">
        <v>8.7367249999999999</v>
      </c>
      <c r="J5161">
        <v>-323.65320000000003</v>
      </c>
      <c r="K5161">
        <v>1.1059669999999999</v>
      </c>
      <c r="L5161">
        <v>18.511199999999999</v>
      </c>
      <c r="M5161">
        <v>0.99915169999999998</v>
      </c>
      <c r="N5161">
        <v>-1.434941E-2</v>
      </c>
      <c r="O5161">
        <v>-3.8601280000000002E-2</v>
      </c>
      <c r="P5161">
        <v>0.96108510000000003</v>
      </c>
      <c r="Q5161">
        <v>5.0743150000000002E-3</v>
      </c>
      <c r="R5161">
        <v>-0.2762059</v>
      </c>
      <c r="S5161">
        <v>2.5599980000000002</v>
      </c>
      <c r="T5161">
        <v>-0.2332516</v>
      </c>
      <c r="U5161">
        <v>-1.973846</v>
      </c>
      <c r="V5161">
        <v>0.2390506</v>
      </c>
      <c r="W5161">
        <v>1.6968219999999999E-2</v>
      </c>
      <c r="X5161">
        <v>0.97085889999999997</v>
      </c>
      <c r="Y5161">
        <v>0.57781830000000001</v>
      </c>
      <c r="Z5161">
        <v>-2.5265050000000001E-2</v>
      </c>
      <c r="AA5161">
        <v>0.81577429999999995</v>
      </c>
      <c r="AB5161">
        <v>38</v>
      </c>
      <c r="AC5161">
        <v>12.512499999999999</v>
      </c>
      <c r="AD5161">
        <v>-1.155967</v>
      </c>
      <c r="AE5161">
        <v>-9.7744750000000007</v>
      </c>
      <c r="AF5161">
        <v>9.2351896137091902</v>
      </c>
      <c r="AG5161">
        <v>-1.155967</v>
      </c>
      <c r="AH5161">
        <v>12.812605914594901</v>
      </c>
      <c r="AI5161">
        <v>94.186019463713606</v>
      </c>
      <c r="AJ5161">
        <v>54.216339123559202</v>
      </c>
      <c r="AK5161">
        <v>15.836282935997399</v>
      </c>
      <c r="AL5161">
        <v>89.027746004243099</v>
      </c>
      <c r="AM5161">
        <v>76.167456923922103</v>
      </c>
      <c r="AN5161">
        <v>1.00000005677976</v>
      </c>
    </row>
    <row r="5162" spans="1:40" x14ac:dyDescent="0.25">
      <c r="A5162" t="str">
        <f>"20190305135931427"</f>
        <v>20190305135931427</v>
      </c>
      <c r="B5162" t="str">
        <f>"1551765571414524"</f>
        <v>1551765571414524</v>
      </c>
      <c r="C5162" t="s">
        <v>40</v>
      </c>
      <c r="D5162">
        <v>4.1795339999999896</v>
      </c>
      <c r="E5162">
        <v>0.6489722</v>
      </c>
      <c r="F5162" t="s">
        <v>43</v>
      </c>
      <c r="G5162">
        <v>-310.60289999999998</v>
      </c>
      <c r="H5162">
        <v>-0.05</v>
      </c>
      <c r="I5162">
        <v>8.3942569999999996</v>
      </c>
      <c r="J5162">
        <v>-323.47629999999998</v>
      </c>
      <c r="K5162">
        <v>1.105985</v>
      </c>
      <c r="L5162">
        <v>18.502870000000001</v>
      </c>
      <c r="M5162">
        <v>0.99908229999999998</v>
      </c>
      <c r="N5162">
        <v>-1.449629E-2</v>
      </c>
      <c r="O5162">
        <v>-4.0304270000000003E-2</v>
      </c>
      <c r="P5162">
        <v>0.96010850000000003</v>
      </c>
      <c r="Q5162">
        <v>5.9784740000000001E-3</v>
      </c>
      <c r="R5162">
        <v>-0.27956409999999998</v>
      </c>
      <c r="S5162">
        <v>2.5537109999999998</v>
      </c>
      <c r="T5162">
        <v>-0.22620199999999999</v>
      </c>
      <c r="U5162">
        <v>-1.979706</v>
      </c>
      <c r="V5162">
        <v>0.24079919999999999</v>
      </c>
      <c r="W5162">
        <v>1.7985149999999998E-2</v>
      </c>
      <c r="X5162">
        <v>0.9704083</v>
      </c>
      <c r="Y5162">
        <v>0.57865669999999902</v>
      </c>
      <c r="Z5162">
        <v>-2.4669239999999999E-2</v>
      </c>
      <c r="AA5162">
        <v>0.81519799999999998</v>
      </c>
      <c r="AB5162">
        <v>38</v>
      </c>
      <c r="AC5162">
        <v>12.8734</v>
      </c>
      <c r="AD5162">
        <v>-1.155985</v>
      </c>
      <c r="AE5162">
        <v>-10.108613</v>
      </c>
      <c r="AF5162">
        <v>9.5339356992186701</v>
      </c>
      <c r="AG5162">
        <v>-1.155985</v>
      </c>
      <c r="AH5162">
        <v>13.2045376915414</v>
      </c>
      <c r="AI5162">
        <v>94.059894278101893</v>
      </c>
      <c r="AJ5162">
        <v>54.169975554512597</v>
      </c>
      <c r="AK5162">
        <v>16.327646703808799</v>
      </c>
      <c r="AL5162">
        <v>88.969471243584707</v>
      </c>
      <c r="AM5162">
        <v>76.063985729885204</v>
      </c>
      <c r="AN5162">
        <v>0.99999999452502597</v>
      </c>
    </row>
    <row r="5163" spans="1:40" x14ac:dyDescent="0.25">
      <c r="A5163" t="str">
        <f>"20190305135931437"</f>
        <v>20190305135931437</v>
      </c>
      <c r="B5163" t="str">
        <f>"1551765571434044"</f>
        <v>1551765571434044</v>
      </c>
      <c r="C5163" t="s">
        <v>40</v>
      </c>
      <c r="D5163">
        <v>4.1986999999999997</v>
      </c>
      <c r="E5163">
        <v>0.6497967</v>
      </c>
      <c r="F5163" t="s">
        <v>43</v>
      </c>
      <c r="G5163">
        <v>-310.88869999999997</v>
      </c>
      <c r="H5163">
        <v>-0.05</v>
      </c>
      <c r="I5163">
        <v>8.6580659999999998</v>
      </c>
      <c r="J5163">
        <v>-323.28030000000001</v>
      </c>
      <c r="K5163">
        <v>1.106017</v>
      </c>
      <c r="L5163">
        <v>18.493500000000001</v>
      </c>
      <c r="M5163">
        <v>0.99900180000000005</v>
      </c>
      <c r="N5163">
        <v>-1.4674629999999999E-2</v>
      </c>
      <c r="O5163">
        <v>-4.2190350000000001E-2</v>
      </c>
      <c r="P5163">
        <v>0.95927759999999995</v>
      </c>
      <c r="Q5163">
        <v>7.3595049999999997E-3</v>
      </c>
      <c r="R5163">
        <v>-0.28237030000000002</v>
      </c>
      <c r="S5163">
        <v>2.5462039999999999</v>
      </c>
      <c r="T5163">
        <v>-0.23383100000000001</v>
      </c>
      <c r="U5163">
        <v>-1.9913940000000001</v>
      </c>
      <c r="V5163">
        <v>0.2418187</v>
      </c>
      <c r="W5163">
        <v>1.9518870000000001E-2</v>
      </c>
      <c r="X5163">
        <v>0.97012509999999996</v>
      </c>
      <c r="Y5163">
        <v>0.58049609999999996</v>
      </c>
      <c r="Z5163">
        <v>-2.5378769999999998E-2</v>
      </c>
      <c r="AA5163">
        <v>0.81386740000000002</v>
      </c>
      <c r="AB5163">
        <v>37</v>
      </c>
      <c r="AC5163">
        <v>12.3916</v>
      </c>
      <c r="AD5163">
        <v>-1.1560170000000001</v>
      </c>
      <c r="AE5163">
        <v>-9.8354339999999993</v>
      </c>
      <c r="AF5163">
        <v>9.2543997227076709</v>
      </c>
      <c r="AG5163">
        <v>-1.1560170000000001</v>
      </c>
      <c r="AH5163">
        <v>12.727611813626201</v>
      </c>
      <c r="AI5163">
        <v>94.201462981470996</v>
      </c>
      <c r="AJ5163">
        <v>53.9786489548598</v>
      </c>
      <c r="AK5163">
        <v>15.7788590211808</v>
      </c>
      <c r="AL5163">
        <v>88.881580091954703</v>
      </c>
      <c r="AM5163">
        <v>76.003372614758902</v>
      </c>
      <c r="AN5163">
        <v>0.99999998980288796</v>
      </c>
    </row>
    <row r="5164" spans="1:40" x14ac:dyDescent="0.25">
      <c r="A5164" t="str">
        <f>"20190305135931449"</f>
        <v>20190305135931449</v>
      </c>
      <c r="B5164" t="str">
        <f>"1551765571443807"</f>
        <v>1551765571443807</v>
      </c>
      <c r="C5164" t="s">
        <v>40</v>
      </c>
      <c r="D5164">
        <v>4.206372</v>
      </c>
      <c r="E5164">
        <v>0.65026919999999899</v>
      </c>
      <c r="F5164" t="s">
        <v>43</v>
      </c>
      <c r="G5164">
        <v>-311.2217</v>
      </c>
      <c r="H5164">
        <v>-0.05</v>
      </c>
      <c r="I5164">
        <v>8.9673309999999997</v>
      </c>
      <c r="J5164">
        <v>-323.09129999999999</v>
      </c>
      <c r="K5164">
        <v>1.1060490000000001</v>
      </c>
      <c r="L5164">
        <v>18.483889999999999</v>
      </c>
      <c r="M5164">
        <v>0.99892080000000005</v>
      </c>
      <c r="N5164">
        <v>-1.4873239999999999E-2</v>
      </c>
      <c r="O5164">
        <v>-4.3998549999999997E-2</v>
      </c>
      <c r="P5164">
        <v>0.95848359999999999</v>
      </c>
      <c r="Q5164">
        <v>9.1123920000000004E-3</v>
      </c>
      <c r="R5164">
        <v>-0.28500209999999998</v>
      </c>
      <c r="S5164">
        <v>2.5388489999999999</v>
      </c>
      <c r="T5164">
        <v>-0.2433921</v>
      </c>
      <c r="U5164">
        <v>-2.0056759999999998</v>
      </c>
      <c r="V5164">
        <v>0.2427434</v>
      </c>
      <c r="W5164">
        <v>2.144822E-2</v>
      </c>
      <c r="X5164">
        <v>0.96985339999999998</v>
      </c>
      <c r="Y5164">
        <v>0.58284849999999999</v>
      </c>
      <c r="Z5164">
        <v>-2.628312E-2</v>
      </c>
      <c r="AA5164">
        <v>0.81215559999999998</v>
      </c>
      <c r="AB5164">
        <v>37</v>
      </c>
      <c r="AC5164">
        <v>11.869599999999901</v>
      </c>
      <c r="AD5164">
        <v>-1.1560489999999899</v>
      </c>
      <c r="AE5164">
        <v>-9.5165590000000009</v>
      </c>
      <c r="AF5164">
        <v>8.9334546184350003</v>
      </c>
      <c r="AG5164">
        <v>-1.1560489999999899</v>
      </c>
      <c r="AH5164">
        <v>12.206382065702</v>
      </c>
      <c r="AI5164">
        <v>94.370440007925396</v>
      </c>
      <c r="AJ5164">
        <v>53.800814772304101</v>
      </c>
      <c r="AK5164">
        <v>15.1703270842764</v>
      </c>
      <c r="AL5164">
        <v>88.771013277130393</v>
      </c>
      <c r="AM5164">
        <v>75.948186351066198</v>
      </c>
      <c r="AN5164">
        <v>1.00000000093814</v>
      </c>
    </row>
    <row r="5165" spans="1:40" x14ac:dyDescent="0.25">
      <c r="A5165" t="str">
        <f>"20190305135931462"</f>
        <v>20190305135931462</v>
      </c>
      <c r="B5165" t="str">
        <f>"1551765571454540"</f>
        <v>1551765571454540</v>
      </c>
      <c r="C5165" t="s">
        <v>40</v>
      </c>
      <c r="D5165">
        <v>4.1843510000000004</v>
      </c>
      <c r="E5165">
        <v>0.6504105</v>
      </c>
      <c r="F5165" t="s">
        <v>43</v>
      </c>
      <c r="G5165">
        <v>-311.04579999999999</v>
      </c>
      <c r="H5165">
        <v>-0.05</v>
      </c>
      <c r="I5165">
        <v>8.8925169999999998</v>
      </c>
      <c r="J5165">
        <v>-322.88499999999999</v>
      </c>
      <c r="K5165">
        <v>1.10609</v>
      </c>
      <c r="L5165">
        <v>18.473179999999999</v>
      </c>
      <c r="M5165">
        <v>0.99882910000000003</v>
      </c>
      <c r="N5165">
        <v>-1.5091419999999999E-2</v>
      </c>
      <c r="O5165">
        <v>-4.5965060000000002E-2</v>
      </c>
      <c r="P5165">
        <v>0.95763640000000005</v>
      </c>
      <c r="Q5165">
        <v>1.0660319999999999E-2</v>
      </c>
      <c r="R5165">
        <v>-0.28778320000000002</v>
      </c>
      <c r="S5165">
        <v>2.5326230000000001</v>
      </c>
      <c r="T5165">
        <v>-0.2430648</v>
      </c>
      <c r="U5165">
        <v>-2.016632</v>
      </c>
      <c r="V5165">
        <v>0.24366560000000001</v>
      </c>
      <c r="W5165">
        <v>2.3191110000000001E-2</v>
      </c>
      <c r="X5165">
        <v>0.96958200000000005</v>
      </c>
      <c r="Y5165">
        <v>0.58437090000000003</v>
      </c>
      <c r="Z5165">
        <v>-2.629548E-2</v>
      </c>
      <c r="AA5165">
        <v>0.81106049999999996</v>
      </c>
      <c r="AB5165">
        <v>37</v>
      </c>
      <c r="AC5165">
        <v>11.8392</v>
      </c>
      <c r="AD5165">
        <v>-1.1560900000000001</v>
      </c>
      <c r="AE5165">
        <v>-9.5806629999999995</v>
      </c>
      <c r="AF5165">
        <v>8.9745708459995299</v>
      </c>
      <c r="AG5165">
        <v>-1.1560900000000001</v>
      </c>
      <c r="AH5165">
        <v>12.196830639271401</v>
      </c>
      <c r="AI5165">
        <v>94.365814569206293</v>
      </c>
      <c r="AJ5165">
        <v>53.653929857714203</v>
      </c>
      <c r="AK5165">
        <v>15.186906979402799</v>
      </c>
      <c r="AL5165">
        <v>88.671128143901797</v>
      </c>
      <c r="AM5165">
        <v>75.893138923437604</v>
      </c>
      <c r="AN5165">
        <v>1.0000000034651899</v>
      </c>
    </row>
    <row r="5166" spans="1:40" x14ac:dyDescent="0.25">
      <c r="A5166" t="str">
        <f>"20190305135931472"</f>
        <v>20190305135931472</v>
      </c>
      <c r="B5166" t="str">
        <f>"1551765571464299"</f>
        <v>1551765571464299</v>
      </c>
      <c r="C5166" t="s">
        <v>40</v>
      </c>
      <c r="D5166">
        <v>4.1921339999999896</v>
      </c>
      <c r="E5166">
        <v>0.65068079999999995</v>
      </c>
      <c r="F5166" t="s">
        <v>43</v>
      </c>
      <c r="G5166">
        <v>-310.75209999999998</v>
      </c>
      <c r="H5166">
        <v>-0.05</v>
      </c>
      <c r="I5166">
        <v>8.7474670000000003</v>
      </c>
      <c r="J5166">
        <v>-322.7097</v>
      </c>
      <c r="K5166">
        <v>1.10612</v>
      </c>
      <c r="L5166">
        <v>18.463650000000001</v>
      </c>
      <c r="M5166">
        <v>0.99874870000000004</v>
      </c>
      <c r="N5166">
        <v>-1.527949E-2</v>
      </c>
      <c r="O5166">
        <v>-4.7621110000000001E-2</v>
      </c>
      <c r="P5166">
        <v>0.95670440000000001</v>
      </c>
      <c r="Q5166">
        <v>1.1832779999999999E-2</v>
      </c>
      <c r="R5166">
        <v>-0.29082170000000002</v>
      </c>
      <c r="S5166">
        <v>2.5267330000000001</v>
      </c>
      <c r="T5166">
        <v>-0.24076059999999999</v>
      </c>
      <c r="U5166">
        <v>-2.0254210000000001</v>
      </c>
      <c r="V5166">
        <v>0.24514820000000001</v>
      </c>
      <c r="W5166">
        <v>2.4523489999999998E-2</v>
      </c>
      <c r="X5166">
        <v>0.96917540000000002</v>
      </c>
      <c r="Y5166">
        <v>0.58569150000000003</v>
      </c>
      <c r="Z5166">
        <v>-2.614358E-2</v>
      </c>
      <c r="AA5166">
        <v>0.81011230000000001</v>
      </c>
      <c r="AB5166">
        <v>37</v>
      </c>
      <c r="AC5166">
        <v>11.957599999999999</v>
      </c>
      <c r="AD5166">
        <v>-1.15612</v>
      </c>
      <c r="AE5166">
        <v>-9.7161829999999991</v>
      </c>
      <c r="AF5166">
        <v>9.0845062912851198</v>
      </c>
      <c r="AG5166">
        <v>-1.15612</v>
      </c>
      <c r="AH5166">
        <v>12.337314839388601</v>
      </c>
      <c r="AI5166">
        <v>94.315309497263002</v>
      </c>
      <c r="AJ5166">
        <v>53.634153766156402</v>
      </c>
      <c r="AK5166">
        <v>15.364706487824501</v>
      </c>
      <c r="AL5166">
        <v>88.594766646708095</v>
      </c>
      <c r="AM5166">
        <v>75.8050493516389</v>
      </c>
      <c r="AN5166">
        <v>0.99999999874509005</v>
      </c>
    </row>
    <row r="5167" spans="1:40" x14ac:dyDescent="0.25">
      <c r="A5167" t="str">
        <f>"20190305135931482"</f>
        <v>20190305135931482</v>
      </c>
      <c r="B5167" t="str">
        <f>"1551765571474060"</f>
        <v>1551765571474060</v>
      </c>
      <c r="C5167" t="s">
        <v>40</v>
      </c>
      <c r="D5167">
        <v>4.2065409999999996</v>
      </c>
      <c r="E5167">
        <v>0.65085800000000005</v>
      </c>
      <c r="F5167" t="s">
        <v>43</v>
      </c>
      <c r="G5167">
        <v>-310.73680000000002</v>
      </c>
      <c r="H5167">
        <v>-0.05</v>
      </c>
      <c r="I5167">
        <v>8.7917330000000007</v>
      </c>
      <c r="J5167">
        <v>-322.53489999999999</v>
      </c>
      <c r="K5167">
        <v>1.1061570000000001</v>
      </c>
      <c r="L5167">
        <v>18.45392</v>
      </c>
      <c r="M5167">
        <v>0.99866630000000001</v>
      </c>
      <c r="N5167">
        <v>-1.5467949999999999E-2</v>
      </c>
      <c r="O5167">
        <v>-4.9258660000000003E-2</v>
      </c>
      <c r="P5167">
        <v>0.95556399999999997</v>
      </c>
      <c r="Q5167">
        <v>1.234042E-2</v>
      </c>
      <c r="R5167">
        <v>-0.2945258</v>
      </c>
      <c r="S5167">
        <v>2.5199579999999999</v>
      </c>
      <c r="T5167">
        <v>-0.2433313</v>
      </c>
      <c r="U5167">
        <v>-2.0356749999999999</v>
      </c>
      <c r="V5167">
        <v>0.24732019999999999</v>
      </c>
      <c r="W5167">
        <v>2.5184660000000001E-2</v>
      </c>
      <c r="X5167">
        <v>0.96860650000000004</v>
      </c>
      <c r="Y5167">
        <v>0.58737759999999895</v>
      </c>
      <c r="Z5167">
        <v>-2.6428940000000001E-2</v>
      </c>
      <c r="AA5167">
        <v>0.80888139999999997</v>
      </c>
      <c r="AB5167">
        <v>37</v>
      </c>
      <c r="AC5167">
        <v>11.7980999999999</v>
      </c>
      <c r="AD5167">
        <v>-1.1561569999999901</v>
      </c>
      <c r="AE5167">
        <v>-9.6621869999999994</v>
      </c>
      <c r="AF5167">
        <v>9.0173953373091997</v>
      </c>
      <c r="AG5167">
        <v>-1.1561569999999901</v>
      </c>
      <c r="AH5167">
        <v>12.1897120114273</v>
      </c>
      <c r="AI5167">
        <v>94.360416980537394</v>
      </c>
      <c r="AJ5167">
        <v>53.507645823699598</v>
      </c>
      <c r="AK5167">
        <v>15.2065511079768</v>
      </c>
      <c r="AL5167">
        <v>88.556872763774507</v>
      </c>
      <c r="AM5167">
        <v>75.676368579760194</v>
      </c>
      <c r="AN5167">
        <v>1.0000000501348001</v>
      </c>
    </row>
    <row r="5168" spans="1:40" x14ac:dyDescent="0.25">
      <c r="A5168" t="str">
        <f>"20190305135931493"</f>
        <v>20190305135931493</v>
      </c>
      <c r="B5168" t="str">
        <f>"1551765571483820"</f>
        <v>1551765571483820</v>
      </c>
      <c r="C5168" t="s">
        <v>40</v>
      </c>
      <c r="D5168">
        <v>4.1974080000000002</v>
      </c>
      <c r="E5168">
        <v>0.65131799999999995</v>
      </c>
      <c r="F5168" t="s">
        <v>43</v>
      </c>
      <c r="G5168">
        <v>-310.82310000000001</v>
      </c>
      <c r="H5168">
        <v>-0.05</v>
      </c>
      <c r="I5168">
        <v>8.912369</v>
      </c>
      <c r="J5168">
        <v>-322.34530000000001</v>
      </c>
      <c r="K5168">
        <v>1.106196</v>
      </c>
      <c r="L5168">
        <v>18.442990000000002</v>
      </c>
      <c r="M5168">
        <v>0.99857459999999998</v>
      </c>
      <c r="N5168">
        <v>-1.5673989999999999E-2</v>
      </c>
      <c r="O5168">
        <v>-5.1020349999999999E-2</v>
      </c>
      <c r="P5168">
        <v>0.95437280000000002</v>
      </c>
      <c r="Q5168">
        <v>1.213705E-2</v>
      </c>
      <c r="R5168">
        <v>-0.2983712</v>
      </c>
      <c r="S5168">
        <v>2.5119319999999998</v>
      </c>
      <c r="T5168">
        <v>-0.24796950000000001</v>
      </c>
      <c r="U5168">
        <v>-2.0464479999999998</v>
      </c>
      <c r="V5168">
        <v>0.2495115</v>
      </c>
      <c r="W5168">
        <v>2.515129E-2</v>
      </c>
      <c r="X5168">
        <v>0.96804520000000005</v>
      </c>
      <c r="Y5168">
        <v>0.58922369999999902</v>
      </c>
      <c r="Z5168">
        <v>-2.6902249999999999E-2</v>
      </c>
      <c r="AA5168">
        <v>0.80752190000000001</v>
      </c>
      <c r="AB5168">
        <v>37</v>
      </c>
      <c r="AC5168">
        <v>11.5221999999999</v>
      </c>
      <c r="AD5168">
        <v>-1.156196</v>
      </c>
      <c r="AE5168">
        <v>-9.5306209999999894</v>
      </c>
      <c r="AF5168">
        <v>8.8771928646969993</v>
      </c>
      <c r="AG5168">
        <v>-1.156196</v>
      </c>
      <c r="AH5168">
        <v>11.9222265042605</v>
      </c>
      <c r="AI5168">
        <v>94.447739686045793</v>
      </c>
      <c r="AJ5168">
        <v>53.328930224520803</v>
      </c>
      <c r="AK5168">
        <v>14.909085390000801</v>
      </c>
      <c r="AL5168">
        <v>88.558785318856906</v>
      </c>
      <c r="AM5168">
        <v>75.546721794500499</v>
      </c>
      <c r="AN5168">
        <v>1.00000004263197</v>
      </c>
    </row>
    <row r="5169" spans="1:40" x14ac:dyDescent="0.25">
      <c r="A5169" t="str">
        <f>"20190305135931506"</f>
        <v>20190305135931506</v>
      </c>
      <c r="B5169" t="str">
        <f>"1551765571494556"</f>
        <v>1551765571494556</v>
      </c>
      <c r="C5169" t="s">
        <v>40</v>
      </c>
      <c r="D5169">
        <v>4.1772359999999997</v>
      </c>
      <c r="E5169">
        <v>0.65148839999999997</v>
      </c>
      <c r="F5169" t="s">
        <v>43</v>
      </c>
      <c r="G5169">
        <v>-310.9735</v>
      </c>
      <c r="H5169">
        <v>-0.05</v>
      </c>
      <c r="I5169">
        <v>9.0861970000000003</v>
      </c>
      <c r="J5169">
        <v>-322.15809999999999</v>
      </c>
      <c r="K5169">
        <v>1.1062379999999901</v>
      </c>
      <c r="L5169">
        <v>18.431850000000001</v>
      </c>
      <c r="M5169">
        <v>0.99848179999999997</v>
      </c>
      <c r="N5169">
        <v>-1.58756E-2</v>
      </c>
      <c r="O5169">
        <v>-5.2746849999999998E-2</v>
      </c>
      <c r="P5169">
        <v>0.95318259999999999</v>
      </c>
      <c r="Q5169">
        <v>1.166245E-2</v>
      </c>
      <c r="R5169">
        <v>-0.30217080000000002</v>
      </c>
      <c r="S5169">
        <v>2.5028380000000001</v>
      </c>
      <c r="T5169">
        <v>-0.25446950000000002</v>
      </c>
      <c r="U5169">
        <v>-2.0593569999999999</v>
      </c>
      <c r="V5169">
        <v>0.2516909</v>
      </c>
      <c r="W5169">
        <v>2.4845260000000001E-2</v>
      </c>
      <c r="X5169">
        <v>0.96748869999999998</v>
      </c>
      <c r="Y5169">
        <v>0.59164150000000004</v>
      </c>
      <c r="Z5169">
        <v>-2.7566190000000001E-2</v>
      </c>
      <c r="AA5169">
        <v>0.80572969999999999</v>
      </c>
      <c r="AB5169">
        <v>37</v>
      </c>
      <c r="AC5169">
        <v>11.1845999999999</v>
      </c>
      <c r="AD5169">
        <v>-1.1562380000000001</v>
      </c>
      <c r="AE5169">
        <v>-9.3456530000000004</v>
      </c>
      <c r="AF5169">
        <v>8.68793890364765</v>
      </c>
      <c r="AG5169">
        <v>-1.1562380000000001</v>
      </c>
      <c r="AH5169">
        <v>11.589110471858501</v>
      </c>
      <c r="AI5169">
        <v>94.564148939721207</v>
      </c>
      <c r="AJ5169">
        <v>53.142425254715697</v>
      </c>
      <c r="AK5169">
        <v>14.530129050875599</v>
      </c>
      <c r="AL5169">
        <v>88.576324952403596</v>
      </c>
      <c r="AM5169">
        <v>75.417805213312704</v>
      </c>
      <c r="AN5169">
        <v>0.99999999035748299</v>
      </c>
    </row>
    <row r="5170" spans="1:40" x14ac:dyDescent="0.25">
      <c r="A5170" t="str">
        <f>"20190305135931517"</f>
        <v>20190305135931517</v>
      </c>
      <c r="B5170" t="str">
        <f>"1551765571514075"</f>
        <v>1551765571514075</v>
      </c>
      <c r="C5170" t="s">
        <v>40</v>
      </c>
      <c r="D5170">
        <v>4.1451330000000004</v>
      </c>
      <c r="E5170">
        <v>0.65165200000000001</v>
      </c>
      <c r="F5170" t="s">
        <v>43</v>
      </c>
      <c r="G5170">
        <v>-311.05470000000003</v>
      </c>
      <c r="H5170">
        <v>-0.05</v>
      </c>
      <c r="I5170">
        <v>9.2139129999999998</v>
      </c>
      <c r="J5170">
        <v>-321.96080000000001</v>
      </c>
      <c r="K5170">
        <v>1.1062890000000001</v>
      </c>
      <c r="L5170">
        <v>18.41986</v>
      </c>
      <c r="M5170">
        <v>0.99838079999999996</v>
      </c>
      <c r="N5170">
        <v>-1.6087219999999999E-2</v>
      </c>
      <c r="O5170">
        <v>-5.4560200000000003E-2</v>
      </c>
      <c r="P5170">
        <v>0.95194650000000003</v>
      </c>
      <c r="Q5170">
        <v>1.184519E-2</v>
      </c>
      <c r="R5170">
        <v>-0.30603570000000002</v>
      </c>
      <c r="S5170">
        <v>2.49411</v>
      </c>
      <c r="T5170">
        <v>-0.25972079999999997</v>
      </c>
      <c r="U5170">
        <v>-2.0705870000000002</v>
      </c>
      <c r="V5170">
        <v>0.25386219999999998</v>
      </c>
      <c r="W5170">
        <v>2.520706E-2</v>
      </c>
      <c r="X5170">
        <v>0.96691190000000005</v>
      </c>
      <c r="Y5170">
        <v>0.59361980000000003</v>
      </c>
      <c r="Z5170">
        <v>-2.8099470000000001E-2</v>
      </c>
      <c r="AA5170">
        <v>0.80425489999999999</v>
      </c>
      <c r="AB5170">
        <v>37</v>
      </c>
      <c r="AC5170">
        <v>10.906099999999901</v>
      </c>
      <c r="AD5170">
        <v>-1.1562889999999999</v>
      </c>
      <c r="AE5170">
        <v>-9.2059470000000001</v>
      </c>
      <c r="AF5170">
        <v>8.5410528914906703</v>
      </c>
      <c r="AG5170">
        <v>-1.1562889999999999</v>
      </c>
      <c r="AH5170">
        <v>11.317905436743001</v>
      </c>
      <c r="AI5170">
        <v>94.6621140143383</v>
      </c>
      <c r="AJ5170">
        <v>52.959984691768803</v>
      </c>
      <c r="AK5170">
        <v>14.226087734223301</v>
      </c>
      <c r="AL5170">
        <v>88.555588883529396</v>
      </c>
      <c r="AM5170">
        <v>75.289044810738403</v>
      </c>
      <c r="AN5170">
        <v>1.00000001741214</v>
      </c>
    </row>
    <row r="5171" spans="1:40" x14ac:dyDescent="0.25">
      <c r="A5171" t="str">
        <f>"20190305135931529"</f>
        <v>20190305135931529</v>
      </c>
      <c r="B5171" t="str">
        <f>"1551765571523835"</f>
        <v>1551765571523835</v>
      </c>
      <c r="C5171" t="s">
        <v>40</v>
      </c>
      <c r="D5171">
        <v>4.1581669999999997</v>
      </c>
      <c r="E5171">
        <v>0.65196690000000002</v>
      </c>
      <c r="F5171" t="s">
        <v>43</v>
      </c>
      <c r="G5171">
        <v>-310.858</v>
      </c>
      <c r="H5171">
        <v>-0.05</v>
      </c>
      <c r="I5171">
        <v>9.121613</v>
      </c>
      <c r="J5171">
        <v>-321.77</v>
      </c>
      <c r="K5171">
        <v>1.1063350000000001</v>
      </c>
      <c r="L5171">
        <v>18.407710000000002</v>
      </c>
      <c r="M5171">
        <v>0.99828050000000002</v>
      </c>
      <c r="N5171">
        <v>-1.6282810000000002E-2</v>
      </c>
      <c r="O5171">
        <v>-5.6312750000000002E-2</v>
      </c>
      <c r="P5171">
        <v>0.95088620000000001</v>
      </c>
      <c r="Q5171">
        <v>1.226476E-2</v>
      </c>
      <c r="R5171">
        <v>-0.30929810000000002</v>
      </c>
      <c r="S5171">
        <v>2.4855040000000002</v>
      </c>
      <c r="T5171">
        <v>-0.25885160000000002</v>
      </c>
      <c r="U5171">
        <v>-2.0815429999999999</v>
      </c>
      <c r="V5171">
        <v>0.25548549999999998</v>
      </c>
      <c r="W5171">
        <v>2.5797670000000002E-2</v>
      </c>
      <c r="X5171">
        <v>0.96646860000000001</v>
      </c>
      <c r="Y5171">
        <v>0.59566149999999995</v>
      </c>
      <c r="Z5171">
        <v>-2.8119479999999999E-2</v>
      </c>
      <c r="AA5171">
        <v>0.80274330000000005</v>
      </c>
      <c r="AB5171">
        <v>37</v>
      </c>
      <c r="AC5171">
        <v>10.9119999999999</v>
      </c>
      <c r="AD5171">
        <v>-1.1563349999999999</v>
      </c>
      <c r="AE5171">
        <v>-9.2860969999999998</v>
      </c>
      <c r="AF5171">
        <v>8.6007759761366795</v>
      </c>
      <c r="AG5171">
        <v>-1.1563349999999999</v>
      </c>
      <c r="AH5171">
        <v>11.3437944719331</v>
      </c>
      <c r="AI5171">
        <v>94.643817958190198</v>
      </c>
      <c r="AJ5171">
        <v>52.8308811142998</v>
      </c>
      <c r="AK5171">
        <v>14.2825813859181</v>
      </c>
      <c r="AL5171">
        <v>88.521738325438605</v>
      </c>
      <c r="AM5171">
        <v>75.192603357109306</v>
      </c>
      <c r="AN5171">
        <v>0.99999995763681804</v>
      </c>
    </row>
    <row r="5172" spans="1:40" x14ac:dyDescent="0.25">
      <c r="A5172" t="str">
        <f>"20190305135931542"</f>
        <v>20190305135931542</v>
      </c>
      <c r="B5172" t="str">
        <f>"1551765571534572"</f>
        <v>1551765571534572</v>
      </c>
      <c r="C5172" t="s">
        <v>40</v>
      </c>
      <c r="D5172">
        <v>4.0598960000000002</v>
      </c>
      <c r="E5172">
        <v>0.65212419999999904</v>
      </c>
      <c r="F5172" t="s">
        <v>43</v>
      </c>
      <c r="G5172">
        <v>-310.72340000000003</v>
      </c>
      <c r="H5172">
        <v>-0.05</v>
      </c>
      <c r="I5172">
        <v>9.0770110000000006</v>
      </c>
      <c r="J5172">
        <v>-321.56349999999998</v>
      </c>
      <c r="K5172">
        <v>1.106379</v>
      </c>
      <c r="L5172">
        <v>18.394349999999999</v>
      </c>
      <c r="M5172">
        <v>0.9981679</v>
      </c>
      <c r="N5172">
        <v>-1.649014E-2</v>
      </c>
      <c r="O5172">
        <v>-5.821639E-2</v>
      </c>
      <c r="P5172">
        <v>0.94975370000000003</v>
      </c>
      <c r="Q5172">
        <v>1.3010880000000001E-2</v>
      </c>
      <c r="R5172">
        <v>-0.31272830000000001</v>
      </c>
      <c r="S5172">
        <v>2.4775999999999998</v>
      </c>
      <c r="T5172">
        <v>-0.2593491</v>
      </c>
      <c r="U5172">
        <v>-2.092743</v>
      </c>
      <c r="V5172">
        <v>0.25713920000000001</v>
      </c>
      <c r="W5172">
        <v>2.6725269999999999E-2</v>
      </c>
      <c r="X5172">
        <v>0.96600469999999905</v>
      </c>
      <c r="Y5172">
        <v>0.59749249999999998</v>
      </c>
      <c r="Z5172">
        <v>-2.8231699999999998E-2</v>
      </c>
      <c r="AA5172">
        <v>0.80137740000000002</v>
      </c>
      <c r="AB5172">
        <v>37</v>
      </c>
      <c r="AC5172">
        <v>10.8400999999999</v>
      </c>
      <c r="AD5172">
        <v>-1.156379</v>
      </c>
      <c r="AE5172">
        <v>-9.3173390000000005</v>
      </c>
      <c r="AF5172">
        <v>8.6139992915380006</v>
      </c>
      <c r="AG5172">
        <v>-1.156379</v>
      </c>
      <c r="AH5172">
        <v>11.2903141276271</v>
      </c>
      <c r="AI5172">
        <v>94.655246703350599</v>
      </c>
      <c r="AJ5172">
        <v>52.658005524950802</v>
      </c>
      <c r="AK5172">
        <v>14.248136344334799</v>
      </c>
      <c r="AL5172">
        <v>88.468572399322497</v>
      </c>
      <c r="AM5172">
        <v>75.094171783731895</v>
      </c>
      <c r="AN5172">
        <v>0.99999994432764905</v>
      </c>
    </row>
    <row r="5173" spans="1:40" x14ac:dyDescent="0.25">
      <c r="A5173" t="str">
        <f>"20190305135931552"</f>
        <v>20190305135931552</v>
      </c>
      <c r="B5173" t="str">
        <f>"1551765571544331"</f>
        <v>1551765571544331</v>
      </c>
      <c r="C5173" t="s">
        <v>40</v>
      </c>
      <c r="D5173">
        <v>4.1154979999999997</v>
      </c>
      <c r="E5173">
        <v>0.65245399999999998</v>
      </c>
      <c r="F5173" t="s">
        <v>43</v>
      </c>
      <c r="G5173">
        <v>-310.37610000000001</v>
      </c>
      <c r="H5173">
        <v>-0.05</v>
      </c>
      <c r="I5173">
        <v>8.8688350000000007</v>
      </c>
      <c r="J5173">
        <v>-321.38159999999999</v>
      </c>
      <c r="K5173">
        <v>1.1064130000000001</v>
      </c>
      <c r="L5173">
        <v>18.38214</v>
      </c>
      <c r="M5173">
        <v>0.99806479999999997</v>
      </c>
      <c r="N5173">
        <v>-1.6664120000000001E-2</v>
      </c>
      <c r="O5173">
        <v>-5.9908669999999997E-2</v>
      </c>
      <c r="P5173">
        <v>0.94870659999999896</v>
      </c>
      <c r="Q5173">
        <v>1.43888E-2</v>
      </c>
      <c r="R5173">
        <v>-0.31583040000000001</v>
      </c>
      <c r="S5173">
        <v>2.4697879999999999</v>
      </c>
      <c r="T5173">
        <v>-0.25528849999999997</v>
      </c>
      <c r="U5173">
        <v>-2.1029049999999998</v>
      </c>
      <c r="V5173">
        <v>0.25867289999999998</v>
      </c>
      <c r="W5173">
        <v>2.825153E-2</v>
      </c>
      <c r="X5173">
        <v>0.96555170000000001</v>
      </c>
      <c r="Y5173">
        <v>0.59934569999999998</v>
      </c>
      <c r="Z5173">
        <v>-2.796885E-2</v>
      </c>
      <c r="AA5173">
        <v>0.80000159999999998</v>
      </c>
      <c r="AB5173">
        <v>37</v>
      </c>
      <c r="AC5173">
        <v>11.0054999999999</v>
      </c>
      <c r="AD5173">
        <v>-1.1564129999999999</v>
      </c>
      <c r="AE5173">
        <v>-9.5133050000000008</v>
      </c>
      <c r="AF5173">
        <v>8.7813059558327993</v>
      </c>
      <c r="AG5173">
        <v>-1.1564129999999999</v>
      </c>
      <c r="AH5173">
        <v>11.483171415846099</v>
      </c>
      <c r="AI5173">
        <v>94.573672389883697</v>
      </c>
      <c r="AJ5173">
        <v>52.5944631971253</v>
      </c>
      <c r="AK5173">
        <v>14.502132639105801</v>
      </c>
      <c r="AL5173">
        <v>88.381091084306505</v>
      </c>
      <c r="AM5173">
        <v>75.002541183872594</v>
      </c>
      <c r="AN5173">
        <v>0.99999995175731904</v>
      </c>
    </row>
    <row r="5174" spans="1:40" x14ac:dyDescent="0.25">
      <c r="A5174" t="str">
        <f>"20190305135931563"</f>
        <v>20190305135931563</v>
      </c>
      <c r="B5174" t="str">
        <f>"1551765571554092"</f>
        <v>1551765571554092</v>
      </c>
      <c r="C5174" t="s">
        <v>40</v>
      </c>
      <c r="D5174">
        <v>4.1219449999999904</v>
      </c>
      <c r="E5174">
        <v>0.652752</v>
      </c>
      <c r="F5174" t="s">
        <v>43</v>
      </c>
      <c r="G5174">
        <v>-310.02879999999999</v>
      </c>
      <c r="H5174">
        <v>-0.05</v>
      </c>
      <c r="I5174">
        <v>8.6367649999999898</v>
      </c>
      <c r="J5174">
        <v>-321.21300000000002</v>
      </c>
      <c r="K5174">
        <v>1.106425</v>
      </c>
      <c r="L5174">
        <v>18.370609999999999</v>
      </c>
      <c r="M5174">
        <v>0.99794939999999999</v>
      </c>
      <c r="N5174">
        <v>-1.6688979999999999E-2</v>
      </c>
      <c r="O5174">
        <v>-6.1793279999999999E-2</v>
      </c>
      <c r="P5174">
        <v>0.94753379999999998</v>
      </c>
      <c r="Q5174">
        <v>1.5993070000000002E-2</v>
      </c>
      <c r="R5174">
        <v>-0.31925540000000002</v>
      </c>
      <c r="S5174">
        <v>2.4623110000000001</v>
      </c>
      <c r="T5174">
        <v>-0.2508147</v>
      </c>
      <c r="U5174">
        <v>-2.1136780000000002</v>
      </c>
      <c r="V5174">
        <v>0.26035150000000001</v>
      </c>
      <c r="W5174">
        <v>2.9869710000000001E-2</v>
      </c>
      <c r="X5174">
        <v>0.96505180000000002</v>
      </c>
      <c r="Y5174">
        <v>0.60111250000000005</v>
      </c>
      <c r="Z5174">
        <v>-2.7592510000000001E-2</v>
      </c>
      <c r="AA5174">
        <v>0.79868790000000001</v>
      </c>
      <c r="AB5174">
        <v>37</v>
      </c>
      <c r="AC5174">
        <v>11.184199999999899</v>
      </c>
      <c r="AD5174">
        <v>-1.156425</v>
      </c>
      <c r="AE5174">
        <v>-9.7338450000000005</v>
      </c>
      <c r="AF5174">
        <v>8.9694693830328198</v>
      </c>
      <c r="AG5174">
        <v>-1.156425</v>
      </c>
      <c r="AH5174">
        <v>11.6932569910719</v>
      </c>
      <c r="AI5174">
        <v>94.486808391698105</v>
      </c>
      <c r="AJ5174">
        <v>52.509507105850297</v>
      </c>
      <c r="AK5174">
        <v>14.782454425873899</v>
      </c>
      <c r="AL5174">
        <v>88.288337161521497</v>
      </c>
      <c r="AM5174">
        <v>74.902183789699194</v>
      </c>
      <c r="AN5174">
        <v>1.00000003990548</v>
      </c>
    </row>
    <row r="5175" spans="1:40" x14ac:dyDescent="0.25">
      <c r="A5175" t="str">
        <f>"20190305135931572"</f>
        <v>20190305135931572</v>
      </c>
      <c r="B5175" t="str">
        <f>"1551765571563852"</f>
        <v>1551765571563852</v>
      </c>
      <c r="C5175" t="s">
        <v>40</v>
      </c>
      <c r="D5175">
        <v>4.1153729999999999</v>
      </c>
      <c r="E5175">
        <v>0.65303869999999997</v>
      </c>
      <c r="F5175" t="s">
        <v>43</v>
      </c>
      <c r="G5175">
        <v>-309.71109999999999</v>
      </c>
      <c r="H5175">
        <v>-0.05</v>
      </c>
      <c r="I5175">
        <v>8.4117580000000007</v>
      </c>
      <c r="J5175">
        <v>-321.04790000000003</v>
      </c>
      <c r="K5175">
        <v>1.1064179999999999</v>
      </c>
      <c r="L5175">
        <v>18.359100000000002</v>
      </c>
      <c r="M5175">
        <v>0.99781439999999999</v>
      </c>
      <c r="N5175">
        <v>-1.6571039999999999E-2</v>
      </c>
      <c r="O5175">
        <v>-6.396686E-2</v>
      </c>
      <c r="P5175">
        <v>0.94610970000000005</v>
      </c>
      <c r="Q5175">
        <v>1.7710790000000001E-2</v>
      </c>
      <c r="R5175">
        <v>-0.32336199999999998</v>
      </c>
      <c r="S5175">
        <v>2.454285</v>
      </c>
      <c r="T5175">
        <v>-0.2467597</v>
      </c>
      <c r="U5175">
        <v>-2.1250309999999999</v>
      </c>
      <c r="V5175">
        <v>0.26244800000000001</v>
      </c>
      <c r="W5175">
        <v>3.1471609999999997E-2</v>
      </c>
      <c r="X5175">
        <v>0.96443279999999998</v>
      </c>
      <c r="Y5175">
        <v>0.60283710000000001</v>
      </c>
      <c r="Z5175">
        <v>-2.7175930000000001E-2</v>
      </c>
      <c r="AA5175">
        <v>0.79740140000000004</v>
      </c>
      <c r="AB5175">
        <v>37</v>
      </c>
      <c r="AC5175">
        <v>11.3368</v>
      </c>
      <c r="AD5175">
        <v>-1.1564179999999999</v>
      </c>
      <c r="AE5175">
        <v>-9.9473419999999901</v>
      </c>
      <c r="AF5175">
        <v>9.14790519478208</v>
      </c>
      <c r="AG5175">
        <v>-1.1564179999999999</v>
      </c>
      <c r="AH5175">
        <v>11.880120992012399</v>
      </c>
      <c r="AI5175">
        <v>94.410214546716702</v>
      </c>
      <c r="AJ5175">
        <v>52.403086891657701</v>
      </c>
      <c r="AK5175">
        <v>15.0385752925035</v>
      </c>
      <c r="AL5175">
        <v>88.196511811104301</v>
      </c>
      <c r="AM5175">
        <v>74.776909520813206</v>
      </c>
      <c r="AN5175">
        <v>1.00000002032791</v>
      </c>
    </row>
    <row r="5176" spans="1:40" x14ac:dyDescent="0.25">
      <c r="A5176" t="str">
        <f>"20190305135931583"</f>
        <v>20190305135931583</v>
      </c>
      <c r="B5176" t="str">
        <f>"1551765571574588"</f>
        <v>1551765571574588</v>
      </c>
      <c r="C5176" t="s">
        <v>40</v>
      </c>
      <c r="D5176">
        <v>4.1023449999999997</v>
      </c>
      <c r="E5176">
        <v>0.65346729999999997</v>
      </c>
      <c r="F5176" t="s">
        <v>43</v>
      </c>
      <c r="G5176">
        <v>-309.43630000000002</v>
      </c>
      <c r="H5176">
        <v>-0.05</v>
      </c>
      <c r="I5176">
        <v>8.2026520000000005</v>
      </c>
      <c r="J5176">
        <v>-320.87880000000001</v>
      </c>
      <c r="K5176">
        <v>1.1063019999999999</v>
      </c>
      <c r="L5176">
        <v>18.347049999999999</v>
      </c>
      <c r="M5176">
        <v>0.99768009999999996</v>
      </c>
      <c r="N5176">
        <v>-1.6420959999999998E-2</v>
      </c>
      <c r="O5176">
        <v>-6.6067929999999997E-2</v>
      </c>
      <c r="P5176">
        <v>0.94460659999999996</v>
      </c>
      <c r="Q5176">
        <v>1.9251440000000002E-2</v>
      </c>
      <c r="R5176">
        <v>-0.32764070000000001</v>
      </c>
      <c r="S5176">
        <v>2.4446110000000001</v>
      </c>
      <c r="T5176">
        <v>-0.24346139999999999</v>
      </c>
      <c r="U5176">
        <v>-2.138245</v>
      </c>
      <c r="V5176">
        <v>0.26479899999999901</v>
      </c>
      <c r="W5176">
        <v>3.2811779999999999E-2</v>
      </c>
      <c r="X5176">
        <v>0.96374519999999997</v>
      </c>
      <c r="Y5176">
        <v>0.60520890000000005</v>
      </c>
      <c r="Z5176">
        <v>-2.685676E-2</v>
      </c>
      <c r="AA5176">
        <v>0.79561349999999997</v>
      </c>
      <c r="AB5176">
        <v>37</v>
      </c>
      <c r="AC5176">
        <v>11.4424999999999</v>
      </c>
      <c r="AD5176">
        <v>-1.1563019999999999</v>
      </c>
      <c r="AE5176">
        <v>-10.144398000000001</v>
      </c>
      <c r="AF5176">
        <v>9.3128949261295499</v>
      </c>
      <c r="AG5176">
        <v>-1.1563019999999999</v>
      </c>
      <c r="AH5176">
        <v>12.0190805530454</v>
      </c>
      <c r="AI5176">
        <v>94.348864189096304</v>
      </c>
      <c r="AJ5176">
        <v>52.229952477592697</v>
      </c>
      <c r="AK5176">
        <v>15.248781707432499</v>
      </c>
      <c r="AL5176">
        <v>88.119685927424996</v>
      </c>
      <c r="AM5176">
        <v>74.636513329469807</v>
      </c>
      <c r="AN5176">
        <v>0.99999996691540305</v>
      </c>
    </row>
    <row r="5177" spans="1:40" x14ac:dyDescent="0.25">
      <c r="A5177" t="str">
        <f>"20190305135931594"</f>
        <v>20190305135931594</v>
      </c>
      <c r="B5177" t="str">
        <f>"1551765571584348"</f>
        <v>1551765571584348</v>
      </c>
      <c r="C5177" t="s">
        <v>40</v>
      </c>
      <c r="D5177">
        <v>4.0932380000000004</v>
      </c>
      <c r="E5177">
        <v>0.65372540000000001</v>
      </c>
      <c r="F5177" t="s">
        <v>43</v>
      </c>
      <c r="G5177">
        <v>-309.21510000000001</v>
      </c>
      <c r="H5177">
        <v>-0.05</v>
      </c>
      <c r="I5177">
        <v>8.0312350000000006</v>
      </c>
      <c r="J5177">
        <v>-320.69450000000001</v>
      </c>
      <c r="K5177">
        <v>1.1060730000000001</v>
      </c>
      <c r="L5177">
        <v>18.33353</v>
      </c>
      <c r="M5177">
        <v>0.99753800000000004</v>
      </c>
      <c r="N5177">
        <v>-1.6226109999999998E-2</v>
      </c>
      <c r="O5177">
        <v>-6.8225690000000005E-2</v>
      </c>
      <c r="P5177">
        <v>0.94315230000000005</v>
      </c>
      <c r="Q5177">
        <v>2.0612729999999999E-2</v>
      </c>
      <c r="R5177">
        <v>-0.3317214</v>
      </c>
      <c r="S5177">
        <v>2.4341430000000002</v>
      </c>
      <c r="T5177">
        <v>-0.24131169999999999</v>
      </c>
      <c r="U5177">
        <v>-2.1528320000000001</v>
      </c>
      <c r="V5177">
        <v>0.26690409999999998</v>
      </c>
      <c r="W5177">
        <v>3.3875479999999999E-2</v>
      </c>
      <c r="X5177">
        <v>0.96312759999999997</v>
      </c>
      <c r="Y5177">
        <v>0.60789029999999999</v>
      </c>
      <c r="Z5177">
        <v>-2.6628800000000001E-2</v>
      </c>
      <c r="AA5177">
        <v>0.79357440000000001</v>
      </c>
      <c r="AB5177">
        <v>37</v>
      </c>
      <c r="AC5177">
        <v>11.479399999999901</v>
      </c>
      <c r="AD5177">
        <v>-1.1560729999999999</v>
      </c>
      <c r="AE5177">
        <v>-10.302295000000001</v>
      </c>
      <c r="AF5177">
        <v>9.4419492781894991</v>
      </c>
      <c r="AG5177">
        <v>-1.1560729999999999</v>
      </c>
      <c r="AH5177">
        <v>12.0877147221476</v>
      </c>
      <c r="AI5177">
        <v>94.310329452084801</v>
      </c>
      <c r="AJ5177">
        <v>52.0059121811776</v>
      </c>
      <c r="AK5177">
        <v>15.381799574733</v>
      </c>
      <c r="AL5177">
        <v>88.0587066754087</v>
      </c>
      <c r="AM5177">
        <v>74.5107627105224</v>
      </c>
      <c r="AN5177">
        <v>1.0000000603118899</v>
      </c>
    </row>
    <row r="5178" spans="1:40" x14ac:dyDescent="0.25">
      <c r="A5178" t="str">
        <f>"20190305135931604"</f>
        <v>20190305135931604</v>
      </c>
      <c r="B5178" t="str">
        <f>"1551765571594107"</f>
        <v>1551765571594107</v>
      </c>
      <c r="C5178" t="s">
        <v>40</v>
      </c>
      <c r="D5178">
        <v>4.0559229999999999</v>
      </c>
      <c r="E5178">
        <v>0.65400919999999996</v>
      </c>
      <c r="F5178" t="s">
        <v>43</v>
      </c>
      <c r="G5178">
        <v>-308.97519999999997</v>
      </c>
      <c r="H5178">
        <v>-0.05</v>
      </c>
      <c r="I5178">
        <v>7.866333</v>
      </c>
      <c r="J5178">
        <v>-320.52109999999999</v>
      </c>
      <c r="K5178">
        <v>1.1058250000000001</v>
      </c>
      <c r="L5178">
        <v>18.32037</v>
      </c>
      <c r="M5178">
        <v>0.99740899999999999</v>
      </c>
      <c r="N5178">
        <v>-1.6260589999999998E-2</v>
      </c>
      <c r="O5178">
        <v>-7.0079160000000001E-2</v>
      </c>
      <c r="P5178">
        <v>0.94180410000000003</v>
      </c>
      <c r="Q5178">
        <v>2.0753440000000001E-2</v>
      </c>
      <c r="R5178">
        <v>-0.33552179999999998</v>
      </c>
      <c r="S5178">
        <v>2.4244379999999999</v>
      </c>
      <c r="T5178">
        <v>-0.2391633</v>
      </c>
      <c r="U5178">
        <v>-2.1654049999999998</v>
      </c>
      <c r="V5178">
        <v>0.2690131</v>
      </c>
      <c r="W5178">
        <v>3.3916469999999997E-2</v>
      </c>
      <c r="X5178">
        <v>0.96253920000000004</v>
      </c>
      <c r="Y5178">
        <v>0.61030419999999996</v>
      </c>
      <c r="Z5178">
        <v>-2.6500180000000002E-2</v>
      </c>
      <c r="AA5178">
        <v>0.79172369999999903</v>
      </c>
      <c r="AB5178">
        <v>37</v>
      </c>
      <c r="AC5178">
        <v>11.5459</v>
      </c>
      <c r="AD5178">
        <v>-1.1558250000000001</v>
      </c>
      <c r="AE5178">
        <v>-10.454037</v>
      </c>
      <c r="AF5178">
        <v>9.56641361507935</v>
      </c>
      <c r="AG5178">
        <v>-1.1558250000000001</v>
      </c>
      <c r="AH5178">
        <v>12.183122483657201</v>
      </c>
      <c r="AI5178">
        <v>94.267318248347195</v>
      </c>
      <c r="AJ5178">
        <v>51.860339921558797</v>
      </c>
      <c r="AK5178">
        <v>15.5332119774757</v>
      </c>
      <c r="AL5178">
        <v>88.056356737986107</v>
      </c>
      <c r="AM5178">
        <v>74.385239053846902</v>
      </c>
      <c r="AN5178">
        <v>1.00000004322275</v>
      </c>
    </row>
    <row r="5179" spans="1:40" x14ac:dyDescent="0.25">
      <c r="A5179" t="str">
        <f>"20190305135931616"</f>
        <v>20190305135931616</v>
      </c>
      <c r="B5179" t="str">
        <f>"1551765571603868"</f>
        <v>1551765571603868</v>
      </c>
      <c r="C5179" t="s">
        <v>40</v>
      </c>
      <c r="D5179">
        <v>4.0609109999999999</v>
      </c>
      <c r="E5179">
        <v>0.65442609999999901</v>
      </c>
      <c r="F5179" t="s">
        <v>43</v>
      </c>
      <c r="G5179">
        <v>-308.79140000000001</v>
      </c>
      <c r="H5179">
        <v>-0.05</v>
      </c>
      <c r="I5179">
        <v>7.744186</v>
      </c>
      <c r="J5179">
        <v>-320.3356</v>
      </c>
      <c r="K5179">
        <v>1.10554</v>
      </c>
      <c r="L5179">
        <v>18.306059999999999</v>
      </c>
      <c r="M5179">
        <v>0.99727200000000005</v>
      </c>
      <c r="N5179">
        <v>-1.6416799999999999E-2</v>
      </c>
      <c r="O5179">
        <v>-7.1967059999999999E-2</v>
      </c>
      <c r="P5179">
        <v>0.94050940000000005</v>
      </c>
      <c r="Q5179">
        <v>2.1016420000000001E-2</v>
      </c>
      <c r="R5179">
        <v>-0.33911770000000002</v>
      </c>
      <c r="S5179">
        <v>2.414917</v>
      </c>
      <c r="T5179">
        <v>-0.2379619</v>
      </c>
      <c r="U5179">
        <v>-2.1774290000000001</v>
      </c>
      <c r="V5179">
        <v>0.2708892</v>
      </c>
      <c r="W5179">
        <v>3.4176190000000002E-2</v>
      </c>
      <c r="X5179">
        <v>0.96200359999999996</v>
      </c>
      <c r="Y5179">
        <v>0.61253709999999995</v>
      </c>
      <c r="Z5179">
        <v>-2.6488859999999999E-2</v>
      </c>
      <c r="AA5179">
        <v>0.78999790000000003</v>
      </c>
      <c r="AB5179">
        <v>37</v>
      </c>
      <c r="AC5179">
        <v>11.544199999999901</v>
      </c>
      <c r="AD5179">
        <v>-1.15554</v>
      </c>
      <c r="AE5179">
        <v>-10.561874</v>
      </c>
      <c r="AF5179">
        <v>9.6509289924013597</v>
      </c>
      <c r="AG5179">
        <v>-1.15554</v>
      </c>
      <c r="AH5179">
        <v>12.207884763727799</v>
      </c>
      <c r="AI5179">
        <v>94.246670549329707</v>
      </c>
      <c r="AJ5179">
        <v>51.6719077828987</v>
      </c>
      <c r="AK5179">
        <v>15.6047477875303</v>
      </c>
      <c r="AL5179">
        <v>88.041467061096</v>
      </c>
      <c r="AM5179">
        <v>74.273388103391795</v>
      </c>
      <c r="AN5179">
        <v>0.99999994852625596</v>
      </c>
    </row>
    <row r="5180" spans="1:40" x14ac:dyDescent="0.25">
      <c r="A5180" t="str">
        <f>"20190305135931629"</f>
        <v>20190305135931629</v>
      </c>
      <c r="B5180" t="str">
        <f>"1551765571624579"</f>
        <v>1551765571624579</v>
      </c>
      <c r="C5180" t="s">
        <v>40</v>
      </c>
      <c r="D5180">
        <v>4.0362019999999896</v>
      </c>
      <c r="E5180">
        <v>0.6551148</v>
      </c>
      <c r="F5180" t="s">
        <v>43</v>
      </c>
      <c r="G5180">
        <v>-308.58870000000002</v>
      </c>
      <c r="H5180">
        <v>-0.05</v>
      </c>
      <c r="I5180">
        <v>7.6075739999999996</v>
      </c>
      <c r="J5180">
        <v>-320.14069999999998</v>
      </c>
      <c r="K5180">
        <v>1.105164</v>
      </c>
      <c r="L5180">
        <v>18.290369999999999</v>
      </c>
      <c r="M5180">
        <v>0.99712049999999997</v>
      </c>
      <c r="N5180">
        <v>-1.6784139999999999E-2</v>
      </c>
      <c r="O5180">
        <v>-7.3952980000000001E-2</v>
      </c>
      <c r="P5180">
        <v>0.9393302</v>
      </c>
      <c r="Q5180">
        <v>2.0802350000000001E-2</v>
      </c>
      <c r="R5180">
        <v>-0.34238279999999999</v>
      </c>
      <c r="S5180">
        <v>2.405243</v>
      </c>
      <c r="T5180">
        <v>-0.2366037</v>
      </c>
      <c r="U5180">
        <v>-2.190582</v>
      </c>
      <c r="V5180">
        <v>0.27233420000000003</v>
      </c>
      <c r="W5180">
        <v>3.415236E-2</v>
      </c>
      <c r="X5180">
        <v>0.96159640000000002</v>
      </c>
      <c r="Y5180">
        <v>0.61490800000000001</v>
      </c>
      <c r="Z5180">
        <v>-2.655325E-2</v>
      </c>
      <c r="AA5180">
        <v>0.78815159999999995</v>
      </c>
      <c r="AB5180">
        <v>37</v>
      </c>
      <c r="AC5180">
        <v>11.5519999999999</v>
      </c>
      <c r="AD5180">
        <v>-1.1551639999999901</v>
      </c>
      <c r="AE5180">
        <v>-10.682796</v>
      </c>
      <c r="AF5180">
        <v>9.7465762647559604</v>
      </c>
      <c r="AG5180">
        <v>-1.1551639999999901</v>
      </c>
      <c r="AH5180">
        <v>12.244496763528399</v>
      </c>
      <c r="AI5180">
        <v>94.221475133205303</v>
      </c>
      <c r="AJ5180">
        <v>51.480334103024497</v>
      </c>
      <c r="AK5180">
        <v>15.692605065560601</v>
      </c>
      <c r="AL5180">
        <v>88.042833255902096</v>
      </c>
      <c r="AM5180">
        <v>74.187320945343302</v>
      </c>
      <c r="AN5180">
        <v>0.99999996833808402</v>
      </c>
    </row>
    <row r="5181" spans="1:40" x14ac:dyDescent="0.25">
      <c r="A5181" t="str">
        <f>"20190305135931640"</f>
        <v>20190305135931640</v>
      </c>
      <c r="B5181" t="str">
        <f>"1551765571634337"</f>
        <v>1551765571634337</v>
      </c>
      <c r="C5181" t="s">
        <v>40</v>
      </c>
      <c r="D5181">
        <v>4.0269500000000003</v>
      </c>
      <c r="E5181">
        <v>0.65547659999999996</v>
      </c>
      <c r="F5181" t="s">
        <v>43</v>
      </c>
      <c r="G5181">
        <v>-308.47109999999998</v>
      </c>
      <c r="H5181">
        <v>-0.05</v>
      </c>
      <c r="I5181">
        <v>7.5508579999999998</v>
      </c>
      <c r="J5181">
        <v>-319.95690000000002</v>
      </c>
      <c r="K5181">
        <v>1.104778</v>
      </c>
      <c r="L5181">
        <v>18.275390000000002</v>
      </c>
      <c r="M5181">
        <v>0.99697199999999997</v>
      </c>
      <c r="N5181">
        <v>-1.7179529999999998E-2</v>
      </c>
      <c r="O5181">
        <v>-7.5840840000000007E-2</v>
      </c>
      <c r="P5181">
        <v>0.93828900000000004</v>
      </c>
      <c r="Q5181">
        <v>2.0565690000000001E-2</v>
      </c>
      <c r="R5181">
        <v>-0.34524070000000001</v>
      </c>
      <c r="S5181">
        <v>2.3954770000000001</v>
      </c>
      <c r="T5181">
        <v>-0.23712649999999999</v>
      </c>
      <c r="U5181">
        <v>-2.2045590000000002</v>
      </c>
      <c r="V5181">
        <v>0.27345849999999999</v>
      </c>
      <c r="W5181">
        <v>3.414093E-2</v>
      </c>
      <c r="X5181">
        <v>0.96127770000000001</v>
      </c>
      <c r="Y5181">
        <v>0.61747989999999997</v>
      </c>
      <c r="Z5181">
        <v>-2.6803069999999998E-2</v>
      </c>
      <c r="AA5181">
        <v>0.78612979999999999</v>
      </c>
      <c r="AB5181">
        <v>37</v>
      </c>
      <c r="AC5181">
        <v>11.485799999999999</v>
      </c>
      <c r="AD5181">
        <v>-1.1547780000000001</v>
      </c>
      <c r="AE5181">
        <v>-10.7245319999999</v>
      </c>
      <c r="AF5181">
        <v>9.7696565490604304</v>
      </c>
      <c r="AG5181">
        <v>-1.1547780000000001</v>
      </c>
      <c r="AH5181">
        <v>12.200304248780499</v>
      </c>
      <c r="AI5181">
        <v>94.225486521841901</v>
      </c>
      <c r="AJ5181">
        <v>51.313246655248903</v>
      </c>
      <c r="AK5181">
        <v>15.6724958152393</v>
      </c>
      <c r="AL5181">
        <v>88.0434885622509</v>
      </c>
      <c r="AM5181">
        <v>74.120326168682993</v>
      </c>
      <c r="AN5181">
        <v>0.99999998542040203</v>
      </c>
    </row>
    <row r="5182" spans="1:40" x14ac:dyDescent="0.25">
      <c r="A5182" t="str">
        <f>"20190305135931651"</f>
        <v>20190305135931651</v>
      </c>
      <c r="B5182" t="str">
        <f>"1551765571644359"</f>
        <v>1551765571644359</v>
      </c>
      <c r="C5182" t="s">
        <v>40</v>
      </c>
      <c r="D5182">
        <v>4.0090940000000002</v>
      </c>
      <c r="E5182">
        <v>0.65582510000000005</v>
      </c>
      <c r="F5182" t="s">
        <v>43</v>
      </c>
      <c r="G5182">
        <v>-308.31079999999997</v>
      </c>
      <c r="H5182">
        <v>-0.05</v>
      </c>
      <c r="I5182">
        <v>7.4678649999999998</v>
      </c>
      <c r="J5182">
        <v>-319.77260000000001</v>
      </c>
      <c r="K5182">
        <v>1.1042620000000001</v>
      </c>
      <c r="L5182">
        <v>18.259699999999999</v>
      </c>
      <c r="M5182">
        <v>0.99680959999999996</v>
      </c>
      <c r="N5182">
        <v>-1.7692619999999999E-2</v>
      </c>
      <c r="O5182">
        <v>-7.7830289999999996E-2</v>
      </c>
      <c r="P5182">
        <v>0.93719640000000004</v>
      </c>
      <c r="Q5182">
        <v>2.035613E-2</v>
      </c>
      <c r="R5182">
        <v>-0.34820790000000001</v>
      </c>
      <c r="S5182">
        <v>2.3873600000000001</v>
      </c>
      <c r="T5182">
        <v>-0.23672000000000001</v>
      </c>
      <c r="U5182">
        <v>-2.2154539999999998</v>
      </c>
      <c r="V5182">
        <v>0.27460319999999999</v>
      </c>
      <c r="W5182">
        <v>3.4254350000000003E-2</v>
      </c>
      <c r="X5182">
        <v>0.96094729999999995</v>
      </c>
      <c r="Y5182">
        <v>0.61915799999999999</v>
      </c>
      <c r="Z5182">
        <v>-2.697111E-2</v>
      </c>
      <c r="AA5182">
        <v>0.78480319999999903</v>
      </c>
      <c r="AB5182">
        <v>36</v>
      </c>
      <c r="AC5182">
        <v>11.4618</v>
      </c>
      <c r="AD5182">
        <v>-1.1542619999999999</v>
      </c>
      <c r="AE5182">
        <v>-10.791835000000001</v>
      </c>
      <c r="AF5182">
        <v>9.81411537042578</v>
      </c>
      <c r="AG5182">
        <v>-1.1542619999999999</v>
      </c>
      <c r="AH5182">
        <v>12.2014914570083</v>
      </c>
      <c r="AI5182">
        <v>94.215877671530507</v>
      </c>
      <c r="AJ5182">
        <v>51.188980224552097</v>
      </c>
      <c r="AK5182">
        <v>15.701132922312301</v>
      </c>
      <c r="AL5182">
        <v>88.036986291692799</v>
      </c>
      <c r="AM5182">
        <v>74.052022738991496</v>
      </c>
      <c r="AN5182">
        <v>0.99999999566072595</v>
      </c>
    </row>
    <row r="5183" spans="1:40" x14ac:dyDescent="0.25">
      <c r="A5183" t="str">
        <f>"20190305135931661"</f>
        <v>20190305135931661</v>
      </c>
      <c r="B5183" t="str">
        <f>"1551765571654120"</f>
        <v>1551765571654120</v>
      </c>
      <c r="C5183" t="s">
        <v>40</v>
      </c>
      <c r="D5183">
        <v>4.0112540000000001</v>
      </c>
      <c r="E5183">
        <v>0.65620610000000001</v>
      </c>
      <c r="F5183" t="s">
        <v>43</v>
      </c>
      <c r="G5183">
        <v>-308.16609999999997</v>
      </c>
      <c r="H5183">
        <v>-0.05</v>
      </c>
      <c r="I5183">
        <v>7.3996729999999999</v>
      </c>
      <c r="J5183">
        <v>-319.60039999999998</v>
      </c>
      <c r="K5183">
        <v>1.1037490000000001</v>
      </c>
      <c r="L5183">
        <v>18.24475</v>
      </c>
      <c r="M5183">
        <v>0.99665400000000004</v>
      </c>
      <c r="N5183">
        <v>-1.8228569999999999E-2</v>
      </c>
      <c r="O5183">
        <v>-7.9679100000000003E-2</v>
      </c>
      <c r="P5183">
        <v>0.93598780000000004</v>
      </c>
      <c r="Q5183">
        <v>2.0478199999999998E-2</v>
      </c>
      <c r="R5183">
        <v>-0.35143679999999999</v>
      </c>
      <c r="S5183">
        <v>2.379089</v>
      </c>
      <c r="T5183">
        <v>-0.2365988</v>
      </c>
      <c r="U5183">
        <v>-2.2260740000000001</v>
      </c>
      <c r="V5183">
        <v>0.27615889999999998</v>
      </c>
      <c r="W5183">
        <v>3.4721849999999999E-2</v>
      </c>
      <c r="X5183">
        <v>0.96048460000000002</v>
      </c>
      <c r="Y5183">
        <v>0.62091149999999995</v>
      </c>
      <c r="Z5183">
        <v>-2.7190280000000001E-2</v>
      </c>
      <c r="AA5183">
        <v>0.78340889999999996</v>
      </c>
      <c r="AB5183">
        <v>36</v>
      </c>
      <c r="AC5183">
        <v>11.4343</v>
      </c>
      <c r="AD5183">
        <v>-1.1537489999999999</v>
      </c>
      <c r="AE5183">
        <v>-10.845077</v>
      </c>
      <c r="AF5183">
        <v>9.8465832638894604</v>
      </c>
      <c r="AG5183">
        <v>-1.1537489999999999</v>
      </c>
      <c r="AH5183">
        <v>12.1968310559036</v>
      </c>
      <c r="AI5183">
        <v>94.209525808713195</v>
      </c>
      <c r="AJ5183">
        <v>51.0858303377453</v>
      </c>
      <c r="AK5183">
        <v>15.717793309938999</v>
      </c>
      <c r="AL5183">
        <v>88.010184590630004</v>
      </c>
      <c r="AM5183">
        <v>73.958978004277299</v>
      </c>
      <c r="AN5183">
        <v>1.0000000058768901</v>
      </c>
    </row>
    <row r="5184" spans="1:40" x14ac:dyDescent="0.25">
      <c r="A5184" t="str">
        <f>"20190305135931672"</f>
        <v>20190305135931672</v>
      </c>
      <c r="B5184" t="str">
        <f>"1551765571663930"</f>
        <v>1551765571663930</v>
      </c>
      <c r="C5184" t="s">
        <v>40</v>
      </c>
      <c r="D5184">
        <v>4.1106020000000001</v>
      </c>
      <c r="E5184">
        <v>0.65653899999999998</v>
      </c>
      <c r="F5184" t="s">
        <v>43</v>
      </c>
      <c r="G5184">
        <v>-307.98649999999998</v>
      </c>
      <c r="H5184">
        <v>-0.05</v>
      </c>
      <c r="I5184">
        <v>7.2805179999999901</v>
      </c>
      <c r="J5184">
        <v>-319.40949999999998</v>
      </c>
      <c r="K5184">
        <v>1.1030949999999999</v>
      </c>
      <c r="L5184">
        <v>18.227630000000001</v>
      </c>
      <c r="M5184">
        <v>0.99647660000000005</v>
      </c>
      <c r="N5184">
        <v>-1.895252E-2</v>
      </c>
      <c r="O5184">
        <v>-8.1701880000000005E-2</v>
      </c>
      <c r="P5184">
        <v>0.93465480000000001</v>
      </c>
      <c r="Q5184">
        <v>2.0887030000000001E-2</v>
      </c>
      <c r="R5184">
        <v>-0.35494320000000001</v>
      </c>
      <c r="S5184">
        <v>2.3701479999999999</v>
      </c>
      <c r="T5184">
        <v>-0.23545379999999999</v>
      </c>
      <c r="U5184">
        <v>-2.237549</v>
      </c>
      <c r="V5184">
        <v>0.27784389999999998</v>
      </c>
      <c r="W5184">
        <v>3.5634430000000002E-2</v>
      </c>
      <c r="X5184">
        <v>0.95996510000000002</v>
      </c>
      <c r="Y5184">
        <v>0.62279059999999997</v>
      </c>
      <c r="Z5184">
        <v>-2.7407890000000001E-2</v>
      </c>
      <c r="AA5184">
        <v>0.78190839999999995</v>
      </c>
      <c r="AB5184">
        <v>36</v>
      </c>
      <c r="AC5184">
        <v>11.423</v>
      </c>
      <c r="AD5184">
        <v>-1.153095</v>
      </c>
      <c r="AE5184">
        <v>-10.947112000000001</v>
      </c>
      <c r="AF5184">
        <v>9.9243379963231906</v>
      </c>
      <c r="AG5184">
        <v>-1.153095</v>
      </c>
      <c r="AH5184">
        <v>12.2144786097899</v>
      </c>
      <c r="AI5184">
        <v>94.190459918108701</v>
      </c>
      <c r="AJ5184">
        <v>50.905931670099498</v>
      </c>
      <c r="AK5184">
        <v>15.7802281495961</v>
      </c>
      <c r="AL5184">
        <v>87.957865251386295</v>
      </c>
      <c r="AM5184">
        <v>73.857904503748301</v>
      </c>
      <c r="AN5184">
        <v>1.0000000192933201</v>
      </c>
    </row>
    <row r="5185" spans="1:40" x14ac:dyDescent="0.25">
      <c r="A5185" t="str">
        <f>"20190305135931683"</f>
        <v>20190305135931683</v>
      </c>
      <c r="B5185" t="str">
        <f>"1551765571674665"</f>
        <v>1551765571674665</v>
      </c>
      <c r="C5185" t="s">
        <v>40</v>
      </c>
      <c r="D5185">
        <v>4.1132549999999997</v>
      </c>
      <c r="E5185">
        <v>0.656837</v>
      </c>
      <c r="F5185" t="s">
        <v>43</v>
      </c>
      <c r="G5185">
        <v>-307.89850000000001</v>
      </c>
      <c r="H5185">
        <v>-0.05</v>
      </c>
      <c r="I5185">
        <v>7.2596439999999998</v>
      </c>
      <c r="J5185">
        <v>-319.24189999999999</v>
      </c>
      <c r="K5185">
        <v>1.102484</v>
      </c>
      <c r="L5185">
        <v>18.2121</v>
      </c>
      <c r="M5185">
        <v>0.99631519999999996</v>
      </c>
      <c r="N5185">
        <v>-1.9660339999999998E-2</v>
      </c>
      <c r="O5185">
        <v>-8.348448E-2</v>
      </c>
      <c r="P5185">
        <v>0.93327400000000005</v>
      </c>
      <c r="Q5185">
        <v>2.13017E-2</v>
      </c>
      <c r="R5185">
        <v>-0.35853390000000002</v>
      </c>
      <c r="S5185">
        <v>2.360779</v>
      </c>
      <c r="T5185">
        <v>-0.23648759999999999</v>
      </c>
      <c r="U5185">
        <v>-2.2494200000000002</v>
      </c>
      <c r="V5185">
        <v>0.2798485</v>
      </c>
      <c r="W5185">
        <v>3.655651E-2</v>
      </c>
      <c r="X5185">
        <v>0.95934790000000003</v>
      </c>
      <c r="Y5185">
        <v>0.62495719999999899</v>
      </c>
      <c r="Z5185">
        <v>-2.783383E-2</v>
      </c>
      <c r="AA5185">
        <v>0.78016269999999999</v>
      </c>
      <c r="AB5185">
        <v>36</v>
      </c>
      <c r="AC5185">
        <v>11.3433999999999</v>
      </c>
      <c r="AD5185">
        <v>-1.1524840000000001</v>
      </c>
      <c r="AE5185">
        <v>-10.9524559999999</v>
      </c>
      <c r="AF5185">
        <v>9.9140635263776993</v>
      </c>
      <c r="AG5185">
        <v>-1.1524840000000001</v>
      </c>
      <c r="AH5185">
        <v>12.1533969640018</v>
      </c>
      <c r="AI5185">
        <v>94.202577316278393</v>
      </c>
      <c r="AJ5185">
        <v>50.794352749624501</v>
      </c>
      <c r="AK5185">
        <v>15.7264723552333</v>
      </c>
      <c r="AL5185">
        <v>87.904999419984605</v>
      </c>
      <c r="AM5185">
        <v>73.737665444404996</v>
      </c>
      <c r="AN5185">
        <v>0.99999997730501899</v>
      </c>
    </row>
    <row r="5186" spans="1:40" x14ac:dyDescent="0.25">
      <c r="A5186" t="str">
        <f>"20190305135931694"</f>
        <v>20190305135931694</v>
      </c>
      <c r="B5186" t="str">
        <f>"1551765571684426"</f>
        <v>1551765571684426</v>
      </c>
      <c r="C5186" t="s">
        <v>40</v>
      </c>
      <c r="D5186">
        <v>3.9728110000000001</v>
      </c>
      <c r="E5186">
        <v>0.65727740000000001</v>
      </c>
      <c r="F5186" t="s">
        <v>43</v>
      </c>
      <c r="G5186">
        <v>-307.81610000000001</v>
      </c>
      <c r="H5186">
        <v>-0.05</v>
      </c>
      <c r="I5186">
        <v>7.2241520000000001</v>
      </c>
      <c r="J5186">
        <v>-319.06880000000001</v>
      </c>
      <c r="K5186">
        <v>1.1018049999999999</v>
      </c>
      <c r="L5186">
        <v>18.195679999999999</v>
      </c>
      <c r="M5186">
        <v>0.99614279999999999</v>
      </c>
      <c r="N5186">
        <v>-2.0453840000000001E-2</v>
      </c>
      <c r="O5186">
        <v>-8.5329909999999995E-2</v>
      </c>
      <c r="P5186">
        <v>0.93165249999999999</v>
      </c>
      <c r="Q5186">
        <v>2.1507999999999999E-2</v>
      </c>
      <c r="R5186">
        <v>-0.36271389999999998</v>
      </c>
      <c r="S5186">
        <v>2.3512270000000002</v>
      </c>
      <c r="T5186">
        <v>-0.2371624</v>
      </c>
      <c r="U5186">
        <v>-2.261139</v>
      </c>
      <c r="V5186">
        <v>0.28240179999999998</v>
      </c>
      <c r="W5186">
        <v>3.7341319999999997E-2</v>
      </c>
      <c r="X5186">
        <v>0.95856920000000001</v>
      </c>
      <c r="Y5186">
        <v>0.62707239999999997</v>
      </c>
      <c r="Z5186">
        <v>-2.8266920000000001E-2</v>
      </c>
      <c r="AA5186">
        <v>0.77844789999999997</v>
      </c>
      <c r="AB5186">
        <v>36</v>
      </c>
      <c r="AC5186">
        <v>11.252700000000001</v>
      </c>
      <c r="AD5186">
        <v>-1.151805</v>
      </c>
      <c r="AE5186">
        <v>-10.971527999999999</v>
      </c>
      <c r="AF5186">
        <v>9.9178326683295808</v>
      </c>
      <c r="AG5186">
        <v>-1.151805</v>
      </c>
      <c r="AH5186">
        <v>12.0831367780593</v>
      </c>
      <c r="AI5186">
        <v>94.214028574858503</v>
      </c>
      <c r="AJ5186">
        <v>50.6208674266503</v>
      </c>
      <c r="AK5186">
        <v>15.6745734867746</v>
      </c>
      <c r="AL5186">
        <v>87.860002506090694</v>
      </c>
      <c r="AM5186">
        <v>73.584624338548807</v>
      </c>
      <c r="AN5186">
        <v>1.0000000310056101</v>
      </c>
    </row>
    <row r="5187" spans="1:40" x14ac:dyDescent="0.25">
      <c r="A5187" t="str">
        <f>"20190305135931706"</f>
        <v>20190305135931706</v>
      </c>
      <c r="B5187" t="str">
        <f>"1551765571694186"</f>
        <v>1551765571694186</v>
      </c>
      <c r="C5187" t="s">
        <v>40</v>
      </c>
      <c r="D5187">
        <v>4.0853729999999997</v>
      </c>
      <c r="E5187">
        <v>0.65727740000000001</v>
      </c>
      <c r="F5187" t="s">
        <v>43</v>
      </c>
      <c r="G5187">
        <v>-307.75209999999998</v>
      </c>
      <c r="H5187">
        <v>-0.05</v>
      </c>
      <c r="I5187">
        <v>7.1906889999999999</v>
      </c>
      <c r="J5187">
        <v>-318.88440000000003</v>
      </c>
      <c r="K5187">
        <v>1.1010549999999999</v>
      </c>
      <c r="L5187">
        <v>18.177579999999999</v>
      </c>
      <c r="M5187">
        <v>0.99593589999999999</v>
      </c>
      <c r="N5187">
        <v>-2.1401139999999999E-2</v>
      </c>
      <c r="O5187">
        <v>-8.7486830000000002E-2</v>
      </c>
      <c r="P5187">
        <v>0.92994759999999999</v>
      </c>
      <c r="Q5187">
        <v>2.1383840000000001E-2</v>
      </c>
      <c r="R5187">
        <v>-0.36707060000000002</v>
      </c>
      <c r="S5187">
        <v>2.3397220000000001</v>
      </c>
      <c r="T5187">
        <v>-0.2381344</v>
      </c>
      <c r="U5187">
        <v>-2.2752690000000002</v>
      </c>
      <c r="V5187">
        <v>0.2848369</v>
      </c>
      <c r="W5187">
        <v>3.7963150000000001E-2</v>
      </c>
      <c r="X5187">
        <v>0.95782389999999995</v>
      </c>
      <c r="Y5187">
        <v>0.62966049999999996</v>
      </c>
      <c r="Z5187">
        <v>-2.881073E-2</v>
      </c>
      <c r="AA5187">
        <v>0.77633599999999903</v>
      </c>
      <c r="AB5187">
        <v>36</v>
      </c>
      <c r="AC5187">
        <v>11.132300000000001</v>
      </c>
      <c r="AD5187">
        <v>-1.1510549999999999</v>
      </c>
      <c r="AE5187">
        <v>-10.986891</v>
      </c>
      <c r="AF5187">
        <v>9.9168836168924592</v>
      </c>
      <c r="AG5187">
        <v>-1.1510549999999999</v>
      </c>
      <c r="AH5187">
        <v>11.986109192712</v>
      </c>
      <c r="AI5187">
        <v>94.231653882256694</v>
      </c>
      <c r="AJ5187">
        <v>50.396845080948403</v>
      </c>
      <c r="AK5187">
        <v>15.599241066911899</v>
      </c>
      <c r="AL5187">
        <v>87.824348796262896</v>
      </c>
      <c r="AM5187">
        <v>73.438617406522894</v>
      </c>
      <c r="AN5187">
        <v>0.999999941885369</v>
      </c>
    </row>
    <row r="5188" spans="1:40" x14ac:dyDescent="0.25">
      <c r="A5188" t="str">
        <f>"20190305135931719"</f>
        <v>20190305135931719</v>
      </c>
      <c r="B5188" t="str">
        <f>"1551765571714681"</f>
        <v>1551765571714681</v>
      </c>
      <c r="C5188" t="s">
        <v>40</v>
      </c>
      <c r="D5188">
        <v>4.0600110000000003</v>
      </c>
      <c r="E5188">
        <v>0.67598409999999998</v>
      </c>
      <c r="F5188" t="s">
        <v>43</v>
      </c>
      <c r="G5188">
        <v>-307.67219999999998</v>
      </c>
      <c r="H5188">
        <v>-0.05</v>
      </c>
      <c r="I5188">
        <v>7.1732940000000003</v>
      </c>
      <c r="J5188">
        <v>-318.6866</v>
      </c>
      <c r="K5188">
        <v>1.1002339999999999</v>
      </c>
      <c r="L5188">
        <v>18.157810000000001</v>
      </c>
      <c r="M5188">
        <v>0.99569680000000005</v>
      </c>
      <c r="N5188">
        <v>-2.246544E-2</v>
      </c>
      <c r="O5188">
        <v>-8.9907390000000004E-2</v>
      </c>
      <c r="P5188">
        <v>0.92821739999999997</v>
      </c>
      <c r="Q5188">
        <v>2.08652E-2</v>
      </c>
      <c r="R5188">
        <v>-0.37145250000000002</v>
      </c>
      <c r="S5188">
        <v>2.329132</v>
      </c>
      <c r="T5188">
        <v>-0.23911170000000001</v>
      </c>
      <c r="U5188">
        <v>-2.2859500000000001</v>
      </c>
      <c r="V5188">
        <v>0.28704489999999999</v>
      </c>
      <c r="W5188">
        <v>3.8311940000000003E-2</v>
      </c>
      <c r="X5188">
        <v>0.95715059999999996</v>
      </c>
      <c r="Y5188">
        <v>0.63129440000000003</v>
      </c>
      <c r="Z5188">
        <v>-2.93444E-2</v>
      </c>
      <c r="AA5188">
        <v>0.77498789999999995</v>
      </c>
      <c r="AB5188">
        <v>36</v>
      </c>
      <c r="AC5188">
        <v>11.0144</v>
      </c>
      <c r="AD5188">
        <v>-1.150234</v>
      </c>
      <c r="AE5188">
        <v>-10.984515999999999</v>
      </c>
      <c r="AF5188">
        <v>9.8953775127428205</v>
      </c>
      <c r="AG5188">
        <v>-1.150234</v>
      </c>
      <c r="AH5188">
        <v>11.8925847063317</v>
      </c>
      <c r="AI5188">
        <v>94.251987241694493</v>
      </c>
      <c r="AJ5188">
        <v>50.237416931361203</v>
      </c>
      <c r="AK5188">
        <v>15.5137070157885</v>
      </c>
      <c r="AL5188">
        <v>87.804350014352394</v>
      </c>
      <c r="AM5188">
        <v>73.306263116366694</v>
      </c>
      <c r="AN5188">
        <v>0.99999992522146297</v>
      </c>
    </row>
    <row r="5189" spans="1:40" x14ac:dyDescent="0.25">
      <c r="A5189" t="str">
        <f>"20190305135931730"</f>
        <v>20190305135931730</v>
      </c>
      <c r="B5189" t="str">
        <f>"1551765571724442"</f>
        <v>1551765571724442</v>
      </c>
      <c r="C5189" t="s">
        <v>40</v>
      </c>
      <c r="D5189">
        <v>4.0724539999999996</v>
      </c>
      <c r="E5189">
        <v>0.67715789999999998</v>
      </c>
      <c r="F5189" t="s">
        <v>43</v>
      </c>
      <c r="G5189">
        <v>-312.10579999999999</v>
      </c>
      <c r="H5189">
        <v>-0.05</v>
      </c>
      <c r="I5189">
        <v>11.0495</v>
      </c>
      <c r="J5189">
        <v>-318.49119999999999</v>
      </c>
      <c r="K5189">
        <v>1.099375</v>
      </c>
      <c r="L5189">
        <v>18.13739</v>
      </c>
      <c r="M5189">
        <v>0.99537750000000003</v>
      </c>
      <c r="N5189">
        <v>-2.3419450000000001E-2</v>
      </c>
      <c r="O5189">
        <v>-9.3140630000000002E-2</v>
      </c>
      <c r="P5189">
        <v>0.92626120000000001</v>
      </c>
      <c r="Q5189">
        <v>2.0017449999999999E-2</v>
      </c>
      <c r="R5189">
        <v>-0.37635030000000003</v>
      </c>
      <c r="S5189">
        <v>2.2627869999999999</v>
      </c>
      <c r="T5189">
        <v>-0.39550649999999998</v>
      </c>
      <c r="U5189">
        <v>-2.4441830000000002</v>
      </c>
      <c r="V5189">
        <v>0.288997</v>
      </c>
      <c r="W5189">
        <v>3.8283820000000003E-2</v>
      </c>
      <c r="X5189">
        <v>0.95656419999999998</v>
      </c>
      <c r="Y5189">
        <v>0.66213639999999996</v>
      </c>
      <c r="Z5189">
        <v>-4.4707660000000003E-2</v>
      </c>
      <c r="AA5189">
        <v>0.74804850000000001</v>
      </c>
      <c r="AB5189">
        <v>36</v>
      </c>
      <c r="AC5189">
        <v>6.3853999999999997</v>
      </c>
      <c r="AD5189">
        <v>-1.149375</v>
      </c>
      <c r="AE5189">
        <v>-7.0878899999999998</v>
      </c>
      <c r="AF5189">
        <v>6.3697000504660704</v>
      </c>
      <c r="AG5189">
        <v>-1.149375</v>
      </c>
      <c r="AH5189">
        <v>6.9175679836477499</v>
      </c>
      <c r="AI5189">
        <v>96.968606417804196</v>
      </c>
      <c r="AJ5189">
        <v>47.361113593550002</v>
      </c>
      <c r="AK5189">
        <v>9.47348343704261</v>
      </c>
      <c r="AL5189">
        <v>87.805962503006199</v>
      </c>
      <c r="AM5189">
        <v>73.189392893711101</v>
      </c>
      <c r="AN5189">
        <v>0.99999999280221596</v>
      </c>
    </row>
    <row r="5190" spans="1:40" x14ac:dyDescent="0.25">
      <c r="A5190" t="str">
        <f>"20190305135931742"</f>
        <v>20190305135931742</v>
      </c>
      <c r="B5190" t="str">
        <f>"1551765571734201"</f>
        <v>1551765571734201</v>
      </c>
      <c r="C5190" t="s">
        <v>40</v>
      </c>
      <c r="D5190">
        <v>4.0819739999999998</v>
      </c>
      <c r="E5190">
        <v>0.67791999999999997</v>
      </c>
      <c r="F5190" t="s">
        <v>43</v>
      </c>
      <c r="G5190">
        <v>-312.23039999999997</v>
      </c>
      <c r="H5190">
        <v>-0.05</v>
      </c>
      <c r="I5190">
        <v>11.26599</v>
      </c>
      <c r="J5190">
        <v>-318.31670000000003</v>
      </c>
      <c r="K5190">
        <v>1.098546</v>
      </c>
      <c r="L5190">
        <v>18.118839999999999</v>
      </c>
      <c r="M5190">
        <v>0.99507179999999995</v>
      </c>
      <c r="N5190">
        <v>-2.4228059999999999E-2</v>
      </c>
      <c r="O5190">
        <v>-9.6151979999999998E-2</v>
      </c>
      <c r="P5190">
        <v>0.9243249</v>
      </c>
      <c r="Q5190">
        <v>1.8984440000000002E-2</v>
      </c>
      <c r="R5190">
        <v>-0.38113419999999998</v>
      </c>
      <c r="S5190">
        <v>2.246124</v>
      </c>
      <c r="T5190">
        <v>-0.4123445</v>
      </c>
      <c r="U5190">
        <v>-2.4651489999999998</v>
      </c>
      <c r="V5190">
        <v>0.29104950000000002</v>
      </c>
      <c r="W5190">
        <v>3.7916459999999999E-2</v>
      </c>
      <c r="X5190">
        <v>0.95595629999999998</v>
      </c>
      <c r="Y5190">
        <v>0.66534649999999995</v>
      </c>
      <c r="Z5190">
        <v>-4.65268E-2</v>
      </c>
      <c r="AA5190">
        <v>0.74508350000000001</v>
      </c>
      <c r="AB5190">
        <v>36</v>
      </c>
      <c r="AC5190">
        <v>6.0863000000000502</v>
      </c>
      <c r="AD5190">
        <v>-1.1485459999999901</v>
      </c>
      <c r="AE5190">
        <v>-6.8528500000000001</v>
      </c>
      <c r="AF5190">
        <v>6.1392904149391496</v>
      </c>
      <c r="AG5190">
        <v>-1.1485459999999901</v>
      </c>
      <c r="AH5190">
        <v>6.6133401432294798</v>
      </c>
      <c r="AI5190">
        <v>97.253664110470496</v>
      </c>
      <c r="AJ5190">
        <v>47.128858707338999</v>
      </c>
      <c r="AK5190">
        <v>9.0965000172115804</v>
      </c>
      <c r="AL5190">
        <v>87.827025899792801</v>
      </c>
      <c r="AM5190">
        <v>73.066657273319095</v>
      </c>
      <c r="AN5190">
        <v>0.99999995844943401</v>
      </c>
    </row>
    <row r="5191" spans="1:40" x14ac:dyDescent="0.25">
      <c r="A5191" t="str">
        <f>"20190305135931752"</f>
        <v>20190305135931752</v>
      </c>
      <c r="B5191" t="str">
        <f>"1551765571743962"</f>
        <v>1551765571743962</v>
      </c>
      <c r="C5191" t="s">
        <v>40</v>
      </c>
      <c r="D5191">
        <v>4.1335860000000002</v>
      </c>
      <c r="E5191">
        <v>0.6782975</v>
      </c>
      <c r="F5191" t="s">
        <v>43</v>
      </c>
      <c r="G5191">
        <v>-312.30869999999999</v>
      </c>
      <c r="H5191">
        <v>-0.05</v>
      </c>
      <c r="I5191">
        <v>11.4315</v>
      </c>
      <c r="J5191">
        <v>-318.1336</v>
      </c>
      <c r="K5191">
        <v>1.097539</v>
      </c>
      <c r="L5191">
        <v>18.098659999999999</v>
      </c>
      <c r="M5191">
        <v>0.99471339999999997</v>
      </c>
      <c r="N5191">
        <v>-2.4968629999999999E-2</v>
      </c>
      <c r="O5191">
        <v>-9.9608139999999998E-2</v>
      </c>
      <c r="P5191">
        <v>0.9222475</v>
      </c>
      <c r="Q5191">
        <v>1.763205E-2</v>
      </c>
      <c r="R5191">
        <v>-0.38619829999999999</v>
      </c>
      <c r="S5191">
        <v>2.2306210000000002</v>
      </c>
      <c r="T5191">
        <v>-0.42642210000000003</v>
      </c>
      <c r="U5191">
        <v>-2.4828190000000001</v>
      </c>
      <c r="V5191">
        <v>0.29297199999999901</v>
      </c>
      <c r="W5191">
        <v>3.7124030000000002E-2</v>
      </c>
      <c r="X5191">
        <v>0.95540000000000003</v>
      </c>
      <c r="Y5191">
        <v>0.66757979999999995</v>
      </c>
      <c r="Z5191">
        <v>-4.793277E-2</v>
      </c>
      <c r="AA5191">
        <v>0.74299380000000004</v>
      </c>
      <c r="AB5191">
        <v>36</v>
      </c>
      <c r="AC5191">
        <v>5.8249000000000102</v>
      </c>
      <c r="AD5191">
        <v>-1.1475389999999901</v>
      </c>
      <c r="AE5191">
        <v>-6.6671599999999902</v>
      </c>
      <c r="AF5191">
        <v>5.9535693097562996</v>
      </c>
      <c r="AG5191">
        <v>-1.1475389999999901</v>
      </c>
      <c r="AH5191">
        <v>6.3534808558627196</v>
      </c>
      <c r="AI5191">
        <v>97.508032089322995</v>
      </c>
      <c r="AJ5191">
        <v>46.861143322112497</v>
      </c>
      <c r="AK5191">
        <v>8.7822862779806492</v>
      </c>
      <c r="AL5191">
        <v>87.872460820992799</v>
      </c>
      <c r="AM5191">
        <v>72.951919165977898</v>
      </c>
      <c r="AN5191">
        <v>0.99999997319372003</v>
      </c>
    </row>
    <row r="5192" spans="1:40" x14ac:dyDescent="0.25">
      <c r="A5192" t="str">
        <f>"20190305135931762"</f>
        <v>20190305135931762</v>
      </c>
      <c r="B5192" t="str">
        <f>"1551765571754697"</f>
        <v>1551765571754697</v>
      </c>
      <c r="C5192" t="s">
        <v>40</v>
      </c>
      <c r="D5192">
        <v>4.0708070000000003</v>
      </c>
      <c r="E5192">
        <v>0.67859360000000002</v>
      </c>
      <c r="F5192" t="s">
        <v>43</v>
      </c>
      <c r="G5192">
        <v>-312.30040000000002</v>
      </c>
      <c r="H5192">
        <v>-0.05</v>
      </c>
      <c r="I5192">
        <v>11.52032</v>
      </c>
      <c r="J5192">
        <v>-317.97840000000002</v>
      </c>
      <c r="K5192">
        <v>1.0965819999999999</v>
      </c>
      <c r="L5192">
        <v>18.081119999999999</v>
      </c>
      <c r="M5192">
        <v>0.99439690000000003</v>
      </c>
      <c r="N5192">
        <v>-2.5557570000000002E-2</v>
      </c>
      <c r="O5192">
        <v>-0.1025741</v>
      </c>
      <c r="P5192">
        <v>0.92045999999999994</v>
      </c>
      <c r="Q5192">
        <v>1.6445609999999999E-2</v>
      </c>
      <c r="R5192">
        <v>-0.39049080000000003</v>
      </c>
      <c r="S5192">
        <v>2.2151489999999998</v>
      </c>
      <c r="T5192">
        <v>-0.43576920000000002</v>
      </c>
      <c r="U5192">
        <v>-2.4980769999999999</v>
      </c>
      <c r="V5192">
        <v>0.2945778</v>
      </c>
      <c r="W5192">
        <v>3.6332540000000003E-2</v>
      </c>
      <c r="X5192">
        <v>0.95493660000000002</v>
      </c>
      <c r="Y5192">
        <v>0.66990799999999995</v>
      </c>
      <c r="Z5192">
        <v>-4.8943750000000001E-2</v>
      </c>
      <c r="AA5192">
        <v>0.74082919999999997</v>
      </c>
      <c r="AB5192">
        <v>36</v>
      </c>
      <c r="AC5192">
        <v>5.6779999999999902</v>
      </c>
      <c r="AD5192">
        <v>-1.146582</v>
      </c>
      <c r="AE5192">
        <v>-6.5608000000000004</v>
      </c>
      <c r="AF5192">
        <v>5.8415566541156796</v>
      </c>
      <c r="AG5192">
        <v>-1.146582</v>
      </c>
      <c r="AH5192">
        <v>6.2127287296307099</v>
      </c>
      <c r="AI5192">
        <v>97.657706920969403</v>
      </c>
      <c r="AJ5192">
        <v>46.763677844254701</v>
      </c>
      <c r="AK5192">
        <v>8.6044426137865493</v>
      </c>
      <c r="AL5192">
        <v>87.917840579475794</v>
      </c>
      <c r="AM5192">
        <v>72.856109086802206</v>
      </c>
      <c r="AN5192">
        <v>1.0000000218676199</v>
      </c>
    </row>
    <row r="5193" spans="1:40" x14ac:dyDescent="0.25">
      <c r="A5193" t="str">
        <f>"20190305135931773"</f>
        <v>20190305135931773</v>
      </c>
      <c r="B5193" t="str">
        <f>"1551765571764458"</f>
        <v>1551765571764458</v>
      </c>
      <c r="C5193" t="s">
        <v>40</v>
      </c>
      <c r="D5193">
        <v>4.094023</v>
      </c>
      <c r="E5193">
        <v>0.67840180000000005</v>
      </c>
      <c r="F5193" t="s">
        <v>43</v>
      </c>
      <c r="G5193">
        <v>-312.21050000000002</v>
      </c>
      <c r="H5193">
        <v>-0.05</v>
      </c>
      <c r="I5193">
        <v>11.50417</v>
      </c>
      <c r="J5193">
        <v>-317.79790000000003</v>
      </c>
      <c r="K5193">
        <v>1.0953250000000001</v>
      </c>
      <c r="L5193">
        <v>18.06006</v>
      </c>
      <c r="M5193">
        <v>0.9940137</v>
      </c>
      <c r="N5193">
        <v>-2.618674E-2</v>
      </c>
      <c r="O5193">
        <v>-0.10607270000000001</v>
      </c>
      <c r="P5193">
        <v>0.91829720000000004</v>
      </c>
      <c r="Q5193">
        <v>1.525002E-2</v>
      </c>
      <c r="R5193">
        <v>-0.39559850000000002</v>
      </c>
      <c r="S5193">
        <v>2.2019039999999999</v>
      </c>
      <c r="T5193">
        <v>-0.43771149999999998</v>
      </c>
      <c r="U5193">
        <v>-2.5107729999999999</v>
      </c>
      <c r="V5193">
        <v>0.29653590000000002</v>
      </c>
      <c r="W5193">
        <v>3.5479080000000003E-2</v>
      </c>
      <c r="X5193">
        <v>0.9543625</v>
      </c>
      <c r="Y5193">
        <v>0.67128199999999905</v>
      </c>
      <c r="Z5193">
        <v>-4.9184319999999997E-2</v>
      </c>
      <c r="AA5193">
        <v>0.73956840000000001</v>
      </c>
      <c r="AB5193">
        <v>36</v>
      </c>
      <c r="AC5193">
        <v>5.5873999999999997</v>
      </c>
      <c r="AD5193">
        <v>-1.1453249999999999</v>
      </c>
      <c r="AE5193">
        <v>-6.5558899999999998</v>
      </c>
      <c r="AF5193">
        <v>5.8230582739627801</v>
      </c>
      <c r="AG5193">
        <v>-1.1453249999999999</v>
      </c>
      <c r="AH5193">
        <v>6.1428946290645996</v>
      </c>
      <c r="AI5193">
        <v>97.706091968430997</v>
      </c>
      <c r="AJ5193">
        <v>46.531086679408197</v>
      </c>
      <c r="AK5193">
        <v>8.5413659002165492</v>
      </c>
      <c r="AL5193">
        <v>87.966771831281307</v>
      </c>
      <c r="AM5193">
        <v>72.739133322638594</v>
      </c>
      <c r="AN5193">
        <v>1.0000000432563501</v>
      </c>
    </row>
    <row r="5194" spans="1:40" x14ac:dyDescent="0.25">
      <c r="A5194" t="str">
        <f>"20190305135931783"</f>
        <v>20190305135931783</v>
      </c>
      <c r="B5194" t="str">
        <f>"1551765571774218"</f>
        <v>1551765571774218</v>
      </c>
      <c r="C5194" t="s">
        <v>40</v>
      </c>
      <c r="D5194">
        <v>3.954059</v>
      </c>
      <c r="E5194">
        <v>0.67842230000000003</v>
      </c>
      <c r="F5194" t="s">
        <v>43</v>
      </c>
      <c r="G5194">
        <v>-312.06279999999998</v>
      </c>
      <c r="H5194">
        <v>-0.05</v>
      </c>
      <c r="I5194">
        <v>11.44867</v>
      </c>
      <c r="J5194">
        <v>-317.63330000000002</v>
      </c>
      <c r="K5194">
        <v>1.0940780000000001</v>
      </c>
      <c r="L5194">
        <v>18.040099999999999</v>
      </c>
      <c r="M5194">
        <v>0.99365320000000001</v>
      </c>
      <c r="N5194">
        <v>-2.671815E-2</v>
      </c>
      <c r="O5194">
        <v>-0.10926810000000001</v>
      </c>
      <c r="P5194">
        <v>0.91632000000000002</v>
      </c>
      <c r="Q5194">
        <v>1.354355E-2</v>
      </c>
      <c r="R5194">
        <v>-0.40021849999999998</v>
      </c>
      <c r="S5194">
        <v>2.1877140000000002</v>
      </c>
      <c r="T5194">
        <v>-0.43689359999999999</v>
      </c>
      <c r="U5194">
        <v>-2.521973</v>
      </c>
      <c r="V5194">
        <v>0.29827730000000002</v>
      </c>
      <c r="W5194">
        <v>3.4006540000000002E-2</v>
      </c>
      <c r="X5194">
        <v>0.95387330000000004</v>
      </c>
      <c r="Y5194">
        <v>0.67288110000000001</v>
      </c>
      <c r="Z5194">
        <v>-4.9230580000000003E-2</v>
      </c>
      <c r="AA5194">
        <v>0.73811070000000001</v>
      </c>
      <c r="AB5194">
        <v>36</v>
      </c>
      <c r="AC5194">
        <v>5.5705000000000302</v>
      </c>
      <c r="AD5194">
        <v>-1.1440779999999999</v>
      </c>
      <c r="AE5194">
        <v>-6.5914299999999901</v>
      </c>
      <c r="AF5194">
        <v>5.8403961031948004</v>
      </c>
      <c r="AG5194">
        <v>-1.1440779999999999</v>
      </c>
      <c r="AH5194">
        <v>6.1495359914730896</v>
      </c>
      <c r="AI5194">
        <v>97.682779635804593</v>
      </c>
      <c r="AJ5194">
        <v>46.476946438232197</v>
      </c>
      <c r="AK5194">
        <v>8.5577996016920199</v>
      </c>
      <c r="AL5194">
        <v>88.051193107684597</v>
      </c>
      <c r="AM5194">
        <v>72.635475067844595</v>
      </c>
      <c r="AN5194">
        <v>1.0000000324554701</v>
      </c>
    </row>
    <row r="5195" spans="1:40" x14ac:dyDescent="0.25">
      <c r="A5195" t="str">
        <f>"20190305135931793"</f>
        <v>20190305135931793</v>
      </c>
      <c r="B5195" t="str">
        <f>"1551765571783978"</f>
        <v>1551765571783978</v>
      </c>
      <c r="C5195" t="s">
        <v>40</v>
      </c>
      <c r="D5195">
        <v>3.9650189999999998</v>
      </c>
      <c r="E5195">
        <v>0.67863549999999995</v>
      </c>
      <c r="F5195" t="s">
        <v>43</v>
      </c>
      <c r="G5195">
        <v>-311.80590000000001</v>
      </c>
      <c r="H5195">
        <v>-0.05</v>
      </c>
      <c r="I5195">
        <v>11.25215</v>
      </c>
      <c r="J5195">
        <v>-317.4692</v>
      </c>
      <c r="K5195">
        <v>1.0927639999999901</v>
      </c>
      <c r="L5195">
        <v>18.019680000000001</v>
      </c>
      <c r="M5195">
        <v>0.99328399999999994</v>
      </c>
      <c r="N5195">
        <v>-2.7216290000000001E-2</v>
      </c>
      <c r="O5195">
        <v>-0.1124549</v>
      </c>
      <c r="P5195">
        <v>0.9141513</v>
      </c>
      <c r="Q5195">
        <v>1.2177500000000001E-2</v>
      </c>
      <c r="R5195">
        <v>-0.40519060000000001</v>
      </c>
      <c r="S5195">
        <v>2.1741329999999999</v>
      </c>
      <c r="T5195">
        <v>-0.426842</v>
      </c>
      <c r="U5195">
        <v>-2.5325009999999999</v>
      </c>
      <c r="V5195">
        <v>0.30040990000000001</v>
      </c>
      <c r="W5195">
        <v>3.280272E-2</v>
      </c>
      <c r="X5195">
        <v>0.95324600000000004</v>
      </c>
      <c r="Y5195">
        <v>0.67451740000000004</v>
      </c>
      <c r="Z5195">
        <v>-4.851623E-2</v>
      </c>
      <c r="AA5195">
        <v>0.73666299999999996</v>
      </c>
      <c r="AB5195">
        <v>36</v>
      </c>
      <c r="AC5195">
        <v>5.6632999999999898</v>
      </c>
      <c r="AD5195">
        <v>-1.1427639999999999</v>
      </c>
      <c r="AE5195">
        <v>-6.7675299999999901</v>
      </c>
      <c r="AF5195">
        <v>5.9870663701581996</v>
      </c>
      <c r="AG5195">
        <v>-1.1427639999999999</v>
      </c>
      <c r="AH5195">
        <v>6.28330384877321</v>
      </c>
      <c r="AI5195">
        <v>97.5009945505563</v>
      </c>
      <c r="AJ5195">
        <v>46.382995007231401</v>
      </c>
      <c r="AK5195">
        <v>8.7539008754031293</v>
      </c>
      <c r="AL5195">
        <v>88.120205428212202</v>
      </c>
      <c r="AM5195">
        <v>72.5080593644782</v>
      </c>
      <c r="AN5195">
        <v>1.0000000314866999</v>
      </c>
    </row>
    <row r="5196" spans="1:40" x14ac:dyDescent="0.25">
      <c r="A5196" t="str">
        <f>"20190305135931807"</f>
        <v>20190305135931807</v>
      </c>
      <c r="B5196" t="str">
        <f>"1551765571794714"</f>
        <v>1551765571794714</v>
      </c>
      <c r="C5196" t="s">
        <v>40</v>
      </c>
      <c r="D5196">
        <v>3.9660470000000001</v>
      </c>
      <c r="E5196">
        <v>0.67913129999999999</v>
      </c>
      <c r="F5196" t="s">
        <v>43</v>
      </c>
      <c r="G5196">
        <v>-311.58499999999998</v>
      </c>
      <c r="H5196">
        <v>-0.05</v>
      </c>
      <c r="I5196">
        <v>11.082140000000001</v>
      </c>
      <c r="J5196">
        <v>-317.28579999999999</v>
      </c>
      <c r="K5196">
        <v>1.091208</v>
      </c>
      <c r="L5196">
        <v>17.99588</v>
      </c>
      <c r="M5196">
        <v>0.99285509999999999</v>
      </c>
      <c r="N5196">
        <v>-2.7703930000000002E-2</v>
      </c>
      <c r="O5196">
        <v>-0.11606619999999999</v>
      </c>
      <c r="P5196">
        <v>0.91184149999999997</v>
      </c>
      <c r="Q5196">
        <v>1.114976E-2</v>
      </c>
      <c r="R5196">
        <v>-0.41039110000000001</v>
      </c>
      <c r="S5196">
        <v>2.159027</v>
      </c>
      <c r="T5196">
        <v>-0.41929899999999998</v>
      </c>
      <c r="U5196">
        <v>-2.5455019999999999</v>
      </c>
      <c r="V5196">
        <v>0.30239329999999998</v>
      </c>
      <c r="W5196">
        <v>3.1878620000000003E-2</v>
      </c>
      <c r="X5196">
        <v>0.95265</v>
      </c>
      <c r="Y5196">
        <v>0.67638369999999903</v>
      </c>
      <c r="Z5196">
        <v>-4.7988669999999997E-2</v>
      </c>
      <c r="AA5196">
        <v>0.73498450000000004</v>
      </c>
      <c r="AB5196">
        <v>36</v>
      </c>
      <c r="AC5196">
        <v>5.7008000000000099</v>
      </c>
      <c r="AD5196">
        <v>-1.141208</v>
      </c>
      <c r="AE5196">
        <v>-6.9137399999999998</v>
      </c>
      <c r="AF5196">
        <v>6.1060205276616299</v>
      </c>
      <c r="AG5196">
        <v>-1.141208</v>
      </c>
      <c r="AH5196">
        <v>6.3618195797439796</v>
      </c>
      <c r="AI5196">
        <v>97.374159906558603</v>
      </c>
      <c r="AJ5196">
        <v>46.175355959192999</v>
      </c>
      <c r="AK5196">
        <v>8.8914897935443395</v>
      </c>
      <c r="AL5196">
        <v>88.173180090433107</v>
      </c>
      <c r="AM5196">
        <v>72.389349309217295</v>
      </c>
      <c r="AN5196">
        <v>0.99999998839899695</v>
      </c>
    </row>
    <row r="5197" spans="1:40" x14ac:dyDescent="0.25">
      <c r="A5197" t="str">
        <f>"20190305135931817"</f>
        <v>20190305135931817</v>
      </c>
      <c r="B5197" t="str">
        <f>"1551765571814234"</f>
        <v>1551765571814234</v>
      </c>
      <c r="C5197" t="s">
        <v>40</v>
      </c>
      <c r="D5197">
        <v>4.0802670000000001</v>
      </c>
      <c r="E5197">
        <v>0.67959559999999997</v>
      </c>
      <c r="F5197" t="s">
        <v>43</v>
      </c>
      <c r="G5197">
        <v>-311.4117</v>
      </c>
      <c r="H5197">
        <v>-0.05</v>
      </c>
      <c r="I5197">
        <v>10.97186</v>
      </c>
      <c r="J5197">
        <v>-317.10770000000002</v>
      </c>
      <c r="K5197">
        <v>1.089653</v>
      </c>
      <c r="L5197">
        <v>17.97223</v>
      </c>
      <c r="M5197">
        <v>0.99242370000000002</v>
      </c>
      <c r="N5197">
        <v>-2.8144530000000001E-2</v>
      </c>
      <c r="O5197">
        <v>-0.11959690000000001</v>
      </c>
      <c r="P5197">
        <v>0.90962759999999998</v>
      </c>
      <c r="Q5197">
        <v>9.628134E-3</v>
      </c>
      <c r="R5197">
        <v>-0.41531390000000001</v>
      </c>
      <c r="S5197">
        <v>2.142242</v>
      </c>
      <c r="T5197">
        <v>-0.4161859</v>
      </c>
      <c r="U5197">
        <v>-2.5615839999999999</v>
      </c>
      <c r="V5197">
        <v>0.30416140000000003</v>
      </c>
      <c r="W5197">
        <v>3.0417820000000002E-2</v>
      </c>
      <c r="X5197">
        <v>0.95213479999999995</v>
      </c>
      <c r="Y5197">
        <v>0.67890779999999995</v>
      </c>
      <c r="Z5197">
        <v>-4.7881010000000002E-2</v>
      </c>
      <c r="AA5197">
        <v>0.7326606</v>
      </c>
      <c r="AB5197">
        <v>35</v>
      </c>
      <c r="AC5197">
        <v>5.6960000000000202</v>
      </c>
      <c r="AD5197">
        <v>-1.139653</v>
      </c>
      <c r="AE5197">
        <v>-7.0003699999999904</v>
      </c>
      <c r="AF5197">
        <v>6.17020027075431</v>
      </c>
      <c r="AG5197">
        <v>-1.139653</v>
      </c>
      <c r="AH5197">
        <v>6.3907311557171296</v>
      </c>
      <c r="AI5197">
        <v>97.310644581597401</v>
      </c>
      <c r="AJ5197">
        <v>46.005832330340901</v>
      </c>
      <c r="AK5197">
        <v>8.9560942964151096</v>
      </c>
      <c r="AL5197">
        <v>88.256918493961905</v>
      </c>
      <c r="AM5197">
        <v>72.283812628455195</v>
      </c>
      <c r="AN5197">
        <v>1.0000000391972701</v>
      </c>
    </row>
    <row r="5198" spans="1:40" x14ac:dyDescent="0.25">
      <c r="A5198" t="str">
        <f>"20190305135931829"</f>
        <v>20190305135931829</v>
      </c>
      <c r="B5198" t="str">
        <f>"1551765571824007"</f>
        <v>1551765571824007</v>
      </c>
      <c r="C5198" t="s">
        <v>40</v>
      </c>
      <c r="D5198">
        <v>4.0787380000000004</v>
      </c>
      <c r="E5198">
        <v>0.67982919999999902</v>
      </c>
      <c r="F5198" t="s">
        <v>43</v>
      </c>
      <c r="G5198">
        <v>-311.30040000000002</v>
      </c>
      <c r="H5198">
        <v>-0.05</v>
      </c>
      <c r="I5198">
        <v>10.93173</v>
      </c>
      <c r="J5198">
        <v>-316.9248</v>
      </c>
      <c r="K5198">
        <v>1.08799</v>
      </c>
      <c r="L5198">
        <v>17.946470000000001</v>
      </c>
      <c r="M5198">
        <v>0.99195169999999999</v>
      </c>
      <c r="N5198">
        <v>-2.8487100000000001E-2</v>
      </c>
      <c r="O5198">
        <v>-0.12337099999999999</v>
      </c>
      <c r="P5198">
        <v>0.90720780000000001</v>
      </c>
      <c r="Q5198">
        <v>8.4876589999999998E-3</v>
      </c>
      <c r="R5198">
        <v>-0.42059750000000001</v>
      </c>
      <c r="S5198">
        <v>2.1257929999999998</v>
      </c>
      <c r="T5198">
        <v>-0.41717569999999998</v>
      </c>
      <c r="U5198">
        <v>-2.5772089999999999</v>
      </c>
      <c r="V5198">
        <v>0.306089</v>
      </c>
      <c r="W5198">
        <v>2.9234840000000002E-2</v>
      </c>
      <c r="X5198">
        <v>0.95155389999999995</v>
      </c>
      <c r="Y5198">
        <v>0.68103259999999999</v>
      </c>
      <c r="Z5198">
        <v>-4.7985640000000003E-2</v>
      </c>
      <c r="AA5198">
        <v>0.73067910000000003</v>
      </c>
      <c r="AB5198">
        <v>35</v>
      </c>
      <c r="AC5198">
        <v>5.6243999999999801</v>
      </c>
      <c r="AD5198">
        <v>-1.1379900000000001</v>
      </c>
      <c r="AE5198">
        <v>-7.0147399999999998</v>
      </c>
      <c r="AF5198">
        <v>6.1681283454838303</v>
      </c>
      <c r="AG5198">
        <v>-1.1379900000000001</v>
      </c>
      <c r="AH5198">
        <v>6.3455130848409098</v>
      </c>
      <c r="AI5198">
        <v>97.327769038824499</v>
      </c>
      <c r="AJ5198">
        <v>45.8121310101101</v>
      </c>
      <c r="AK5198">
        <v>8.9222399001791199</v>
      </c>
      <c r="AL5198">
        <v>88.324728339961894</v>
      </c>
      <c r="AM5198">
        <v>72.168429475578904</v>
      </c>
      <c r="AN5198">
        <v>0.99999998819801705</v>
      </c>
    </row>
    <row r="5199" spans="1:40" x14ac:dyDescent="0.25">
      <c r="A5199" t="str">
        <f>"20190305135931840"</f>
        <v>20190305135931840</v>
      </c>
      <c r="B5199" t="str">
        <f>"1551765571834729"</f>
        <v>1551765571834729</v>
      </c>
      <c r="C5199" t="s">
        <v>40</v>
      </c>
      <c r="D5199">
        <v>4.079142</v>
      </c>
      <c r="E5199">
        <v>0.68003549999999902</v>
      </c>
      <c r="F5199" t="s">
        <v>43</v>
      </c>
      <c r="G5199">
        <v>-311.22980000000001</v>
      </c>
      <c r="H5199">
        <v>-0.05</v>
      </c>
      <c r="I5199">
        <v>10.947240000000001</v>
      </c>
      <c r="J5199">
        <v>-316.73939999999999</v>
      </c>
      <c r="K5199">
        <v>1.08629</v>
      </c>
      <c r="L5199">
        <v>17.91995</v>
      </c>
      <c r="M5199">
        <v>0.9914541</v>
      </c>
      <c r="N5199">
        <v>-2.8805629999999999E-2</v>
      </c>
      <c r="O5199">
        <v>-0.12723599999999999</v>
      </c>
      <c r="P5199">
        <v>0.90480090000000002</v>
      </c>
      <c r="Q5199">
        <v>7.6298619999999899E-3</v>
      </c>
      <c r="R5199">
        <v>-0.4257667</v>
      </c>
      <c r="S5199">
        <v>2.10907</v>
      </c>
      <c r="T5199">
        <v>-0.4214387</v>
      </c>
      <c r="U5199">
        <v>-2.5920719999999999</v>
      </c>
      <c r="V5199">
        <v>0.30782520000000002</v>
      </c>
      <c r="W5199">
        <v>2.831492E-2</v>
      </c>
      <c r="X5199">
        <v>0.95102149999999996</v>
      </c>
      <c r="Y5199">
        <v>0.68294359999999998</v>
      </c>
      <c r="Z5199">
        <v>-4.8309369999999997E-2</v>
      </c>
      <c r="AA5199">
        <v>0.72887199999999996</v>
      </c>
      <c r="AB5199">
        <v>35</v>
      </c>
      <c r="AC5199">
        <v>5.5095999999999696</v>
      </c>
      <c r="AD5199">
        <v>-1.13629</v>
      </c>
      <c r="AE5199">
        <v>-6.9727100000000002</v>
      </c>
      <c r="AF5199">
        <v>6.11471171413638</v>
      </c>
      <c r="AG5199">
        <v>-1.13629</v>
      </c>
      <c r="AH5199">
        <v>6.2501473790167301</v>
      </c>
      <c r="AI5199">
        <v>97.404308653600907</v>
      </c>
      <c r="AJ5199">
        <v>45.6275511615789</v>
      </c>
      <c r="AK5199">
        <v>8.8173236625705496</v>
      </c>
      <c r="AL5199">
        <v>88.377457714729104</v>
      </c>
      <c r="AM5199">
        <v>72.064348530390703</v>
      </c>
      <c r="AN5199">
        <v>0.99999999095594805</v>
      </c>
    </row>
    <row r="5200" spans="1:40" x14ac:dyDescent="0.25">
      <c r="A5200" t="str">
        <f>"20190305135931851"</f>
        <v>20190305135931851</v>
      </c>
      <c r="B5200" t="str">
        <f>"1551765571844489"</f>
        <v>1551765571844489</v>
      </c>
      <c r="C5200" t="s">
        <v>40</v>
      </c>
      <c r="D5200">
        <v>4.0899679999999998</v>
      </c>
      <c r="E5200">
        <v>0.68004069999999905</v>
      </c>
      <c r="F5200" t="s">
        <v>43</v>
      </c>
      <c r="G5200">
        <v>-311.13409999999999</v>
      </c>
      <c r="H5200">
        <v>-0.05</v>
      </c>
      <c r="I5200">
        <v>10.938980000000001</v>
      </c>
      <c r="J5200">
        <v>-316.57530000000003</v>
      </c>
      <c r="K5200">
        <v>1.0847659999999999</v>
      </c>
      <c r="L5200">
        <v>17.895289999999999</v>
      </c>
      <c r="M5200">
        <v>0.99098929999999996</v>
      </c>
      <c r="N5200">
        <v>-2.903238E-2</v>
      </c>
      <c r="O5200">
        <v>-0.1307576</v>
      </c>
      <c r="P5200">
        <v>0.90249880000000005</v>
      </c>
      <c r="Q5200">
        <v>6.9867749999999998E-3</v>
      </c>
      <c r="R5200">
        <v>-0.43063630000000003</v>
      </c>
      <c r="S5200">
        <v>2.0927730000000002</v>
      </c>
      <c r="T5200">
        <v>-0.42423499999999997</v>
      </c>
      <c r="U5200">
        <v>-2.6063540000000001</v>
      </c>
      <c r="V5200">
        <v>0.30958380000000002</v>
      </c>
      <c r="W5200">
        <v>2.7569440000000001E-2</v>
      </c>
      <c r="X5200">
        <v>0.9504724</v>
      </c>
      <c r="Y5200">
        <v>0.68498239999999999</v>
      </c>
      <c r="Z5200">
        <v>-4.8518810000000002E-2</v>
      </c>
      <c r="AA5200">
        <v>0.72694219999999998</v>
      </c>
      <c r="AB5200">
        <v>35</v>
      </c>
      <c r="AC5200">
        <v>5.4412000000000296</v>
      </c>
      <c r="AD5200">
        <v>-1.1347659999999999</v>
      </c>
      <c r="AE5200">
        <v>-6.9563099999999896</v>
      </c>
      <c r="AF5200">
        <v>6.0843077026860097</v>
      </c>
      <c r="AG5200">
        <v>-1.1347659999999999</v>
      </c>
      <c r="AH5200">
        <v>6.2020255170732499</v>
      </c>
      <c r="AI5200">
        <v>97.441324099089798</v>
      </c>
      <c r="AJ5200">
        <v>45.548945518661597</v>
      </c>
      <c r="AK5200">
        <v>8.7619412580859102</v>
      </c>
      <c r="AL5200">
        <v>88.420187261502406</v>
      </c>
      <c r="AM5200">
        <v>71.9587562215536</v>
      </c>
      <c r="AN5200">
        <v>0.99999999320305599</v>
      </c>
    </row>
    <row r="5201" spans="1:40" x14ac:dyDescent="0.25">
      <c r="A5201" t="str">
        <f>"20190305135931862"</f>
        <v>20190305135931862</v>
      </c>
      <c r="B5201" t="str">
        <f>"1551765571854249"</f>
        <v>1551765571854249</v>
      </c>
      <c r="C5201" t="s">
        <v>40</v>
      </c>
      <c r="D5201">
        <v>4.088889</v>
      </c>
      <c r="E5201">
        <v>0.68011309999999903</v>
      </c>
      <c r="F5201" t="s">
        <v>43</v>
      </c>
      <c r="G5201">
        <v>-311.0181</v>
      </c>
      <c r="H5201">
        <v>-0.05</v>
      </c>
      <c r="I5201">
        <v>10.89171</v>
      </c>
      <c r="J5201">
        <v>-316.40069999999997</v>
      </c>
      <c r="K5201">
        <v>1.0831409999999999</v>
      </c>
      <c r="L5201">
        <v>17.868500000000001</v>
      </c>
      <c r="M5201">
        <v>0.99047390000000002</v>
      </c>
      <c r="N5201">
        <v>-2.924469E-2</v>
      </c>
      <c r="O5201">
        <v>-0.1345596</v>
      </c>
      <c r="P5201">
        <v>0.9000669</v>
      </c>
      <c r="Q5201">
        <v>6.9304290000000001E-3</v>
      </c>
      <c r="R5201">
        <v>-0.4356969</v>
      </c>
      <c r="S5201">
        <v>2.0778810000000001</v>
      </c>
      <c r="T5201">
        <v>-0.42430089999999998</v>
      </c>
      <c r="U5201">
        <v>-2.6187130000000001</v>
      </c>
      <c r="V5201">
        <v>0.31129889999999999</v>
      </c>
      <c r="W5201">
        <v>2.739403E-2</v>
      </c>
      <c r="X5201">
        <v>0.94991709999999996</v>
      </c>
      <c r="Y5201">
        <v>0.68638690000000002</v>
      </c>
      <c r="Z5201">
        <v>-4.840332E-2</v>
      </c>
      <c r="AA5201">
        <v>0.72562399999999905</v>
      </c>
      <c r="AB5201">
        <v>35</v>
      </c>
      <c r="AC5201">
        <v>5.3825999999999601</v>
      </c>
      <c r="AD5201">
        <v>-1.133141</v>
      </c>
      <c r="AE5201">
        <v>-6.9767900000000003</v>
      </c>
      <c r="AF5201">
        <v>6.0880214403599897</v>
      </c>
      <c r="AG5201">
        <v>-1.133141</v>
      </c>
      <c r="AH5201">
        <v>6.1707602076518802</v>
      </c>
      <c r="AI5201">
        <v>97.447470864552997</v>
      </c>
      <c r="AJ5201">
        <v>45.386703207738499</v>
      </c>
      <c r="AK5201">
        <v>8.7422133996204696</v>
      </c>
      <c r="AL5201">
        <v>88.430241271182993</v>
      </c>
      <c r="AM5201">
        <v>71.855427282901502</v>
      </c>
      <c r="AN5201">
        <v>0.999999967446629</v>
      </c>
    </row>
    <row r="5202" spans="1:40" x14ac:dyDescent="0.25">
      <c r="A5202" t="str">
        <f>"20190305135931872"</f>
        <v>20190305135931872</v>
      </c>
      <c r="B5202" t="str">
        <f>"1551765571864010"</f>
        <v>1551765571864010</v>
      </c>
      <c r="C5202" t="s">
        <v>40</v>
      </c>
      <c r="D5202">
        <v>4.1177330000000003</v>
      </c>
      <c r="E5202">
        <v>0.68019359999999995</v>
      </c>
      <c r="F5202" t="s">
        <v>43</v>
      </c>
      <c r="G5202">
        <v>-310.88490000000002</v>
      </c>
      <c r="H5202">
        <v>-0.05</v>
      </c>
      <c r="I5202">
        <v>10.8315</v>
      </c>
      <c r="J5202">
        <v>-316.22919999999999</v>
      </c>
      <c r="K5202">
        <v>1.081553</v>
      </c>
      <c r="L5202">
        <v>17.841249999999999</v>
      </c>
      <c r="M5202">
        <v>0.98994150000000003</v>
      </c>
      <c r="N5202">
        <v>-2.9408589999999998E-2</v>
      </c>
      <c r="O5202">
        <v>-0.1383875</v>
      </c>
      <c r="P5202">
        <v>0.89738300000000004</v>
      </c>
      <c r="Q5202">
        <v>7.0880070000000003E-3</v>
      </c>
      <c r="R5202">
        <v>-0.44119609999999898</v>
      </c>
      <c r="S5202">
        <v>2.062592</v>
      </c>
      <c r="T5202">
        <v>-0.42373129999999998</v>
      </c>
      <c r="U5202">
        <v>-2.6314389999999999</v>
      </c>
      <c r="V5202">
        <v>0.31346629999999998</v>
      </c>
      <c r="W5202">
        <v>2.7398800000000001E-2</v>
      </c>
      <c r="X5202">
        <v>0.94920400000000005</v>
      </c>
      <c r="Y5202">
        <v>0.6879016</v>
      </c>
      <c r="Z5202">
        <v>-4.8223799999999997E-2</v>
      </c>
      <c r="AA5202">
        <v>0.72420010000000001</v>
      </c>
      <c r="AB5202">
        <v>35</v>
      </c>
      <c r="AC5202">
        <v>5.3442999999999703</v>
      </c>
      <c r="AD5202">
        <v>-1.131553</v>
      </c>
      <c r="AE5202">
        <v>-7.0097499999999897</v>
      </c>
      <c r="AF5202">
        <v>6.1017870773381198</v>
      </c>
      <c r="AG5202">
        <v>-1.131553</v>
      </c>
      <c r="AH5202">
        <v>6.1617729432600798</v>
      </c>
      <c r="AI5202">
        <v>97.4343648952987</v>
      </c>
      <c r="AJ5202">
        <v>45.2802538196092</v>
      </c>
      <c r="AK5202">
        <v>8.7452652065715792</v>
      </c>
      <c r="AL5202">
        <v>88.429967957354407</v>
      </c>
      <c r="AM5202">
        <v>71.7246466427858</v>
      </c>
      <c r="AN5202">
        <v>1.0000000245465599</v>
      </c>
    </row>
    <row r="5203" spans="1:40" x14ac:dyDescent="0.25">
      <c r="A5203" t="str">
        <f>"20190305135931883"</f>
        <v>20190305135931883</v>
      </c>
      <c r="B5203" t="str">
        <f>"1551765571874746"</f>
        <v>1551765571874746</v>
      </c>
      <c r="C5203" t="s">
        <v>40</v>
      </c>
      <c r="D5203">
        <v>4.1133959999999998</v>
      </c>
      <c r="E5203">
        <v>0.68049599999999999</v>
      </c>
      <c r="F5203" t="s">
        <v>43</v>
      </c>
      <c r="G5203">
        <v>-310.76740000000001</v>
      </c>
      <c r="H5203">
        <v>-0.05</v>
      </c>
      <c r="I5203">
        <v>10.78026</v>
      </c>
      <c r="J5203">
        <v>-316.06389999999999</v>
      </c>
      <c r="K5203">
        <v>1.0800399999999999</v>
      </c>
      <c r="L5203">
        <v>17.814119999999999</v>
      </c>
      <c r="M5203">
        <v>0.98939980000000005</v>
      </c>
      <c r="N5203">
        <v>-2.9518639999999999E-2</v>
      </c>
      <c r="O5203">
        <v>-0.14218520000000001</v>
      </c>
      <c r="P5203">
        <v>0.89453819999999995</v>
      </c>
      <c r="Q5203">
        <v>7.0008079999999999E-3</v>
      </c>
      <c r="R5203">
        <v>-0.44693739999999998</v>
      </c>
      <c r="S5203">
        <v>2.0459900000000002</v>
      </c>
      <c r="T5203">
        <v>-0.42387599999999998</v>
      </c>
      <c r="U5203">
        <v>-2.6450200000000001</v>
      </c>
      <c r="V5203">
        <v>0.31592310000000001</v>
      </c>
      <c r="W5203">
        <v>2.7126150000000002E-2</v>
      </c>
      <c r="X5203">
        <v>0.94839700000000005</v>
      </c>
      <c r="Y5203">
        <v>0.68975010000000003</v>
      </c>
      <c r="Z5203">
        <v>-4.8116150000000003E-2</v>
      </c>
      <c r="AA5203">
        <v>0.72244699999999995</v>
      </c>
      <c r="AB5203">
        <v>35</v>
      </c>
      <c r="AC5203">
        <v>5.2964999999999796</v>
      </c>
      <c r="AD5203">
        <v>-1.1300399999999999</v>
      </c>
      <c r="AE5203">
        <v>-7.0338599999999998</v>
      </c>
      <c r="AF5203">
        <v>6.1083096517892104</v>
      </c>
      <c r="AG5203">
        <v>-1.1300399999999999</v>
      </c>
      <c r="AH5203">
        <v>6.1420203904774704</v>
      </c>
      <c r="AI5203">
        <v>97.432524139821197</v>
      </c>
      <c r="AJ5203">
        <v>45.157667439902397</v>
      </c>
      <c r="AK5203">
        <v>8.7357227337400296</v>
      </c>
      <c r="AL5203">
        <v>88.445595501597197</v>
      </c>
      <c r="AM5203">
        <v>71.5764283558795</v>
      </c>
      <c r="AN5203">
        <v>1.0000000513682099</v>
      </c>
    </row>
    <row r="5204" spans="1:40" x14ac:dyDescent="0.25">
      <c r="A5204" t="str">
        <f>"20190305135931895"</f>
        <v>20190305135931895</v>
      </c>
      <c r="B5204" t="str">
        <f>"1551765571884506"</f>
        <v>1551765571884506</v>
      </c>
      <c r="C5204" t="s">
        <v>40</v>
      </c>
      <c r="D5204">
        <v>4.0129239999999999</v>
      </c>
      <c r="E5204">
        <v>0.68048949999999997</v>
      </c>
      <c r="F5204" t="s">
        <v>43</v>
      </c>
      <c r="G5204">
        <v>-310.6934</v>
      </c>
      <c r="H5204">
        <v>-0.05</v>
      </c>
      <c r="I5204">
        <v>10.768840000000001</v>
      </c>
      <c r="J5204">
        <v>-315.88990000000001</v>
      </c>
      <c r="K5204">
        <v>1.0784609999999999</v>
      </c>
      <c r="L5204">
        <v>17.784849999999999</v>
      </c>
      <c r="M5204">
        <v>0.98880109999999999</v>
      </c>
      <c r="N5204">
        <v>-2.959322E-2</v>
      </c>
      <c r="O5204">
        <v>-0.14627579999999901</v>
      </c>
      <c r="P5204">
        <v>0.89125399999999999</v>
      </c>
      <c r="Q5204">
        <v>7.090341E-3</v>
      </c>
      <c r="R5204">
        <v>-0.4534492</v>
      </c>
      <c r="S5204">
        <v>2.0278930000000002</v>
      </c>
      <c r="T5204">
        <v>-0.42669580000000001</v>
      </c>
      <c r="U5204">
        <v>-2.6602480000000002</v>
      </c>
      <c r="V5204">
        <v>0.31893709999999997</v>
      </c>
      <c r="W5204">
        <v>2.69841E-2</v>
      </c>
      <c r="X5204">
        <v>0.94739169999999995</v>
      </c>
      <c r="Y5204">
        <v>0.69178680000000004</v>
      </c>
      <c r="Z5204">
        <v>-4.8177669999999999E-2</v>
      </c>
      <c r="AA5204">
        <v>0.72049280000000004</v>
      </c>
      <c r="AB5204">
        <v>35</v>
      </c>
      <c r="AC5204">
        <v>5.1965000000000101</v>
      </c>
      <c r="AD5204">
        <v>-1.1284609999999999</v>
      </c>
      <c r="AE5204">
        <v>-7.0160099999999996</v>
      </c>
      <c r="AF5204">
        <v>6.0784791457904399</v>
      </c>
      <c r="AG5204">
        <v>-1.1284609999999999</v>
      </c>
      <c r="AH5204">
        <v>6.0659441477065599</v>
      </c>
      <c r="AI5204">
        <v>97.4862741884305</v>
      </c>
      <c r="AJ5204">
        <v>44.940861561392602</v>
      </c>
      <c r="AK5204">
        <v>8.6612361333371908</v>
      </c>
      <c r="AL5204">
        <v>88.453737305208904</v>
      </c>
      <c r="AM5204">
        <v>71.394319582264401</v>
      </c>
      <c r="AN5204">
        <v>1.0000000243190501</v>
      </c>
    </row>
    <row r="5205" spans="1:40" x14ac:dyDescent="0.25">
      <c r="A5205" t="str">
        <f>"20190305135931906"</f>
        <v>20190305135931906</v>
      </c>
      <c r="B5205" t="str">
        <f>"1551765571904026"</f>
        <v>1551765571904026</v>
      </c>
      <c r="C5205" t="s">
        <v>40</v>
      </c>
      <c r="D5205">
        <v>4.1004709999999998</v>
      </c>
      <c r="E5205">
        <v>0.68052449999999998</v>
      </c>
      <c r="F5205" t="s">
        <v>43</v>
      </c>
      <c r="G5205">
        <v>-310.50779999999997</v>
      </c>
      <c r="H5205">
        <v>-0.05</v>
      </c>
      <c r="I5205">
        <v>10.618270000000001</v>
      </c>
      <c r="J5205">
        <v>-315.71519999999998</v>
      </c>
      <c r="K5205">
        <v>1.0769200000000001</v>
      </c>
      <c r="L5205">
        <v>17.754270000000002</v>
      </c>
      <c r="M5205">
        <v>0.98815560000000002</v>
      </c>
      <c r="N5205">
        <v>-2.9599090000000002E-2</v>
      </c>
      <c r="O5205">
        <v>-0.1505735</v>
      </c>
      <c r="P5205">
        <v>0.88779819999999998</v>
      </c>
      <c r="Q5205">
        <v>6.6371039999999996E-3</v>
      </c>
      <c r="R5205">
        <v>-0.46018520000000002</v>
      </c>
      <c r="S5205">
        <v>2.0086059999999999</v>
      </c>
      <c r="T5205">
        <v>-0.42114560000000001</v>
      </c>
      <c r="U5205">
        <v>-2.6745909999999999</v>
      </c>
      <c r="V5205">
        <v>0.32199220000000001</v>
      </c>
      <c r="W5205">
        <v>2.626481E-2</v>
      </c>
      <c r="X5205">
        <v>0.94637789999999999</v>
      </c>
      <c r="Y5205">
        <v>0.69395580000000001</v>
      </c>
      <c r="Z5205">
        <v>-4.7581760000000001E-2</v>
      </c>
      <c r="AA5205">
        <v>0.71844359999999996</v>
      </c>
      <c r="AB5205">
        <v>35</v>
      </c>
      <c r="AC5205">
        <v>5.2073999999999998</v>
      </c>
      <c r="AD5205">
        <v>-1.1269199999999999</v>
      </c>
      <c r="AE5205">
        <v>-7.1360000000000001</v>
      </c>
      <c r="AF5205">
        <v>6.1697283314625402</v>
      </c>
      <c r="AG5205">
        <v>-1.1269199999999999</v>
      </c>
      <c r="AH5205">
        <v>6.1232953163890196</v>
      </c>
      <c r="AI5205">
        <v>97.386749407921101</v>
      </c>
      <c r="AJ5205">
        <v>44.783584314328003</v>
      </c>
      <c r="AK5205">
        <v>8.7652861848409298</v>
      </c>
      <c r="AL5205">
        <v>88.494964124297397</v>
      </c>
      <c r="AM5205">
        <v>71.209826981071501</v>
      </c>
      <c r="AN5205">
        <v>0.99999997335679203</v>
      </c>
    </row>
    <row r="5206" spans="1:40" x14ac:dyDescent="0.25">
      <c r="A5206" t="str">
        <f>"20190305135931918"</f>
        <v>20190305135931918</v>
      </c>
      <c r="B5206" t="str">
        <f>"1551765571914762"</f>
        <v>1551765571914762</v>
      </c>
      <c r="C5206" t="s">
        <v>40</v>
      </c>
      <c r="D5206">
        <v>4.1082450000000001</v>
      </c>
      <c r="E5206">
        <v>0.68059530000000001</v>
      </c>
      <c r="F5206" t="s">
        <v>43</v>
      </c>
      <c r="G5206">
        <v>-310.43299999999999</v>
      </c>
      <c r="H5206">
        <v>-0.05</v>
      </c>
      <c r="I5206">
        <v>10.606540000000001</v>
      </c>
      <c r="J5206">
        <v>-315.53660000000002</v>
      </c>
      <c r="K5206">
        <v>1.075361</v>
      </c>
      <c r="L5206">
        <v>17.7225</v>
      </c>
      <c r="M5206">
        <v>0.98746619999999996</v>
      </c>
      <c r="N5206">
        <v>-2.957914E-2</v>
      </c>
      <c r="O5206">
        <v>-0.15503400000000001</v>
      </c>
      <c r="P5206">
        <v>0.88428019999999996</v>
      </c>
      <c r="Q5206">
        <v>6.2395799999999998E-3</v>
      </c>
      <c r="R5206">
        <v>-0.46691519999999997</v>
      </c>
      <c r="S5206">
        <v>1.987946</v>
      </c>
      <c r="T5206">
        <v>-0.42411349999999998</v>
      </c>
      <c r="U5206">
        <v>-2.6900330000000001</v>
      </c>
      <c r="V5206">
        <v>0.32490659999999999</v>
      </c>
      <c r="W5206">
        <v>2.5587929999999998E-2</v>
      </c>
      <c r="X5206">
        <v>0.94539989999999996</v>
      </c>
      <c r="Y5206">
        <v>0.69617220000000002</v>
      </c>
      <c r="Z5206">
        <v>-4.7591920000000003E-2</v>
      </c>
      <c r="AA5206">
        <v>0.71629549999999997</v>
      </c>
      <c r="AB5206">
        <v>35</v>
      </c>
      <c r="AC5206">
        <v>5.1036000000000197</v>
      </c>
      <c r="AD5206">
        <v>-1.1253610000000001</v>
      </c>
      <c r="AE5206">
        <v>-7.1159600000000003</v>
      </c>
      <c r="AF5206">
        <v>6.13691641447239</v>
      </c>
      <c r="AG5206">
        <v>-1.1253610000000001</v>
      </c>
      <c r="AH5206">
        <v>6.0456921971631701</v>
      </c>
      <c r="AI5206">
        <v>97.442599973344898</v>
      </c>
      <c r="AJ5206">
        <v>44.570973252046798</v>
      </c>
      <c r="AK5206">
        <v>8.6878406178624896</v>
      </c>
      <c r="AL5206">
        <v>88.533759581917295</v>
      </c>
      <c r="AM5206">
        <v>71.033636477590505</v>
      </c>
      <c r="AN5206">
        <v>1.0000000059026199</v>
      </c>
    </row>
    <row r="5207" spans="1:40" x14ac:dyDescent="0.25">
      <c r="A5207" t="str">
        <f>"20190305135931931"</f>
        <v>20190305135931931</v>
      </c>
      <c r="B5207" t="str">
        <f>"1551765571924522"</f>
        <v>1551765571924522</v>
      </c>
      <c r="C5207" t="s">
        <v>40</v>
      </c>
      <c r="D5207">
        <v>4.1339779999999999</v>
      </c>
      <c r="E5207">
        <v>0.68055010000000005</v>
      </c>
      <c r="F5207" t="s">
        <v>43</v>
      </c>
      <c r="G5207">
        <v>-310.3073</v>
      </c>
      <c r="H5207">
        <v>-0.05</v>
      </c>
      <c r="I5207">
        <v>10.52826</v>
      </c>
      <c r="J5207">
        <v>-315.3451</v>
      </c>
      <c r="K5207">
        <v>1.073763</v>
      </c>
      <c r="L5207">
        <v>17.686710000000001</v>
      </c>
      <c r="M5207">
        <v>0.98665499999999995</v>
      </c>
      <c r="N5207">
        <v>-2.945884E-2</v>
      </c>
      <c r="O5207">
        <v>-0.16013859999999999</v>
      </c>
      <c r="P5207">
        <v>0.88032250000000001</v>
      </c>
      <c r="Q5207">
        <v>5.9070919999999897E-3</v>
      </c>
      <c r="R5207">
        <v>-0.47433930000000002</v>
      </c>
      <c r="S5207">
        <v>1.9668270000000001</v>
      </c>
      <c r="T5207">
        <v>-0.42326649999999999</v>
      </c>
      <c r="U5207">
        <v>-2.7058719999999998</v>
      </c>
      <c r="V5207">
        <v>0.32796789999999998</v>
      </c>
      <c r="W5207">
        <v>2.4913419999999999E-2</v>
      </c>
      <c r="X5207">
        <v>0.94436030000000004</v>
      </c>
      <c r="Y5207">
        <v>0.6981503</v>
      </c>
      <c r="Z5207">
        <v>-4.7161000000000002E-2</v>
      </c>
      <c r="AA5207">
        <v>0.71439619999999904</v>
      </c>
      <c r="AB5207">
        <v>35</v>
      </c>
      <c r="AC5207">
        <v>5.0377999999999998</v>
      </c>
      <c r="AD5207">
        <v>-1.1237629999999901</v>
      </c>
      <c r="AE5207">
        <v>-7.1584500000000002</v>
      </c>
      <c r="AF5207">
        <v>6.1574077213261402</v>
      </c>
      <c r="AG5207">
        <v>-1.1237629999999901</v>
      </c>
      <c r="AH5207">
        <v>6.0203466926670703</v>
      </c>
      <c r="AI5207">
        <v>97.434819691959603</v>
      </c>
      <c r="AJ5207">
        <v>44.355161334314197</v>
      </c>
      <c r="AK5207">
        <v>8.6845315030071202</v>
      </c>
      <c r="AL5207">
        <v>88.572418475266105</v>
      </c>
      <c r="AM5207">
        <v>70.848342294234001</v>
      </c>
      <c r="AN5207">
        <v>0.999999999071298</v>
      </c>
    </row>
    <row r="5208" spans="1:40" x14ac:dyDescent="0.25">
      <c r="A5208" t="str">
        <f>"20190305135931943"</f>
        <v>20190305135931943</v>
      </c>
      <c r="B5208" t="str">
        <f>"1551765571934281"</f>
        <v>1551765571934281</v>
      </c>
      <c r="C5208" t="s">
        <v>40</v>
      </c>
      <c r="D5208">
        <v>4.1221800000000002</v>
      </c>
      <c r="E5208">
        <v>0.68033949999999999</v>
      </c>
      <c r="F5208" t="s">
        <v>43</v>
      </c>
      <c r="G5208">
        <v>-310.17320000000001</v>
      </c>
      <c r="H5208">
        <v>-0.05</v>
      </c>
      <c r="I5208">
        <v>10.445130000000001</v>
      </c>
      <c r="J5208">
        <v>-315.17</v>
      </c>
      <c r="K5208">
        <v>1.0723290000000001</v>
      </c>
      <c r="L5208">
        <v>17.653289999999998</v>
      </c>
      <c r="M5208">
        <v>0.98587259999999999</v>
      </c>
      <c r="N5208">
        <v>-2.931812E-2</v>
      </c>
      <c r="O5208">
        <v>-0.16491059999999999</v>
      </c>
      <c r="P5208">
        <v>0.87663259999999898</v>
      </c>
      <c r="Q5208">
        <v>5.218238E-3</v>
      </c>
      <c r="R5208">
        <v>-0.48113230000000001</v>
      </c>
      <c r="S5208">
        <v>1.9440310000000001</v>
      </c>
      <c r="T5208">
        <v>-0.42239939999999998</v>
      </c>
      <c r="U5208">
        <v>-2.7219540000000002</v>
      </c>
      <c r="V5208">
        <v>0.33068409999999998</v>
      </c>
      <c r="W5208">
        <v>2.3898539999999999E-2</v>
      </c>
      <c r="X5208">
        <v>0.94343889999999997</v>
      </c>
      <c r="Y5208">
        <v>0.70066909999999905</v>
      </c>
      <c r="Z5208">
        <v>-4.6825459999999999E-2</v>
      </c>
      <c r="AA5208">
        <v>0.71194820000000003</v>
      </c>
      <c r="AB5208">
        <v>35</v>
      </c>
      <c r="AC5208">
        <v>4.9968000000000004</v>
      </c>
      <c r="AD5208">
        <v>-1.1223289999999999</v>
      </c>
      <c r="AE5208">
        <v>-7.2081599999999897</v>
      </c>
      <c r="AF5208">
        <v>6.1837482335591103</v>
      </c>
      <c r="AG5208">
        <v>-1.1223289999999999</v>
      </c>
      <c r="AH5208">
        <v>6.0189822468575702</v>
      </c>
      <c r="AI5208">
        <v>97.410205455235101</v>
      </c>
      <c r="AJ5208">
        <v>44.226417233719701</v>
      </c>
      <c r="AK5208">
        <v>8.7020981313860801</v>
      </c>
      <c r="AL5208">
        <v>88.630584195103594</v>
      </c>
      <c r="AM5208">
        <v>70.683962160872298</v>
      </c>
      <c r="AN5208">
        <v>1.00000003612007</v>
      </c>
    </row>
    <row r="5209" spans="1:40" x14ac:dyDescent="0.25">
      <c r="A5209" t="str">
        <f>"20190305135931954"</f>
        <v>20190305135931954</v>
      </c>
      <c r="B5209" t="str">
        <f>"1551765571944043"</f>
        <v>1551765571944043</v>
      </c>
      <c r="C5209" t="s">
        <v>40</v>
      </c>
      <c r="D5209">
        <v>4.0198010000000002</v>
      </c>
      <c r="E5209">
        <v>0.68030269999999904</v>
      </c>
      <c r="F5209" t="s">
        <v>43</v>
      </c>
      <c r="G5209">
        <v>-310.06979999999999</v>
      </c>
      <c r="H5209">
        <v>-0.05</v>
      </c>
      <c r="I5209">
        <v>10.39842</v>
      </c>
      <c r="J5209">
        <v>-314.97519999999997</v>
      </c>
      <c r="K5209">
        <v>1.0707899999999999</v>
      </c>
      <c r="L5209">
        <v>17.61487</v>
      </c>
      <c r="M5209">
        <v>0.98494000000000004</v>
      </c>
      <c r="N5209">
        <v>-2.9100810000000001E-2</v>
      </c>
      <c r="O5209">
        <v>-0.1704302</v>
      </c>
      <c r="P5209">
        <v>0.87251909999999899</v>
      </c>
      <c r="Q5209">
        <v>4.9265029999999996E-3</v>
      </c>
      <c r="R5209">
        <v>-0.48855539999999997</v>
      </c>
      <c r="S5209">
        <v>1.9232180000000001</v>
      </c>
      <c r="T5209">
        <v>-0.42322130000000002</v>
      </c>
      <c r="U5209">
        <v>-2.7357480000000001</v>
      </c>
      <c r="V5209">
        <v>0.33339790000000002</v>
      </c>
      <c r="W5209">
        <v>2.3227810000000002E-2</v>
      </c>
      <c r="X5209">
        <v>0.94250009999999995</v>
      </c>
      <c r="Y5209">
        <v>0.70200340000000006</v>
      </c>
      <c r="Z5209">
        <v>-4.6336679999999998E-2</v>
      </c>
      <c r="AA5209">
        <v>0.71066459999999998</v>
      </c>
      <c r="AB5209">
        <v>34</v>
      </c>
      <c r="AC5209">
        <v>4.9053999999999798</v>
      </c>
      <c r="AD5209">
        <v>-1.12079</v>
      </c>
      <c r="AE5209">
        <v>-7.21645</v>
      </c>
      <c r="AF5209">
        <v>6.1725630989289302</v>
      </c>
      <c r="AG5209">
        <v>-1.12079</v>
      </c>
      <c r="AH5209">
        <v>5.9655726905404203</v>
      </c>
      <c r="AI5209">
        <v>97.438698944242503</v>
      </c>
      <c r="AJ5209">
        <v>44.023035530074402</v>
      </c>
      <c r="AK5209">
        <v>8.6570643384741501</v>
      </c>
      <c r="AL5209">
        <v>88.669024903721393</v>
      </c>
      <c r="AM5209">
        <v>70.519388657445106</v>
      </c>
      <c r="AN5209">
        <v>1.0000000646909</v>
      </c>
    </row>
    <row r="5210" spans="1:40" x14ac:dyDescent="0.25">
      <c r="A5210" t="str">
        <f>"20190305135931966"</f>
        <v>20190305135931966</v>
      </c>
      <c r="B5210" t="str">
        <f>"1551765571954778"</f>
        <v>1551765571954778</v>
      </c>
      <c r="C5210" t="s">
        <v>40</v>
      </c>
      <c r="D5210">
        <v>4.1468189999999998</v>
      </c>
      <c r="E5210">
        <v>0.68011849999999996</v>
      </c>
      <c r="F5210" t="s">
        <v>43</v>
      </c>
      <c r="G5210">
        <v>-309.89339999999999</v>
      </c>
      <c r="H5210">
        <v>-0.05</v>
      </c>
      <c r="I5210">
        <v>10.25436</v>
      </c>
      <c r="J5210">
        <v>-314.81299999999999</v>
      </c>
      <c r="K5210">
        <v>1.0695619999999999</v>
      </c>
      <c r="L5210">
        <v>17.58173</v>
      </c>
      <c r="M5210">
        <v>0.98410249999999999</v>
      </c>
      <c r="N5210">
        <v>-2.888431E-2</v>
      </c>
      <c r="O5210">
        <v>-0.17523759999999999</v>
      </c>
      <c r="P5210">
        <v>0.86873539999999905</v>
      </c>
      <c r="Q5210">
        <v>4.9529020000000003E-3</v>
      </c>
      <c r="R5210">
        <v>-0.49525249999999998</v>
      </c>
      <c r="S5210">
        <v>1.899872</v>
      </c>
      <c r="T5210">
        <v>-0.419014</v>
      </c>
      <c r="U5210">
        <v>-2.75177</v>
      </c>
      <c r="V5210">
        <v>0.33604279999999997</v>
      </c>
      <c r="W5210">
        <v>2.2910799999999999E-2</v>
      </c>
      <c r="X5210">
        <v>0.94156799999999996</v>
      </c>
      <c r="Y5210">
        <v>0.70465049999999996</v>
      </c>
      <c r="Z5210">
        <v>-4.573381E-2</v>
      </c>
      <c r="AA5210">
        <v>0.70807909999999996</v>
      </c>
      <c r="AB5210">
        <v>34</v>
      </c>
      <c r="AC5210">
        <v>4.9196</v>
      </c>
      <c r="AD5210">
        <v>-1.1195619999999999</v>
      </c>
      <c r="AE5210">
        <v>-7.3273699999999904</v>
      </c>
      <c r="AF5210">
        <v>6.2508474470172004</v>
      </c>
      <c r="AG5210">
        <v>-1.1195619999999999</v>
      </c>
      <c r="AH5210">
        <v>6.0309302116156598</v>
      </c>
      <c r="AI5210">
        <v>97.344580712769798</v>
      </c>
      <c r="AJ5210">
        <v>43.974172682185497</v>
      </c>
      <c r="AK5210">
        <v>8.7577755220777505</v>
      </c>
      <c r="AL5210">
        <v>88.687192966083799</v>
      </c>
      <c r="AM5210">
        <v>70.3586696901192</v>
      </c>
      <c r="AN5210">
        <v>0.99999998340623897</v>
      </c>
    </row>
    <row r="5211" spans="1:40" x14ac:dyDescent="0.25">
      <c r="A5211" t="str">
        <f>"20190305135931976"</f>
        <v>20190305135931976</v>
      </c>
      <c r="B5211" t="str">
        <f>"1551765571974298"</f>
        <v>1551765571974298</v>
      </c>
      <c r="C5211" t="s">
        <v>40</v>
      </c>
      <c r="D5211">
        <v>4.1625389999999998</v>
      </c>
      <c r="E5211">
        <v>0.68011739999999998</v>
      </c>
      <c r="F5211" t="s">
        <v>43</v>
      </c>
      <c r="G5211">
        <v>-309.77609999999999</v>
      </c>
      <c r="H5211">
        <v>-0.05</v>
      </c>
      <c r="I5211">
        <v>10.168530000000001</v>
      </c>
      <c r="J5211">
        <v>-314.64690000000002</v>
      </c>
      <c r="K5211">
        <v>1.0683320000000001</v>
      </c>
      <c r="L5211">
        <v>17.547270000000001</v>
      </c>
      <c r="M5211">
        <v>0.98320359999999996</v>
      </c>
      <c r="N5211">
        <v>-2.864703E-2</v>
      </c>
      <c r="O5211">
        <v>-0.1802501</v>
      </c>
      <c r="P5211">
        <v>0.86473169999999899</v>
      </c>
      <c r="Q5211">
        <v>5.3630659999999997E-3</v>
      </c>
      <c r="R5211">
        <v>-0.50220559999999903</v>
      </c>
      <c r="S5211">
        <v>1.879089</v>
      </c>
      <c r="T5211">
        <v>-0.41767290000000001</v>
      </c>
      <c r="U5211">
        <v>-2.765625</v>
      </c>
      <c r="V5211">
        <v>0.33880529999999998</v>
      </c>
      <c r="W5211">
        <v>2.2961329999999999E-2</v>
      </c>
      <c r="X5211">
        <v>0.94057630000000003</v>
      </c>
      <c r="Y5211">
        <v>0.70638380000000001</v>
      </c>
      <c r="Z5211">
        <v>-4.5181789999999999E-2</v>
      </c>
      <c r="AA5211">
        <v>0.7063855</v>
      </c>
      <c r="AB5211">
        <v>34</v>
      </c>
      <c r="AC5211">
        <v>4.8708000000000302</v>
      </c>
      <c r="AD5211">
        <v>-1.1183319999999899</v>
      </c>
      <c r="AE5211">
        <v>-7.3787399999999996</v>
      </c>
      <c r="AF5211">
        <v>6.2790004491178903</v>
      </c>
      <c r="AG5211">
        <v>-1.1183319999999899</v>
      </c>
      <c r="AH5211">
        <v>6.02512163137723</v>
      </c>
      <c r="AI5211">
        <v>97.323040416871294</v>
      </c>
      <c r="AJ5211">
        <v>43.817947281043999</v>
      </c>
      <c r="AK5211">
        <v>8.7737451396274597</v>
      </c>
      <c r="AL5211">
        <v>88.684297090123295</v>
      </c>
      <c r="AM5211">
        <v>70.190455931980495</v>
      </c>
      <c r="AN5211">
        <v>1.0000000150525701</v>
      </c>
    </row>
    <row r="5212" spans="1:40" x14ac:dyDescent="0.25">
      <c r="A5212" t="str">
        <f>"20190305135931986"</f>
        <v>20190305135931986</v>
      </c>
      <c r="B5212" t="str">
        <f>"1551765571984058"</f>
        <v>1551765571984058</v>
      </c>
      <c r="C5212" t="s">
        <v>40</v>
      </c>
      <c r="D5212">
        <v>4.1852539999999996</v>
      </c>
      <c r="E5212">
        <v>0.67995760000000005</v>
      </c>
      <c r="F5212" t="s">
        <v>43</v>
      </c>
      <c r="G5212">
        <v>-309.66219999999998</v>
      </c>
      <c r="H5212">
        <v>-0.05</v>
      </c>
      <c r="I5212">
        <v>10.07906</v>
      </c>
      <c r="J5212">
        <v>-314.49919999999997</v>
      </c>
      <c r="K5212">
        <v>1.067293</v>
      </c>
      <c r="L5212">
        <v>17.515260000000001</v>
      </c>
      <c r="M5212">
        <v>0.98233440000000005</v>
      </c>
      <c r="N5212">
        <v>-2.8418539999999999E-2</v>
      </c>
      <c r="O5212">
        <v>-0.18496299999999999</v>
      </c>
      <c r="P5212">
        <v>0.86084349999999998</v>
      </c>
      <c r="Q5212">
        <v>5.8092619999999999E-3</v>
      </c>
      <c r="R5212">
        <v>-0.50883670000000003</v>
      </c>
      <c r="S5212">
        <v>1.856506</v>
      </c>
      <c r="T5212">
        <v>-0.4165124</v>
      </c>
      <c r="U5212">
        <v>-2.7814640000000002</v>
      </c>
      <c r="V5212">
        <v>0.34153119999999998</v>
      </c>
      <c r="W5212">
        <v>2.3073360000000001E-2</v>
      </c>
      <c r="X5212">
        <v>0.93958719999999996</v>
      </c>
      <c r="Y5212">
        <v>0.70885619999999905</v>
      </c>
      <c r="Z5212">
        <v>-4.4764270000000002E-2</v>
      </c>
      <c r="AA5212">
        <v>0.70393119999999998</v>
      </c>
      <c r="AB5212">
        <v>34</v>
      </c>
      <c r="AC5212">
        <v>4.8369999999999802</v>
      </c>
      <c r="AD5212">
        <v>-1.1172930000000001</v>
      </c>
      <c r="AE5212">
        <v>-7.4362000000000004</v>
      </c>
      <c r="AF5212">
        <v>6.3126204996220201</v>
      </c>
      <c r="AG5212">
        <v>-1.1172930000000001</v>
      </c>
      <c r="AH5212">
        <v>6.0337344279806304</v>
      </c>
      <c r="AI5212">
        <v>97.2912491075638</v>
      </c>
      <c r="AJ5212">
        <v>43.705992329090797</v>
      </c>
      <c r="AK5212">
        <v>8.8036056458416994</v>
      </c>
      <c r="AL5212">
        <v>88.677876554132297</v>
      </c>
      <c r="AM5212">
        <v>70.024265516377795</v>
      </c>
      <c r="AN5212">
        <v>1.0000000234594799</v>
      </c>
    </row>
    <row r="5213" spans="1:40" x14ac:dyDescent="0.25">
      <c r="A5213" t="str">
        <f>"20190305135931996"</f>
        <v>20190305135931996</v>
      </c>
      <c r="B5213" t="str">
        <f>"1551765571984058"</f>
        <v>1551765571984058</v>
      </c>
      <c r="C5213" t="s">
        <v>40</v>
      </c>
      <c r="D5213">
        <v>4.1852539999999996</v>
      </c>
      <c r="E5213">
        <v>0.67995760000000005</v>
      </c>
      <c r="F5213" t="s">
        <v>43</v>
      </c>
      <c r="G5213">
        <v>-309.54250000000002</v>
      </c>
      <c r="H5213">
        <v>-0.05</v>
      </c>
      <c r="I5213">
        <v>9.9680020000000003</v>
      </c>
      <c r="J5213">
        <v>-314.34730000000002</v>
      </c>
      <c r="K5213">
        <v>1.0662370000000001</v>
      </c>
      <c r="L5213">
        <v>17.482119999999998</v>
      </c>
      <c r="M5213">
        <v>0.98140709999999998</v>
      </c>
      <c r="N5213">
        <v>-2.8179920000000001E-2</v>
      </c>
      <c r="O5213">
        <v>-0.18985850000000001</v>
      </c>
      <c r="P5213">
        <v>0.85689470000000001</v>
      </c>
      <c r="Q5213">
        <v>6.8318509999999999E-3</v>
      </c>
      <c r="R5213">
        <v>-0.51544709999999905</v>
      </c>
      <c r="S5213">
        <v>1.8356319999999999</v>
      </c>
      <c r="T5213">
        <v>-0.41377380000000002</v>
      </c>
      <c r="U5213">
        <v>-2.795013</v>
      </c>
      <c r="V5213">
        <v>0.34410230000000003</v>
      </c>
      <c r="W5213">
        <v>2.3759820000000001E-2</v>
      </c>
      <c r="X5213">
        <v>0.93863149999999995</v>
      </c>
      <c r="Y5213">
        <v>0.71066759999999995</v>
      </c>
      <c r="Z5213">
        <v>-4.413893E-2</v>
      </c>
      <c r="AA5213">
        <v>0.70214209999999999</v>
      </c>
      <c r="AB5213">
        <v>34</v>
      </c>
      <c r="AC5213">
        <v>4.8048000000000002</v>
      </c>
      <c r="AD5213">
        <v>-1.1162369999999999</v>
      </c>
      <c r="AE5213">
        <v>-7.5141179999999999</v>
      </c>
      <c r="AF5213">
        <v>6.36504557947781</v>
      </c>
      <c r="AG5213">
        <v>-1.1162369999999999</v>
      </c>
      <c r="AH5213">
        <v>6.0497641683235601</v>
      </c>
      <c r="AI5213">
        <v>97.244211284357505</v>
      </c>
      <c r="AJ5213">
        <v>43.545252593527799</v>
      </c>
      <c r="AK5213">
        <v>8.8520865766965198</v>
      </c>
      <c r="AL5213">
        <v>88.638534483719695</v>
      </c>
      <c r="AM5213">
        <v>69.867064108352594</v>
      </c>
      <c r="AN5213">
        <v>1.0000000073519799</v>
      </c>
    </row>
    <row r="5214" spans="1:40" x14ac:dyDescent="0.25">
      <c r="A5214" t="str">
        <f>"20190305135932007"</f>
        <v>20190305135932007</v>
      </c>
      <c r="B5214" t="str">
        <f>"1551765572004554"</f>
        <v>1551765572004554</v>
      </c>
      <c r="C5214" t="s">
        <v>40</v>
      </c>
      <c r="D5214">
        <v>4.1781439999999996</v>
      </c>
      <c r="E5214">
        <v>0.67976269999999905</v>
      </c>
      <c r="F5214" t="s">
        <v>43</v>
      </c>
      <c r="G5214">
        <v>-309.40410000000003</v>
      </c>
      <c r="H5214">
        <v>-0.05</v>
      </c>
      <c r="I5214">
        <v>9.8266749999999998</v>
      </c>
      <c r="J5214">
        <v>-314.19159999999999</v>
      </c>
      <c r="K5214">
        <v>1.06519599999999</v>
      </c>
      <c r="L5214">
        <v>17.44669</v>
      </c>
      <c r="M5214">
        <v>0.98037920000000001</v>
      </c>
      <c r="N5214">
        <v>-2.792733E-2</v>
      </c>
      <c r="O5214">
        <v>-0.195133</v>
      </c>
      <c r="P5214">
        <v>0.85258199999999995</v>
      </c>
      <c r="Q5214">
        <v>7.9750940000000003E-3</v>
      </c>
      <c r="R5214">
        <v>-0.52253289999999997</v>
      </c>
      <c r="S5214">
        <v>1.814209</v>
      </c>
      <c r="T5214">
        <v>-0.40967559999999897</v>
      </c>
      <c r="U5214">
        <v>-2.8096619999999999</v>
      </c>
      <c r="V5214">
        <v>0.34686479999999997</v>
      </c>
      <c r="W5214">
        <v>2.4536840000000001E-2</v>
      </c>
      <c r="X5214">
        <v>0.93759420000000004</v>
      </c>
      <c r="Y5214">
        <v>0.71245809999999998</v>
      </c>
      <c r="Z5214">
        <v>-4.336959E-2</v>
      </c>
      <c r="AA5214">
        <v>0.70037320000000003</v>
      </c>
      <c r="AB5214">
        <v>34</v>
      </c>
      <c r="AC5214">
        <v>4.7874999999999597</v>
      </c>
      <c r="AD5214">
        <v>-1.1151960000000001</v>
      </c>
      <c r="AE5214">
        <v>-7.6200149999999898</v>
      </c>
      <c r="AF5214">
        <v>6.4399580136609096</v>
      </c>
      <c r="AG5214">
        <v>-1.1151960000000001</v>
      </c>
      <c r="AH5214">
        <v>6.0893797811761301</v>
      </c>
      <c r="AI5214">
        <v>97.171573069933103</v>
      </c>
      <c r="AJ5214">
        <v>43.397248612447299</v>
      </c>
      <c r="AK5214">
        <v>8.9329316271607002</v>
      </c>
      <c r="AL5214">
        <v>88.594001610897294</v>
      </c>
      <c r="AM5214">
        <v>69.697948019360894</v>
      </c>
      <c r="AN5214">
        <v>1.0000000649349301</v>
      </c>
    </row>
    <row r="5215" spans="1:40" x14ac:dyDescent="0.25">
      <c r="A5215" t="str">
        <f>"20190305135932018"</f>
        <v>20190305135932018</v>
      </c>
      <c r="B5215" t="str">
        <f>"1551765572014314"</f>
        <v>1551765572014314</v>
      </c>
      <c r="C5215" t="s">
        <v>40</v>
      </c>
      <c r="D5215">
        <v>4.2105800000000002</v>
      </c>
      <c r="E5215">
        <v>0.67972159999999904</v>
      </c>
      <c r="F5215" t="s">
        <v>43</v>
      </c>
      <c r="G5215">
        <v>-309.30380000000002</v>
      </c>
      <c r="H5215">
        <v>-0.05</v>
      </c>
      <c r="I5215">
        <v>9.7456049999999994</v>
      </c>
      <c r="J5215">
        <v>-314.02300000000002</v>
      </c>
      <c r="K5215">
        <v>1.0640750000000001</v>
      </c>
      <c r="L5215">
        <v>17.407959999999999</v>
      </c>
      <c r="M5215">
        <v>0.97922240000000005</v>
      </c>
      <c r="N5215">
        <v>-2.7651619999999998E-2</v>
      </c>
      <c r="O5215">
        <v>-0.20089609999999999</v>
      </c>
      <c r="P5215">
        <v>0.84798560000000001</v>
      </c>
      <c r="Q5215">
        <v>8.8387190000000001E-3</v>
      </c>
      <c r="R5215">
        <v>-0.52994629999999998</v>
      </c>
      <c r="S5215">
        <v>1.792084</v>
      </c>
      <c r="T5215">
        <v>-0.40887879999999999</v>
      </c>
      <c r="U5215">
        <v>-2.823547</v>
      </c>
      <c r="V5215">
        <v>0.34954479999999999</v>
      </c>
      <c r="W5215">
        <v>2.5013049999999998E-2</v>
      </c>
      <c r="X5215">
        <v>0.93658569999999997</v>
      </c>
      <c r="Y5215">
        <v>0.713862199999999</v>
      </c>
      <c r="Z5215">
        <v>-4.2706349999999997E-2</v>
      </c>
      <c r="AA5215">
        <v>0.69898280000000002</v>
      </c>
      <c r="AB5215">
        <v>34</v>
      </c>
      <c r="AC5215">
        <v>4.7191999999999403</v>
      </c>
      <c r="AD5215">
        <v>-1.1140749999999999</v>
      </c>
      <c r="AE5215">
        <v>-7.6623549999999998</v>
      </c>
      <c r="AF5215">
        <v>6.4586005781221401</v>
      </c>
      <c r="AG5215">
        <v>-1.1140749999999999</v>
      </c>
      <c r="AH5215">
        <v>6.0698112200806102</v>
      </c>
      <c r="AI5215">
        <v>97.164325202964307</v>
      </c>
      <c r="AJ5215">
        <v>43.222532667424602</v>
      </c>
      <c r="AK5215">
        <v>8.9329330446814108</v>
      </c>
      <c r="AL5215">
        <v>88.566708313832905</v>
      </c>
      <c r="AM5215">
        <v>69.533834135276706</v>
      </c>
      <c r="AN5215">
        <v>0.99999999666091599</v>
      </c>
    </row>
    <row r="5216" spans="1:40" x14ac:dyDescent="0.25">
      <c r="A5216" t="str">
        <f>"20190305135932030"</f>
        <v>20190305135932030</v>
      </c>
      <c r="B5216" t="str">
        <f>"1551765572024074"</f>
        <v>1551765572024074</v>
      </c>
      <c r="C5216" t="s">
        <v>40</v>
      </c>
      <c r="D5216">
        <v>4.1947109999999999</v>
      </c>
      <c r="E5216">
        <v>0.67965019999999998</v>
      </c>
      <c r="F5216" t="s">
        <v>43</v>
      </c>
      <c r="G5216">
        <v>-309.20100000000002</v>
      </c>
      <c r="H5216">
        <v>-0.05</v>
      </c>
      <c r="I5216">
        <v>9.6647800000000004</v>
      </c>
      <c r="J5216">
        <v>-313.83260000000001</v>
      </c>
      <c r="K5216">
        <v>1.062843</v>
      </c>
      <c r="L5216">
        <v>17.362029999999901</v>
      </c>
      <c r="M5216">
        <v>0.9778019</v>
      </c>
      <c r="N5216">
        <v>-2.732919E-2</v>
      </c>
      <c r="O5216">
        <v>-0.2077416</v>
      </c>
      <c r="P5216">
        <v>0.84257510000000002</v>
      </c>
      <c r="Q5216">
        <v>9.7874759999999998E-3</v>
      </c>
      <c r="R5216">
        <v>-0.53849040000000004</v>
      </c>
      <c r="S5216">
        <v>1.7678830000000001</v>
      </c>
      <c r="T5216">
        <v>-0.40845599999999999</v>
      </c>
      <c r="U5216">
        <v>-2.8388979999999999</v>
      </c>
      <c r="V5216">
        <v>0.35248469999999998</v>
      </c>
      <c r="W5216">
        <v>2.5480200000000001E-2</v>
      </c>
      <c r="X5216">
        <v>0.93547060000000004</v>
      </c>
      <c r="Y5216">
        <v>0.71502319999999997</v>
      </c>
      <c r="Z5216">
        <v>-4.1883660000000003E-2</v>
      </c>
      <c r="AA5216">
        <v>0.69784499999999905</v>
      </c>
      <c r="AB5216">
        <v>34</v>
      </c>
      <c r="AC5216">
        <v>4.6316000000000397</v>
      </c>
      <c r="AD5216">
        <v>-1.112843</v>
      </c>
      <c r="AE5216">
        <v>-7.6972499999999897</v>
      </c>
      <c r="AF5216">
        <v>6.4674128937581497</v>
      </c>
      <c r="AG5216">
        <v>-1.112843</v>
      </c>
      <c r="AH5216">
        <v>6.0374644965402604</v>
      </c>
      <c r="AI5216">
        <v>97.169036808902305</v>
      </c>
      <c r="AJ5216">
        <v>43.0308060978859</v>
      </c>
      <c r="AK5216">
        <v>8.9172207905816894</v>
      </c>
      <c r="AL5216">
        <v>88.539934022643294</v>
      </c>
      <c r="AM5216">
        <v>69.353624245914304</v>
      </c>
      <c r="AN5216">
        <v>0.99999997389524398</v>
      </c>
    </row>
    <row r="5217" spans="1:40" x14ac:dyDescent="0.25">
      <c r="A5217" t="str">
        <f>"20190305135932042"</f>
        <v>20190305135932042</v>
      </c>
      <c r="B5217" t="str">
        <f>"1551765572033834"</f>
        <v>1551765572033834</v>
      </c>
      <c r="C5217" t="s">
        <v>40</v>
      </c>
      <c r="D5217">
        <v>4.2497369999999997</v>
      </c>
      <c r="E5217">
        <v>0.67955059999999901</v>
      </c>
      <c r="F5217" t="s">
        <v>43</v>
      </c>
      <c r="G5217">
        <v>-309.07819999999998</v>
      </c>
      <c r="H5217">
        <v>-0.05</v>
      </c>
      <c r="I5217">
        <v>9.5549769999999992</v>
      </c>
      <c r="J5217">
        <v>-313.66239999999999</v>
      </c>
      <c r="K5217">
        <v>1.061752</v>
      </c>
      <c r="L5217">
        <v>17.32019</v>
      </c>
      <c r="M5217">
        <v>0.97647030000000001</v>
      </c>
      <c r="N5217">
        <v>-2.703705E-2</v>
      </c>
      <c r="O5217">
        <v>-0.2139499</v>
      </c>
      <c r="P5217">
        <v>0.83762009999999898</v>
      </c>
      <c r="Q5217">
        <v>1.02279E-2</v>
      </c>
      <c r="R5217">
        <v>-0.54615760000000002</v>
      </c>
      <c r="S5217">
        <v>1.7395940000000001</v>
      </c>
      <c r="T5217">
        <v>-0.40718349999999998</v>
      </c>
      <c r="U5217">
        <v>-2.8565670000000001</v>
      </c>
      <c r="V5217">
        <v>0.35509000000000002</v>
      </c>
      <c r="W5217">
        <v>2.547257E-2</v>
      </c>
      <c r="X5217">
        <v>0.93448500000000001</v>
      </c>
      <c r="Y5217">
        <v>0.71759719999999905</v>
      </c>
      <c r="Z5217">
        <v>-4.1266820000000003E-2</v>
      </c>
      <c r="AA5217">
        <v>0.69523469999999998</v>
      </c>
      <c r="AB5217">
        <v>34</v>
      </c>
      <c r="AC5217">
        <v>4.5842000000000098</v>
      </c>
      <c r="AD5217">
        <v>-1.1117520000000001</v>
      </c>
      <c r="AE5217">
        <v>-7.7652129999999904</v>
      </c>
      <c r="AF5217">
        <v>6.5052436421740802</v>
      </c>
      <c r="AG5217">
        <v>-1.1117520000000001</v>
      </c>
      <c r="AH5217">
        <v>6.0480149038847202</v>
      </c>
      <c r="AI5217">
        <v>97.134253862111294</v>
      </c>
      <c r="AJ5217">
        <v>42.914031541638401</v>
      </c>
      <c r="AK5217">
        <v>8.9516854072940895</v>
      </c>
      <c r="AL5217">
        <v>88.540371351361998</v>
      </c>
      <c r="AM5217">
        <v>69.193975131796904</v>
      </c>
      <c r="AN5217">
        <v>0.99999998757370201</v>
      </c>
    </row>
    <row r="5218" spans="1:40" x14ac:dyDescent="0.25">
      <c r="A5218" t="str">
        <f>"20190305135932053"</f>
        <v>20190305135932053</v>
      </c>
      <c r="B5218" t="str">
        <f>"1551765572044570"</f>
        <v>1551765572044570</v>
      </c>
      <c r="C5218" t="s">
        <v>40</v>
      </c>
      <c r="D5218">
        <v>4.195805</v>
      </c>
      <c r="E5218">
        <v>0.67933089999999996</v>
      </c>
      <c r="F5218" t="s">
        <v>43</v>
      </c>
      <c r="G5218">
        <v>-308.98250000000002</v>
      </c>
      <c r="H5218">
        <v>-0.05</v>
      </c>
      <c r="I5218">
        <v>9.4797969999999996</v>
      </c>
      <c r="J5218">
        <v>-313.49650000000003</v>
      </c>
      <c r="K5218">
        <v>1.060703</v>
      </c>
      <c r="L5218">
        <v>17.27805</v>
      </c>
      <c r="M5218">
        <v>0.97509539999999995</v>
      </c>
      <c r="N5218">
        <v>-2.6745629999999999E-2</v>
      </c>
      <c r="O5218">
        <v>-0.22016720000000001</v>
      </c>
      <c r="P5218">
        <v>0.83271709999999999</v>
      </c>
      <c r="Q5218">
        <v>1.0299300000000001E-2</v>
      </c>
      <c r="R5218">
        <v>-0.55360319999999996</v>
      </c>
      <c r="S5218">
        <v>1.7141419999999901</v>
      </c>
      <c r="T5218">
        <v>-0.40720149999999999</v>
      </c>
      <c r="U5218">
        <v>-2.8717039999999998</v>
      </c>
      <c r="V5218">
        <v>0.35746860000000003</v>
      </c>
      <c r="W5218">
        <v>2.5082650000000001E-2</v>
      </c>
      <c r="X5218">
        <v>0.93358830000000004</v>
      </c>
      <c r="Y5218">
        <v>0.71935760000000004</v>
      </c>
      <c r="Z5218">
        <v>-4.0623840000000001E-2</v>
      </c>
      <c r="AA5218">
        <v>0.69345109999999999</v>
      </c>
      <c r="AB5218">
        <v>34</v>
      </c>
      <c r="AC5218">
        <v>4.5140000000000002</v>
      </c>
      <c r="AD5218">
        <v>-1.110703</v>
      </c>
      <c r="AE5218">
        <v>-7.7982529999999999</v>
      </c>
      <c r="AF5218">
        <v>6.5135977846184101</v>
      </c>
      <c r="AG5218">
        <v>-1.110703</v>
      </c>
      <c r="AH5218">
        <v>6.0290783355654103</v>
      </c>
      <c r="AI5218">
        <v>97.132959524286804</v>
      </c>
      <c r="AJ5218">
        <v>42.787782858315701</v>
      </c>
      <c r="AK5218">
        <v>8.9448534269924806</v>
      </c>
      <c r="AL5218">
        <v>88.562719319067398</v>
      </c>
      <c r="AM5218">
        <v>69.048283265155803</v>
      </c>
      <c r="AN5218">
        <v>1.00000002660693</v>
      </c>
    </row>
    <row r="5219" spans="1:40" x14ac:dyDescent="0.25">
      <c r="A5219" t="str">
        <f>"20190305135932064"</f>
        <v>20190305135932064</v>
      </c>
      <c r="B5219" t="str">
        <f>"1551765572054330"</f>
        <v>1551765572054330</v>
      </c>
      <c r="C5219" t="s">
        <v>40</v>
      </c>
      <c r="D5219">
        <v>4.0663280000000004</v>
      </c>
      <c r="E5219">
        <v>0.679069699999999</v>
      </c>
      <c r="F5219" t="s">
        <v>43</v>
      </c>
      <c r="G5219">
        <v>-308.8732</v>
      </c>
      <c r="H5219">
        <v>-0.05</v>
      </c>
      <c r="I5219">
        <v>9.3799899999999994</v>
      </c>
      <c r="J5219">
        <v>-313.34379999999999</v>
      </c>
      <c r="K5219">
        <v>1.0597669999999999</v>
      </c>
      <c r="L5219">
        <v>17.238129999999899</v>
      </c>
      <c r="M5219">
        <v>0.97376669999999999</v>
      </c>
      <c r="N5219">
        <v>-2.6476599999999999E-2</v>
      </c>
      <c r="O5219">
        <v>-0.22600300000000001</v>
      </c>
      <c r="P5219">
        <v>0.82792350000000003</v>
      </c>
      <c r="Q5219">
        <v>1.05307E-2</v>
      </c>
      <c r="R5219">
        <v>-0.56074239999999997</v>
      </c>
      <c r="S5219">
        <v>1.6892400000000001</v>
      </c>
      <c r="T5219">
        <v>-0.40582200000000002</v>
      </c>
      <c r="U5219">
        <v>-2.885742</v>
      </c>
      <c r="V5219">
        <v>0.35991190000000001</v>
      </c>
      <c r="W5219">
        <v>2.4866699999999999E-2</v>
      </c>
      <c r="X5219">
        <v>0.93265489999999995</v>
      </c>
      <c r="Y5219">
        <v>0.72118930000000003</v>
      </c>
      <c r="Z5219">
        <v>-3.9963209999999999E-2</v>
      </c>
      <c r="AA5219">
        <v>0.69158450000000005</v>
      </c>
      <c r="AB5219">
        <v>34</v>
      </c>
      <c r="AC5219">
        <v>4.4705999999999904</v>
      </c>
      <c r="AD5219">
        <v>-1.1097669999999999</v>
      </c>
      <c r="AE5219">
        <v>-7.8581399999999899</v>
      </c>
      <c r="AF5219">
        <v>6.5453322647848404</v>
      </c>
      <c r="AG5219">
        <v>-1.1097669999999999</v>
      </c>
      <c r="AH5219">
        <v>6.0404190388376797</v>
      </c>
      <c r="AI5219">
        <v>97.102456175861406</v>
      </c>
      <c r="AJ5219">
        <v>42.702648726960497</v>
      </c>
      <c r="AK5219">
        <v>8.9755010676549603</v>
      </c>
      <c r="AL5219">
        <v>88.575096229837897</v>
      </c>
      <c r="AM5219">
        <v>68.8983784719547</v>
      </c>
      <c r="AN5219">
        <v>1.00000004551225</v>
      </c>
    </row>
    <row r="5220" spans="1:40" x14ac:dyDescent="0.25">
      <c r="A5220" t="str">
        <f>"20190305135932075"</f>
        <v>20190305135932075</v>
      </c>
      <c r="B5220" t="str">
        <f>"1551765572064091"</f>
        <v>1551765572064091</v>
      </c>
      <c r="C5220" t="s">
        <v>40</v>
      </c>
      <c r="D5220">
        <v>4.1337039999999998</v>
      </c>
      <c r="E5220">
        <v>0.67878050000000001</v>
      </c>
      <c r="F5220" t="s">
        <v>43</v>
      </c>
      <c r="G5220">
        <v>-308.72919999999999</v>
      </c>
      <c r="H5220">
        <v>-0.05</v>
      </c>
      <c r="I5220">
        <v>9.2051390000000008</v>
      </c>
      <c r="J5220">
        <v>-313.17070000000001</v>
      </c>
      <c r="K5220">
        <v>1.058729</v>
      </c>
      <c r="L5220">
        <v>17.191929999999999</v>
      </c>
      <c r="M5220">
        <v>0.97219230000000001</v>
      </c>
      <c r="N5220">
        <v>-2.6170240000000001E-2</v>
      </c>
      <c r="O5220">
        <v>-0.23271720000000001</v>
      </c>
      <c r="P5220">
        <v>0.82268719999999995</v>
      </c>
      <c r="Q5220">
        <v>1.0968840000000001E-2</v>
      </c>
      <c r="R5220">
        <v>-0.56838909999999998</v>
      </c>
      <c r="S5220">
        <v>1.6652530000000001</v>
      </c>
      <c r="T5220">
        <v>-0.40047680000000002</v>
      </c>
      <c r="U5220">
        <v>-2.8988339999999999</v>
      </c>
      <c r="V5220">
        <v>0.36213190000000001</v>
      </c>
      <c r="W5220">
        <v>2.4805689999999998E-2</v>
      </c>
      <c r="X5220">
        <v>0.93179670000000003</v>
      </c>
      <c r="Y5220">
        <v>0.72222989999999998</v>
      </c>
      <c r="Z5220">
        <v>-3.8866499999999998E-2</v>
      </c>
      <c r="AA5220">
        <v>0.69056019999999996</v>
      </c>
      <c r="AB5220">
        <v>34</v>
      </c>
      <c r="AC5220">
        <v>4.4415000000000102</v>
      </c>
      <c r="AD5220">
        <v>-1.1087290000000001</v>
      </c>
      <c r="AE5220">
        <v>-7.9867910000000002</v>
      </c>
      <c r="AF5220">
        <v>6.6357172524785701</v>
      </c>
      <c r="AG5220">
        <v>-1.1087290000000001</v>
      </c>
      <c r="AH5220">
        <v>6.0891448548546396</v>
      </c>
      <c r="AI5220">
        <v>97.0182682775404</v>
      </c>
      <c r="AJ5220">
        <v>42.540479935464901</v>
      </c>
      <c r="AK5220">
        <v>9.0741230162305708</v>
      </c>
      <c r="AL5220">
        <v>88.578592806053294</v>
      </c>
      <c r="AM5220">
        <v>68.761966325748006</v>
      </c>
      <c r="AN5220">
        <v>0.99999996269243696</v>
      </c>
    </row>
    <row r="5221" spans="1:40" x14ac:dyDescent="0.25">
      <c r="A5221" t="str">
        <f>"20190305135932088"</f>
        <v>20190305135932088</v>
      </c>
      <c r="B5221" t="str">
        <f>"1551765572084586"</f>
        <v>1551765572084586</v>
      </c>
      <c r="C5221" t="s">
        <v>40</v>
      </c>
      <c r="D5221">
        <v>4.2492020000000004</v>
      </c>
      <c r="E5221">
        <v>0.67808630000000003</v>
      </c>
      <c r="F5221" t="s">
        <v>43</v>
      </c>
      <c r="G5221">
        <v>-308.56479999999999</v>
      </c>
      <c r="H5221">
        <v>-0.05</v>
      </c>
      <c r="I5221">
        <v>9.0088349999999995</v>
      </c>
      <c r="J5221">
        <v>-312.98869999999999</v>
      </c>
      <c r="K5221">
        <v>1.0576920000000001</v>
      </c>
      <c r="L5221">
        <v>17.141269999999999</v>
      </c>
      <c r="M5221">
        <v>0.97043259999999998</v>
      </c>
      <c r="N5221">
        <v>-2.5847700000000001E-2</v>
      </c>
      <c r="O5221">
        <v>-0.2399847</v>
      </c>
      <c r="P5221">
        <v>0.81708459999999905</v>
      </c>
      <c r="Q5221">
        <v>1.1357229999999999E-2</v>
      </c>
      <c r="R5221">
        <v>-0.57640630000000004</v>
      </c>
      <c r="S5221">
        <v>1.63943499999999</v>
      </c>
      <c r="T5221">
        <v>-0.39464929999999998</v>
      </c>
      <c r="U5221">
        <v>-2.91275</v>
      </c>
      <c r="V5221">
        <v>0.36428650000000001</v>
      </c>
      <c r="W5221">
        <v>2.466316E-2</v>
      </c>
      <c r="X5221">
        <v>0.93096029999999996</v>
      </c>
      <c r="Y5221">
        <v>0.72329429999999995</v>
      </c>
      <c r="Z5221">
        <v>-3.7689819999999999E-2</v>
      </c>
      <c r="AA5221">
        <v>0.68951070000000003</v>
      </c>
      <c r="AB5221">
        <v>34</v>
      </c>
      <c r="AC5221">
        <v>4.4238999999999997</v>
      </c>
      <c r="AD5221">
        <v>-1.1076919999999999</v>
      </c>
      <c r="AE5221">
        <v>-8.1324349999999992</v>
      </c>
      <c r="AF5221">
        <v>6.7361594640670104</v>
      </c>
      <c r="AG5221">
        <v>-1.1076919999999999</v>
      </c>
      <c r="AH5221">
        <v>6.1586760579522304</v>
      </c>
      <c r="AI5221">
        <v>96.919696480487005</v>
      </c>
      <c r="AJ5221">
        <v>42.4357743243824</v>
      </c>
      <c r="AK5221">
        <v>9.1941349065041198</v>
      </c>
      <c r="AL5221">
        <v>88.586761729801694</v>
      </c>
      <c r="AM5221">
        <v>68.629501183606294</v>
      </c>
      <c r="AN5221">
        <v>1.00000000285976</v>
      </c>
    </row>
    <row r="5222" spans="1:40" x14ac:dyDescent="0.25">
      <c r="A5222" t="str">
        <f>"20190305135932101"</f>
        <v>20190305135932101</v>
      </c>
      <c r="B5222" t="str">
        <f>"1551765572094346"</f>
        <v>1551765572094346</v>
      </c>
      <c r="C5222" t="s">
        <v>40</v>
      </c>
      <c r="D5222">
        <v>4.1483720000000002</v>
      </c>
      <c r="E5222">
        <v>0.6778805</v>
      </c>
      <c r="F5222" t="s">
        <v>43</v>
      </c>
      <c r="G5222">
        <v>-308.4033</v>
      </c>
      <c r="H5222">
        <v>-0.05</v>
      </c>
      <c r="I5222">
        <v>8.830444</v>
      </c>
      <c r="J5222">
        <v>-312.81150000000002</v>
      </c>
      <c r="K5222">
        <v>1.0567040000000001</v>
      </c>
      <c r="L5222">
        <v>17.091089999999902</v>
      </c>
      <c r="M5222">
        <v>0.96864119999999998</v>
      </c>
      <c r="N5222">
        <v>-2.553248E-2</v>
      </c>
      <c r="O5222">
        <v>-0.2471489</v>
      </c>
      <c r="P5222">
        <v>0.81140330000000005</v>
      </c>
      <c r="Q5222">
        <v>1.203487E-2</v>
      </c>
      <c r="R5222">
        <v>-0.58436330000000003</v>
      </c>
      <c r="S5222">
        <v>1.6137079999999999</v>
      </c>
      <c r="T5222">
        <v>-0.38982699999999998</v>
      </c>
      <c r="U5222">
        <v>-2.9248050000000001</v>
      </c>
      <c r="V5222">
        <v>0.36652889999999999</v>
      </c>
      <c r="W5222">
        <v>2.4811409999999999E-2</v>
      </c>
      <c r="X5222">
        <v>0.93007580000000001</v>
      </c>
      <c r="Y5222">
        <v>0.72419529999999999</v>
      </c>
      <c r="Z5222">
        <v>-3.6584159999999998E-2</v>
      </c>
      <c r="AA5222">
        <v>0.68862380000000001</v>
      </c>
      <c r="AB5222">
        <v>34</v>
      </c>
      <c r="AC5222">
        <v>4.4082000000000203</v>
      </c>
      <c r="AD5222">
        <v>-1.1067039999999999</v>
      </c>
      <c r="AE5222">
        <v>-8.2606459999999906</v>
      </c>
      <c r="AF5222">
        <v>6.8191077033938203</v>
      </c>
      <c r="AG5222">
        <v>-1.1067039999999999</v>
      </c>
      <c r="AH5222">
        <v>6.2266423622943101</v>
      </c>
      <c r="AI5222">
        <v>96.834175987393706</v>
      </c>
      <c r="AJ5222">
        <v>42.399731342544101</v>
      </c>
      <c r="AK5222">
        <v>9.3003278825006603</v>
      </c>
      <c r="AL5222">
        <v>88.578265050755604</v>
      </c>
      <c r="AM5222">
        <v>68.491345324330396</v>
      </c>
      <c r="AN5222">
        <v>1.0000000171735099</v>
      </c>
    </row>
    <row r="5223" spans="1:40" x14ac:dyDescent="0.25">
      <c r="A5223" t="str">
        <f>"20190305135932110"</f>
        <v>20190305135932110</v>
      </c>
      <c r="B5223" t="str">
        <f>"1551765572104106"</f>
        <v>1551765572104106</v>
      </c>
      <c r="C5223" t="s">
        <v>40</v>
      </c>
      <c r="D5223">
        <v>4.2467199999999998</v>
      </c>
      <c r="E5223">
        <v>0.67755969999999999</v>
      </c>
      <c r="F5223" t="s">
        <v>43</v>
      </c>
      <c r="G5223">
        <v>-308.24439999999998</v>
      </c>
      <c r="H5223">
        <v>-0.05</v>
      </c>
      <c r="I5223">
        <v>8.6276700000000002</v>
      </c>
      <c r="J5223">
        <v>-312.65390000000002</v>
      </c>
      <c r="K5223">
        <v>1.0558799999999999</v>
      </c>
      <c r="L5223">
        <v>17.044529999999899</v>
      </c>
      <c r="M5223">
        <v>0.96694659999999999</v>
      </c>
      <c r="N5223">
        <v>-2.5254479999999999E-2</v>
      </c>
      <c r="O5223">
        <v>-0.25372509999999998</v>
      </c>
      <c r="P5223">
        <v>0.80588280000000001</v>
      </c>
      <c r="Q5223">
        <v>1.2556579999999999E-2</v>
      </c>
      <c r="R5223">
        <v>-0.59194169999999902</v>
      </c>
      <c r="S5223">
        <v>1.5861510000000001</v>
      </c>
      <c r="T5223">
        <v>-0.38435229999999998</v>
      </c>
      <c r="U5223">
        <v>-2.9393009999999999</v>
      </c>
      <c r="V5223">
        <v>0.36894529999999998</v>
      </c>
      <c r="W5223">
        <v>2.4839529999999999E-2</v>
      </c>
      <c r="X5223">
        <v>0.92911920000000003</v>
      </c>
      <c r="Y5223">
        <v>0.72607429999999995</v>
      </c>
      <c r="Z5223">
        <v>-3.5652110000000001E-2</v>
      </c>
      <c r="AA5223">
        <v>0.6866913</v>
      </c>
      <c r="AB5223">
        <v>33</v>
      </c>
      <c r="AC5223">
        <v>4.4095000000000297</v>
      </c>
      <c r="AD5223">
        <v>-1.10588</v>
      </c>
      <c r="AE5223">
        <v>-8.4168599999999891</v>
      </c>
      <c r="AF5223">
        <v>6.9282477675663099</v>
      </c>
      <c r="AG5223">
        <v>-1.10588</v>
      </c>
      <c r="AH5223">
        <v>6.3158117670407199</v>
      </c>
      <c r="AI5223">
        <v>96.727571814120594</v>
      </c>
      <c r="AJ5223">
        <v>42.352396490389097</v>
      </c>
      <c r="AK5223">
        <v>9.4399717149935096</v>
      </c>
      <c r="AL5223">
        <v>88.576653460890398</v>
      </c>
      <c r="AM5223">
        <v>68.342395685852495</v>
      </c>
      <c r="AN5223">
        <v>1.00000006222567</v>
      </c>
    </row>
    <row r="5224" spans="1:40" x14ac:dyDescent="0.25">
      <c r="A5224" t="str">
        <f>"20190305135932123"</f>
        <v>20190305135932123</v>
      </c>
      <c r="B5224" t="str">
        <f>"1551765572113866"</f>
        <v>1551765572113866</v>
      </c>
      <c r="C5224" t="s">
        <v>40</v>
      </c>
      <c r="D5224">
        <v>4.1647480000000003</v>
      </c>
      <c r="E5224">
        <v>0.67724499999999999</v>
      </c>
      <c r="F5224" t="s">
        <v>43</v>
      </c>
      <c r="G5224">
        <v>-308.14870000000002</v>
      </c>
      <c r="H5224">
        <v>-0.05</v>
      </c>
      <c r="I5224">
        <v>8.5162509999999898</v>
      </c>
      <c r="J5224">
        <v>-312.48340000000002</v>
      </c>
      <c r="K5224">
        <v>1.055023</v>
      </c>
      <c r="L5224">
        <v>16.99316</v>
      </c>
      <c r="M5224">
        <v>0.96503309999999998</v>
      </c>
      <c r="N5224">
        <v>-2.4955829999999998E-2</v>
      </c>
      <c r="O5224">
        <v>-0.26093739999999999</v>
      </c>
      <c r="P5224">
        <v>0.80014589999999997</v>
      </c>
      <c r="Q5224">
        <v>1.3049659999999999E-2</v>
      </c>
      <c r="R5224">
        <v>-0.59966370000000002</v>
      </c>
      <c r="S5224">
        <v>1.559814</v>
      </c>
      <c r="T5224">
        <v>-0.38287529999999997</v>
      </c>
      <c r="U5224">
        <v>-2.9526370000000002</v>
      </c>
      <c r="V5224">
        <v>0.37096210000000002</v>
      </c>
      <c r="W5224">
        <v>2.4824760000000001E-2</v>
      </c>
      <c r="X5224">
        <v>0.92831620000000004</v>
      </c>
      <c r="Y5224">
        <v>0.72709509999999999</v>
      </c>
      <c r="Z5224">
        <v>-3.4738360000000003E-2</v>
      </c>
      <c r="AA5224">
        <v>0.68565730000000003</v>
      </c>
      <c r="AB5224">
        <v>33</v>
      </c>
      <c r="AC5224">
        <v>4.33469999999999</v>
      </c>
      <c r="AD5224">
        <v>-1.1050229999999901</v>
      </c>
      <c r="AE5224">
        <v>-8.4769089999999991</v>
      </c>
      <c r="AF5224">
        <v>6.95788189722923</v>
      </c>
      <c r="AG5224">
        <v>-1.1050229999999901</v>
      </c>
      <c r="AH5224">
        <v>6.3120370976068596</v>
      </c>
      <c r="AI5224">
        <v>96.708661313708703</v>
      </c>
      <c r="AJ5224">
        <v>42.213622420267598</v>
      </c>
      <c r="AK5224">
        <v>9.4591230379927094</v>
      </c>
      <c r="AL5224">
        <v>88.577499974190303</v>
      </c>
      <c r="AM5224">
        <v>68.217980701421993</v>
      </c>
      <c r="AN5224">
        <v>1.0000000577639501</v>
      </c>
    </row>
    <row r="5225" spans="1:40" x14ac:dyDescent="0.25">
      <c r="A5225" t="str">
        <f>"20190305135932136"</f>
        <v>20190305135932136</v>
      </c>
      <c r="B5225" t="str">
        <f>"1551765572124604"</f>
        <v>1551765572124604</v>
      </c>
      <c r="C5225" t="s">
        <v>40</v>
      </c>
      <c r="D5225">
        <v>4.2602469999999997</v>
      </c>
      <c r="E5225">
        <v>0.67692010000000002</v>
      </c>
      <c r="F5225" t="s">
        <v>43</v>
      </c>
      <c r="G5225">
        <v>-308.00940000000003</v>
      </c>
      <c r="H5225">
        <v>-0.05</v>
      </c>
      <c r="I5225">
        <v>8.337021</v>
      </c>
      <c r="J5225">
        <v>-312.29820000000001</v>
      </c>
      <c r="K5225">
        <v>1.054141</v>
      </c>
      <c r="L5225">
        <v>16.935700000000001</v>
      </c>
      <c r="M5225">
        <v>0.96284259999999999</v>
      </c>
      <c r="N5225">
        <v>-2.4636450000000001E-2</v>
      </c>
      <c r="O5225">
        <v>-0.26893689999999998</v>
      </c>
      <c r="P5225">
        <v>0.79394010000000004</v>
      </c>
      <c r="Q5225">
        <v>1.364451E-2</v>
      </c>
      <c r="R5225">
        <v>-0.60784289999999996</v>
      </c>
      <c r="S5225">
        <v>1.532867</v>
      </c>
      <c r="T5225">
        <v>-0.37859769999999998</v>
      </c>
      <c r="U5225">
        <v>-2.9657290000000001</v>
      </c>
      <c r="V5225">
        <v>0.37280829999999998</v>
      </c>
      <c r="W5225">
        <v>2.4885290000000001E-2</v>
      </c>
      <c r="X5225">
        <v>0.92757460000000003</v>
      </c>
      <c r="Y5225">
        <v>0.72769729999999999</v>
      </c>
      <c r="Z5225">
        <v>-3.3553920000000001E-2</v>
      </c>
      <c r="AA5225">
        <v>0.6850773</v>
      </c>
      <c r="AB5225">
        <v>33</v>
      </c>
      <c r="AC5225">
        <v>4.2887999999999797</v>
      </c>
      <c r="AD5225">
        <v>-1.104141</v>
      </c>
      <c r="AE5225">
        <v>-8.59867899999999</v>
      </c>
      <c r="AF5225">
        <v>7.0350321491053602</v>
      </c>
      <c r="AG5225">
        <v>-1.104141</v>
      </c>
      <c r="AH5225">
        <v>6.3599221038808098</v>
      </c>
      <c r="AI5225">
        <v>96.640781652928098</v>
      </c>
      <c r="AJ5225">
        <v>42.114715508927098</v>
      </c>
      <c r="AK5225">
        <v>9.5477439143631599</v>
      </c>
      <c r="AL5225">
        <v>88.574030667336402</v>
      </c>
      <c r="AM5225">
        <v>68.103951007553903</v>
      </c>
      <c r="AN5225">
        <v>0.99999997238621596</v>
      </c>
    </row>
    <row r="5226" spans="1:40" x14ac:dyDescent="0.25">
      <c r="A5226" t="str">
        <f>"20190305135932149"</f>
        <v>20190305135932149</v>
      </c>
      <c r="B5226" t="str">
        <f>"1551765572144122"</f>
        <v>1551765572144122</v>
      </c>
      <c r="C5226" t="s">
        <v>40</v>
      </c>
      <c r="D5226">
        <v>4.1824409999999999</v>
      </c>
      <c r="E5226">
        <v>0.67625630000000003</v>
      </c>
      <c r="F5226" t="s">
        <v>43</v>
      </c>
      <c r="G5226">
        <v>-307.88709999999998</v>
      </c>
      <c r="H5226">
        <v>-0.05</v>
      </c>
      <c r="I5226">
        <v>8.1945949999999996</v>
      </c>
      <c r="J5226">
        <v>-312.11239999999998</v>
      </c>
      <c r="K5226">
        <v>1.0533189999999999</v>
      </c>
      <c r="L5226">
        <v>16.875789999999999</v>
      </c>
      <c r="M5226">
        <v>0.96050610000000003</v>
      </c>
      <c r="N5226">
        <v>-2.432496E-2</v>
      </c>
      <c r="O5226">
        <v>-0.2771941</v>
      </c>
      <c r="P5226">
        <v>0.78757359999999998</v>
      </c>
      <c r="Q5226">
        <v>1.448147E-2</v>
      </c>
      <c r="R5226">
        <v>-0.616050599999999</v>
      </c>
      <c r="S5226">
        <v>1.503754</v>
      </c>
      <c r="T5226">
        <v>-0.37640069999999998</v>
      </c>
      <c r="U5226">
        <v>-2.9798279999999999</v>
      </c>
      <c r="V5226">
        <v>0.37450509999999998</v>
      </c>
      <c r="W5226">
        <v>2.5201339999999999E-2</v>
      </c>
      <c r="X5226">
        <v>0.92688230000000005</v>
      </c>
      <c r="Y5226">
        <v>0.72855209999999904</v>
      </c>
      <c r="Z5226">
        <v>-3.2473969999999998E-2</v>
      </c>
      <c r="AA5226">
        <v>0.6842201</v>
      </c>
      <c r="AB5226">
        <v>33</v>
      </c>
      <c r="AC5226">
        <v>4.2252999999999998</v>
      </c>
      <c r="AD5226">
        <v>-1.1033189999999999</v>
      </c>
      <c r="AE5226">
        <v>-8.68119499999999</v>
      </c>
      <c r="AF5226">
        <v>7.0768167717459098</v>
      </c>
      <c r="AG5226">
        <v>-1.1033189999999999</v>
      </c>
      <c r="AH5226">
        <v>6.3833548488376302</v>
      </c>
      <c r="AI5226">
        <v>96.603641987380996</v>
      </c>
      <c r="AJ5226">
        <v>42.050754999599</v>
      </c>
      <c r="AK5226">
        <v>9.5940537606792695</v>
      </c>
      <c r="AL5226">
        <v>88.555916676696896</v>
      </c>
      <c r="AM5226">
        <v>67.998918985346293</v>
      </c>
      <c r="AN5226">
        <v>0.99999998775854704</v>
      </c>
    </row>
    <row r="5227" spans="1:40" x14ac:dyDescent="0.25">
      <c r="A5227" t="str">
        <f>"20190305135932164"</f>
        <v>20190305135932164</v>
      </c>
      <c r="B5227" t="str">
        <f>"1551765572153882"</f>
        <v>1551765572153882</v>
      </c>
      <c r="C5227" t="s">
        <v>40</v>
      </c>
      <c r="D5227">
        <v>4.1952150000000001</v>
      </c>
      <c r="E5227">
        <v>0.67588930000000003</v>
      </c>
      <c r="F5227" t="s">
        <v>43</v>
      </c>
      <c r="G5227">
        <v>-307.71640000000002</v>
      </c>
      <c r="H5227">
        <v>-0.05</v>
      </c>
      <c r="I5227">
        <v>7.9663699999999897</v>
      </c>
      <c r="J5227">
        <v>-311.88780000000003</v>
      </c>
      <c r="K5227">
        <v>1.0523769999999999</v>
      </c>
      <c r="L5227">
        <v>16.80124</v>
      </c>
      <c r="M5227">
        <v>0.95751739999999996</v>
      </c>
      <c r="N5227">
        <v>-2.395535E-2</v>
      </c>
      <c r="O5227">
        <v>-0.28737940000000001</v>
      </c>
      <c r="P5227">
        <v>0.77888819999999903</v>
      </c>
      <c r="Q5227">
        <v>1.5992409999999999E-2</v>
      </c>
      <c r="R5227">
        <v>-0.62695919999999905</v>
      </c>
      <c r="S5227">
        <v>1.4760439999999999</v>
      </c>
      <c r="T5227">
        <v>-0.37045739999999999</v>
      </c>
      <c r="U5227">
        <v>-2.9914860000000001</v>
      </c>
      <c r="V5227">
        <v>0.37762899999999999</v>
      </c>
      <c r="W5227">
        <v>2.6042679999999999E-2</v>
      </c>
      <c r="X5227">
        <v>0.92559069999999999</v>
      </c>
      <c r="Y5227">
        <v>0.72763650000000002</v>
      </c>
      <c r="Z5227">
        <v>-3.0813070000000001E-2</v>
      </c>
      <c r="AA5227">
        <v>0.6852705</v>
      </c>
      <c r="AB5227">
        <v>33</v>
      </c>
      <c r="AC5227">
        <v>4.1714000000000002</v>
      </c>
      <c r="AD5227">
        <v>-1.1023769999999999</v>
      </c>
      <c r="AE5227">
        <v>-8.8348700000000004</v>
      </c>
      <c r="AF5227">
        <v>7.17154995021437</v>
      </c>
      <c r="AG5227">
        <v>-1.1023769999999999</v>
      </c>
      <c r="AH5227">
        <v>6.45287104505221</v>
      </c>
      <c r="AI5227">
        <v>96.518786329306295</v>
      </c>
      <c r="AJ5227">
        <v>41.980485265806202</v>
      </c>
      <c r="AK5227">
        <v>9.7100931232724008</v>
      </c>
      <c r="AL5227">
        <v>88.507695650921804</v>
      </c>
      <c r="AM5227">
        <v>67.805177586790293</v>
      </c>
      <c r="AN5227">
        <v>1.0000000133745299</v>
      </c>
    </row>
    <row r="5228" spans="1:40" x14ac:dyDescent="0.25">
      <c r="A5228" t="str">
        <f>"20190305135932176"</f>
        <v>20190305135932176</v>
      </c>
      <c r="B5228" t="str">
        <f>"1551765572164619"</f>
        <v>1551765572164619</v>
      </c>
      <c r="C5228" t="s">
        <v>40</v>
      </c>
      <c r="D5228">
        <v>4.1897190000000002</v>
      </c>
      <c r="E5228">
        <v>0.67553839999999998</v>
      </c>
      <c r="F5228" t="s">
        <v>43</v>
      </c>
      <c r="G5228">
        <v>-307.52440000000001</v>
      </c>
      <c r="H5228">
        <v>-0.05</v>
      </c>
      <c r="I5228">
        <v>7.6561429999999904</v>
      </c>
      <c r="J5228">
        <v>-311.71409999999997</v>
      </c>
      <c r="K5228">
        <v>1.051693</v>
      </c>
      <c r="L5228">
        <v>16.741910000000001</v>
      </c>
      <c r="M5228">
        <v>0.95507410000000004</v>
      </c>
      <c r="N5228">
        <v>-2.3675890000000002E-2</v>
      </c>
      <c r="O5228">
        <v>-0.29542030000000002</v>
      </c>
      <c r="P5228">
        <v>0.77249119999999905</v>
      </c>
      <c r="Q5228">
        <v>1.6739750000000001E-2</v>
      </c>
      <c r="R5228">
        <v>-0.63480550000000002</v>
      </c>
      <c r="S5228">
        <v>1.436188</v>
      </c>
      <c r="T5228">
        <v>-0.36284300000000003</v>
      </c>
      <c r="U5228">
        <v>-3.0100709999999999</v>
      </c>
      <c r="V5228">
        <v>0.37924089999999999</v>
      </c>
      <c r="W5228">
        <v>2.6309140000000002E-2</v>
      </c>
      <c r="X5228">
        <v>0.92492379999999996</v>
      </c>
      <c r="Y5228">
        <v>0.73105500000000001</v>
      </c>
      <c r="Z5228">
        <v>-2.988263E-2</v>
      </c>
      <c r="AA5228">
        <v>0.68166389999999999</v>
      </c>
      <c r="AB5228">
        <v>33</v>
      </c>
      <c r="AC5228">
        <v>4.1896999999999496</v>
      </c>
      <c r="AD5228">
        <v>-1.101693</v>
      </c>
      <c r="AE5228">
        <v>-9.0857670000000006</v>
      </c>
      <c r="AF5228">
        <v>7.35279400075592</v>
      </c>
      <c r="AG5228">
        <v>-1.101693</v>
      </c>
      <c r="AH5228">
        <v>6.6073563752130804</v>
      </c>
      <c r="AI5228">
        <v>96.359184501174596</v>
      </c>
      <c r="AJ5228">
        <v>41.943449417149097</v>
      </c>
      <c r="AK5228">
        <v>9.9465805859536598</v>
      </c>
      <c r="AL5228">
        <v>88.492423264132697</v>
      </c>
      <c r="AM5228">
        <v>67.705196619284905</v>
      </c>
      <c r="AN5228">
        <v>0.999999933443392</v>
      </c>
    </row>
    <row r="5229" spans="1:40" x14ac:dyDescent="0.25">
      <c r="A5229" t="str">
        <f>"20190305135932189"</f>
        <v>20190305135932189</v>
      </c>
      <c r="B5229" t="str">
        <f>"1551765572184138"</f>
        <v>1551765572184138</v>
      </c>
      <c r="C5229" t="s">
        <v>40</v>
      </c>
      <c r="D5229">
        <v>4.218191</v>
      </c>
      <c r="E5229">
        <v>0.67485759999999995</v>
      </c>
      <c r="F5229" t="s">
        <v>43</v>
      </c>
      <c r="G5229">
        <v>-307.39429999999999</v>
      </c>
      <c r="H5229">
        <v>-0.05</v>
      </c>
      <c r="I5229">
        <v>7.465363</v>
      </c>
      <c r="J5229">
        <v>-311.55110000000002</v>
      </c>
      <c r="K5229">
        <v>1.0511079999999999</v>
      </c>
      <c r="L5229">
        <v>16.683959999999999</v>
      </c>
      <c r="M5229">
        <v>0.95264579999999999</v>
      </c>
      <c r="N5229">
        <v>-2.3430679999999999E-2</v>
      </c>
      <c r="O5229">
        <v>-0.3031779</v>
      </c>
      <c r="P5229">
        <v>0.76591739999999997</v>
      </c>
      <c r="Q5229">
        <v>1.7776790000000001E-2</v>
      </c>
      <c r="R5229">
        <v>-0.64269299999999996</v>
      </c>
      <c r="S5229">
        <v>1.4075009999999999</v>
      </c>
      <c r="T5229">
        <v>-0.358958099999999</v>
      </c>
      <c r="U5229">
        <v>-3.0225219999999999</v>
      </c>
      <c r="V5229">
        <v>0.38124750000000002</v>
      </c>
      <c r="W5229">
        <v>2.688925E-2</v>
      </c>
      <c r="X5229">
        <v>0.92408190000000001</v>
      </c>
      <c r="Y5229">
        <v>0.73201269999999996</v>
      </c>
      <c r="Z5229">
        <v>-2.8883519999999999E-2</v>
      </c>
      <c r="AA5229">
        <v>0.68067840000000002</v>
      </c>
      <c r="AB5229">
        <v>33</v>
      </c>
      <c r="AC5229">
        <v>4.1568000000000298</v>
      </c>
      <c r="AD5229">
        <v>-1.101108</v>
      </c>
      <c r="AE5229">
        <v>-9.2185970000000008</v>
      </c>
      <c r="AF5229">
        <v>7.4357141969266598</v>
      </c>
      <c r="AG5229">
        <v>-1.101108</v>
      </c>
      <c r="AH5229">
        <v>6.6775180120608404</v>
      </c>
      <c r="AI5229">
        <v>96.2873425542289</v>
      </c>
      <c r="AJ5229">
        <v>41.9248914061329</v>
      </c>
      <c r="AK5229">
        <v>10.054428439619899</v>
      </c>
      <c r="AL5229">
        <v>88.459173780347797</v>
      </c>
      <c r="AM5229">
        <v>67.580476477705901</v>
      </c>
      <c r="AN5229">
        <v>1.0000000229647099</v>
      </c>
    </row>
    <row r="5230" spans="1:40" x14ac:dyDescent="0.25">
      <c r="A5230" t="str">
        <f>"20190305135932199"</f>
        <v>20190305135932199</v>
      </c>
      <c r="B5230" t="str">
        <f>"1551765572193898"</f>
        <v>1551765572193898</v>
      </c>
      <c r="C5230" t="s">
        <v>40</v>
      </c>
      <c r="D5230">
        <v>4.3080980000000002</v>
      </c>
      <c r="E5230">
        <v>0.67485759999999995</v>
      </c>
      <c r="F5230" t="s">
        <v>43</v>
      </c>
      <c r="G5230">
        <v>-307.26100000000002</v>
      </c>
      <c r="H5230">
        <v>-0.05</v>
      </c>
      <c r="I5230">
        <v>7.253571</v>
      </c>
      <c r="J5230">
        <v>-311.38569999999999</v>
      </c>
      <c r="K5230">
        <v>1.0505230000000001</v>
      </c>
      <c r="L5230">
        <v>16.624359999999999</v>
      </c>
      <c r="M5230">
        <v>0.95009120000000002</v>
      </c>
      <c r="N5230">
        <v>-2.3185540000000001E-2</v>
      </c>
      <c r="O5230">
        <v>-0.31110969999999999</v>
      </c>
      <c r="P5230">
        <v>0.75927719999999999</v>
      </c>
      <c r="Q5230">
        <v>1.8995990000000001E-2</v>
      </c>
      <c r="R5230">
        <v>-0.65049009999999996</v>
      </c>
      <c r="S5230">
        <v>1.379883</v>
      </c>
      <c r="T5230">
        <v>-0.35416199999999998</v>
      </c>
      <c r="U5230">
        <v>-3.0332029999999999</v>
      </c>
      <c r="V5230">
        <v>0.3830442</v>
      </c>
      <c r="W5230">
        <v>2.7658099999999901E-2</v>
      </c>
      <c r="X5230">
        <v>0.92331589999999997</v>
      </c>
      <c r="Y5230">
        <v>0.73250309999999996</v>
      </c>
      <c r="Z5230">
        <v>-2.7801090000000001E-2</v>
      </c>
      <c r="AA5230">
        <v>0.68019580000000002</v>
      </c>
      <c r="AB5230">
        <v>33</v>
      </c>
      <c r="AC5230">
        <v>4.1247000000000096</v>
      </c>
      <c r="AD5230">
        <v>-1.1005229999999999</v>
      </c>
      <c r="AE5230">
        <v>-9.3707889999999896</v>
      </c>
      <c r="AF5230">
        <v>7.53486040780016</v>
      </c>
      <c r="AG5230">
        <v>-1.1005229999999999</v>
      </c>
      <c r="AH5230">
        <v>6.7579402936902797</v>
      </c>
      <c r="AI5230">
        <v>96.205488303525598</v>
      </c>
      <c r="AJ5230">
        <v>41.888609902351902</v>
      </c>
      <c r="AK5230">
        <v>10.181111395699601</v>
      </c>
      <c r="AL5230">
        <v>88.415105554658794</v>
      </c>
      <c r="AM5230">
        <v>67.468532655537501</v>
      </c>
      <c r="AN5230">
        <v>1.0000000404210201</v>
      </c>
    </row>
    <row r="5231" spans="1:40" x14ac:dyDescent="0.25">
      <c r="A5231" t="str">
        <f>"20190305135932209"</f>
        <v>20190305135932209</v>
      </c>
      <c r="B5231" t="str">
        <f>"1551765572204635"</f>
        <v>1551765572204635</v>
      </c>
      <c r="C5231" t="s">
        <v>40</v>
      </c>
      <c r="D5231">
        <v>4.302422</v>
      </c>
      <c r="E5231">
        <v>0.67574449999999997</v>
      </c>
      <c r="F5231" t="s">
        <v>43</v>
      </c>
      <c r="G5231">
        <v>-307.15449999999998</v>
      </c>
      <c r="H5231">
        <v>-0.05</v>
      </c>
      <c r="I5231">
        <v>7.0674590000000004</v>
      </c>
      <c r="J5231">
        <v>-311.23970000000003</v>
      </c>
      <c r="K5231">
        <v>1.050049</v>
      </c>
      <c r="L5231">
        <v>16.56955</v>
      </c>
      <c r="M5231">
        <v>0.94770600000000005</v>
      </c>
      <c r="N5231">
        <v>-2.2986639999999999E-2</v>
      </c>
      <c r="O5231">
        <v>-0.31831569999999998</v>
      </c>
      <c r="P5231">
        <v>0.75295849999999998</v>
      </c>
      <c r="Q5231">
        <v>1.9529330000000001E-2</v>
      </c>
      <c r="R5231">
        <v>-0.65777839999999999</v>
      </c>
      <c r="S5231">
        <v>1.3491820000000001</v>
      </c>
      <c r="T5231">
        <v>-0.35091850000000002</v>
      </c>
      <c r="U5231">
        <v>-3.0473629999999998</v>
      </c>
      <c r="V5231">
        <v>0.38495810000000003</v>
      </c>
      <c r="W5231">
        <v>2.779442E-2</v>
      </c>
      <c r="X5231">
        <v>0.92251550000000004</v>
      </c>
      <c r="Y5231">
        <v>0.73431999999999997</v>
      </c>
      <c r="Z5231">
        <v>-2.702133E-2</v>
      </c>
      <c r="AA5231">
        <v>0.67826540000000002</v>
      </c>
      <c r="AB5231">
        <v>33</v>
      </c>
      <c r="AC5231">
        <v>4.0852000000000404</v>
      </c>
      <c r="AD5231">
        <v>-1.1000490000000001</v>
      </c>
      <c r="AE5231">
        <v>-9.5020910000000001</v>
      </c>
      <c r="AF5231">
        <v>7.6206397233579404</v>
      </c>
      <c r="AG5231">
        <v>-1.1000490000000001</v>
      </c>
      <c r="AH5231">
        <v>6.8209003338637899</v>
      </c>
      <c r="AI5231">
        <v>96.139101228535395</v>
      </c>
      <c r="AJ5231">
        <v>41.8303285363504</v>
      </c>
      <c r="AK5231">
        <v>10.286347211723101</v>
      </c>
      <c r="AL5231">
        <v>88.407292018634493</v>
      </c>
      <c r="AM5231">
        <v>67.349625603325705</v>
      </c>
      <c r="AN5231">
        <v>1.0000000581394899</v>
      </c>
    </row>
    <row r="5232" spans="1:40" x14ac:dyDescent="0.25">
      <c r="A5232" t="str">
        <f>"20190305135932222"</f>
        <v>20190305135932222</v>
      </c>
      <c r="B5232" t="str">
        <f>"1551765572214394"</f>
        <v>1551765572214394</v>
      </c>
      <c r="C5232" t="s">
        <v>40</v>
      </c>
      <c r="D5232">
        <v>4.3252940000000004</v>
      </c>
      <c r="E5232">
        <v>0.67574449999999997</v>
      </c>
      <c r="F5232" t="s">
        <v>43</v>
      </c>
      <c r="G5232">
        <v>-307.07369999999997</v>
      </c>
      <c r="H5232">
        <v>-0.05</v>
      </c>
      <c r="I5232">
        <v>6.8625030000000002</v>
      </c>
      <c r="J5232">
        <v>-311.06290000000001</v>
      </c>
      <c r="K5232">
        <v>1.0494870000000001</v>
      </c>
      <c r="L5232">
        <v>16.502109999999998</v>
      </c>
      <c r="M5232">
        <v>0.94471119999999997</v>
      </c>
      <c r="N5232">
        <v>-2.2753450000000001E-2</v>
      </c>
      <c r="O5232">
        <v>-0.3271136</v>
      </c>
      <c r="P5232">
        <v>0.745565699999999</v>
      </c>
      <c r="Q5232">
        <v>1.997312E-2</v>
      </c>
      <c r="R5232">
        <v>-0.66613299999999998</v>
      </c>
      <c r="S5232">
        <v>1.3155209999999999</v>
      </c>
      <c r="T5232">
        <v>-0.34736850000000002</v>
      </c>
      <c r="U5232">
        <v>-3.0652469999999998</v>
      </c>
      <c r="V5232">
        <v>0.3866907</v>
      </c>
      <c r="W5232">
        <v>2.778918E-2</v>
      </c>
      <c r="X5232">
        <v>0.92179069999999996</v>
      </c>
      <c r="Y5232">
        <v>0.73584850000000002</v>
      </c>
      <c r="Z5232">
        <v>-2.6016330000000001E-2</v>
      </c>
      <c r="AA5232">
        <v>0.67664619999999998</v>
      </c>
      <c r="AB5232">
        <v>33</v>
      </c>
      <c r="AC5232">
        <v>3.9892000000000398</v>
      </c>
      <c r="AD5232">
        <v>-1.0994870000000001</v>
      </c>
      <c r="AE5232">
        <v>-9.6396069999999998</v>
      </c>
      <c r="AF5232">
        <v>7.7180160225328498</v>
      </c>
      <c r="AG5232">
        <v>-1.0994870000000001</v>
      </c>
      <c r="AH5232">
        <v>6.8476213847496599</v>
      </c>
      <c r="AI5232">
        <v>96.082587707825297</v>
      </c>
      <c r="AJ5232">
        <v>41.580259063666603</v>
      </c>
      <c r="AK5232">
        <v>10.3762498821165</v>
      </c>
      <c r="AL5232">
        <v>88.407592296278196</v>
      </c>
      <c r="AM5232">
        <v>67.241977139779095</v>
      </c>
      <c r="AN5232">
        <v>1.0000000152990201</v>
      </c>
    </row>
    <row r="5233" spans="1:40" x14ac:dyDescent="0.25">
      <c r="A5233" t="str">
        <f>"20190305135932232"</f>
        <v>20190305135932232</v>
      </c>
      <c r="B5233" t="str">
        <f>"1551765572224154"</f>
        <v>1551765572224154</v>
      </c>
      <c r="C5233" t="s">
        <v>40</v>
      </c>
      <c r="D5233">
        <v>4.310759</v>
      </c>
      <c r="E5233">
        <v>0.74895679999999998</v>
      </c>
      <c r="F5233" t="s">
        <v>43</v>
      </c>
      <c r="G5233">
        <v>-306.99689999999998</v>
      </c>
      <c r="H5233">
        <v>-0.05</v>
      </c>
      <c r="I5233">
        <v>6.7291109999999996</v>
      </c>
      <c r="J5233">
        <v>-310.92</v>
      </c>
      <c r="K5233">
        <v>1.0490660000000001</v>
      </c>
      <c r="L5233">
        <v>16.445979999999999</v>
      </c>
      <c r="M5233">
        <v>0.94217600000000001</v>
      </c>
      <c r="N5233">
        <v>-2.257808E-2</v>
      </c>
      <c r="O5233">
        <v>-0.33435749999999997</v>
      </c>
      <c r="P5233">
        <v>0.739313</v>
      </c>
      <c r="Q5233">
        <v>2.0089840000000001E-2</v>
      </c>
      <c r="R5233">
        <v>-0.67306269999999901</v>
      </c>
      <c r="S5233">
        <v>1.281342</v>
      </c>
      <c r="T5233">
        <v>-0.34648980000000001</v>
      </c>
      <c r="U5233">
        <v>-3.079834</v>
      </c>
      <c r="V5233">
        <v>0.38822570000000001</v>
      </c>
      <c r="W5233">
        <v>2.7549420000000002E-2</v>
      </c>
      <c r="X5233">
        <v>0.92115250000000004</v>
      </c>
      <c r="Y5233">
        <v>0.73822480000000001</v>
      </c>
      <c r="Z5233">
        <v>-2.538259E-2</v>
      </c>
      <c r="AA5233">
        <v>0.67407700000000004</v>
      </c>
      <c r="AB5233">
        <v>33</v>
      </c>
      <c r="AC5233">
        <v>3.92310000000003</v>
      </c>
      <c r="AD5233">
        <v>-1.0990659999999901</v>
      </c>
      <c r="AE5233">
        <v>-9.7168690000000009</v>
      </c>
      <c r="AF5233">
        <v>7.7599184841154401</v>
      </c>
      <c r="AG5233">
        <v>-1.0990659999999901</v>
      </c>
      <c r="AH5233">
        <v>6.8713402643004802</v>
      </c>
      <c r="AI5233">
        <v>96.052857369046905</v>
      </c>
      <c r="AJ5233">
        <v>41.524610226449397</v>
      </c>
      <c r="AK5233">
        <v>10.4230320914918</v>
      </c>
      <c r="AL5233">
        <v>88.421334842984905</v>
      </c>
      <c r="AM5233">
        <v>67.146693765737993</v>
      </c>
      <c r="AN5233">
        <v>1.00000004646953</v>
      </c>
    </row>
    <row r="5234" spans="1:40" x14ac:dyDescent="0.25">
      <c r="A5234" t="str">
        <f>"20190305135932244"</f>
        <v>20190305135932244</v>
      </c>
      <c r="B5234" t="str">
        <f>"1551765572233914"</f>
        <v>1551765572233914</v>
      </c>
      <c r="C5234" t="s">
        <v>40</v>
      </c>
      <c r="D5234">
        <v>4.3135430000000001</v>
      </c>
      <c r="E5234">
        <v>0.74888060000000001</v>
      </c>
      <c r="F5234" t="s">
        <v>43</v>
      </c>
      <c r="G5234">
        <v>-308.87009999999998</v>
      </c>
      <c r="H5234">
        <v>-0.05</v>
      </c>
      <c r="I5234">
        <v>7.9547879999999997</v>
      </c>
      <c r="J5234">
        <v>-310.76139999999998</v>
      </c>
      <c r="K5234">
        <v>1.04862099999999</v>
      </c>
      <c r="L5234">
        <v>16.382110000000001</v>
      </c>
      <c r="M5234">
        <v>0.93924490000000005</v>
      </c>
      <c r="N5234">
        <v>-2.239478E-2</v>
      </c>
      <c r="O5234">
        <v>-0.34251679999999901</v>
      </c>
      <c r="P5234">
        <v>0.73263420000000001</v>
      </c>
      <c r="Q5234">
        <v>2.0152010000000001E-2</v>
      </c>
      <c r="R5234">
        <v>-0.68032440000000005</v>
      </c>
      <c r="S5234">
        <v>0.85311890000000001</v>
      </c>
      <c r="T5234">
        <v>-0.45739869999999999</v>
      </c>
      <c r="U5234">
        <v>-3.5337830000000001</v>
      </c>
      <c r="V5234">
        <v>0.38933279999999998</v>
      </c>
      <c r="W5234">
        <v>2.7252459999999999E-2</v>
      </c>
      <c r="X5234">
        <v>0.92069389999999995</v>
      </c>
      <c r="Y5234">
        <v>0.82764879999999996</v>
      </c>
      <c r="Z5234">
        <v>-3.8483870000000003E-2</v>
      </c>
      <c r="AA5234">
        <v>0.55992540000000002</v>
      </c>
      <c r="AB5234">
        <v>33</v>
      </c>
      <c r="AC5234">
        <v>1.8913</v>
      </c>
      <c r="AD5234">
        <v>-1.0986209999999901</v>
      </c>
      <c r="AE5234">
        <v>-8.4273220000000002</v>
      </c>
      <c r="AF5234">
        <v>7.1535948962412101</v>
      </c>
      <c r="AG5234">
        <v>-1.0986209999999901</v>
      </c>
      <c r="AH5234">
        <v>4.5897998528226802</v>
      </c>
      <c r="AI5234">
        <v>97.365118796154206</v>
      </c>
      <c r="AJ5234">
        <v>32.684533563034996</v>
      </c>
      <c r="AK5234">
        <v>8.5701313134712507</v>
      </c>
      <c r="AL5234">
        <v>88.438355702215901</v>
      </c>
      <c r="AM5234">
        <v>67.078010533659906</v>
      </c>
      <c r="AN5234">
        <v>0.99999999161455</v>
      </c>
    </row>
    <row r="5235" spans="1:40" x14ac:dyDescent="0.25">
      <c r="A5235" t="str">
        <f>"20190305135932254"</f>
        <v>20190305135932254</v>
      </c>
      <c r="B5235" t="str">
        <f>"1551765572244651"</f>
        <v>1551765572244651</v>
      </c>
      <c r="C5235" t="s">
        <v>40</v>
      </c>
      <c r="D5235">
        <v>4.3218829999999997</v>
      </c>
      <c r="E5235">
        <v>0.7463805</v>
      </c>
      <c r="F5235" t="s">
        <v>43</v>
      </c>
      <c r="G5235">
        <v>-308.75839999999999</v>
      </c>
      <c r="H5235">
        <v>-0.05</v>
      </c>
      <c r="I5235">
        <v>7.7216339999999999</v>
      </c>
      <c r="J5235">
        <v>-310.6164</v>
      </c>
      <c r="K5235">
        <v>1.04823</v>
      </c>
      <c r="L5235">
        <v>16.32245</v>
      </c>
      <c r="M5235">
        <v>0.93646010000000002</v>
      </c>
      <c r="N5235">
        <v>-2.2235390000000001E-2</v>
      </c>
      <c r="O5235">
        <v>-0.35006880000000001</v>
      </c>
      <c r="P5235">
        <v>0.72639290000000001</v>
      </c>
      <c r="Q5235">
        <v>2.0508729999999999E-2</v>
      </c>
      <c r="R5235">
        <v>-0.68697390000000003</v>
      </c>
      <c r="S5235">
        <v>0.81900019999999996</v>
      </c>
      <c r="T5235">
        <v>-0.44919419999999999</v>
      </c>
      <c r="U5235">
        <v>-3.5410159999999999</v>
      </c>
      <c r="V5235">
        <v>0.3903315</v>
      </c>
      <c r="W5235">
        <v>2.728964E-2</v>
      </c>
      <c r="X5235">
        <v>0.92026980000000003</v>
      </c>
      <c r="Y5235">
        <v>0.82871530000000004</v>
      </c>
      <c r="Z5235">
        <v>-3.7183229999999998E-2</v>
      </c>
      <c r="AA5235">
        <v>0.55843399999999999</v>
      </c>
      <c r="AB5235">
        <v>33</v>
      </c>
      <c r="AC5235">
        <v>1.8580000000000001</v>
      </c>
      <c r="AD5235">
        <v>-1.09822999999999</v>
      </c>
      <c r="AE5235">
        <v>-8.600816</v>
      </c>
      <c r="AF5235">
        <v>7.2921303954507</v>
      </c>
      <c r="AG5235">
        <v>-1.09822999999999</v>
      </c>
      <c r="AH5235">
        <v>4.6791059177625796</v>
      </c>
      <c r="AI5235">
        <v>97.223957797496794</v>
      </c>
      <c r="AJ5235">
        <v>32.6868748404275</v>
      </c>
      <c r="AK5235">
        <v>8.7335735542100306</v>
      </c>
      <c r="AL5235">
        <v>88.4362245945794</v>
      </c>
      <c r="AM5235">
        <v>67.015820517235795</v>
      </c>
      <c r="AN5235">
        <v>0.99999995456780799</v>
      </c>
    </row>
    <row r="5236" spans="1:40" x14ac:dyDescent="0.25">
      <c r="A5236" t="str">
        <f>"20190305135932266"</f>
        <v>20190305135932266</v>
      </c>
      <c r="B5236" t="str">
        <f>"1551765572254411"</f>
        <v>1551765572254411</v>
      </c>
      <c r="C5236" t="s">
        <v>40</v>
      </c>
      <c r="D5236">
        <v>4.2862660000000004</v>
      </c>
      <c r="E5236">
        <v>0.74524290000000004</v>
      </c>
      <c r="F5236" t="s">
        <v>43</v>
      </c>
      <c r="G5236">
        <v>-308.64890000000003</v>
      </c>
      <c r="H5236">
        <v>-0.05</v>
      </c>
      <c r="I5236">
        <v>7.6369169999999897</v>
      </c>
      <c r="J5236">
        <v>-310.46370000000002</v>
      </c>
      <c r="K5236">
        <v>1.047849</v>
      </c>
      <c r="L5236">
        <v>16.257660000000001</v>
      </c>
      <c r="M5236">
        <v>0.93339689999999997</v>
      </c>
      <c r="N5236">
        <v>-2.2082259999999999E-2</v>
      </c>
      <c r="O5236">
        <v>-0.35816619999999999</v>
      </c>
      <c r="P5236">
        <v>0.71993409999999902</v>
      </c>
      <c r="Q5236">
        <v>2.090825E-2</v>
      </c>
      <c r="R5236">
        <v>-0.69372780000000001</v>
      </c>
      <c r="S5236">
        <v>0.80050659999999996</v>
      </c>
      <c r="T5236">
        <v>-0.44683610000000001</v>
      </c>
      <c r="U5236">
        <v>-3.5338750000000001</v>
      </c>
      <c r="V5236">
        <v>0.39097949999999998</v>
      </c>
      <c r="W5236">
        <v>2.7384499999999999E-2</v>
      </c>
      <c r="X5236">
        <v>0.91999200000000003</v>
      </c>
      <c r="Y5236">
        <v>0.82653670000000001</v>
      </c>
      <c r="Z5236">
        <v>-3.5611200000000003E-2</v>
      </c>
      <c r="AA5236">
        <v>0.56175540000000002</v>
      </c>
      <c r="AB5236">
        <v>33</v>
      </c>
      <c r="AC5236">
        <v>1.81479999999999</v>
      </c>
      <c r="AD5236">
        <v>-1.0978490000000001</v>
      </c>
      <c r="AE5236">
        <v>-8.6207429999999992</v>
      </c>
      <c r="AF5236">
        <v>7.2852395216429704</v>
      </c>
      <c r="AG5236">
        <v>-1.0978490000000001</v>
      </c>
      <c r="AH5236">
        <v>4.7096137037649797</v>
      </c>
      <c r="AI5236">
        <v>97.212643452609498</v>
      </c>
      <c r="AJ5236">
        <v>32.881039498507803</v>
      </c>
      <c r="AK5236">
        <v>8.7441665442282499</v>
      </c>
      <c r="AL5236">
        <v>88.430787681821599</v>
      </c>
      <c r="AM5236">
        <v>66.975410031110997</v>
      </c>
      <c r="AN5236">
        <v>1.00000008016224</v>
      </c>
    </row>
    <row r="5237" spans="1:40" x14ac:dyDescent="0.25">
      <c r="A5237" t="str">
        <f>"20190305135932277"</f>
        <v>20190305135932277</v>
      </c>
      <c r="B5237" t="str">
        <f>"1551765572273930"</f>
        <v>1551765572273930</v>
      </c>
      <c r="C5237" t="s">
        <v>40</v>
      </c>
      <c r="D5237">
        <v>4.2970290000000002</v>
      </c>
      <c r="E5237">
        <v>0.74003819999999998</v>
      </c>
      <c r="F5237" t="s">
        <v>43</v>
      </c>
      <c r="G5237">
        <v>-308.55759999999998</v>
      </c>
      <c r="H5237">
        <v>-0.05</v>
      </c>
      <c r="I5237">
        <v>7.5504610000000003</v>
      </c>
      <c r="J5237">
        <v>-310.30029999999999</v>
      </c>
      <c r="K5237">
        <v>1.04745</v>
      </c>
      <c r="L5237">
        <v>16.187379999999902</v>
      </c>
      <c r="M5237">
        <v>0.93000839999999996</v>
      </c>
      <c r="N5237">
        <v>-2.1922810000000001E-2</v>
      </c>
      <c r="O5237">
        <v>-0.36688379999999998</v>
      </c>
      <c r="P5237">
        <v>0.71274110000000002</v>
      </c>
      <c r="Q5237">
        <v>2.135807E-2</v>
      </c>
      <c r="R5237">
        <v>-0.701102</v>
      </c>
      <c r="S5237">
        <v>0.77383419999999903</v>
      </c>
      <c r="T5237">
        <v>-0.44569249999999999</v>
      </c>
      <c r="U5237">
        <v>-3.5348510000000002</v>
      </c>
      <c r="V5237">
        <v>0.39186870000000001</v>
      </c>
      <c r="W5237">
        <v>2.7503670000000001E-2</v>
      </c>
      <c r="X5237">
        <v>0.91961000000000004</v>
      </c>
      <c r="Y5237">
        <v>0.82546350000000002</v>
      </c>
      <c r="Z5237">
        <v>-3.414143E-2</v>
      </c>
      <c r="AA5237">
        <v>0.56342199999999998</v>
      </c>
      <c r="AB5237">
        <v>33</v>
      </c>
      <c r="AC5237">
        <v>1.7427000000000099</v>
      </c>
      <c r="AD5237">
        <v>-1.09745</v>
      </c>
      <c r="AE5237">
        <v>-8.63691899999999</v>
      </c>
      <c r="AF5237">
        <v>7.2818463595251099</v>
      </c>
      <c r="AG5237">
        <v>-1.09745</v>
      </c>
      <c r="AH5237">
        <v>4.7174369028275898</v>
      </c>
      <c r="AI5237">
        <v>97.208897148942597</v>
      </c>
      <c r="AJ5237">
        <v>32.936589805391698</v>
      </c>
      <c r="AK5237">
        <v>8.7455070658246399</v>
      </c>
      <c r="AL5237">
        <v>88.423957109807304</v>
      </c>
      <c r="AM5237">
        <v>66.919939679409595</v>
      </c>
      <c r="AN5237">
        <v>1.0000000410015699</v>
      </c>
    </row>
    <row r="5238" spans="1:40" x14ac:dyDescent="0.25">
      <c r="A5238" t="str">
        <f>"20190305135932292"</f>
        <v>20190305135932292</v>
      </c>
      <c r="B5238" t="str">
        <f>"1551765572284666"</f>
        <v>1551765572284666</v>
      </c>
      <c r="C5238" t="s">
        <v>40</v>
      </c>
      <c r="D5238">
        <v>4.2743679999999999</v>
      </c>
      <c r="E5238">
        <v>0.73847259999999904</v>
      </c>
      <c r="F5238" t="s">
        <v>43</v>
      </c>
      <c r="G5238">
        <v>-308.34960000000001</v>
      </c>
      <c r="H5238">
        <v>-0.05</v>
      </c>
      <c r="I5238">
        <v>7.2583310000000001</v>
      </c>
      <c r="J5238">
        <v>-310.1035</v>
      </c>
      <c r="K5238">
        <v>1.0470200000000001</v>
      </c>
      <c r="L5238">
        <v>16.099029999999999</v>
      </c>
      <c r="M5238">
        <v>0.92569219999999997</v>
      </c>
      <c r="N5238">
        <v>-2.175726E-2</v>
      </c>
      <c r="O5238">
        <v>-0.37765159999999998</v>
      </c>
      <c r="P5238">
        <v>0.70384780000000002</v>
      </c>
      <c r="Q5238">
        <v>2.1834240000000001E-2</v>
      </c>
      <c r="R5238">
        <v>-0.71001559999999997</v>
      </c>
      <c r="S5238">
        <v>0.76727290000000004</v>
      </c>
      <c r="T5238">
        <v>-0.43166670000000001</v>
      </c>
      <c r="U5238">
        <v>-3.5121150000000001</v>
      </c>
      <c r="V5238">
        <v>0.39279920000000002</v>
      </c>
      <c r="W5238">
        <v>2.7614719999999999E-2</v>
      </c>
      <c r="X5238">
        <v>0.91920959999999996</v>
      </c>
      <c r="Y5238">
        <v>0.81950100000000003</v>
      </c>
      <c r="Z5238">
        <v>-3.1344289999999997E-2</v>
      </c>
      <c r="AA5238">
        <v>0.57221979999999995</v>
      </c>
      <c r="AB5238">
        <v>33</v>
      </c>
      <c r="AC5238">
        <v>1.75389999999998</v>
      </c>
      <c r="AD5238">
        <v>-1.0970200000000001</v>
      </c>
      <c r="AE5238">
        <v>-8.8406989999999901</v>
      </c>
      <c r="AF5238">
        <v>7.4133571486501397</v>
      </c>
      <c r="AG5238">
        <v>-1.0970200000000001</v>
      </c>
      <c r="AH5238">
        <v>4.8909920124163699</v>
      </c>
      <c r="AI5238">
        <v>97.041423402257806</v>
      </c>
      <c r="AJ5238">
        <v>33.414991936863302</v>
      </c>
      <c r="AK5238">
        <v>8.9489172506713306</v>
      </c>
      <c r="AL5238">
        <v>88.417591988995298</v>
      </c>
      <c r="AM5238">
        <v>66.861877792581396</v>
      </c>
      <c r="AN5238">
        <v>1.0000000365067301</v>
      </c>
    </row>
    <row r="5239" spans="1:40" x14ac:dyDescent="0.25">
      <c r="A5239" t="str">
        <f>"20190305135932303"</f>
        <v>20190305135932303</v>
      </c>
      <c r="B5239" t="str">
        <f>"1551765572294427"</f>
        <v>1551765572294427</v>
      </c>
      <c r="C5239" t="s">
        <v>40</v>
      </c>
      <c r="D5239">
        <v>4.1717230000000001</v>
      </c>
      <c r="E5239">
        <v>0.73847259999999904</v>
      </c>
      <c r="F5239" t="s">
        <v>43</v>
      </c>
      <c r="G5239">
        <v>-308.22019999999998</v>
      </c>
      <c r="H5239">
        <v>-0.05</v>
      </c>
      <c r="I5239">
        <v>7.0635380000000003</v>
      </c>
      <c r="J5239">
        <v>-309.95519999999999</v>
      </c>
      <c r="K5239">
        <v>1.0467029999999999</v>
      </c>
      <c r="L5239">
        <v>16.03088</v>
      </c>
      <c r="M5239">
        <v>0.92230599999999996</v>
      </c>
      <c r="N5239">
        <v>-2.1640400000000001E-2</v>
      </c>
      <c r="O5239">
        <v>-0.38585449999999999</v>
      </c>
      <c r="P5239">
        <v>0.69669840000000005</v>
      </c>
      <c r="Q5239">
        <v>2.2613709999999999E-2</v>
      </c>
      <c r="R5239">
        <v>-0.71700779999999997</v>
      </c>
      <c r="S5239">
        <v>0.7321472</v>
      </c>
      <c r="T5239">
        <v>-0.42647420000000003</v>
      </c>
      <c r="U5239">
        <v>-3.5126040000000001</v>
      </c>
      <c r="V5239">
        <v>0.39386100000000002</v>
      </c>
      <c r="W5239">
        <v>2.8110920000000001E-2</v>
      </c>
      <c r="X5239">
        <v>0.91874</v>
      </c>
      <c r="Y5239">
        <v>0.82004359999999998</v>
      </c>
      <c r="Z5239">
        <v>-3.01453E-2</v>
      </c>
      <c r="AA5239">
        <v>0.57150659999999998</v>
      </c>
      <c r="AB5239">
        <v>33</v>
      </c>
      <c r="AC5239">
        <v>1.7350000000000101</v>
      </c>
      <c r="AD5239">
        <v>-1.096703</v>
      </c>
      <c r="AE5239">
        <v>-8.9673419999999897</v>
      </c>
      <c r="AF5239">
        <v>7.4948971992514197</v>
      </c>
      <c r="AG5239">
        <v>-1.096703</v>
      </c>
      <c r="AH5239">
        <v>4.9895379060322602</v>
      </c>
      <c r="AI5239">
        <v>96.9446481918541</v>
      </c>
      <c r="AJ5239">
        <v>33.6526854376052</v>
      </c>
      <c r="AK5239">
        <v>9.0703765089046104</v>
      </c>
      <c r="AL5239">
        <v>88.389150641428799</v>
      </c>
      <c r="AM5239">
        <v>66.795335779092795</v>
      </c>
      <c r="AN5239">
        <v>0.999999949372122</v>
      </c>
    </row>
    <row r="5240" spans="1:40" x14ac:dyDescent="0.25">
      <c r="A5240" t="str">
        <f>"20190305135932320"</f>
        <v>20190305135932320</v>
      </c>
      <c r="B5240" t="str">
        <f>"1551765572313949"</f>
        <v>1551765572313949</v>
      </c>
      <c r="C5240" t="s">
        <v>40</v>
      </c>
      <c r="D5240">
        <v>4.2283150000000003</v>
      </c>
      <c r="E5240">
        <v>0.73331179999999996</v>
      </c>
      <c r="F5240" t="s">
        <v>43</v>
      </c>
      <c r="G5240">
        <v>-308.15679999999998</v>
      </c>
      <c r="H5240">
        <v>-0.05</v>
      </c>
      <c r="I5240">
        <v>6.9540410000000001</v>
      </c>
      <c r="J5240">
        <v>-309.72280000000001</v>
      </c>
      <c r="K5240">
        <v>1.0462309999999999</v>
      </c>
      <c r="L5240">
        <v>15.92099</v>
      </c>
      <c r="M5240">
        <v>0.91674299999999997</v>
      </c>
      <c r="N5240">
        <v>-2.1475169999999998E-2</v>
      </c>
      <c r="O5240">
        <v>-0.39889980000000003</v>
      </c>
      <c r="P5240">
        <v>0.68442969999999903</v>
      </c>
      <c r="Q5240">
        <v>2.2185819999999998E-2</v>
      </c>
      <c r="R5240">
        <v>-0.72874110000000003</v>
      </c>
      <c r="S5240">
        <v>0.69738769999999894</v>
      </c>
      <c r="T5240">
        <v>-0.42528159999999998</v>
      </c>
      <c r="U5240">
        <v>-3.5198360000000002</v>
      </c>
      <c r="V5240">
        <v>0.39642329999999998</v>
      </c>
      <c r="W5240">
        <v>2.721529E-2</v>
      </c>
      <c r="X5240">
        <v>0.91766440000000005</v>
      </c>
      <c r="Y5240">
        <v>0.81774599999999997</v>
      </c>
      <c r="Z5240">
        <v>-2.7964289999999999E-2</v>
      </c>
      <c r="AA5240">
        <v>0.57489950000000001</v>
      </c>
      <c r="AB5240">
        <v>32</v>
      </c>
      <c r="AC5240">
        <v>1.56600000000003</v>
      </c>
      <c r="AD5240">
        <v>-1.096231</v>
      </c>
      <c r="AE5240">
        <v>-8.9669489999999996</v>
      </c>
      <c r="AF5240">
        <v>7.4888498377074102</v>
      </c>
      <c r="AG5240">
        <v>-1.096231</v>
      </c>
      <c r="AH5240">
        <v>4.9420145090663397</v>
      </c>
      <c r="AI5240">
        <v>96.9656637143257</v>
      </c>
      <c r="AJ5240">
        <v>33.421472837027103</v>
      </c>
      <c r="AK5240">
        <v>9.0392533820506191</v>
      </c>
      <c r="AL5240">
        <v>88.440486233191507</v>
      </c>
      <c r="AM5240">
        <v>66.636061770085902</v>
      </c>
      <c r="AN5240">
        <v>1.0000000279100101</v>
      </c>
    </row>
    <row r="5241" spans="1:40" x14ac:dyDescent="0.25">
      <c r="A5241" t="str">
        <f>"20190305135932333"</f>
        <v>20190305135932333</v>
      </c>
      <c r="B5241" t="str">
        <f>"1551765572324682"</f>
        <v>1551765572324682</v>
      </c>
      <c r="C5241" t="s">
        <v>40</v>
      </c>
      <c r="D5241">
        <v>4.2230489999999996</v>
      </c>
      <c r="E5241">
        <v>0.73209979999999997</v>
      </c>
      <c r="F5241" t="s">
        <v>43</v>
      </c>
      <c r="G5241">
        <v>-307.99169999999998</v>
      </c>
      <c r="H5241">
        <v>-0.05</v>
      </c>
      <c r="I5241">
        <v>6.8484040000000004</v>
      </c>
      <c r="J5241">
        <v>-309.55700000000002</v>
      </c>
      <c r="K5241">
        <v>1.0459210000000001</v>
      </c>
      <c r="L5241">
        <v>15.83972</v>
      </c>
      <c r="M5241">
        <v>0.9125645</v>
      </c>
      <c r="N5241">
        <v>-2.1373840000000002E-2</v>
      </c>
      <c r="O5241">
        <v>-0.40837390000000001</v>
      </c>
      <c r="P5241">
        <v>0.67573439999999996</v>
      </c>
      <c r="Q5241">
        <v>2.1505570000000002E-2</v>
      </c>
      <c r="R5241">
        <v>-0.73683149999999997</v>
      </c>
      <c r="S5241">
        <v>0.6682129</v>
      </c>
      <c r="T5241">
        <v>-0.42314200000000002</v>
      </c>
      <c r="U5241">
        <v>-3.5019840000000002</v>
      </c>
      <c r="V5241">
        <v>0.3978062</v>
      </c>
      <c r="W5241">
        <v>2.62405E-2</v>
      </c>
      <c r="X5241">
        <v>0.91709419999999997</v>
      </c>
      <c r="Y5241">
        <v>0.81593640000000001</v>
      </c>
      <c r="Z5241">
        <v>-2.6404219999999999E-2</v>
      </c>
      <c r="AA5241">
        <v>0.57753849999999995</v>
      </c>
      <c r="AB5241">
        <v>32</v>
      </c>
      <c r="AC5241">
        <v>1.5653000000000299</v>
      </c>
      <c r="AD5241">
        <v>-1.0959209999999999</v>
      </c>
      <c r="AE5241">
        <v>-8.9913159999999994</v>
      </c>
      <c r="AF5241">
        <v>7.4600872619870602</v>
      </c>
      <c r="AG5241">
        <v>-1.0959209999999999</v>
      </c>
      <c r="AH5241">
        <v>5.02890777454847</v>
      </c>
      <c r="AI5241">
        <v>96.945097888366007</v>
      </c>
      <c r="AJ5241">
        <v>33.9842421576775</v>
      </c>
      <c r="AK5241">
        <v>9.0633248976088598</v>
      </c>
      <c r="AL5241">
        <v>88.496357586454906</v>
      </c>
      <c r="AM5241">
        <v>66.550338788440996</v>
      </c>
      <c r="AN5241">
        <v>1.00000005413616</v>
      </c>
    </row>
    <row r="5242" spans="1:40" x14ac:dyDescent="0.25">
      <c r="A5242" t="str">
        <f>"20190305135932346"</f>
        <v>20190305135932346</v>
      </c>
      <c r="B5242" t="str">
        <f>"1551765572334442"</f>
        <v>1551765572334442</v>
      </c>
      <c r="C5242" t="s">
        <v>40</v>
      </c>
      <c r="D5242">
        <v>4.2759159999999996</v>
      </c>
      <c r="E5242">
        <v>0.7308308</v>
      </c>
      <c r="F5242" t="s">
        <v>43</v>
      </c>
      <c r="G5242">
        <v>-307.91829999999999</v>
      </c>
      <c r="H5242">
        <v>-0.05</v>
      </c>
      <c r="I5242">
        <v>6.7866520000000001</v>
      </c>
      <c r="J5242">
        <v>-309.39089999999999</v>
      </c>
      <c r="K5242">
        <v>1.0456350000000001</v>
      </c>
      <c r="L5242">
        <v>15.756069999999999</v>
      </c>
      <c r="M5242">
        <v>0.90820429999999996</v>
      </c>
      <c r="N5242">
        <v>-2.128265E-2</v>
      </c>
      <c r="O5242">
        <v>-0.41798580000000002</v>
      </c>
      <c r="P5242">
        <v>0.66678909999999902</v>
      </c>
      <c r="Q5242">
        <v>2.0835889999999999E-2</v>
      </c>
      <c r="R5242">
        <v>-0.74495540000000005</v>
      </c>
      <c r="S5242">
        <v>0.63397219999999999</v>
      </c>
      <c r="T5242">
        <v>-0.4239928</v>
      </c>
      <c r="U5242">
        <v>-3.502472</v>
      </c>
      <c r="V5242">
        <v>0.39919359999999998</v>
      </c>
      <c r="W5242">
        <v>2.5288089999999999E-2</v>
      </c>
      <c r="X5242">
        <v>0.9165179</v>
      </c>
      <c r="Y5242">
        <v>0.81537190000000004</v>
      </c>
      <c r="Z5242">
        <v>-2.501252E-2</v>
      </c>
      <c r="AA5242">
        <v>0.57839700000000005</v>
      </c>
      <c r="AB5242">
        <v>32</v>
      </c>
      <c r="AC5242">
        <v>1.4725999999999999</v>
      </c>
      <c r="AD5242">
        <v>-1.0956349999999999</v>
      </c>
      <c r="AE5242">
        <v>-8.9694179999999992</v>
      </c>
      <c r="AF5242">
        <v>7.4243709959435797</v>
      </c>
      <c r="AG5242">
        <v>-1.0956349999999999</v>
      </c>
      <c r="AH5242">
        <v>5.0148003077363299</v>
      </c>
      <c r="AI5242">
        <v>96.972077449747104</v>
      </c>
      <c r="AJ5242">
        <v>34.037106292884097</v>
      </c>
      <c r="AK5242">
        <v>9.0260690704816593</v>
      </c>
      <c r="AL5242">
        <v>88.550944758039506</v>
      </c>
      <c r="AM5242">
        <v>66.464244407419102</v>
      </c>
      <c r="AN5242">
        <v>1.0000000393985999</v>
      </c>
    </row>
    <row r="5243" spans="1:40" x14ac:dyDescent="0.25">
      <c r="A5243" t="str">
        <f>"20190305135932360"</f>
        <v>20190305135932360</v>
      </c>
      <c r="B5243" t="str">
        <f>"1551765572353962"</f>
        <v>1551765572353962</v>
      </c>
      <c r="C5243" t="s">
        <v>40</v>
      </c>
      <c r="D5243">
        <v>4.0330539999999999</v>
      </c>
      <c r="E5243">
        <v>0.70610189999999995</v>
      </c>
      <c r="F5243" t="s">
        <v>43</v>
      </c>
      <c r="G5243">
        <v>-307.85169999999999</v>
      </c>
      <c r="H5243">
        <v>-0.05</v>
      </c>
      <c r="I5243">
        <v>6.7593990000000002</v>
      </c>
      <c r="J5243">
        <v>-309.20359999999999</v>
      </c>
      <c r="K5243">
        <v>1.045331</v>
      </c>
      <c r="L5243">
        <v>15.65967</v>
      </c>
      <c r="M5243">
        <v>0.9030958</v>
      </c>
      <c r="N5243">
        <v>-2.118859E-2</v>
      </c>
      <c r="O5243">
        <v>-0.42891639999999998</v>
      </c>
      <c r="P5243">
        <v>0.65636030000000001</v>
      </c>
      <c r="Q5243">
        <v>2.0453809999999999E-2</v>
      </c>
      <c r="R5243">
        <v>-0.75417049999999997</v>
      </c>
      <c r="S5243">
        <v>0.59924319999999998</v>
      </c>
      <c r="T5243">
        <v>-0.42655720000000003</v>
      </c>
      <c r="U5243">
        <v>-3.5026250000000001</v>
      </c>
      <c r="V5243">
        <v>0.40088410000000002</v>
      </c>
      <c r="W5243">
        <v>2.459356E-2</v>
      </c>
      <c r="X5243">
        <v>0.91579860000000002</v>
      </c>
      <c r="Y5243">
        <v>0.81401299999999999</v>
      </c>
      <c r="Z5243">
        <v>-2.3330460000000001E-2</v>
      </c>
      <c r="AA5243">
        <v>0.5803779</v>
      </c>
      <c r="AB5243">
        <v>32</v>
      </c>
      <c r="AC5243">
        <v>1.3519000000000001</v>
      </c>
      <c r="AD5243">
        <v>-1.0953310000000001</v>
      </c>
      <c r="AE5243">
        <v>-8.900271</v>
      </c>
      <c r="AF5243">
        <v>7.3507980393255696</v>
      </c>
      <c r="AG5243">
        <v>-1.0953310000000001</v>
      </c>
      <c r="AH5243">
        <v>4.9659819008115802</v>
      </c>
      <c r="AI5243">
        <v>97.038843301754994</v>
      </c>
      <c r="AJ5243">
        <v>34.041797689177798</v>
      </c>
      <c r="AK5243">
        <v>8.9383979578950203</v>
      </c>
      <c r="AL5243">
        <v>88.590750708292006</v>
      </c>
      <c r="AM5243">
        <v>66.358954372849993</v>
      </c>
      <c r="AN5243">
        <v>0.99999999029412101</v>
      </c>
    </row>
    <row r="5244" spans="1:40" x14ac:dyDescent="0.25">
      <c r="A5244" t="str">
        <f>"20190305135932374"</f>
        <v>20190305135932374</v>
      </c>
      <c r="B5244" t="str">
        <f>"1551765572364698"</f>
        <v>1551765572364698</v>
      </c>
      <c r="C5244" t="s">
        <v>40</v>
      </c>
      <c r="D5244">
        <v>4.0743099999999997</v>
      </c>
      <c r="E5244">
        <v>0.70537700000000003</v>
      </c>
      <c r="F5244" t="s">
        <v>43</v>
      </c>
      <c r="G5244">
        <v>-306.38339999999999</v>
      </c>
      <c r="H5244">
        <v>-0.05</v>
      </c>
      <c r="I5244">
        <v>2.2344210000000002</v>
      </c>
      <c r="J5244">
        <v>-309.01609999999999</v>
      </c>
      <c r="K5244">
        <v>1.045058</v>
      </c>
      <c r="L5244">
        <v>15.5596</v>
      </c>
      <c r="M5244">
        <v>0.89772879999999999</v>
      </c>
      <c r="N5244">
        <v>-2.1108209999999999E-2</v>
      </c>
      <c r="O5244">
        <v>-0.44004280000000001</v>
      </c>
      <c r="P5244">
        <v>0.64565779999999995</v>
      </c>
      <c r="Q5244">
        <v>2.0469129999999999E-2</v>
      </c>
      <c r="R5244">
        <v>-0.763352699999999</v>
      </c>
      <c r="S5244">
        <v>0.70779419999999904</v>
      </c>
      <c r="T5244">
        <v>-0.27489419999999998</v>
      </c>
      <c r="U5244">
        <v>-3.3693240000000002</v>
      </c>
      <c r="V5244">
        <v>0.40249040000000003</v>
      </c>
      <c r="W5244">
        <v>2.431755E-2</v>
      </c>
      <c r="X5244">
        <v>0.91510119999999895</v>
      </c>
      <c r="Y5244">
        <v>0.78618750000000004</v>
      </c>
      <c r="Z5244">
        <v>-1.822172E-2</v>
      </c>
      <c r="AA5244">
        <v>0.61771949999999998</v>
      </c>
      <c r="AB5244">
        <v>32</v>
      </c>
      <c r="AC5244">
        <v>2.6326999999999998</v>
      </c>
      <c r="AD5244">
        <v>-1.0950580000000001</v>
      </c>
      <c r="AE5244">
        <v>-13.325179</v>
      </c>
      <c r="AF5244">
        <v>10.7365178807189</v>
      </c>
      <c r="AG5244">
        <v>-1.0950580000000001</v>
      </c>
      <c r="AH5244">
        <v>8.1757914628776405</v>
      </c>
      <c r="AI5244">
        <v>94.639110818493805</v>
      </c>
      <c r="AJ5244">
        <v>37.2890461183867</v>
      </c>
      <c r="AK5244">
        <v>13.539406717830101</v>
      </c>
      <c r="AL5244">
        <v>88.606569711158301</v>
      </c>
      <c r="AM5244">
        <v>66.258590938644403</v>
      </c>
      <c r="AN5244">
        <v>1.0000000357858001</v>
      </c>
    </row>
    <row r="5245" spans="1:40" x14ac:dyDescent="0.25">
      <c r="A5245" t="str">
        <f>"20190305135932387"</f>
        <v>20190305135932387</v>
      </c>
      <c r="B5245" t="str">
        <f>"1551765572384218"</f>
        <v>1551765572384218</v>
      </c>
      <c r="C5245" t="s">
        <v>40</v>
      </c>
      <c r="D5245">
        <v>4.0279150000000001</v>
      </c>
      <c r="E5245">
        <v>0.70094060000000002</v>
      </c>
      <c r="F5245" t="s">
        <v>43</v>
      </c>
      <c r="G5245">
        <v>-305.7534</v>
      </c>
      <c r="H5245">
        <v>-0.05</v>
      </c>
      <c r="I5245">
        <v>-0.91523739999999998</v>
      </c>
      <c r="J5245">
        <v>-308.86430000000001</v>
      </c>
      <c r="K5245">
        <v>1.044864</v>
      </c>
      <c r="L5245">
        <v>15.476139999999999</v>
      </c>
      <c r="M5245">
        <v>0.89319899999999997</v>
      </c>
      <c r="N5245">
        <v>-2.1051759999999999E-2</v>
      </c>
      <c r="O5245">
        <v>-0.44916850000000003</v>
      </c>
      <c r="P5245">
        <v>0.63523969999999996</v>
      </c>
      <c r="Q5245">
        <v>2.170279E-2</v>
      </c>
      <c r="R5245">
        <v>-0.77201009999999903</v>
      </c>
      <c r="S5245">
        <v>0.66766359999999902</v>
      </c>
      <c r="T5245">
        <v>-0.2240857</v>
      </c>
      <c r="U5245">
        <v>-3.3713069999999998</v>
      </c>
      <c r="V5245">
        <v>0.40560220000000002</v>
      </c>
      <c r="W5245">
        <v>2.5239950000000001E-2</v>
      </c>
      <c r="X5245">
        <v>0.91370119999999999</v>
      </c>
      <c r="Y5245">
        <v>0.78753879999999998</v>
      </c>
      <c r="Z5245">
        <v>-1.7734779999999999E-2</v>
      </c>
      <c r="AA5245">
        <v>0.61600980000000005</v>
      </c>
      <c r="AB5245">
        <v>32</v>
      </c>
      <c r="AC5245">
        <v>3.1109000000000102</v>
      </c>
      <c r="AD5245">
        <v>-1.0948639999999901</v>
      </c>
      <c r="AE5245">
        <v>-16.3913774</v>
      </c>
      <c r="AF5245">
        <v>13.1895788495454</v>
      </c>
      <c r="AG5245">
        <v>-1.0948639999999901</v>
      </c>
      <c r="AH5245">
        <v>10.099896320864801</v>
      </c>
      <c r="AI5245">
        <v>93.770699879027504</v>
      </c>
      <c r="AJ5245">
        <v>37.443021675849202</v>
      </c>
      <c r="AK5245">
        <v>16.648472095032901</v>
      </c>
      <c r="AL5245">
        <v>88.553703860175702</v>
      </c>
      <c r="AM5245">
        <v>66.0630289140841</v>
      </c>
      <c r="AN5245">
        <v>1.0000000413011401</v>
      </c>
    </row>
    <row r="5246" spans="1:40" x14ac:dyDescent="0.25">
      <c r="A5246" t="str">
        <f>"20190305135932399"</f>
        <v>20190305135932399</v>
      </c>
      <c r="B5246" t="str">
        <f>"1551765572393978"</f>
        <v>1551765572393978</v>
      </c>
      <c r="C5246" t="s">
        <v>40</v>
      </c>
      <c r="D5246">
        <v>4.0194999999999999</v>
      </c>
      <c r="E5246">
        <v>0.69949359999999905</v>
      </c>
      <c r="F5246" t="s">
        <v>42</v>
      </c>
      <c r="G5246">
        <v>-305.39569999999998</v>
      </c>
      <c r="H5246" s="1">
        <v>-4.4752519999999997E-6</v>
      </c>
      <c r="I5246">
        <v>-2.388328</v>
      </c>
      <c r="J5246">
        <v>-308.69959999999998</v>
      </c>
      <c r="K5246">
        <v>1.0446530000000001</v>
      </c>
      <c r="L5246">
        <v>15.384119999999999</v>
      </c>
      <c r="M5246">
        <v>0.88813050000000004</v>
      </c>
      <c r="N5246">
        <v>-2.0993910000000001E-2</v>
      </c>
      <c r="O5246">
        <v>-0.45911150000000001</v>
      </c>
      <c r="P5246">
        <v>0.6254151</v>
      </c>
      <c r="Q5246">
        <v>2.2529250000000001E-2</v>
      </c>
      <c r="R5246">
        <v>-0.77996690000000002</v>
      </c>
      <c r="S5246">
        <v>0.65148930000000005</v>
      </c>
      <c r="T5246">
        <v>-0.19625329999999999</v>
      </c>
      <c r="U5246">
        <v>-3.3554080000000002</v>
      </c>
      <c r="V5246">
        <v>0.40698600000000001</v>
      </c>
      <c r="W5246">
        <v>2.5829129999999999E-2</v>
      </c>
      <c r="X5246">
        <v>0.91306909999999997</v>
      </c>
      <c r="Y5246">
        <v>0.78321819999999998</v>
      </c>
      <c r="Z5246">
        <v>-1.6932610000000001E-2</v>
      </c>
      <c r="AA5246">
        <v>0.62151639999999997</v>
      </c>
      <c r="AB5246">
        <v>32</v>
      </c>
      <c r="AC5246">
        <v>3.3038999999999898</v>
      </c>
      <c r="AD5246">
        <v>-1.0446574752519999</v>
      </c>
      <c r="AE5246">
        <v>-17.772448000000001</v>
      </c>
      <c r="AF5246">
        <v>14.223040873122001</v>
      </c>
      <c r="AG5246">
        <v>-1.0446574752519999</v>
      </c>
      <c r="AH5246">
        <v>11.0593416703251</v>
      </c>
      <c r="AI5246">
        <v>93.318437743477801</v>
      </c>
      <c r="AJ5246">
        <v>37.867394034578403</v>
      </c>
      <c r="AK5246">
        <v>18.047028539349299</v>
      </c>
      <c r="AL5246">
        <v>88.519935209849095</v>
      </c>
      <c r="AM5246">
        <v>65.975838844804102</v>
      </c>
      <c r="AN5246">
        <v>0.99999996476368203</v>
      </c>
    </row>
    <row r="5247" spans="1:40" x14ac:dyDescent="0.25">
      <c r="A5247" t="str">
        <f>"20190305135932411"</f>
        <v>20190305135932411</v>
      </c>
      <c r="B5247" t="str">
        <f>"1551765572404714"</f>
        <v>1551765572404714</v>
      </c>
      <c r="C5247" t="s">
        <v>40</v>
      </c>
      <c r="D5247">
        <v>4.0517099999999999</v>
      </c>
      <c r="E5247">
        <v>0.69813579999999997</v>
      </c>
      <c r="F5247" t="s">
        <v>41</v>
      </c>
      <c r="G5247">
        <v>-308.40710000000001</v>
      </c>
      <c r="H5247">
        <v>0.9528565</v>
      </c>
      <c r="I5247">
        <v>13.794180000000001</v>
      </c>
      <c r="J5247">
        <v>-308.5455</v>
      </c>
      <c r="K5247">
        <v>1.044473</v>
      </c>
      <c r="L5247">
        <v>15.294739999999999</v>
      </c>
      <c r="M5247">
        <v>0.88317199999999996</v>
      </c>
      <c r="N5247">
        <v>-2.0947440000000001E-2</v>
      </c>
      <c r="O5247">
        <v>-0.46858139999999998</v>
      </c>
      <c r="P5247">
        <v>0.61648419999999904</v>
      </c>
      <c r="Q5247">
        <v>2.326543E-2</v>
      </c>
      <c r="R5247">
        <v>-0.78702369999999899</v>
      </c>
      <c r="S5247">
        <v>0.61804199999999998</v>
      </c>
      <c r="T5247">
        <v>-0.19383059999999999</v>
      </c>
      <c r="U5247">
        <v>-3.3563540000000001</v>
      </c>
      <c r="V5247">
        <v>0.40764630000000002</v>
      </c>
      <c r="W5247">
        <v>2.6385410000000002E-2</v>
      </c>
      <c r="X5247">
        <v>0.91275859999999998</v>
      </c>
      <c r="Y5247">
        <v>0.78262129999999996</v>
      </c>
      <c r="Z5247">
        <v>-1.6342969999999998E-2</v>
      </c>
      <c r="AA5247">
        <v>0.62228359999999905</v>
      </c>
      <c r="AB5247">
        <v>32</v>
      </c>
      <c r="AC5247">
        <v>0.13839999999999</v>
      </c>
      <c r="AD5247">
        <v>-9.1616499999999795E-2</v>
      </c>
      <c r="AE5247">
        <v>-1.5005599999999999</v>
      </c>
      <c r="AF5247">
        <v>1.2560348400591701</v>
      </c>
      <c r="AG5247">
        <v>-9.1616499999999795E-2</v>
      </c>
      <c r="AH5247">
        <v>0.82250641691849102</v>
      </c>
      <c r="AI5247">
        <v>93.491947229573796</v>
      </c>
      <c r="AJ5247">
        <v>33.218528894614501</v>
      </c>
      <c r="AK5247">
        <v>1.5041721671360599</v>
      </c>
      <c r="AL5247">
        <v>88.488051865805602</v>
      </c>
      <c r="AM5247">
        <v>65.934026319037201</v>
      </c>
      <c r="AN5247">
        <v>0.99999997881925795</v>
      </c>
    </row>
    <row r="5248" spans="1:40" x14ac:dyDescent="0.25">
      <c r="A5248" t="str">
        <f>"20190305135932423"</f>
        <v>20190305135932423</v>
      </c>
      <c r="B5248" t="str">
        <f>"1551765572414474"</f>
        <v>1551765572414474</v>
      </c>
      <c r="C5248" t="s">
        <v>40</v>
      </c>
      <c r="D5248">
        <v>4.1054599999999999</v>
      </c>
      <c r="E5248">
        <v>0.69608590000000004</v>
      </c>
      <c r="F5248" t="s">
        <v>42</v>
      </c>
      <c r="G5248">
        <v>-305.4128</v>
      </c>
      <c r="H5248" s="1">
        <v>-4.4068059999999996E-6</v>
      </c>
      <c r="I5248">
        <v>-2.5744509999999998</v>
      </c>
      <c r="J5248">
        <v>-308.40410000000003</v>
      </c>
      <c r="K5248">
        <v>1.0443129999999901</v>
      </c>
      <c r="L5248">
        <v>15.2113</v>
      </c>
      <c r="M5248">
        <v>0.878484499999999</v>
      </c>
      <c r="N5248">
        <v>-2.0904949999999999E-2</v>
      </c>
      <c r="O5248">
        <v>-0.4773134</v>
      </c>
      <c r="P5248">
        <v>0.60837050000000004</v>
      </c>
      <c r="Q5248">
        <v>2.37939E-2</v>
      </c>
      <c r="R5248">
        <v>-0.79329649999999996</v>
      </c>
      <c r="S5248">
        <v>0.58847050000000001</v>
      </c>
      <c r="T5248">
        <v>-0.19620290000000001</v>
      </c>
      <c r="U5248">
        <v>-3.3566889999999998</v>
      </c>
      <c r="V5248">
        <v>0.40798210000000001</v>
      </c>
      <c r="W5248">
        <v>2.6763410000000001E-2</v>
      </c>
      <c r="X5248">
        <v>0.91259760000000001</v>
      </c>
      <c r="Y5248">
        <v>0.78177050000000003</v>
      </c>
      <c r="Z5248">
        <v>-1.571577E-2</v>
      </c>
      <c r="AA5248">
        <v>0.62336819999999904</v>
      </c>
      <c r="AB5248">
        <v>32</v>
      </c>
      <c r="AC5248">
        <v>2.9913000000000198</v>
      </c>
      <c r="AD5248">
        <v>-1.0443174068059899</v>
      </c>
      <c r="AE5248">
        <v>-17.785750999999902</v>
      </c>
      <c r="AF5248">
        <v>14.152371346448801</v>
      </c>
      <c r="AG5248">
        <v>-1.0443174068059899</v>
      </c>
      <c r="AH5248">
        <v>11.0824601385512</v>
      </c>
      <c r="AI5248">
        <v>93.325000196172795</v>
      </c>
      <c r="AJ5248">
        <v>38.0638386228934</v>
      </c>
      <c r="AK5248">
        <v>18.005586252508401</v>
      </c>
      <c r="AL5248">
        <v>88.466386482716899</v>
      </c>
      <c r="AM5248">
        <v>65.912689462448796</v>
      </c>
      <c r="AN5248">
        <v>1.00000002678049</v>
      </c>
    </row>
    <row r="5249" spans="1:40" x14ac:dyDescent="0.25">
      <c r="A5249" t="str">
        <f>"20190305135932433"</f>
        <v>20190305135932433</v>
      </c>
      <c r="B5249" t="str">
        <f>"1551765572424234"</f>
        <v>1551765572424234</v>
      </c>
      <c r="C5249" t="s">
        <v>40</v>
      </c>
      <c r="D5249">
        <v>4.0746079999999996</v>
      </c>
      <c r="E5249">
        <v>0.69501709999999906</v>
      </c>
      <c r="F5249" t="s">
        <v>41</v>
      </c>
      <c r="G5249">
        <v>-308.13099999999997</v>
      </c>
      <c r="H5249">
        <v>0.95612140000000001</v>
      </c>
      <c r="I5249">
        <v>13.596819999999999</v>
      </c>
      <c r="J5249">
        <v>-308.2611</v>
      </c>
      <c r="K5249">
        <v>1.0441549999999999</v>
      </c>
      <c r="L5249">
        <v>15.124969999999999</v>
      </c>
      <c r="M5249">
        <v>0.87358549999999902</v>
      </c>
      <c r="N5249">
        <v>-2.0863380000000001E-2</v>
      </c>
      <c r="O5249">
        <v>-0.48622369999999998</v>
      </c>
      <c r="P5249">
        <v>0.60062599999999999</v>
      </c>
      <c r="Q5249">
        <v>2.415045E-2</v>
      </c>
      <c r="R5249">
        <v>-0.79916580000000004</v>
      </c>
      <c r="S5249">
        <v>0.56732179999999999</v>
      </c>
      <c r="T5249">
        <v>-0.18314649999999999</v>
      </c>
      <c r="U5249">
        <v>-3.352112</v>
      </c>
      <c r="V5249">
        <v>0.40758650000000002</v>
      </c>
      <c r="W5249">
        <v>2.7007929999999999E-2</v>
      </c>
      <c r="X5249">
        <v>0.91276710000000005</v>
      </c>
      <c r="Y5249">
        <v>0.77922139999999995</v>
      </c>
      <c r="Z5249">
        <v>-1.524356E-2</v>
      </c>
      <c r="AA5249">
        <v>0.62656350000000005</v>
      </c>
      <c r="AB5249">
        <v>32</v>
      </c>
      <c r="AC5249">
        <v>0.130100000000027</v>
      </c>
      <c r="AD5249">
        <v>-8.8033599999999906E-2</v>
      </c>
      <c r="AE5249">
        <v>-1.5281499999999999</v>
      </c>
      <c r="AF5249">
        <v>1.26781141490468</v>
      </c>
      <c r="AG5249">
        <v>-8.8033599999999906E-2</v>
      </c>
      <c r="AH5249">
        <v>0.85404864457339902</v>
      </c>
      <c r="AI5249">
        <v>93.295990985390802</v>
      </c>
      <c r="AJ5249">
        <v>33.9657894688997</v>
      </c>
      <c r="AK5249">
        <v>1.53117431593834</v>
      </c>
      <c r="AL5249">
        <v>88.452371382043097</v>
      </c>
      <c r="AM5249">
        <v>65.937354594591099</v>
      </c>
      <c r="AN5249">
        <v>0.99999998105377197</v>
      </c>
    </row>
    <row r="5250" spans="1:40" x14ac:dyDescent="0.25">
      <c r="A5250" t="str">
        <f>"20190305135932446"</f>
        <v>20190305135932446</v>
      </c>
      <c r="B5250" t="str">
        <f>"1551765572444730"</f>
        <v>1551765572444730</v>
      </c>
      <c r="C5250" t="s">
        <v>40</v>
      </c>
      <c r="D5250">
        <v>4.1299479999999997</v>
      </c>
      <c r="E5250">
        <v>0.69236219999999904</v>
      </c>
      <c r="F5250" t="s">
        <v>42</v>
      </c>
      <c r="G5250">
        <v>-305.31779999999998</v>
      </c>
      <c r="H5250" s="1">
        <v>-4.1865280000000004E-6</v>
      </c>
      <c r="I5250">
        <v>-3.1042179999999999</v>
      </c>
      <c r="J5250">
        <v>-308.11180000000002</v>
      </c>
      <c r="K5250">
        <v>1.0439959999999999</v>
      </c>
      <c r="L5250">
        <v>15.0322</v>
      </c>
      <c r="M5250">
        <v>0.86828229999999995</v>
      </c>
      <c r="N5250">
        <v>-2.0821949999999999E-2</v>
      </c>
      <c r="O5250">
        <v>-0.4956335</v>
      </c>
      <c r="P5250">
        <v>0.59228979999999998</v>
      </c>
      <c r="Q5250">
        <v>2.41408E-2</v>
      </c>
      <c r="R5250">
        <v>-0.80536399999999997</v>
      </c>
      <c r="S5250">
        <v>0.54135129999999998</v>
      </c>
      <c r="T5250">
        <v>-0.1920511</v>
      </c>
      <c r="U5250">
        <v>-3.352875</v>
      </c>
      <c r="V5250">
        <v>0.40721439999999998</v>
      </c>
      <c r="W5250">
        <v>2.6884479999999999E-2</v>
      </c>
      <c r="X5250">
        <v>0.91293679999999999</v>
      </c>
      <c r="Y5250">
        <v>0.77714819999999996</v>
      </c>
      <c r="Z5250">
        <v>-1.4355690000000001E-2</v>
      </c>
      <c r="AA5250">
        <v>0.62915390000000004</v>
      </c>
      <c r="AB5250">
        <v>32</v>
      </c>
      <c r="AC5250">
        <v>2.79400000000004</v>
      </c>
      <c r="AD5250">
        <v>-1.044000186528</v>
      </c>
      <c r="AE5250">
        <v>-18.136417999999999</v>
      </c>
      <c r="AF5250">
        <v>14.319494425966401</v>
      </c>
      <c r="AG5250">
        <v>-1.044000186528</v>
      </c>
      <c r="AH5250">
        <v>11.3806343670514</v>
      </c>
      <c r="AI5250">
        <v>93.266712166805107</v>
      </c>
      <c r="AJ5250">
        <v>38.476451702353401</v>
      </c>
      <c r="AK5250">
        <v>18.3209359914079</v>
      </c>
      <c r="AL5250">
        <v>88.459447101227894</v>
      </c>
      <c r="AM5250">
        <v>65.960794593041598</v>
      </c>
      <c r="AN5250">
        <v>0.99999997181323397</v>
      </c>
    </row>
    <row r="5251" spans="1:40" x14ac:dyDescent="0.25">
      <c r="A5251" t="str">
        <f>"20190305135932459"</f>
        <v>20190305135932459</v>
      </c>
      <c r="B5251" t="str">
        <f>"1551765572454490"</f>
        <v>1551765572454490</v>
      </c>
      <c r="C5251" t="s">
        <v>40</v>
      </c>
      <c r="D5251">
        <v>4.1224059999999998</v>
      </c>
      <c r="E5251">
        <v>0.69090299999999905</v>
      </c>
      <c r="F5251" t="s">
        <v>42</v>
      </c>
      <c r="G5251">
        <v>-305.36200000000002</v>
      </c>
      <c r="H5251" s="1">
        <v>-4.4046449999999999E-6</v>
      </c>
      <c r="I5251">
        <v>-2.5566339999999999</v>
      </c>
      <c r="J5251">
        <v>-307.95620000000002</v>
      </c>
      <c r="K5251">
        <v>1.043831</v>
      </c>
      <c r="L5251">
        <v>14.93411</v>
      </c>
      <c r="M5251">
        <v>0.86259979999999903</v>
      </c>
      <c r="N5251">
        <v>-2.077845E-2</v>
      </c>
      <c r="O5251">
        <v>-0.50545989999999996</v>
      </c>
      <c r="P5251">
        <v>0.584179</v>
      </c>
      <c r="Q5251">
        <v>2.412357E-2</v>
      </c>
      <c r="R5251">
        <v>-0.81126669999999901</v>
      </c>
      <c r="S5251">
        <v>0.52313229999999999</v>
      </c>
      <c r="T5251">
        <v>-0.19861970000000001</v>
      </c>
      <c r="U5251">
        <v>-3.3462519999999998</v>
      </c>
      <c r="V5251">
        <v>0.40601409999999999</v>
      </c>
      <c r="W5251">
        <v>2.6791530000000001E-2</v>
      </c>
      <c r="X5251">
        <v>0.91347400000000001</v>
      </c>
      <c r="Y5251">
        <v>0.77311180000000002</v>
      </c>
      <c r="Z5251">
        <v>-1.328943E-2</v>
      </c>
      <c r="AA5251">
        <v>0.63413050000000004</v>
      </c>
      <c r="AB5251">
        <v>32</v>
      </c>
      <c r="AC5251">
        <v>2.5941999999999998</v>
      </c>
      <c r="AD5251">
        <v>-1.043835404645</v>
      </c>
      <c r="AE5251">
        <v>-17.490743999999999</v>
      </c>
      <c r="AF5251">
        <v>13.7313707521976</v>
      </c>
      <c r="AG5251">
        <v>-1.043835404645</v>
      </c>
      <c r="AH5251">
        <v>11.0425364258641</v>
      </c>
      <c r="AI5251">
        <v>93.390196628763206</v>
      </c>
      <c r="AJ5251">
        <v>38.805653326846397</v>
      </c>
      <c r="AK5251">
        <v>17.6515649675272</v>
      </c>
      <c r="AL5251">
        <v>88.464774694212906</v>
      </c>
      <c r="AM5251">
        <v>66.036167281159294</v>
      </c>
      <c r="AN5251">
        <v>0.99999999207727497</v>
      </c>
    </row>
    <row r="5252" spans="1:40" x14ac:dyDescent="0.25">
      <c r="A5252" t="str">
        <f>"20190305135932472"</f>
        <v>20190305135932472</v>
      </c>
      <c r="B5252" t="str">
        <f>"1551765572464251"</f>
        <v>1551765572464251</v>
      </c>
      <c r="C5252" t="s">
        <v>40</v>
      </c>
      <c r="D5252">
        <v>4.0969490000000004</v>
      </c>
      <c r="E5252">
        <v>0.68964139999999996</v>
      </c>
      <c r="F5252" t="s">
        <v>41</v>
      </c>
      <c r="G5252">
        <v>-307.7122</v>
      </c>
      <c r="H5252">
        <v>0.94340230000000003</v>
      </c>
      <c r="I5252">
        <v>13.295179999999901</v>
      </c>
      <c r="J5252">
        <v>-307.79140000000001</v>
      </c>
      <c r="K5252">
        <v>1.043666</v>
      </c>
      <c r="L5252">
        <v>14.8262</v>
      </c>
      <c r="M5252">
        <v>0.85631250000000003</v>
      </c>
      <c r="N5252">
        <v>-2.073026E-2</v>
      </c>
      <c r="O5252">
        <v>-0.51604179999999999</v>
      </c>
      <c r="P5252">
        <v>0.57539899999999999</v>
      </c>
      <c r="Q5252">
        <v>2.4073219999999999E-2</v>
      </c>
      <c r="R5252">
        <v>-0.81751859999999998</v>
      </c>
      <c r="S5252">
        <v>0.49832149999999997</v>
      </c>
      <c r="T5252">
        <v>-0.20500270000000001</v>
      </c>
      <c r="U5252">
        <v>-3.3451840000000002</v>
      </c>
      <c r="V5252">
        <v>0.40461979999999997</v>
      </c>
      <c r="W5252">
        <v>2.666951E-2</v>
      </c>
      <c r="X5252">
        <v>0.91409609999999997</v>
      </c>
      <c r="Y5252">
        <v>0.76984049999999904</v>
      </c>
      <c r="Z5252">
        <v>-1.21704E-2</v>
      </c>
      <c r="AA5252">
        <v>0.63812029999999997</v>
      </c>
      <c r="AB5252">
        <v>32</v>
      </c>
      <c r="AC5252">
        <v>7.9200000000014301E-2</v>
      </c>
      <c r="AD5252">
        <v>-0.100263699999999</v>
      </c>
      <c r="AE5252">
        <v>-1.53102</v>
      </c>
      <c r="AF5252">
        <v>1.26502324882162</v>
      </c>
      <c r="AG5252">
        <v>-0.100263699999999</v>
      </c>
      <c r="AH5252">
        <v>0.85442009854320899</v>
      </c>
      <c r="AI5252">
        <v>93.757815635329706</v>
      </c>
      <c r="AJ5252">
        <v>34.035819430737398</v>
      </c>
      <c r="AK5252">
        <v>1.5298268968715001</v>
      </c>
      <c r="AL5252">
        <v>88.471768532233796</v>
      </c>
      <c r="AM5252">
        <v>66.123676843748399</v>
      </c>
      <c r="AN5252">
        <v>1.0000000626754399</v>
      </c>
    </row>
    <row r="5253" spans="1:40" x14ac:dyDescent="0.25">
      <c r="A5253" t="str">
        <f>"20190305135932487"</f>
        <v>20190305135932487</v>
      </c>
      <c r="B5253" t="str">
        <f>"1551765572484746"</f>
        <v>1551765572484746</v>
      </c>
      <c r="C5253" t="s">
        <v>40</v>
      </c>
      <c r="D5253">
        <v>4.1079350000000003</v>
      </c>
      <c r="E5253">
        <v>0.68780209999999997</v>
      </c>
      <c r="F5253" t="s">
        <v>42</v>
      </c>
      <c r="G5253">
        <v>-305.46429999999998</v>
      </c>
      <c r="H5253" s="1">
        <v>-4.7363690000000003E-6</v>
      </c>
      <c r="I5253">
        <v>-1.74004</v>
      </c>
      <c r="J5253">
        <v>-307.6155</v>
      </c>
      <c r="K5253">
        <v>1.043501</v>
      </c>
      <c r="L5253">
        <v>14.708069999999999</v>
      </c>
      <c r="M5253">
        <v>0.84935169999999904</v>
      </c>
      <c r="N5253">
        <v>-2.067391E-2</v>
      </c>
      <c r="O5253">
        <v>-0.52742219999999995</v>
      </c>
      <c r="P5253">
        <v>0.56683249999999996</v>
      </c>
      <c r="Q5253">
        <v>2.3253369999999999E-2</v>
      </c>
      <c r="R5253">
        <v>-0.82350469999999898</v>
      </c>
      <c r="S5253">
        <v>0.46990969999999999</v>
      </c>
      <c r="T5253">
        <v>-0.21074219999999999</v>
      </c>
      <c r="U5253">
        <v>-3.3451230000000001</v>
      </c>
      <c r="V5253">
        <v>0.4019568</v>
      </c>
      <c r="W5253">
        <v>2.5831509999999999E-2</v>
      </c>
      <c r="X5253">
        <v>0.91529419999999995</v>
      </c>
      <c r="Y5253">
        <v>0.76661219999999997</v>
      </c>
      <c r="Z5253">
        <v>-1.0953630000000001E-2</v>
      </c>
      <c r="AA5253">
        <v>0.6420169</v>
      </c>
      <c r="AB5253">
        <v>32</v>
      </c>
      <c r="AC5253">
        <v>2.15120000000001</v>
      </c>
      <c r="AD5253">
        <v>-1.0435057363689999</v>
      </c>
      <c r="AE5253">
        <v>-16.44811</v>
      </c>
      <c r="AF5253">
        <v>12.7877798899206</v>
      </c>
      <c r="AG5253">
        <v>-1.0435057363689999</v>
      </c>
      <c r="AH5253">
        <v>10.4630645764683</v>
      </c>
      <c r="AI5253">
        <v>93.613743471169897</v>
      </c>
      <c r="AJ5253">
        <v>39.290307492278203</v>
      </c>
      <c r="AK5253">
        <v>16.5557222453821</v>
      </c>
      <c r="AL5253">
        <v>88.519798858856902</v>
      </c>
      <c r="AM5253">
        <v>66.291039546972996</v>
      </c>
      <c r="AN5253">
        <v>1.00000000426438</v>
      </c>
    </row>
    <row r="5254" spans="1:40" x14ac:dyDescent="0.25">
      <c r="A5254" t="str">
        <f>"20190305135932500"</f>
        <v>20190305135932500</v>
      </c>
      <c r="B5254" t="str">
        <f>"1551765572494507"</f>
        <v>1551765572494507</v>
      </c>
      <c r="C5254" t="s">
        <v>40</v>
      </c>
      <c r="D5254">
        <v>4.071142</v>
      </c>
      <c r="E5254">
        <v>0.68684230000000002</v>
      </c>
      <c r="F5254" t="s">
        <v>42</v>
      </c>
      <c r="G5254">
        <v>-305.53519999999997</v>
      </c>
      <c r="H5254" s="1">
        <v>-5.0815999999999998E-6</v>
      </c>
      <c r="I5254">
        <v>-0.87380119999999895</v>
      </c>
      <c r="J5254">
        <v>-307.46359999999999</v>
      </c>
      <c r="K5254">
        <v>1.0433539999999999</v>
      </c>
      <c r="L5254">
        <v>14.60397</v>
      </c>
      <c r="M5254">
        <v>0.84314599999999995</v>
      </c>
      <c r="N5254">
        <v>-2.0621250000000001E-2</v>
      </c>
      <c r="O5254">
        <v>-0.53728940000000003</v>
      </c>
      <c r="P5254">
        <v>0.55877980000000005</v>
      </c>
      <c r="Q5254">
        <v>2.3648809999999999E-2</v>
      </c>
      <c r="R5254">
        <v>-0.82897919999999903</v>
      </c>
      <c r="S5254">
        <v>0.44619750000000002</v>
      </c>
      <c r="T5254">
        <v>-0.2238221</v>
      </c>
      <c r="U5254">
        <v>-3.3421630000000002</v>
      </c>
      <c r="V5254">
        <v>0.40021630000000002</v>
      </c>
      <c r="W5254">
        <v>2.6182819999999999E-2</v>
      </c>
      <c r="X5254">
        <v>0.91604660000000004</v>
      </c>
      <c r="Y5254">
        <v>0.76344250000000002</v>
      </c>
      <c r="Z5254">
        <v>-9.4597789999999998E-3</v>
      </c>
      <c r="AA5254">
        <v>0.64580660000000001</v>
      </c>
      <c r="AB5254">
        <v>32</v>
      </c>
      <c r="AC5254">
        <v>1.9284000000000101</v>
      </c>
      <c r="AD5254">
        <v>-1.0433590816</v>
      </c>
      <c r="AE5254">
        <v>-15.477771199999999</v>
      </c>
      <c r="AF5254">
        <v>11.9629351255589</v>
      </c>
      <c r="AG5254">
        <v>-1.0433590816</v>
      </c>
      <c r="AH5254">
        <v>9.8997798644516593</v>
      </c>
      <c r="AI5254">
        <v>93.844056788387306</v>
      </c>
      <c r="AJ5254">
        <v>39.6090388299762</v>
      </c>
      <c r="AK5254">
        <v>15.562970679021699</v>
      </c>
      <c r="AL5254">
        <v>88.499663461638605</v>
      </c>
      <c r="AM5254">
        <v>66.399717377834094</v>
      </c>
      <c r="AN5254">
        <v>1.0000000001102001</v>
      </c>
    </row>
    <row r="5255" spans="1:40" x14ac:dyDescent="0.25">
      <c r="A5255" t="str">
        <f>"20190305135932511"</f>
        <v>20190305135932511</v>
      </c>
      <c r="B5255" t="str">
        <f>"1551765572504266"</f>
        <v>1551765572504266</v>
      </c>
      <c r="C5255" t="s">
        <v>40</v>
      </c>
      <c r="D5255">
        <v>4.0907200000000001</v>
      </c>
      <c r="E5255">
        <v>0.6861931</v>
      </c>
      <c r="F5255" t="s">
        <v>42</v>
      </c>
      <c r="G5255">
        <v>-305.517</v>
      </c>
      <c r="H5255" s="1">
        <v>-5.06904999999999E-6</v>
      </c>
      <c r="I5255">
        <v>-0.89807700000000001</v>
      </c>
      <c r="J5255">
        <v>-307.31720000000001</v>
      </c>
      <c r="K5255">
        <v>1.043226</v>
      </c>
      <c r="L5255">
        <v>14.50015</v>
      </c>
      <c r="M5255">
        <v>0.83692639999999996</v>
      </c>
      <c r="N5255">
        <v>-2.056521E-2</v>
      </c>
      <c r="O5255">
        <v>-0.54692919999999901</v>
      </c>
      <c r="P5255">
        <v>0.55055159999999903</v>
      </c>
      <c r="Q5255">
        <v>2.323971E-2</v>
      </c>
      <c r="R5255">
        <v>-0.834478099999999</v>
      </c>
      <c r="S5255">
        <v>0.41970829999999998</v>
      </c>
      <c r="T5255">
        <v>-0.2249594</v>
      </c>
      <c r="U5255">
        <v>-3.3424070000000001</v>
      </c>
      <c r="V5255">
        <v>0.39876329999999999</v>
      </c>
      <c r="W5255">
        <v>2.5719499999999999E-2</v>
      </c>
      <c r="X5255">
        <v>0.91669319999999999</v>
      </c>
      <c r="Y5255">
        <v>0.76108750000000003</v>
      </c>
      <c r="Z5255">
        <v>-8.4901449999999993E-3</v>
      </c>
      <c r="AA5255">
        <v>0.64859369999999905</v>
      </c>
      <c r="AB5255">
        <v>31</v>
      </c>
      <c r="AC5255">
        <v>1.80020000000001</v>
      </c>
      <c r="AD5255">
        <v>-1.04323106905</v>
      </c>
      <c r="AE5255">
        <v>-15.398226999999901</v>
      </c>
      <c r="AF5255">
        <v>11.851451331180799</v>
      </c>
      <c r="AG5255">
        <v>-1.04323106905</v>
      </c>
      <c r="AH5255">
        <v>9.8857093688969506</v>
      </c>
      <c r="AI5255">
        <v>93.867110232839195</v>
      </c>
      <c r="AJ5255">
        <v>39.832665071124197</v>
      </c>
      <c r="AK5255">
        <v>15.4684349384505</v>
      </c>
      <c r="AL5255">
        <v>88.5262187484321</v>
      </c>
      <c r="AM5255">
        <v>66.490867379809998</v>
      </c>
      <c r="AN5255">
        <v>1.00000004251668</v>
      </c>
    </row>
    <row r="5256" spans="1:40" x14ac:dyDescent="0.25">
      <c r="A5256" t="str">
        <f>"20190305135932524"</f>
        <v>20190305135932524</v>
      </c>
      <c r="B5256" t="str">
        <f>"1551765572514775"</f>
        <v>1551765572514775</v>
      </c>
      <c r="C5256" t="s">
        <v>40</v>
      </c>
      <c r="D5256">
        <v>4.1103990000000001</v>
      </c>
      <c r="E5256">
        <v>0.68514219999999904</v>
      </c>
      <c r="F5256" t="s">
        <v>42</v>
      </c>
      <c r="G5256">
        <v>-305.54469999999998</v>
      </c>
      <c r="H5256" s="1">
        <v>-5.1646030000000004E-6</v>
      </c>
      <c r="I5256">
        <v>-0.66205789999999998</v>
      </c>
      <c r="J5256">
        <v>-307.17790000000002</v>
      </c>
      <c r="K5256">
        <v>1.043099</v>
      </c>
      <c r="L5256">
        <v>14.39941</v>
      </c>
      <c r="M5256">
        <v>0.83083779999999996</v>
      </c>
      <c r="N5256">
        <v>-2.0507830000000001E-2</v>
      </c>
      <c r="O5256">
        <v>-0.55613679999999999</v>
      </c>
      <c r="P5256">
        <v>0.54283490000000001</v>
      </c>
      <c r="Q5256">
        <v>2.3336119999999998E-2</v>
      </c>
      <c r="R5256">
        <v>-0.83951540000000002</v>
      </c>
      <c r="S5256">
        <v>0.39086910000000002</v>
      </c>
      <c r="T5256">
        <v>-0.23005709999999999</v>
      </c>
      <c r="U5256">
        <v>-3.3436279999999998</v>
      </c>
      <c r="V5256">
        <v>0.39709749999999999</v>
      </c>
      <c r="W5256">
        <v>2.577813E-2</v>
      </c>
      <c r="X5256">
        <v>0.91741430000000002</v>
      </c>
      <c r="Y5256">
        <v>0.75945499999999999</v>
      </c>
      <c r="Z5256">
        <v>-7.3840190000000003E-3</v>
      </c>
      <c r="AA5256">
        <v>0.65051780000000003</v>
      </c>
      <c r="AB5256">
        <v>31</v>
      </c>
      <c r="AC5256">
        <v>1.63320000000004</v>
      </c>
      <c r="AD5256">
        <v>-1.0431041646029999</v>
      </c>
      <c r="AE5256">
        <v>-15.0614679</v>
      </c>
      <c r="AF5256">
        <v>11.5530248887922</v>
      </c>
      <c r="AG5256">
        <v>-1.0431041646029999</v>
      </c>
      <c r="AH5256">
        <v>9.6892733612334307</v>
      </c>
      <c r="AI5256">
        <v>93.957375391805002</v>
      </c>
      <c r="AJ5256">
        <v>39.985836912949402</v>
      </c>
      <c r="AK5256">
        <v>15.1143133700467</v>
      </c>
      <c r="AL5256">
        <v>88.522858271548699</v>
      </c>
      <c r="AM5256">
        <v>66.594903944396904</v>
      </c>
      <c r="AN5256">
        <v>0.99999996716851702</v>
      </c>
    </row>
    <row r="5257" spans="1:40" x14ac:dyDescent="0.25">
      <c r="A5257" t="str">
        <f>"20190305135932539"</f>
        <v>20190305135932539</v>
      </c>
      <c r="B5257" t="str">
        <f>"1551765572534295"</f>
        <v>1551765572534295</v>
      </c>
      <c r="C5257" t="s">
        <v>40</v>
      </c>
      <c r="D5257">
        <v>4.1112900000000003</v>
      </c>
      <c r="E5257">
        <v>0.68314699999999995</v>
      </c>
      <c r="F5257" t="s">
        <v>42</v>
      </c>
      <c r="G5257">
        <v>-305.53989999999999</v>
      </c>
      <c r="H5257" s="1">
        <v>-5.214437E-6</v>
      </c>
      <c r="I5257">
        <v>-0.53007510000000002</v>
      </c>
      <c r="J5257">
        <v>-307.01240000000001</v>
      </c>
      <c r="K5257">
        <v>1.0429569999999999</v>
      </c>
      <c r="L5257">
        <v>14.27704</v>
      </c>
      <c r="M5257">
        <v>0.82337309999999997</v>
      </c>
      <c r="N5257">
        <v>-2.0434589999999999E-2</v>
      </c>
      <c r="O5257">
        <v>-0.56713239999999998</v>
      </c>
      <c r="P5257">
        <v>0.53335669999999902</v>
      </c>
      <c r="Q5257">
        <v>2.2735720000000001E-2</v>
      </c>
      <c r="R5257">
        <v>-0.84558489999999997</v>
      </c>
      <c r="S5257">
        <v>0.36676029999999998</v>
      </c>
      <c r="T5257">
        <v>-0.23355960000000001</v>
      </c>
      <c r="U5257">
        <v>-3.3428339999999999</v>
      </c>
      <c r="V5257">
        <v>0.3952138</v>
      </c>
      <c r="W5257">
        <v>2.512698E-2</v>
      </c>
      <c r="X5257">
        <v>0.91824550000000005</v>
      </c>
      <c r="Y5257">
        <v>0.7554227</v>
      </c>
      <c r="Z5257">
        <v>-5.9979279999999996E-3</v>
      </c>
      <c r="AA5257">
        <v>0.65521039999999997</v>
      </c>
      <c r="AB5257">
        <v>31</v>
      </c>
      <c r="AC5257">
        <v>1.4725000000000199</v>
      </c>
      <c r="AD5257">
        <v>-1.0429622144370001</v>
      </c>
      <c r="AE5257">
        <v>-14.807115100000001</v>
      </c>
      <c r="AF5257">
        <v>11.303518625422001</v>
      </c>
      <c r="AG5257">
        <v>-1.0429622144370001</v>
      </c>
      <c r="AH5257">
        <v>9.5650283602692507</v>
      </c>
      <c r="AI5257">
        <v>94.028983967361597</v>
      </c>
      <c r="AJ5257">
        <v>40.237872452041998</v>
      </c>
      <c r="AK5257">
        <v>14.8440921254471</v>
      </c>
      <c r="AL5257">
        <v>88.5601786381403</v>
      </c>
      <c r="AM5257">
        <v>66.712906700511397</v>
      </c>
      <c r="AN5257">
        <v>1.0000000555523001</v>
      </c>
    </row>
    <row r="5258" spans="1:40" x14ac:dyDescent="0.25">
      <c r="A5258" t="str">
        <f>"20190305135932554"</f>
        <v>20190305135932554</v>
      </c>
      <c r="B5258" t="str">
        <f>"1551765572544054"</f>
        <v>1551765572544054</v>
      </c>
      <c r="C5258" t="s">
        <v>40</v>
      </c>
      <c r="D5258">
        <v>4.124816</v>
      </c>
      <c r="E5258">
        <v>0.68202739999999995</v>
      </c>
      <c r="F5258" t="s">
        <v>43</v>
      </c>
      <c r="G5258">
        <v>-305.48439999999999</v>
      </c>
      <c r="H5258">
        <v>-0.05</v>
      </c>
      <c r="I5258">
        <v>-0.63285829999999998</v>
      </c>
      <c r="J5258">
        <v>-306.82619999999997</v>
      </c>
      <c r="K5258">
        <v>1.042799</v>
      </c>
      <c r="L5258">
        <v>14.134309999999999</v>
      </c>
      <c r="M5258">
        <v>0.81461919999999899</v>
      </c>
      <c r="N5258">
        <v>-2.0343409999999999E-2</v>
      </c>
      <c r="O5258">
        <v>-0.57963949999999997</v>
      </c>
      <c r="P5258">
        <v>0.52426720000000004</v>
      </c>
      <c r="Q5258">
        <v>2.0683679999999999E-2</v>
      </c>
      <c r="R5258">
        <v>-0.85130269999999997</v>
      </c>
      <c r="S5258">
        <v>0.34213259999999901</v>
      </c>
      <c r="T5258">
        <v>-0.2447348</v>
      </c>
      <c r="U5258">
        <v>-3.3386230000000001</v>
      </c>
      <c r="V5258">
        <v>0.39098690000000003</v>
      </c>
      <c r="W5258">
        <v>2.3121510000000001E-2</v>
      </c>
      <c r="X5258">
        <v>0.92010579999999997</v>
      </c>
      <c r="Y5258">
        <v>0.75005230000000001</v>
      </c>
      <c r="Z5258">
        <v>-3.845762E-3</v>
      </c>
      <c r="AA5258">
        <v>0.66136740000000005</v>
      </c>
      <c r="AB5258">
        <v>31</v>
      </c>
      <c r="AC5258">
        <v>1.3417999999999699</v>
      </c>
      <c r="AD5258">
        <v>-1.0927990000000001</v>
      </c>
      <c r="AE5258">
        <v>-14.7671683</v>
      </c>
      <c r="AF5258">
        <v>11.193389944358</v>
      </c>
      <c r="AG5258">
        <v>-1.0927990000000001</v>
      </c>
      <c r="AH5258">
        <v>9.6025313309079703</v>
      </c>
      <c r="AI5258">
        <v>94.237793042832706</v>
      </c>
      <c r="AJ5258">
        <v>40.625473785721397</v>
      </c>
      <c r="AK5258">
        <v>14.7883331062674</v>
      </c>
      <c r="AL5258">
        <v>88.675117023884496</v>
      </c>
      <c r="AM5258">
        <v>66.977570640177106</v>
      </c>
      <c r="AN5258">
        <v>1.0000000216949601</v>
      </c>
    </row>
    <row r="5259" spans="1:40" x14ac:dyDescent="0.25">
      <c r="A5259" t="str">
        <f>"20190305135932576"</f>
        <v>20190305135932576</v>
      </c>
      <c r="B5259" t="str">
        <f>"1551765572564550"</f>
        <v>1551765572564550</v>
      </c>
      <c r="C5259" t="s">
        <v>40</v>
      </c>
      <c r="D5259">
        <v>4.0903530000000003</v>
      </c>
      <c r="E5259">
        <v>0.6802395</v>
      </c>
      <c r="F5259" t="s">
        <v>43</v>
      </c>
      <c r="G5259">
        <v>-305.4769</v>
      </c>
      <c r="H5259">
        <v>-0.05</v>
      </c>
      <c r="I5259">
        <v>-0.2411346</v>
      </c>
      <c r="J5259">
        <v>-306.58730000000003</v>
      </c>
      <c r="K5259">
        <v>1.042621</v>
      </c>
      <c r="L5259">
        <v>13.944850000000001</v>
      </c>
      <c r="M5259">
        <v>0.80287310000000001</v>
      </c>
      <c r="N5259">
        <v>-2.020887E-2</v>
      </c>
      <c r="O5259">
        <v>-0.59580739999999999</v>
      </c>
      <c r="P5259">
        <v>0.5094436</v>
      </c>
      <c r="Q5259">
        <v>1.9355770000000001E-2</v>
      </c>
      <c r="R5259">
        <v>-0.86028660000000001</v>
      </c>
      <c r="S5259">
        <v>0.31323240000000002</v>
      </c>
      <c r="T5259">
        <v>-0.25369219999999998</v>
      </c>
      <c r="U5259">
        <v>-3.33725</v>
      </c>
      <c r="V5259">
        <v>0.38850220000000002</v>
      </c>
      <c r="W5259">
        <v>2.1697549999999999E-2</v>
      </c>
      <c r="X5259">
        <v>0.92119229999999996</v>
      </c>
      <c r="Y5259">
        <v>0.74243809999999999</v>
      </c>
      <c r="Z5259">
        <v>-1.2011529999999999E-3</v>
      </c>
      <c r="AA5259">
        <v>0.6699136</v>
      </c>
      <c r="AB5259">
        <v>31</v>
      </c>
      <c r="AC5259">
        <v>1.11040000000002</v>
      </c>
      <c r="AD5259">
        <v>-1.0926209999999901</v>
      </c>
      <c r="AE5259">
        <v>-14.185984599999999</v>
      </c>
      <c r="AF5259">
        <v>10.667256251677699</v>
      </c>
      <c r="AG5259">
        <v>-1.0926209999999901</v>
      </c>
      <c r="AH5259">
        <v>9.2907535743200107</v>
      </c>
      <c r="AI5259">
        <v>94.416701308120594</v>
      </c>
      <c r="AJ5259">
        <v>41.054561744795699</v>
      </c>
      <c r="AK5259">
        <v>14.1881034168537</v>
      </c>
      <c r="AL5259">
        <v>88.756724391823795</v>
      </c>
      <c r="AM5259">
        <v>67.132977472646303</v>
      </c>
      <c r="AN5259">
        <v>0.99999999833006603</v>
      </c>
    </row>
    <row r="5260" spans="1:40" x14ac:dyDescent="0.25">
      <c r="A5260" t="str">
        <f>"20190305135932591"</f>
        <v>20190305135932591</v>
      </c>
      <c r="B5260" t="str">
        <f>"1551765572584070"</f>
        <v>1551765572584070</v>
      </c>
      <c r="C5260" t="s">
        <v>40</v>
      </c>
      <c r="D5260">
        <v>4.0923910000000001</v>
      </c>
      <c r="E5260">
        <v>0.67825649999999904</v>
      </c>
      <c r="F5260" t="s">
        <v>43</v>
      </c>
      <c r="G5260">
        <v>-305.47239999999999</v>
      </c>
      <c r="H5260">
        <v>-0.05</v>
      </c>
      <c r="I5260">
        <v>1.196289E-2</v>
      </c>
      <c r="J5260">
        <v>-306.41219999999998</v>
      </c>
      <c r="K5260">
        <v>1.042497</v>
      </c>
      <c r="L5260">
        <v>13.80048</v>
      </c>
      <c r="M5260">
        <v>0.79385629999999996</v>
      </c>
      <c r="N5260">
        <v>-2.0094770000000001E-2</v>
      </c>
      <c r="O5260">
        <v>-0.60777349999999997</v>
      </c>
      <c r="P5260">
        <v>0.50164849999999905</v>
      </c>
      <c r="Q5260">
        <v>1.680071E-2</v>
      </c>
      <c r="R5260">
        <v>-0.86490879999999903</v>
      </c>
      <c r="S5260">
        <v>0.26687620000000001</v>
      </c>
      <c r="T5260">
        <v>-0.26153799999999999</v>
      </c>
      <c r="U5260">
        <v>-3.335083</v>
      </c>
      <c r="V5260">
        <v>0.38295249999999997</v>
      </c>
      <c r="W5260">
        <v>1.925141E-2</v>
      </c>
      <c r="X5260">
        <v>0.92356740000000004</v>
      </c>
      <c r="Y5260">
        <v>0.74157720000000005</v>
      </c>
      <c r="Z5260">
        <v>6.4721519999999999E-4</v>
      </c>
      <c r="AA5260">
        <v>0.6708672</v>
      </c>
      <c r="AB5260">
        <v>31</v>
      </c>
      <c r="AC5260">
        <v>0.93979999999999098</v>
      </c>
      <c r="AD5260">
        <v>-1.0924969999999901</v>
      </c>
      <c r="AE5260">
        <v>-13.788517110000001</v>
      </c>
      <c r="AF5260">
        <v>10.3125690872633</v>
      </c>
      <c r="AG5260">
        <v>-1.0924969999999901</v>
      </c>
      <c r="AH5260">
        <v>9.0715179071684098</v>
      </c>
      <c r="AI5260">
        <v>94.547898954909698</v>
      </c>
      <c r="AJ5260">
        <v>41.336682001394102</v>
      </c>
      <c r="AK5260">
        <v>13.778064741271301</v>
      </c>
      <c r="AL5260">
        <v>88.896907299697304</v>
      </c>
      <c r="AM5260">
        <v>67.478909294477006</v>
      </c>
      <c r="AN5260">
        <v>0.99999998819299896</v>
      </c>
    </row>
    <row r="5261" spans="1:40" x14ac:dyDescent="0.25">
      <c r="A5261" t="str">
        <f>"20190305135932605"</f>
        <v>20190305135932605</v>
      </c>
      <c r="B5261" t="str">
        <f>"1551765572594806"</f>
        <v>1551765572594806</v>
      </c>
      <c r="C5261" t="s">
        <v>40</v>
      </c>
      <c r="D5261">
        <v>4.1123019999999997</v>
      </c>
      <c r="E5261">
        <v>0.67738469999999995</v>
      </c>
      <c r="F5261" t="s">
        <v>43</v>
      </c>
      <c r="G5261">
        <v>-305.39580000000001</v>
      </c>
      <c r="H5261">
        <v>-0.05</v>
      </c>
      <c r="I5261">
        <v>0.23991390000000001</v>
      </c>
      <c r="J5261">
        <v>-306.26940000000002</v>
      </c>
      <c r="K5261">
        <v>1.042403</v>
      </c>
      <c r="L5261">
        <v>13.6795299999999</v>
      </c>
      <c r="M5261">
        <v>0.78625330000000004</v>
      </c>
      <c r="N5261">
        <v>-1.9995329999999999E-2</v>
      </c>
      <c r="O5261">
        <v>-0.61758069999999998</v>
      </c>
      <c r="P5261">
        <v>0.49338330000000002</v>
      </c>
      <c r="Q5261">
        <v>1.5971039999999999E-2</v>
      </c>
      <c r="R5261">
        <v>-0.86966540000000003</v>
      </c>
      <c r="S5261">
        <v>0.24954219999999999</v>
      </c>
      <c r="T5261">
        <v>-0.268204099999999</v>
      </c>
      <c r="U5261">
        <v>-3.3290709999999999</v>
      </c>
      <c r="V5261">
        <v>0.38026700000000002</v>
      </c>
      <c r="W5261">
        <v>1.8415190000000001E-2</v>
      </c>
      <c r="X5261">
        <v>0.9246934</v>
      </c>
      <c r="Y5261">
        <v>0.73660680000000001</v>
      </c>
      <c r="Z5261">
        <v>2.5715870000000002E-3</v>
      </c>
      <c r="AA5261">
        <v>0.67631640000000004</v>
      </c>
      <c r="AB5261">
        <v>31</v>
      </c>
      <c r="AC5261">
        <v>0.87360000000001004</v>
      </c>
      <c r="AD5261">
        <v>-1.092403</v>
      </c>
      <c r="AE5261">
        <v>-13.4396161</v>
      </c>
      <c r="AF5261">
        <v>9.9638767304695808</v>
      </c>
      <c r="AG5261">
        <v>-1.092403</v>
      </c>
      <c r="AH5261">
        <v>8.9299651688178301</v>
      </c>
      <c r="AI5261">
        <v>94.667547558939702</v>
      </c>
      <c r="AJ5261">
        <v>41.867776031130603</v>
      </c>
      <c r="AK5261">
        <v>13.4244724935731</v>
      </c>
      <c r="AL5261">
        <v>88.944827687240902</v>
      </c>
      <c r="AM5261">
        <v>67.645782248106798</v>
      </c>
      <c r="AN5261">
        <v>0.99999999725764799</v>
      </c>
    </row>
    <row r="5262" spans="1:40" x14ac:dyDescent="0.25">
      <c r="A5262" t="str">
        <f>"20190305135932622"</f>
        <v>20190305135932622</v>
      </c>
      <c r="B5262" t="str">
        <f>"1551765572614565"</f>
        <v>1551765572614565</v>
      </c>
      <c r="C5262" t="s">
        <v>40</v>
      </c>
      <c r="D5262">
        <v>4.0794220000000001</v>
      </c>
      <c r="E5262">
        <v>0.67570669999999899</v>
      </c>
      <c r="F5262" t="s">
        <v>43</v>
      </c>
      <c r="G5262">
        <v>-305.36860000000001</v>
      </c>
      <c r="H5262">
        <v>-0.05</v>
      </c>
      <c r="I5262">
        <v>0.24504090000000001</v>
      </c>
      <c r="J5262">
        <v>-306.08839999999998</v>
      </c>
      <c r="K5262">
        <v>1.0423</v>
      </c>
      <c r="L5262">
        <v>13.522220000000001</v>
      </c>
      <c r="M5262">
        <v>0.77629799999999904</v>
      </c>
      <c r="N5262">
        <v>-1.9863229999999999E-2</v>
      </c>
      <c r="O5262">
        <v>-0.63005339999999999</v>
      </c>
      <c r="P5262">
        <v>0.48417650000000001</v>
      </c>
      <c r="Q5262">
        <v>1.506359E-2</v>
      </c>
      <c r="R5262">
        <v>-0.87484110000000004</v>
      </c>
      <c r="S5262">
        <v>0.2231445</v>
      </c>
      <c r="T5262">
        <v>-0.27060590000000001</v>
      </c>
      <c r="U5262">
        <v>-3.3279420000000002</v>
      </c>
      <c r="V5262">
        <v>0.37523719999999999</v>
      </c>
      <c r="W5262">
        <v>1.7581340000000001E-2</v>
      </c>
      <c r="X5262">
        <v>0.92676210000000003</v>
      </c>
      <c r="Y5262">
        <v>0.73114969999999901</v>
      </c>
      <c r="Z5262">
        <v>4.4926829999999999E-3</v>
      </c>
      <c r="AA5262">
        <v>0.68220230000000004</v>
      </c>
      <c r="AB5262">
        <v>31</v>
      </c>
      <c r="AC5262">
        <v>0.71979999999996302</v>
      </c>
      <c r="AD5262">
        <v>-1.0923</v>
      </c>
      <c r="AE5262">
        <v>-13.2771791</v>
      </c>
      <c r="AF5262">
        <v>9.7894150843504502</v>
      </c>
      <c r="AG5262">
        <v>-1.0923</v>
      </c>
      <c r="AH5262">
        <v>8.8660391304699306</v>
      </c>
      <c r="AI5262">
        <v>94.727757260837294</v>
      </c>
      <c r="AJ5262">
        <v>42.166383423063102</v>
      </c>
      <c r="AK5262">
        <v>13.2526381089476</v>
      </c>
      <c r="AL5262">
        <v>88.992611542457198</v>
      </c>
      <c r="AM5262">
        <v>67.957440973214801</v>
      </c>
      <c r="AN5262">
        <v>1.0000000248882199</v>
      </c>
    </row>
    <row r="5263" spans="1:40" x14ac:dyDescent="0.25">
      <c r="A5263" t="str">
        <f>"20190305135932634"</f>
        <v>20190305135932634</v>
      </c>
      <c r="B5263" t="str">
        <f>"1551765572624325"</f>
        <v>1551765572624325</v>
      </c>
      <c r="C5263" t="s">
        <v>40</v>
      </c>
      <c r="D5263">
        <v>4.0496030000000003</v>
      </c>
      <c r="E5263">
        <v>0.67570669999999899</v>
      </c>
      <c r="F5263" t="s">
        <v>43</v>
      </c>
      <c r="G5263">
        <v>-305.29039999999998</v>
      </c>
      <c r="H5263">
        <v>-0.05</v>
      </c>
      <c r="I5263">
        <v>0.23260500000000001</v>
      </c>
      <c r="J5263">
        <v>-305.952</v>
      </c>
      <c r="K5263">
        <v>1.0422260000000001</v>
      </c>
      <c r="L5263">
        <v>13.40002</v>
      </c>
      <c r="M5263">
        <v>0.76853260000000001</v>
      </c>
      <c r="N5263">
        <v>-1.9761299999999999E-2</v>
      </c>
      <c r="O5263">
        <v>-0.63950549999999995</v>
      </c>
      <c r="P5263">
        <v>0.4756533</v>
      </c>
      <c r="Q5263">
        <v>1.509457E-2</v>
      </c>
      <c r="R5263">
        <v>-0.87950339999999905</v>
      </c>
      <c r="S5263">
        <v>0.19955439999999999</v>
      </c>
      <c r="T5263">
        <v>-0.2731613</v>
      </c>
      <c r="U5263">
        <v>-3.3234560000000002</v>
      </c>
      <c r="V5263">
        <v>0.37290190000000001</v>
      </c>
      <c r="W5263">
        <v>1.7596589999999999E-2</v>
      </c>
      <c r="X5263">
        <v>0.92770390000000003</v>
      </c>
      <c r="Y5263">
        <v>0.72757569999999905</v>
      </c>
      <c r="Z5263">
        <v>6.0307769999999898E-3</v>
      </c>
      <c r="AA5263">
        <v>0.68600090000000002</v>
      </c>
      <c r="AB5263">
        <v>31</v>
      </c>
      <c r="AC5263">
        <v>0.66160000000002095</v>
      </c>
      <c r="AD5263">
        <v>-1.0922259999999999</v>
      </c>
      <c r="AE5263">
        <v>-13.167415</v>
      </c>
      <c r="AF5263">
        <v>9.6322753725161299</v>
      </c>
      <c r="AG5263">
        <v>-1.0922259999999999</v>
      </c>
      <c r="AH5263">
        <v>8.8699621199991707</v>
      </c>
      <c r="AI5263">
        <v>94.768188009169407</v>
      </c>
      <c r="AJ5263">
        <v>42.640683046430297</v>
      </c>
      <c r="AK5263">
        <v>13.139631444499299</v>
      </c>
      <c r="AL5263">
        <v>88.9917376180654</v>
      </c>
      <c r="AM5263">
        <v>68.101737395693505</v>
      </c>
      <c r="AN5263">
        <v>0.999999996539224</v>
      </c>
    </row>
    <row r="5264" spans="1:40" x14ac:dyDescent="0.25">
      <c r="A5264" t="str">
        <f>"20190305135932654"</f>
        <v>20190305135932654</v>
      </c>
      <c r="B5264" t="str">
        <f>"1551765572643845"</f>
        <v>1551765572643845</v>
      </c>
      <c r="C5264" t="s">
        <v>40</v>
      </c>
      <c r="D5264">
        <v>3.9443999999999999</v>
      </c>
      <c r="E5264">
        <v>0.63484790000000002</v>
      </c>
      <c r="F5264" t="s">
        <v>43</v>
      </c>
      <c r="G5264">
        <v>-305.28390000000002</v>
      </c>
      <c r="H5264">
        <v>-0.05</v>
      </c>
      <c r="I5264">
        <v>0.1324158</v>
      </c>
      <c r="J5264">
        <v>-305.74400000000003</v>
      </c>
      <c r="K5264">
        <v>1.042136</v>
      </c>
      <c r="L5264">
        <v>13.20764</v>
      </c>
      <c r="M5264">
        <v>0.75624930000000001</v>
      </c>
      <c r="N5264">
        <v>-1.960696E-2</v>
      </c>
      <c r="O5264">
        <v>-0.65398999999999996</v>
      </c>
      <c r="P5264">
        <v>0.46250920000000001</v>
      </c>
      <c r="Q5264">
        <v>1.5652590000000001E-2</v>
      </c>
      <c r="R5264">
        <v>-0.88647629999999999</v>
      </c>
      <c r="S5264">
        <v>0.16744999999999999</v>
      </c>
      <c r="T5264">
        <v>-0.27373419999999998</v>
      </c>
      <c r="U5264">
        <v>-3.3251339999999998</v>
      </c>
      <c r="V5264">
        <v>0.36910169999999998</v>
      </c>
      <c r="W5264">
        <v>1.8151540000000001E-2</v>
      </c>
      <c r="X5264">
        <v>0.92921169999999997</v>
      </c>
      <c r="Y5264">
        <v>0.72119940000000005</v>
      </c>
      <c r="Z5264">
        <v>8.0993339999999997E-3</v>
      </c>
      <c r="AA5264">
        <v>0.69268009999999902</v>
      </c>
      <c r="AB5264">
        <v>31</v>
      </c>
      <c r="AC5264">
        <v>0.460100000000011</v>
      </c>
      <c r="AD5264">
        <v>-1.092136</v>
      </c>
      <c r="AE5264">
        <v>-13.075224199999999</v>
      </c>
      <c r="AF5264">
        <v>9.5227142555356608</v>
      </c>
      <c r="AG5264">
        <v>-1.092136</v>
      </c>
      <c r="AH5264">
        <v>8.8391331804675897</v>
      </c>
      <c r="AI5264">
        <v>94.804824168666499</v>
      </c>
      <c r="AJ5264">
        <v>42.867957919143201</v>
      </c>
      <c r="AK5264">
        <v>13.0386012753332</v>
      </c>
      <c r="AL5264">
        <v>88.959936209824505</v>
      </c>
      <c r="AM5264">
        <v>68.336022135187307</v>
      </c>
      <c r="AN5264">
        <v>0.99999996338207497</v>
      </c>
    </row>
    <row r="5265" spans="1:40" x14ac:dyDescent="0.25">
      <c r="A5265" t="str">
        <f>"20190305135932678"</f>
        <v>20190305135932678</v>
      </c>
      <c r="B5265" t="str">
        <f>"1551765572674101"</f>
        <v>1551765572674101</v>
      </c>
      <c r="C5265" t="s">
        <v>40</v>
      </c>
      <c r="D5265">
        <v>4.023695</v>
      </c>
      <c r="E5265">
        <v>0.62506589999999995</v>
      </c>
      <c r="F5265" t="s">
        <v>42</v>
      </c>
      <c r="G5265">
        <v>-302.78870000000001</v>
      </c>
      <c r="H5265" s="1">
        <v>-8.4654869999999896E-7</v>
      </c>
      <c r="I5265">
        <v>-9.2414889999999996</v>
      </c>
      <c r="J5265">
        <v>-305.5147</v>
      </c>
      <c r="K5265">
        <v>1.0420510000000001</v>
      </c>
      <c r="L5265">
        <v>12.98709</v>
      </c>
      <c r="M5265">
        <v>0.74207460000000003</v>
      </c>
      <c r="N5265">
        <v>-1.9441719999999999E-2</v>
      </c>
      <c r="O5265">
        <v>-0.67003539999999995</v>
      </c>
      <c r="P5265">
        <v>0.44638470000000002</v>
      </c>
      <c r="Q5265">
        <v>1.7146649999999999E-2</v>
      </c>
      <c r="R5265">
        <v>-0.89467719999999995</v>
      </c>
      <c r="S5265">
        <v>0.41720580000000002</v>
      </c>
      <c r="T5265">
        <v>-0.14711629999999901</v>
      </c>
      <c r="U5265">
        <v>-3.169098</v>
      </c>
      <c r="V5265">
        <v>0.36606620000000001</v>
      </c>
      <c r="W5265">
        <v>1.959849E-2</v>
      </c>
      <c r="X5265">
        <v>0.93038240000000005</v>
      </c>
      <c r="Y5265">
        <v>0.64779379999999998</v>
      </c>
      <c r="Z5265" s="1">
        <v>-6.1863099999999994E-5</v>
      </c>
      <c r="AA5265">
        <v>0.76181569999999899</v>
      </c>
      <c r="AB5265">
        <v>31</v>
      </c>
      <c r="AC5265">
        <v>2.7259999999999902</v>
      </c>
      <c r="AD5265">
        <v>-1.0420518465486901</v>
      </c>
      <c r="AE5265">
        <v>-22.228579</v>
      </c>
      <c r="AF5265">
        <v>14.639823179644001</v>
      </c>
      <c r="AG5265">
        <v>-1.0420518465486901</v>
      </c>
      <c r="AH5265">
        <v>16.883473167423698</v>
      </c>
      <c r="AI5265">
        <v>92.669829942048906</v>
      </c>
      <c r="AJ5265">
        <v>49.071124389271503</v>
      </c>
      <c r="AK5265">
        <v>22.371007151606999</v>
      </c>
      <c r="AL5265">
        <v>88.877017325886797</v>
      </c>
      <c r="AM5265">
        <v>68.522456662143995</v>
      </c>
      <c r="AN5265">
        <v>0.99999998691124004</v>
      </c>
    </row>
    <row r="5266" spans="1:40" x14ac:dyDescent="0.25">
      <c r="A5266" t="str">
        <f>"20190305135932692"</f>
        <v>20190305135932692</v>
      </c>
      <c r="B5266" t="str">
        <f>"1551765572684838"</f>
        <v>1551765572684838</v>
      </c>
      <c r="C5266" t="s">
        <v>40</v>
      </c>
      <c r="D5266">
        <v>4.0146610000000003</v>
      </c>
      <c r="E5266">
        <v>0.62339330000000004</v>
      </c>
      <c r="F5266" t="s">
        <v>42</v>
      </c>
      <c r="G5266">
        <v>-301.9778</v>
      </c>
      <c r="H5266" s="1">
        <v>-3.8174169999999999E-6</v>
      </c>
      <c r="I5266">
        <v>-12.739050000000001</v>
      </c>
      <c r="J5266">
        <v>-305.3587</v>
      </c>
      <c r="K5266">
        <v>1.0420039999999999</v>
      </c>
      <c r="L5266">
        <v>12.83057</v>
      </c>
      <c r="M5266">
        <v>0.73198660000000004</v>
      </c>
      <c r="N5266">
        <v>-1.933522E-2</v>
      </c>
      <c r="O5266">
        <v>-0.68104480000000001</v>
      </c>
      <c r="P5266">
        <v>0.4342107</v>
      </c>
      <c r="Q5266">
        <v>1.784196E-2</v>
      </c>
      <c r="R5266">
        <v>-0.90063479999999996</v>
      </c>
      <c r="S5266">
        <v>0.43173220000000001</v>
      </c>
      <c r="T5266">
        <v>-0.1271958</v>
      </c>
      <c r="U5266">
        <v>-3.1401979999999998</v>
      </c>
      <c r="V5266">
        <v>0.36480580000000001</v>
      </c>
      <c r="W5266">
        <v>2.0231119999999998E-2</v>
      </c>
      <c r="X5266">
        <v>0.93086380000000002</v>
      </c>
      <c r="Y5266">
        <v>0.63201809999999903</v>
      </c>
      <c r="Z5266">
        <v>-1.34654E-3</v>
      </c>
      <c r="AA5266">
        <v>0.77495249999999904</v>
      </c>
      <c r="AB5266">
        <v>31</v>
      </c>
      <c r="AC5266">
        <v>3.3808999999999898</v>
      </c>
      <c r="AD5266">
        <v>-1.042007817417</v>
      </c>
      <c r="AE5266">
        <v>-25.56962</v>
      </c>
      <c r="AF5266">
        <v>16.3903898783167</v>
      </c>
      <c r="AG5266">
        <v>-1.042007817417</v>
      </c>
      <c r="AH5266">
        <v>19.860131313917801</v>
      </c>
      <c r="AI5266">
        <v>92.317272642189195</v>
      </c>
      <c r="AJ5266">
        <v>50.467445534530199</v>
      </c>
      <c r="AK5266">
        <v>25.771214105292898</v>
      </c>
      <c r="AL5266">
        <v>88.840763111845106</v>
      </c>
      <c r="AM5266">
        <v>68.599772388895801</v>
      </c>
      <c r="AN5266">
        <v>0.99999999204026702</v>
      </c>
    </row>
    <row r="5267" spans="1:40" x14ac:dyDescent="0.25">
      <c r="A5267" t="str">
        <f>"20190305135932707"</f>
        <v>20190305135932707</v>
      </c>
      <c r="B5267" t="str">
        <f>"1551765572704358"</f>
        <v>1551765572704358</v>
      </c>
      <c r="C5267" t="s">
        <v>40</v>
      </c>
      <c r="D5267">
        <v>4.0083449999999896</v>
      </c>
      <c r="E5267">
        <v>0.62132670000000001</v>
      </c>
      <c r="F5267" t="s">
        <v>42</v>
      </c>
      <c r="G5267">
        <v>-301.86759999999998</v>
      </c>
      <c r="H5267" s="1">
        <v>-3.0524089999999998E-6</v>
      </c>
      <c r="I5267">
        <v>-14.453939999999999</v>
      </c>
      <c r="J5267">
        <v>-305.21730000000002</v>
      </c>
      <c r="K5267">
        <v>1.0419639999999999</v>
      </c>
      <c r="L5267">
        <v>12.684939999999999</v>
      </c>
      <c r="M5267">
        <v>0.72255809999999998</v>
      </c>
      <c r="N5267">
        <v>-1.9242700000000001E-2</v>
      </c>
      <c r="O5267">
        <v>-0.69104239999999995</v>
      </c>
      <c r="P5267">
        <v>0.42333670000000001</v>
      </c>
      <c r="Q5267">
        <v>1.872163E-2</v>
      </c>
      <c r="R5267">
        <v>-0.90577920000000001</v>
      </c>
      <c r="S5267">
        <v>0.40173340000000002</v>
      </c>
      <c r="T5267">
        <v>-0.1199057</v>
      </c>
      <c r="U5267">
        <v>-3.1396790000000001</v>
      </c>
      <c r="V5267">
        <v>0.36324089999999998</v>
      </c>
      <c r="W5267">
        <v>2.1082090000000001E-2</v>
      </c>
      <c r="X5267">
        <v>0.93145670000000003</v>
      </c>
      <c r="Y5267">
        <v>0.62865700000000002</v>
      </c>
      <c r="Z5267">
        <v>-1.7243989999999999E-3</v>
      </c>
      <c r="AA5267">
        <v>0.77768079999999995</v>
      </c>
      <c r="AB5267">
        <v>31</v>
      </c>
      <c r="AC5267">
        <v>3.3497000000000399</v>
      </c>
      <c r="AD5267">
        <v>-1.0419670524089999</v>
      </c>
      <c r="AE5267">
        <v>-27.13888</v>
      </c>
      <c r="AF5267">
        <v>17.272755381480199</v>
      </c>
      <c r="AG5267">
        <v>-1.0419670524089999</v>
      </c>
      <c r="AH5267">
        <v>21.1476842385383</v>
      </c>
      <c r="AI5267">
        <v>92.185349833534403</v>
      </c>
      <c r="AJ5267">
        <v>50.759144171368803</v>
      </c>
      <c r="AK5267">
        <v>27.3250493587785</v>
      </c>
      <c r="AL5267">
        <v>88.791995718501994</v>
      </c>
      <c r="AM5267">
        <v>68.695669331609906</v>
      </c>
      <c r="AN5267">
        <v>0.999999994963234</v>
      </c>
    </row>
    <row r="5268" spans="1:40" x14ac:dyDescent="0.25">
      <c r="A5268" t="str">
        <f>"20190305135932721"</f>
        <v>20190305135932721</v>
      </c>
      <c r="B5268" t="str">
        <f>"1551765572714117"</f>
        <v>1551765572714117</v>
      </c>
      <c r="C5268" t="s">
        <v>40</v>
      </c>
      <c r="D5268">
        <v>4.0067690000000002</v>
      </c>
      <c r="E5268">
        <v>0.62049119999999902</v>
      </c>
      <c r="F5268" t="s">
        <v>42</v>
      </c>
      <c r="G5268">
        <v>-301.51679999999999</v>
      </c>
      <c r="H5268" s="1">
        <v>-1.48696499999999E-6</v>
      </c>
      <c r="I5268">
        <v>-17.88551</v>
      </c>
      <c r="J5268">
        <v>-305.0693</v>
      </c>
      <c r="K5268">
        <v>1.0419290000000001</v>
      </c>
      <c r="L5268">
        <v>12.528560000000001</v>
      </c>
      <c r="M5268">
        <v>0.7123853</v>
      </c>
      <c r="N5268">
        <v>-1.9149989999999999E-2</v>
      </c>
      <c r="O5268">
        <v>-0.70152720000000002</v>
      </c>
      <c r="P5268">
        <v>0.41139999999999999</v>
      </c>
      <c r="Q5268">
        <v>1.9540720000000001E-2</v>
      </c>
      <c r="R5268">
        <v>-0.91124559999999999</v>
      </c>
      <c r="S5268">
        <v>0.37969969999999997</v>
      </c>
      <c r="T5268">
        <v>-0.1069152</v>
      </c>
      <c r="U5268">
        <v>-3.1368100000000001</v>
      </c>
      <c r="V5268">
        <v>0.36188959999999998</v>
      </c>
      <c r="W5268">
        <v>2.1862969999999999E-2</v>
      </c>
      <c r="X5268">
        <v>0.93196460000000003</v>
      </c>
      <c r="Y5268">
        <v>0.62262240000000002</v>
      </c>
      <c r="Z5268">
        <v>-2.8883009999999998E-3</v>
      </c>
      <c r="AA5268">
        <v>0.78251709999999997</v>
      </c>
      <c r="AB5268">
        <v>31</v>
      </c>
      <c r="AC5268">
        <v>3.5525000000000002</v>
      </c>
      <c r="AD5268">
        <v>-1.0419304869649999</v>
      </c>
      <c r="AE5268">
        <v>-30.414069999999999</v>
      </c>
      <c r="AF5268">
        <v>19.155699315375401</v>
      </c>
      <c r="AG5268">
        <v>-1.0419304869649999</v>
      </c>
      <c r="AH5268">
        <v>23.843817243373898</v>
      </c>
      <c r="AI5268">
        <v>91.951097139905798</v>
      </c>
      <c r="AJ5268">
        <v>51.222223072407303</v>
      </c>
      <c r="AK5268">
        <v>30.603170687629</v>
      </c>
      <c r="AL5268">
        <v>88.747244332129299</v>
      </c>
      <c r="AM5268">
        <v>68.778394918411195</v>
      </c>
      <c r="AN5268">
        <v>1.00000004384926</v>
      </c>
    </row>
    <row r="5269" spans="1:40" x14ac:dyDescent="0.25">
      <c r="A5269" t="str">
        <f>"20190305135932735"</f>
        <v>20190305135932735</v>
      </c>
      <c r="B5269" t="str">
        <f>"1551765572723877"</f>
        <v>1551765572723877</v>
      </c>
      <c r="C5269" t="s">
        <v>40</v>
      </c>
      <c r="D5269">
        <v>4.0354369999999999</v>
      </c>
      <c r="E5269">
        <v>0.61948990000000004</v>
      </c>
      <c r="F5269" t="s">
        <v>42</v>
      </c>
      <c r="G5269">
        <v>-301.74130000000002</v>
      </c>
      <c r="H5269" s="1">
        <v>-1.588058E-6</v>
      </c>
      <c r="I5269">
        <v>-17.78905</v>
      </c>
      <c r="J5269">
        <v>-304.9436</v>
      </c>
      <c r="K5269">
        <v>1.0419119999999999</v>
      </c>
      <c r="L5269">
        <v>12.391970000000001</v>
      </c>
      <c r="M5269">
        <v>0.70347249999999995</v>
      </c>
      <c r="N5269">
        <v>-1.9075470000000001E-2</v>
      </c>
      <c r="O5269">
        <v>-0.7104665</v>
      </c>
      <c r="P5269">
        <v>0.4028794</v>
      </c>
      <c r="Q5269">
        <v>2.144074E-2</v>
      </c>
      <c r="R5269">
        <v>-0.91500230000000005</v>
      </c>
      <c r="S5269">
        <v>0.34457399999999999</v>
      </c>
      <c r="T5269">
        <v>-0.10787770000000001</v>
      </c>
      <c r="U5269">
        <v>-3.1389770000000001</v>
      </c>
      <c r="V5269">
        <v>0.35886879999999999</v>
      </c>
      <c r="W5269">
        <v>2.38318E-2</v>
      </c>
      <c r="X5269">
        <v>0.93308369999999996</v>
      </c>
      <c r="Y5269">
        <v>0.62145050000000002</v>
      </c>
      <c r="Z5269">
        <v>-2.3383919999999999E-3</v>
      </c>
      <c r="AA5269">
        <v>0.78344990000000003</v>
      </c>
      <c r="AB5269">
        <v>31</v>
      </c>
      <c r="AC5269">
        <v>3.2022999999999802</v>
      </c>
      <c r="AD5269">
        <v>-1.0419135880579999</v>
      </c>
      <c r="AE5269">
        <v>-30.18102</v>
      </c>
      <c r="AF5269">
        <v>18.937521693041401</v>
      </c>
      <c r="AG5269">
        <v>-1.0419135880579999</v>
      </c>
      <c r="AH5269">
        <v>23.671747504184601</v>
      </c>
      <c r="AI5269">
        <v>91.968475716978702</v>
      </c>
      <c r="AJ5269">
        <v>51.340009196315698</v>
      </c>
      <c r="AK5269">
        <v>30.3326052574002</v>
      </c>
      <c r="AL5269">
        <v>88.634409129085896</v>
      </c>
      <c r="AM5269">
        <v>68.962999617036402</v>
      </c>
      <c r="AN5269">
        <v>0.99999998075518404</v>
      </c>
    </row>
    <row r="5270" spans="1:40" x14ac:dyDescent="0.25">
      <c r="A5270" t="str">
        <f>"20190305135932756"</f>
        <v>20190305135932756</v>
      </c>
      <c r="B5270" t="str">
        <f>"1551765572744373"</f>
        <v>1551765572744373</v>
      </c>
      <c r="C5270" t="s">
        <v>40</v>
      </c>
      <c r="D5270">
        <v>3.98333</v>
      </c>
      <c r="E5270">
        <v>0.61798759999999997</v>
      </c>
      <c r="F5270" t="s">
        <v>42</v>
      </c>
      <c r="G5270">
        <v>-301.46460000000002</v>
      </c>
      <c r="H5270" s="1">
        <v>-4.1999070000000002E-6</v>
      </c>
      <c r="I5270">
        <v>-21.435030000000001</v>
      </c>
      <c r="J5270">
        <v>-304.75319999999999</v>
      </c>
      <c r="K5270">
        <v>1.041885</v>
      </c>
      <c r="L5270">
        <v>12.17807</v>
      </c>
      <c r="M5270">
        <v>0.68946909999999995</v>
      </c>
      <c r="N5270">
        <v>-1.8970239999999999E-2</v>
      </c>
      <c r="O5270">
        <v>-0.72406669999999995</v>
      </c>
      <c r="P5270">
        <v>0.38869540000000002</v>
      </c>
      <c r="Q5270">
        <v>2.3183949999999998E-2</v>
      </c>
      <c r="R5270">
        <v>-0.92107459999999997</v>
      </c>
      <c r="S5270">
        <v>0.32281490000000002</v>
      </c>
      <c r="T5270">
        <v>-9.6680879999999997E-2</v>
      </c>
      <c r="U5270">
        <v>-3.138855</v>
      </c>
      <c r="V5270">
        <v>0.35510890000000001</v>
      </c>
      <c r="W5270">
        <v>2.5647039999999999E-2</v>
      </c>
      <c r="X5270">
        <v>0.934473</v>
      </c>
      <c r="Y5270">
        <v>0.61152430000000002</v>
      </c>
      <c r="Z5270">
        <v>-3.2339299999999999E-3</v>
      </c>
      <c r="AA5270">
        <v>0.79121909999999995</v>
      </c>
      <c r="AB5270">
        <v>31</v>
      </c>
      <c r="AC5270">
        <v>3.28859999999997</v>
      </c>
      <c r="AD5270">
        <v>-1.0418891999069999</v>
      </c>
      <c r="AE5270">
        <v>-33.613100000000003</v>
      </c>
      <c r="AF5270">
        <v>20.777995744359998</v>
      </c>
      <c r="AG5270">
        <v>-1.0418891999069999</v>
      </c>
      <c r="AH5270">
        <v>26.585001476462399</v>
      </c>
      <c r="AI5270">
        <v>91.768650731052603</v>
      </c>
      <c r="AJ5270">
        <v>51.989942510769303</v>
      </c>
      <c r="AK5270">
        <v>33.757561282785701</v>
      </c>
      <c r="AL5270">
        <v>88.530371626498805</v>
      </c>
      <c r="AM5270">
        <v>69.192718223980194</v>
      </c>
      <c r="AN5270">
        <v>0.99999994462448405</v>
      </c>
    </row>
    <row r="5271" spans="1:40" x14ac:dyDescent="0.25">
      <c r="A5271" t="str">
        <f>"20190305135932778"</f>
        <v>20190305135932778</v>
      </c>
      <c r="B5271" t="str">
        <f>"1551765572774631"</f>
        <v>1551765572774631</v>
      </c>
      <c r="C5271" t="s">
        <v>40</v>
      </c>
      <c r="D5271">
        <v>4.0468789999999997</v>
      </c>
      <c r="E5271">
        <v>0.6159886</v>
      </c>
      <c r="F5271" t="s">
        <v>42</v>
      </c>
      <c r="G5271">
        <v>-301.91590000000002</v>
      </c>
      <c r="H5271" s="1">
        <v>-1.0343950000000001E-6</v>
      </c>
      <c r="I5271">
        <v>-19.18797</v>
      </c>
      <c r="J5271">
        <v>-304.54930000000002</v>
      </c>
      <c r="K5271">
        <v>1.04186</v>
      </c>
      <c r="L5271">
        <v>11.93939</v>
      </c>
      <c r="M5271">
        <v>0.6737689</v>
      </c>
      <c r="N5271">
        <v>-1.8867040000000002E-2</v>
      </c>
      <c r="O5271">
        <v>-0.73870119999999995</v>
      </c>
      <c r="P5271">
        <v>0.37293399999999999</v>
      </c>
      <c r="Q5271">
        <v>2.4519829999999999E-2</v>
      </c>
      <c r="R5271">
        <v>-0.92753370000000002</v>
      </c>
      <c r="S5271">
        <v>0.28402709999999998</v>
      </c>
      <c r="T5271">
        <v>-0.10429579999999999</v>
      </c>
      <c r="U5271">
        <v>-3.1398320000000002</v>
      </c>
      <c r="V5271">
        <v>0.35101280000000001</v>
      </c>
      <c r="W5271">
        <v>2.7075149999999999E-2</v>
      </c>
      <c r="X5271">
        <v>0.93597909999999995</v>
      </c>
      <c r="Y5271">
        <v>0.60421239999999998</v>
      </c>
      <c r="Z5271">
        <v>-1.275801E-3</v>
      </c>
      <c r="AA5271">
        <v>0.79682229999999998</v>
      </c>
      <c r="AB5271">
        <v>31</v>
      </c>
      <c r="AC5271">
        <v>2.6333999999999902</v>
      </c>
      <c r="AD5271">
        <v>-1.0418610343950001</v>
      </c>
      <c r="AE5271">
        <v>-31.1273599999999</v>
      </c>
      <c r="AF5271">
        <v>19.009594062669699</v>
      </c>
      <c r="AG5271">
        <v>-1.0418610343950001</v>
      </c>
      <c r="AH5271">
        <v>24.745006319628999</v>
      </c>
      <c r="AI5271">
        <v>91.912330687097494</v>
      </c>
      <c r="AJ5271">
        <v>52.467831026012597</v>
      </c>
      <c r="AK5271">
        <v>31.2212344182763</v>
      </c>
      <c r="AL5271">
        <v>88.448518522053405</v>
      </c>
      <c r="AM5271">
        <v>69.442847219726801</v>
      </c>
      <c r="AN5271">
        <v>0.99999996257408497</v>
      </c>
    </row>
    <row r="5272" spans="1:40" x14ac:dyDescent="0.25">
      <c r="A5272" t="str">
        <f>"20190305135932800"</f>
        <v>20190305135932800</v>
      </c>
      <c r="B5272" t="str">
        <f>"1551765572794153"</f>
        <v>1551765572794153</v>
      </c>
      <c r="C5272" t="s">
        <v>40</v>
      </c>
      <c r="D5272">
        <v>4.046233</v>
      </c>
      <c r="E5272">
        <v>0.61501669999999997</v>
      </c>
      <c r="F5272" t="s">
        <v>42</v>
      </c>
      <c r="G5272">
        <v>-302.3</v>
      </c>
      <c r="H5272" s="1">
        <v>-2.0636469999999998E-6</v>
      </c>
      <c r="I5272">
        <v>-17.026989999999898</v>
      </c>
      <c r="J5272">
        <v>-304.35090000000002</v>
      </c>
      <c r="K5272">
        <v>1.0418400000000001</v>
      </c>
      <c r="L5272">
        <v>11.69586</v>
      </c>
      <c r="M5272">
        <v>0.65769359999999999</v>
      </c>
      <c r="N5272">
        <v>-1.877713E-2</v>
      </c>
      <c r="O5272">
        <v>-0.75305180000000005</v>
      </c>
      <c r="P5272">
        <v>0.35694939999999997</v>
      </c>
      <c r="Q5272">
        <v>2.543204E-2</v>
      </c>
      <c r="R5272">
        <v>-0.933778</v>
      </c>
      <c r="S5272">
        <v>0.2437744</v>
      </c>
      <c r="T5272">
        <v>-0.1129158</v>
      </c>
      <c r="U5272">
        <v>-3.1393430000000002</v>
      </c>
      <c r="V5272">
        <v>0.34693499999999999</v>
      </c>
      <c r="W5272">
        <v>2.809472E-2</v>
      </c>
      <c r="X5272">
        <v>0.93746830000000003</v>
      </c>
      <c r="Y5272">
        <v>0.59713739999999904</v>
      </c>
      <c r="Z5272">
        <v>9.5003749999999999E-4</v>
      </c>
      <c r="AA5272">
        <v>0.80213840000000003</v>
      </c>
      <c r="AB5272">
        <v>31</v>
      </c>
      <c r="AC5272">
        <v>2.0509000000000102</v>
      </c>
      <c r="AD5272">
        <v>-1.0418420636469901</v>
      </c>
      <c r="AE5272">
        <v>-28.722850000000001</v>
      </c>
      <c r="AF5272">
        <v>17.3267746796488</v>
      </c>
      <c r="AG5272">
        <v>-1.0418420636469901</v>
      </c>
      <c r="AH5272">
        <v>22.9526592673318</v>
      </c>
      <c r="AI5272">
        <v>92.074774652998002</v>
      </c>
      <c r="AJ5272">
        <v>52.951143613403801</v>
      </c>
      <c r="AK5272">
        <v>28.7771979721295</v>
      </c>
      <c r="AL5272">
        <v>88.390079298303903</v>
      </c>
      <c r="AM5272">
        <v>69.691670372515304</v>
      </c>
      <c r="AN5272">
        <v>1.0000000105108799</v>
      </c>
    </row>
    <row r="5273" spans="1:40" x14ac:dyDescent="0.25">
      <c r="A5273" t="str">
        <f>"20190305135932824"</f>
        <v>20190305135932824</v>
      </c>
      <c r="B5273" t="str">
        <f>"1551765572814177"</f>
        <v>1551765572814177</v>
      </c>
      <c r="C5273" t="s">
        <v>40</v>
      </c>
      <c r="D5273">
        <v>4.0406680000000001</v>
      </c>
      <c r="E5273">
        <v>0.61378529999999998</v>
      </c>
      <c r="F5273" t="s">
        <v>42</v>
      </c>
      <c r="G5273">
        <v>-302.60930000000002</v>
      </c>
      <c r="H5273" s="1">
        <v>-2.5130030000000002E-6</v>
      </c>
      <c r="I5273">
        <v>-16.171379999999999</v>
      </c>
      <c r="J5273">
        <v>-304.14609999999999</v>
      </c>
      <c r="K5273">
        <v>1.0418229999999999</v>
      </c>
      <c r="L5273">
        <v>11.43268</v>
      </c>
      <c r="M5273">
        <v>0.64024309999999995</v>
      </c>
      <c r="N5273">
        <v>-1.8693669999999999E-2</v>
      </c>
      <c r="O5273">
        <v>-0.76794510000000005</v>
      </c>
      <c r="P5273">
        <v>0.33901179999999997</v>
      </c>
      <c r="Q5273">
        <v>2.6610640000000001E-2</v>
      </c>
      <c r="R5273">
        <v>-0.94040579999999996</v>
      </c>
      <c r="S5273">
        <v>0.19628909999999999</v>
      </c>
      <c r="T5273">
        <v>-0.1174265</v>
      </c>
      <c r="U5273">
        <v>-3.14093</v>
      </c>
      <c r="V5273">
        <v>0.34339419999999998</v>
      </c>
      <c r="W5273">
        <v>2.9362570000000001E-2</v>
      </c>
      <c r="X5273">
        <v>0.93873229999999996</v>
      </c>
      <c r="Y5273">
        <v>0.59081249999999996</v>
      </c>
      <c r="Z5273">
        <v>2.5653450000000001E-3</v>
      </c>
      <c r="AA5273">
        <v>0.80680479999999999</v>
      </c>
      <c r="AB5273">
        <v>30</v>
      </c>
      <c r="AC5273">
        <v>1.53679999999997</v>
      </c>
      <c r="AD5273">
        <v>-1.0418255130030001</v>
      </c>
      <c r="AE5273">
        <v>-27.60406</v>
      </c>
      <c r="AF5273">
        <v>16.472618767724398</v>
      </c>
      <c r="AG5273">
        <v>-1.0418255130030001</v>
      </c>
      <c r="AH5273">
        <v>22.154740532189699</v>
      </c>
      <c r="AI5273">
        <v>92.161140013030206</v>
      </c>
      <c r="AJ5273">
        <v>53.368249433300903</v>
      </c>
      <c r="AK5273">
        <v>27.6272528043413</v>
      </c>
      <c r="AL5273">
        <v>88.317406884059494</v>
      </c>
      <c r="AM5273">
        <v>69.9071613984148</v>
      </c>
      <c r="AN5273">
        <v>1.0000000340869599</v>
      </c>
    </row>
    <row r="5274" spans="1:40" x14ac:dyDescent="0.25">
      <c r="A5274" t="str">
        <f>"20190305135932844"</f>
        <v>20190305135932844</v>
      </c>
      <c r="B5274" t="str">
        <f>"1551765572834672"</f>
        <v>1551765572834672</v>
      </c>
      <c r="C5274" t="s">
        <v>40</v>
      </c>
      <c r="D5274">
        <v>4.0473129999999999</v>
      </c>
      <c r="E5274">
        <v>0.61263290000000004</v>
      </c>
      <c r="F5274" t="s">
        <v>42</v>
      </c>
      <c r="G5274">
        <v>-302.88940000000002</v>
      </c>
      <c r="H5274" s="1">
        <v>-2.7491859999999999E-6</v>
      </c>
      <c r="I5274">
        <v>-15.79454</v>
      </c>
      <c r="J5274">
        <v>-303.97680000000003</v>
      </c>
      <c r="K5274">
        <v>1.0418149999999999</v>
      </c>
      <c r="L5274">
        <v>11.205349999999999</v>
      </c>
      <c r="M5274">
        <v>0.62510010000000005</v>
      </c>
      <c r="N5274">
        <v>-1.863093E-2</v>
      </c>
      <c r="O5274">
        <v>-0.78032250000000003</v>
      </c>
      <c r="P5274">
        <v>0.32353989999999999</v>
      </c>
      <c r="Q5274">
        <v>2.7267139999999999E-2</v>
      </c>
      <c r="R5274">
        <v>-0.9458221</v>
      </c>
      <c r="S5274">
        <v>0.14498900000000001</v>
      </c>
      <c r="T5274">
        <v>-0.1201966</v>
      </c>
      <c r="U5274">
        <v>-3.141235</v>
      </c>
      <c r="V5274">
        <v>0.34044530000000001</v>
      </c>
      <c r="W5274">
        <v>3.0101820000000001E-2</v>
      </c>
      <c r="X5274">
        <v>0.93978240000000002</v>
      </c>
      <c r="Y5274">
        <v>0.58816959999999996</v>
      </c>
      <c r="Z5274">
        <v>3.7229339999999998E-3</v>
      </c>
      <c r="AA5274">
        <v>0.80872909999999998</v>
      </c>
      <c r="AB5274">
        <v>30</v>
      </c>
      <c r="AC5274">
        <v>1.0873999999999999</v>
      </c>
      <c r="AD5274">
        <v>-1.0418177491859999</v>
      </c>
      <c r="AE5274">
        <v>-26.999890000000001</v>
      </c>
      <c r="AF5274">
        <v>16.0080947831906</v>
      </c>
      <c r="AG5274">
        <v>-1.0418177491859999</v>
      </c>
      <c r="AH5274">
        <v>21.719840292505999</v>
      </c>
      <c r="AI5274">
        <v>92.211209316755401</v>
      </c>
      <c r="AJ5274">
        <v>53.608806706004799</v>
      </c>
      <c r="AK5274">
        <v>27.001776703433801</v>
      </c>
      <c r="AL5274">
        <v>88.275032256974001</v>
      </c>
      <c r="AM5274">
        <v>70.0865888376089</v>
      </c>
      <c r="AN5274">
        <v>1.0000000406045799</v>
      </c>
    </row>
    <row r="5275" spans="1:40" x14ac:dyDescent="0.25">
      <c r="A5275" t="str">
        <f>"20190305135932867"</f>
        <v>20190305135932867</v>
      </c>
      <c r="B5275" t="str">
        <f>"1551765572863953"</f>
        <v>1551765572863953</v>
      </c>
      <c r="C5275" t="s">
        <v>40</v>
      </c>
      <c r="D5275">
        <v>4.0692539999999999</v>
      </c>
      <c r="E5275">
        <v>0.61102309999999904</v>
      </c>
      <c r="F5275" t="s">
        <v>42</v>
      </c>
      <c r="G5275">
        <v>-303.12610000000001</v>
      </c>
      <c r="H5275" s="1">
        <v>-3.072536E-6</v>
      </c>
      <c r="I5275">
        <v>-15.18764</v>
      </c>
      <c r="J5275">
        <v>-303.7937</v>
      </c>
      <c r="K5275">
        <v>1.0418069999999999</v>
      </c>
      <c r="L5275">
        <v>10.94849</v>
      </c>
      <c r="M5275">
        <v>0.60792690000000005</v>
      </c>
      <c r="N5275">
        <v>-1.856934E-2</v>
      </c>
      <c r="O5275">
        <v>-0.79377580000000003</v>
      </c>
      <c r="P5275">
        <v>0.3063437</v>
      </c>
      <c r="Q5275">
        <v>2.7893339999999999E-2</v>
      </c>
      <c r="R5275">
        <v>-0.95151229999999998</v>
      </c>
      <c r="S5275">
        <v>0.10122680000000001</v>
      </c>
      <c r="T5275">
        <v>-0.1239768</v>
      </c>
      <c r="U5275">
        <v>-3.1407780000000001</v>
      </c>
      <c r="V5275">
        <v>0.33698729999999999</v>
      </c>
      <c r="W5275">
        <v>3.0840579999999999E-2</v>
      </c>
      <c r="X5275">
        <v>0.94100399999999995</v>
      </c>
      <c r="Y5275">
        <v>0.58175330000000003</v>
      </c>
      <c r="Z5275">
        <v>5.2510589999999998E-3</v>
      </c>
      <c r="AA5275">
        <v>0.81334839999999997</v>
      </c>
      <c r="AB5275">
        <v>30</v>
      </c>
      <c r="AC5275">
        <v>0.66759999999999298</v>
      </c>
      <c r="AD5275">
        <v>-1.041810072536</v>
      </c>
      <c r="AE5275">
        <v>-26.136129999999898</v>
      </c>
      <c r="AF5275">
        <v>15.337227500426501</v>
      </c>
      <c r="AG5275">
        <v>-1.041810072536</v>
      </c>
      <c r="AH5275">
        <v>21.122188726205401</v>
      </c>
      <c r="AI5275">
        <v>92.2855297747642</v>
      </c>
      <c r="AJ5275">
        <v>54.015876960022098</v>
      </c>
      <c r="AK5275">
        <v>26.123988443813801</v>
      </c>
      <c r="AL5275">
        <v>88.232684788622095</v>
      </c>
      <c r="AM5275">
        <v>70.296811097931695</v>
      </c>
      <c r="AN5275">
        <v>1.00000005487601</v>
      </c>
    </row>
    <row r="5276" spans="1:40" x14ac:dyDescent="0.25">
      <c r="A5276" t="str">
        <f>"20190305135932890"</f>
        <v>20190305135932890</v>
      </c>
      <c r="B5276" t="str">
        <f>"1551765572884448"</f>
        <v>1551765572884448</v>
      </c>
      <c r="C5276" t="s">
        <v>40</v>
      </c>
      <c r="D5276">
        <v>4.1599640000000004</v>
      </c>
      <c r="E5276">
        <v>0.59454750000000001</v>
      </c>
      <c r="F5276" t="s">
        <v>42</v>
      </c>
      <c r="G5276">
        <v>-303.35669999999999</v>
      </c>
      <c r="H5276" s="1">
        <v>-3.757553E-6</v>
      </c>
      <c r="I5276">
        <v>-13.72114</v>
      </c>
      <c r="J5276">
        <v>-303.61619999999999</v>
      </c>
      <c r="K5276">
        <v>1.041801</v>
      </c>
      <c r="L5276">
        <v>10.6875</v>
      </c>
      <c r="M5276">
        <v>0.59041330000000003</v>
      </c>
      <c r="N5276">
        <v>-1.8514610000000001E-2</v>
      </c>
      <c r="O5276">
        <v>-0.80688879999999996</v>
      </c>
      <c r="P5276">
        <v>0.28901120000000002</v>
      </c>
      <c r="Q5276">
        <v>2.81877E-2</v>
      </c>
      <c r="R5276">
        <v>-0.95691099999999996</v>
      </c>
      <c r="S5276">
        <v>5.5603029999999998E-2</v>
      </c>
      <c r="T5276">
        <v>-0.1325568</v>
      </c>
      <c r="U5276">
        <v>-3.1388850000000001</v>
      </c>
      <c r="V5276">
        <v>0.33349220000000002</v>
      </c>
      <c r="W5276">
        <v>3.1259040000000002E-2</v>
      </c>
      <c r="X5276">
        <v>0.94223449999999997</v>
      </c>
      <c r="Y5276">
        <v>0.57572690000000004</v>
      </c>
      <c r="Z5276">
        <v>7.7602219999999998E-3</v>
      </c>
      <c r="AA5276">
        <v>0.81760529999999998</v>
      </c>
      <c r="AB5276">
        <v>30</v>
      </c>
      <c r="AC5276">
        <v>0.25950000000000201</v>
      </c>
      <c r="AD5276">
        <v>-1.0418047575530001</v>
      </c>
      <c r="AE5276">
        <v>-24.408639999999998</v>
      </c>
      <c r="AF5276">
        <v>14.178405042068899</v>
      </c>
      <c r="AG5276">
        <v>-1.0418047575530001</v>
      </c>
      <c r="AH5276">
        <v>19.815576694056698</v>
      </c>
      <c r="AI5276">
        <v>92.448311991146099</v>
      </c>
      <c r="AJ5276">
        <v>54.415591453142397</v>
      </c>
      <c r="AK5276">
        <v>24.387898769838099</v>
      </c>
      <c r="AL5276">
        <v>88.2086971587742</v>
      </c>
      <c r="AM5276">
        <v>70.509215053591902</v>
      </c>
      <c r="AN5276">
        <v>1.0000000140164</v>
      </c>
    </row>
    <row r="5277" spans="1:40" x14ac:dyDescent="0.25">
      <c r="A5277" t="str">
        <f>"20190305135932913"</f>
        <v>20190305135932913</v>
      </c>
      <c r="B5277" t="str">
        <f>"1551765572903969"</f>
        <v>1551765572903969</v>
      </c>
      <c r="C5277" t="s">
        <v>40</v>
      </c>
      <c r="D5277">
        <v>4.2155529999999999</v>
      </c>
      <c r="E5277">
        <v>0.59420790000000001</v>
      </c>
      <c r="F5277" t="s">
        <v>42</v>
      </c>
      <c r="G5277">
        <v>-303.06369999999998</v>
      </c>
      <c r="H5277" s="1">
        <v>-3.416E-6</v>
      </c>
      <c r="I5277">
        <v>-3.9607030000000001</v>
      </c>
      <c r="J5277">
        <v>-303.44240000000002</v>
      </c>
      <c r="K5277">
        <v>1.041812</v>
      </c>
      <c r="L5277">
        <v>10.41953</v>
      </c>
      <c r="M5277">
        <v>0.57236929999999997</v>
      </c>
      <c r="N5277">
        <v>-1.8464100000000001E-2</v>
      </c>
      <c r="O5277">
        <v>-0.81978819999999997</v>
      </c>
      <c r="P5277">
        <v>0.27122950000000001</v>
      </c>
      <c r="Q5277">
        <v>2.8239790000000001E-2</v>
      </c>
      <c r="R5277">
        <v>-0.96210039999999997</v>
      </c>
      <c r="S5277">
        <v>0.117157</v>
      </c>
      <c r="T5277">
        <v>-0.22091820000000001</v>
      </c>
      <c r="U5277">
        <v>-3.106201</v>
      </c>
      <c r="V5277">
        <v>0.33004790000000001</v>
      </c>
      <c r="W5277">
        <v>3.1441579999999997E-2</v>
      </c>
      <c r="X5277">
        <v>0.94344039999999996</v>
      </c>
      <c r="Y5277">
        <v>0.54056409999999999</v>
      </c>
      <c r="Z5277">
        <v>2.801375E-2</v>
      </c>
      <c r="AA5277">
        <v>0.84083629999999998</v>
      </c>
      <c r="AB5277">
        <v>30</v>
      </c>
      <c r="AC5277">
        <v>0.37870000000003701</v>
      </c>
      <c r="AD5277">
        <v>-1.0418154159999999</v>
      </c>
      <c r="AE5277">
        <v>-14.380232999999899</v>
      </c>
      <c r="AF5277">
        <v>7.8803668255529002</v>
      </c>
      <c r="AG5277">
        <v>-1.0418154159999999</v>
      </c>
      <c r="AH5277">
        <v>11.9448957595131</v>
      </c>
      <c r="AI5277">
        <v>94.163929395625601</v>
      </c>
      <c r="AJ5277">
        <v>56.586097229117499</v>
      </c>
      <c r="AK5277">
        <v>14.3480345473491</v>
      </c>
      <c r="AL5277">
        <v>88.198233198413206</v>
      </c>
      <c r="AM5277">
        <v>70.718407279047099</v>
      </c>
      <c r="AN5277">
        <v>0.99999998879973295</v>
      </c>
    </row>
    <row r="5278" spans="1:40" x14ac:dyDescent="0.25">
      <c r="A5278" t="str">
        <f>"20190305135932936"</f>
        <v>20190305135932936</v>
      </c>
      <c r="B5278" t="str">
        <f>"1551765572923995"</f>
        <v>1551765572923995</v>
      </c>
      <c r="C5278" t="s">
        <v>40</v>
      </c>
      <c r="D5278">
        <v>4.2230780000000001</v>
      </c>
      <c r="E5278">
        <v>0.61227549999999997</v>
      </c>
      <c r="F5278" t="s">
        <v>42</v>
      </c>
      <c r="G5278">
        <v>-303.15210000000002</v>
      </c>
      <c r="H5278" s="1">
        <v>-3.33539E-6</v>
      </c>
      <c r="I5278">
        <v>-4.1809570000000003</v>
      </c>
      <c r="J5278">
        <v>-303.2704</v>
      </c>
      <c r="K5278">
        <v>1.0418270000000001</v>
      </c>
      <c r="L5278">
        <v>10.140750000000001</v>
      </c>
      <c r="M5278">
        <v>0.55354559999999997</v>
      </c>
      <c r="N5278">
        <v>-1.8414839999999998E-2</v>
      </c>
      <c r="O5278">
        <v>-0.83261529999999995</v>
      </c>
      <c r="P5278">
        <v>0.25403569999999998</v>
      </c>
      <c r="Q5278">
        <v>2.855881E-2</v>
      </c>
      <c r="R5278">
        <v>-0.96677360000000001</v>
      </c>
      <c r="S5278">
        <v>6.1798100000000002E-2</v>
      </c>
      <c r="T5278">
        <v>-0.22171869999999999</v>
      </c>
      <c r="U5278">
        <v>-3.1072690000000001</v>
      </c>
      <c r="V5278">
        <v>0.3253759</v>
      </c>
      <c r="W5278">
        <v>3.1960120000000002E-2</v>
      </c>
      <c r="X5278">
        <v>0.94504449999999995</v>
      </c>
      <c r="Y5278">
        <v>0.53638509999999995</v>
      </c>
      <c r="Z5278">
        <v>2.9542530000000001E-2</v>
      </c>
      <c r="AA5278">
        <v>0.84345609999999904</v>
      </c>
      <c r="AB5278">
        <v>30</v>
      </c>
      <c r="AC5278">
        <v>0.11829999999997599</v>
      </c>
      <c r="AD5278">
        <v>-1.04183033538999</v>
      </c>
      <c r="AE5278">
        <v>-14.321707</v>
      </c>
      <c r="AF5278">
        <v>7.78933015507622</v>
      </c>
      <c r="AG5278">
        <v>-1.04183033538999</v>
      </c>
      <c r="AH5278">
        <v>11.9288687874544</v>
      </c>
      <c r="AI5278">
        <v>94.182439470743304</v>
      </c>
      <c r="AJ5278">
        <v>56.856208079429202</v>
      </c>
      <c r="AK5278">
        <v>14.284851600938</v>
      </c>
      <c r="AL5278">
        <v>88.168508154796299</v>
      </c>
      <c r="AM5278">
        <v>71.001572784342798</v>
      </c>
      <c r="AN5278">
        <v>1.0000000162757301</v>
      </c>
    </row>
    <row r="5279" spans="1:40" x14ac:dyDescent="0.25">
      <c r="A5279" t="str">
        <f>"20190305135932956"</f>
        <v>20190305135932956</v>
      </c>
      <c r="B5279" t="str">
        <f>"1551765572944491"</f>
        <v>1551765572944491</v>
      </c>
      <c r="C5279" t="s">
        <v>40</v>
      </c>
      <c r="D5279">
        <v>4.2130890000000001</v>
      </c>
      <c r="E5279">
        <v>0.61976209999999998</v>
      </c>
      <c r="F5279" t="s">
        <v>42</v>
      </c>
      <c r="G5279">
        <v>-303.96289999999999</v>
      </c>
      <c r="H5279" s="1">
        <v>-2.5233890000000002E-6</v>
      </c>
      <c r="I5279">
        <v>-6.3550979999999999</v>
      </c>
      <c r="J5279">
        <v>-303.13130000000001</v>
      </c>
      <c r="K5279">
        <v>1.041855</v>
      </c>
      <c r="L5279">
        <v>9.9036559999999998</v>
      </c>
      <c r="M5279">
        <v>0.537520199999999</v>
      </c>
      <c r="N5279">
        <v>-1.8373359999999998E-2</v>
      </c>
      <c r="O5279">
        <v>-0.84305059999999998</v>
      </c>
      <c r="P5279">
        <v>0.23866870000000001</v>
      </c>
      <c r="Q5279">
        <v>2.8446539999999999E-2</v>
      </c>
      <c r="R5279">
        <v>-0.97068430000000006</v>
      </c>
      <c r="S5279">
        <v>-0.13195799999999999</v>
      </c>
      <c r="T5279">
        <v>-0.19854160000000001</v>
      </c>
      <c r="U5279">
        <v>-3.1436160000000002</v>
      </c>
      <c r="V5279">
        <v>0.32228410000000002</v>
      </c>
      <c r="W5279">
        <v>3.198061E-2</v>
      </c>
      <c r="X5279">
        <v>0.94610260000000002</v>
      </c>
      <c r="Y5279">
        <v>0.57193000000000005</v>
      </c>
      <c r="Z5279">
        <v>2.3900560000000001E-2</v>
      </c>
      <c r="AA5279">
        <v>0.81995419999999997</v>
      </c>
      <c r="AB5279">
        <v>30</v>
      </c>
      <c r="AC5279">
        <v>-0.83159999999998002</v>
      </c>
      <c r="AD5279">
        <v>-1.041857523389</v>
      </c>
      <c r="AE5279">
        <v>-16.258754</v>
      </c>
      <c r="AF5279">
        <v>9.4035717319283698</v>
      </c>
      <c r="AG5279">
        <v>-1.041857523389</v>
      </c>
      <c r="AH5279">
        <v>13.2080963363055</v>
      </c>
      <c r="AI5279">
        <v>93.676670458809696</v>
      </c>
      <c r="AJ5279">
        <v>54.550840585947199</v>
      </c>
      <c r="AK5279">
        <v>16.2470439540764</v>
      </c>
      <c r="AL5279">
        <v>88.167333470093396</v>
      </c>
      <c r="AM5279">
        <v>71.188902280370598</v>
      </c>
      <c r="AN5279">
        <v>0.99999996512777001</v>
      </c>
    </row>
    <row r="5280" spans="1:40" x14ac:dyDescent="0.25">
      <c r="A5280" t="str">
        <f>"20190305135932980"</f>
        <v>20190305135932980</v>
      </c>
      <c r="B5280" t="str">
        <f>"1551765572974747"</f>
        <v>1551765572974747</v>
      </c>
      <c r="C5280" t="s">
        <v>40</v>
      </c>
      <c r="D5280">
        <v>4.1903090000000001</v>
      </c>
      <c r="E5280">
        <v>0.62474609999999997</v>
      </c>
      <c r="F5280" t="s">
        <v>42</v>
      </c>
      <c r="G5280">
        <v>-304.51519999999999</v>
      </c>
      <c r="H5280" s="1">
        <v>-1.7358120000000001E-6</v>
      </c>
      <c r="I5280">
        <v>-8.3321000000000005</v>
      </c>
      <c r="J5280">
        <v>-302.97460000000001</v>
      </c>
      <c r="K5280">
        <v>1.0418909999999999</v>
      </c>
      <c r="L5280">
        <v>9.6234129999999993</v>
      </c>
      <c r="M5280">
        <v>0.51856210000000003</v>
      </c>
      <c r="N5280">
        <v>-1.8322049999999999E-2</v>
      </c>
      <c r="O5280">
        <v>-0.85484380000000004</v>
      </c>
      <c r="P5280">
        <v>0.2208484</v>
      </c>
      <c r="Q5280">
        <v>2.8496540000000001E-2</v>
      </c>
      <c r="R5280">
        <v>-0.97489199999999998</v>
      </c>
      <c r="S5280">
        <v>-0.2394104</v>
      </c>
      <c r="T5280">
        <v>-0.18023929999999999</v>
      </c>
      <c r="U5280">
        <v>-3.1547550000000002</v>
      </c>
      <c r="V5280">
        <v>0.31848290000000001</v>
      </c>
      <c r="W5280">
        <v>3.220174E-2</v>
      </c>
      <c r="X5280">
        <v>0.94738149999999999</v>
      </c>
      <c r="Y5280">
        <v>0.58133800000000002</v>
      </c>
      <c r="Z5280">
        <v>2.0487680000000001E-2</v>
      </c>
      <c r="AA5280">
        <v>0.81340419999999902</v>
      </c>
      <c r="AB5280">
        <v>30</v>
      </c>
      <c r="AC5280">
        <v>-1.54059999999998</v>
      </c>
      <c r="AD5280">
        <v>-1.04189273581199</v>
      </c>
      <c r="AE5280">
        <v>-17.955513</v>
      </c>
      <c r="AF5280">
        <v>10.5943925658562</v>
      </c>
      <c r="AG5280">
        <v>-1.04189273581199</v>
      </c>
      <c r="AH5280">
        <v>14.504223435024199</v>
      </c>
      <c r="AI5280">
        <v>93.319845492415695</v>
      </c>
      <c r="AJ5280">
        <v>53.854299754240003</v>
      </c>
      <c r="AK5280">
        <v>17.991642275387601</v>
      </c>
      <c r="AL5280">
        <v>88.154657204214203</v>
      </c>
      <c r="AM5280">
        <v>71.418809481917293</v>
      </c>
      <c r="AN5280">
        <v>1.0000000080968401</v>
      </c>
    </row>
    <row r="5281" spans="1:40" x14ac:dyDescent="0.25">
      <c r="A5281" t="str">
        <f>"20190305135933002"</f>
        <v>20190305135933002</v>
      </c>
      <c r="B5281" t="str">
        <f>"1551765572994267"</f>
        <v>1551765572994267</v>
      </c>
      <c r="C5281" t="s">
        <v>40</v>
      </c>
      <c r="D5281">
        <v>4.1546779999999996</v>
      </c>
      <c r="E5281">
        <v>0.62576679999999996</v>
      </c>
      <c r="F5281" t="s">
        <v>42</v>
      </c>
      <c r="G5281">
        <v>-305.14249999999998</v>
      </c>
      <c r="H5281" s="1">
        <v>-5.0622170000000003E-6</v>
      </c>
      <c r="I5281">
        <v>-10.818160000000001</v>
      </c>
      <c r="J5281">
        <v>-302.83210000000003</v>
      </c>
      <c r="K5281">
        <v>1.0419400000000001</v>
      </c>
      <c r="L5281">
        <v>9.3542480000000001</v>
      </c>
      <c r="M5281">
        <v>0.50036420000000004</v>
      </c>
      <c r="N5281">
        <v>-1.8268360000000001E-2</v>
      </c>
      <c r="O5281">
        <v>-0.86562220000000001</v>
      </c>
      <c r="P5281">
        <v>0.2041917</v>
      </c>
      <c r="Q5281">
        <v>2.7925189999999999E-2</v>
      </c>
      <c r="R5281">
        <v>-0.97853270000000003</v>
      </c>
      <c r="S5281">
        <v>-0.33489989999999997</v>
      </c>
      <c r="T5281">
        <v>-0.16095329999999999</v>
      </c>
      <c r="U5281">
        <v>-3.1578369999999998</v>
      </c>
      <c r="V5281">
        <v>0.31457429999999997</v>
      </c>
      <c r="W5281">
        <v>3.181237E-2</v>
      </c>
      <c r="X5281">
        <v>0.94869970000000003</v>
      </c>
      <c r="Y5281">
        <v>0.58849629999999997</v>
      </c>
      <c r="Z5281">
        <v>1.6809589999999999E-2</v>
      </c>
      <c r="AA5281">
        <v>0.80832510000000002</v>
      </c>
      <c r="AB5281">
        <v>30</v>
      </c>
      <c r="AC5281">
        <v>-2.3103999999999498</v>
      </c>
      <c r="AD5281">
        <v>-1.0419450622169999</v>
      </c>
      <c r="AE5281">
        <v>-20.172407999999901</v>
      </c>
      <c r="AF5281">
        <v>12.063735228335499</v>
      </c>
      <c r="AG5281">
        <v>-1.0419450622169999</v>
      </c>
      <c r="AH5281">
        <v>16.265532047090002</v>
      </c>
      <c r="AI5281">
        <v>92.945364980487398</v>
      </c>
      <c r="AJ5281">
        <v>53.436603496277201</v>
      </c>
      <c r="AK5281">
        <v>20.277743709470599</v>
      </c>
      <c r="AL5281">
        <v>88.176978008969499</v>
      </c>
      <c r="AM5281">
        <v>71.655269103364603</v>
      </c>
      <c r="AN5281">
        <v>1.0000000689427899</v>
      </c>
    </row>
    <row r="5282" spans="1:40" x14ac:dyDescent="0.25">
      <c r="A5282" t="str">
        <f>"20190305135933024"</f>
        <v>20190305135933024</v>
      </c>
      <c r="B5282" t="str">
        <f>"1551765573014293"</f>
        <v>1551765573014293</v>
      </c>
      <c r="C5282" t="s">
        <v>40</v>
      </c>
      <c r="D5282">
        <v>4.2085889999999999</v>
      </c>
      <c r="E5282">
        <v>0.62643559999999998</v>
      </c>
      <c r="F5282" t="s">
        <v>42</v>
      </c>
      <c r="G5282">
        <v>-305.51589999999999</v>
      </c>
      <c r="H5282" s="1">
        <v>-4.7341570000000002E-6</v>
      </c>
      <c r="I5282">
        <v>-11.97682</v>
      </c>
      <c r="J5282">
        <v>-302.69600000000003</v>
      </c>
      <c r="K5282">
        <v>1.041998</v>
      </c>
      <c r="L5282">
        <v>9.0833440000000003</v>
      </c>
      <c r="M5282">
        <v>0.48205439999999999</v>
      </c>
      <c r="N5282">
        <v>-1.8210710000000001E-2</v>
      </c>
      <c r="O5282">
        <v>-0.87595190000000001</v>
      </c>
      <c r="P5282">
        <v>0.1880638</v>
      </c>
      <c r="Q5282">
        <v>2.6748029999999999E-2</v>
      </c>
      <c r="R5282">
        <v>-0.98179249999999996</v>
      </c>
      <c r="S5282">
        <v>-0.396698</v>
      </c>
      <c r="T5282">
        <v>-0.1540118</v>
      </c>
      <c r="U5282">
        <v>-3.1529850000000001</v>
      </c>
      <c r="V5282">
        <v>0.31019360000000001</v>
      </c>
      <c r="W5282">
        <v>3.084201E-2</v>
      </c>
      <c r="X5282">
        <v>0.95017300000000005</v>
      </c>
      <c r="Y5282">
        <v>0.58728689999999995</v>
      </c>
      <c r="Z5282">
        <v>1.6046950000000001E-2</v>
      </c>
      <c r="AA5282">
        <v>0.80921969999999899</v>
      </c>
      <c r="AB5282">
        <v>30</v>
      </c>
      <c r="AC5282">
        <v>-2.8199000000000098</v>
      </c>
      <c r="AD5282">
        <v>-1.042002734157</v>
      </c>
      <c r="AE5282">
        <v>-21.060164</v>
      </c>
      <c r="AF5282">
        <v>12.594048765879</v>
      </c>
      <c r="AG5282">
        <v>-1.042002734157</v>
      </c>
      <c r="AH5282">
        <v>17.050177373322398</v>
      </c>
      <c r="AI5282">
        <v>92.814263970159303</v>
      </c>
      <c r="AJ5282">
        <v>53.548712095395203</v>
      </c>
      <c r="AK5282">
        <v>21.222732681657298</v>
      </c>
      <c r="AL5282">
        <v>88.232602745276196</v>
      </c>
      <c r="AM5282">
        <v>71.920203997453697</v>
      </c>
      <c r="AN5282">
        <v>1.0000000144954</v>
      </c>
    </row>
    <row r="5283" spans="1:40" x14ac:dyDescent="0.25">
      <c r="A5283" t="str">
        <f>"20190305135933046"</f>
        <v>20190305135933046</v>
      </c>
      <c r="B5283" t="str">
        <f>"1551765573034789"</f>
        <v>1551765573034789</v>
      </c>
      <c r="C5283" t="s">
        <v>40</v>
      </c>
      <c r="D5283">
        <v>4.2100869999999997</v>
      </c>
      <c r="E5283">
        <v>0.6266351</v>
      </c>
      <c r="F5283" t="s">
        <v>42</v>
      </c>
      <c r="G5283">
        <v>-305.75189999999998</v>
      </c>
      <c r="H5283" s="1">
        <v>-4.7325120000000003E-6</v>
      </c>
      <c r="I5283">
        <v>-12.104660000000001</v>
      </c>
      <c r="J5283">
        <v>-302.56560000000002</v>
      </c>
      <c r="K5283">
        <v>1.0420499999999999</v>
      </c>
      <c r="L5283">
        <v>8.8099369999999997</v>
      </c>
      <c r="M5283">
        <v>0.46359699999999998</v>
      </c>
      <c r="N5283">
        <v>-1.815083E-2</v>
      </c>
      <c r="O5283">
        <v>-0.88586039999999899</v>
      </c>
      <c r="P5283">
        <v>0.17249890000000001</v>
      </c>
      <c r="Q5283">
        <v>2.6077619999999999E-2</v>
      </c>
      <c r="R5283">
        <v>-0.98466469999999995</v>
      </c>
      <c r="S5283">
        <v>-0.45385740000000002</v>
      </c>
      <c r="T5283">
        <v>-0.1547557</v>
      </c>
      <c r="U5283">
        <v>-3.1467900000000002</v>
      </c>
      <c r="V5283">
        <v>0.30529640000000002</v>
      </c>
      <c r="W5283">
        <v>3.0408290000000001E-2</v>
      </c>
      <c r="X5283">
        <v>0.9517717</v>
      </c>
      <c r="Y5283">
        <v>0.58496359999999903</v>
      </c>
      <c r="Z5283">
        <v>1.7011370000000001E-2</v>
      </c>
      <c r="AA5283">
        <v>0.81088110000000002</v>
      </c>
      <c r="AB5283">
        <v>30</v>
      </c>
      <c r="AC5283">
        <v>-3.1862999999999602</v>
      </c>
      <c r="AD5283">
        <v>-1.042054732512</v>
      </c>
      <c r="AE5283">
        <v>-20.914597000000001</v>
      </c>
      <c r="AF5283">
        <v>12.490318951684401</v>
      </c>
      <c r="AG5283">
        <v>-1.042054732512</v>
      </c>
      <c r="AH5283">
        <v>17.011787963937099</v>
      </c>
      <c r="AI5283">
        <v>92.826709087004303</v>
      </c>
      <c r="AJ5283">
        <v>53.713306407515198</v>
      </c>
      <c r="AK5283">
        <v>21.130425346175901</v>
      </c>
      <c r="AL5283">
        <v>88.257464641621993</v>
      </c>
      <c r="AM5283">
        <v>72.215503624464404</v>
      </c>
      <c r="AN5283">
        <v>0.99999996243728595</v>
      </c>
    </row>
    <row r="5284" spans="1:40" x14ac:dyDescent="0.25">
      <c r="A5284" t="str">
        <f>"20190305135933068"</f>
        <v>20190305135933068</v>
      </c>
      <c r="B5284" t="str">
        <f>"1551765573064069"</f>
        <v>1551765573064069</v>
      </c>
      <c r="C5284" t="s">
        <v>40</v>
      </c>
      <c r="D5284">
        <v>4.2035640000000001</v>
      </c>
      <c r="E5284">
        <v>0.62629630000000003</v>
      </c>
      <c r="F5284" t="s">
        <v>42</v>
      </c>
      <c r="G5284">
        <v>-305.93459999999999</v>
      </c>
      <c r="H5284" s="1">
        <v>-4.7585579999999997E-6</v>
      </c>
      <c r="I5284">
        <v>-12.123390000000001</v>
      </c>
      <c r="J5284">
        <v>-302.44040000000001</v>
      </c>
      <c r="K5284">
        <v>1.042125</v>
      </c>
      <c r="L5284">
        <v>8.5321660000000001</v>
      </c>
      <c r="M5284">
        <v>0.4448879</v>
      </c>
      <c r="N5284">
        <v>-1.808765E-2</v>
      </c>
      <c r="O5284">
        <v>-0.89540370000000002</v>
      </c>
      <c r="P5284">
        <v>0.1570414</v>
      </c>
      <c r="Q5284">
        <v>2.499318E-2</v>
      </c>
      <c r="R5284">
        <v>-0.98727560000000003</v>
      </c>
      <c r="S5284">
        <v>-0.50524899999999995</v>
      </c>
      <c r="T5284">
        <v>-0.1562772</v>
      </c>
      <c r="U5284">
        <v>-3.1393740000000001</v>
      </c>
      <c r="V5284">
        <v>0.30018</v>
      </c>
      <c r="W5284">
        <v>2.9576580000000002E-2</v>
      </c>
      <c r="X5284">
        <v>0.95342389999999999</v>
      </c>
      <c r="Y5284">
        <v>0.58116559999999995</v>
      </c>
      <c r="Z5284">
        <v>1.8202550000000001E-2</v>
      </c>
      <c r="AA5284">
        <v>0.81358169999999996</v>
      </c>
      <c r="AB5284">
        <v>30</v>
      </c>
      <c r="AC5284">
        <v>-3.49419999999997</v>
      </c>
      <c r="AD5284">
        <v>-1.0421297585580001</v>
      </c>
      <c r="AE5284">
        <v>-20.655556000000001</v>
      </c>
      <c r="AF5284">
        <v>12.2897279231453</v>
      </c>
      <c r="AG5284">
        <v>-1.0421297585580001</v>
      </c>
      <c r="AH5284">
        <v>16.901478698784601</v>
      </c>
      <c r="AI5284">
        <v>92.8549236442676</v>
      </c>
      <c r="AJ5284">
        <v>53.977630310275103</v>
      </c>
      <c r="AK5284">
        <v>20.923274816913398</v>
      </c>
      <c r="AL5284">
        <v>88.305139577754304</v>
      </c>
      <c r="AM5284">
        <v>72.523693109667406</v>
      </c>
      <c r="AN5284">
        <v>0.99999996978785199</v>
      </c>
    </row>
    <row r="5285" spans="1:40" x14ac:dyDescent="0.25">
      <c r="A5285" t="str">
        <f>"20190305135933092"</f>
        <v>20190305135933092</v>
      </c>
      <c r="B5285" t="str">
        <f>"1551765573084566"</f>
        <v>1551765573084566</v>
      </c>
      <c r="C5285" t="s">
        <v>40</v>
      </c>
      <c r="D5285">
        <v>4.1983420000000002</v>
      </c>
      <c r="E5285">
        <v>0.6255733</v>
      </c>
      <c r="F5285" t="s">
        <v>42</v>
      </c>
      <c r="G5285">
        <v>-306.08330000000001</v>
      </c>
      <c r="H5285" s="1">
        <v>-4.7802350000000003E-6</v>
      </c>
      <c r="I5285">
        <v>-12.137169999999999</v>
      </c>
      <c r="J5285">
        <v>-302.31349999999998</v>
      </c>
      <c r="K5285">
        <v>1.042216</v>
      </c>
      <c r="L5285">
        <v>8.23379499999999</v>
      </c>
      <c r="M5285">
        <v>0.42485260000000002</v>
      </c>
      <c r="N5285">
        <v>-1.8015440000000001E-2</v>
      </c>
      <c r="O5285">
        <v>-0.90508319999999998</v>
      </c>
      <c r="P5285">
        <v>0.14075599999999999</v>
      </c>
      <c r="Q5285">
        <v>2.367236E-2</v>
      </c>
      <c r="R5285">
        <v>-0.98976140000000001</v>
      </c>
      <c r="S5285">
        <v>-0.55172730000000003</v>
      </c>
      <c r="T5285">
        <v>-0.15783359999999999</v>
      </c>
      <c r="U5285">
        <v>-3.1304319999999999</v>
      </c>
      <c r="V5285">
        <v>0.29461330000000002</v>
      </c>
      <c r="W5285">
        <v>2.8534179999999999E-2</v>
      </c>
      <c r="X5285">
        <v>0.95519050000000005</v>
      </c>
      <c r="Y5285">
        <v>0.57515369999999999</v>
      </c>
      <c r="Z5285">
        <v>1.951429E-2</v>
      </c>
      <c r="AA5285">
        <v>0.8178126</v>
      </c>
      <c r="AB5285">
        <v>30</v>
      </c>
      <c r="AC5285">
        <v>-3.7698000000000298</v>
      </c>
      <c r="AD5285">
        <v>-1.0422207802349901</v>
      </c>
      <c r="AE5285">
        <v>-20.370965000000002</v>
      </c>
      <c r="AF5285">
        <v>12.038132283942801</v>
      </c>
      <c r="AG5285">
        <v>-1.0422207802349901</v>
      </c>
      <c r="AH5285">
        <v>16.796033741806699</v>
      </c>
      <c r="AI5285">
        <v>92.887278652050696</v>
      </c>
      <c r="AJ5285">
        <v>54.3698959043613</v>
      </c>
      <c r="AK5285">
        <v>20.690809614328</v>
      </c>
      <c r="AL5285">
        <v>88.364890050006807</v>
      </c>
      <c r="AM5285">
        <v>72.858454589084303</v>
      </c>
      <c r="AN5285">
        <v>1.0000000436276999</v>
      </c>
    </row>
    <row r="5286" spans="1:40" x14ac:dyDescent="0.25">
      <c r="A5286" t="str">
        <f>"20190305135933113"</f>
        <v>20190305135933113</v>
      </c>
      <c r="B5286" t="str">
        <f>"1551765573104085"</f>
        <v>1551765573104085</v>
      </c>
      <c r="C5286" t="s">
        <v>40</v>
      </c>
      <c r="D5286">
        <v>4.2244570000000001</v>
      </c>
      <c r="E5286">
        <v>0.62492139999999996</v>
      </c>
      <c r="F5286" t="s">
        <v>42</v>
      </c>
      <c r="G5286">
        <v>-306.18889999999999</v>
      </c>
      <c r="H5286" s="1">
        <v>-4.8451490000000003E-6</v>
      </c>
      <c r="I5286">
        <v>-12.00149</v>
      </c>
      <c r="J5286">
        <v>-302.20299999999997</v>
      </c>
      <c r="K5286">
        <v>1.0423230000000001</v>
      </c>
      <c r="L5286">
        <v>7.9577029999999898</v>
      </c>
      <c r="M5286">
        <v>0.40639239999999999</v>
      </c>
      <c r="N5286">
        <v>-1.794428E-2</v>
      </c>
      <c r="O5286">
        <v>-0.91352250000000002</v>
      </c>
      <c r="P5286">
        <v>0.12672410000000001</v>
      </c>
      <c r="Q5286">
        <v>2.2568999999999999E-2</v>
      </c>
      <c r="R5286">
        <v>-0.99168120000000004</v>
      </c>
      <c r="S5286">
        <v>-0.59750369999999997</v>
      </c>
      <c r="T5286">
        <v>-0.16068779999999999</v>
      </c>
      <c r="U5286">
        <v>-3.1198429999999999</v>
      </c>
      <c r="V5286">
        <v>0.28870099999999999</v>
      </c>
      <c r="W5286">
        <v>2.7725779999999998E-2</v>
      </c>
      <c r="X5286">
        <v>0.95701780000000003</v>
      </c>
      <c r="Y5286">
        <v>0.57061640000000002</v>
      </c>
      <c r="Z5286">
        <v>2.1064240000000001E-2</v>
      </c>
      <c r="AA5286">
        <v>0.82094659999999997</v>
      </c>
      <c r="AB5286">
        <v>30</v>
      </c>
      <c r="AC5286">
        <v>-3.9859000000000102</v>
      </c>
      <c r="AD5286">
        <v>-1.0423278451489999</v>
      </c>
      <c r="AE5286">
        <v>-19.959192999999999</v>
      </c>
      <c r="AF5286">
        <v>11.723618598490701</v>
      </c>
      <c r="AG5286">
        <v>-1.0423278451489999</v>
      </c>
      <c r="AH5286">
        <v>16.5725427921933</v>
      </c>
      <c r="AI5286">
        <v>92.939330631383896</v>
      </c>
      <c r="AJ5286">
        <v>54.72394668175</v>
      </c>
      <c r="AK5286">
        <v>20.3268013956631</v>
      </c>
      <c r="AL5286">
        <v>88.4112262688746</v>
      </c>
      <c r="AM5286">
        <v>73.213153187753804</v>
      </c>
      <c r="AN5286">
        <v>1.0000000278972201</v>
      </c>
    </row>
    <row r="5287" spans="1:40" x14ac:dyDescent="0.25">
      <c r="A5287" t="str">
        <f>"20190305135933135"</f>
        <v>20190305135933135</v>
      </c>
      <c r="B5287" t="str">
        <f>"1551765573124582"</f>
        <v>1551765573124582</v>
      </c>
      <c r="C5287" t="s">
        <v>40</v>
      </c>
      <c r="D5287">
        <v>4.2315050000000003</v>
      </c>
      <c r="E5287">
        <v>0.62412679999999998</v>
      </c>
      <c r="F5287" t="s">
        <v>42</v>
      </c>
      <c r="G5287">
        <v>-306.28879999999998</v>
      </c>
      <c r="H5287" s="1">
        <v>-4.8612589999999999E-6</v>
      </c>
      <c r="I5287">
        <v>-12.006220000000001</v>
      </c>
      <c r="J5287">
        <v>-302.1003</v>
      </c>
      <c r="K5287">
        <v>1.0424450000000001</v>
      </c>
      <c r="L5287">
        <v>7.685486</v>
      </c>
      <c r="M5287">
        <v>0.38828000000000001</v>
      </c>
      <c r="N5287">
        <v>-1.787101E-2</v>
      </c>
      <c r="O5287">
        <v>-0.92136819999999997</v>
      </c>
      <c r="P5287">
        <v>0.1137572</v>
      </c>
      <c r="Q5287">
        <v>2.189783E-2</v>
      </c>
      <c r="R5287">
        <v>-0.99326749999999997</v>
      </c>
      <c r="S5287">
        <v>-0.63653559999999998</v>
      </c>
      <c r="T5287">
        <v>-0.16238520000000001</v>
      </c>
      <c r="U5287">
        <v>-3.1101990000000002</v>
      </c>
      <c r="V5287">
        <v>0.28227429999999998</v>
      </c>
      <c r="W5287">
        <v>2.7374969999999998E-2</v>
      </c>
      <c r="X5287">
        <v>0.95894310000000005</v>
      </c>
      <c r="Y5287">
        <v>0.56477549999999999</v>
      </c>
      <c r="Z5287">
        <v>2.2339339999999999E-2</v>
      </c>
      <c r="AA5287">
        <v>0.82494219999999896</v>
      </c>
      <c r="AB5287">
        <v>30</v>
      </c>
      <c r="AC5287">
        <v>-4.1884999999999701</v>
      </c>
      <c r="AD5287">
        <v>-1.0424498612590001</v>
      </c>
      <c r="AE5287">
        <v>-19.691706</v>
      </c>
      <c r="AF5287">
        <v>11.476113865873</v>
      </c>
      <c r="AG5287">
        <v>-1.0424498612590001</v>
      </c>
      <c r="AH5287">
        <v>16.475464616998998</v>
      </c>
      <c r="AI5287">
        <v>92.972069415184706</v>
      </c>
      <c r="AJ5287">
        <v>55.140557630875897</v>
      </c>
      <c r="AK5287">
        <v>20.1054426840522</v>
      </c>
      <c r="AL5287">
        <v>88.431333819731094</v>
      </c>
      <c r="AM5287">
        <v>73.597690758706705</v>
      </c>
      <c r="AN5287">
        <v>1.0000000192303</v>
      </c>
    </row>
    <row r="5288" spans="1:40" x14ac:dyDescent="0.25">
      <c r="A5288" t="str">
        <f>"20190305135933159"</f>
        <v>20190305135933159</v>
      </c>
      <c r="B5288" t="str">
        <f>"1551765573154838"</f>
        <v>1551765573154838</v>
      </c>
      <c r="C5288" t="s">
        <v>40</v>
      </c>
      <c r="D5288">
        <v>4.2116160000000002</v>
      </c>
      <c r="E5288">
        <v>0.62304539999999997</v>
      </c>
      <c r="F5288" t="s">
        <v>42</v>
      </c>
      <c r="G5288">
        <v>-306.40600000000001</v>
      </c>
      <c r="H5288" s="1">
        <v>-4.8093949999999997E-6</v>
      </c>
      <c r="I5288">
        <v>-12.21968</v>
      </c>
      <c r="J5288">
        <v>-301.99340000000001</v>
      </c>
      <c r="K5288">
        <v>1.0425990000000001</v>
      </c>
      <c r="L5288">
        <v>7.383972</v>
      </c>
      <c r="M5288">
        <v>0.36831540000000002</v>
      </c>
      <c r="N5288">
        <v>-1.7788180000000001E-2</v>
      </c>
      <c r="O5288">
        <v>-0.92953079999999999</v>
      </c>
      <c r="P5288">
        <v>9.9189520000000003E-2</v>
      </c>
      <c r="Q5288">
        <v>2.1250600000000001E-2</v>
      </c>
      <c r="R5288">
        <v>-0.99484220000000001</v>
      </c>
      <c r="S5288">
        <v>-0.67071530000000001</v>
      </c>
      <c r="T5288">
        <v>-0.16238820000000001</v>
      </c>
      <c r="U5288">
        <v>-3.1007389999999999</v>
      </c>
      <c r="V5288">
        <v>0.27560210000000002</v>
      </c>
      <c r="W5288">
        <v>2.7059900000000001E-2</v>
      </c>
      <c r="X5288">
        <v>0.96089080000000004</v>
      </c>
      <c r="Y5288">
        <v>0.5561545</v>
      </c>
      <c r="Z5288">
        <v>2.3297160000000001E-2</v>
      </c>
      <c r="AA5288">
        <v>0.8307523</v>
      </c>
      <c r="AB5288">
        <v>30</v>
      </c>
      <c r="AC5288">
        <v>-4.4125999999999896</v>
      </c>
      <c r="AD5288">
        <v>-1.0426038093950001</v>
      </c>
      <c r="AE5288">
        <v>-19.603652</v>
      </c>
      <c r="AF5288">
        <v>11.293361814153</v>
      </c>
      <c r="AG5288">
        <v>-1.0426038093950001</v>
      </c>
      <c r="AH5288">
        <v>16.555026182927801</v>
      </c>
      <c r="AI5288">
        <v>92.978165969051403</v>
      </c>
      <c r="AJ5288">
        <v>55.699318292581999</v>
      </c>
      <c r="AK5288">
        <v>20.067285209668</v>
      </c>
      <c r="AL5288">
        <v>88.449392572029595</v>
      </c>
      <c r="AM5288">
        <v>73.996082816551507</v>
      </c>
      <c r="AN5288">
        <v>0.99999994261852798</v>
      </c>
    </row>
    <row r="5289" spans="1:40" x14ac:dyDescent="0.25">
      <c r="A5289" t="str">
        <f>"20190305135933189"</f>
        <v>20190305135933189</v>
      </c>
      <c r="B5289" t="str">
        <f>"1551765573184118"</f>
        <v>1551765573184118</v>
      </c>
      <c r="C5289" t="s">
        <v>40</v>
      </c>
      <c r="D5289">
        <v>4.1886760000000001</v>
      </c>
      <c r="E5289">
        <v>0.62184269999999997</v>
      </c>
      <c r="F5289" t="s">
        <v>42</v>
      </c>
      <c r="G5289">
        <v>-306.53489999999999</v>
      </c>
      <c r="H5289" s="1">
        <v>-4.7521450000000004E-6</v>
      </c>
      <c r="I5289">
        <v>-12.45513</v>
      </c>
      <c r="J5289">
        <v>-301.86270000000002</v>
      </c>
      <c r="K5289">
        <v>1.0428059999999999</v>
      </c>
      <c r="L5289">
        <v>6.9798580000000001</v>
      </c>
      <c r="M5289">
        <v>0.3417828</v>
      </c>
      <c r="N5289">
        <v>-1.7675739999999999E-2</v>
      </c>
      <c r="O5289">
        <v>-0.93961289999999997</v>
      </c>
      <c r="P5289">
        <v>7.7963459999999998E-2</v>
      </c>
      <c r="Q5289">
        <v>2.0864170000000001E-2</v>
      </c>
      <c r="R5289">
        <v>-0.99673809999999996</v>
      </c>
      <c r="S5289">
        <v>-0.70724489999999995</v>
      </c>
      <c r="T5289">
        <v>-0.16236449999999999</v>
      </c>
      <c r="U5289">
        <v>-3.0895389999999998</v>
      </c>
      <c r="V5289">
        <v>0.26877020000000001</v>
      </c>
      <c r="W5289">
        <v>2.7016040000000002E-2</v>
      </c>
      <c r="X5289">
        <v>0.96282540000000005</v>
      </c>
      <c r="Y5289">
        <v>0.54248240000000003</v>
      </c>
      <c r="Z5289">
        <v>2.454951E-2</v>
      </c>
      <c r="AA5289">
        <v>0.83970840000000002</v>
      </c>
      <c r="AB5289">
        <v>30</v>
      </c>
      <c r="AC5289">
        <v>-4.6721999999999699</v>
      </c>
      <c r="AD5289">
        <v>-1.0428107521450001</v>
      </c>
      <c r="AE5289">
        <v>-19.434988000000001</v>
      </c>
      <c r="AF5289">
        <v>11.0043754200798</v>
      </c>
      <c r="AG5289">
        <v>-1.0428107521450001</v>
      </c>
      <c r="AH5289">
        <v>16.621849222522201</v>
      </c>
      <c r="AI5289">
        <v>92.994527244890094</v>
      </c>
      <c r="AJ5289">
        <v>56.493736253932703</v>
      </c>
      <c r="AK5289">
        <v>19.961703440015</v>
      </c>
      <c r="AL5289">
        <v>88.451906602181893</v>
      </c>
      <c r="AM5289">
        <v>74.403062897850901</v>
      </c>
      <c r="AN5289">
        <v>1.00000001885524</v>
      </c>
    </row>
    <row r="5290" spans="1:40" x14ac:dyDescent="0.25">
      <c r="A5290" t="str">
        <f>"20190305135933214"</f>
        <v>20190305135933214</v>
      </c>
      <c r="B5290" t="str">
        <f>"1551765573204613"</f>
        <v>1551765573204613</v>
      </c>
      <c r="C5290" t="s">
        <v>40</v>
      </c>
      <c r="D5290">
        <v>4.2059829999999998</v>
      </c>
      <c r="E5290">
        <v>0.62110659999999995</v>
      </c>
      <c r="F5290" t="s">
        <v>42</v>
      </c>
      <c r="G5290">
        <v>-306.78550000000001</v>
      </c>
      <c r="H5290" s="1">
        <v>-4.6664209999999999E-6</v>
      </c>
      <c r="I5290">
        <v>-12.83765</v>
      </c>
      <c r="J5290">
        <v>-301.76819999999998</v>
      </c>
      <c r="K5290">
        <v>1.0429759999999999</v>
      </c>
      <c r="L5290">
        <v>6.66275</v>
      </c>
      <c r="M5290">
        <v>0.32107000000000002</v>
      </c>
      <c r="N5290">
        <v>-1.7592139999999999E-2</v>
      </c>
      <c r="O5290">
        <v>-0.94689210000000001</v>
      </c>
      <c r="P5290">
        <v>6.3202079999999994E-2</v>
      </c>
      <c r="Q5290">
        <v>2.0972939999999999E-2</v>
      </c>
      <c r="R5290">
        <v>-0.99778069999999996</v>
      </c>
      <c r="S5290">
        <v>-0.76333619999999902</v>
      </c>
      <c r="T5290">
        <v>-0.1616985</v>
      </c>
      <c r="U5290">
        <v>-3.0729060000000001</v>
      </c>
      <c r="V5290">
        <v>0.26186579999999998</v>
      </c>
      <c r="W5290">
        <v>2.7458380000000001E-2</v>
      </c>
      <c r="X5290">
        <v>0.96471359999999995</v>
      </c>
      <c r="Y5290">
        <v>0.53952540000000004</v>
      </c>
      <c r="Z5290">
        <v>2.520737E-2</v>
      </c>
      <c r="AA5290">
        <v>0.84159189999999995</v>
      </c>
      <c r="AB5290">
        <v>30</v>
      </c>
      <c r="AC5290">
        <v>-5.0173000000000298</v>
      </c>
      <c r="AD5290">
        <v>-1.042980666421</v>
      </c>
      <c r="AE5290">
        <v>-19.500399999999999</v>
      </c>
      <c r="AF5290">
        <v>10.984068429141001</v>
      </c>
      <c r="AG5290">
        <v>-1.042980666421</v>
      </c>
      <c r="AH5290">
        <v>16.811372565497699</v>
      </c>
      <c r="AI5290">
        <v>92.973102014169697</v>
      </c>
      <c r="AJ5290">
        <v>56.840551373920803</v>
      </c>
      <c r="AK5290">
        <v>20.108699994344502</v>
      </c>
      <c r="AL5290">
        <v>88.4265529434592</v>
      </c>
      <c r="AM5290">
        <v>74.813334895227001</v>
      </c>
      <c r="AN5290">
        <v>0.99999999493341196</v>
      </c>
    </row>
    <row r="5291" spans="1:40" x14ac:dyDescent="0.25">
      <c r="A5291" t="str">
        <f>"20190305135933231"</f>
        <v>20190305135933231</v>
      </c>
      <c r="B5291" t="str">
        <f>"1551765573224133"</f>
        <v>1551765573224133</v>
      </c>
      <c r="C5291" t="s">
        <v>40</v>
      </c>
      <c r="D5291">
        <v>4.2801900000000002</v>
      </c>
      <c r="E5291">
        <v>0.61934690000000003</v>
      </c>
      <c r="F5291" t="s">
        <v>42</v>
      </c>
      <c r="G5291">
        <v>-306.9785</v>
      </c>
      <c r="H5291" s="1">
        <v>-4.5752760000000002E-6</v>
      </c>
      <c r="I5291">
        <v>-13.20607</v>
      </c>
      <c r="J5291">
        <v>-301.7022</v>
      </c>
      <c r="K5291">
        <v>1.0431029999999999</v>
      </c>
      <c r="L5291">
        <v>6.4241029999999997</v>
      </c>
      <c r="M5291">
        <v>0.30556889999999998</v>
      </c>
      <c r="N5291">
        <v>-1.753238E-2</v>
      </c>
      <c r="O5291">
        <v>-0.95200859999999998</v>
      </c>
      <c r="P5291">
        <v>5.3961839999999997E-2</v>
      </c>
      <c r="Q5291">
        <v>2.1427330000000001E-2</v>
      </c>
      <c r="R5291">
        <v>-0.99831300000000001</v>
      </c>
      <c r="S5291">
        <v>-0.80267330000000003</v>
      </c>
      <c r="T5291">
        <v>-0.16067600000000001</v>
      </c>
      <c r="U5291">
        <v>-3.060883</v>
      </c>
      <c r="V5291">
        <v>0.25504850000000001</v>
      </c>
      <c r="W5291">
        <v>2.823341E-2</v>
      </c>
      <c r="X5291">
        <v>0.96651600000000004</v>
      </c>
      <c r="Y5291">
        <v>0.53670850000000003</v>
      </c>
      <c r="Z5291">
        <v>2.553849E-2</v>
      </c>
      <c r="AA5291">
        <v>0.84338119999999905</v>
      </c>
      <c r="AB5291">
        <v>29</v>
      </c>
      <c r="AC5291">
        <v>-5.2762999999999902</v>
      </c>
      <c r="AD5291">
        <v>-1.043107575276</v>
      </c>
      <c r="AE5291">
        <v>-19.630172999999999</v>
      </c>
      <c r="AF5291">
        <v>10.9941949948449</v>
      </c>
      <c r="AG5291">
        <v>-1.043107575276</v>
      </c>
      <c r="AH5291">
        <v>17.0335882649706</v>
      </c>
      <c r="AI5291">
        <v>92.945370023127197</v>
      </c>
      <c r="AJ5291">
        <v>57.1600990613235</v>
      </c>
      <c r="AK5291">
        <v>20.300333154379899</v>
      </c>
      <c r="AL5291">
        <v>88.382129809468097</v>
      </c>
      <c r="AM5291">
        <v>75.2175141167926</v>
      </c>
      <c r="AN5291">
        <v>1.0000000205242301</v>
      </c>
    </row>
    <row r="5292" spans="1:40" x14ac:dyDescent="0.25">
      <c r="A5292" t="str">
        <f>"20190305135933251"</f>
        <v>20190305135933251</v>
      </c>
      <c r="B5292" t="str">
        <f>"1551765573244630"</f>
        <v>1551765573244630</v>
      </c>
      <c r="C5292" t="s">
        <v>40</v>
      </c>
      <c r="D5292">
        <v>4.2228510000000004</v>
      </c>
      <c r="E5292">
        <v>0.53957829999999996</v>
      </c>
      <c r="F5292" t="s">
        <v>42</v>
      </c>
      <c r="G5292">
        <v>-306.87709999999998</v>
      </c>
      <c r="H5292" s="1">
        <v>-4.6632520000000003E-6</v>
      </c>
      <c r="I5292">
        <v>-12.89472</v>
      </c>
      <c r="J5292">
        <v>-301.63940000000002</v>
      </c>
      <c r="K5292">
        <v>1.0432269999999999</v>
      </c>
      <c r="L5292">
        <v>6.1812129999999996</v>
      </c>
      <c r="M5292">
        <v>0.2898617</v>
      </c>
      <c r="N5292">
        <v>-1.7473349999999999E-2</v>
      </c>
      <c r="O5292">
        <v>-0.95690900000000001</v>
      </c>
      <c r="P5292">
        <v>4.4577480000000003E-2</v>
      </c>
      <c r="Q5292">
        <v>2.0879229999999999E-2</v>
      </c>
      <c r="R5292">
        <v>-0.99878809999999996</v>
      </c>
      <c r="S5292">
        <v>-0.81774899999999995</v>
      </c>
      <c r="T5292">
        <v>-0.1648338</v>
      </c>
      <c r="U5292">
        <v>-3.0527950000000001</v>
      </c>
      <c r="V5292">
        <v>0.24819430000000001</v>
      </c>
      <c r="W5292">
        <v>2.8003199999999999E-2</v>
      </c>
      <c r="X5292">
        <v>0.96830539999999998</v>
      </c>
      <c r="Y5292">
        <v>0.5272213</v>
      </c>
      <c r="Z5292">
        <v>2.7396719999999999E-2</v>
      </c>
      <c r="AA5292">
        <v>0.84928619999999899</v>
      </c>
      <c r="AB5292">
        <v>29</v>
      </c>
      <c r="AC5292">
        <v>-5.2376999999999603</v>
      </c>
      <c r="AD5292">
        <v>-1.043231663252</v>
      </c>
      <c r="AE5292">
        <v>-19.075932999999999</v>
      </c>
      <c r="AF5292">
        <v>10.5137541527781</v>
      </c>
      <c r="AG5292">
        <v>-1.043231663252</v>
      </c>
      <c r="AH5292">
        <v>16.691856607520702</v>
      </c>
      <c r="AI5292">
        <v>93.027168154004698</v>
      </c>
      <c r="AJ5292">
        <v>57.794270950124996</v>
      </c>
      <c r="AK5292">
        <v>19.754630740520199</v>
      </c>
      <c r="AL5292">
        <v>88.395325004853703</v>
      </c>
      <c r="AM5292">
        <v>75.623554423528503</v>
      </c>
      <c r="AN5292">
        <v>0.99999996871594399</v>
      </c>
    </row>
    <row r="5293" spans="1:40" x14ac:dyDescent="0.25">
      <c r="A5293" t="str">
        <f>"20190305135933271"</f>
        <v>20190305135933271</v>
      </c>
      <c r="B5293" t="str">
        <f>"1551765573264149"</f>
        <v>1551765573264149</v>
      </c>
      <c r="C5293" t="s">
        <v>40</v>
      </c>
      <c r="D5293">
        <v>4.2135569999999998</v>
      </c>
      <c r="E5293">
        <v>0.5354236</v>
      </c>
      <c r="F5293" t="s">
        <v>42</v>
      </c>
      <c r="G5293">
        <v>-302.71589999999998</v>
      </c>
      <c r="H5293" s="1">
        <v>-8.4189109999999899E-7</v>
      </c>
      <c r="I5293">
        <v>-9.2103699999999993</v>
      </c>
      <c r="J5293">
        <v>-301.57549999999998</v>
      </c>
      <c r="K5293">
        <v>1.04336299999999</v>
      </c>
      <c r="L5293">
        <v>5.9158629999999999</v>
      </c>
      <c r="M5293">
        <v>0.27278089999999999</v>
      </c>
      <c r="N5293">
        <v>-1.7410080000000001E-2</v>
      </c>
      <c r="O5293">
        <v>-0.96191870000000002</v>
      </c>
      <c r="P5293">
        <v>3.3841830000000003E-2</v>
      </c>
      <c r="Q5293">
        <v>1.9304829999999999E-2</v>
      </c>
      <c r="R5293">
        <v>-0.99924089999999999</v>
      </c>
      <c r="S5293">
        <v>-0.2110291</v>
      </c>
      <c r="T5293">
        <v>-0.2045121</v>
      </c>
      <c r="U5293">
        <v>-3.017334</v>
      </c>
      <c r="V5293">
        <v>0.24129329999999999</v>
      </c>
      <c r="W5293">
        <v>2.6746249999999999E-2</v>
      </c>
      <c r="X5293">
        <v>0.97008360000000005</v>
      </c>
      <c r="Y5293">
        <v>0.33893600000000002</v>
      </c>
      <c r="Z5293">
        <v>4.4140270000000002E-2</v>
      </c>
      <c r="AA5293">
        <v>0.93977339999999998</v>
      </c>
      <c r="AB5293">
        <v>29</v>
      </c>
      <c r="AC5293">
        <v>-1.1403999999999901</v>
      </c>
      <c r="AD5293">
        <v>-1.04336384189109</v>
      </c>
      <c r="AE5293">
        <v>-15.126232999999999</v>
      </c>
      <c r="AF5293">
        <v>5.1993133097411697</v>
      </c>
      <c r="AG5293">
        <v>-1.04336384189109</v>
      </c>
      <c r="AH5293">
        <v>14.174227153255099</v>
      </c>
      <c r="AI5293">
        <v>93.953272018478799</v>
      </c>
      <c r="AJ5293">
        <v>69.856226017509798</v>
      </c>
      <c r="AK5293">
        <v>15.133743171849201</v>
      </c>
      <c r="AL5293">
        <v>88.467369996581596</v>
      </c>
      <c r="AM5293">
        <v>76.032017200694796</v>
      </c>
      <c r="AN5293">
        <v>1.0000000047514499</v>
      </c>
    </row>
    <row r="5294" spans="1:40" x14ac:dyDescent="0.25">
      <c r="A5294" t="str">
        <f>"20190305135933294"</f>
        <v>20190305135933294</v>
      </c>
      <c r="B5294" t="str">
        <f>"1551765573284646"</f>
        <v>1551765573284646</v>
      </c>
      <c r="C5294" t="s">
        <v>40</v>
      </c>
      <c r="D5294">
        <v>4.1563439999999998</v>
      </c>
      <c r="E5294">
        <v>0.53453119999999998</v>
      </c>
      <c r="F5294" t="s">
        <v>42</v>
      </c>
      <c r="G5294">
        <v>-302.60019999999997</v>
      </c>
      <c r="H5294" s="1">
        <v>-1.0045300000000001E-6</v>
      </c>
      <c r="I5294">
        <v>-8.8011839999999992</v>
      </c>
      <c r="J5294">
        <v>-301.50850000000003</v>
      </c>
      <c r="K5294">
        <v>1.0435270000000001</v>
      </c>
      <c r="L5294">
        <v>5.6123659999999997</v>
      </c>
      <c r="M5294">
        <v>0.25334329999999999</v>
      </c>
      <c r="N5294">
        <v>-1.7339130000000001E-2</v>
      </c>
      <c r="O5294">
        <v>-0.967221</v>
      </c>
      <c r="P5294">
        <v>2.0004149999999998E-2</v>
      </c>
      <c r="Q5294">
        <v>1.7979269999999999E-2</v>
      </c>
      <c r="R5294">
        <v>-0.99963840000000004</v>
      </c>
      <c r="S5294">
        <v>-0.2098083</v>
      </c>
      <c r="T5294">
        <v>-0.21364320000000001</v>
      </c>
      <c r="U5294">
        <v>-3.0135190000000001</v>
      </c>
      <c r="V5294">
        <v>0.2351163</v>
      </c>
      <c r="W5294">
        <v>2.570472E-2</v>
      </c>
      <c r="X5294">
        <v>0.97162729999999997</v>
      </c>
      <c r="Y5294">
        <v>0.3196117</v>
      </c>
      <c r="Z5294">
        <v>4.785329E-2</v>
      </c>
      <c r="AA5294">
        <v>0.9463395</v>
      </c>
      <c r="AB5294">
        <v>29</v>
      </c>
      <c r="AC5294">
        <v>-1.0916999999999399</v>
      </c>
      <c r="AD5294">
        <v>-1.0435280045299999</v>
      </c>
      <c r="AE5294">
        <v>-14.413550000000001</v>
      </c>
      <c r="AF5294">
        <v>4.68378879386115</v>
      </c>
      <c r="AG5294">
        <v>-1.0435280045299999</v>
      </c>
      <c r="AH5294">
        <v>13.5957111635126</v>
      </c>
      <c r="AI5294">
        <v>94.150596808346407</v>
      </c>
      <c r="AJ5294">
        <v>70.990920594551994</v>
      </c>
      <c r="AK5294">
        <v>14.4177040545088</v>
      </c>
      <c r="AL5294">
        <v>88.527065810158703</v>
      </c>
      <c r="AM5294">
        <v>76.3969406705003</v>
      </c>
      <c r="AN5294">
        <v>1.00000000863062</v>
      </c>
    </row>
    <row r="5295" spans="1:40" x14ac:dyDescent="0.25">
      <c r="A5295" t="str">
        <f>"20190305135933316"</f>
        <v>20190305135933316</v>
      </c>
      <c r="B5295" t="str">
        <f>"1551765573313925"</f>
        <v>1551765573313925</v>
      </c>
      <c r="C5295" t="s">
        <v>40</v>
      </c>
      <c r="D5295">
        <v>4.1304119999999998</v>
      </c>
      <c r="E5295">
        <v>0.53436619999999901</v>
      </c>
      <c r="F5295" t="s">
        <v>42</v>
      </c>
      <c r="G5295">
        <v>-302.80860000000001</v>
      </c>
      <c r="H5295" s="1">
        <v>-4.7156899999999997E-6</v>
      </c>
      <c r="I5295">
        <v>-10.61989</v>
      </c>
      <c r="J5295">
        <v>-301.44909999999999</v>
      </c>
      <c r="K5295">
        <v>1.0437000000000001</v>
      </c>
      <c r="L5295">
        <v>5.315887</v>
      </c>
      <c r="M5295">
        <v>0.2344687</v>
      </c>
      <c r="N5295">
        <v>-1.7271069999999999E-2</v>
      </c>
      <c r="O5295">
        <v>-0.97197040000000001</v>
      </c>
      <c r="P5295">
        <v>6.7875990000000001E-3</v>
      </c>
      <c r="Q5295">
        <v>1.888128E-2</v>
      </c>
      <c r="R5295">
        <v>-0.99979899999999999</v>
      </c>
      <c r="S5295">
        <v>-0.24102779999999999</v>
      </c>
      <c r="T5295">
        <v>-0.1934669</v>
      </c>
      <c r="U5295">
        <v>-3.0093990000000002</v>
      </c>
      <c r="V5295">
        <v>0.2290643</v>
      </c>
      <c r="W5295">
        <v>2.6884479999999999E-2</v>
      </c>
      <c r="X5295">
        <v>0.97303989999999996</v>
      </c>
      <c r="Y5295">
        <v>0.31105899999999997</v>
      </c>
      <c r="Z5295">
        <v>4.2368790000000003E-2</v>
      </c>
      <c r="AA5295">
        <v>0.94944569999999995</v>
      </c>
      <c r="AB5295">
        <v>29</v>
      </c>
      <c r="AC5295">
        <v>-1.3595000000000199</v>
      </c>
      <c r="AD5295">
        <v>-1.0437047156899999</v>
      </c>
      <c r="AE5295">
        <v>-15.9357769999999</v>
      </c>
      <c r="AF5295">
        <v>5.0371375970578498</v>
      </c>
      <c r="AG5295">
        <v>-1.0437047156899999</v>
      </c>
      <c r="AH5295">
        <v>15.108265045845201</v>
      </c>
      <c r="AI5295">
        <v>93.749533999004697</v>
      </c>
      <c r="AJ5295">
        <v>71.561470049184905</v>
      </c>
      <c r="AK5295">
        <v>15.9600046178174</v>
      </c>
      <c r="AL5295">
        <v>88.459447048963597</v>
      </c>
      <c r="AM5295">
        <v>76.753134466842297</v>
      </c>
      <c r="AN5295">
        <v>0.99999993789568298</v>
      </c>
    </row>
    <row r="5296" spans="1:40" x14ac:dyDescent="0.25">
      <c r="A5296" t="str">
        <f>"20190305135933336"</f>
        <v>20190305135933336</v>
      </c>
      <c r="B5296" t="str">
        <f>"1551765573324661"</f>
        <v>1551765573324661</v>
      </c>
      <c r="C5296" t="s">
        <v>40</v>
      </c>
      <c r="D5296">
        <v>4.1279769999999996</v>
      </c>
      <c r="E5296">
        <v>0.53418009999999905</v>
      </c>
      <c r="F5296" t="s">
        <v>42</v>
      </c>
      <c r="G5296">
        <v>-302.92110000000002</v>
      </c>
      <c r="H5296" s="1">
        <v>-4.7838200000000004E-6</v>
      </c>
      <c r="I5296">
        <v>-10.47836</v>
      </c>
      <c r="J5296">
        <v>-301.40190000000001</v>
      </c>
      <c r="K5296">
        <v>1.043858</v>
      </c>
      <c r="L5296">
        <v>5.0546569999999997</v>
      </c>
      <c r="M5296">
        <v>0.21795059999999999</v>
      </c>
      <c r="N5296">
        <v>-1.7210900000000001E-2</v>
      </c>
      <c r="O5296">
        <v>-0.97580809999999996</v>
      </c>
      <c r="P5296">
        <v>-3.279868E-3</v>
      </c>
      <c r="Q5296">
        <v>2.0087219999999999E-2</v>
      </c>
      <c r="R5296">
        <v>-0.99979309999999999</v>
      </c>
      <c r="S5296">
        <v>-0.28018189999999998</v>
      </c>
      <c r="T5296">
        <v>-0.19865749999999999</v>
      </c>
      <c r="U5296">
        <v>-3.006256</v>
      </c>
      <c r="V5296">
        <v>0.22238540000000001</v>
      </c>
      <c r="W5296">
        <v>2.839262E-2</v>
      </c>
      <c r="X5296">
        <v>0.97454529999999995</v>
      </c>
      <c r="Y5296">
        <v>0.3072819</v>
      </c>
      <c r="Z5296">
        <v>4.446398E-2</v>
      </c>
      <c r="AA5296">
        <v>0.95057919999999996</v>
      </c>
      <c r="AB5296">
        <v>29</v>
      </c>
      <c r="AC5296">
        <v>-1.5192000000000101</v>
      </c>
      <c r="AD5296">
        <v>-1.0438627838200001</v>
      </c>
      <c r="AE5296">
        <v>-15.533016999999999</v>
      </c>
      <c r="AF5296">
        <v>4.8469165214451904</v>
      </c>
      <c r="AG5296">
        <v>-1.0438627838200001</v>
      </c>
      <c r="AH5296">
        <v>14.762290596208199</v>
      </c>
      <c r="AI5296">
        <v>93.843520961287197</v>
      </c>
      <c r="AJ5296">
        <v>71.823392341724997</v>
      </c>
      <c r="AK5296">
        <v>15.5726514416846</v>
      </c>
      <c r="AL5296">
        <v>88.373004015045296</v>
      </c>
      <c r="AM5296">
        <v>77.145550936741202</v>
      </c>
      <c r="AN5296">
        <v>0.99999997437785704</v>
      </c>
    </row>
    <row r="5297" spans="1:40" x14ac:dyDescent="0.25">
      <c r="A5297" t="str">
        <f>"20190305135933363"</f>
        <v>20190305135933363</v>
      </c>
      <c r="B5297" t="str">
        <f>"1551765573353941"</f>
        <v>1551765573353941</v>
      </c>
      <c r="C5297" t="s">
        <v>40</v>
      </c>
      <c r="D5297">
        <v>4.1337020000000004</v>
      </c>
      <c r="E5297">
        <v>0.53384919999999902</v>
      </c>
      <c r="F5297" t="s">
        <v>42</v>
      </c>
      <c r="G5297">
        <v>-303.041</v>
      </c>
      <c r="H5297" s="1">
        <v>-4.666602E-6</v>
      </c>
      <c r="I5297">
        <v>-10.88527</v>
      </c>
      <c r="J5297">
        <v>-301.34609999999998</v>
      </c>
      <c r="K5297">
        <v>1.0440860000000001</v>
      </c>
      <c r="L5297">
        <v>4.705292</v>
      </c>
      <c r="M5297">
        <v>0.1960451</v>
      </c>
      <c r="N5297">
        <v>-1.7126990000000002E-2</v>
      </c>
      <c r="O5297">
        <v>-0.98044540000000002</v>
      </c>
      <c r="P5297">
        <v>-1.85747E-2</v>
      </c>
      <c r="Q5297">
        <v>2.0418470000000001E-2</v>
      </c>
      <c r="R5297">
        <v>-0.99961940000000005</v>
      </c>
      <c r="S5297">
        <v>-0.3088379</v>
      </c>
      <c r="T5297">
        <v>-0.1966958</v>
      </c>
      <c r="U5297">
        <v>-3.003571</v>
      </c>
      <c r="V5297">
        <v>0.21546090000000001</v>
      </c>
      <c r="W5297">
        <v>2.904085E-2</v>
      </c>
      <c r="X5297">
        <v>0.97608050000000002</v>
      </c>
      <c r="Y5297">
        <v>0.29502289999999998</v>
      </c>
      <c r="Z5297">
        <v>4.4548629999999999E-2</v>
      </c>
      <c r="AA5297">
        <v>0.9544511</v>
      </c>
      <c r="AB5297">
        <v>29</v>
      </c>
      <c r="AC5297">
        <v>-1.6949000000000101</v>
      </c>
      <c r="AD5297">
        <v>-1.044090666602</v>
      </c>
      <c r="AE5297">
        <v>-15.590562</v>
      </c>
      <c r="AF5297">
        <v>4.6980775856324204</v>
      </c>
      <c r="AG5297">
        <v>-1.044090666602</v>
      </c>
      <c r="AH5297">
        <v>14.889611702025499</v>
      </c>
      <c r="AI5297">
        <v>93.825801164760506</v>
      </c>
      <c r="AJ5297">
        <v>72.488096827950002</v>
      </c>
      <c r="AK5297">
        <v>15.648085983844901</v>
      </c>
      <c r="AL5297">
        <v>88.3358478168321</v>
      </c>
      <c r="AM5297">
        <v>77.5520964108008</v>
      </c>
      <c r="AN5297">
        <v>0.99999995643888995</v>
      </c>
    </row>
    <row r="5298" spans="1:40" x14ac:dyDescent="0.25">
      <c r="A5298" t="str">
        <f>"20190305135933391"</f>
        <v>20190305135933391</v>
      </c>
      <c r="B5298" t="str">
        <f>"1551765573384197"</f>
        <v>1551765573384197</v>
      </c>
      <c r="C5298" t="s">
        <v>40</v>
      </c>
      <c r="D5298">
        <v>4.1376600000000003</v>
      </c>
      <c r="E5298">
        <v>0.53324510000000003</v>
      </c>
      <c r="F5298" t="s">
        <v>42</v>
      </c>
      <c r="G5298">
        <v>-303.1918</v>
      </c>
      <c r="H5298" s="1">
        <v>-4.6516789999999999E-6</v>
      </c>
      <c r="I5298">
        <v>-11.007759999999999</v>
      </c>
      <c r="J5298">
        <v>-301.29649999999998</v>
      </c>
      <c r="K5298">
        <v>1.0443359999999999</v>
      </c>
      <c r="L5298">
        <v>4.3425900000000004</v>
      </c>
      <c r="M5298">
        <v>0.1735408</v>
      </c>
      <c r="N5298">
        <v>-1.7034879999999999E-2</v>
      </c>
      <c r="O5298">
        <v>-0.98467950000000004</v>
      </c>
      <c r="P5298">
        <v>-3.4049940000000001E-2</v>
      </c>
      <c r="Q5298">
        <v>2.0313250000000001E-2</v>
      </c>
      <c r="R5298">
        <v>-0.99921400000000005</v>
      </c>
      <c r="S5298">
        <v>-0.35223389999999999</v>
      </c>
      <c r="T5298">
        <v>-0.19925280000000001</v>
      </c>
      <c r="U5298">
        <v>-2.9986570000000001</v>
      </c>
      <c r="V5298">
        <v>0.2081924</v>
      </c>
      <c r="W5298">
        <v>2.9264869999999998E-2</v>
      </c>
      <c r="X5298">
        <v>0.97765000000000002</v>
      </c>
      <c r="Y5298">
        <v>0.28693550000000001</v>
      </c>
      <c r="Z5298">
        <v>4.599541E-2</v>
      </c>
      <c r="AA5298">
        <v>0.95684499999999995</v>
      </c>
      <c r="AB5298">
        <v>29</v>
      </c>
      <c r="AC5298">
        <v>-1.89530000000002</v>
      </c>
      <c r="AD5298">
        <v>-1.0443406516789999</v>
      </c>
      <c r="AE5298">
        <v>-15.350350000000001</v>
      </c>
      <c r="AF5298">
        <v>4.5102691353821198</v>
      </c>
      <c r="AG5298">
        <v>-1.0443406516789999</v>
      </c>
      <c r="AH5298">
        <v>14.7212910990573</v>
      </c>
      <c r="AI5298">
        <v>93.880359344909294</v>
      </c>
      <c r="AJ5298">
        <v>72.966125577583696</v>
      </c>
      <c r="AK5298">
        <v>15.432095991585699</v>
      </c>
      <c r="AL5298">
        <v>88.323007056587599</v>
      </c>
      <c r="AM5298">
        <v>77.9783310794014</v>
      </c>
      <c r="AN5298">
        <v>1.0000000152669299</v>
      </c>
    </row>
    <row r="5299" spans="1:40" x14ac:dyDescent="0.25">
      <c r="A5299" t="str">
        <f>"20190305135933413"</f>
        <v>20190305135933413</v>
      </c>
      <c r="B5299" t="str">
        <f>"1551765573404693"</f>
        <v>1551765573404693</v>
      </c>
      <c r="C5299" t="s">
        <v>40</v>
      </c>
      <c r="D5299">
        <v>4.1698000000000004</v>
      </c>
      <c r="E5299">
        <v>0.53272449999999905</v>
      </c>
      <c r="F5299" t="s">
        <v>42</v>
      </c>
      <c r="G5299">
        <v>-303.33280000000002</v>
      </c>
      <c r="H5299" s="1">
        <v>-4.6324559999999997E-6</v>
      </c>
      <c r="I5299">
        <v>-11.13772</v>
      </c>
      <c r="J5299">
        <v>-301.26130000000001</v>
      </c>
      <c r="K5299">
        <v>1.044556</v>
      </c>
      <c r="L5299">
        <v>4.0407409999999997</v>
      </c>
      <c r="M5299">
        <v>0.1549972</v>
      </c>
      <c r="N5299">
        <v>-1.695764E-2</v>
      </c>
      <c r="O5299">
        <v>-0.98776949999999997</v>
      </c>
      <c r="P5299">
        <v>-4.5123820000000002E-2</v>
      </c>
      <c r="Q5299">
        <v>1.96291E-2</v>
      </c>
      <c r="R5299">
        <v>-0.99878900000000004</v>
      </c>
      <c r="S5299">
        <v>-0.39370729999999998</v>
      </c>
      <c r="T5299">
        <v>-0.20191809999999999</v>
      </c>
      <c r="U5299">
        <v>-2.993042</v>
      </c>
      <c r="V5299">
        <v>0.20060330000000001</v>
      </c>
      <c r="W5299">
        <v>2.8913589999999999E-2</v>
      </c>
      <c r="X5299">
        <v>0.97924580000000006</v>
      </c>
      <c r="Y5299">
        <v>0.28218080000000001</v>
      </c>
      <c r="Z5299">
        <v>4.7338999999999999E-2</v>
      </c>
      <c r="AA5299">
        <v>0.95819259999999995</v>
      </c>
      <c r="AB5299">
        <v>29</v>
      </c>
      <c r="AC5299">
        <v>-2.0715000000000101</v>
      </c>
      <c r="AD5299">
        <v>-1.0445606324559999</v>
      </c>
      <c r="AE5299">
        <v>-15.178460999999899</v>
      </c>
      <c r="AF5299">
        <v>4.3790554657700298</v>
      </c>
      <c r="AG5299">
        <v>-1.0445606324559999</v>
      </c>
      <c r="AH5299">
        <v>14.6059431452616</v>
      </c>
      <c r="AI5299">
        <v>93.918842244033797</v>
      </c>
      <c r="AJ5299">
        <v>73.310572116840504</v>
      </c>
      <c r="AK5299">
        <v>15.2840050003191</v>
      </c>
      <c r="AL5299">
        <v>88.343142427076401</v>
      </c>
      <c r="AM5299">
        <v>78.422852355600398</v>
      </c>
      <c r="AN5299">
        <v>1.0000000082375999</v>
      </c>
    </row>
    <row r="5300" spans="1:40" x14ac:dyDescent="0.25">
      <c r="A5300" t="str">
        <f>"20190305135933432"</f>
        <v>20190305135933432</v>
      </c>
      <c r="B5300" t="str">
        <f>"1551765573424214"</f>
        <v>1551765573424214</v>
      </c>
      <c r="C5300" t="s">
        <v>40</v>
      </c>
      <c r="D5300">
        <v>4.158944</v>
      </c>
      <c r="E5300">
        <v>0.53209930000000005</v>
      </c>
      <c r="F5300" t="s">
        <v>42</v>
      </c>
      <c r="G5300">
        <v>-303.41309999999999</v>
      </c>
      <c r="H5300" s="1">
        <v>-4.6377160000000001E-6</v>
      </c>
      <c r="I5300">
        <v>-11.16413</v>
      </c>
      <c r="J5300">
        <v>-301.23480000000001</v>
      </c>
      <c r="K5300">
        <v>1.0447649999999999</v>
      </c>
      <c r="L5300">
        <v>3.7722470000000001</v>
      </c>
      <c r="M5300">
        <v>0.13869879999999901</v>
      </c>
      <c r="N5300">
        <v>-1.6886930000000001E-2</v>
      </c>
      <c r="O5300">
        <v>-0.99019049999999997</v>
      </c>
      <c r="P5300">
        <v>-5.2451119999999997E-2</v>
      </c>
      <c r="Q5300">
        <v>1.865412E-2</v>
      </c>
      <c r="R5300">
        <v>-0.99844900000000003</v>
      </c>
      <c r="S5300">
        <v>-0.42294310000000002</v>
      </c>
      <c r="T5300">
        <v>-0.20531089999999999</v>
      </c>
      <c r="U5300">
        <v>-2.988556</v>
      </c>
      <c r="V5300">
        <v>0.19159580000000001</v>
      </c>
      <c r="W5300">
        <v>2.8323029999999999E-2</v>
      </c>
      <c r="X5300">
        <v>0.98106519999999997</v>
      </c>
      <c r="Y5300">
        <v>0.27574749999999998</v>
      </c>
      <c r="Z5300">
        <v>4.8862309999999999E-2</v>
      </c>
      <c r="AA5300">
        <v>0.95998740000000005</v>
      </c>
      <c r="AB5300">
        <v>29</v>
      </c>
      <c r="AC5300">
        <v>-2.1782999999999801</v>
      </c>
      <c r="AD5300">
        <v>-1.0447696377159901</v>
      </c>
      <c r="AE5300">
        <v>-14.936376999999901</v>
      </c>
      <c r="AF5300">
        <v>4.20902839136662</v>
      </c>
      <c r="AG5300">
        <v>-1.0447696377159901</v>
      </c>
      <c r="AH5300">
        <v>14.420711846415999</v>
      </c>
      <c r="AI5300">
        <v>93.9783663907819</v>
      </c>
      <c r="AJ5300">
        <v>73.728856915765604</v>
      </c>
      <c r="AK5300">
        <v>15.0586982755013</v>
      </c>
      <c r="AL5300">
        <v>88.376992932040295</v>
      </c>
      <c r="AM5300">
        <v>78.949583530206695</v>
      </c>
      <c r="AN5300">
        <v>1.0000000356285299</v>
      </c>
    </row>
    <row r="5301" spans="1:40" x14ac:dyDescent="0.25">
      <c r="A5301" t="str">
        <f>"20190305135933453"</f>
        <v>20190305135933453</v>
      </c>
      <c r="B5301" t="str">
        <f>"1551765573444710"</f>
        <v>1551765573444710</v>
      </c>
      <c r="C5301" t="s">
        <v>40</v>
      </c>
      <c r="D5301">
        <v>4.1454180000000003</v>
      </c>
      <c r="E5301">
        <v>0.53156630000000005</v>
      </c>
      <c r="F5301" t="s">
        <v>42</v>
      </c>
      <c r="G5301">
        <v>-303.42700000000002</v>
      </c>
      <c r="H5301" s="1">
        <v>-4.6673369999999997E-6</v>
      </c>
      <c r="I5301">
        <v>-11.08433</v>
      </c>
      <c r="J5301">
        <v>-301.21230000000003</v>
      </c>
      <c r="K5301">
        <v>1.0450060000000001</v>
      </c>
      <c r="L5301">
        <v>3.499298</v>
      </c>
      <c r="M5301">
        <v>0.12236420000000001</v>
      </c>
      <c r="N5301">
        <v>-1.6808E-2</v>
      </c>
      <c r="O5301">
        <v>-0.99234319999999998</v>
      </c>
      <c r="P5301">
        <v>-5.542126E-2</v>
      </c>
      <c r="Q5301">
        <v>1.7616550000000002E-2</v>
      </c>
      <c r="R5301">
        <v>-0.99830799999999997</v>
      </c>
      <c r="S5301">
        <v>-0.4405212</v>
      </c>
      <c r="T5301">
        <v>-0.2099473</v>
      </c>
      <c r="U5301">
        <v>-2.9854430000000001</v>
      </c>
      <c r="V5301">
        <v>0.17828139999999901</v>
      </c>
      <c r="W5301">
        <v>2.7831600000000001E-2</v>
      </c>
      <c r="X5301">
        <v>0.98358590000000001</v>
      </c>
      <c r="Y5301">
        <v>0.26556170000000001</v>
      </c>
      <c r="Z5301">
        <v>5.0804750000000003E-2</v>
      </c>
      <c r="AA5301">
        <v>0.96275429999999995</v>
      </c>
      <c r="AB5301">
        <v>29</v>
      </c>
      <c r="AC5301">
        <v>-2.2146999999999899</v>
      </c>
      <c r="AD5301">
        <v>-1.0450106673370001</v>
      </c>
      <c r="AE5301">
        <v>-14.583627999999999</v>
      </c>
      <c r="AF5301">
        <v>3.96292849671861</v>
      </c>
      <c r="AG5301">
        <v>-1.0450106673370001</v>
      </c>
      <c r="AH5301">
        <v>14.1320394192173</v>
      </c>
      <c r="AI5301">
        <v>94.072571766868904</v>
      </c>
      <c r="AJ5301">
        <v>74.335358523300698</v>
      </c>
      <c r="AK5301">
        <v>14.714325934655101</v>
      </c>
      <c r="AL5301">
        <v>88.405160906898999</v>
      </c>
      <c r="AM5301">
        <v>79.726305267137604</v>
      </c>
      <c r="AN5301">
        <v>1.0000000391116599</v>
      </c>
    </row>
    <row r="5302" spans="1:40" x14ac:dyDescent="0.25">
      <c r="A5302" t="str">
        <f>"20190305135933482"</f>
        <v>20190305135933482</v>
      </c>
      <c r="B5302" t="str">
        <f>"1551765573473993"</f>
        <v>1551765573473993</v>
      </c>
      <c r="C5302" t="s">
        <v>40</v>
      </c>
      <c r="D5302">
        <v>4.1606940000000003</v>
      </c>
      <c r="E5302">
        <v>0.53084709999999902</v>
      </c>
      <c r="F5302" t="s">
        <v>42</v>
      </c>
      <c r="G5302">
        <v>-303.38979999999998</v>
      </c>
      <c r="H5302" s="1">
        <v>-4.6598870000000003E-6</v>
      </c>
      <c r="I5302">
        <v>-11.08685</v>
      </c>
      <c r="J5302">
        <v>-301.1884</v>
      </c>
      <c r="K5302">
        <v>1.045398</v>
      </c>
      <c r="L5302">
        <v>3.122131</v>
      </c>
      <c r="M5302">
        <v>0.10025240000000001</v>
      </c>
      <c r="N5302">
        <v>-1.667716E-2</v>
      </c>
      <c r="O5302">
        <v>-0.99482230000000005</v>
      </c>
      <c r="P5302">
        <v>-6.3388299999999995E-2</v>
      </c>
      <c r="Q5302">
        <v>1.7444359999999999E-2</v>
      </c>
      <c r="R5302">
        <v>-0.99783659999999996</v>
      </c>
      <c r="S5302">
        <v>-0.44549559999999999</v>
      </c>
      <c r="T5302">
        <v>-0.21379519999999999</v>
      </c>
      <c r="U5302">
        <v>-2.9841310000000001</v>
      </c>
      <c r="V5302">
        <v>0.16419429999999999</v>
      </c>
      <c r="W5302">
        <v>2.822293E-2</v>
      </c>
      <c r="X5302">
        <v>0.98602420000000002</v>
      </c>
      <c r="Y5302">
        <v>0.24568690000000001</v>
      </c>
      <c r="Z5302">
        <v>5.2672400000000001E-2</v>
      </c>
      <c r="AA5302">
        <v>0.96791709999999997</v>
      </c>
      <c r="AB5302">
        <v>29</v>
      </c>
      <c r="AC5302">
        <v>-2.2013999999999698</v>
      </c>
      <c r="AD5302">
        <v>-1.0454026598870001</v>
      </c>
      <c r="AE5302">
        <v>-14.208981</v>
      </c>
      <c r="AF5302">
        <v>3.59597995267172</v>
      </c>
      <c r="AG5302">
        <v>-1.0454026598870001</v>
      </c>
      <c r="AH5302">
        <v>13.8434716597747</v>
      </c>
      <c r="AI5302">
        <v>94.18033160441</v>
      </c>
      <c r="AJ5302">
        <v>75.438665787291697</v>
      </c>
      <c r="AK5302">
        <v>14.3410475954967</v>
      </c>
      <c r="AL5302">
        <v>88.3827304955513</v>
      </c>
      <c r="AM5302">
        <v>80.545766599648204</v>
      </c>
      <c r="AN5302">
        <v>1.00000001245795</v>
      </c>
    </row>
    <row r="5303" spans="1:40" x14ac:dyDescent="0.25">
      <c r="A5303" t="str">
        <f>"20190305135933506"</f>
        <v>20190305135933506</v>
      </c>
      <c r="B5303" t="str">
        <f>"1551765573494486"</f>
        <v>1551765573494486</v>
      </c>
      <c r="C5303" t="s">
        <v>40</v>
      </c>
      <c r="D5303">
        <v>4.0911960000000001</v>
      </c>
      <c r="E5303">
        <v>0.53041389999999999</v>
      </c>
      <c r="F5303" t="s">
        <v>42</v>
      </c>
      <c r="G5303">
        <v>-303.47859999999997</v>
      </c>
      <c r="H5303" s="1">
        <v>-4.4875270000000003E-6</v>
      </c>
      <c r="I5303">
        <v>-11.639620000000001</v>
      </c>
      <c r="J5303">
        <v>-301.17439999999999</v>
      </c>
      <c r="K5303">
        <v>1.0457590000000001</v>
      </c>
      <c r="L5303">
        <v>2.8016359999999998</v>
      </c>
      <c r="M5303">
        <v>8.1946099999999994E-2</v>
      </c>
      <c r="N5303">
        <v>-1.6514419999999998E-2</v>
      </c>
      <c r="O5303">
        <v>-0.99650000000000005</v>
      </c>
      <c r="P5303">
        <v>-7.2595870000000007E-2</v>
      </c>
      <c r="Q5303">
        <v>1.8278030000000001E-2</v>
      </c>
      <c r="R5303">
        <v>-0.99719389999999997</v>
      </c>
      <c r="S5303">
        <v>-0.46246340000000002</v>
      </c>
      <c r="T5303">
        <v>-0.21109559999999999</v>
      </c>
      <c r="U5303">
        <v>-2.980804</v>
      </c>
      <c r="V5303">
        <v>0.15515860000000001</v>
      </c>
      <c r="W5303">
        <v>2.9369719999999998E-2</v>
      </c>
      <c r="X5303">
        <v>0.98745289999999997</v>
      </c>
      <c r="Y5303">
        <v>0.23340640000000001</v>
      </c>
      <c r="Z5303">
        <v>5.2311009999999998E-2</v>
      </c>
      <c r="AA5303">
        <v>0.97097120000000003</v>
      </c>
      <c r="AB5303">
        <v>29</v>
      </c>
      <c r="AC5303">
        <v>-2.3041999999999798</v>
      </c>
      <c r="AD5303">
        <v>-1.0457634875270001</v>
      </c>
      <c r="AE5303">
        <v>-14.441255999999999</v>
      </c>
      <c r="AF5303">
        <v>3.4623088820319201</v>
      </c>
      <c r="AG5303">
        <v>-1.0457634875270001</v>
      </c>
      <c r="AH5303">
        <v>14.1315622274871</v>
      </c>
      <c r="AI5303">
        <v>94.111129194600494</v>
      </c>
      <c r="AJ5303">
        <v>76.233408103676794</v>
      </c>
      <c r="AK5303">
        <v>14.587057792981399</v>
      </c>
      <c r="AL5303">
        <v>88.316996986224694</v>
      </c>
      <c r="AM5303">
        <v>81.070121683590102</v>
      </c>
      <c r="AN5303">
        <v>1.00000000066262</v>
      </c>
    </row>
    <row r="5304" spans="1:40" x14ac:dyDescent="0.25">
      <c r="A5304" t="str">
        <f>"20190305135933528"</f>
        <v>20190305135933528</v>
      </c>
      <c r="B5304" t="str">
        <f>"1551765573524742"</f>
        <v>1551765573524742</v>
      </c>
      <c r="C5304" t="s">
        <v>40</v>
      </c>
      <c r="D5304">
        <v>4.1219849999999996</v>
      </c>
      <c r="E5304">
        <v>0.53002269999999996</v>
      </c>
      <c r="F5304" t="s">
        <v>42</v>
      </c>
      <c r="G5304">
        <v>-303.68450000000001</v>
      </c>
      <c r="H5304" s="1">
        <v>-4.1963970000000003E-6</v>
      </c>
      <c r="I5304">
        <v>-12.602460000000001</v>
      </c>
      <c r="J5304">
        <v>-301.16640000000001</v>
      </c>
      <c r="K5304">
        <v>1.046079</v>
      </c>
      <c r="L5304">
        <v>2.5080870000000002</v>
      </c>
      <c r="M5304">
        <v>6.5549739999999995E-2</v>
      </c>
      <c r="N5304">
        <v>-1.6284969999999999E-2</v>
      </c>
      <c r="O5304">
        <v>-0.99771650000000001</v>
      </c>
      <c r="P5304">
        <v>-8.0323759999999994E-2</v>
      </c>
      <c r="Q5304">
        <v>1.9104099999999999E-2</v>
      </c>
      <c r="R5304">
        <v>-0.99658630000000004</v>
      </c>
      <c r="S5304">
        <v>-0.48507689999999998</v>
      </c>
      <c r="T5304">
        <v>-0.20209340000000001</v>
      </c>
      <c r="U5304">
        <v>-2.9768370000000002</v>
      </c>
      <c r="V5304">
        <v>0.1465659</v>
      </c>
      <c r="W5304">
        <v>3.040114E-2</v>
      </c>
      <c r="X5304">
        <v>0.98873359999999999</v>
      </c>
      <c r="Y5304">
        <v>0.22483420000000001</v>
      </c>
      <c r="Z5304">
        <v>4.986877E-2</v>
      </c>
      <c r="AA5304">
        <v>0.97312010000000004</v>
      </c>
      <c r="AB5304">
        <v>29</v>
      </c>
      <c r="AC5304">
        <v>-2.5181</v>
      </c>
      <c r="AD5304">
        <v>-1.0460831963970001</v>
      </c>
      <c r="AE5304">
        <v>-15.110547</v>
      </c>
      <c r="AF5304">
        <v>3.4870461069560301</v>
      </c>
      <c r="AG5304">
        <v>-1.0460831963970001</v>
      </c>
      <c r="AH5304">
        <v>14.8437394666605</v>
      </c>
      <c r="AI5304">
        <v>93.924651066111494</v>
      </c>
      <c r="AJ5304">
        <v>76.779957891391206</v>
      </c>
      <c r="AK5304">
        <v>15.2836638918787</v>
      </c>
      <c r="AL5304">
        <v>88.257874495295894</v>
      </c>
      <c r="AM5304">
        <v>81.568106393650595</v>
      </c>
      <c r="AN5304">
        <v>0.99999996206253405</v>
      </c>
    </row>
    <row r="5305" spans="1:40" x14ac:dyDescent="0.25">
      <c r="A5305" t="str">
        <f>"20190305135933552"</f>
        <v>20190305135933552</v>
      </c>
      <c r="B5305" t="str">
        <f>"1551765573544262"</f>
        <v>1551765573544262</v>
      </c>
      <c r="C5305" t="s">
        <v>40</v>
      </c>
      <c r="D5305">
        <v>4.1113049999999998</v>
      </c>
      <c r="E5305">
        <v>0.52971099999999904</v>
      </c>
      <c r="F5305" t="s">
        <v>42</v>
      </c>
      <c r="G5305">
        <v>-303.94740000000002</v>
      </c>
      <c r="H5305" s="1">
        <v>-3.7846359999999999E-6</v>
      </c>
      <c r="I5305">
        <v>-13.949439999999999</v>
      </c>
      <c r="J5305">
        <v>-301.16269999999997</v>
      </c>
      <c r="K5305">
        <v>1.046386</v>
      </c>
      <c r="L5305">
        <v>2.2019959999999998</v>
      </c>
      <c r="M5305">
        <v>4.8905980000000002E-2</v>
      </c>
      <c r="N5305">
        <v>-1.5843869999999999E-2</v>
      </c>
      <c r="O5305">
        <v>-0.99867779999999995</v>
      </c>
      <c r="P5305">
        <v>-8.8648829999999998E-2</v>
      </c>
      <c r="Q5305">
        <v>1.9957030000000001E-2</v>
      </c>
      <c r="R5305">
        <v>-0.99586300000000005</v>
      </c>
      <c r="S5305">
        <v>-0.50244140000000004</v>
      </c>
      <c r="T5305">
        <v>-0.18899630000000001</v>
      </c>
      <c r="U5305">
        <v>-2.9733890000000001</v>
      </c>
      <c r="V5305">
        <v>0.1383229</v>
      </c>
      <c r="W5305">
        <v>3.1234729999999999E-2</v>
      </c>
      <c r="X5305">
        <v>0.98989450000000001</v>
      </c>
      <c r="Y5305">
        <v>0.2143342</v>
      </c>
      <c r="Z5305">
        <v>4.625953E-2</v>
      </c>
      <c r="AA5305">
        <v>0.97566430000000004</v>
      </c>
      <c r="AB5305">
        <v>29</v>
      </c>
      <c r="AC5305">
        <v>-2.7847000000000399</v>
      </c>
      <c r="AD5305">
        <v>-1.046389784636</v>
      </c>
      <c r="AE5305">
        <v>-16.151436</v>
      </c>
      <c r="AF5305">
        <v>3.5568697565774001</v>
      </c>
      <c r="AG5305">
        <v>-1.046389784636</v>
      </c>
      <c r="AH5305">
        <v>15.9309626207604</v>
      </c>
      <c r="AI5305">
        <v>93.6678955244696</v>
      </c>
      <c r="AJ5305">
        <v>77.414121093575005</v>
      </c>
      <c r="AK5305">
        <v>16.356705782972</v>
      </c>
      <c r="AL5305">
        <v>88.210090633484299</v>
      </c>
      <c r="AM5305">
        <v>82.045282106995998</v>
      </c>
      <c r="AN5305">
        <v>0.99999997707641597</v>
      </c>
    </row>
    <row r="5306" spans="1:40" x14ac:dyDescent="0.25">
      <c r="A5306" t="str">
        <f>"20190305135933578"</f>
        <v>20190305135933578</v>
      </c>
      <c r="B5306" t="str">
        <f>"1551765573564758"</f>
        <v>1551765573564758</v>
      </c>
      <c r="C5306" t="s">
        <v>40</v>
      </c>
      <c r="D5306">
        <v>4.1302390000000004</v>
      </c>
      <c r="E5306">
        <v>0.5294624</v>
      </c>
      <c r="F5306" t="s">
        <v>42</v>
      </c>
      <c r="G5306">
        <v>-304.18239999999997</v>
      </c>
      <c r="H5306" s="1">
        <v>-3.4631299999999999E-6</v>
      </c>
      <c r="I5306">
        <v>-14.932270000000001</v>
      </c>
      <c r="J5306">
        <v>-301.16359999999997</v>
      </c>
      <c r="K5306">
        <v>1.0467649999999999</v>
      </c>
      <c r="L5306">
        <v>1.86084</v>
      </c>
      <c r="M5306">
        <v>3.1110410000000002E-2</v>
      </c>
      <c r="N5306">
        <v>-1.515742E-2</v>
      </c>
      <c r="O5306">
        <v>-0.99940119999999999</v>
      </c>
      <c r="P5306">
        <v>-9.7938559999999994E-2</v>
      </c>
      <c r="Q5306">
        <v>2.0894050000000001E-2</v>
      </c>
      <c r="R5306">
        <v>-0.99497340000000001</v>
      </c>
      <c r="S5306">
        <v>-0.52334590000000003</v>
      </c>
      <c r="T5306">
        <v>-0.18134810000000001</v>
      </c>
      <c r="U5306">
        <v>-2.9695130000000001</v>
      </c>
      <c r="V5306">
        <v>0.12989389999999901</v>
      </c>
      <c r="W5306">
        <v>3.1933900000000001E-2</v>
      </c>
      <c r="X5306">
        <v>0.99101349999999999</v>
      </c>
      <c r="Y5306">
        <v>0.2038334</v>
      </c>
      <c r="Z5306">
        <v>4.4635349999999997E-2</v>
      </c>
      <c r="AA5306">
        <v>0.97798750000000001</v>
      </c>
      <c r="AB5306">
        <v>29</v>
      </c>
      <c r="AC5306">
        <v>-3.0187999999999899</v>
      </c>
      <c r="AD5306">
        <v>-1.0467684631299901</v>
      </c>
      <c r="AE5306">
        <v>-16.793109999999999</v>
      </c>
      <c r="AF5306">
        <v>3.5265656018924898</v>
      </c>
      <c r="AG5306">
        <v>-1.0467684631299901</v>
      </c>
      <c r="AH5306">
        <v>16.6284663755639</v>
      </c>
      <c r="AI5306">
        <v>93.523866358792006</v>
      </c>
      <c r="AJ5306">
        <v>78.026125689725205</v>
      </c>
      <c r="AK5306">
        <v>17.030510361205099</v>
      </c>
      <c r="AL5306">
        <v>88.170011147634</v>
      </c>
      <c r="AM5306">
        <v>82.532708448055601</v>
      </c>
      <c r="AN5306">
        <v>0.99999997820433395</v>
      </c>
    </row>
    <row r="5307" spans="1:40" x14ac:dyDescent="0.25">
      <c r="A5307" t="str">
        <f>"20190305135933602"</f>
        <v>20190305135933602</v>
      </c>
      <c r="B5307" t="str">
        <f>"1551765573594037"</f>
        <v>1551765573594037</v>
      </c>
      <c r="C5307" t="s">
        <v>40</v>
      </c>
      <c r="D5307">
        <v>4.1006299999999998</v>
      </c>
      <c r="E5307">
        <v>0.50892199999999999</v>
      </c>
      <c r="F5307" t="s">
        <v>42</v>
      </c>
      <c r="G5307">
        <v>-304.46800000000002</v>
      </c>
      <c r="H5307" s="1">
        <v>-3.0712849999999999E-6</v>
      </c>
      <c r="I5307">
        <v>-16.022790000000001</v>
      </c>
      <c r="J5307">
        <v>-301.1696</v>
      </c>
      <c r="K5307">
        <v>1.0472600000000001</v>
      </c>
      <c r="L5307">
        <v>1.5371090000000001</v>
      </c>
      <c r="M5307">
        <v>1.52526E-2</v>
      </c>
      <c r="N5307">
        <v>-1.442176E-2</v>
      </c>
      <c r="O5307">
        <v>-0.9997798</v>
      </c>
      <c r="P5307">
        <v>-0.10534109999999999</v>
      </c>
      <c r="Q5307">
        <v>2.1060140000000001E-2</v>
      </c>
      <c r="R5307">
        <v>-0.99421320000000002</v>
      </c>
      <c r="S5307">
        <v>-0.547821</v>
      </c>
      <c r="T5307">
        <v>-0.17354059999999999</v>
      </c>
      <c r="U5307">
        <v>-2.964874</v>
      </c>
      <c r="V5307">
        <v>0.1214802</v>
      </c>
      <c r="W5307">
        <v>3.182285E-2</v>
      </c>
      <c r="X5307">
        <v>0.99208359999999995</v>
      </c>
      <c r="Y5307">
        <v>0.196405</v>
      </c>
      <c r="Z5307">
        <v>4.2945499999999998E-2</v>
      </c>
      <c r="AA5307">
        <v>0.97958199999999995</v>
      </c>
      <c r="AB5307">
        <v>29</v>
      </c>
      <c r="AC5307">
        <v>-3.2984000000000102</v>
      </c>
      <c r="AD5307">
        <v>-1.047263071285</v>
      </c>
      <c r="AE5307">
        <v>-17.559898999999898</v>
      </c>
      <c r="AF5307">
        <v>3.5536690076114898</v>
      </c>
      <c r="AG5307">
        <v>-1.047263071285</v>
      </c>
      <c r="AH5307">
        <v>17.447597680847799</v>
      </c>
      <c r="AI5307">
        <v>93.366017786536702</v>
      </c>
      <c r="AJ5307">
        <v>78.487654728055503</v>
      </c>
      <c r="AK5307">
        <v>17.836591271564799</v>
      </c>
      <c r="AL5307">
        <v>88.176377121274697</v>
      </c>
      <c r="AM5307">
        <v>83.018909846737898</v>
      </c>
      <c r="AN5307">
        <v>1.00000000108156</v>
      </c>
    </row>
    <row r="5308" spans="1:40" x14ac:dyDescent="0.25">
      <c r="A5308" t="str">
        <f>"20190305135933637"</f>
        <v>20190305135933637</v>
      </c>
      <c r="B5308" t="str">
        <f>"1551765573634054"</f>
        <v>1551765573634054</v>
      </c>
      <c r="C5308" t="s">
        <v>40</v>
      </c>
      <c r="D5308">
        <v>4.0540430000000001</v>
      </c>
      <c r="E5308">
        <v>0.44815110000000002</v>
      </c>
      <c r="F5308" t="s">
        <v>42</v>
      </c>
      <c r="G5308">
        <v>-306.48989999999998</v>
      </c>
      <c r="H5308" s="1">
        <v>-2.6708529999999999E-6</v>
      </c>
      <c r="I5308">
        <v>-38.210279999999997</v>
      </c>
      <c r="J5308">
        <v>-301.18579999999997</v>
      </c>
      <c r="K5308">
        <v>1.048206</v>
      </c>
      <c r="L5308">
        <v>1.0508120000000001</v>
      </c>
      <c r="M5308">
        <v>-6.8555860000000003E-3</v>
      </c>
      <c r="N5308">
        <v>-1.3318170000000001E-2</v>
      </c>
      <c r="O5308">
        <v>-0.99988779999999999</v>
      </c>
      <c r="P5308">
        <v>-0.1080851</v>
      </c>
      <c r="Q5308">
        <v>2.1440750000000001E-2</v>
      </c>
      <c r="R5308">
        <v>-0.99391050000000003</v>
      </c>
      <c r="S5308">
        <v>-0.39846799999999999</v>
      </c>
      <c r="T5308">
        <v>-7.8435179999999993E-2</v>
      </c>
      <c r="U5308">
        <v>-2.9768979999999998</v>
      </c>
      <c r="V5308">
        <v>0.1021599</v>
      </c>
      <c r="W5308">
        <v>3.1963930000000002E-2</v>
      </c>
      <c r="X5308">
        <v>0.99425439999999998</v>
      </c>
      <c r="Y5308">
        <v>0.12582769999999999</v>
      </c>
      <c r="Z5308">
        <v>1.2807020000000001E-2</v>
      </c>
      <c r="AA5308">
        <v>0.99196949999999995</v>
      </c>
      <c r="AB5308">
        <v>29</v>
      </c>
      <c r="AC5308">
        <v>-5.3041</v>
      </c>
      <c r="AD5308">
        <v>-1.0482086708530001</v>
      </c>
      <c r="AE5308">
        <v>-39.261091999999998</v>
      </c>
      <c r="AF5308">
        <v>5.0312716307567502</v>
      </c>
      <c r="AG5308">
        <v>-1.0482086708530001</v>
      </c>
      <c r="AH5308">
        <v>39.269045698661998</v>
      </c>
      <c r="AI5308">
        <v>91.516641505059098</v>
      </c>
      <c r="AJ5308">
        <v>82.698864725921197</v>
      </c>
      <c r="AK5308">
        <v>39.603918817759897</v>
      </c>
      <c r="AL5308">
        <v>88.168289853810094</v>
      </c>
      <c r="AM5308">
        <v>84.133431502966303</v>
      </c>
      <c r="AN5308">
        <v>1.0000000749542</v>
      </c>
    </row>
    <row r="5309" spans="1:40" x14ac:dyDescent="0.25">
      <c r="A5309" t="str">
        <f>"20190305135933661"</f>
        <v>20190305135933661</v>
      </c>
      <c r="B5309" t="str">
        <f>"1551765573654550"</f>
        <v>1551765573654550</v>
      </c>
      <c r="C5309" t="s">
        <v>40</v>
      </c>
      <c r="D5309">
        <v>4.0024129999999998</v>
      </c>
      <c r="E5309">
        <v>0.44767869999999998</v>
      </c>
      <c r="F5309" t="s">
        <v>42</v>
      </c>
      <c r="G5309">
        <v>-300.49560000000002</v>
      </c>
      <c r="H5309" s="1">
        <v>-1.5703579999999999E-6</v>
      </c>
      <c r="I5309">
        <v>-27.05772</v>
      </c>
      <c r="J5309">
        <v>-301.20049999999998</v>
      </c>
      <c r="K5309">
        <v>1.0489010000000001</v>
      </c>
      <c r="L5309">
        <v>0.74282840000000006</v>
      </c>
      <c r="M5309">
        <v>-1.9612549999999999E-2</v>
      </c>
      <c r="N5309">
        <v>-1.282264E-2</v>
      </c>
      <c r="O5309">
        <v>-0.99972550000000004</v>
      </c>
      <c r="P5309">
        <v>-0.109560199999999</v>
      </c>
      <c r="Q5309">
        <v>2.2636239999999998E-2</v>
      </c>
      <c r="R5309">
        <v>-0.99372269999999896</v>
      </c>
      <c r="S5309">
        <v>7.4371339999999994E-2</v>
      </c>
      <c r="T5309">
        <v>-0.1129521</v>
      </c>
      <c r="U5309">
        <v>-3.0289000000000001</v>
      </c>
      <c r="V5309">
        <v>9.0907600000000005E-2</v>
      </c>
      <c r="W5309">
        <v>3.3132040000000001E-2</v>
      </c>
      <c r="X5309">
        <v>0.99530799999999997</v>
      </c>
      <c r="Y5309">
        <v>-4.4128540000000001E-2</v>
      </c>
      <c r="Z5309">
        <v>2.4411169999999999E-2</v>
      </c>
      <c r="AA5309">
        <v>0.99872760000000005</v>
      </c>
      <c r="AB5309">
        <v>29</v>
      </c>
      <c r="AC5309">
        <v>0.70489999999995201</v>
      </c>
      <c r="AD5309">
        <v>-1.0489025703579999</v>
      </c>
      <c r="AE5309">
        <v>-27.8005484</v>
      </c>
      <c r="AF5309">
        <v>-1.2482730290844299</v>
      </c>
      <c r="AG5309">
        <v>-1.0489025703579999</v>
      </c>
      <c r="AH5309">
        <v>27.741908426381499</v>
      </c>
      <c r="AI5309">
        <v>92.1630962629322</v>
      </c>
      <c r="AJ5309">
        <v>92.576339230231696</v>
      </c>
      <c r="AK5309">
        <v>27.789779871294101</v>
      </c>
      <c r="AL5309">
        <v>88.101326402527107</v>
      </c>
      <c r="AM5309">
        <v>84.781303952369697</v>
      </c>
      <c r="AN5309">
        <v>0.99999996933816004</v>
      </c>
    </row>
    <row r="5310" spans="1:40" x14ac:dyDescent="0.25">
      <c r="A5310" t="str">
        <f>"20190305135933685"</f>
        <v>20190305135933685</v>
      </c>
      <c r="B5310" t="str">
        <f>"1551765573674070"</f>
        <v>1551765573674070</v>
      </c>
      <c r="C5310" t="s">
        <v>40</v>
      </c>
      <c r="D5310">
        <v>4.0520319999999996</v>
      </c>
      <c r="E5310">
        <v>0.44745400000000002</v>
      </c>
      <c r="F5310" t="s">
        <v>42</v>
      </c>
      <c r="G5310">
        <v>-300.45960000000002</v>
      </c>
      <c r="H5310" s="1">
        <v>-4.60386E-7</v>
      </c>
      <c r="I5310">
        <v>-29.622789999999998</v>
      </c>
      <c r="J5310">
        <v>-301.21850000000001</v>
      </c>
      <c r="K5310">
        <v>1.050343</v>
      </c>
      <c r="L5310">
        <v>0.42648320000000001</v>
      </c>
      <c r="M5310">
        <v>-3.0935299999999999E-2</v>
      </c>
      <c r="N5310">
        <v>-1.3575169999999999E-2</v>
      </c>
      <c r="O5310">
        <v>-0.99942929999999996</v>
      </c>
      <c r="P5310">
        <v>-0.1091569</v>
      </c>
      <c r="Q5310">
        <v>2.2645200000000001E-2</v>
      </c>
      <c r="R5310">
        <v>-0.9937665</v>
      </c>
      <c r="S5310">
        <v>7.3913569999999998E-2</v>
      </c>
      <c r="T5310">
        <v>-0.1046455</v>
      </c>
      <c r="U5310">
        <v>-3.02948</v>
      </c>
      <c r="V5310">
        <v>7.9158539999999999E-2</v>
      </c>
      <c r="W5310">
        <v>3.4389219999999998E-2</v>
      </c>
      <c r="X5310">
        <v>0.99626870000000001</v>
      </c>
      <c r="Y5310">
        <v>-5.5284729999999997E-2</v>
      </c>
      <c r="Z5310">
        <v>2.0890120000000002E-2</v>
      </c>
      <c r="AA5310">
        <v>0.99825209999999998</v>
      </c>
      <c r="AB5310">
        <v>30</v>
      </c>
      <c r="AC5310">
        <v>0.75889999999998203</v>
      </c>
      <c r="AD5310">
        <v>-1.050343460386</v>
      </c>
      <c r="AE5310">
        <v>-30.049273199999998</v>
      </c>
      <c r="AF5310">
        <v>-1.68614677247372</v>
      </c>
      <c r="AG5310">
        <v>-1.050343460386</v>
      </c>
      <c r="AH5310">
        <v>29.974810256302401</v>
      </c>
      <c r="AI5310">
        <v>92.003707825408299</v>
      </c>
      <c r="AJ5310">
        <v>93.219616264605506</v>
      </c>
      <c r="AK5310">
        <v>30.040565278044099</v>
      </c>
      <c r="AL5310">
        <v>88.029254278257795</v>
      </c>
      <c r="AM5310">
        <v>85.4571071076452</v>
      </c>
      <c r="AN5310">
        <v>1.0000000077534099</v>
      </c>
    </row>
    <row r="5311" spans="1:40" x14ac:dyDescent="0.25">
      <c r="A5311" t="str">
        <f>"20190305135933711"</f>
        <v>20190305135933711</v>
      </c>
      <c r="B5311" t="str">
        <f>"1551765573704327"</f>
        <v>1551765573704327</v>
      </c>
      <c r="C5311" t="s">
        <v>40</v>
      </c>
      <c r="D5311">
        <v>4.0091809999999999</v>
      </c>
      <c r="E5311">
        <v>0.44781609999999999</v>
      </c>
      <c r="F5311" t="s">
        <v>42</v>
      </c>
      <c r="G5311">
        <v>-300.44450000000001</v>
      </c>
      <c r="H5311" s="1">
        <v>-3.1258390000000002E-7</v>
      </c>
      <c r="I5311">
        <v>-29.957920000000001</v>
      </c>
      <c r="J5311">
        <v>-301.2407</v>
      </c>
      <c r="K5311">
        <v>1.051776</v>
      </c>
      <c r="L5311">
        <v>8.6791989999999999E-2</v>
      </c>
      <c r="M5311">
        <v>-4.2214790000000002E-2</v>
      </c>
      <c r="N5311">
        <v>-1.308816E-2</v>
      </c>
      <c r="O5311">
        <v>-0.99902279999999999</v>
      </c>
      <c r="P5311">
        <v>-0.1084184</v>
      </c>
      <c r="Q5311">
        <v>2.3348569999999999E-2</v>
      </c>
      <c r="R5311">
        <v>-0.99383120000000003</v>
      </c>
      <c r="S5311">
        <v>7.7178960000000005E-2</v>
      </c>
      <c r="T5311">
        <v>-0.1047319</v>
      </c>
      <c r="U5311">
        <v>-3.0296940000000001</v>
      </c>
      <c r="V5311">
        <v>6.7100320000000005E-2</v>
      </c>
      <c r="W5311">
        <v>3.5026359999999999E-2</v>
      </c>
      <c r="X5311">
        <v>0.9971312</v>
      </c>
      <c r="Y5311">
        <v>-6.7620990000000006E-2</v>
      </c>
      <c r="Z5311">
        <v>2.1366179999999999E-2</v>
      </c>
      <c r="AA5311">
        <v>0.99748230000000004</v>
      </c>
      <c r="AB5311">
        <v>29</v>
      </c>
      <c r="AC5311">
        <v>0.79619999999999802</v>
      </c>
      <c r="AD5311">
        <v>-1.0517763125838999</v>
      </c>
      <c r="AE5311">
        <v>-30.04471199</v>
      </c>
      <c r="AF5311">
        <v>-2.0614055379142102</v>
      </c>
      <c r="AG5311">
        <v>-1.0517763125838999</v>
      </c>
      <c r="AH5311">
        <v>29.9476351478563</v>
      </c>
      <c r="AI5311">
        <v>92.006686047378494</v>
      </c>
      <c r="AJ5311">
        <v>93.937667445561999</v>
      </c>
      <c r="AK5311">
        <v>30.036918569529998</v>
      </c>
      <c r="AL5311">
        <v>87.992726750288696</v>
      </c>
      <c r="AM5311">
        <v>86.150178014024803</v>
      </c>
      <c r="AN5311">
        <v>0.99999996442619499</v>
      </c>
    </row>
    <row r="5312" spans="1:40" x14ac:dyDescent="0.25">
      <c r="A5312" t="str">
        <f>"20190305135933731"</f>
        <v>20190305135933731</v>
      </c>
      <c r="B5312" t="str">
        <f>"1551765573723846"</f>
        <v>1551765573723846</v>
      </c>
      <c r="C5312" t="s">
        <v>40</v>
      </c>
      <c r="D5312">
        <v>4.0392749999999999</v>
      </c>
      <c r="E5312">
        <v>0.44805729999999999</v>
      </c>
      <c r="F5312" t="s">
        <v>42</v>
      </c>
      <c r="G5312">
        <v>-300.47919999999999</v>
      </c>
      <c r="H5312" s="1">
        <v>-2.7616800000000001E-7</v>
      </c>
      <c r="I5312">
        <v>-30.064340000000001</v>
      </c>
      <c r="J5312">
        <v>-301.26139999999998</v>
      </c>
      <c r="K5312">
        <v>1.052632</v>
      </c>
      <c r="L5312">
        <v>-0.19314580000000001</v>
      </c>
      <c r="M5312">
        <v>-5.0525309999999997E-2</v>
      </c>
      <c r="N5312">
        <v>-1.107066E-2</v>
      </c>
      <c r="O5312">
        <v>-0.99866160000000004</v>
      </c>
      <c r="P5312">
        <v>-0.1055285</v>
      </c>
      <c r="Q5312">
        <v>2.4343859999999998E-2</v>
      </c>
      <c r="R5312">
        <v>-0.99411879999999997</v>
      </c>
      <c r="S5312">
        <v>7.6507569999999997E-2</v>
      </c>
      <c r="T5312">
        <v>-0.1056777</v>
      </c>
      <c r="U5312">
        <v>-3.0294490000000001</v>
      </c>
      <c r="V5312">
        <v>5.5851930000000001E-2</v>
      </c>
      <c r="W5312">
        <v>3.4294860000000003E-2</v>
      </c>
      <c r="X5312">
        <v>0.99784989999999996</v>
      </c>
      <c r="Y5312">
        <v>-7.5700219999999999E-2</v>
      </c>
      <c r="Z5312">
        <v>2.3666800000000002E-2</v>
      </c>
      <c r="AA5312">
        <v>0.99684969999999995</v>
      </c>
      <c r="AB5312">
        <v>29</v>
      </c>
      <c r="AC5312">
        <v>0.78219999999998802</v>
      </c>
      <c r="AD5312">
        <v>-1.052632276168</v>
      </c>
      <c r="AE5312">
        <v>-29.871194199999898</v>
      </c>
      <c r="AF5312">
        <v>-2.2877055056361</v>
      </c>
      <c r="AG5312">
        <v>-1.052632276168</v>
      </c>
      <c r="AH5312">
        <v>29.7565880448755</v>
      </c>
      <c r="AI5312">
        <v>92.020023813970496</v>
      </c>
      <c r="AJ5312">
        <v>94.396288140668005</v>
      </c>
      <c r="AK5312">
        <v>29.862956371762198</v>
      </c>
      <c r="AL5312">
        <v>88.034663882120995</v>
      </c>
      <c r="AM5312">
        <v>86.7963675743012</v>
      </c>
      <c r="AN5312">
        <v>0.99999999921857696</v>
      </c>
    </row>
    <row r="5313" spans="1:40" x14ac:dyDescent="0.25">
      <c r="A5313" t="str">
        <f>"20190305135933755"</f>
        <v>20190305135933755</v>
      </c>
      <c r="B5313" t="str">
        <f>"1551765573744343"</f>
        <v>1551765573744343</v>
      </c>
      <c r="C5313" t="s">
        <v>40</v>
      </c>
      <c r="D5313">
        <v>4.0269159999999999</v>
      </c>
      <c r="E5313">
        <v>0.4484937</v>
      </c>
      <c r="F5313" t="s">
        <v>42</v>
      </c>
      <c r="G5313">
        <v>-300.40100000000001</v>
      </c>
      <c r="H5313" s="1">
        <v>-3.9792610000000002E-6</v>
      </c>
      <c r="I5313">
        <v>-31.383849999999999</v>
      </c>
      <c r="J5313">
        <v>-301.28620000000001</v>
      </c>
      <c r="K5313">
        <v>1.054044</v>
      </c>
      <c r="L5313">
        <v>-0.49819950000000002</v>
      </c>
      <c r="M5313">
        <v>-5.8630889999999998E-2</v>
      </c>
      <c r="N5313">
        <v>-8.6130340000000003E-3</v>
      </c>
      <c r="O5313">
        <v>-0.99824259999999998</v>
      </c>
      <c r="P5313">
        <v>-0.10308150000000001</v>
      </c>
      <c r="Q5313">
        <v>2.5072770000000001E-2</v>
      </c>
      <c r="R5313">
        <v>-0.99435689999999999</v>
      </c>
      <c r="S5313">
        <v>8.3557129999999993E-2</v>
      </c>
      <c r="T5313">
        <v>-0.1022277</v>
      </c>
      <c r="U5313">
        <v>-3.0291139999999999</v>
      </c>
      <c r="V5313">
        <v>4.5220730000000001E-2</v>
      </c>
      <c r="W5313">
        <v>3.2837989999999997E-2</v>
      </c>
      <c r="X5313">
        <v>0.99843720000000002</v>
      </c>
      <c r="Y5313">
        <v>-8.6113170000000003E-2</v>
      </c>
      <c r="Z5313">
        <v>2.4956760000000001E-2</v>
      </c>
      <c r="AA5313">
        <v>0.99597279999999999</v>
      </c>
      <c r="AB5313">
        <v>29</v>
      </c>
      <c r="AC5313">
        <v>0.88519999999999699</v>
      </c>
      <c r="AD5313">
        <v>-1.054047979261</v>
      </c>
      <c r="AE5313">
        <v>-30.885650500000001</v>
      </c>
      <c r="AF5313">
        <v>-2.6914652764903999</v>
      </c>
      <c r="AG5313">
        <v>-1.054047979261</v>
      </c>
      <c r="AH5313">
        <v>30.7448343462225</v>
      </c>
      <c r="AI5313">
        <v>91.956069558738406</v>
      </c>
      <c r="AJ5313">
        <v>95.003034554908993</v>
      </c>
      <c r="AK5313">
        <v>30.880411937890401</v>
      </c>
      <c r="AL5313">
        <v>88.118183542632806</v>
      </c>
      <c r="AM5313">
        <v>87.4067597595037</v>
      </c>
      <c r="AN5313">
        <v>1.0000000451764</v>
      </c>
    </row>
    <row r="5314" spans="1:40" x14ac:dyDescent="0.25">
      <c r="A5314" t="str">
        <f>"20190305135933777"</f>
        <v>20190305135933777</v>
      </c>
      <c r="B5314" t="str">
        <f>"1551765573763861"</f>
        <v>1551765573763861</v>
      </c>
      <c r="C5314" t="s">
        <v>40</v>
      </c>
      <c r="D5314">
        <v>4.05192</v>
      </c>
      <c r="E5314">
        <v>0.44897959999999898</v>
      </c>
      <c r="F5314" t="s">
        <v>42</v>
      </c>
      <c r="G5314">
        <v>-300.3365</v>
      </c>
      <c r="H5314" s="1">
        <v>-3.1883200000000002E-6</v>
      </c>
      <c r="I5314">
        <v>-33.187539999999998</v>
      </c>
      <c r="J5314">
        <v>-301.3125</v>
      </c>
      <c r="K5314">
        <v>1.0561910000000001</v>
      </c>
      <c r="L5314">
        <v>-0.80212399999999995</v>
      </c>
      <c r="M5314">
        <v>-6.5834569999999995E-2</v>
      </c>
      <c r="N5314">
        <v>-6.500263E-3</v>
      </c>
      <c r="O5314">
        <v>-0.99780939999999996</v>
      </c>
      <c r="P5314">
        <v>-0.1010318</v>
      </c>
      <c r="Q5314">
        <v>2.4879200000000001E-2</v>
      </c>
      <c r="R5314">
        <v>-0.99457209999999996</v>
      </c>
      <c r="S5314">
        <v>8.7982179999999993E-2</v>
      </c>
      <c r="T5314">
        <v>-9.7655060000000002E-2</v>
      </c>
      <c r="U5314">
        <v>-3.0285950000000001</v>
      </c>
      <c r="V5314">
        <v>3.5853250000000003E-2</v>
      </c>
      <c r="W5314">
        <v>3.0778139999999999E-2</v>
      </c>
      <c r="X5314">
        <v>0.99888299999999997</v>
      </c>
      <c r="Y5314">
        <v>-9.4761940000000003E-2</v>
      </c>
      <c r="Z5314">
        <v>2.5539650000000001E-2</v>
      </c>
      <c r="AA5314">
        <v>0.99517230000000001</v>
      </c>
      <c r="AB5314">
        <v>30</v>
      </c>
      <c r="AC5314">
        <v>0.97599999999999898</v>
      </c>
      <c r="AD5314">
        <v>-1.0561941883199999</v>
      </c>
      <c r="AE5314">
        <v>-32.385415999999999</v>
      </c>
      <c r="AF5314">
        <v>-3.10271033895937</v>
      </c>
      <c r="AG5314">
        <v>-1.0561941883199999</v>
      </c>
      <c r="AH5314">
        <v>32.2166632819917</v>
      </c>
      <c r="AI5314">
        <v>91.869076013159997</v>
      </c>
      <c r="AJ5314">
        <v>95.501054615385499</v>
      </c>
      <c r="AK5314">
        <v>32.382954631042502</v>
      </c>
      <c r="AL5314">
        <v>88.236263936690705</v>
      </c>
      <c r="AM5314">
        <v>87.944345426760805</v>
      </c>
      <c r="AN5314">
        <v>0.99999999856321098</v>
      </c>
    </row>
    <row r="5315" spans="1:40" x14ac:dyDescent="0.25">
      <c r="A5315" t="str">
        <f>"20190305135933802"</f>
        <v>20190305135933802</v>
      </c>
      <c r="B5315" t="str">
        <f>"1551765573794118"</f>
        <v>1551765573794118</v>
      </c>
      <c r="C5315" t="s">
        <v>40</v>
      </c>
      <c r="D5315">
        <v>4.0689339999999996</v>
      </c>
      <c r="E5315">
        <v>0.44977080000000003</v>
      </c>
      <c r="F5315" t="s">
        <v>42</v>
      </c>
      <c r="G5315">
        <v>-300.32760000000002</v>
      </c>
      <c r="H5315" s="1">
        <v>-2.9881459999999998E-6</v>
      </c>
      <c r="I5315">
        <v>-33.64864</v>
      </c>
      <c r="J5315">
        <v>-301.34339999999997</v>
      </c>
      <c r="K5315">
        <v>1.059077</v>
      </c>
      <c r="L5315">
        <v>-1.144836</v>
      </c>
      <c r="M5315">
        <v>-7.3003009999999993E-2</v>
      </c>
      <c r="N5315">
        <v>-4.3076109999999898E-3</v>
      </c>
      <c r="O5315">
        <v>-0.9973225</v>
      </c>
      <c r="P5315">
        <v>-9.9094699999999994E-2</v>
      </c>
      <c r="Q5315">
        <v>2.4159489999999999E-2</v>
      </c>
      <c r="R5315">
        <v>-0.99478500000000003</v>
      </c>
      <c r="S5315">
        <v>9.0789789999999995E-2</v>
      </c>
      <c r="T5315">
        <v>-9.7368120000000002E-2</v>
      </c>
      <c r="U5315">
        <v>-3.0280459999999998</v>
      </c>
      <c r="V5315">
        <v>2.6605879999999998E-2</v>
      </c>
      <c r="W5315">
        <v>2.8092329999999999E-2</v>
      </c>
      <c r="X5315">
        <v>0.99925120000000001</v>
      </c>
      <c r="Y5315">
        <v>-0.1028408</v>
      </c>
      <c r="Z5315">
        <v>2.7607389999999999E-2</v>
      </c>
      <c r="AA5315">
        <v>0.9943147</v>
      </c>
      <c r="AB5315">
        <v>30</v>
      </c>
      <c r="AC5315">
        <v>1.0157999999999501</v>
      </c>
      <c r="AD5315">
        <v>-1.059079988146</v>
      </c>
      <c r="AE5315">
        <v>-32.503803999999903</v>
      </c>
      <c r="AF5315">
        <v>-3.38239937599832</v>
      </c>
      <c r="AG5315">
        <v>-1.059079988146</v>
      </c>
      <c r="AH5315">
        <v>32.308648403598802</v>
      </c>
      <c r="AI5315">
        <v>91.867290172788699</v>
      </c>
      <c r="AJ5315">
        <v>95.9765366142652</v>
      </c>
      <c r="AK5315">
        <v>32.502477407536396</v>
      </c>
      <c r="AL5315">
        <v>88.390216282470902</v>
      </c>
      <c r="AM5315">
        <v>88.474813387050105</v>
      </c>
      <c r="AN5315">
        <v>1.00000000627842</v>
      </c>
    </row>
    <row r="5316" spans="1:40" x14ac:dyDescent="0.25">
      <c r="A5316" t="str">
        <f>"20190305135933826"</f>
        <v>20190305135933826</v>
      </c>
      <c r="B5316" t="str">
        <f>"1551765573814616"</f>
        <v>1551765573814616</v>
      </c>
      <c r="C5316" t="s">
        <v>40</v>
      </c>
      <c r="D5316">
        <v>4.1024149999999997</v>
      </c>
      <c r="E5316">
        <v>0.45032640000000002</v>
      </c>
      <c r="F5316" t="s">
        <v>42</v>
      </c>
      <c r="G5316">
        <v>-300.33530000000002</v>
      </c>
      <c r="H5316" s="1">
        <v>-2.5581830000000001E-6</v>
      </c>
      <c r="I5316">
        <v>-34.655659999999997</v>
      </c>
      <c r="J5316">
        <v>-301.3725</v>
      </c>
      <c r="K5316">
        <v>1.0617179999999999</v>
      </c>
      <c r="L5316">
        <v>-1.45929</v>
      </c>
      <c r="M5316">
        <v>-7.8637769999999996E-2</v>
      </c>
      <c r="N5316">
        <v>-2.3555970000000001E-3</v>
      </c>
      <c r="O5316">
        <v>-0.99690060000000003</v>
      </c>
      <c r="P5316">
        <v>-9.5146220000000004E-2</v>
      </c>
      <c r="Q5316">
        <v>2.2180189999999999E-2</v>
      </c>
      <c r="R5316">
        <v>-0.9952164</v>
      </c>
      <c r="S5316">
        <v>9.1064450000000005E-2</v>
      </c>
      <c r="T5316">
        <v>-9.5669749999999998E-2</v>
      </c>
      <c r="U5316">
        <v>-3.0271300000000001</v>
      </c>
      <c r="V5316">
        <v>1.6878979999999998E-2</v>
      </c>
      <c r="W5316">
        <v>2.433662E-2</v>
      </c>
      <c r="X5316">
        <v>0.99956129999999999</v>
      </c>
      <c r="Y5316">
        <v>-0.1085614</v>
      </c>
      <c r="Z5316">
        <v>2.898384E-2</v>
      </c>
      <c r="AA5316">
        <v>0.99366710000000003</v>
      </c>
      <c r="AB5316">
        <v>30</v>
      </c>
      <c r="AC5316">
        <v>1.0371999999999799</v>
      </c>
      <c r="AD5316">
        <v>-1.061720558183</v>
      </c>
      <c r="AE5316">
        <v>-33.196369999999902</v>
      </c>
      <c r="AF5316">
        <v>-3.6407629032451601</v>
      </c>
      <c r="AG5316">
        <v>-1.061720558183</v>
      </c>
      <c r="AH5316">
        <v>32.9783043920945</v>
      </c>
      <c r="AI5316">
        <v>91.832845241136795</v>
      </c>
      <c r="AJ5316">
        <v>96.299869897211707</v>
      </c>
      <c r="AK5316">
        <v>33.195646787477301</v>
      </c>
      <c r="AL5316">
        <v>88.605476681853901</v>
      </c>
      <c r="AM5316">
        <v>89.032573179992099</v>
      </c>
      <c r="AN5316">
        <v>0.99999998174827698</v>
      </c>
    </row>
    <row r="5317" spans="1:40" x14ac:dyDescent="0.25">
      <c r="A5317" t="str">
        <f>"20190305135933847"</f>
        <v>20190305135933847</v>
      </c>
      <c r="B5317" t="str">
        <f>"1551765573843895"</f>
        <v>1551765573843895</v>
      </c>
      <c r="C5317" t="s">
        <v>40</v>
      </c>
      <c r="D5317">
        <v>4.0563960000000003</v>
      </c>
      <c r="E5317">
        <v>0.4511018</v>
      </c>
      <c r="F5317" t="s">
        <v>42</v>
      </c>
      <c r="G5317">
        <v>-300.32839999999999</v>
      </c>
      <c r="H5317" s="1">
        <v>-3.068656E-6</v>
      </c>
      <c r="I5317">
        <v>-33.461480000000002</v>
      </c>
      <c r="J5317">
        <v>-301.39960000000002</v>
      </c>
      <c r="K5317">
        <v>1.0641700000000001</v>
      </c>
      <c r="L5317">
        <v>-1.7489319999999999</v>
      </c>
      <c r="M5317">
        <v>-8.3150940000000007E-2</v>
      </c>
      <c r="N5317">
        <v>-9.5451330000000003E-4</v>
      </c>
      <c r="O5317">
        <v>-0.99653659999999999</v>
      </c>
      <c r="P5317">
        <v>-8.9689660000000004E-2</v>
      </c>
      <c r="Q5317">
        <v>1.8900739999999999E-2</v>
      </c>
      <c r="R5317">
        <v>-0.99579050000000002</v>
      </c>
      <c r="S5317">
        <v>9.8724370000000006E-2</v>
      </c>
      <c r="T5317">
        <v>-0.1003952</v>
      </c>
      <c r="U5317">
        <v>-3.0260929999999999</v>
      </c>
      <c r="V5317">
        <v>6.7740609999999996E-3</v>
      </c>
      <c r="W5317">
        <v>1.9789190000000002E-2</v>
      </c>
      <c r="X5317">
        <v>0.99978129999999998</v>
      </c>
      <c r="Y5317">
        <v>-0.11558209999999999</v>
      </c>
      <c r="Z5317">
        <v>3.1910819999999999E-2</v>
      </c>
      <c r="AA5317">
        <v>0.99278520000000003</v>
      </c>
      <c r="AB5317">
        <v>30</v>
      </c>
      <c r="AC5317">
        <v>1.0712000000000299</v>
      </c>
      <c r="AD5317">
        <v>-1.064173068656</v>
      </c>
      <c r="AE5317">
        <v>-31.712547999999899</v>
      </c>
      <c r="AF5317">
        <v>-3.70025755648187</v>
      </c>
      <c r="AG5317">
        <v>-1.064173068656</v>
      </c>
      <c r="AH5317">
        <v>31.478248856308898</v>
      </c>
      <c r="AI5317">
        <v>91.923008634384004</v>
      </c>
      <c r="AJ5317">
        <v>96.704332579268396</v>
      </c>
      <c r="AK5317">
        <v>31.712844737804101</v>
      </c>
      <c r="AL5317">
        <v>88.866088999723402</v>
      </c>
      <c r="AM5317">
        <v>89.611795933489404</v>
      </c>
      <c r="AN5317">
        <v>1.00000007388648</v>
      </c>
    </row>
    <row r="5318" spans="1:40" x14ac:dyDescent="0.25">
      <c r="A5318" t="str">
        <f>"20190305135933868"</f>
        <v>20190305135933868</v>
      </c>
      <c r="B5318" t="str">
        <f>"1551765573864390"</f>
        <v>1551765573864390</v>
      </c>
      <c r="C5318" t="s">
        <v>40</v>
      </c>
      <c r="D5318">
        <v>4.1030949999999997</v>
      </c>
      <c r="E5318">
        <v>0.45182109999999898</v>
      </c>
      <c r="F5318" t="s">
        <v>42</v>
      </c>
      <c r="G5318">
        <v>-300.35239999999999</v>
      </c>
      <c r="H5318" s="1">
        <v>-4.2011100000000002E-6</v>
      </c>
      <c r="I5318">
        <v>-30.836559999999999</v>
      </c>
      <c r="J5318">
        <v>-301.42610000000002</v>
      </c>
      <c r="K5318">
        <v>1.0668759999999999</v>
      </c>
      <c r="L5318">
        <v>-2.0311889999999999</v>
      </c>
      <c r="M5318">
        <v>-8.7019920000000001E-2</v>
      </c>
      <c r="N5318">
        <v>-4.533858E-4</v>
      </c>
      <c r="O5318">
        <v>-0.99620640000000005</v>
      </c>
      <c r="P5318">
        <v>-8.4466659999999999E-2</v>
      </c>
      <c r="Q5318">
        <v>1.685998E-2</v>
      </c>
      <c r="R5318">
        <v>-0.9962839</v>
      </c>
      <c r="S5318">
        <v>0.1088867</v>
      </c>
      <c r="T5318">
        <v>-0.1106552</v>
      </c>
      <c r="U5318">
        <v>-3.024597</v>
      </c>
      <c r="V5318">
        <v>-2.4127329999999998E-3</v>
      </c>
      <c r="W5318">
        <v>1.7332940000000002E-2</v>
      </c>
      <c r="X5318">
        <v>0.99984689999999998</v>
      </c>
      <c r="Y5318">
        <v>-0.1227799</v>
      </c>
      <c r="Z5318">
        <v>3.5748710000000003E-2</v>
      </c>
      <c r="AA5318">
        <v>0.9917899</v>
      </c>
      <c r="AB5318">
        <v>30</v>
      </c>
      <c r="AC5318">
        <v>1.0737000000000301</v>
      </c>
      <c r="AD5318">
        <v>-1.06688020111</v>
      </c>
      <c r="AE5318">
        <v>-28.805371000000001</v>
      </c>
      <c r="AF5318">
        <v>-3.5713761594811899</v>
      </c>
      <c r="AG5318">
        <v>-1.06688020111</v>
      </c>
      <c r="AH5318">
        <v>28.563538032357499</v>
      </c>
      <c r="AI5318">
        <v>92.122555784449304</v>
      </c>
      <c r="AJ5318">
        <v>97.126860847820794</v>
      </c>
      <c r="AK5318">
        <v>28.805705441144202</v>
      </c>
      <c r="AL5318">
        <v>89.006845995710606</v>
      </c>
      <c r="AM5318">
        <v>90.138260317321794</v>
      </c>
      <c r="AN5318">
        <v>1.0000000377645899</v>
      </c>
    </row>
    <row r="5319" spans="1:40" x14ac:dyDescent="0.25">
      <c r="A5319" t="str">
        <f>"20190305135933890"</f>
        <v>20190305135933890</v>
      </c>
      <c r="B5319" t="str">
        <f>"1551765573883910"</f>
        <v>1551765573883910</v>
      </c>
      <c r="C5319" t="s">
        <v>40</v>
      </c>
      <c r="D5319">
        <v>4.0945910000000003</v>
      </c>
      <c r="E5319">
        <v>0.4525206</v>
      </c>
      <c r="F5319" t="s">
        <v>42</v>
      </c>
      <c r="G5319">
        <v>-300.30259999999998</v>
      </c>
      <c r="H5319" s="1">
        <v>-4.29623E-6</v>
      </c>
      <c r="I5319">
        <v>-30.54626</v>
      </c>
      <c r="J5319">
        <v>-301.45409999999998</v>
      </c>
      <c r="K5319">
        <v>1.0699609999999999</v>
      </c>
      <c r="L5319">
        <v>-2.3283999999999998</v>
      </c>
      <c r="M5319">
        <v>-9.0283240000000001E-2</v>
      </c>
      <c r="N5319">
        <v>-4.8970630000000001E-4</v>
      </c>
      <c r="O5319">
        <v>-0.99591609999999997</v>
      </c>
      <c r="P5319">
        <v>-7.9999899999999902E-2</v>
      </c>
      <c r="Q5319">
        <v>1.541738E-2</v>
      </c>
      <c r="R5319">
        <v>-0.9966758</v>
      </c>
      <c r="S5319">
        <v>0.1191101</v>
      </c>
      <c r="T5319">
        <v>-0.11311160000000001</v>
      </c>
      <c r="U5319">
        <v>-3.023193</v>
      </c>
      <c r="V5319">
        <v>-1.020743E-2</v>
      </c>
      <c r="W5319">
        <v>1.5973190000000002E-2</v>
      </c>
      <c r="X5319">
        <v>0.9998203</v>
      </c>
      <c r="Y5319">
        <v>-0.12939289999999901</v>
      </c>
      <c r="Z5319">
        <v>3.6497590000000003E-2</v>
      </c>
      <c r="AA5319">
        <v>0.99092150000000001</v>
      </c>
      <c r="AB5319">
        <v>30</v>
      </c>
      <c r="AC5319">
        <v>1.15149999999999</v>
      </c>
      <c r="AD5319">
        <v>-1.0699652962299999</v>
      </c>
      <c r="AE5319">
        <v>-28.217860000000002</v>
      </c>
      <c r="AF5319">
        <v>-3.68910203912026</v>
      </c>
      <c r="AG5319">
        <v>-1.0699652962299999</v>
      </c>
      <c r="AH5319">
        <v>27.958529472879899</v>
      </c>
      <c r="AI5319">
        <v>92.172809335367901</v>
      </c>
      <c r="AJ5319">
        <v>97.516702360272404</v>
      </c>
      <c r="AK5319">
        <v>28.221156423436501</v>
      </c>
      <c r="AL5319">
        <v>89.084764690311403</v>
      </c>
      <c r="AM5319">
        <v>90.584927452204099</v>
      </c>
      <c r="AN5319">
        <v>0.99999998335903495</v>
      </c>
    </row>
    <row r="5320" spans="1:40" x14ac:dyDescent="0.25">
      <c r="A5320" t="str">
        <f>"20190305135933910"</f>
        <v>20190305135933910</v>
      </c>
      <c r="B5320" t="str">
        <f>"1551765573904406"</f>
        <v>1551765573904406</v>
      </c>
      <c r="C5320" t="s">
        <v>40</v>
      </c>
      <c r="D5320">
        <v>4.1350790000000002</v>
      </c>
      <c r="E5320">
        <v>0.453073</v>
      </c>
      <c r="F5320" t="s">
        <v>42</v>
      </c>
      <c r="G5320">
        <v>-300.26940000000002</v>
      </c>
      <c r="H5320" s="1">
        <v>-4.303548E-6</v>
      </c>
      <c r="I5320">
        <v>-30.507459999999998</v>
      </c>
      <c r="J5320">
        <v>-301.47910000000002</v>
      </c>
      <c r="K5320">
        <v>1.0727249999999999</v>
      </c>
      <c r="L5320">
        <v>-2.5917659999999998</v>
      </c>
      <c r="M5320">
        <v>-9.2287590000000003E-2</v>
      </c>
      <c r="N5320">
        <v>-4.3709929999999998E-4</v>
      </c>
      <c r="O5320">
        <v>-0.99573230000000001</v>
      </c>
      <c r="P5320">
        <v>-7.6230400000000004E-2</v>
      </c>
      <c r="Q5320">
        <v>1.5298529999999999E-2</v>
      </c>
      <c r="R5320">
        <v>-0.996973</v>
      </c>
      <c r="S5320">
        <v>0.12704469999999901</v>
      </c>
      <c r="T5320">
        <v>-0.114745</v>
      </c>
      <c r="U5320">
        <v>-3.021973</v>
      </c>
      <c r="V5320">
        <v>-1.6017429999999999E-2</v>
      </c>
      <c r="W5320">
        <v>1.5823009999999998E-2</v>
      </c>
      <c r="X5320">
        <v>0.99974649999999998</v>
      </c>
      <c r="Y5320">
        <v>-0.1339997</v>
      </c>
      <c r="Z5320">
        <v>3.7074610000000001E-2</v>
      </c>
      <c r="AA5320">
        <v>0.99028760000000005</v>
      </c>
      <c r="AB5320">
        <v>30</v>
      </c>
      <c r="AC5320">
        <v>1.20969999999999</v>
      </c>
      <c r="AD5320">
        <v>-1.0727293035479999</v>
      </c>
      <c r="AE5320">
        <v>-27.915693999999998</v>
      </c>
      <c r="AF5320">
        <v>-3.77524549758872</v>
      </c>
      <c r="AG5320">
        <v>-1.0727293035479999</v>
      </c>
      <c r="AH5320">
        <v>27.644175679458002</v>
      </c>
      <c r="AI5320">
        <v>92.201824687949895</v>
      </c>
      <c r="AJ5320">
        <v>97.7765303179239</v>
      </c>
      <c r="AK5320">
        <v>27.921383843257001</v>
      </c>
      <c r="AL5320">
        <v>89.093370468792898</v>
      </c>
      <c r="AM5320">
        <v>90.917885310082696</v>
      </c>
      <c r="AN5320">
        <v>0.99999999498575698</v>
      </c>
    </row>
    <row r="5321" spans="1:40" x14ac:dyDescent="0.25">
      <c r="A5321" t="str">
        <f>"20190305135933932"</f>
        <v>20190305135933932</v>
      </c>
      <c r="B5321" t="str">
        <f>"1551765573923926"</f>
        <v>1551765573923926</v>
      </c>
      <c r="C5321" t="s">
        <v>40</v>
      </c>
      <c r="D5321">
        <v>4.044073</v>
      </c>
      <c r="E5321">
        <v>0.45379049999999999</v>
      </c>
      <c r="F5321" t="s">
        <v>42</v>
      </c>
      <c r="G5321">
        <v>-300.21890000000002</v>
      </c>
      <c r="H5321" s="1">
        <v>-4.0940180000000002E-6</v>
      </c>
      <c r="I5321">
        <v>-31.00338</v>
      </c>
      <c r="J5321">
        <v>-301.50889999999998</v>
      </c>
      <c r="K5321">
        <v>1.07605</v>
      </c>
      <c r="L5321">
        <v>-2.9035639999999998</v>
      </c>
      <c r="M5321">
        <v>-9.3615130000000005E-2</v>
      </c>
      <c r="N5321">
        <v>-2.351155E-4</v>
      </c>
      <c r="O5321">
        <v>-0.99560870000000001</v>
      </c>
      <c r="P5321">
        <v>-7.1505730000000003E-2</v>
      </c>
      <c r="Q5321">
        <v>1.5232310000000001E-2</v>
      </c>
      <c r="R5321">
        <v>-0.99732419999999999</v>
      </c>
      <c r="S5321">
        <v>0.1340027</v>
      </c>
      <c r="T5321">
        <v>-0.1140674</v>
      </c>
      <c r="U5321">
        <v>-3.021118</v>
      </c>
      <c r="V5321">
        <v>-2.210438E-2</v>
      </c>
      <c r="W5321">
        <v>1.556507E-2</v>
      </c>
      <c r="X5321">
        <v>0.99963449999999998</v>
      </c>
      <c r="Y5321">
        <v>-0.1376088</v>
      </c>
      <c r="Z5321">
        <v>3.7047919999999998E-2</v>
      </c>
      <c r="AA5321">
        <v>0.98979349999999999</v>
      </c>
      <c r="AB5321">
        <v>30</v>
      </c>
      <c r="AC5321">
        <v>1.2899999999999601</v>
      </c>
      <c r="AD5321">
        <v>-1.0760540940179999</v>
      </c>
      <c r="AE5321">
        <v>-28.099815999999901</v>
      </c>
      <c r="AF5321">
        <v>-3.9091817346612601</v>
      </c>
      <c r="AG5321">
        <v>-1.0760540940179999</v>
      </c>
      <c r="AH5321">
        <v>27.814948244846999</v>
      </c>
      <c r="AI5321">
        <v>92.1939101180579</v>
      </c>
      <c r="AJ5321">
        <v>98.000092295748303</v>
      </c>
      <c r="AK5321">
        <v>28.108912111844202</v>
      </c>
      <c r="AL5321">
        <v>89.108151170963396</v>
      </c>
      <c r="AM5321">
        <v>91.266744317319606</v>
      </c>
      <c r="AN5321">
        <v>1.0000000043047601</v>
      </c>
    </row>
    <row r="5322" spans="1:40" x14ac:dyDescent="0.25">
      <c r="A5322" t="str">
        <f>"20190305135933955"</f>
        <v>20190305135933955</v>
      </c>
      <c r="B5322" t="str">
        <f>"1551765573944422"</f>
        <v>1551765573944422</v>
      </c>
      <c r="C5322" t="s">
        <v>40</v>
      </c>
      <c r="D5322">
        <v>4.0368079999999997</v>
      </c>
      <c r="E5322">
        <v>0.45447559999999898</v>
      </c>
      <c r="F5322" t="s">
        <v>42</v>
      </c>
      <c r="G5322">
        <v>-300.11099999999999</v>
      </c>
      <c r="H5322" s="1">
        <v>-3.415347E-6</v>
      </c>
      <c r="I5322">
        <v>-32.518470000000001</v>
      </c>
      <c r="J5322">
        <v>-301.5376</v>
      </c>
      <c r="K5322">
        <v>1.0793740000000001</v>
      </c>
      <c r="L5322">
        <v>-3.204224</v>
      </c>
      <c r="M5322">
        <v>-9.3984470000000001E-2</v>
      </c>
      <c r="N5322">
        <v>-1.512281E-4</v>
      </c>
      <c r="O5322">
        <v>-0.99557390000000001</v>
      </c>
      <c r="P5322">
        <v>-6.5736710000000004E-2</v>
      </c>
      <c r="Q5322">
        <v>1.5333950000000001E-2</v>
      </c>
      <c r="R5322">
        <v>-0.99771949999999998</v>
      </c>
      <c r="S5322">
        <v>0.1425476</v>
      </c>
      <c r="T5322">
        <v>-0.1097298</v>
      </c>
      <c r="U5322">
        <v>-3.0199579999999999</v>
      </c>
      <c r="V5322">
        <v>-2.8272410000000001E-2</v>
      </c>
      <c r="W5322">
        <v>1.557937E-2</v>
      </c>
      <c r="X5322">
        <v>0.9994788</v>
      </c>
      <c r="Y5322">
        <v>-0.14078969999999999</v>
      </c>
      <c r="Z5322">
        <v>3.571742E-2</v>
      </c>
      <c r="AA5322">
        <v>0.98939500000000002</v>
      </c>
      <c r="AB5322">
        <v>30</v>
      </c>
      <c r="AC5322">
        <v>1.4266000000000001</v>
      </c>
      <c r="AD5322">
        <v>-1.0793774153469999</v>
      </c>
      <c r="AE5322">
        <v>-29.314246000000001</v>
      </c>
      <c r="AF5322">
        <v>-4.16972873902054</v>
      </c>
      <c r="AG5322">
        <v>-1.0793774153469999</v>
      </c>
      <c r="AH5322">
        <v>29.011173297736299</v>
      </c>
      <c r="AI5322">
        <v>92.109086328572303</v>
      </c>
      <c r="AJ5322">
        <v>98.179015834247494</v>
      </c>
      <c r="AK5322">
        <v>29.329164145489401</v>
      </c>
      <c r="AL5322">
        <v>89.107331701330395</v>
      </c>
      <c r="AM5322">
        <v>91.620302419955905</v>
      </c>
      <c r="AN5322">
        <v>0.99999995879312098</v>
      </c>
    </row>
    <row r="5323" spans="1:40" x14ac:dyDescent="0.25">
      <c r="A5323" t="str">
        <f>"20190305135933982"</f>
        <v>20190305135933982</v>
      </c>
      <c r="B5323" t="str">
        <f>"1551765573974677"</f>
        <v>1551765573974677</v>
      </c>
      <c r="C5323" t="s">
        <v>40</v>
      </c>
      <c r="D5323">
        <v>4.0047249999999996</v>
      </c>
      <c r="E5323">
        <v>0.46708519999999998</v>
      </c>
      <c r="F5323" t="s">
        <v>42</v>
      </c>
      <c r="G5323">
        <v>-299.94889999999998</v>
      </c>
      <c r="H5323" s="1">
        <v>-2.636774E-6</v>
      </c>
      <c r="I5323">
        <v>-34.241950000000003</v>
      </c>
      <c r="J5323">
        <v>-301.56810000000002</v>
      </c>
      <c r="K5323">
        <v>1.083046</v>
      </c>
      <c r="L5323">
        <v>-3.5279240000000001</v>
      </c>
      <c r="M5323">
        <v>-9.3557409999999994E-2</v>
      </c>
      <c r="N5323">
        <v>-2.8212810000000001E-4</v>
      </c>
      <c r="O5323">
        <v>-0.99561390000000005</v>
      </c>
      <c r="P5323">
        <v>-5.9026259999999997E-2</v>
      </c>
      <c r="Q5323">
        <v>1.365298E-2</v>
      </c>
      <c r="R5323">
        <v>-0.99816329999999998</v>
      </c>
      <c r="S5323">
        <v>0.1545105</v>
      </c>
      <c r="T5323">
        <v>-0.1049773</v>
      </c>
      <c r="U5323">
        <v>-3.0186459999999999</v>
      </c>
      <c r="V5323">
        <v>-3.4590259999999998E-2</v>
      </c>
      <c r="W5323">
        <v>1.400503E-2</v>
      </c>
      <c r="X5323">
        <v>0.99930350000000001</v>
      </c>
      <c r="Y5323">
        <v>-0.1442985</v>
      </c>
      <c r="Z5323">
        <v>3.4039479999999997E-2</v>
      </c>
      <c r="AA5323">
        <v>0.98894859999999896</v>
      </c>
      <c r="AB5323">
        <v>31</v>
      </c>
      <c r="AC5323">
        <v>1.6192000000000299</v>
      </c>
      <c r="AD5323">
        <v>-1.083048636774</v>
      </c>
      <c r="AE5323">
        <v>-30.714026</v>
      </c>
      <c r="AF5323">
        <v>-4.4800674650839403</v>
      </c>
      <c r="AG5323">
        <v>-1.083048636774</v>
      </c>
      <c r="AH5323">
        <v>30.390139270287101</v>
      </c>
      <c r="AI5323">
        <v>92.019247279604699</v>
      </c>
      <c r="AJ5323">
        <v>98.386054419727898</v>
      </c>
      <c r="AK5323">
        <v>30.737673361996102</v>
      </c>
      <c r="AL5323">
        <v>89.197544700173196</v>
      </c>
      <c r="AM5323">
        <v>91.982465734980906</v>
      </c>
      <c r="AN5323">
        <v>1.0000000560322</v>
      </c>
    </row>
    <row r="5324" spans="1:40" x14ac:dyDescent="0.25">
      <c r="A5324" t="str">
        <f>"20190305135934006"</f>
        <v>20190305135934006</v>
      </c>
      <c r="B5324" t="str">
        <f>"1551765573994198"</f>
        <v>1551765573994198</v>
      </c>
      <c r="C5324" t="s">
        <v>40</v>
      </c>
      <c r="D5324">
        <v>4.0317129999999999</v>
      </c>
      <c r="E5324">
        <v>0.4674468</v>
      </c>
      <c r="F5324" t="s">
        <v>43</v>
      </c>
      <c r="G5324">
        <v>-299.06060000000002</v>
      </c>
      <c r="H5324">
        <v>-0.05</v>
      </c>
      <c r="I5324">
        <v>-98.127030000000005</v>
      </c>
      <c r="J5324">
        <v>-301.60289999999998</v>
      </c>
      <c r="K5324">
        <v>1.0872820000000001</v>
      </c>
      <c r="L5324">
        <v>-3.9070740000000002</v>
      </c>
      <c r="M5324">
        <v>-9.1986509999999994E-2</v>
      </c>
      <c r="N5324">
        <v>-7.0316879999999995E-4</v>
      </c>
      <c r="O5324">
        <v>-0.99576039999999999</v>
      </c>
      <c r="P5324">
        <v>-4.990141E-2</v>
      </c>
      <c r="Q5324">
        <v>1.012859E-2</v>
      </c>
      <c r="R5324">
        <v>-0.99870320000000001</v>
      </c>
      <c r="S5324">
        <v>7.9803470000000001E-2</v>
      </c>
      <c r="T5324">
        <v>-3.6060689999999999E-2</v>
      </c>
      <c r="U5324">
        <v>-3.010742</v>
      </c>
      <c r="V5324">
        <v>-4.2174429999999999E-2</v>
      </c>
      <c r="W5324">
        <v>1.084384E-2</v>
      </c>
      <c r="X5324">
        <v>0.99905140000000003</v>
      </c>
      <c r="Y5324">
        <v>-0.1183366</v>
      </c>
      <c r="Z5324">
        <v>1.115215E-2</v>
      </c>
      <c r="AA5324">
        <v>0.99291090000000004</v>
      </c>
      <c r="AB5324">
        <v>31</v>
      </c>
      <c r="AC5324">
        <v>2.5422999999999498</v>
      </c>
      <c r="AD5324">
        <v>-1.1372819999999999</v>
      </c>
      <c r="AE5324">
        <v>-94.219955999999996</v>
      </c>
      <c r="AF5324">
        <v>-11.196854792422799</v>
      </c>
      <c r="AG5324">
        <v>-1.1372819999999999</v>
      </c>
      <c r="AH5324">
        <v>93.573006710328897</v>
      </c>
      <c r="AI5324">
        <v>90.691404187332495</v>
      </c>
      <c r="AJ5324">
        <v>96.8235135651164</v>
      </c>
      <c r="AK5324">
        <v>94.247390162281903</v>
      </c>
      <c r="AL5324">
        <v>89.378681548259905</v>
      </c>
      <c r="AM5324">
        <v>92.417276001779797</v>
      </c>
      <c r="AN5324">
        <v>0.99999998562686498</v>
      </c>
    </row>
    <row r="5325" spans="1:40" x14ac:dyDescent="0.25">
      <c r="A5325" t="str">
        <f>"20190305135934031"</f>
        <v>20190305135934031</v>
      </c>
      <c r="B5325" t="str">
        <f>"1551765574024661"</f>
        <v>1551765574024661</v>
      </c>
      <c r="C5325" t="s">
        <v>40</v>
      </c>
      <c r="D5325">
        <v>4.0420569999999998</v>
      </c>
      <c r="E5325">
        <v>0.46794469999999999</v>
      </c>
      <c r="F5325" t="s">
        <v>82</v>
      </c>
      <c r="G5325">
        <v>-299.2022</v>
      </c>
      <c r="H5325">
        <v>7.9986559999999998E-2</v>
      </c>
      <c r="I5325">
        <v>-72.889529999999993</v>
      </c>
      <c r="J5325">
        <v>-301.63330000000002</v>
      </c>
      <c r="K5325">
        <v>1.0908819999999999</v>
      </c>
      <c r="L5325">
        <v>-4.2521969999999998</v>
      </c>
      <c r="M5325">
        <v>-8.9906509999999995E-2</v>
      </c>
      <c r="N5325">
        <v>-1.1929389999999901E-3</v>
      </c>
      <c r="O5325">
        <v>-0.99594950000000004</v>
      </c>
      <c r="P5325">
        <v>-3.9957350000000003E-2</v>
      </c>
      <c r="Q5325">
        <v>5.427711E-3</v>
      </c>
      <c r="R5325">
        <v>-0.99918680000000004</v>
      </c>
      <c r="S5325">
        <v>0.1047363</v>
      </c>
      <c r="T5325">
        <v>-4.3946499999999999E-2</v>
      </c>
      <c r="U5325">
        <v>-3.0095830000000001</v>
      </c>
      <c r="V5325">
        <v>-5.0046210000000001E-2</v>
      </c>
      <c r="W5325">
        <v>6.557719E-3</v>
      </c>
      <c r="X5325">
        <v>0.99872539999999999</v>
      </c>
      <c r="Y5325">
        <v>-0.124487</v>
      </c>
      <c r="Z5325">
        <v>1.325605E-2</v>
      </c>
      <c r="AA5325">
        <v>0.99213269999999998</v>
      </c>
      <c r="AB5325">
        <v>31</v>
      </c>
      <c r="AC5325">
        <v>2.43110000000001</v>
      </c>
      <c r="AD5325">
        <v>-1.0108954400000001</v>
      </c>
      <c r="AE5325">
        <v>-68.637332999999998</v>
      </c>
      <c r="AF5325">
        <v>-8.5903409171859408</v>
      </c>
      <c r="AG5325">
        <v>-1.0108954400000001</v>
      </c>
      <c r="AH5325">
        <v>68.126034790591703</v>
      </c>
      <c r="AI5325">
        <v>90.843449188273098</v>
      </c>
      <c r="AJ5325">
        <v>97.186772195423998</v>
      </c>
      <c r="AK5325">
        <v>68.672938505302099</v>
      </c>
      <c r="AL5325">
        <v>89.624267694715797</v>
      </c>
      <c r="AM5325">
        <v>92.868696600100193</v>
      </c>
      <c r="AN5325">
        <v>1.0000000257095001</v>
      </c>
    </row>
    <row r="5326" spans="1:40" x14ac:dyDescent="0.25">
      <c r="A5326" t="str">
        <f>"20190305135934053"</f>
        <v>20190305135934053</v>
      </c>
      <c r="B5326" t="str">
        <f>"1551765574044183"</f>
        <v>1551765574044183</v>
      </c>
      <c r="C5326" t="s">
        <v>40</v>
      </c>
      <c r="D5326">
        <v>4.0183119999999999</v>
      </c>
      <c r="E5326">
        <v>0.46849849999999998</v>
      </c>
      <c r="F5326" t="s">
        <v>82</v>
      </c>
      <c r="G5326">
        <v>-298.93680000000001</v>
      </c>
      <c r="H5326" s="1">
        <v>-1.38248E-5</v>
      </c>
      <c r="I5326">
        <v>-66.104219999999998</v>
      </c>
      <c r="J5326">
        <v>-301.66039999999998</v>
      </c>
      <c r="K5326">
        <v>1.093953</v>
      </c>
      <c r="L5326">
        <v>-4.5733030000000001</v>
      </c>
      <c r="M5326">
        <v>-8.7454989999999996E-2</v>
      </c>
      <c r="N5326">
        <v>-1.6856880000000001E-3</v>
      </c>
      <c r="O5326">
        <v>-0.99616709999999997</v>
      </c>
      <c r="P5326">
        <v>-2.889481E-2</v>
      </c>
      <c r="Q5326">
        <v>1.433553E-3</v>
      </c>
      <c r="R5326">
        <v>-0.99958170000000002</v>
      </c>
      <c r="S5326">
        <v>0.131134</v>
      </c>
      <c r="T5326">
        <v>-5.305207E-2</v>
      </c>
      <c r="U5326">
        <v>-3.007965</v>
      </c>
      <c r="V5326">
        <v>-5.8642149999999997E-2</v>
      </c>
      <c r="W5326">
        <v>2.9671789999999999E-3</v>
      </c>
      <c r="X5326">
        <v>0.99827469999999996</v>
      </c>
      <c r="Y5326">
        <v>-0.1307519</v>
      </c>
      <c r="Z5326">
        <v>1.5760389999999999E-2</v>
      </c>
      <c r="AA5326">
        <v>0.99128989999999995</v>
      </c>
      <c r="AB5326">
        <v>31</v>
      </c>
      <c r="AC5326">
        <v>2.72359999999997</v>
      </c>
      <c r="AD5326">
        <v>-1.0939668248000001</v>
      </c>
      <c r="AE5326">
        <v>-61.530917000000002</v>
      </c>
      <c r="AF5326">
        <v>-8.0918047075628596</v>
      </c>
      <c r="AG5326">
        <v>-1.0939668248000001</v>
      </c>
      <c r="AH5326">
        <v>61.037710030402799</v>
      </c>
      <c r="AI5326">
        <v>91.017887202460898</v>
      </c>
      <c r="AJ5326">
        <v>97.551699982221194</v>
      </c>
      <c r="AK5326">
        <v>61.581459162597298</v>
      </c>
      <c r="AL5326">
        <v>89.829992923796695</v>
      </c>
      <c r="AM5326">
        <v>93.361891115197196</v>
      </c>
      <c r="AN5326">
        <v>1.00000004128396</v>
      </c>
    </row>
    <row r="5327" spans="1:40" x14ac:dyDescent="0.25">
      <c r="A5327" t="str">
        <f>"20190305135934074"</f>
        <v>20190305135934074</v>
      </c>
      <c r="B5327" t="str">
        <f>"1551765574064679"</f>
        <v>1551765574064679</v>
      </c>
      <c r="C5327" t="s">
        <v>40</v>
      </c>
      <c r="D5327">
        <v>4.0030159999999997</v>
      </c>
      <c r="E5327">
        <v>0.46918379999999998</v>
      </c>
      <c r="F5327" t="s">
        <v>82</v>
      </c>
      <c r="G5327">
        <v>-298.93180000000001</v>
      </c>
      <c r="H5327" s="1">
        <v>-7.0425410000000004E-6</v>
      </c>
      <c r="I5327">
        <v>-55.758240000000001</v>
      </c>
      <c r="J5327">
        <v>-301.68299999999999</v>
      </c>
      <c r="K5327">
        <v>1.0963830000000001</v>
      </c>
      <c r="L5327">
        <v>-4.8536679999999999</v>
      </c>
      <c r="M5327">
        <v>-8.4938029999999998E-2</v>
      </c>
      <c r="N5327">
        <v>-2.118301E-3</v>
      </c>
      <c r="O5327">
        <v>-0.99638419999999905</v>
      </c>
      <c r="P5327">
        <v>-1.7434040000000001E-2</v>
      </c>
      <c r="Q5327">
        <v>-1.1280960000000001E-3</v>
      </c>
      <c r="R5327">
        <v>-0.9998475</v>
      </c>
      <c r="S5327">
        <v>0.1602478</v>
      </c>
      <c r="T5327">
        <v>-6.4245940000000001E-2</v>
      </c>
      <c r="U5327">
        <v>-3.0059809999999998</v>
      </c>
      <c r="V5327">
        <v>-6.7557140000000002E-2</v>
      </c>
      <c r="W5327">
        <v>7.4369110000000003E-4</v>
      </c>
      <c r="X5327">
        <v>0.99771509999999997</v>
      </c>
      <c r="Y5327">
        <v>-0.1378463</v>
      </c>
      <c r="Z5327">
        <v>1.9012250000000001E-2</v>
      </c>
      <c r="AA5327">
        <v>0.99027120000000002</v>
      </c>
      <c r="AB5327">
        <v>31</v>
      </c>
      <c r="AC5327">
        <v>2.7511999999999799</v>
      </c>
      <c r="AD5327">
        <v>-1.09639004254099</v>
      </c>
      <c r="AE5327">
        <v>-50.904571999999902</v>
      </c>
      <c r="AF5327">
        <v>-7.0617342674341304</v>
      </c>
      <c r="AG5327">
        <v>-1.09639004254099</v>
      </c>
      <c r="AH5327">
        <v>50.463590694881802</v>
      </c>
      <c r="AI5327">
        <v>91.232626180241894</v>
      </c>
      <c r="AJ5327">
        <v>97.966082118763694</v>
      </c>
      <c r="AK5327">
        <v>50.967088869286997</v>
      </c>
      <c r="AL5327">
        <v>89.957389633523903</v>
      </c>
      <c r="AM5327">
        <v>93.873690569693395</v>
      </c>
      <c r="AN5327">
        <v>0.99999997050472</v>
      </c>
    </row>
    <row r="5328" spans="1:40" x14ac:dyDescent="0.25">
      <c r="A5328" t="str">
        <f>"20190305135934107"</f>
        <v>20190305135934107</v>
      </c>
      <c r="B5328" t="str">
        <f>"1551765574104694"</f>
        <v>1551765574104694</v>
      </c>
      <c r="C5328" t="s">
        <v>40</v>
      </c>
      <c r="D5328">
        <v>4.0000410000000004</v>
      </c>
      <c r="E5328">
        <v>0.47954209999999903</v>
      </c>
      <c r="F5328" t="s">
        <v>82</v>
      </c>
      <c r="G5328">
        <v>-298.61579999999998</v>
      </c>
      <c r="H5328" s="1">
        <v>-7.4024009999999999E-6</v>
      </c>
      <c r="I5328">
        <v>-53.544849999999997</v>
      </c>
      <c r="J5328">
        <v>-301.7176</v>
      </c>
      <c r="K5328">
        <v>1.099836</v>
      </c>
      <c r="L5328">
        <v>-5.3118589999999903</v>
      </c>
      <c r="M5328">
        <v>-8.0203540000000004E-2</v>
      </c>
      <c r="N5328">
        <v>-2.7938680000000001E-3</v>
      </c>
      <c r="O5328">
        <v>-0.99677470000000001</v>
      </c>
      <c r="P5328">
        <v>4.393442E-3</v>
      </c>
      <c r="Q5328">
        <v>2.365252E-3</v>
      </c>
      <c r="R5328">
        <v>-0.99998779999999998</v>
      </c>
      <c r="S5328">
        <v>0.18920899999999999</v>
      </c>
      <c r="T5328">
        <v>-6.7634819999999998E-2</v>
      </c>
      <c r="U5328">
        <v>-3.0036930000000002</v>
      </c>
      <c r="V5328">
        <v>-8.4606790000000001E-2</v>
      </c>
      <c r="W5328">
        <v>4.7262179999999999E-3</v>
      </c>
      <c r="X5328">
        <v>0.99640320000000004</v>
      </c>
      <c r="Y5328">
        <v>-0.14269309999999999</v>
      </c>
      <c r="Z5328">
        <v>1.9465099999999999E-2</v>
      </c>
      <c r="AA5328">
        <v>0.9895756</v>
      </c>
      <c r="AB5328">
        <v>31</v>
      </c>
      <c r="AC5328">
        <v>3.1018000000000199</v>
      </c>
      <c r="AD5328">
        <v>-1.099843402401</v>
      </c>
      <c r="AE5328">
        <v>-48.232990999999998</v>
      </c>
      <c r="AF5328">
        <v>-6.9566764765048097</v>
      </c>
      <c r="AG5328">
        <v>-1.099843402401</v>
      </c>
      <c r="AH5328">
        <v>47.804077266398501</v>
      </c>
      <c r="AI5328">
        <v>91.304256214384097</v>
      </c>
      <c r="AJ5328">
        <v>98.2798319703261</v>
      </c>
      <c r="AK5328">
        <v>48.3201283773166</v>
      </c>
      <c r="AL5328">
        <v>89.729206645111205</v>
      </c>
      <c r="AM5328">
        <v>94.853468523402896</v>
      </c>
      <c r="AN5328">
        <v>0.99999999151046304</v>
      </c>
    </row>
    <row r="5329" spans="1:40" x14ac:dyDescent="0.25">
      <c r="A5329" t="str">
        <f>"20190305135934133"</f>
        <v>20190305135934133</v>
      </c>
      <c r="B5329" t="str">
        <f>"1551765574124214"</f>
        <v>1551765574124214</v>
      </c>
      <c r="C5329" t="s">
        <v>40</v>
      </c>
      <c r="D5329">
        <v>3.9976310000000002</v>
      </c>
      <c r="E5329">
        <v>0.48164400000000002</v>
      </c>
      <c r="F5329" t="s">
        <v>90</v>
      </c>
      <c r="G5329">
        <v>-296.7047</v>
      </c>
      <c r="H5329">
        <v>0.29669000000000001</v>
      </c>
      <c r="I5329">
        <v>-91.564989999999995</v>
      </c>
      <c r="J5329">
        <v>-301.74430000000001</v>
      </c>
      <c r="K5329">
        <v>1.102209</v>
      </c>
      <c r="L5329">
        <v>-5.6920469999999996</v>
      </c>
      <c r="M5329">
        <v>-7.5849899999999998E-2</v>
      </c>
      <c r="N5329">
        <v>-3.3094069999999999E-3</v>
      </c>
      <c r="O5329">
        <v>-0.99711380000000005</v>
      </c>
      <c r="P5329">
        <v>1.5711449999999998E-2</v>
      </c>
      <c r="Q5329">
        <v>4.5565789999999998E-3</v>
      </c>
      <c r="R5329">
        <v>-0.99986609999999998</v>
      </c>
      <c r="S5329">
        <v>0.17431640000000001</v>
      </c>
      <c r="T5329">
        <v>-2.7927759999999999E-2</v>
      </c>
      <c r="U5329">
        <v>-2.9993289999999999</v>
      </c>
      <c r="V5329">
        <v>-9.1551430000000003E-2</v>
      </c>
      <c r="W5329">
        <v>7.3091980000000003E-3</v>
      </c>
      <c r="X5329">
        <v>0.99577360000000004</v>
      </c>
      <c r="Y5329">
        <v>-0.1335721</v>
      </c>
      <c r="Z5329">
        <v>5.9045520000000004E-3</v>
      </c>
      <c r="AA5329">
        <v>0.9910215</v>
      </c>
      <c r="AB5329">
        <v>31</v>
      </c>
      <c r="AC5329">
        <v>5.0396000000000001</v>
      </c>
      <c r="AD5329">
        <v>-0.80551899999999999</v>
      </c>
      <c r="AE5329">
        <v>-85.872943000000006</v>
      </c>
      <c r="AF5329">
        <v>-11.5375597964779</v>
      </c>
      <c r="AG5329">
        <v>-0.80551899999999999</v>
      </c>
      <c r="AH5329">
        <v>85.235832080993802</v>
      </c>
      <c r="AI5329">
        <v>90.536563172275606</v>
      </c>
      <c r="AJ5329">
        <v>97.708728891331006</v>
      </c>
      <c r="AK5329">
        <v>86.016924017637507</v>
      </c>
      <c r="AL5329">
        <v>89.581210105640594</v>
      </c>
      <c r="AM5329">
        <v>95.253006326504604</v>
      </c>
      <c r="AN5329">
        <v>1.0000000755837</v>
      </c>
    </row>
    <row r="5330" spans="1:40" x14ac:dyDescent="0.25">
      <c r="A5330" t="str">
        <f>"20190305135934156"</f>
        <v>20190305135934156</v>
      </c>
      <c r="B5330" t="str">
        <f>"1551765574144710"</f>
        <v>1551765574144710</v>
      </c>
      <c r="C5330" t="s">
        <v>40</v>
      </c>
      <c r="D5330">
        <v>4.097372</v>
      </c>
      <c r="E5330">
        <v>0.4828653</v>
      </c>
      <c r="F5330" t="s">
        <v>90</v>
      </c>
      <c r="G5330">
        <v>-296.23360000000002</v>
      </c>
      <c r="H5330">
        <v>0.8464642</v>
      </c>
      <c r="I5330">
        <v>-91.564989999999995</v>
      </c>
      <c r="J5330">
        <v>-301.76479999999998</v>
      </c>
      <c r="K5330">
        <v>1.10388</v>
      </c>
      <c r="L5330">
        <v>-6.0076289999999997</v>
      </c>
      <c r="M5330">
        <v>-7.2006340000000002E-2</v>
      </c>
      <c r="N5330">
        <v>-3.6993410000000001E-3</v>
      </c>
      <c r="O5330">
        <v>-0.99739730000000004</v>
      </c>
      <c r="P5330">
        <v>2.56288E-2</v>
      </c>
      <c r="Q5330">
        <v>5.4086739999999996E-3</v>
      </c>
      <c r="R5330">
        <v>-0.99965689999999996</v>
      </c>
      <c r="S5330">
        <v>0.1923523</v>
      </c>
      <c r="T5330">
        <v>-8.926392E-3</v>
      </c>
      <c r="U5330">
        <v>-2.9974059999999998</v>
      </c>
      <c r="V5330">
        <v>-9.7601880000000002E-2</v>
      </c>
      <c r="W5330">
        <v>8.44975699999999E-3</v>
      </c>
      <c r="X5330">
        <v>0.99518969999999995</v>
      </c>
      <c r="Y5330">
        <v>-0.1357323</v>
      </c>
      <c r="Z5330">
        <v>-7.582973E-4</v>
      </c>
      <c r="AA5330">
        <v>0.99074519999999999</v>
      </c>
      <c r="AB5330">
        <v>32</v>
      </c>
      <c r="AC5330">
        <v>5.5311999999999504</v>
      </c>
      <c r="AD5330">
        <v>-0.25741579999999997</v>
      </c>
      <c r="AE5330">
        <v>-85.557361</v>
      </c>
      <c r="AF5330">
        <v>-11.677451171566499</v>
      </c>
      <c r="AG5330">
        <v>-0.25741579999999997</v>
      </c>
      <c r="AH5330">
        <v>84.936216096926401</v>
      </c>
      <c r="AI5330">
        <v>90.1720273056156</v>
      </c>
      <c r="AJ5330">
        <v>97.828230040593198</v>
      </c>
      <c r="AK5330">
        <v>85.735581491130006</v>
      </c>
      <c r="AL5330">
        <v>89.515858840301703</v>
      </c>
      <c r="AM5330">
        <v>95.601293127601593</v>
      </c>
      <c r="AN5330">
        <v>1.00000003217949</v>
      </c>
    </row>
    <row r="5331" spans="1:40" x14ac:dyDescent="0.25">
      <c r="A5331" t="str">
        <f>"20190305135934179"</f>
        <v>20190305135934179</v>
      </c>
      <c r="B5331" t="str">
        <f>"1551765574173990"</f>
        <v>1551765574173990</v>
      </c>
      <c r="C5331" t="s">
        <v>40</v>
      </c>
      <c r="D5331">
        <v>4.0117019999999997</v>
      </c>
      <c r="E5331">
        <v>0.48548160000000001</v>
      </c>
      <c r="F5331" t="s">
        <v>90</v>
      </c>
      <c r="G5331">
        <v>-295.69670000000002</v>
      </c>
      <c r="H5331">
        <v>1.0055480000000001</v>
      </c>
      <c r="I5331">
        <v>-91.564989999999995</v>
      </c>
      <c r="J5331">
        <v>-301.78399999999999</v>
      </c>
      <c r="K5331">
        <v>1.1053029999999999</v>
      </c>
      <c r="L5331">
        <v>-6.3233949999999997</v>
      </c>
      <c r="M5331">
        <v>-6.7953189999999997E-2</v>
      </c>
      <c r="N5331">
        <v>-4.0460950000000004E-3</v>
      </c>
      <c r="O5331">
        <v>-0.99768040000000002</v>
      </c>
      <c r="P5331">
        <v>3.5361120000000003E-2</v>
      </c>
      <c r="Q5331">
        <v>4.9382250000000001E-3</v>
      </c>
      <c r="R5331">
        <v>-0.99936250000000004</v>
      </c>
      <c r="S5331">
        <v>0.2124634</v>
      </c>
      <c r="T5331">
        <v>-3.4424070000000002E-3</v>
      </c>
      <c r="U5331">
        <v>-2.9956049999999999</v>
      </c>
      <c r="V5331">
        <v>-0.1032508</v>
      </c>
      <c r="W5331">
        <v>8.2261269999999997E-3</v>
      </c>
      <c r="X5331">
        <v>0.99462130000000004</v>
      </c>
      <c r="Y5331">
        <v>-0.1383655</v>
      </c>
      <c r="Z5331">
        <v>-2.9176549999999999E-3</v>
      </c>
      <c r="AA5331">
        <v>0.9903769</v>
      </c>
      <c r="AB5331">
        <v>32</v>
      </c>
      <c r="AC5331">
        <v>6.0872999999999697</v>
      </c>
      <c r="AD5331">
        <v>-9.9755000000000205E-2</v>
      </c>
      <c r="AE5331">
        <v>-85.241594999999904</v>
      </c>
      <c r="AF5331">
        <v>-11.8656980464139</v>
      </c>
      <c r="AG5331">
        <v>-9.9755000000000205E-2</v>
      </c>
      <c r="AH5331">
        <v>84.630786639531905</v>
      </c>
      <c r="AI5331">
        <v>90.066880814979697</v>
      </c>
      <c r="AJ5331">
        <v>97.981155548202693</v>
      </c>
      <c r="AK5331">
        <v>85.458614477504099</v>
      </c>
      <c r="AL5331">
        <v>89.528672308196406</v>
      </c>
      <c r="AM5331">
        <v>95.926598465608507</v>
      </c>
      <c r="AN5331">
        <v>0.99999996363987398</v>
      </c>
    </row>
    <row r="5332" spans="1:40" x14ac:dyDescent="0.25">
      <c r="A5332" t="str">
        <f>"20190305135934204"</f>
        <v>20190305135934204</v>
      </c>
      <c r="B5332" t="str">
        <f>"1551765574194487"</f>
        <v>1551765574194487</v>
      </c>
      <c r="C5332" t="s">
        <v>40</v>
      </c>
      <c r="D5332">
        <v>3.995082</v>
      </c>
      <c r="E5332">
        <v>0.48635349999999999</v>
      </c>
      <c r="F5332" t="s">
        <v>90</v>
      </c>
      <c r="G5332">
        <v>-295.49189999999999</v>
      </c>
      <c r="H5332">
        <v>1.0918730000000001</v>
      </c>
      <c r="I5332">
        <v>-91.564989999999995</v>
      </c>
      <c r="J5332">
        <v>-301.80360000000002</v>
      </c>
      <c r="K5332">
        <v>1.106638</v>
      </c>
      <c r="L5332">
        <v>-6.6777039999999896</v>
      </c>
      <c r="M5332">
        <v>-6.3178540000000005E-2</v>
      </c>
      <c r="N5332">
        <v>-4.3702309999999996E-3</v>
      </c>
      <c r="O5332">
        <v>-0.99799280000000001</v>
      </c>
      <c r="P5332">
        <v>4.4218239999999999E-2</v>
      </c>
      <c r="Q5332">
        <v>1.624784E-3</v>
      </c>
      <c r="R5332">
        <v>-0.99902080000000004</v>
      </c>
      <c r="S5332">
        <v>0.22100829999999999</v>
      </c>
      <c r="T5332">
        <v>-4.712343E-4</v>
      </c>
      <c r="U5332">
        <v>-2.99411</v>
      </c>
      <c r="V5332">
        <v>-0.1072901</v>
      </c>
      <c r="W5332">
        <v>5.1420140000000003E-3</v>
      </c>
      <c r="X5332">
        <v>0.9942145</v>
      </c>
      <c r="Y5332">
        <v>-0.1364727</v>
      </c>
      <c r="Z5332">
        <v>-4.2244650000000002E-3</v>
      </c>
      <c r="AA5332">
        <v>0.99063480000000004</v>
      </c>
      <c r="AB5332">
        <v>32</v>
      </c>
      <c r="AC5332">
        <v>6.3117000000000196</v>
      </c>
      <c r="AD5332">
        <v>-1.4765000000000099E-2</v>
      </c>
      <c r="AE5332">
        <v>-84.887286000000003</v>
      </c>
      <c r="AF5332">
        <v>-11.6621954761615</v>
      </c>
      <c r="AG5332">
        <v>-1.4765000000000099E-2</v>
      </c>
      <c r="AH5332">
        <v>84.318928135983597</v>
      </c>
      <c r="AI5332">
        <v>90.009938394945493</v>
      </c>
      <c r="AJ5332">
        <v>97.874649641399799</v>
      </c>
      <c r="AK5332">
        <v>85.121611024055397</v>
      </c>
      <c r="AL5332">
        <v>89.705383012770994</v>
      </c>
      <c r="AM5332">
        <v>96.159206634619693</v>
      </c>
      <c r="AN5332">
        <v>1.0000000389381101</v>
      </c>
    </row>
    <row r="5333" spans="1:40" x14ac:dyDescent="0.25">
      <c r="A5333" t="str">
        <f>"20190305135934231"</f>
        <v>20190305135934231</v>
      </c>
      <c r="B5333" t="str">
        <f>"1551765574224742"</f>
        <v>1551765574224742</v>
      </c>
      <c r="C5333" t="s">
        <v>40</v>
      </c>
      <c r="D5333">
        <v>4.046322</v>
      </c>
      <c r="E5333">
        <v>0.49730370000000002</v>
      </c>
      <c r="F5333" t="s">
        <v>90</v>
      </c>
      <c r="G5333">
        <v>-294.97300000000001</v>
      </c>
      <c r="H5333">
        <v>0.86375429999999997</v>
      </c>
      <c r="I5333">
        <v>-91.564989999999995</v>
      </c>
      <c r="J5333">
        <v>-301.82330000000002</v>
      </c>
      <c r="K5333">
        <v>1.1078730000000001</v>
      </c>
      <c r="L5333">
        <v>-7.0722050000000003</v>
      </c>
      <c r="M5333">
        <v>-5.7687820000000001E-2</v>
      </c>
      <c r="N5333">
        <v>-4.670993E-3</v>
      </c>
      <c r="O5333">
        <v>-0.99832390000000004</v>
      </c>
      <c r="P5333">
        <v>5.3637610000000002E-2</v>
      </c>
      <c r="Q5333">
        <v>-1.7185900000000001E-3</v>
      </c>
      <c r="R5333">
        <v>-0.99855930000000004</v>
      </c>
      <c r="S5333">
        <v>0.24078369999999999</v>
      </c>
      <c r="T5333">
        <v>-8.5612540000000008E-3</v>
      </c>
      <c r="U5333">
        <v>-2.9923099999999998</v>
      </c>
      <c r="V5333">
        <v>-0.1111737</v>
      </c>
      <c r="W5333">
        <v>2.0039699999999999E-3</v>
      </c>
      <c r="X5333">
        <v>0.99379899999999999</v>
      </c>
      <c r="Y5333">
        <v>-0.13757469999999999</v>
      </c>
      <c r="Z5333">
        <v>-1.846115E-3</v>
      </c>
      <c r="AA5333">
        <v>0.99048970000000003</v>
      </c>
      <c r="AB5333">
        <v>32</v>
      </c>
      <c r="AC5333">
        <v>6.8502999999999998</v>
      </c>
      <c r="AD5333">
        <v>-0.24411869999999899</v>
      </c>
      <c r="AE5333">
        <v>-84.492784999999998</v>
      </c>
      <c r="AF5333">
        <v>-11.713051599739</v>
      </c>
      <c r="AG5333">
        <v>-0.24411869999999899</v>
      </c>
      <c r="AH5333">
        <v>83.956194309719194</v>
      </c>
      <c r="AI5333">
        <v>90.164999931947506</v>
      </c>
      <c r="AJ5333">
        <v>97.942289479088899</v>
      </c>
      <c r="AK5333">
        <v>84.769674617101003</v>
      </c>
      <c r="AL5333">
        <v>89.885180903315799</v>
      </c>
      <c r="AM5333">
        <v>96.382991321864296</v>
      </c>
      <c r="AN5333">
        <v>1.00000002993422</v>
      </c>
    </row>
    <row r="5334" spans="1:40" x14ac:dyDescent="0.25">
      <c r="A5334" t="str">
        <f>"20190305135934253"</f>
        <v>20190305135934253</v>
      </c>
      <c r="B5334" t="str">
        <f>"1551765574244262"</f>
        <v>1551765574244262</v>
      </c>
      <c r="C5334" t="s">
        <v>40</v>
      </c>
      <c r="D5334">
        <v>3.9937710000000002</v>
      </c>
      <c r="E5334">
        <v>0.49923329999999999</v>
      </c>
      <c r="F5334" t="s">
        <v>90</v>
      </c>
      <c r="G5334">
        <v>-296.66370000000001</v>
      </c>
      <c r="H5334">
        <v>1.1722349999999999</v>
      </c>
      <c r="I5334">
        <v>-91.564989999999995</v>
      </c>
      <c r="J5334">
        <v>-301.83670000000001</v>
      </c>
      <c r="K5334">
        <v>1.1086240000000001</v>
      </c>
      <c r="L5334">
        <v>-7.3708499999999999</v>
      </c>
      <c r="M5334">
        <v>-5.3433109999999999E-2</v>
      </c>
      <c r="N5334">
        <v>-4.8511229999999997E-3</v>
      </c>
      <c r="O5334">
        <v>-0.9985598</v>
      </c>
      <c r="P5334">
        <v>5.9562280000000002E-2</v>
      </c>
      <c r="Q5334">
        <v>-5.2479939999999997E-3</v>
      </c>
      <c r="R5334">
        <v>-0.99821079999999995</v>
      </c>
      <c r="S5334">
        <v>0.1828613</v>
      </c>
      <c r="T5334">
        <v>2.2814269999999999E-3</v>
      </c>
      <c r="U5334">
        <v>-2.994507</v>
      </c>
      <c r="V5334">
        <v>-0.112807199999999</v>
      </c>
      <c r="W5334">
        <v>-1.4003220000000001E-3</v>
      </c>
      <c r="X5334">
        <v>0.9936159</v>
      </c>
      <c r="Y5334">
        <v>-0.1141973</v>
      </c>
      <c r="Z5334">
        <v>-5.6160709999999898E-3</v>
      </c>
      <c r="AA5334">
        <v>0.99344219999999905</v>
      </c>
      <c r="AB5334">
        <v>32</v>
      </c>
      <c r="AC5334">
        <v>5.173</v>
      </c>
      <c r="AD5334">
        <v>6.3611000000000001E-2</v>
      </c>
      <c r="AE5334">
        <v>-84.194140000000004</v>
      </c>
      <c r="AF5334">
        <v>-9.6644113394540305</v>
      </c>
      <c r="AG5334">
        <v>6.3611000000000001E-2</v>
      </c>
      <c r="AH5334">
        <v>83.797399721528905</v>
      </c>
      <c r="AI5334">
        <v>89.956792915791098</v>
      </c>
      <c r="AJ5334">
        <v>96.5788951355281</v>
      </c>
      <c r="AK5334">
        <v>84.352884319311698</v>
      </c>
      <c r="AL5334">
        <v>90.080232567502506</v>
      </c>
      <c r="AM5334">
        <v>96.477170238936296</v>
      </c>
      <c r="AN5334">
        <v>0.99999999100317605</v>
      </c>
    </row>
    <row r="5335" spans="1:40" x14ac:dyDescent="0.25">
      <c r="A5335" t="str">
        <f>"20190305135934287"</f>
        <v>20190305135934287</v>
      </c>
      <c r="B5335" t="str">
        <f>"1551765574274518"</f>
        <v>1551765574274518</v>
      </c>
      <c r="C5335" t="s">
        <v>40</v>
      </c>
      <c r="D5335">
        <v>4.045566</v>
      </c>
      <c r="E5335">
        <v>0.49815910000000002</v>
      </c>
      <c r="F5335" t="s">
        <v>90</v>
      </c>
      <c r="G5335">
        <v>-296.62540000000001</v>
      </c>
      <c r="H5335">
        <v>0.94181820000000005</v>
      </c>
      <c r="I5335">
        <v>-91.564989999999995</v>
      </c>
      <c r="J5335">
        <v>-301.85520000000002</v>
      </c>
      <c r="K5335">
        <v>1.109518</v>
      </c>
      <c r="L5335">
        <v>-7.844055</v>
      </c>
      <c r="M5335">
        <v>-4.6587499999999997E-2</v>
      </c>
      <c r="N5335">
        <v>-5.0611529999999997E-3</v>
      </c>
      <c r="O5335">
        <v>-0.9989015</v>
      </c>
      <c r="P5335">
        <v>6.7324899999999993E-2</v>
      </c>
      <c r="Q5335">
        <v>-1.8483679999999999E-2</v>
      </c>
      <c r="R5335">
        <v>-0.99756</v>
      </c>
      <c r="S5335">
        <v>0.18533330000000001</v>
      </c>
      <c r="T5335">
        <v>-5.9318540000000003E-3</v>
      </c>
      <c r="U5335">
        <v>-2.9942929999999999</v>
      </c>
      <c r="V5335">
        <v>-0.1136003</v>
      </c>
      <c r="W5335">
        <v>-1.448173E-2</v>
      </c>
      <c r="X5335">
        <v>0.993421</v>
      </c>
      <c r="Y5335">
        <v>-0.1082071</v>
      </c>
      <c r="Z5335">
        <v>-3.098347E-3</v>
      </c>
      <c r="AA5335">
        <v>0.99412350000000005</v>
      </c>
      <c r="AB5335">
        <v>32</v>
      </c>
      <c r="AC5335">
        <v>5.2298000000000098</v>
      </c>
      <c r="AD5335">
        <v>-0.16769980000000001</v>
      </c>
      <c r="AE5335">
        <v>-83.720934999999997</v>
      </c>
      <c r="AF5335">
        <v>-9.1244835295122009</v>
      </c>
      <c r="AG5335">
        <v>-0.16769980000000001</v>
      </c>
      <c r="AH5335">
        <v>83.386049909593694</v>
      </c>
      <c r="AI5335">
        <v>90.114545115879594</v>
      </c>
      <c r="AJ5335">
        <v>96.244721502931696</v>
      </c>
      <c r="AK5335">
        <v>83.883953426316907</v>
      </c>
      <c r="AL5335">
        <v>90.829771000866302</v>
      </c>
      <c r="AM5335">
        <v>96.5235860497327</v>
      </c>
      <c r="AN5335">
        <v>1.00000001595244</v>
      </c>
    </row>
    <row r="5336" spans="1:40" x14ac:dyDescent="0.25">
      <c r="A5336" t="str">
        <f>"20190305135934310"</f>
        <v>20190305135934310</v>
      </c>
      <c r="B5336" t="str">
        <f>"1551765574304775"</f>
        <v>1551765574304775</v>
      </c>
      <c r="C5336" t="s">
        <v>40</v>
      </c>
      <c r="D5336">
        <v>4.0641109999999996</v>
      </c>
      <c r="E5336">
        <v>0.49709100000000001</v>
      </c>
      <c r="F5336" t="s">
        <v>82</v>
      </c>
      <c r="G5336">
        <v>-298.04629999999997</v>
      </c>
      <c r="H5336" s="1">
        <v>-1.2319979999999999E-5</v>
      </c>
      <c r="I5336">
        <v>-60.536299999999997</v>
      </c>
      <c r="J5336">
        <v>-301.86689999999999</v>
      </c>
      <c r="K5336">
        <v>1.1100650000000001</v>
      </c>
      <c r="L5336">
        <v>-8.202026</v>
      </c>
      <c r="M5336">
        <v>-4.1386039999999999E-2</v>
      </c>
      <c r="N5336">
        <v>-5.176885E-3</v>
      </c>
      <c r="O5336">
        <v>-0.99912999999999996</v>
      </c>
      <c r="P5336">
        <v>7.2236239999999993E-2</v>
      </c>
      <c r="Q5336">
        <v>-2.4327479999999999E-2</v>
      </c>
      <c r="R5336">
        <v>-0.9970909</v>
      </c>
      <c r="S5336">
        <v>0.21624760000000001</v>
      </c>
      <c r="T5336">
        <v>-6.2993049999999995E-2</v>
      </c>
      <c r="U5336">
        <v>-2.9915769999999999</v>
      </c>
      <c r="V5336">
        <v>-0.11325880000000001</v>
      </c>
      <c r="W5336">
        <v>-2.0230379999999999E-2</v>
      </c>
      <c r="X5336">
        <v>0.99335960000000001</v>
      </c>
      <c r="Y5336">
        <v>-0.1132978</v>
      </c>
      <c r="Z5336">
        <v>1.5746240000000002E-2</v>
      </c>
      <c r="AA5336">
        <v>0.99343630000000005</v>
      </c>
      <c r="AB5336">
        <v>32</v>
      </c>
      <c r="AC5336">
        <v>3.82060000000001</v>
      </c>
      <c r="AD5336">
        <v>-1.11007731997999</v>
      </c>
      <c r="AE5336">
        <v>-52.334273999999901</v>
      </c>
      <c r="AF5336">
        <v>-5.9805870174269202</v>
      </c>
      <c r="AG5336">
        <v>-1.11007731997999</v>
      </c>
      <c r="AH5336">
        <v>52.1079927510497</v>
      </c>
      <c r="AI5336">
        <v>91.212453018268704</v>
      </c>
      <c r="AJ5336">
        <v>96.547355744761305</v>
      </c>
      <c r="AK5336">
        <v>52.461820415162897</v>
      </c>
      <c r="AL5336">
        <v>91.159194402409398</v>
      </c>
      <c r="AM5336">
        <v>96.504542017469305</v>
      </c>
      <c r="AN5336">
        <v>1.00000005948227</v>
      </c>
    </row>
    <row r="5337" spans="1:40" x14ac:dyDescent="0.25">
      <c r="A5337" t="str">
        <f>"20190305135934335"</f>
        <v>20190305135934335</v>
      </c>
      <c r="B5337" t="str">
        <f>"1551765574324328"</f>
        <v>1551765574324328</v>
      </c>
      <c r="C5337" t="s">
        <v>40</v>
      </c>
      <c r="D5337">
        <v>4.0711750000000002</v>
      </c>
      <c r="E5337">
        <v>0.49727480000000002</v>
      </c>
      <c r="F5337" t="s">
        <v>82</v>
      </c>
      <c r="G5337">
        <v>-299.22859999999997</v>
      </c>
      <c r="H5337" s="1">
        <v>-7.7651719999999897E-7</v>
      </c>
      <c r="I5337">
        <v>-41.30256</v>
      </c>
      <c r="J5337">
        <v>-301.87700000000001</v>
      </c>
      <c r="K5337">
        <v>1.1105069999999999</v>
      </c>
      <c r="L5337">
        <v>-8.5618289999999995</v>
      </c>
      <c r="M5337">
        <v>-3.620114E-2</v>
      </c>
      <c r="N5337">
        <v>-5.2711310000000001E-3</v>
      </c>
      <c r="O5337">
        <v>-0.99933059999999996</v>
      </c>
      <c r="P5337">
        <v>7.6658190000000001E-2</v>
      </c>
      <c r="Q5337">
        <v>-2.838663E-2</v>
      </c>
      <c r="R5337">
        <v>-0.99665340000000002</v>
      </c>
      <c r="S5337">
        <v>0.23825070000000001</v>
      </c>
      <c r="T5337">
        <v>-0.1002412</v>
      </c>
      <c r="U5337">
        <v>-2.9890439999999998</v>
      </c>
      <c r="V5337">
        <v>-0.11246730000000001</v>
      </c>
      <c r="W5337">
        <v>-2.420081E-2</v>
      </c>
      <c r="X5337">
        <v>0.99336069999999999</v>
      </c>
      <c r="Y5337">
        <v>-0.115448</v>
      </c>
      <c r="Z5337">
        <v>2.8043309999999998E-2</v>
      </c>
      <c r="AA5337">
        <v>0.99291759999999996</v>
      </c>
      <c r="AB5337">
        <v>32</v>
      </c>
      <c r="AC5337">
        <v>2.6484000000000298</v>
      </c>
      <c r="AD5337">
        <v>-1.1105077765172</v>
      </c>
      <c r="AE5337">
        <v>-32.740730999999997</v>
      </c>
      <c r="AF5337">
        <v>-3.82755749270921</v>
      </c>
      <c r="AG5337">
        <v>-1.1105077765172</v>
      </c>
      <c r="AH5337">
        <v>32.586148280434003</v>
      </c>
      <c r="AI5337">
        <v>91.9385187144414</v>
      </c>
      <c r="AJ5337">
        <v>96.699245295858503</v>
      </c>
      <c r="AK5337">
        <v>32.828958004117801</v>
      </c>
      <c r="AL5337">
        <v>91.386739623554107</v>
      </c>
      <c r="AM5337">
        <v>96.459463983270794</v>
      </c>
      <c r="AN5337">
        <v>1.0000000265392099</v>
      </c>
    </row>
    <row r="5338" spans="1:40" x14ac:dyDescent="0.25">
      <c r="A5338" t="str">
        <f>"20190305135934357"</f>
        <v>20190305135934357</v>
      </c>
      <c r="B5338" t="str">
        <f>"1551765574354584"</f>
        <v>1551765574354584</v>
      </c>
      <c r="C5338" t="s">
        <v>40</v>
      </c>
      <c r="D5338">
        <v>4.0281320000000003</v>
      </c>
      <c r="E5338">
        <v>0.49806060000000002</v>
      </c>
      <c r="F5338" t="s">
        <v>42</v>
      </c>
      <c r="G5338">
        <v>-299.57010000000002</v>
      </c>
      <c r="H5338" s="1">
        <v>-1.8813849999999999E-6</v>
      </c>
      <c r="I5338">
        <v>-36.159419999999997</v>
      </c>
      <c r="J5338">
        <v>-301.8845</v>
      </c>
      <c r="K5338">
        <v>1.1108100000000001</v>
      </c>
      <c r="L5338">
        <v>-8.8793330000000008</v>
      </c>
      <c r="M5338">
        <v>-3.1732129999999997E-2</v>
      </c>
      <c r="N5338">
        <v>-5.338626E-3</v>
      </c>
      <c r="O5338">
        <v>-0.99948219999999999</v>
      </c>
      <c r="P5338">
        <v>7.9938300000000004E-2</v>
      </c>
      <c r="Q5338">
        <v>-2.9655359999999999E-2</v>
      </c>
      <c r="R5338">
        <v>-0.99635859999999998</v>
      </c>
      <c r="S5338">
        <v>0.24972530000000001</v>
      </c>
      <c r="T5338">
        <v>-0.1202121</v>
      </c>
      <c r="U5338">
        <v>-2.9874269999999998</v>
      </c>
      <c r="V5338">
        <v>-0.1112831</v>
      </c>
      <c r="W5338">
        <v>-2.5389740000000001E-2</v>
      </c>
      <c r="X5338">
        <v>0.99346440000000003</v>
      </c>
      <c r="Y5338">
        <v>-0.114818</v>
      </c>
      <c r="Z5338">
        <v>3.46319E-2</v>
      </c>
      <c r="AA5338">
        <v>0.99278270000000002</v>
      </c>
      <c r="AB5338">
        <v>33</v>
      </c>
      <c r="AC5338">
        <v>2.3143999999999698</v>
      </c>
      <c r="AD5338">
        <v>-1.1108118813850001</v>
      </c>
      <c r="AE5338">
        <v>-27.280086999999899</v>
      </c>
      <c r="AF5338">
        <v>-3.1736776025028002</v>
      </c>
      <c r="AG5338">
        <v>-1.1108118813850001</v>
      </c>
      <c r="AH5338">
        <v>27.148216125353301</v>
      </c>
      <c r="AI5338">
        <v>92.327209484765802</v>
      </c>
      <c r="AJ5338">
        <v>96.667720652732797</v>
      </c>
      <c r="AK5338">
        <v>27.355653370909401</v>
      </c>
      <c r="AL5338">
        <v>91.454881226510807</v>
      </c>
      <c r="AM5338">
        <v>96.391354653280004</v>
      </c>
      <c r="AN5338">
        <v>1.0000000406551099</v>
      </c>
    </row>
    <row r="5339" spans="1:40" x14ac:dyDescent="0.25">
      <c r="A5339" t="str">
        <f>"20190305135934380"</f>
        <v>20190305135934380</v>
      </c>
      <c r="B5339" t="str">
        <f>"1551765574374104"</f>
        <v>1551765574374104</v>
      </c>
      <c r="C5339" t="s">
        <v>40</v>
      </c>
      <c r="D5339">
        <v>4.0404929999999997</v>
      </c>
      <c r="E5339">
        <v>0.49874489999999999</v>
      </c>
      <c r="F5339" t="s">
        <v>42</v>
      </c>
      <c r="G5339">
        <v>-300.50880000000001</v>
      </c>
      <c r="H5339" s="1">
        <v>-2.2852350000000001E-6</v>
      </c>
      <c r="I5339">
        <v>-25.399519999999999</v>
      </c>
      <c r="J5339">
        <v>-301.89089999999999</v>
      </c>
      <c r="K5339">
        <v>1.1110359999999999</v>
      </c>
      <c r="L5339">
        <v>-9.2194210000000005</v>
      </c>
      <c r="M5339">
        <v>-2.7121650000000001E-2</v>
      </c>
      <c r="N5339">
        <v>-5.3969830000000002E-3</v>
      </c>
      <c r="O5339">
        <v>-0.9996178</v>
      </c>
      <c r="P5339">
        <v>8.3705550000000004E-2</v>
      </c>
      <c r="Q5339">
        <v>-2.978186E-2</v>
      </c>
      <c r="R5339">
        <v>-0.99604559999999998</v>
      </c>
      <c r="S5339">
        <v>0.2485657</v>
      </c>
      <c r="T5339">
        <v>-0.20071349999999999</v>
      </c>
      <c r="U5339">
        <v>-2.9850460000000001</v>
      </c>
      <c r="V5339">
        <v>-0.1104605</v>
      </c>
      <c r="W5339">
        <v>-2.5435550000000001E-2</v>
      </c>
      <c r="X5339">
        <v>0.99355499999999997</v>
      </c>
      <c r="Y5339">
        <v>-0.1098031</v>
      </c>
      <c r="Z5339">
        <v>6.1341420000000001E-2</v>
      </c>
      <c r="AA5339">
        <v>0.99205869999999996</v>
      </c>
      <c r="AB5339">
        <v>33</v>
      </c>
      <c r="AC5339">
        <v>1.3820999999999799</v>
      </c>
      <c r="AD5339">
        <v>-1.111038285235</v>
      </c>
      <c r="AE5339">
        <v>-16.180098999999998</v>
      </c>
      <c r="AF5339">
        <v>-1.8119471204890301</v>
      </c>
      <c r="AG5339">
        <v>-1.111038285235</v>
      </c>
      <c r="AH5339">
        <v>16.061477725935099</v>
      </c>
      <c r="AI5339">
        <v>93.932216256578798</v>
      </c>
      <c r="AJ5339">
        <v>96.436508357589503</v>
      </c>
      <c r="AK5339">
        <v>16.201500707632501</v>
      </c>
      <c r="AL5339">
        <v>91.457506833376399</v>
      </c>
      <c r="AM5339">
        <v>96.343922873002995</v>
      </c>
      <c r="AN5339">
        <v>1.00000001364452</v>
      </c>
    </row>
    <row r="5340" spans="1:40" x14ac:dyDescent="0.25">
      <c r="A5340" t="str">
        <f>"20190305135934403"</f>
        <v>20190305135934403</v>
      </c>
      <c r="B5340" t="str">
        <f>"1551765574394600"</f>
        <v>1551765574394600</v>
      </c>
      <c r="C5340" t="s">
        <v>40</v>
      </c>
      <c r="D5340">
        <v>4.0638489999999896</v>
      </c>
      <c r="E5340">
        <v>0.49909910000000002</v>
      </c>
      <c r="F5340" t="s">
        <v>42</v>
      </c>
      <c r="G5340">
        <v>-299.19159999999999</v>
      </c>
      <c r="H5340" s="1">
        <v>-2.4615140000000001E-7</v>
      </c>
      <c r="I5340">
        <v>-40.260640000000002</v>
      </c>
      <c r="J5340">
        <v>-301.89580000000001</v>
      </c>
      <c r="K5340">
        <v>1.1111740000000001</v>
      </c>
      <c r="L5340">
        <v>-9.5452580000000005</v>
      </c>
      <c r="M5340">
        <v>-2.2898249999999998E-2</v>
      </c>
      <c r="N5340">
        <v>-5.4434490000000004E-3</v>
      </c>
      <c r="O5340">
        <v>-0.99972300000000003</v>
      </c>
      <c r="P5340">
        <v>8.8473999999999997E-2</v>
      </c>
      <c r="Q5340">
        <v>-2.844617E-2</v>
      </c>
      <c r="R5340">
        <v>-0.99567229999999995</v>
      </c>
      <c r="S5340">
        <v>0.2597351</v>
      </c>
      <c r="T5340">
        <v>-0.1069071</v>
      </c>
      <c r="U5340">
        <v>-2.9868769999999998</v>
      </c>
      <c r="V5340">
        <v>-0.111039</v>
      </c>
      <c r="W5340">
        <v>-2.4035589999999999E-2</v>
      </c>
      <c r="X5340">
        <v>0.99352529999999994</v>
      </c>
      <c r="Y5340">
        <v>-0.10936999999999999</v>
      </c>
      <c r="Z5340">
        <v>3.0135039999999998E-2</v>
      </c>
      <c r="AA5340">
        <v>0.99354419999999999</v>
      </c>
      <c r="AB5340">
        <v>33</v>
      </c>
      <c r="AC5340">
        <v>2.7042000000000099</v>
      </c>
      <c r="AD5340">
        <v>-1.11117424615139</v>
      </c>
      <c r="AE5340">
        <v>-30.715382000000002</v>
      </c>
      <c r="AF5340">
        <v>-3.4024112294192901</v>
      </c>
      <c r="AG5340">
        <v>-1.11117424615139</v>
      </c>
      <c r="AH5340">
        <v>30.605659159458199</v>
      </c>
      <c r="AI5340">
        <v>92.0665574560376</v>
      </c>
      <c r="AJ5340">
        <v>96.343487863707196</v>
      </c>
      <c r="AK5340">
        <v>30.814241560751</v>
      </c>
      <c r="AL5340">
        <v>91.377270572395005</v>
      </c>
      <c r="AM5340">
        <v>96.377063123212906</v>
      </c>
      <c r="AN5340">
        <v>0.99999994542386705</v>
      </c>
    </row>
    <row r="5341" spans="1:40" x14ac:dyDescent="0.25">
      <c r="A5341" t="str">
        <f>"20190305135934429"</f>
        <v>20190305135934429</v>
      </c>
      <c r="B5341" t="str">
        <f>"1551765574423880"</f>
        <v>1551765574423880</v>
      </c>
      <c r="C5341" t="s">
        <v>40</v>
      </c>
      <c r="D5341">
        <v>4.049811</v>
      </c>
      <c r="E5341">
        <v>0.50027969999999999</v>
      </c>
      <c r="F5341" t="s">
        <v>82</v>
      </c>
      <c r="G5341">
        <v>-298.75299999999999</v>
      </c>
      <c r="H5341" s="1">
        <v>-2.6456550000000002E-6</v>
      </c>
      <c r="I5341">
        <v>-44.044089999999997</v>
      </c>
      <c r="J5341">
        <v>-301.90019999999998</v>
      </c>
      <c r="K5341">
        <v>1.1112759999999999</v>
      </c>
      <c r="L5341">
        <v>-9.9436339999999994</v>
      </c>
      <c r="M5341">
        <v>-1.7963409999999999E-2</v>
      </c>
      <c r="N5341">
        <v>-5.4933730000000002E-3</v>
      </c>
      <c r="O5341">
        <v>-0.99982369999999998</v>
      </c>
      <c r="P5341">
        <v>9.5001059999999998E-2</v>
      </c>
      <c r="Q5341">
        <v>-2.7185310000000001E-2</v>
      </c>
      <c r="R5341">
        <v>-0.99510600000000005</v>
      </c>
      <c r="S5341">
        <v>0.27203369999999999</v>
      </c>
      <c r="T5341">
        <v>-9.6180080000000001E-2</v>
      </c>
      <c r="U5341">
        <v>-2.9861149999999999</v>
      </c>
      <c r="V5341">
        <v>-0.1126683</v>
      </c>
      <c r="W5341">
        <v>-2.270958E-2</v>
      </c>
      <c r="X5341">
        <v>0.99337310000000001</v>
      </c>
      <c r="Y5341">
        <v>-0.1085557</v>
      </c>
      <c r="Z5341">
        <v>2.6527760000000001E-2</v>
      </c>
      <c r="AA5341">
        <v>0.99373630000000002</v>
      </c>
      <c r="AB5341">
        <v>33</v>
      </c>
      <c r="AC5341">
        <v>3.14719999999999</v>
      </c>
      <c r="AD5341">
        <v>-1.1112786456549999</v>
      </c>
      <c r="AE5341">
        <v>-34.100456000000001</v>
      </c>
      <c r="AF5341">
        <v>-3.7553073311824399</v>
      </c>
      <c r="AG5341">
        <v>-1.1112786456549999</v>
      </c>
      <c r="AH5341">
        <v>34.002612391812598</v>
      </c>
      <c r="AI5341">
        <v>91.860578591855202</v>
      </c>
      <c r="AJ5341">
        <v>96.302303961519002</v>
      </c>
      <c r="AK5341">
        <v>34.227400176580304</v>
      </c>
      <c r="AL5341">
        <v>91.301274963558299</v>
      </c>
      <c r="AM5341">
        <v>96.470830328721306</v>
      </c>
      <c r="AN5341">
        <v>0.99999999332613798</v>
      </c>
    </row>
    <row r="5342" spans="1:40" x14ac:dyDescent="0.25">
      <c r="A5342" t="str">
        <f>"20190305135934455"</f>
        <v>20190305135934455</v>
      </c>
      <c r="B5342" t="str">
        <f>"1551765574444375"</f>
        <v>1551765574444375</v>
      </c>
      <c r="C5342" t="s">
        <v>40</v>
      </c>
      <c r="D5342">
        <v>4.058046</v>
      </c>
      <c r="E5342">
        <v>0.50086960000000003</v>
      </c>
      <c r="F5342" t="s">
        <v>82</v>
      </c>
      <c r="G5342">
        <v>-297.642</v>
      </c>
      <c r="H5342" s="1">
        <v>-7.6011969999999901E-6</v>
      </c>
      <c r="I5342">
        <v>-54.816450000000003</v>
      </c>
      <c r="J5342">
        <v>-301.90280000000001</v>
      </c>
      <c r="K5342">
        <v>1.111326</v>
      </c>
      <c r="L5342">
        <v>-10.31683</v>
      </c>
      <c r="M5342">
        <v>-1.3568770000000001E-2</v>
      </c>
      <c r="N5342">
        <v>-5.5349240000000001E-3</v>
      </c>
      <c r="O5342">
        <v>-0.99989269999999997</v>
      </c>
      <c r="P5342">
        <v>0.10095899999999999</v>
      </c>
      <c r="Q5342">
        <v>-2.7066150000000001E-2</v>
      </c>
      <c r="R5342">
        <v>-0.99452209999999996</v>
      </c>
      <c r="S5342">
        <v>0.2833252</v>
      </c>
      <c r="T5342">
        <v>-7.3941110000000004E-2</v>
      </c>
      <c r="U5342">
        <v>-2.985687</v>
      </c>
      <c r="V5342">
        <v>-0.1142587</v>
      </c>
      <c r="W5342">
        <v>-2.2534309999999998E-2</v>
      </c>
      <c r="X5342">
        <v>0.99319539999999995</v>
      </c>
      <c r="Y5342">
        <v>-0.10794339999999999</v>
      </c>
      <c r="Z5342">
        <v>1.9089399999999999E-2</v>
      </c>
      <c r="AA5342">
        <v>0.99397369999999996</v>
      </c>
      <c r="AB5342">
        <v>33</v>
      </c>
      <c r="AC5342">
        <v>4.2608000000000104</v>
      </c>
      <c r="AD5342">
        <v>-1.1113336011970001</v>
      </c>
      <c r="AE5342">
        <v>-44.49962</v>
      </c>
      <c r="AF5342">
        <v>-4.8612176477678801</v>
      </c>
      <c r="AG5342">
        <v>-1.1113336011970001</v>
      </c>
      <c r="AH5342">
        <v>44.410261461376102</v>
      </c>
      <c r="AI5342">
        <v>91.424976926389505</v>
      </c>
      <c r="AJ5342">
        <v>96.246816659175906</v>
      </c>
      <c r="AK5342">
        <v>44.6893479753275</v>
      </c>
      <c r="AL5342">
        <v>91.291230186456104</v>
      </c>
      <c r="AM5342">
        <v>96.562543777278805</v>
      </c>
      <c r="AN5342">
        <v>0.99999997411701202</v>
      </c>
    </row>
    <row r="5343" spans="1:40" x14ac:dyDescent="0.25">
      <c r="A5343" t="str">
        <f>"20190305135934478"</f>
        <v>20190305135934478</v>
      </c>
      <c r="B5343" t="str">
        <f>"1551765574474632"</f>
        <v>1551765574474632</v>
      </c>
      <c r="C5343" t="s">
        <v>40</v>
      </c>
      <c r="D5343">
        <v>4.0426650000000004</v>
      </c>
      <c r="E5343">
        <v>0.5053706</v>
      </c>
      <c r="F5343" t="s">
        <v>82</v>
      </c>
      <c r="G5343">
        <v>-297.04399999999998</v>
      </c>
      <c r="H5343" s="1">
        <v>-7.3460189999999999E-6</v>
      </c>
      <c r="I5343">
        <v>-59.137979999999999</v>
      </c>
      <c r="J5343">
        <v>-301.90390000000002</v>
      </c>
      <c r="K5343">
        <v>1.1113280000000001</v>
      </c>
      <c r="L5343">
        <v>-10.661009999999999</v>
      </c>
      <c r="M5343">
        <v>-9.7214390000000001E-3</v>
      </c>
      <c r="N5343">
        <v>-5.5639950000000004E-3</v>
      </c>
      <c r="O5343">
        <v>-0.99993750000000003</v>
      </c>
      <c r="P5343">
        <v>0.10582999999999999</v>
      </c>
      <c r="Q5343">
        <v>-2.835238E-2</v>
      </c>
      <c r="R5343">
        <v>-0.99398030000000004</v>
      </c>
      <c r="S5343">
        <v>0.2970276</v>
      </c>
      <c r="T5343">
        <v>-6.7937849999999994E-2</v>
      </c>
      <c r="U5343">
        <v>-2.9845280000000001</v>
      </c>
      <c r="V5343">
        <v>-0.11529730000000001</v>
      </c>
      <c r="W5343">
        <v>-2.3773309999999999E-2</v>
      </c>
      <c r="X5343">
        <v>0.99304650000000005</v>
      </c>
      <c r="Y5343">
        <v>-0.108679399999999</v>
      </c>
      <c r="Z5343">
        <v>1.7066979999999999E-2</v>
      </c>
      <c r="AA5343">
        <v>0.99393030000000004</v>
      </c>
      <c r="AB5343">
        <v>33</v>
      </c>
      <c r="AC5343">
        <v>4.8598999999999801</v>
      </c>
      <c r="AD5343">
        <v>-1.1113353460189901</v>
      </c>
      <c r="AE5343">
        <v>-48.476970000000001</v>
      </c>
      <c r="AF5343">
        <v>-5.3281710424309301</v>
      </c>
      <c r="AG5343">
        <v>-1.1113353460189901</v>
      </c>
      <c r="AH5343">
        <v>48.402248251592297</v>
      </c>
      <c r="AI5343">
        <v>91.307408482361694</v>
      </c>
      <c r="AJ5343">
        <v>96.281887610366397</v>
      </c>
      <c r="AK5343">
        <v>48.707310629077803</v>
      </c>
      <c r="AL5343">
        <v>91.362238672359297</v>
      </c>
      <c r="AM5343">
        <v>96.622653290497993</v>
      </c>
      <c r="AN5343">
        <v>0.99999999440894805</v>
      </c>
    </row>
    <row r="5344" spans="1:40" x14ac:dyDescent="0.25">
      <c r="A5344" t="str">
        <f>"20190305135934500"</f>
        <v>20190305135934500</v>
      </c>
      <c r="B5344" t="str">
        <f>"1551765574494152"</f>
        <v>1551765574494152</v>
      </c>
      <c r="C5344" t="s">
        <v>40</v>
      </c>
      <c r="D5344">
        <v>4.0587939999999998</v>
      </c>
      <c r="E5344">
        <v>0.50574560000000002</v>
      </c>
      <c r="F5344" t="s">
        <v>82</v>
      </c>
      <c r="G5344">
        <v>-296.0926</v>
      </c>
      <c r="H5344">
        <v>7.9986559999999998E-2</v>
      </c>
      <c r="I5344">
        <v>-73.30968</v>
      </c>
      <c r="J5344">
        <v>-301.90379999999999</v>
      </c>
      <c r="K5344">
        <v>1.1113029999999999</v>
      </c>
      <c r="L5344">
        <v>-10.99222</v>
      </c>
      <c r="M5344">
        <v>-6.2066710000000004E-3</v>
      </c>
      <c r="N5344">
        <v>-5.5841140000000003E-3</v>
      </c>
      <c r="O5344">
        <v>-0.99996510000000005</v>
      </c>
      <c r="P5344">
        <v>0.1095106</v>
      </c>
      <c r="Q5344">
        <v>-3.124035E-2</v>
      </c>
      <c r="R5344">
        <v>-0.99349449999999995</v>
      </c>
      <c r="S5344">
        <v>0.277099599999999</v>
      </c>
      <c r="T5344">
        <v>-4.9177409999999998E-2</v>
      </c>
      <c r="U5344">
        <v>-2.9872740000000002</v>
      </c>
      <c r="V5344">
        <v>-0.1154666</v>
      </c>
      <c r="W5344">
        <v>-2.6615949999999999E-2</v>
      </c>
      <c r="X5344">
        <v>0.99295469999999997</v>
      </c>
      <c r="Y5344">
        <v>-9.8530549999999995E-2</v>
      </c>
      <c r="Z5344">
        <v>1.079917E-2</v>
      </c>
      <c r="AA5344">
        <v>0.99507540000000005</v>
      </c>
      <c r="AB5344">
        <v>33</v>
      </c>
      <c r="AC5344">
        <v>5.8111999999999799</v>
      </c>
      <c r="AD5344">
        <v>-1.0313164399999999</v>
      </c>
      <c r="AE5344">
        <v>-62.317459999999997</v>
      </c>
      <c r="AF5344">
        <v>-6.19619568402877</v>
      </c>
      <c r="AG5344">
        <v>-1.0313164399999999</v>
      </c>
      <c r="AH5344">
        <v>62.263285041878298</v>
      </c>
      <c r="AI5344">
        <v>90.944285439016994</v>
      </c>
      <c r="AJ5344">
        <v>95.683137610461003</v>
      </c>
      <c r="AK5344">
        <v>62.579334598255201</v>
      </c>
      <c r="AL5344">
        <v>91.525161726556703</v>
      </c>
      <c r="AM5344">
        <v>96.632898975649994</v>
      </c>
      <c r="AN5344">
        <v>0.99999999038102605</v>
      </c>
    </row>
    <row r="5345" spans="1:40" x14ac:dyDescent="0.25">
      <c r="A5345" t="str">
        <f>"20190305135934522"</f>
        <v>20190305135934522</v>
      </c>
      <c r="B5345" t="str">
        <f>"1551765574514650"</f>
        <v>1551765574514650</v>
      </c>
      <c r="C5345" t="s">
        <v>40</v>
      </c>
      <c r="D5345">
        <v>4.1630949999999904</v>
      </c>
      <c r="E5345">
        <v>0.50580809999999998</v>
      </c>
      <c r="F5345" t="s">
        <v>82</v>
      </c>
      <c r="G5345">
        <v>-296.83109999999999</v>
      </c>
      <c r="H5345" s="1">
        <v>-1.2745389999999999E-5</v>
      </c>
      <c r="I5345">
        <v>-64.150090000000006</v>
      </c>
      <c r="J5345">
        <v>-301.90280000000001</v>
      </c>
      <c r="K5345">
        <v>1.1112569999999999</v>
      </c>
      <c r="L5345">
        <v>-11.31833</v>
      </c>
      <c r="M5345">
        <v>-2.8887489999999999E-3</v>
      </c>
      <c r="N5345">
        <v>-5.5966820000000004E-3</v>
      </c>
      <c r="O5345">
        <v>-0.99998030000000004</v>
      </c>
      <c r="P5345">
        <v>0.1128972</v>
      </c>
      <c r="Q5345">
        <v>-3.6028400000000002E-2</v>
      </c>
      <c r="R5345">
        <v>-0.99295370000000005</v>
      </c>
      <c r="S5345">
        <v>0.28497309999999998</v>
      </c>
      <c r="T5345">
        <v>-6.2430739999999998E-2</v>
      </c>
      <c r="U5345">
        <v>-2.9862669999999998</v>
      </c>
      <c r="V5345">
        <v>-0.1155264</v>
      </c>
      <c r="W5345">
        <v>-3.1366539999999998E-2</v>
      </c>
      <c r="X5345">
        <v>0.9928091</v>
      </c>
      <c r="Y5345">
        <v>-9.7853469999999998E-2</v>
      </c>
      <c r="Z5345">
        <v>1.5207299999999899E-2</v>
      </c>
      <c r="AA5345">
        <v>0.99508459999999999</v>
      </c>
      <c r="AB5345">
        <v>33</v>
      </c>
      <c r="AC5345">
        <v>5.0717000000000203</v>
      </c>
      <c r="AD5345">
        <v>-1.11126974538999</v>
      </c>
      <c r="AE5345">
        <v>-52.831759999999903</v>
      </c>
      <c r="AF5345">
        <v>-5.2220096022253699</v>
      </c>
      <c r="AG5345">
        <v>-1.11126974538999</v>
      </c>
      <c r="AH5345">
        <v>52.7937439817007</v>
      </c>
      <c r="AI5345">
        <v>91.200001917967001</v>
      </c>
      <c r="AJ5345">
        <v>95.648946299287601</v>
      </c>
      <c r="AK5345">
        <v>53.063016389365899</v>
      </c>
      <c r="AL5345">
        <v>91.797465078371701</v>
      </c>
      <c r="AM5345">
        <v>96.637268073747705</v>
      </c>
      <c r="AN5345">
        <v>1.0000000589856599</v>
      </c>
    </row>
    <row r="5346" spans="1:40" x14ac:dyDescent="0.25">
      <c r="A5346" t="str">
        <f>"20190305135934541"</f>
        <v>20190305135934541</v>
      </c>
      <c r="B5346" t="str">
        <f>"1551765574534168"</f>
        <v>1551765574534168</v>
      </c>
      <c r="C5346" t="s">
        <v>40</v>
      </c>
      <c r="D5346">
        <v>4.1323179999999997</v>
      </c>
      <c r="E5346">
        <v>0.50112199999999996</v>
      </c>
      <c r="F5346" t="s">
        <v>82</v>
      </c>
      <c r="G5346">
        <v>-297.66370000000001</v>
      </c>
      <c r="H5346" s="1">
        <v>-7.6542390000000004E-6</v>
      </c>
      <c r="I5346">
        <v>-54.277180000000001</v>
      </c>
      <c r="J5346">
        <v>-301.90100000000001</v>
      </c>
      <c r="K5346">
        <v>1.11121</v>
      </c>
      <c r="L5346">
        <v>-11.614649999999999</v>
      </c>
      <c r="M5346" s="1">
        <v>3.40038099999999E-5</v>
      </c>
      <c r="N5346">
        <v>-5.6042269999999998E-3</v>
      </c>
      <c r="O5346">
        <v>-0.9999844</v>
      </c>
      <c r="P5346">
        <v>0.1160925</v>
      </c>
      <c r="Q5346">
        <v>-4.0071950000000002E-2</v>
      </c>
      <c r="R5346">
        <v>-0.99242980000000003</v>
      </c>
      <c r="S5346">
        <v>0.29455569999999998</v>
      </c>
      <c r="T5346">
        <v>-7.7216740000000006E-2</v>
      </c>
      <c r="U5346">
        <v>-2.9850159999999999</v>
      </c>
      <c r="V5346">
        <v>-0.11579489999999899</v>
      </c>
      <c r="W5346">
        <v>-3.5384319999999997E-2</v>
      </c>
      <c r="X5346">
        <v>0.99264269999999999</v>
      </c>
      <c r="Y5346">
        <v>-9.8138799999999998E-2</v>
      </c>
      <c r="Z5346">
        <v>2.013185E-2</v>
      </c>
      <c r="AA5346">
        <v>0.99496910000000005</v>
      </c>
      <c r="AB5346">
        <v>34</v>
      </c>
      <c r="AC5346">
        <v>4.2373000000000003</v>
      </c>
      <c r="AD5346">
        <v>-1.111217654239</v>
      </c>
      <c r="AE5346">
        <v>-42.662529999999997</v>
      </c>
      <c r="AF5346">
        <v>-4.2330055411351397</v>
      </c>
      <c r="AG5346">
        <v>-1.111217654239</v>
      </c>
      <c r="AH5346">
        <v>42.634032397112797</v>
      </c>
      <c r="AI5346">
        <v>91.485723054523405</v>
      </c>
      <c r="AJ5346">
        <v>95.670143359805706</v>
      </c>
      <c r="AK5346">
        <v>42.858066440571498</v>
      </c>
      <c r="AL5346">
        <v>92.027795458021103</v>
      </c>
      <c r="AM5346">
        <v>96.653661122859802</v>
      </c>
      <c r="AN5346">
        <v>1.00000001941558</v>
      </c>
    </row>
    <row r="5347" spans="1:40" x14ac:dyDescent="0.25">
      <c r="A5347" t="str">
        <f>"20190305135934562"</f>
        <v>20190305135934562</v>
      </c>
      <c r="B5347" t="str">
        <f>"1551765574554664"</f>
        <v>1551765574554664</v>
      </c>
      <c r="C5347" t="s">
        <v>40</v>
      </c>
      <c r="D5347">
        <v>4.1342840000000001</v>
      </c>
      <c r="E5347">
        <v>0.50332979999999905</v>
      </c>
      <c r="F5347" t="s">
        <v>42</v>
      </c>
      <c r="G5347">
        <v>-300.10169999999999</v>
      </c>
      <c r="H5347" s="1">
        <v>-1.2036340000000001E-6</v>
      </c>
      <c r="I5347">
        <v>-27.668279999999999</v>
      </c>
      <c r="J5347">
        <v>-301.89830000000001</v>
      </c>
      <c r="K5347">
        <v>1.1111610000000001</v>
      </c>
      <c r="L5347">
        <v>-11.92648</v>
      </c>
      <c r="M5347">
        <v>3.0268439999999999E-3</v>
      </c>
      <c r="N5347">
        <v>-5.6068239999999998E-3</v>
      </c>
      <c r="O5347">
        <v>-0.99997999999999998</v>
      </c>
      <c r="P5347">
        <v>0.1180972</v>
      </c>
      <c r="Q5347">
        <v>-4.1956060000000003E-2</v>
      </c>
      <c r="R5347">
        <v>-0.99211579999999999</v>
      </c>
      <c r="S5347">
        <v>0.33349610000000002</v>
      </c>
      <c r="T5347">
        <v>-0.20596419999999999</v>
      </c>
      <c r="U5347">
        <v>-2.9755549999999999</v>
      </c>
      <c r="V5347">
        <v>-0.11482199999999999</v>
      </c>
      <c r="W5347">
        <v>-3.7239309999999998E-2</v>
      </c>
      <c r="X5347">
        <v>0.99268780000000001</v>
      </c>
      <c r="Y5347">
        <v>-0.10812860000000001</v>
      </c>
      <c r="Z5347">
        <v>6.3043150000000006E-2</v>
      </c>
      <c r="AA5347">
        <v>0.99213589999999996</v>
      </c>
      <c r="AB5347">
        <v>34</v>
      </c>
      <c r="AC5347">
        <v>1.79660000000001</v>
      </c>
      <c r="AD5347">
        <v>-1.1111622036339901</v>
      </c>
      <c r="AE5347">
        <v>-15.7418</v>
      </c>
      <c r="AF5347">
        <v>-1.7403831238882801</v>
      </c>
      <c r="AG5347">
        <v>-1.1111622036339901</v>
      </c>
      <c r="AH5347">
        <v>15.670093867200301</v>
      </c>
      <c r="AI5347">
        <v>94.031334460560601</v>
      </c>
      <c r="AJ5347">
        <v>96.337524727083107</v>
      </c>
      <c r="AK5347">
        <v>15.8055514509165</v>
      </c>
      <c r="AL5347">
        <v>92.134148828650495</v>
      </c>
      <c r="AM5347">
        <v>96.597955450417103</v>
      </c>
      <c r="AN5347">
        <v>0.99999996308105699</v>
      </c>
    </row>
    <row r="5348" spans="1:40" x14ac:dyDescent="0.25">
      <c r="A5348" t="str">
        <f>"20190305135934582"</f>
        <v>20190305135934582</v>
      </c>
      <c r="B5348" t="str">
        <f>"1551765574574185"</f>
        <v>1551765574574185</v>
      </c>
      <c r="C5348" t="s">
        <v>40</v>
      </c>
      <c r="D5348">
        <v>4.137575</v>
      </c>
      <c r="E5348">
        <v>0.50232869999999996</v>
      </c>
      <c r="F5348" t="s">
        <v>42</v>
      </c>
      <c r="G5348">
        <v>-299.91109999999998</v>
      </c>
      <c r="H5348" s="1">
        <v>-9.1662430000000002E-8</v>
      </c>
      <c r="I5348">
        <v>-30.19031</v>
      </c>
      <c r="J5348">
        <v>-301.8947</v>
      </c>
      <c r="K5348">
        <v>1.111129</v>
      </c>
      <c r="L5348">
        <v>-12.22861</v>
      </c>
      <c r="M5348">
        <v>5.8646929999999998E-3</v>
      </c>
      <c r="N5348">
        <v>-5.606069E-3</v>
      </c>
      <c r="O5348">
        <v>-0.99996700000000005</v>
      </c>
      <c r="P5348">
        <v>0.11959930000000001</v>
      </c>
      <c r="Q5348">
        <v>-4.4064819999999998E-2</v>
      </c>
      <c r="R5348">
        <v>-0.99184399999999995</v>
      </c>
      <c r="S5348">
        <v>0.323974599999999</v>
      </c>
      <c r="T5348">
        <v>-0.1811575</v>
      </c>
      <c r="U5348">
        <v>-2.9776310000000001</v>
      </c>
      <c r="V5348">
        <v>-0.1134978</v>
      </c>
      <c r="W5348">
        <v>-3.9324020000000001E-2</v>
      </c>
      <c r="X5348">
        <v>0.99275970000000002</v>
      </c>
      <c r="Y5348">
        <v>-0.1021509</v>
      </c>
      <c r="Z5348">
        <v>5.4794330000000002E-2</v>
      </c>
      <c r="AA5348">
        <v>0.99325870000000005</v>
      </c>
      <c r="AB5348">
        <v>34</v>
      </c>
      <c r="AC5348">
        <v>1.98360000000002</v>
      </c>
      <c r="AD5348">
        <v>-1.1111290916624299</v>
      </c>
      <c r="AE5348">
        <v>-17.961699999999901</v>
      </c>
      <c r="AF5348">
        <v>-1.8711501505260599</v>
      </c>
      <c r="AG5348">
        <v>-1.1111290916624299</v>
      </c>
      <c r="AH5348">
        <v>17.905330210671401</v>
      </c>
      <c r="AI5348">
        <v>93.531796833441604</v>
      </c>
      <c r="AJ5348">
        <v>95.965892553784002</v>
      </c>
      <c r="AK5348">
        <v>18.037091248239999</v>
      </c>
      <c r="AL5348">
        <v>92.253681530095193</v>
      </c>
      <c r="AM5348">
        <v>96.522054805907302</v>
      </c>
      <c r="AN5348">
        <v>0.99999997554894404</v>
      </c>
    </row>
    <row r="5349" spans="1:40" x14ac:dyDescent="0.25">
      <c r="A5349" t="str">
        <f>"20190305135934604"</f>
        <v>20190305135934604</v>
      </c>
      <c r="B5349" t="str">
        <f>"1551765574594680"</f>
        <v>1551765574594680</v>
      </c>
      <c r="C5349" t="s">
        <v>40</v>
      </c>
      <c r="D5349">
        <v>4.13089</v>
      </c>
      <c r="E5349">
        <v>0.50313719999999995</v>
      </c>
      <c r="F5349" t="s">
        <v>42</v>
      </c>
      <c r="G5349">
        <v>-299.91980000000001</v>
      </c>
      <c r="H5349" s="1">
        <v>-3.0446610000000001E-7</v>
      </c>
      <c r="I5349">
        <v>-29.690660000000001</v>
      </c>
      <c r="J5349">
        <v>-301.89</v>
      </c>
      <c r="K5349">
        <v>1.1111</v>
      </c>
      <c r="L5349">
        <v>-12.56354</v>
      </c>
      <c r="M5349">
        <v>8.9605380000000005E-3</v>
      </c>
      <c r="N5349">
        <v>-5.6004230000000002E-3</v>
      </c>
      <c r="O5349">
        <v>-0.99994430000000001</v>
      </c>
      <c r="P5349">
        <v>0.1215412</v>
      </c>
      <c r="Q5349">
        <v>-4.682857E-2</v>
      </c>
      <c r="R5349">
        <v>-0.99148139999999996</v>
      </c>
      <c r="S5349">
        <v>0.33654790000000001</v>
      </c>
      <c r="T5349">
        <v>-0.1893455</v>
      </c>
      <c r="U5349">
        <v>-2.9756770000000001</v>
      </c>
      <c r="V5349">
        <v>-0.1123542</v>
      </c>
      <c r="W5349">
        <v>-4.2073260000000001E-2</v>
      </c>
      <c r="X5349">
        <v>0.99277709999999997</v>
      </c>
      <c r="Y5349">
        <v>-0.1032686</v>
      </c>
      <c r="Z5349">
        <v>5.7541309999999998E-2</v>
      </c>
      <c r="AA5349">
        <v>0.99298770000000003</v>
      </c>
      <c r="AB5349">
        <v>34</v>
      </c>
      <c r="AC5349">
        <v>1.97019999999997</v>
      </c>
      <c r="AD5349">
        <v>-1.1111003044661001</v>
      </c>
      <c r="AE5349">
        <v>-17.127119999999898</v>
      </c>
      <c r="AF5349">
        <v>-1.80913580989321</v>
      </c>
      <c r="AG5349">
        <v>-1.1111003044661001</v>
      </c>
      <c r="AH5349">
        <v>17.0731709465413</v>
      </c>
      <c r="AI5349">
        <v>93.702813976182796</v>
      </c>
      <c r="AJ5349">
        <v>96.048699452751194</v>
      </c>
      <c r="AK5349">
        <v>17.204670366939499</v>
      </c>
      <c r="AL5349">
        <v>92.411331997533694</v>
      </c>
      <c r="AM5349">
        <v>96.456784358485194</v>
      </c>
      <c r="AN5349">
        <v>0.99999999787453797</v>
      </c>
    </row>
    <row r="5350" spans="1:40" x14ac:dyDescent="0.25">
      <c r="A5350" t="str">
        <f>"20190305135934644"</f>
        <v>20190305135934644</v>
      </c>
      <c r="B5350" t="str">
        <f>"1551765574634696"</f>
        <v>1551765574634696</v>
      </c>
      <c r="C5350" t="s">
        <v>40</v>
      </c>
      <c r="D5350">
        <v>4.166652</v>
      </c>
      <c r="E5350">
        <v>0.50444330000000004</v>
      </c>
      <c r="F5350" t="s">
        <v>42</v>
      </c>
      <c r="G5350">
        <v>-299.9504</v>
      </c>
      <c r="H5350" s="1">
        <v>-2.7615250000000001E-7</v>
      </c>
      <c r="I5350">
        <v>-29.743980000000001</v>
      </c>
      <c r="J5350">
        <v>-301.87900000000002</v>
      </c>
      <c r="K5350">
        <v>1.111083</v>
      </c>
      <c r="L5350">
        <v>-13.15906</v>
      </c>
      <c r="M5350">
        <v>1.439265E-2</v>
      </c>
      <c r="N5350">
        <v>-5.587496E-3</v>
      </c>
      <c r="O5350">
        <v>-0.99988100000000002</v>
      </c>
      <c r="P5350">
        <v>0.1261507</v>
      </c>
      <c r="Q5350">
        <v>-4.881373E-2</v>
      </c>
      <c r="R5350">
        <v>-0.99080970000000002</v>
      </c>
      <c r="S5350">
        <v>0.33590700000000001</v>
      </c>
      <c r="T5350">
        <v>-0.1924342</v>
      </c>
      <c r="U5350">
        <v>-2.9755250000000002</v>
      </c>
      <c r="V5350">
        <v>-0.11156969999999999</v>
      </c>
      <c r="W5350">
        <v>-4.4053870000000002E-2</v>
      </c>
      <c r="X5350">
        <v>0.99277969999999904</v>
      </c>
      <c r="Y5350">
        <v>-9.7652069999999994E-2</v>
      </c>
      <c r="Z5350">
        <v>5.8597999999999997E-2</v>
      </c>
      <c r="AA5350">
        <v>0.99349399999999999</v>
      </c>
      <c r="AB5350">
        <v>34</v>
      </c>
      <c r="AC5350">
        <v>1.9286000000000101</v>
      </c>
      <c r="AD5350">
        <v>-1.1110832761525</v>
      </c>
      <c r="AE5350">
        <v>-16.58492</v>
      </c>
      <c r="AF5350">
        <v>-1.68224617840168</v>
      </c>
      <c r="AG5350">
        <v>-1.1110832761525</v>
      </c>
      <c r="AH5350">
        <v>16.537726836200999</v>
      </c>
      <c r="AI5350">
        <v>93.823953358795706</v>
      </c>
      <c r="AJ5350">
        <v>95.808247527537702</v>
      </c>
      <c r="AK5350">
        <v>16.660158077284201</v>
      </c>
      <c r="AL5350">
        <v>92.524917881086793</v>
      </c>
      <c r="AM5350">
        <v>96.412060755361793</v>
      </c>
      <c r="AN5350">
        <v>1.00000003707607</v>
      </c>
    </row>
    <row r="5351" spans="1:40" x14ac:dyDescent="0.25">
      <c r="A5351" t="str">
        <f>"20190305135934668"</f>
        <v>20190305135934668</v>
      </c>
      <c r="B5351" t="str">
        <f>"1551765574654216"</f>
        <v>1551765574654216</v>
      </c>
      <c r="C5351" t="s">
        <v>40</v>
      </c>
      <c r="D5351">
        <v>4.2023989999999998</v>
      </c>
      <c r="E5351">
        <v>0.50479830000000003</v>
      </c>
      <c r="F5351" t="s">
        <v>42</v>
      </c>
      <c r="G5351">
        <v>-299.85829999999999</v>
      </c>
      <c r="H5351" s="1">
        <v>-4.1154789999999999E-6</v>
      </c>
      <c r="I5351">
        <v>-30.832529999999998</v>
      </c>
      <c r="J5351">
        <v>-301.87049999999999</v>
      </c>
      <c r="K5351">
        <v>1.111092</v>
      </c>
      <c r="L5351">
        <v>-13.5321</v>
      </c>
      <c r="M5351">
        <v>1.7772349999999999E-2</v>
      </c>
      <c r="N5351">
        <v>-5.5805250000000002E-3</v>
      </c>
      <c r="O5351">
        <v>-0.99982660000000001</v>
      </c>
      <c r="P5351">
        <v>0.12898490000000001</v>
      </c>
      <c r="Q5351">
        <v>-4.7774749999999998E-2</v>
      </c>
      <c r="R5351">
        <v>-0.99049500000000001</v>
      </c>
      <c r="S5351">
        <v>0.34017940000000002</v>
      </c>
      <c r="T5351">
        <v>-0.1870484</v>
      </c>
      <c r="U5351">
        <v>-2.9752809999999998</v>
      </c>
      <c r="V5351">
        <v>-0.1110621</v>
      </c>
      <c r="W5351">
        <v>-4.3014320000000002E-2</v>
      </c>
      <c r="X5351">
        <v>0.99288220000000005</v>
      </c>
      <c r="Y5351">
        <v>-9.5718059999999994E-2</v>
      </c>
      <c r="Z5351">
        <v>5.681746E-2</v>
      </c>
      <c r="AA5351">
        <v>0.99378560000000005</v>
      </c>
      <c r="AB5351">
        <v>34</v>
      </c>
      <c r="AC5351">
        <v>2.0122</v>
      </c>
      <c r="AD5351">
        <v>-1.111096115479</v>
      </c>
      <c r="AE5351">
        <v>-17.300429999999999</v>
      </c>
      <c r="AF5351">
        <v>-1.6974999537203901</v>
      </c>
      <c r="AG5351">
        <v>-1.111096115479</v>
      </c>
      <c r="AH5351">
        <v>17.263204878092601</v>
      </c>
      <c r="AI5351">
        <v>93.6649703018644</v>
      </c>
      <c r="AJ5351">
        <v>95.615870614887399</v>
      </c>
      <c r="AK5351">
        <v>17.382010336371199</v>
      </c>
      <c r="AL5351">
        <v>92.465299518138494</v>
      </c>
      <c r="AM5351">
        <v>96.382476103297293</v>
      </c>
      <c r="AN5351">
        <v>1.00000004242915</v>
      </c>
    </row>
    <row r="5352" spans="1:40" x14ac:dyDescent="0.25">
      <c r="A5352" t="str">
        <f>"20190305135934692"</f>
        <v>20190305135934692</v>
      </c>
      <c r="B5352" t="str">
        <f>"1551765574684472"</f>
        <v>1551765574684472</v>
      </c>
      <c r="C5352" t="s">
        <v>40</v>
      </c>
      <c r="D5352">
        <v>4.1711199999999904</v>
      </c>
      <c r="E5352">
        <v>0.5049363</v>
      </c>
      <c r="F5352" t="s">
        <v>42</v>
      </c>
      <c r="G5352">
        <v>-299.77969999999999</v>
      </c>
      <c r="H5352" s="1">
        <v>-3.8339639999999999E-6</v>
      </c>
      <c r="I5352">
        <v>-31.521260000000002</v>
      </c>
      <c r="J5352">
        <v>-301.86090000000002</v>
      </c>
      <c r="K5352">
        <v>1.111094</v>
      </c>
      <c r="L5352">
        <v>-13.89926</v>
      </c>
      <c r="M5352">
        <v>2.1079580000000001E-2</v>
      </c>
      <c r="N5352">
        <v>-5.5743110000000002E-3</v>
      </c>
      <c r="O5352">
        <v>-0.9997625</v>
      </c>
      <c r="P5352">
        <v>0.13316459999999999</v>
      </c>
      <c r="Q5352">
        <v>-4.7457239999999998E-2</v>
      </c>
      <c r="R5352">
        <v>-0.98995750000000005</v>
      </c>
      <c r="S5352">
        <v>0.34576420000000002</v>
      </c>
      <c r="T5352">
        <v>-0.18374299999999999</v>
      </c>
      <c r="U5352">
        <v>-2.9748839999999999</v>
      </c>
      <c r="V5352">
        <v>-0.1119711</v>
      </c>
      <c r="W5352">
        <v>-4.2707160000000001E-2</v>
      </c>
      <c r="X5352">
        <v>0.99279329999999999</v>
      </c>
      <c r="Y5352">
        <v>-9.4289100000000001E-2</v>
      </c>
      <c r="Z5352">
        <v>5.5726079999999997E-2</v>
      </c>
      <c r="AA5352">
        <v>0.99398399999999998</v>
      </c>
      <c r="AB5352">
        <v>34</v>
      </c>
      <c r="AC5352">
        <v>2.0812000000000199</v>
      </c>
      <c r="AD5352">
        <v>-1.1110978339640001</v>
      </c>
      <c r="AE5352">
        <v>-17.622</v>
      </c>
      <c r="AF5352">
        <v>-1.7025919236234199</v>
      </c>
      <c r="AG5352">
        <v>-1.1110978339640001</v>
      </c>
      <c r="AH5352">
        <v>17.5929766414033</v>
      </c>
      <c r="AI5352">
        <v>93.5969983973349</v>
      </c>
      <c r="AJ5352">
        <v>95.527687916875394</v>
      </c>
      <c r="AK5352">
        <v>17.710058858174001</v>
      </c>
      <c r="AL5352">
        <v>92.447684506281803</v>
      </c>
      <c r="AM5352">
        <v>96.434849182728698</v>
      </c>
      <c r="AN5352">
        <v>0.99999998263768197</v>
      </c>
    </row>
    <row r="5353" spans="1:40" x14ac:dyDescent="0.25">
      <c r="A5353" t="str">
        <f>"20190305135934715"</f>
        <v>20190305135934715</v>
      </c>
      <c r="B5353" t="str">
        <f>"1551765574703992"</f>
        <v>1551765574703992</v>
      </c>
      <c r="C5353" t="s">
        <v>40</v>
      </c>
      <c r="D5353">
        <v>4.1666980000000002</v>
      </c>
      <c r="E5353">
        <v>0.50525889999999996</v>
      </c>
      <c r="F5353" t="s">
        <v>42</v>
      </c>
      <c r="G5353">
        <v>-299.68459999999999</v>
      </c>
      <c r="H5353" s="1">
        <v>-3.6450759999999998E-6</v>
      </c>
      <c r="I5353">
        <v>-32.000880000000002</v>
      </c>
      <c r="J5353">
        <v>-301.85039999999998</v>
      </c>
      <c r="K5353">
        <v>1.111073</v>
      </c>
      <c r="L5353">
        <v>-14.258850000000001</v>
      </c>
      <c r="M5353">
        <v>2.4260199999999999E-2</v>
      </c>
      <c r="N5353">
        <v>-5.5682919999999999E-3</v>
      </c>
      <c r="O5353">
        <v>-0.99969019999999997</v>
      </c>
      <c r="P5353">
        <v>0.13782820000000001</v>
      </c>
      <c r="Q5353">
        <v>-4.7984939999999997E-2</v>
      </c>
      <c r="R5353">
        <v>-0.98929330000000004</v>
      </c>
      <c r="S5353">
        <v>0.35751339999999998</v>
      </c>
      <c r="T5353">
        <v>-0.18252299999999999</v>
      </c>
      <c r="U5353">
        <v>-2.9736020000000001</v>
      </c>
      <c r="V5353">
        <v>-0.1134903</v>
      </c>
      <c r="W5353">
        <v>-4.3245029999999997E-2</v>
      </c>
      <c r="X5353">
        <v>0.99259750000000002</v>
      </c>
      <c r="Y5353">
        <v>-9.5046779999999997E-2</v>
      </c>
      <c r="Z5353">
        <v>5.533101E-2</v>
      </c>
      <c r="AA5353">
        <v>0.99393390000000004</v>
      </c>
      <c r="AB5353">
        <v>34</v>
      </c>
      <c r="AC5353">
        <v>2.16579999999998</v>
      </c>
      <c r="AD5353">
        <v>-1.1110766450759999</v>
      </c>
      <c r="AE5353">
        <v>-17.74203</v>
      </c>
      <c r="AF5353">
        <v>-1.72805317008571</v>
      </c>
      <c r="AG5353">
        <v>-1.1110766450759999</v>
      </c>
      <c r="AH5353">
        <v>17.720874845694301</v>
      </c>
      <c r="AI5353">
        <v>93.570783937665993</v>
      </c>
      <c r="AJ5353">
        <v>95.569595016502603</v>
      </c>
      <c r="AK5353">
        <v>17.839564578953102</v>
      </c>
      <c r="AL5353">
        <v>92.478530671323497</v>
      </c>
      <c r="AM5353">
        <v>96.522684051460203</v>
      </c>
      <c r="AN5353">
        <v>0.99999998891001995</v>
      </c>
    </row>
    <row r="5354" spans="1:40" x14ac:dyDescent="0.25">
      <c r="A5354" t="str">
        <f>"20190305135934738"</f>
        <v>20190305135934738</v>
      </c>
      <c r="B5354" t="str">
        <f>"1551765574734248"</f>
        <v>1551765574734248</v>
      </c>
      <c r="C5354" t="s">
        <v>40</v>
      </c>
      <c r="D5354">
        <v>4.1931379999999896</v>
      </c>
      <c r="E5354">
        <v>0.50573990000000002</v>
      </c>
      <c r="F5354" t="s">
        <v>42</v>
      </c>
      <c r="G5354">
        <v>-299.6275</v>
      </c>
      <c r="H5354" s="1">
        <v>-3.5811829999999999E-6</v>
      </c>
      <c r="I5354">
        <v>-32.173430000000003</v>
      </c>
      <c r="J5354">
        <v>-301.83949999999999</v>
      </c>
      <c r="K5354">
        <v>1.1109990000000001</v>
      </c>
      <c r="L5354">
        <v>-14.60449</v>
      </c>
      <c r="M5354">
        <v>2.7178560000000001E-2</v>
      </c>
      <c r="N5354">
        <v>-5.5615129999999997E-3</v>
      </c>
      <c r="O5354">
        <v>-0.99961529999999998</v>
      </c>
      <c r="P5354">
        <v>0.143121</v>
      </c>
      <c r="Q5354">
        <v>-4.9134150000000001E-2</v>
      </c>
      <c r="R5354">
        <v>-0.9884849</v>
      </c>
      <c r="S5354">
        <v>0.36880489999999999</v>
      </c>
      <c r="T5354">
        <v>-0.18433440000000001</v>
      </c>
      <c r="U5354">
        <v>-2.972137</v>
      </c>
      <c r="V5354">
        <v>-0.11590549999999999</v>
      </c>
      <c r="W5354">
        <v>-4.4398939999999998E-2</v>
      </c>
      <c r="X5354">
        <v>0.99226740000000002</v>
      </c>
      <c r="Y5354">
        <v>-9.5914719999999995E-2</v>
      </c>
      <c r="Z5354">
        <v>5.5947579999999997E-2</v>
      </c>
      <c r="AA5354">
        <v>0.99381600000000003</v>
      </c>
      <c r="AB5354">
        <v>35</v>
      </c>
      <c r="AC5354">
        <v>2.2119999999999802</v>
      </c>
      <c r="AD5354">
        <v>-1.111002581183</v>
      </c>
      <c r="AE5354">
        <v>-17.568939999999898</v>
      </c>
      <c r="AF5354">
        <v>-1.7268792249717799</v>
      </c>
      <c r="AG5354">
        <v>-1.111002581183</v>
      </c>
      <c r="AH5354">
        <v>17.5534706536789</v>
      </c>
      <c r="AI5354">
        <v>93.604207799353702</v>
      </c>
      <c r="AJ5354">
        <v>95.618577391546594</v>
      </c>
      <c r="AK5354">
        <v>17.6731652677895</v>
      </c>
      <c r="AL5354">
        <v>92.544708465170203</v>
      </c>
      <c r="AM5354">
        <v>96.6624555377864</v>
      </c>
      <c r="AN5354">
        <v>0.999999971953066</v>
      </c>
    </row>
    <row r="5355" spans="1:40" x14ac:dyDescent="0.25">
      <c r="A5355" t="str">
        <f>"20190305135934759"</f>
        <v>20190305135934759</v>
      </c>
      <c r="B5355" t="str">
        <f>"1551765574754744"</f>
        <v>1551765574754744</v>
      </c>
      <c r="C5355" t="s">
        <v>40</v>
      </c>
      <c r="D5355">
        <v>4.15496</v>
      </c>
      <c r="E5355">
        <v>0.50597930000000002</v>
      </c>
      <c r="F5355" t="s">
        <v>42</v>
      </c>
      <c r="G5355">
        <v>-299.58879999999999</v>
      </c>
      <c r="H5355" s="1">
        <v>-3.5937870000000001E-6</v>
      </c>
      <c r="I5355">
        <v>-32.160049999999998</v>
      </c>
      <c r="J5355">
        <v>-301.82799999999997</v>
      </c>
      <c r="K5355">
        <v>1.110852</v>
      </c>
      <c r="L5355">
        <v>-14.93829</v>
      </c>
      <c r="M5355">
        <v>2.9764249999999999E-2</v>
      </c>
      <c r="N5355">
        <v>-5.5540229999999999E-3</v>
      </c>
      <c r="O5355">
        <v>-0.99954149999999997</v>
      </c>
      <c r="P5355">
        <v>0.14912259999999999</v>
      </c>
      <c r="Q5355">
        <v>-5.0214380000000003E-2</v>
      </c>
      <c r="R5355">
        <v>-0.98754310000000001</v>
      </c>
      <c r="S5355">
        <v>0.38082890000000003</v>
      </c>
      <c r="T5355">
        <v>-0.18798529999999999</v>
      </c>
      <c r="U5355">
        <v>-2.970459</v>
      </c>
      <c r="V5355">
        <v>-0.11937390000000001</v>
      </c>
      <c r="W5355">
        <v>-4.5472079999999998E-2</v>
      </c>
      <c r="X5355">
        <v>0.99180749999999995</v>
      </c>
      <c r="Y5355">
        <v>-9.7358739999999999E-2</v>
      </c>
      <c r="Z5355">
        <v>5.7177690000000003E-2</v>
      </c>
      <c r="AA5355">
        <v>0.99360559999999998</v>
      </c>
      <c r="AB5355">
        <v>35</v>
      </c>
      <c r="AC5355">
        <v>2.2391999999999799</v>
      </c>
      <c r="AD5355">
        <v>-1.1108555937869999</v>
      </c>
      <c r="AE5355">
        <v>-17.2217599999999</v>
      </c>
      <c r="AF5355">
        <v>-1.71857569651626</v>
      </c>
      <c r="AG5355">
        <v>-1.1108555937869999</v>
      </c>
      <c r="AH5355">
        <v>17.210363036035801</v>
      </c>
      <c r="AI5355">
        <v>93.674849610359303</v>
      </c>
      <c r="AJ5355">
        <v>95.702482413133595</v>
      </c>
      <c r="AK5355">
        <v>17.331592494835899</v>
      </c>
      <c r="AL5355">
        <v>92.606257018916097</v>
      </c>
      <c r="AM5355">
        <v>96.863103334496401</v>
      </c>
      <c r="AN5355">
        <v>0.99999997755849201</v>
      </c>
    </row>
    <row r="5356" spans="1:40" x14ac:dyDescent="0.25">
      <c r="A5356" t="str">
        <f>"20190305135934783"</f>
        <v>20190305135934783</v>
      </c>
      <c r="B5356" t="str">
        <f>"1551765574774264"</f>
        <v>1551765574774264</v>
      </c>
      <c r="C5356" t="s">
        <v>40</v>
      </c>
      <c r="D5356">
        <v>4.1544679999999996</v>
      </c>
      <c r="E5356">
        <v>0.50619320000000001</v>
      </c>
      <c r="F5356" t="s">
        <v>42</v>
      </c>
      <c r="G5356">
        <v>-299.52319999999997</v>
      </c>
      <c r="H5356" s="1">
        <v>-3.5977409999999999E-6</v>
      </c>
      <c r="I5356">
        <v>-32.177930000000003</v>
      </c>
      <c r="J5356">
        <v>-301.81479999999999</v>
      </c>
      <c r="K5356">
        <v>1.1106279999999999</v>
      </c>
      <c r="L5356">
        <v>-15.30331</v>
      </c>
      <c r="M5356">
        <v>3.2240539999999998E-2</v>
      </c>
      <c r="N5356">
        <v>-5.5564849999999999E-3</v>
      </c>
      <c r="O5356">
        <v>-0.99946489999999999</v>
      </c>
      <c r="P5356">
        <v>0.1558262</v>
      </c>
      <c r="Q5356">
        <v>-5.254665E-2</v>
      </c>
      <c r="R5356">
        <v>-0.98638590000000004</v>
      </c>
      <c r="S5356">
        <v>0.39682010000000001</v>
      </c>
      <c r="T5356">
        <v>-0.1912594</v>
      </c>
      <c r="U5356">
        <v>-2.9682010000000001</v>
      </c>
      <c r="V5356">
        <v>-0.123666</v>
      </c>
      <c r="W5356">
        <v>-4.7764470000000003E-2</v>
      </c>
      <c r="X5356">
        <v>0.99117370000000005</v>
      </c>
      <c r="Y5356">
        <v>-0.1002415</v>
      </c>
      <c r="Z5356">
        <v>5.8274050000000001E-2</v>
      </c>
      <c r="AA5356">
        <v>0.99325509999999995</v>
      </c>
      <c r="AB5356">
        <v>35</v>
      </c>
      <c r="AC5356">
        <v>2.2916000000000101</v>
      </c>
      <c r="AD5356">
        <v>-1.110631597741</v>
      </c>
      <c r="AE5356">
        <v>-16.874619999999901</v>
      </c>
      <c r="AF5356">
        <v>-1.73895703085525</v>
      </c>
      <c r="AG5356">
        <v>-1.110631597741</v>
      </c>
      <c r="AH5356">
        <v>16.867984615457502</v>
      </c>
      <c r="AI5356">
        <v>93.747261140955004</v>
      </c>
      <c r="AJ5356">
        <v>95.885952692885596</v>
      </c>
      <c r="AK5356">
        <v>16.9937158705321</v>
      </c>
      <c r="AL5356">
        <v>92.737744179363503</v>
      </c>
      <c r="AM5356">
        <v>97.111884585798606</v>
      </c>
      <c r="AN5356">
        <v>1.0000000138610301</v>
      </c>
    </row>
    <row r="5357" spans="1:40" x14ac:dyDescent="0.25">
      <c r="A5357" t="str">
        <f>"20190305135934805"</f>
        <v>20190305135934805</v>
      </c>
      <c r="B5357" t="str">
        <f>"1551765574794760"</f>
        <v>1551765574794760</v>
      </c>
      <c r="C5357" t="s">
        <v>40</v>
      </c>
      <c r="D5357">
        <v>4.0997180000000002</v>
      </c>
      <c r="E5357">
        <v>0.50641740000000002</v>
      </c>
      <c r="F5357" t="s">
        <v>42</v>
      </c>
      <c r="G5357">
        <v>-299.48259999999999</v>
      </c>
      <c r="H5357" s="1">
        <v>-3.6993069999999999E-6</v>
      </c>
      <c r="I5357">
        <v>-31.95796</v>
      </c>
      <c r="J5357">
        <v>-301.80110000000002</v>
      </c>
      <c r="K5357">
        <v>1.1103959999999999</v>
      </c>
      <c r="L5357">
        <v>-15.66409</v>
      </c>
      <c r="M5357">
        <v>3.4375530000000001E-2</v>
      </c>
      <c r="N5357">
        <v>-5.5689479999999998E-3</v>
      </c>
      <c r="O5357">
        <v>-0.99939359999999999</v>
      </c>
      <c r="P5357">
        <v>0.162706399999999</v>
      </c>
      <c r="Q5357">
        <v>-5.2801899999999999E-2</v>
      </c>
      <c r="R5357">
        <v>-0.98526100000000005</v>
      </c>
      <c r="S5357">
        <v>0.41522219999999999</v>
      </c>
      <c r="T5357">
        <v>-0.197742</v>
      </c>
      <c r="U5357">
        <v>-2.965271</v>
      </c>
      <c r="V5357">
        <v>-0.12849070000000001</v>
      </c>
      <c r="W5357">
        <v>-4.7962390000000001E-2</v>
      </c>
      <c r="X5357">
        <v>0.99055020000000005</v>
      </c>
      <c r="Y5357">
        <v>-0.1042754</v>
      </c>
      <c r="Z5357">
        <v>6.0433229999999998E-2</v>
      </c>
      <c r="AA5357">
        <v>0.9927106</v>
      </c>
      <c r="AB5357">
        <v>35</v>
      </c>
      <c r="AC5357">
        <v>2.3185000000000202</v>
      </c>
      <c r="AD5357">
        <v>-1.110399699307</v>
      </c>
      <c r="AE5357">
        <v>-16.293869999999998</v>
      </c>
      <c r="AF5357">
        <v>-1.7490489468361501</v>
      </c>
      <c r="AG5357">
        <v>-1.110399699307</v>
      </c>
      <c r="AH5357">
        <v>16.2897891570681</v>
      </c>
      <c r="AI5357">
        <v>93.877339018095398</v>
      </c>
      <c r="AJ5357">
        <v>96.128419551853796</v>
      </c>
      <c r="AK5357">
        <v>16.421004551865298</v>
      </c>
      <c r="AL5357">
        <v>92.749097279211099</v>
      </c>
      <c r="AM5357">
        <v>97.390937861523398</v>
      </c>
      <c r="AN5357">
        <v>0.99999997478052005</v>
      </c>
    </row>
    <row r="5358" spans="1:40" x14ac:dyDescent="0.25">
      <c r="A5358" t="str">
        <f>"20190305135934829"</f>
        <v>20190305135934829</v>
      </c>
      <c r="B5358" t="str">
        <f>"1551765574824040"</f>
        <v>1551765574824040</v>
      </c>
      <c r="C5358" t="s">
        <v>40</v>
      </c>
      <c r="D5358">
        <v>4.0875969999999997</v>
      </c>
      <c r="E5358">
        <v>0.50670059999999995</v>
      </c>
      <c r="F5358" t="s">
        <v>42</v>
      </c>
      <c r="G5358">
        <v>-299.35610000000003</v>
      </c>
      <c r="H5358" s="1">
        <v>-3.5561320000000002E-6</v>
      </c>
      <c r="I5358">
        <v>-32.344000000000001</v>
      </c>
      <c r="J5358">
        <v>-301.78649999999999</v>
      </c>
      <c r="K5358">
        <v>1.110169</v>
      </c>
      <c r="L5358">
        <v>-16.042110000000001</v>
      </c>
      <c r="M5358">
        <v>3.6241160000000001E-2</v>
      </c>
      <c r="N5358">
        <v>-5.6036200000000001E-3</v>
      </c>
      <c r="O5358">
        <v>-0.99932750000000004</v>
      </c>
      <c r="P5358">
        <v>0.16893549999999999</v>
      </c>
      <c r="Q5358">
        <v>-5.1385140000000003E-2</v>
      </c>
      <c r="R5358">
        <v>-0.98428700000000002</v>
      </c>
      <c r="S5358">
        <v>0.43426510000000001</v>
      </c>
      <c r="T5358">
        <v>-0.1972225</v>
      </c>
      <c r="U5358">
        <v>-2.9625849999999998</v>
      </c>
      <c r="V5358">
        <v>-0.1329398</v>
      </c>
      <c r="W5358">
        <v>-4.6451340000000001E-2</v>
      </c>
      <c r="X5358">
        <v>0.990035</v>
      </c>
      <c r="Y5358">
        <v>-0.1087945</v>
      </c>
      <c r="Z5358">
        <v>6.0234009999999998E-2</v>
      </c>
      <c r="AA5358">
        <v>0.9922377</v>
      </c>
      <c r="AB5358">
        <v>35</v>
      </c>
      <c r="AC5358">
        <v>2.4303999999999601</v>
      </c>
      <c r="AD5358">
        <v>-1.1101725561319999</v>
      </c>
      <c r="AE5358">
        <v>-16.30189</v>
      </c>
      <c r="AF5358">
        <v>-1.8296936481808399</v>
      </c>
      <c r="AG5358">
        <v>-1.1101725561319999</v>
      </c>
      <c r="AH5358">
        <v>16.305287200050099</v>
      </c>
      <c r="AI5358">
        <v>93.8708464656209</v>
      </c>
      <c r="AJ5358">
        <v>96.402646588897994</v>
      </c>
      <c r="AK5358">
        <v>16.445140699510599</v>
      </c>
      <c r="AL5358">
        <v>92.662423759843307</v>
      </c>
      <c r="AM5358">
        <v>97.647809957461106</v>
      </c>
      <c r="AN5358">
        <v>1.00000000931841</v>
      </c>
    </row>
    <row r="5359" spans="1:40" x14ac:dyDescent="0.25">
      <c r="A5359" t="str">
        <f>"20190305135934854"</f>
        <v>20190305135934854</v>
      </c>
      <c r="B5359" t="str">
        <f>"1551765574844536"</f>
        <v>1551765574844536</v>
      </c>
      <c r="C5359" t="s">
        <v>40</v>
      </c>
      <c r="D5359">
        <v>4.0639399999999997</v>
      </c>
      <c r="E5359">
        <v>0.50679169999999996</v>
      </c>
      <c r="F5359" t="s">
        <v>42</v>
      </c>
      <c r="G5359">
        <v>-299.18860000000001</v>
      </c>
      <c r="H5359" s="1">
        <v>-3.2539389999999999E-6</v>
      </c>
      <c r="I5359">
        <v>-33.117690000000003</v>
      </c>
      <c r="J5359">
        <v>-301.77069999999998</v>
      </c>
      <c r="K5359">
        <v>1.109917</v>
      </c>
      <c r="L5359">
        <v>-16.437709999999999</v>
      </c>
      <c r="M5359">
        <v>3.7743119999999998E-2</v>
      </c>
      <c r="N5359">
        <v>-5.6884279999999997E-3</v>
      </c>
      <c r="O5359">
        <v>-0.99927129999999997</v>
      </c>
      <c r="P5359">
        <v>0.17364869999999999</v>
      </c>
      <c r="Q5359">
        <v>-4.778922E-2</v>
      </c>
      <c r="R5359">
        <v>-0.98364750000000001</v>
      </c>
      <c r="S5359">
        <v>0.4504089</v>
      </c>
      <c r="T5359">
        <v>-0.19248019999999999</v>
      </c>
      <c r="U5359">
        <v>-2.9605410000000001</v>
      </c>
      <c r="V5359">
        <v>-0.13623389999999999</v>
      </c>
      <c r="W5359">
        <v>-4.2689789999999998E-2</v>
      </c>
      <c r="X5359">
        <v>0.98975650000000004</v>
      </c>
      <c r="Y5359">
        <v>-0.1127046</v>
      </c>
      <c r="Z5359">
        <v>5.857308E-2</v>
      </c>
      <c r="AA5359">
        <v>0.99190060000000002</v>
      </c>
      <c r="AB5359">
        <v>35</v>
      </c>
      <c r="AC5359">
        <v>2.5820999999999601</v>
      </c>
      <c r="AD5359">
        <v>-1.1099202539390001</v>
      </c>
      <c r="AE5359">
        <v>-16.67998</v>
      </c>
      <c r="AF5359">
        <v>-1.9422965461067501</v>
      </c>
      <c r="AG5359">
        <v>-1.1099202539390001</v>
      </c>
      <c r="AH5359">
        <v>16.6933669783235</v>
      </c>
      <c r="AI5359">
        <v>93.778507557250705</v>
      </c>
      <c r="AJ5359">
        <v>96.636603266911607</v>
      </c>
      <c r="AK5359">
        <v>16.8425930282752</v>
      </c>
      <c r="AL5359">
        <v>92.446688299477003</v>
      </c>
      <c r="AM5359">
        <v>97.837165688417301</v>
      </c>
      <c r="AN5359">
        <v>1.00000001148585</v>
      </c>
    </row>
    <row r="5360" spans="1:40" x14ac:dyDescent="0.25">
      <c r="A5360" t="str">
        <f>"20190305135934876"</f>
        <v>20190305135934876</v>
      </c>
      <c r="B5360" t="str">
        <f>"1551765574864057"</f>
        <v>1551765574864057</v>
      </c>
      <c r="C5360" t="s">
        <v>40</v>
      </c>
      <c r="D5360">
        <v>4.0651010000000003</v>
      </c>
      <c r="E5360">
        <v>0.50718660000000004</v>
      </c>
      <c r="F5360" t="s">
        <v>42</v>
      </c>
      <c r="G5360">
        <v>-298.97140000000002</v>
      </c>
      <c r="H5360" s="1">
        <v>-2.7880190000000001E-6</v>
      </c>
      <c r="I5360">
        <v>-34.293579999999999</v>
      </c>
      <c r="J5360">
        <v>-301.75650000000002</v>
      </c>
      <c r="K5360">
        <v>1.109696</v>
      </c>
      <c r="L5360">
        <v>-16.790589999999899</v>
      </c>
      <c r="M5360">
        <v>3.8664599999999903E-2</v>
      </c>
      <c r="N5360">
        <v>-5.8504339999999998E-3</v>
      </c>
      <c r="O5360">
        <v>-0.99923519999999999</v>
      </c>
      <c r="P5360">
        <v>0.17681169999999999</v>
      </c>
      <c r="Q5360">
        <v>-4.6874520000000003E-2</v>
      </c>
      <c r="R5360">
        <v>-0.983128</v>
      </c>
      <c r="S5360">
        <v>0.46389770000000002</v>
      </c>
      <c r="T5360">
        <v>-0.18393419999999999</v>
      </c>
      <c r="U5360">
        <v>-2.9590450000000001</v>
      </c>
      <c r="V5360">
        <v>-0.1385345</v>
      </c>
      <c r="W5360">
        <v>-4.1528719999999998E-2</v>
      </c>
      <c r="X5360">
        <v>0.98948650000000005</v>
      </c>
      <c r="Y5360">
        <v>-0.11630450000000001</v>
      </c>
      <c r="Z5360">
        <v>5.5564200000000001E-2</v>
      </c>
      <c r="AA5360">
        <v>0.99165820000000005</v>
      </c>
      <c r="AB5360">
        <v>35</v>
      </c>
      <c r="AC5360">
        <v>2.7850999999999999</v>
      </c>
      <c r="AD5360">
        <v>-1.1096987880189999</v>
      </c>
      <c r="AE5360">
        <v>-17.50299</v>
      </c>
      <c r="AF5360">
        <v>-2.0980346612704901</v>
      </c>
      <c r="AG5360">
        <v>-1.1096987880189999</v>
      </c>
      <c r="AH5360">
        <v>17.528868655876199</v>
      </c>
      <c r="AI5360">
        <v>93.596782016313895</v>
      </c>
      <c r="AJ5360">
        <v>96.825277305202704</v>
      </c>
      <c r="AK5360">
        <v>17.6888218147785</v>
      </c>
      <c r="AL5360">
        <v>92.380104882997102</v>
      </c>
      <c r="AM5360">
        <v>97.969973291344203</v>
      </c>
      <c r="AN5360">
        <v>0.99999998797866896</v>
      </c>
    </row>
    <row r="5361" spans="1:40" x14ac:dyDescent="0.25">
      <c r="A5361" t="str">
        <f>"20190305135934901"</f>
        <v>20190305135934901</v>
      </c>
      <c r="B5361" t="str">
        <f>"1551765574894312"</f>
        <v>1551765574894312</v>
      </c>
      <c r="C5361" t="s">
        <v>40</v>
      </c>
      <c r="D5361">
        <v>4.0204430000000002</v>
      </c>
      <c r="E5361">
        <v>0.51516770000000001</v>
      </c>
      <c r="F5361" t="s">
        <v>42</v>
      </c>
      <c r="G5361">
        <v>-298.87290000000002</v>
      </c>
      <c r="H5361" s="1">
        <v>-2.5326070000000001E-6</v>
      </c>
      <c r="I5361">
        <v>-34.929679999999998</v>
      </c>
      <c r="J5361">
        <v>-301.74149999999997</v>
      </c>
      <c r="K5361">
        <v>1.1094839999999999</v>
      </c>
      <c r="L5361">
        <v>-17.16019</v>
      </c>
      <c r="M5361">
        <v>3.9243689999999998E-2</v>
      </c>
      <c r="N5361">
        <v>-6.1576749999999996E-3</v>
      </c>
      <c r="O5361">
        <v>-0.99921079999999995</v>
      </c>
      <c r="P5361">
        <v>0.17995739999999999</v>
      </c>
      <c r="Q5361">
        <v>-4.7194949999999999E-2</v>
      </c>
      <c r="R5361">
        <v>-0.98254180000000002</v>
      </c>
      <c r="S5361">
        <v>0.47027590000000002</v>
      </c>
      <c r="T5361">
        <v>-0.18097940000000001</v>
      </c>
      <c r="U5361">
        <v>-2.9582820000000001</v>
      </c>
      <c r="V5361">
        <v>-0.1411578</v>
      </c>
      <c r="W5361">
        <v>-4.1452099999999999E-2</v>
      </c>
      <c r="X5361">
        <v>0.98911890000000002</v>
      </c>
      <c r="Y5361">
        <v>-0.1178638</v>
      </c>
      <c r="Z5361">
        <v>5.4273689999999999E-2</v>
      </c>
      <c r="AA5361">
        <v>0.99154549999999997</v>
      </c>
      <c r="AB5361">
        <v>35</v>
      </c>
      <c r="AC5361">
        <v>2.8685999999999501</v>
      </c>
      <c r="AD5361">
        <v>-1.10948653260699</v>
      </c>
      <c r="AE5361">
        <v>-17.769489999999902</v>
      </c>
      <c r="AF5361">
        <v>-2.1608266836303098</v>
      </c>
      <c r="AG5361">
        <v>-1.10948653260699</v>
      </c>
      <c r="AH5361">
        <v>17.800744599957799</v>
      </c>
      <c r="AI5361">
        <v>93.540599336374896</v>
      </c>
      <c r="AJ5361">
        <v>96.9212529461402</v>
      </c>
      <c r="AK5361">
        <v>17.9657073513862</v>
      </c>
      <c r="AL5361">
        <v>92.375711068936198</v>
      </c>
      <c r="AM5361">
        <v>98.121876566442396</v>
      </c>
      <c r="AN5361">
        <v>0.99999999971622999</v>
      </c>
    </row>
    <row r="5362" spans="1:40" x14ac:dyDescent="0.25">
      <c r="A5362" t="str">
        <f>"20190305135934921"</f>
        <v>20190305135934921</v>
      </c>
      <c r="B5362" t="str">
        <f>"1551765574914809"</f>
        <v>1551765574914809</v>
      </c>
      <c r="C5362" t="s">
        <v>40</v>
      </c>
      <c r="D5362">
        <v>3.998294</v>
      </c>
      <c r="E5362">
        <v>0.5153413</v>
      </c>
      <c r="F5362" t="s">
        <v>42</v>
      </c>
      <c r="G5362">
        <v>-299.3775</v>
      </c>
      <c r="H5362" s="1">
        <v>-2.8265700000000002E-6</v>
      </c>
      <c r="I5362">
        <v>-34.035800000000002</v>
      </c>
      <c r="J5362">
        <v>-301.72789999999998</v>
      </c>
      <c r="K5362">
        <v>1.10931</v>
      </c>
      <c r="L5362">
        <v>-17.497440000000001</v>
      </c>
      <c r="M5362">
        <v>3.9485149999999997E-2</v>
      </c>
      <c r="N5362">
        <v>-6.5308869999999896E-3</v>
      </c>
      <c r="O5362">
        <v>-0.99919899999999995</v>
      </c>
      <c r="P5362">
        <v>0.18271299999999999</v>
      </c>
      <c r="Q5362">
        <v>-4.7592450000000001E-2</v>
      </c>
      <c r="R5362">
        <v>-0.98201400000000005</v>
      </c>
      <c r="S5362">
        <v>0.41574100000000003</v>
      </c>
      <c r="T5362">
        <v>-0.19511819999999999</v>
      </c>
      <c r="U5362">
        <v>-2.9678040000000001</v>
      </c>
      <c r="V5362">
        <v>-0.14371919999999999</v>
      </c>
      <c r="W5362">
        <v>-4.1399459999999999E-2</v>
      </c>
      <c r="X5362">
        <v>0.98875219999999997</v>
      </c>
      <c r="Y5362">
        <v>-9.9255689999999994E-2</v>
      </c>
      <c r="Z5362">
        <v>5.8548309999999999E-2</v>
      </c>
      <c r="AA5362">
        <v>0.99333800000000005</v>
      </c>
      <c r="AB5362">
        <v>36</v>
      </c>
      <c r="AC5362">
        <v>2.3503999999999698</v>
      </c>
      <c r="AD5362">
        <v>-1.1093128265700001</v>
      </c>
      <c r="AE5362">
        <v>-16.538360000000001</v>
      </c>
      <c r="AF5362">
        <v>-1.6880890710182901</v>
      </c>
      <c r="AG5362">
        <v>-1.1093128265700001</v>
      </c>
      <c r="AH5362">
        <v>16.545305145494599</v>
      </c>
      <c r="AI5362">
        <v>93.816016983422898</v>
      </c>
      <c r="AJ5362">
        <v>95.8256313059874</v>
      </c>
      <c r="AK5362">
        <v>16.668153527503101</v>
      </c>
      <c r="AL5362">
        <v>92.372692383564399</v>
      </c>
      <c r="AM5362">
        <v>98.270257669663295</v>
      </c>
      <c r="AN5362">
        <v>1.0000000183708799</v>
      </c>
    </row>
    <row r="5363" spans="1:40" x14ac:dyDescent="0.25">
      <c r="A5363" t="str">
        <f>"20190305135934943"</f>
        <v>20190305135934943</v>
      </c>
      <c r="B5363" t="str">
        <f>"1551765574934328"</f>
        <v>1551765574934328</v>
      </c>
      <c r="C5363" t="s">
        <v>40</v>
      </c>
      <c r="D5363">
        <v>4.0191759999999999</v>
      </c>
      <c r="E5363">
        <v>0.51579900000000001</v>
      </c>
      <c r="F5363" t="s">
        <v>42</v>
      </c>
      <c r="G5363">
        <v>-299.33969999999999</v>
      </c>
      <c r="H5363" s="1">
        <v>-2.7414410000000002E-6</v>
      </c>
      <c r="I5363">
        <v>-34.249879999999997</v>
      </c>
      <c r="J5363">
        <v>-301.71379999999999</v>
      </c>
      <c r="K5363">
        <v>1.1091569999999999</v>
      </c>
      <c r="L5363">
        <v>-17.849299999999999</v>
      </c>
      <c r="M5363">
        <v>3.9513319999999998E-2</v>
      </c>
      <c r="N5363">
        <v>-6.9315089999999998E-3</v>
      </c>
      <c r="O5363">
        <v>-0.9991949</v>
      </c>
      <c r="P5363">
        <v>0.18597130000000001</v>
      </c>
      <c r="Q5363">
        <v>-4.8135629999999999E-2</v>
      </c>
      <c r="R5363">
        <v>-0.98137529999999995</v>
      </c>
      <c r="S5363">
        <v>0.42294310000000002</v>
      </c>
      <c r="T5363">
        <v>-0.19645119999999999</v>
      </c>
      <c r="U5363">
        <v>-2.966736</v>
      </c>
      <c r="V5363">
        <v>-0.14699470000000001</v>
      </c>
      <c r="W5363">
        <v>-4.1474900000000002E-2</v>
      </c>
      <c r="X5363">
        <v>0.98826740000000002</v>
      </c>
      <c r="Y5363">
        <v>-0.1016379</v>
      </c>
      <c r="Z5363">
        <v>5.859673E-2</v>
      </c>
      <c r="AA5363">
        <v>0.99309429999999999</v>
      </c>
      <c r="AB5363">
        <v>36</v>
      </c>
      <c r="AC5363">
        <v>2.3740999999999901</v>
      </c>
      <c r="AD5363">
        <v>-1.1091597414409999</v>
      </c>
      <c r="AE5363">
        <v>-16.400579999999898</v>
      </c>
      <c r="AF5363">
        <v>-1.71649918571731</v>
      </c>
      <c r="AG5363">
        <v>-1.1091597414409999</v>
      </c>
      <c r="AH5363">
        <v>16.408076384016301</v>
      </c>
      <c r="AI5363">
        <v>93.846293885058998</v>
      </c>
      <c r="AJ5363">
        <v>95.972164166957398</v>
      </c>
      <c r="AK5363">
        <v>16.5348594009842</v>
      </c>
      <c r="AL5363">
        <v>92.377018461440599</v>
      </c>
      <c r="AM5363">
        <v>98.460137551112496</v>
      </c>
      <c r="AN5363">
        <v>1.0000000315304201</v>
      </c>
    </row>
    <row r="5364" spans="1:40" x14ac:dyDescent="0.25">
      <c r="A5364" t="str">
        <f>"20190305135934963"</f>
        <v>20190305135934963</v>
      </c>
      <c r="B5364" t="str">
        <f>"1551765574954824"</f>
        <v>1551765574954824</v>
      </c>
      <c r="C5364" t="s">
        <v>40</v>
      </c>
      <c r="D5364">
        <v>4.0116009999999998</v>
      </c>
      <c r="E5364">
        <v>0.5163413</v>
      </c>
      <c r="F5364" t="s">
        <v>42</v>
      </c>
      <c r="G5364">
        <v>-299.3125</v>
      </c>
      <c r="H5364" s="1">
        <v>-2.6617470000000001E-6</v>
      </c>
      <c r="I5364">
        <v>-34.446899999999999</v>
      </c>
      <c r="J5364">
        <v>-301.7011</v>
      </c>
      <c r="K5364">
        <v>1.1090310000000001</v>
      </c>
      <c r="L5364">
        <v>-18.16949</v>
      </c>
      <c r="M5364">
        <v>3.9387890000000002E-2</v>
      </c>
      <c r="N5364">
        <v>-7.2940189999999997E-3</v>
      </c>
      <c r="O5364">
        <v>-0.99919760000000002</v>
      </c>
      <c r="P5364">
        <v>0.18994649999999999</v>
      </c>
      <c r="Q5364">
        <v>-5.0101659999999999E-2</v>
      </c>
      <c r="R5364">
        <v>-0.98051569999999999</v>
      </c>
      <c r="S5364">
        <v>0.42910769999999998</v>
      </c>
      <c r="T5364">
        <v>-0.1981995</v>
      </c>
      <c r="U5364">
        <v>-2.965881</v>
      </c>
      <c r="V5364">
        <v>-0.1511402</v>
      </c>
      <c r="W5364">
        <v>-4.3030140000000001E-2</v>
      </c>
      <c r="X5364">
        <v>0.98757539999999999</v>
      </c>
      <c r="Y5364">
        <v>-0.1038207</v>
      </c>
      <c r="Z5364">
        <v>5.8818769999999999E-2</v>
      </c>
      <c r="AA5364">
        <v>0.9928553</v>
      </c>
      <c r="AB5364">
        <v>36</v>
      </c>
      <c r="AC5364">
        <v>2.3885999999999901</v>
      </c>
      <c r="AD5364">
        <v>-1.10903366174699</v>
      </c>
      <c r="AE5364">
        <v>-16.27741</v>
      </c>
      <c r="AF5364">
        <v>-1.7376999781272999</v>
      </c>
      <c r="AG5364">
        <v>-1.10903366174699</v>
      </c>
      <c r="AH5364">
        <v>16.284859242164199</v>
      </c>
      <c r="AI5364">
        <v>93.874023880258605</v>
      </c>
      <c r="AJ5364">
        <v>96.090783517879402</v>
      </c>
      <c r="AK5364">
        <v>16.414816399033299</v>
      </c>
      <c r="AL5364">
        <v>92.466206729436706</v>
      </c>
      <c r="AM5364">
        <v>98.701129698145294</v>
      </c>
      <c r="AN5364">
        <v>1.0000000618447999</v>
      </c>
    </row>
    <row r="5365" spans="1:40" x14ac:dyDescent="0.25">
      <c r="A5365" t="str">
        <f>"20190305135934983"</f>
        <v>20190305135934983</v>
      </c>
      <c r="B5365" t="str">
        <f>"1551765574974344"</f>
        <v>1551765574974344</v>
      </c>
      <c r="C5365" t="s">
        <v>40</v>
      </c>
      <c r="D5365">
        <v>4.0150069999999998</v>
      </c>
      <c r="E5365">
        <v>0.51655519999999999</v>
      </c>
      <c r="F5365" t="s">
        <v>42</v>
      </c>
      <c r="G5365">
        <v>-299.32330000000002</v>
      </c>
      <c r="H5365" s="1">
        <v>-2.7170200000000001E-6</v>
      </c>
      <c r="I5365">
        <v>-34.313569999999999</v>
      </c>
      <c r="J5365">
        <v>-301.68880000000001</v>
      </c>
      <c r="K5365">
        <v>1.108927</v>
      </c>
      <c r="L5365">
        <v>-18.48291</v>
      </c>
      <c r="M5365">
        <v>3.9167590000000002E-2</v>
      </c>
      <c r="N5365">
        <v>-7.6375449999999999E-3</v>
      </c>
      <c r="O5365">
        <v>-0.99920359999999997</v>
      </c>
      <c r="P5365">
        <v>0.19518279999999999</v>
      </c>
      <c r="Q5365">
        <v>-5.314062E-2</v>
      </c>
      <c r="R5365">
        <v>-0.97932649999999999</v>
      </c>
      <c r="S5365">
        <v>0.43664550000000002</v>
      </c>
      <c r="T5365">
        <v>-0.20365829999999999</v>
      </c>
      <c r="U5365">
        <v>-2.9646300000000001</v>
      </c>
      <c r="V5365">
        <v>-0.15665019999999999</v>
      </c>
      <c r="W5365">
        <v>-4.5689609999999999E-2</v>
      </c>
      <c r="X5365">
        <v>0.98659680000000005</v>
      </c>
      <c r="Y5365">
        <v>-0.10655480000000001</v>
      </c>
      <c r="Z5365">
        <v>6.0296460000000003E-2</v>
      </c>
      <c r="AA5365">
        <v>0.9924769</v>
      </c>
      <c r="AB5365">
        <v>36</v>
      </c>
      <c r="AC5365">
        <v>2.3654999999999902</v>
      </c>
      <c r="AD5365">
        <v>-1.1089297170200001</v>
      </c>
      <c r="AE5365">
        <v>-15.8306599999999</v>
      </c>
      <c r="AF5365">
        <v>-1.7352889627239301</v>
      </c>
      <c r="AG5365">
        <v>-1.1089297170200001</v>
      </c>
      <c r="AH5365">
        <v>15.835160333565</v>
      </c>
      <c r="AI5365">
        <v>93.982098478575494</v>
      </c>
      <c r="AJ5365">
        <v>96.253778631781699</v>
      </c>
      <c r="AK5365">
        <v>15.968508248773601</v>
      </c>
      <c r="AL5365">
        <v>92.618733385215805</v>
      </c>
      <c r="AM5365">
        <v>99.022015028457503</v>
      </c>
      <c r="AN5365">
        <v>1.0000000356961101</v>
      </c>
    </row>
    <row r="5366" spans="1:40" x14ac:dyDescent="0.25">
      <c r="A5366" t="str">
        <f>"20190305135935004"</f>
        <v>20190305135935004</v>
      </c>
      <c r="B5366" t="str">
        <f>"1551765574994840"</f>
        <v>1551765574994840</v>
      </c>
      <c r="C5366" t="s">
        <v>40</v>
      </c>
      <c r="D5366">
        <v>3.9629289999999999</v>
      </c>
      <c r="E5366">
        <v>0.52082659999999903</v>
      </c>
      <c r="F5366" t="s">
        <v>42</v>
      </c>
      <c r="G5366">
        <v>-299.34629999999999</v>
      </c>
      <c r="H5366" s="1">
        <v>-2.8980870000000001E-6</v>
      </c>
      <c r="I5366">
        <v>-33.881990000000002</v>
      </c>
      <c r="J5366">
        <v>-301.67540000000002</v>
      </c>
      <c r="K5366">
        <v>1.1088249999999999</v>
      </c>
      <c r="L5366">
        <v>-18.825199999999999</v>
      </c>
      <c r="M5366">
        <v>3.8867510000000001E-2</v>
      </c>
      <c r="N5366">
        <v>-7.989421E-3</v>
      </c>
      <c r="O5366">
        <v>-0.9992124</v>
      </c>
      <c r="P5366">
        <v>0.2009042</v>
      </c>
      <c r="Q5366">
        <v>-5.6179729999999997E-2</v>
      </c>
      <c r="R5366">
        <v>-0.97799840000000005</v>
      </c>
      <c r="S5366">
        <v>0.4505615</v>
      </c>
      <c r="T5366">
        <v>-0.21329770000000001</v>
      </c>
      <c r="U5366">
        <v>-2.9619450000000001</v>
      </c>
      <c r="V5366">
        <v>-0.16272799999999901</v>
      </c>
      <c r="W5366">
        <v>-4.8344720000000001E-2</v>
      </c>
      <c r="X5366">
        <v>0.98548590000000003</v>
      </c>
      <c r="Y5366">
        <v>-0.1115111</v>
      </c>
      <c r="Z5366">
        <v>6.3166940000000005E-2</v>
      </c>
      <c r="AA5366">
        <v>0.99175360000000001</v>
      </c>
      <c r="AB5366">
        <v>36</v>
      </c>
      <c r="AC5366">
        <v>2.3291000000000301</v>
      </c>
      <c r="AD5366">
        <v>-1.1088278980870001</v>
      </c>
      <c r="AE5366">
        <v>-15.056789999999999</v>
      </c>
      <c r="AF5366">
        <v>-1.73292279182649</v>
      </c>
      <c r="AG5366">
        <v>-1.1088278980870001</v>
      </c>
      <c r="AH5366">
        <v>15.056195110002699</v>
      </c>
      <c r="AI5366">
        <v>94.184472356602299</v>
      </c>
      <c r="AJ5366">
        <v>96.565681126314601</v>
      </c>
      <c r="AK5366">
        <v>15.196102523360301</v>
      </c>
      <c r="AL5366">
        <v>92.771028445637</v>
      </c>
      <c r="AM5366">
        <v>99.376336780403506</v>
      </c>
      <c r="AN5366">
        <v>1.00000003651734</v>
      </c>
    </row>
    <row r="5367" spans="1:40" x14ac:dyDescent="0.25">
      <c r="A5367" t="str">
        <f>"20190305135935032"</f>
        <v>20190305135935032</v>
      </c>
      <c r="B5367" t="str">
        <f>"1551765575024120"</f>
        <v>1551765575024120</v>
      </c>
      <c r="C5367" t="s">
        <v>40</v>
      </c>
      <c r="D5367">
        <v>3.9847540000000001</v>
      </c>
      <c r="E5367">
        <v>0.52213540000000003</v>
      </c>
      <c r="F5367" t="s">
        <v>42</v>
      </c>
      <c r="G5367">
        <v>-299.48360000000002</v>
      </c>
      <c r="H5367" s="1">
        <v>-2.9149630000000001E-6</v>
      </c>
      <c r="I5367">
        <v>-33.785899999999998</v>
      </c>
      <c r="J5367">
        <v>-301.65870000000001</v>
      </c>
      <c r="K5367">
        <v>1.108717</v>
      </c>
      <c r="L5367">
        <v>-19.25769</v>
      </c>
      <c r="M5367">
        <v>3.8459710000000001E-2</v>
      </c>
      <c r="N5367">
        <v>-8.3944659999999997E-3</v>
      </c>
      <c r="O5367">
        <v>-0.99922500000000003</v>
      </c>
      <c r="P5367">
        <v>0.20615030000000001</v>
      </c>
      <c r="Q5367">
        <v>-5.9101620000000001E-2</v>
      </c>
      <c r="R5367">
        <v>-0.97673379999999999</v>
      </c>
      <c r="S5367">
        <v>0.4344788</v>
      </c>
      <c r="T5367">
        <v>-0.21979899999999999</v>
      </c>
      <c r="U5367">
        <v>-2.9656069999999999</v>
      </c>
      <c r="V5367">
        <v>-0.16843549999999999</v>
      </c>
      <c r="W5367">
        <v>-5.08266E-2</v>
      </c>
      <c r="X5367">
        <v>0.98440139999999998</v>
      </c>
      <c r="Y5367">
        <v>-0.1064546</v>
      </c>
      <c r="Z5367">
        <v>6.488207E-2</v>
      </c>
      <c r="AA5367">
        <v>0.99219849999999998</v>
      </c>
      <c r="AB5367">
        <v>36</v>
      </c>
      <c r="AC5367">
        <v>2.17509999999998</v>
      </c>
      <c r="AD5367">
        <v>-1.108719914963</v>
      </c>
      <c r="AE5367">
        <v>-14.5282099999999</v>
      </c>
      <c r="AF5367">
        <v>-1.60557444873874</v>
      </c>
      <c r="AG5367">
        <v>-1.108719914963</v>
      </c>
      <c r="AH5367">
        <v>14.518416065825701</v>
      </c>
      <c r="AI5367">
        <v>94.340639272523802</v>
      </c>
      <c r="AJ5367">
        <v>96.310629713814507</v>
      </c>
      <c r="AK5367">
        <v>14.6489431093408</v>
      </c>
      <c r="AL5367">
        <v>92.913405007055999</v>
      </c>
      <c r="AM5367">
        <v>99.709539216264901</v>
      </c>
      <c r="AN5367">
        <v>0.99999998862488404</v>
      </c>
    </row>
    <row r="5368" spans="1:40" x14ac:dyDescent="0.25">
      <c r="A5368" t="str">
        <f>"20190305135935060"</f>
        <v>20190305135935060</v>
      </c>
      <c r="B5368" t="str">
        <f>"1551765575054376"</f>
        <v>1551765575054376</v>
      </c>
      <c r="C5368" t="s">
        <v>40</v>
      </c>
      <c r="D5368">
        <v>3.884922</v>
      </c>
      <c r="E5368">
        <v>0.48938409999999899</v>
      </c>
      <c r="F5368" t="s">
        <v>42</v>
      </c>
      <c r="G5368">
        <v>-299.55509999999998</v>
      </c>
      <c r="H5368" s="1">
        <v>-3.0502870000000001E-6</v>
      </c>
      <c r="I5368">
        <v>-33.440869999999997</v>
      </c>
      <c r="J5368">
        <v>-301.64210000000003</v>
      </c>
      <c r="K5368">
        <v>1.1086339999999999</v>
      </c>
      <c r="L5368">
        <v>-19.695399999999999</v>
      </c>
      <c r="M5368">
        <v>3.8047259999999999E-2</v>
      </c>
      <c r="N5368">
        <v>-8.7542139999999997E-3</v>
      </c>
      <c r="O5368">
        <v>-0.9992375</v>
      </c>
      <c r="P5368">
        <v>0.21235709999999999</v>
      </c>
      <c r="Q5368">
        <v>-6.2300920000000003E-2</v>
      </c>
      <c r="R5368">
        <v>-0.97520390000000001</v>
      </c>
      <c r="S5368">
        <v>0.43969730000000001</v>
      </c>
      <c r="T5368">
        <v>-0.23174939999999999</v>
      </c>
      <c r="U5368">
        <v>-2.9646300000000001</v>
      </c>
      <c r="V5368">
        <v>-0.17511489999999999</v>
      </c>
      <c r="W5368">
        <v>-5.3641790000000002E-2</v>
      </c>
      <c r="X5368">
        <v>0.9830856</v>
      </c>
      <c r="Y5368">
        <v>-0.1085811</v>
      </c>
      <c r="Z5368">
        <v>6.8493109999999996E-2</v>
      </c>
      <c r="AA5368">
        <v>0.99172519999999997</v>
      </c>
      <c r="AB5368">
        <v>36</v>
      </c>
      <c r="AC5368">
        <v>2.0870000000000402</v>
      </c>
      <c r="AD5368">
        <v>-1.108637050287</v>
      </c>
      <c r="AE5368">
        <v>-13.745469999999999</v>
      </c>
      <c r="AF5368">
        <v>-1.5526187304210699</v>
      </c>
      <c r="AG5368">
        <v>-1.108637050287</v>
      </c>
      <c r="AH5368">
        <v>13.7276358409847</v>
      </c>
      <c r="AI5368">
        <v>94.588032525204696</v>
      </c>
      <c r="AJ5368">
        <v>96.452827544498902</v>
      </c>
      <c r="AK5368">
        <v>13.8595702247224</v>
      </c>
      <c r="AL5368">
        <v>93.074924080108303</v>
      </c>
      <c r="AM5368">
        <v>100.100038602502</v>
      </c>
      <c r="AN5368">
        <v>0.999999983381887</v>
      </c>
    </row>
    <row r="5369" spans="1:40" x14ac:dyDescent="0.25">
      <c r="A5369" t="str">
        <f>"20190305135935091"</f>
        <v>20190305135935091</v>
      </c>
      <c r="B5369" t="str">
        <f>"1551765575084632"</f>
        <v>1551765575084632</v>
      </c>
      <c r="C5369" t="s">
        <v>40</v>
      </c>
      <c r="D5369">
        <v>3.9366409999999998</v>
      </c>
      <c r="E5369">
        <v>0.44150050000000002</v>
      </c>
      <c r="F5369" t="s">
        <v>42</v>
      </c>
      <c r="G5369">
        <v>-297.673</v>
      </c>
      <c r="H5369" s="1">
        <v>-2.39442E-6</v>
      </c>
      <c r="I5369">
        <v>-35.747929999999997</v>
      </c>
      <c r="J5369">
        <v>-301.6232</v>
      </c>
      <c r="K5369">
        <v>1.1085430000000001</v>
      </c>
      <c r="L5369">
        <v>-20.196560000000002</v>
      </c>
      <c r="M5369">
        <v>3.7586219999999997E-2</v>
      </c>
      <c r="N5369">
        <v>-9.0907060000000005E-3</v>
      </c>
      <c r="O5369">
        <v>-0.99925220000000003</v>
      </c>
      <c r="P5369">
        <v>0.22679779999999999</v>
      </c>
      <c r="Q5369">
        <v>-6.6959060000000001E-2</v>
      </c>
      <c r="R5369">
        <v>-0.97163739999999998</v>
      </c>
      <c r="S5369">
        <v>0.71875</v>
      </c>
      <c r="T5369">
        <v>-0.200763</v>
      </c>
      <c r="U5369">
        <v>-2.906952</v>
      </c>
      <c r="V5369">
        <v>-0.19014449999999999</v>
      </c>
      <c r="W5369">
        <v>-5.7958280000000001E-2</v>
      </c>
      <c r="X5369">
        <v>0.98004380000000002</v>
      </c>
      <c r="Y5369">
        <v>-0.20289180000000001</v>
      </c>
      <c r="Z5369">
        <v>5.8073329999999999E-2</v>
      </c>
      <c r="AA5369">
        <v>0.97747759999999995</v>
      </c>
      <c r="AB5369">
        <v>36</v>
      </c>
      <c r="AC5369">
        <v>3.9501999999999899</v>
      </c>
      <c r="AD5369">
        <v>-1.1085453944200001</v>
      </c>
      <c r="AE5369">
        <v>-15.551369999999901</v>
      </c>
      <c r="AF5369">
        <v>-3.3468916428139202</v>
      </c>
      <c r="AG5369">
        <v>-1.1085453944200001</v>
      </c>
      <c r="AH5369">
        <v>15.6143282064339</v>
      </c>
      <c r="AI5369">
        <v>93.971021698027201</v>
      </c>
      <c r="AJ5369">
        <v>102.09813966935501</v>
      </c>
      <c r="AK5369">
        <v>16.0074295843669</v>
      </c>
      <c r="AL5369">
        <v>93.322626907222499</v>
      </c>
      <c r="AM5369">
        <v>100.979903359227</v>
      </c>
      <c r="AN5369">
        <v>0.99999997150962305</v>
      </c>
    </row>
    <row r="5370" spans="1:40" x14ac:dyDescent="0.25">
      <c r="A5370" t="str">
        <f>"20190305135935121"</f>
        <v>20190305135935121</v>
      </c>
      <c r="B5370" t="str">
        <f>"1551765575114889"</f>
        <v>1551765575114889</v>
      </c>
      <c r="C5370" t="s">
        <v>40</v>
      </c>
      <c r="D5370">
        <v>3.8824290000000001</v>
      </c>
      <c r="E5370">
        <v>0.44719940000000002</v>
      </c>
      <c r="F5370" t="s">
        <v>42</v>
      </c>
      <c r="G5370">
        <v>-294.6902</v>
      </c>
      <c r="H5370" s="1">
        <v>-2.4499270000000002E-6</v>
      </c>
      <c r="I5370">
        <v>-37.304290000000002</v>
      </c>
      <c r="J5370">
        <v>-301.60539999999997</v>
      </c>
      <c r="K5370">
        <v>1.1085</v>
      </c>
      <c r="L5370">
        <v>-20.678830000000001</v>
      </c>
      <c r="M5370">
        <v>3.7150229999999999E-2</v>
      </c>
      <c r="N5370">
        <v>-9.3518690000000005E-3</v>
      </c>
      <c r="O5370">
        <v>-0.99926579999999998</v>
      </c>
      <c r="P5370">
        <v>0.23277890000000001</v>
      </c>
      <c r="Q5370">
        <v>-6.838255E-2</v>
      </c>
      <c r="R5370">
        <v>-0.9701225</v>
      </c>
      <c r="S5370">
        <v>1.1384890000000001</v>
      </c>
      <c r="T5370">
        <v>-0.18203659999999999</v>
      </c>
      <c r="U5370">
        <v>-2.8092959999999998</v>
      </c>
      <c r="V5370">
        <v>-0.19661200000000001</v>
      </c>
      <c r="W5370">
        <v>-5.9113249999999999E-2</v>
      </c>
      <c r="X5370">
        <v>0.97869779999999995</v>
      </c>
      <c r="Y5370">
        <v>-0.340302299999999</v>
      </c>
      <c r="Z5370">
        <v>5.102582E-2</v>
      </c>
      <c r="AA5370">
        <v>0.93893059999999995</v>
      </c>
      <c r="AB5370">
        <v>36</v>
      </c>
      <c r="AC5370">
        <v>6.9151999999999703</v>
      </c>
      <c r="AD5370">
        <v>-1.108502449927</v>
      </c>
      <c r="AE5370">
        <v>-16.62546</v>
      </c>
      <c r="AF5370">
        <v>-6.26900044122387</v>
      </c>
      <c r="AG5370">
        <v>-1.108502449927</v>
      </c>
      <c r="AH5370">
        <v>16.807197561075199</v>
      </c>
      <c r="AI5370">
        <v>93.536114735580099</v>
      </c>
      <c r="AJ5370">
        <v>110.45526326082</v>
      </c>
      <c r="AK5370">
        <v>17.9725077290447</v>
      </c>
      <c r="AL5370">
        <v>93.388915321394506</v>
      </c>
      <c r="AM5370">
        <v>101.359034758671</v>
      </c>
      <c r="AN5370">
        <v>1.0000000192972001</v>
      </c>
    </row>
    <row r="5371" spans="1:40" x14ac:dyDescent="0.25">
      <c r="A5371" t="str">
        <f>"20190305135935156"</f>
        <v>20190305135935156</v>
      </c>
      <c r="B5371" t="str">
        <f>"1551765575144172"</f>
        <v>1551765575144172</v>
      </c>
      <c r="C5371" t="s">
        <v>40</v>
      </c>
      <c r="D5371">
        <v>3.9794849999999999</v>
      </c>
      <c r="E5371">
        <v>0.44983909999999999</v>
      </c>
      <c r="F5371" t="s">
        <v>42</v>
      </c>
      <c r="G5371">
        <v>-294.06450000000001</v>
      </c>
      <c r="H5371" s="1">
        <v>-1.7909399999999999E-6</v>
      </c>
      <c r="I5371">
        <v>-39.730020000000003</v>
      </c>
      <c r="J5371">
        <v>-301.58460000000002</v>
      </c>
      <c r="K5371">
        <v>1.1084579999999999</v>
      </c>
      <c r="L5371">
        <v>-21.250340000000001</v>
      </c>
      <c r="M5371">
        <v>3.663976E-2</v>
      </c>
      <c r="N5371">
        <v>-9.5809050000000007E-3</v>
      </c>
      <c r="O5371">
        <v>-0.99928280000000003</v>
      </c>
      <c r="P5371">
        <v>0.24336469999999999</v>
      </c>
      <c r="Q5371">
        <v>-7.019997E-2</v>
      </c>
      <c r="R5371">
        <v>-0.96739120000000001</v>
      </c>
      <c r="S5371">
        <v>1.1137079999999999</v>
      </c>
      <c r="T5371">
        <v>-0.16371229999999901</v>
      </c>
      <c r="U5371">
        <v>-2.8136290000000002</v>
      </c>
      <c r="V5371">
        <v>-0.20779600000000001</v>
      </c>
      <c r="W5371">
        <v>-6.0707070000000002E-2</v>
      </c>
      <c r="X5371">
        <v>0.9762866</v>
      </c>
      <c r="Y5371">
        <v>-0.33325929999999998</v>
      </c>
      <c r="Z5371">
        <v>4.4823620000000002E-2</v>
      </c>
      <c r="AA5371">
        <v>0.94176910000000003</v>
      </c>
      <c r="AB5371">
        <v>36</v>
      </c>
      <c r="AC5371">
        <v>7.52010000000001</v>
      </c>
      <c r="AD5371">
        <v>-1.10845979094</v>
      </c>
      <c r="AE5371">
        <v>-18.479679999999998</v>
      </c>
      <c r="AF5371">
        <v>-6.8168860544925298</v>
      </c>
      <c r="AG5371">
        <v>-1.10845979094</v>
      </c>
      <c r="AH5371">
        <v>18.6851413291044</v>
      </c>
      <c r="AI5371">
        <v>93.189796553828799</v>
      </c>
      <c r="AJ5371">
        <v>110.043448447183</v>
      </c>
      <c r="AK5371">
        <v>19.920670798863</v>
      </c>
      <c r="AL5371">
        <v>93.4803987916967</v>
      </c>
      <c r="AM5371">
        <v>102.015714339318</v>
      </c>
      <c r="AN5371">
        <v>1.00000002565177</v>
      </c>
    </row>
    <row r="5372" spans="1:40" x14ac:dyDescent="0.25">
      <c r="A5372" t="str">
        <f>"20190305135935185"</f>
        <v>20190305135935185</v>
      </c>
      <c r="B5372" t="str">
        <f>"1551765575174424"</f>
        <v>1551765575174424</v>
      </c>
      <c r="C5372" t="s">
        <v>40</v>
      </c>
      <c r="D5372">
        <v>3.9702860000000002</v>
      </c>
      <c r="E5372">
        <v>0.45226519999999998</v>
      </c>
      <c r="F5372" t="s">
        <v>42</v>
      </c>
      <c r="G5372">
        <v>-294.49950000000001</v>
      </c>
      <c r="H5372" s="1">
        <v>-1.9401050000000002E-6</v>
      </c>
      <c r="I5372">
        <v>-38.951540000000001</v>
      </c>
      <c r="J5372">
        <v>-301.56880000000001</v>
      </c>
      <c r="K5372">
        <v>1.1084459999999901</v>
      </c>
      <c r="L5372">
        <v>-21.68967</v>
      </c>
      <c r="M5372">
        <v>3.6249539999999997E-2</v>
      </c>
      <c r="N5372">
        <v>-9.7036469999999993E-3</v>
      </c>
      <c r="O5372">
        <v>-0.9992955</v>
      </c>
      <c r="P5372">
        <v>0.2472927</v>
      </c>
      <c r="Q5372">
        <v>-7.0245740000000001E-2</v>
      </c>
      <c r="R5372">
        <v>-0.966391</v>
      </c>
      <c r="S5372">
        <v>1.1230770000000001</v>
      </c>
      <c r="T5372">
        <v>-0.17570379999999899</v>
      </c>
      <c r="U5372">
        <v>-2.805847</v>
      </c>
      <c r="V5372">
        <v>-0.21214060000000001</v>
      </c>
      <c r="W5372">
        <v>-6.0632030000000003E-2</v>
      </c>
      <c r="X5372">
        <v>0.97535640000000001</v>
      </c>
      <c r="Y5372">
        <v>-0.33715430000000002</v>
      </c>
      <c r="Z5372">
        <v>4.8744049999999997E-2</v>
      </c>
      <c r="AA5372">
        <v>0.94018670000000004</v>
      </c>
      <c r="AB5372">
        <v>36</v>
      </c>
      <c r="AC5372">
        <v>7.0692999999999904</v>
      </c>
      <c r="AD5372">
        <v>-1.10844794010499</v>
      </c>
      <c r="AE5372">
        <v>-17.261869999999998</v>
      </c>
      <c r="AF5372">
        <v>-6.4162322557511198</v>
      </c>
      <c r="AG5372">
        <v>-1.10844794010499</v>
      </c>
      <c r="AH5372">
        <v>17.445193122826101</v>
      </c>
      <c r="AI5372">
        <v>93.412700178127807</v>
      </c>
      <c r="AJ5372">
        <v>110.19320453502399</v>
      </c>
      <c r="AK5372">
        <v>18.620726524181698</v>
      </c>
      <c r="AL5372">
        <v>93.476091498541905</v>
      </c>
      <c r="AM5372">
        <v>102.270753058293</v>
      </c>
      <c r="AN5372">
        <v>0.99999999212561996</v>
      </c>
    </row>
    <row r="5373" spans="1:40" x14ac:dyDescent="0.25">
      <c r="A5373" t="str">
        <f>"20190305135935207"</f>
        <v>20190305135935207</v>
      </c>
      <c r="B5373" t="str">
        <f>"1551765575194920"</f>
        <v>1551765575194920</v>
      </c>
      <c r="C5373" t="s">
        <v>40</v>
      </c>
      <c r="D5373">
        <v>3.9650629999999998</v>
      </c>
      <c r="E5373">
        <v>0.45405050000000002</v>
      </c>
      <c r="F5373" t="s">
        <v>42</v>
      </c>
      <c r="G5373">
        <v>-294.52760000000001</v>
      </c>
      <c r="H5373" s="1">
        <v>-1.7798239999999999E-6</v>
      </c>
      <c r="I5373">
        <v>-39.400539999999999</v>
      </c>
      <c r="J5373">
        <v>-301.55540000000002</v>
      </c>
      <c r="K5373">
        <v>1.108436</v>
      </c>
      <c r="L5373">
        <v>-22.066960000000002</v>
      </c>
      <c r="M5373">
        <v>3.591598E-2</v>
      </c>
      <c r="N5373">
        <v>-9.7734720000000001E-3</v>
      </c>
      <c r="O5373">
        <v>-0.99930719999999995</v>
      </c>
      <c r="P5373">
        <v>0.25086730000000002</v>
      </c>
      <c r="Q5373">
        <v>-6.9927950000000003E-2</v>
      </c>
      <c r="R5373">
        <v>-0.96549280000000004</v>
      </c>
      <c r="S5373">
        <v>1.1156010000000001</v>
      </c>
      <c r="T5373">
        <v>-0.17562130000000001</v>
      </c>
      <c r="U5373">
        <v>-2.8060909999999999</v>
      </c>
      <c r="V5373">
        <v>-0.2160716</v>
      </c>
      <c r="W5373">
        <v>-6.0247259999999997E-2</v>
      </c>
      <c r="X5373">
        <v>0.97451699999999997</v>
      </c>
      <c r="Y5373">
        <v>-0.3352791</v>
      </c>
      <c r="Z5373">
        <v>4.8690619999999997E-2</v>
      </c>
      <c r="AA5373">
        <v>0.94085980000000002</v>
      </c>
      <c r="AB5373">
        <v>36</v>
      </c>
      <c r="AC5373">
        <v>7.0278000000000098</v>
      </c>
      <c r="AD5373">
        <v>-1.1084377798239999</v>
      </c>
      <c r="AE5373">
        <v>-17.333579999999898</v>
      </c>
      <c r="AF5373">
        <v>-6.3782829161841104</v>
      </c>
      <c r="AG5373">
        <v>-1.1084377798239999</v>
      </c>
      <c r="AH5373">
        <v>17.513311830301198</v>
      </c>
      <c r="AI5373">
        <v>93.403366561590104</v>
      </c>
      <c r="AJ5373">
        <v>110.01143530460099</v>
      </c>
      <c r="AK5373">
        <v>18.6715617594243</v>
      </c>
      <c r="AL5373">
        <v>93.454005307506606</v>
      </c>
      <c r="AM5373">
        <v>102.50147845734401</v>
      </c>
      <c r="AN5373">
        <v>1.00000002597653</v>
      </c>
    </row>
    <row r="5374" spans="1:40" x14ac:dyDescent="0.25">
      <c r="A5374" t="str">
        <f>"20190305135935233"</f>
        <v>20190305135935233</v>
      </c>
      <c r="B5374" t="str">
        <f>"1551765575224200"</f>
        <v>1551765575224200</v>
      </c>
      <c r="C5374" t="s">
        <v>40</v>
      </c>
      <c r="D5374">
        <v>4.0027699999999999</v>
      </c>
      <c r="E5374">
        <v>0.45622479999999999</v>
      </c>
      <c r="F5374" t="s">
        <v>42</v>
      </c>
      <c r="G5374">
        <v>-294.31560000000002</v>
      </c>
      <c r="H5374" s="1">
        <v>-1.5211600000000001E-6</v>
      </c>
      <c r="I5374">
        <v>-40.326390000000004</v>
      </c>
      <c r="J5374">
        <v>-301.54050000000001</v>
      </c>
      <c r="K5374">
        <v>1.108433</v>
      </c>
      <c r="L5374">
        <v>-22.488859999999999</v>
      </c>
      <c r="M5374">
        <v>3.5542940000000002E-2</v>
      </c>
      <c r="N5374">
        <v>-9.8283639999999992E-3</v>
      </c>
      <c r="O5374">
        <v>-0.99931999999999999</v>
      </c>
      <c r="P5374">
        <v>0.25427670000000002</v>
      </c>
      <c r="Q5374">
        <v>-6.9778919999999994E-2</v>
      </c>
      <c r="R5374">
        <v>-0.964611</v>
      </c>
      <c r="S5374">
        <v>1.1124879999999999</v>
      </c>
      <c r="T5374">
        <v>-0.170326799999999</v>
      </c>
      <c r="U5374">
        <v>-2.8058169999999998</v>
      </c>
      <c r="V5374">
        <v>-0.2198746</v>
      </c>
      <c r="W5374">
        <v>-6.0046990000000001E-2</v>
      </c>
      <c r="X5374">
        <v>0.97367840000000005</v>
      </c>
      <c r="Y5374">
        <v>-0.33479429999999999</v>
      </c>
      <c r="Z5374">
        <v>4.690283E-2</v>
      </c>
      <c r="AA5374">
        <v>0.94112320000000005</v>
      </c>
      <c r="AB5374">
        <v>36</v>
      </c>
      <c r="AC5374">
        <v>7.2248999999999901</v>
      </c>
      <c r="AD5374">
        <v>-1.10843452116</v>
      </c>
      <c r="AE5374">
        <v>-17.837530000000001</v>
      </c>
      <c r="AF5374">
        <v>-6.5645296407660796</v>
      </c>
      <c r="AG5374">
        <v>-1.10843452116</v>
      </c>
      <c r="AH5374">
        <v>18.0232773383729</v>
      </c>
      <c r="AI5374">
        <v>93.307245490704503</v>
      </c>
      <c r="AJ5374">
        <v>110.012892496822</v>
      </c>
      <c r="AK5374">
        <v>19.213542164528199</v>
      </c>
      <c r="AL5374">
        <v>93.442509774310906</v>
      </c>
      <c r="AM5374">
        <v>102.725012751409</v>
      </c>
      <c r="AN5374">
        <v>1.0000000536798801</v>
      </c>
    </row>
    <row r="5375" spans="1:40" x14ac:dyDescent="0.25">
      <c r="A5375" t="str">
        <f>"20190305135935259"</f>
        <v>20190305135935259</v>
      </c>
      <c r="B5375" t="str">
        <f>"1551765575254456"</f>
        <v>1551765575254456</v>
      </c>
      <c r="C5375" t="s">
        <v>40</v>
      </c>
      <c r="D5375">
        <v>4.0460140000000004</v>
      </c>
      <c r="E5375">
        <v>0.45801799999999998</v>
      </c>
      <c r="F5375" t="s">
        <v>82</v>
      </c>
      <c r="G5375">
        <v>-294.33859999999999</v>
      </c>
      <c r="H5375" s="1">
        <v>-1.739002E-6</v>
      </c>
      <c r="I5375">
        <v>-40.769849999999998</v>
      </c>
      <c r="J5375">
        <v>-301.52670000000001</v>
      </c>
      <c r="K5375">
        <v>1.1084240000000001</v>
      </c>
      <c r="L5375">
        <v>-22.888339999999999</v>
      </c>
      <c r="M5375">
        <v>3.5189520000000002E-2</v>
      </c>
      <c r="N5375">
        <v>-9.8585970000000002E-3</v>
      </c>
      <c r="O5375">
        <v>-0.99933209999999995</v>
      </c>
      <c r="P5375">
        <v>0.25717289999999998</v>
      </c>
      <c r="Q5375">
        <v>-6.9373779999999996E-2</v>
      </c>
      <c r="R5375">
        <v>-0.96387230000000002</v>
      </c>
      <c r="S5375">
        <v>1.1055600000000001</v>
      </c>
      <c r="T5375">
        <v>-0.17015520000000001</v>
      </c>
      <c r="U5375">
        <v>-2.806305</v>
      </c>
      <c r="V5375">
        <v>-0.2231389</v>
      </c>
      <c r="W5375">
        <v>-5.9614889999999997E-2</v>
      </c>
      <c r="X5375">
        <v>0.97296199999999999</v>
      </c>
      <c r="Y5375">
        <v>-0.33306249999999998</v>
      </c>
      <c r="Z5375">
        <v>4.6849370000000001E-2</v>
      </c>
      <c r="AA5375">
        <v>0.94174020000000003</v>
      </c>
      <c r="AB5375">
        <v>36</v>
      </c>
      <c r="AC5375">
        <v>7.1881000000000101</v>
      </c>
      <c r="AD5375">
        <v>-1.108425739002</v>
      </c>
      <c r="AE5375">
        <v>-17.881509999999999</v>
      </c>
      <c r="AF5375">
        <v>-6.5327657001909101</v>
      </c>
      <c r="AG5375">
        <v>-1.108425739002</v>
      </c>
      <c r="AH5375">
        <v>18.0636396472784</v>
      </c>
      <c r="AI5375">
        <v>93.302563083979805</v>
      </c>
      <c r="AJ5375">
        <v>109.882665346919</v>
      </c>
      <c r="AK5375">
        <v>19.2406006304169</v>
      </c>
      <c r="AL5375">
        <v>93.417708093887299</v>
      </c>
      <c r="AM5375">
        <v>102.916832570664</v>
      </c>
      <c r="AN5375">
        <v>0.99999997862346002</v>
      </c>
    </row>
    <row r="5376" spans="1:40" x14ac:dyDescent="0.25">
      <c r="A5376" t="str">
        <f>"20190305135935291"</f>
        <v>20190305135935291</v>
      </c>
      <c r="B5376" t="str">
        <f>"1551765575284712"</f>
        <v>1551765575284712</v>
      </c>
      <c r="C5376" t="s">
        <v>40</v>
      </c>
      <c r="D5376">
        <v>4.0381869999999997</v>
      </c>
      <c r="E5376">
        <v>0.45942040000000001</v>
      </c>
      <c r="F5376" t="s">
        <v>82</v>
      </c>
      <c r="G5376">
        <v>-294.37290000000002</v>
      </c>
      <c r="H5376" s="1">
        <v>-1.964284E-6</v>
      </c>
      <c r="I5376">
        <v>-41.13861</v>
      </c>
      <c r="J5376">
        <v>-301.50819999999999</v>
      </c>
      <c r="K5376">
        <v>1.1084099999999999</v>
      </c>
      <c r="L5376">
        <v>-23.422419999999999</v>
      </c>
      <c r="M5376">
        <v>3.4716900000000002E-2</v>
      </c>
      <c r="N5376">
        <v>-9.8680190000000004E-3</v>
      </c>
      <c r="O5376">
        <v>-0.99934860000000003</v>
      </c>
      <c r="P5376">
        <v>0.26358429999999999</v>
      </c>
      <c r="Q5376">
        <v>-6.8657889999999999E-2</v>
      </c>
      <c r="R5376">
        <v>-0.9621902</v>
      </c>
      <c r="S5376">
        <v>1.1001590000000001</v>
      </c>
      <c r="T5376">
        <v>-0.17046069999999999</v>
      </c>
      <c r="U5376">
        <v>-2.8066409999999999</v>
      </c>
      <c r="V5376">
        <v>-0.23006509999999999</v>
      </c>
      <c r="W5376">
        <v>-5.8897819999999997E-2</v>
      </c>
      <c r="X5376">
        <v>0.97139129999999996</v>
      </c>
      <c r="Y5376">
        <v>-0.33189760000000001</v>
      </c>
      <c r="Z5376">
        <v>4.6966580000000001E-2</v>
      </c>
      <c r="AA5376">
        <v>0.94214549999999997</v>
      </c>
      <c r="AB5376">
        <v>36</v>
      </c>
      <c r="AC5376">
        <v>7.1352999999999698</v>
      </c>
      <c r="AD5376">
        <v>-1.108411964284</v>
      </c>
      <c r="AE5376">
        <v>-17.716189999999902</v>
      </c>
      <c r="AF5376">
        <v>-6.4940451099982104</v>
      </c>
      <c r="AG5376">
        <v>-1.108411964284</v>
      </c>
      <c r="AH5376">
        <v>17.892972818976901</v>
      </c>
      <c r="AI5376">
        <v>93.3325823466201</v>
      </c>
      <c r="AJ5376">
        <v>109.94777350606699</v>
      </c>
      <c r="AK5376">
        <v>19.067240893057999</v>
      </c>
      <c r="AL5376">
        <v>93.376550679026195</v>
      </c>
      <c r="AM5376">
        <v>103.32446086105401</v>
      </c>
      <c r="AN5376">
        <v>0.99999998057722495</v>
      </c>
    </row>
    <row r="5377" spans="1:40" x14ac:dyDescent="0.25">
      <c r="A5377" t="str">
        <f>"20190305135935316"</f>
        <v>20190305135935316</v>
      </c>
      <c r="B5377" t="str">
        <f>"1551765575305209"</f>
        <v>1551765575305209</v>
      </c>
      <c r="C5377" t="s">
        <v>40</v>
      </c>
      <c r="D5377">
        <v>4.0390129999999997</v>
      </c>
      <c r="E5377">
        <v>0.46019060000000001</v>
      </c>
      <c r="F5377" t="s">
        <v>82</v>
      </c>
      <c r="G5377">
        <v>-294.26409999999998</v>
      </c>
      <c r="H5377" s="1">
        <v>-2.3759399999999998E-6</v>
      </c>
      <c r="I5377">
        <v>-41.740740000000002</v>
      </c>
      <c r="J5377">
        <v>-301.49439999999998</v>
      </c>
      <c r="K5377">
        <v>1.1084080000000001</v>
      </c>
      <c r="L5377">
        <v>-23.829560000000001</v>
      </c>
      <c r="M5377">
        <v>3.4355950000000003E-2</v>
      </c>
      <c r="N5377">
        <v>-9.8630699999999998E-3</v>
      </c>
      <c r="O5377">
        <v>-0.99936100000000005</v>
      </c>
      <c r="P5377">
        <v>0.2667815</v>
      </c>
      <c r="Q5377">
        <v>-6.7452910000000005E-2</v>
      </c>
      <c r="R5377">
        <v>-0.96139379999999997</v>
      </c>
      <c r="S5377">
        <v>1.1081540000000001</v>
      </c>
      <c r="T5377">
        <v>-0.16955770000000001</v>
      </c>
      <c r="U5377">
        <v>-2.802216</v>
      </c>
      <c r="V5377">
        <v>-0.2336377</v>
      </c>
      <c r="W5377">
        <v>-5.770132E-2</v>
      </c>
      <c r="X5377">
        <v>0.97061010000000003</v>
      </c>
      <c r="Y5377">
        <v>-0.33507290000000001</v>
      </c>
      <c r="Z5377">
        <v>4.6694270000000003E-2</v>
      </c>
      <c r="AA5377">
        <v>0.94103440000000005</v>
      </c>
      <c r="AB5377">
        <v>36</v>
      </c>
      <c r="AC5377">
        <v>7.2302999999999997</v>
      </c>
      <c r="AD5377">
        <v>-1.1084103759399999</v>
      </c>
      <c r="AE5377">
        <v>-17.911179999999899</v>
      </c>
      <c r="AF5377">
        <v>-6.5889483809123996</v>
      </c>
      <c r="AG5377">
        <v>-1.1084103759399999</v>
      </c>
      <c r="AH5377">
        <v>18.089452815424099</v>
      </c>
      <c r="AI5377">
        <v>93.295083428757593</v>
      </c>
      <c r="AJ5377">
        <v>110.01377607178399</v>
      </c>
      <c r="AK5377">
        <v>19.283960109097801</v>
      </c>
      <c r="AL5377">
        <v>93.307879435954504</v>
      </c>
      <c r="AM5377">
        <v>103.53431109457399</v>
      </c>
      <c r="AN5377">
        <v>0.99999999170652099</v>
      </c>
    </row>
    <row r="5378" spans="1:40" x14ac:dyDescent="0.25">
      <c r="A5378" t="str">
        <f>"20190305135935358"</f>
        <v>20190305135935358</v>
      </c>
      <c r="B5378" t="str">
        <f>"1551765575354985"</f>
        <v>1551765575354985</v>
      </c>
      <c r="C5378" t="s">
        <v>40</v>
      </c>
      <c r="D5378">
        <v>4.0538339999999904</v>
      </c>
      <c r="E5378">
        <v>0.46178520000000001</v>
      </c>
      <c r="F5378" t="s">
        <v>82</v>
      </c>
      <c r="G5378">
        <v>-294.10590000000002</v>
      </c>
      <c r="H5378" s="1">
        <v>-2.8654780000000002E-6</v>
      </c>
      <c r="I5378">
        <v>-42.444650000000003</v>
      </c>
      <c r="J5378">
        <v>-301.47210000000001</v>
      </c>
      <c r="K5378">
        <v>1.1084069999999999</v>
      </c>
      <c r="L5378">
        <v>-24.495149999999999</v>
      </c>
      <c r="M5378">
        <v>3.3765629999999998E-2</v>
      </c>
      <c r="N5378">
        <v>-9.8245369999999995E-3</v>
      </c>
      <c r="O5378">
        <v>-0.99938150000000003</v>
      </c>
      <c r="P5378">
        <v>0.27359640000000002</v>
      </c>
      <c r="Q5378">
        <v>-6.6781359999999998E-2</v>
      </c>
      <c r="R5378">
        <v>-0.95952369999999998</v>
      </c>
      <c r="S5378">
        <v>1.1114809999999999</v>
      </c>
      <c r="T5378">
        <v>-0.16674149999999999</v>
      </c>
      <c r="U5378">
        <v>-2.8003230000000001</v>
      </c>
      <c r="V5378">
        <v>-0.24108489999999999</v>
      </c>
      <c r="W5378">
        <v>-5.707711E-2</v>
      </c>
      <c r="X5378">
        <v>0.96882420000000002</v>
      </c>
      <c r="Y5378">
        <v>-0.33682889999999999</v>
      </c>
      <c r="Z5378">
        <v>4.580306E-2</v>
      </c>
      <c r="AA5378">
        <v>0.94045109999999998</v>
      </c>
      <c r="AB5378">
        <v>36</v>
      </c>
      <c r="AC5378">
        <v>7.3661999999999903</v>
      </c>
      <c r="AD5378">
        <v>-1.1084098654779999</v>
      </c>
      <c r="AE5378">
        <v>-17.9495</v>
      </c>
      <c r="AF5378">
        <v>-6.7339169067424303</v>
      </c>
      <c r="AG5378">
        <v>-1.1084098654779999</v>
      </c>
      <c r="AH5378">
        <v>18.1288346991597</v>
      </c>
      <c r="AI5378">
        <v>93.280289539395795</v>
      </c>
      <c r="AJ5378">
        <v>110.377406527839</v>
      </c>
      <c r="AK5378">
        <v>19.370824889153699</v>
      </c>
      <c r="AL5378">
        <v>93.272055676027094</v>
      </c>
      <c r="AM5378">
        <v>103.973822494879</v>
      </c>
      <c r="AN5378">
        <v>1.0000000279998</v>
      </c>
    </row>
    <row r="5379" spans="1:40" x14ac:dyDescent="0.25">
      <c r="A5379" t="str">
        <f>"20190305135935383"</f>
        <v>20190305135935383</v>
      </c>
      <c r="B5379" t="str">
        <f>"1551765575374505"</f>
        <v>1551765575374505</v>
      </c>
      <c r="C5379" t="s">
        <v>40</v>
      </c>
      <c r="D5379">
        <v>4.0810639999999996</v>
      </c>
      <c r="E5379">
        <v>0.46230979999999999</v>
      </c>
      <c r="F5379" t="s">
        <v>82</v>
      </c>
      <c r="G5379">
        <v>-294.15010000000001</v>
      </c>
      <c r="H5379" s="1">
        <v>-3.0464479999999998E-6</v>
      </c>
      <c r="I5379">
        <v>-42.791339999999998</v>
      </c>
      <c r="J5379">
        <v>-301.45830000000001</v>
      </c>
      <c r="K5379">
        <v>1.1084069999999999</v>
      </c>
      <c r="L5379">
        <v>-24.91208</v>
      </c>
      <c r="M5379">
        <v>3.3396960000000003E-2</v>
      </c>
      <c r="N5379">
        <v>-9.7892269999999993E-3</v>
      </c>
      <c r="O5379">
        <v>-0.99939420000000001</v>
      </c>
      <c r="P5379">
        <v>0.27644629999999998</v>
      </c>
      <c r="Q5379">
        <v>-6.6391599999999995E-2</v>
      </c>
      <c r="R5379">
        <v>-0.95873339999999996</v>
      </c>
      <c r="S5379">
        <v>1.118835</v>
      </c>
      <c r="T5379">
        <v>-0.1693703</v>
      </c>
      <c r="U5379">
        <v>-2.7957459999999998</v>
      </c>
      <c r="V5379">
        <v>-0.24431620000000001</v>
      </c>
      <c r="W5379">
        <v>-5.6726249999999999E-2</v>
      </c>
      <c r="X5379">
        <v>0.96803499999999998</v>
      </c>
      <c r="Y5379">
        <v>-0.33981869999999997</v>
      </c>
      <c r="Z5379">
        <v>4.6740179999999999E-2</v>
      </c>
      <c r="AA5379">
        <v>0.93932879999999996</v>
      </c>
      <c r="AB5379">
        <v>36</v>
      </c>
      <c r="AC5379">
        <v>7.3081999999999896</v>
      </c>
      <c r="AD5379">
        <v>-1.108410046448</v>
      </c>
      <c r="AE5379">
        <v>-17.879259999999999</v>
      </c>
      <c r="AF5379">
        <v>-6.6849671920443701</v>
      </c>
      <c r="AG5379">
        <v>-1.108410046448</v>
      </c>
      <c r="AH5379">
        <v>18.053915853339198</v>
      </c>
      <c r="AI5379">
        <v>93.295126272728595</v>
      </c>
      <c r="AJ5379">
        <v>110.318480820472</v>
      </c>
      <c r="AK5379">
        <v>19.2837039188334</v>
      </c>
      <c r="AL5379">
        <v>93.251920291022401</v>
      </c>
      <c r="AM5379">
        <v>104.164710205785</v>
      </c>
      <c r="AN5379">
        <v>1.0000000171232499</v>
      </c>
    </row>
    <row r="5380" spans="1:40" x14ac:dyDescent="0.25">
      <c r="A5380" t="str">
        <f>"20190305135935406"</f>
        <v>20190305135935406</v>
      </c>
      <c r="B5380" t="str">
        <f>"1551765575395001"</f>
        <v>1551765575395001</v>
      </c>
      <c r="C5380" t="s">
        <v>40</v>
      </c>
      <c r="D5380">
        <v>4.1019990000000002</v>
      </c>
      <c r="E5380">
        <v>0.46275769999999999</v>
      </c>
      <c r="F5380" t="s">
        <v>82</v>
      </c>
      <c r="G5380">
        <v>-294.113</v>
      </c>
      <c r="H5380" s="1">
        <v>-3.2714039999999998E-6</v>
      </c>
      <c r="I5380">
        <v>-43.18759</v>
      </c>
      <c r="J5380">
        <v>-301.44639999999998</v>
      </c>
      <c r="K5380">
        <v>1.108412</v>
      </c>
      <c r="L5380">
        <v>-25.277799999999999</v>
      </c>
      <c r="M5380">
        <v>3.3082029999999998E-2</v>
      </c>
      <c r="N5380">
        <v>-9.7490779999999996E-3</v>
      </c>
      <c r="O5380">
        <v>-0.99940530000000005</v>
      </c>
      <c r="P5380">
        <v>0.27934750000000003</v>
      </c>
      <c r="Q5380">
        <v>-6.4844680000000002E-2</v>
      </c>
      <c r="R5380">
        <v>-0.95799840000000003</v>
      </c>
      <c r="S5380">
        <v>1.122833</v>
      </c>
      <c r="T5380">
        <v>-0.16943429999999901</v>
      </c>
      <c r="U5380">
        <v>-2.7936399999999999</v>
      </c>
      <c r="V5380">
        <v>-0.24754380000000001</v>
      </c>
      <c r="W5380">
        <v>-5.5224019999999999E-2</v>
      </c>
      <c r="X5380">
        <v>0.96730159999999998</v>
      </c>
      <c r="Y5380">
        <v>-0.34151520000000002</v>
      </c>
      <c r="Z5380">
        <v>4.6808910000000002E-2</v>
      </c>
      <c r="AA5380">
        <v>0.93870989999999999</v>
      </c>
      <c r="AB5380">
        <v>36</v>
      </c>
      <c r="AC5380">
        <v>7.3333999999999797</v>
      </c>
      <c r="AD5380">
        <v>-1.1084152714040001</v>
      </c>
      <c r="AE5380">
        <v>-17.909790000000001</v>
      </c>
      <c r="AF5380">
        <v>-6.7148389823041903</v>
      </c>
      <c r="AG5380">
        <v>-1.1084152714040001</v>
      </c>
      <c r="AH5380">
        <v>18.0832834287597</v>
      </c>
      <c r="AI5380">
        <v>93.288678190138498</v>
      </c>
      <c r="AJ5380">
        <v>110.371397807013</v>
      </c>
      <c r="AK5380">
        <v>19.3215627353744</v>
      </c>
      <c r="AL5380">
        <v>93.165713724914198</v>
      </c>
      <c r="AM5380">
        <v>104.354588568419</v>
      </c>
      <c r="AN5380">
        <v>1.0000000053329801</v>
      </c>
    </row>
    <row r="5381" spans="1:40" x14ac:dyDescent="0.25">
      <c r="A5381" t="str">
        <f>"20190305135935436"</f>
        <v>20190305135935436</v>
      </c>
      <c r="B5381" t="str">
        <f>"1551765575424280"</f>
        <v>1551765575424280</v>
      </c>
      <c r="C5381" t="s">
        <v>40</v>
      </c>
      <c r="D5381">
        <v>4.1064730000000003</v>
      </c>
      <c r="E5381">
        <v>0.46317659999999999</v>
      </c>
      <c r="F5381" t="s">
        <v>82</v>
      </c>
      <c r="G5381">
        <v>-293.92259999999999</v>
      </c>
      <c r="H5381" s="1">
        <v>-3.7025729999999998E-6</v>
      </c>
      <c r="I5381">
        <v>-43.89875</v>
      </c>
      <c r="J5381">
        <v>-301.4307</v>
      </c>
      <c r="K5381">
        <v>1.1084309999999999</v>
      </c>
      <c r="L5381">
        <v>-25.763919999999999</v>
      </c>
      <c r="M5381">
        <v>3.2680880000000002E-2</v>
      </c>
      <c r="N5381">
        <v>-9.6854550000000008E-3</v>
      </c>
      <c r="O5381">
        <v>-0.99941919999999995</v>
      </c>
      <c r="P5381">
        <v>0.28242830000000002</v>
      </c>
      <c r="Q5381">
        <v>-6.3739909999999997E-2</v>
      </c>
      <c r="R5381">
        <v>-0.95716880000000004</v>
      </c>
      <c r="S5381">
        <v>1.127869</v>
      </c>
      <c r="T5381">
        <v>-0.16615929999999901</v>
      </c>
      <c r="U5381">
        <v>-2.7914119999999998</v>
      </c>
      <c r="V5381">
        <v>-0.25103599999999998</v>
      </c>
      <c r="W5381">
        <v>-5.4191999999999997E-2</v>
      </c>
      <c r="X5381">
        <v>0.96645959999999997</v>
      </c>
      <c r="Y5381">
        <v>-0.34362700000000002</v>
      </c>
      <c r="Z5381">
        <v>4.5784949999999998E-2</v>
      </c>
      <c r="AA5381">
        <v>0.93798950000000003</v>
      </c>
      <c r="AB5381">
        <v>36</v>
      </c>
      <c r="AC5381">
        <v>7.5081000000000104</v>
      </c>
      <c r="AD5381">
        <v>-1.1084347025729999</v>
      </c>
      <c r="AE5381">
        <v>-18.134830000000001</v>
      </c>
      <c r="AF5381">
        <v>-6.8894273357551601</v>
      </c>
      <c r="AG5381">
        <v>-1.1084347025729999</v>
      </c>
      <c r="AH5381">
        <v>18.312123472027299</v>
      </c>
      <c r="AI5381">
        <v>93.242529098377403</v>
      </c>
      <c r="AJ5381">
        <v>110.61741386564201</v>
      </c>
      <c r="AK5381">
        <v>19.596599260057602</v>
      </c>
      <c r="AL5381">
        <v>93.106494654879995</v>
      </c>
      <c r="AM5381">
        <v>104.56069395197299</v>
      </c>
      <c r="AN5381">
        <v>1.00000000229608</v>
      </c>
    </row>
    <row r="5382" spans="1:40" x14ac:dyDescent="0.25">
      <c r="A5382" t="str">
        <f>"20190305135935463"</f>
        <v>20190305135935463</v>
      </c>
      <c r="B5382" t="str">
        <f>"1551765575454537"</f>
        <v>1551765575454537</v>
      </c>
      <c r="C5382" t="s">
        <v>40</v>
      </c>
      <c r="D5382">
        <v>4.1150520000000004</v>
      </c>
      <c r="E5382">
        <v>0.4639122</v>
      </c>
      <c r="F5382" t="s">
        <v>82</v>
      </c>
      <c r="G5382">
        <v>-293.74549999999999</v>
      </c>
      <c r="H5382" s="1">
        <v>-4.1650489999999998E-6</v>
      </c>
      <c r="I5382">
        <v>-44.672499999999999</v>
      </c>
      <c r="J5382">
        <v>-301.41699999999997</v>
      </c>
      <c r="K5382">
        <v>1.108452</v>
      </c>
      <c r="L5382">
        <v>-26.193300000000001</v>
      </c>
      <c r="M5382">
        <v>3.2368290000000001E-2</v>
      </c>
      <c r="N5382">
        <v>-9.6142880000000003E-3</v>
      </c>
      <c r="O5382">
        <v>-0.99942980000000003</v>
      </c>
      <c r="P5382">
        <v>0.28607250000000001</v>
      </c>
      <c r="Q5382">
        <v>-6.2295330000000003E-2</v>
      </c>
      <c r="R5382">
        <v>-0.95618080000000005</v>
      </c>
      <c r="S5382">
        <v>1.1335139999999999</v>
      </c>
      <c r="T5382">
        <v>-0.1634861</v>
      </c>
      <c r="U5382">
        <v>-2.7888790000000001</v>
      </c>
      <c r="V5382">
        <v>-0.25500840000000002</v>
      </c>
      <c r="W5382">
        <v>-5.2835170000000001E-2</v>
      </c>
      <c r="X5382">
        <v>0.96549430000000003</v>
      </c>
      <c r="Y5382">
        <v>-0.3458619</v>
      </c>
      <c r="Z5382">
        <v>4.4970129999999997E-2</v>
      </c>
      <c r="AA5382">
        <v>0.93720720000000002</v>
      </c>
      <c r="AB5382">
        <v>36</v>
      </c>
      <c r="AC5382">
        <v>7.6715000000000302</v>
      </c>
      <c r="AD5382">
        <v>-1.1084561650489999</v>
      </c>
      <c r="AE5382">
        <v>-18.479199999999999</v>
      </c>
      <c r="AF5382">
        <v>-7.0476818211975001</v>
      </c>
      <c r="AG5382">
        <v>-1.1084561650489999</v>
      </c>
      <c r="AH5382">
        <v>18.660569189802899</v>
      </c>
      <c r="AI5382">
        <v>93.180643749163593</v>
      </c>
      <c r="AJ5382">
        <v>110.69043527211601</v>
      </c>
      <c r="AK5382">
        <v>19.977871173127902</v>
      </c>
      <c r="AL5382">
        <v>93.028642345555696</v>
      </c>
      <c r="AM5382">
        <v>104.795218415246</v>
      </c>
      <c r="AN5382">
        <v>1.00000004129598</v>
      </c>
    </row>
    <row r="5383" spans="1:40" x14ac:dyDescent="0.25">
      <c r="A5383" t="str">
        <f>"20190305135935492"</f>
        <v>20190305135935492</v>
      </c>
      <c r="B5383" t="str">
        <f>"1551765575484792"</f>
        <v>1551765575484792</v>
      </c>
      <c r="C5383" t="s">
        <v>40</v>
      </c>
      <c r="D5383">
        <v>4.1319129999999999</v>
      </c>
      <c r="E5383">
        <v>0.46435409999999999</v>
      </c>
      <c r="F5383" t="s">
        <v>82</v>
      </c>
      <c r="G5383">
        <v>-293.5849</v>
      </c>
      <c r="H5383" s="1">
        <v>-4.5790819999999998E-6</v>
      </c>
      <c r="I5383">
        <v>-45.364440000000002</v>
      </c>
      <c r="J5383">
        <v>-301.40120000000002</v>
      </c>
      <c r="K5383">
        <v>1.108479</v>
      </c>
      <c r="L5383">
        <v>-26.68665</v>
      </c>
      <c r="M5383">
        <v>3.2083889999999997E-2</v>
      </c>
      <c r="N5383">
        <v>-9.5119499999999999E-3</v>
      </c>
      <c r="O5383">
        <v>-0.99943979999999999</v>
      </c>
      <c r="P5383">
        <v>0.29177059999999999</v>
      </c>
      <c r="Q5383">
        <v>-6.1042230000000003E-2</v>
      </c>
      <c r="R5383">
        <v>-0.95453860000000001</v>
      </c>
      <c r="S5383">
        <v>1.138336</v>
      </c>
      <c r="T5383">
        <v>-0.16110729999999901</v>
      </c>
      <c r="U5383">
        <v>-2.7864070000000001</v>
      </c>
      <c r="V5383">
        <v>-0.2610248</v>
      </c>
      <c r="W5383">
        <v>-5.1717760000000002E-2</v>
      </c>
      <c r="X5383">
        <v>0.96394570000000002</v>
      </c>
      <c r="Y5383">
        <v>-0.34782210000000002</v>
      </c>
      <c r="Z5383">
        <v>4.4288189999999998E-2</v>
      </c>
      <c r="AA5383">
        <v>0.93651399999999996</v>
      </c>
      <c r="AB5383">
        <v>36</v>
      </c>
      <c r="AC5383">
        <v>7.8163000000000098</v>
      </c>
      <c r="AD5383">
        <v>-1.108483579082</v>
      </c>
      <c r="AE5383">
        <v>-18.677789999999899</v>
      </c>
      <c r="AF5383">
        <v>-7.1914377642909502</v>
      </c>
      <c r="AG5383">
        <v>-1.108483579082</v>
      </c>
      <c r="AH5383">
        <v>18.8624266907456</v>
      </c>
      <c r="AI5383">
        <v>93.143025746595299</v>
      </c>
      <c r="AJ5383">
        <v>110.86971268920099</v>
      </c>
      <c r="AK5383">
        <v>20.217236547721299</v>
      </c>
      <c r="AL5383">
        <v>92.964531950457697</v>
      </c>
      <c r="AM5383">
        <v>105.15164101568701</v>
      </c>
      <c r="AN5383">
        <v>0.999999992731473</v>
      </c>
    </row>
    <row r="5384" spans="1:40" x14ac:dyDescent="0.25">
      <c r="A5384" t="str">
        <f>"20190305135935517"</f>
        <v>20190305135935517</v>
      </c>
      <c r="B5384" t="str">
        <f>"1551765575515049"</f>
        <v>1551765575515049</v>
      </c>
      <c r="C5384" t="s">
        <v>40</v>
      </c>
      <c r="D5384">
        <v>4.2479879999999897</v>
      </c>
      <c r="E5384">
        <v>0.4647019</v>
      </c>
      <c r="F5384" t="s">
        <v>82</v>
      </c>
      <c r="G5384">
        <v>-293.32749999999999</v>
      </c>
      <c r="H5384" s="1">
        <v>-5.054597E-6</v>
      </c>
      <c r="I5384">
        <v>-46.184240000000003</v>
      </c>
      <c r="J5384">
        <v>-301.38810000000001</v>
      </c>
      <c r="K5384">
        <v>1.108517</v>
      </c>
      <c r="L5384">
        <v>-27.09995</v>
      </c>
      <c r="M5384">
        <v>3.1910769999999998E-2</v>
      </c>
      <c r="N5384">
        <v>-9.4236549999999995E-3</v>
      </c>
      <c r="O5384">
        <v>-0.99944639999999996</v>
      </c>
      <c r="P5384">
        <v>0.29528520000000003</v>
      </c>
      <c r="Q5384">
        <v>-6.0658900000000002E-2</v>
      </c>
      <c r="R5384">
        <v>-0.95348169999999999</v>
      </c>
      <c r="S5384">
        <v>1.151489</v>
      </c>
      <c r="T5384">
        <v>-0.1580945</v>
      </c>
      <c r="U5384">
        <v>-2.7807919999999999</v>
      </c>
      <c r="V5384">
        <v>-0.264733099999999</v>
      </c>
      <c r="W5384">
        <v>-5.1455019999999997E-2</v>
      </c>
      <c r="X5384">
        <v>0.96294800000000003</v>
      </c>
      <c r="Y5384">
        <v>-0.35244629999999999</v>
      </c>
      <c r="Z5384">
        <v>4.3380099999999998E-2</v>
      </c>
      <c r="AA5384">
        <v>0.93482609999999999</v>
      </c>
      <c r="AB5384">
        <v>37</v>
      </c>
      <c r="AC5384">
        <v>8.0606000000000204</v>
      </c>
      <c r="AD5384">
        <v>-1.108522054597</v>
      </c>
      <c r="AE5384">
        <v>-19.084289999999999</v>
      </c>
      <c r="AF5384">
        <v>-7.4262107429257904</v>
      </c>
      <c r="AG5384">
        <v>-1.108522054597</v>
      </c>
      <c r="AH5384">
        <v>19.276609236652799</v>
      </c>
      <c r="AI5384">
        <v>93.071643784559399</v>
      </c>
      <c r="AJ5384">
        <v>111.068912911513</v>
      </c>
      <c r="AK5384">
        <v>20.687317148593301</v>
      </c>
      <c r="AL5384">
        <v>92.949457841274096</v>
      </c>
      <c r="AM5384">
        <v>105.371958558323</v>
      </c>
      <c r="AN5384">
        <v>1.0000000420113999</v>
      </c>
    </row>
    <row r="5385" spans="1:40" x14ac:dyDescent="0.25">
      <c r="A5385" t="str">
        <f>"20190305135935543"</f>
        <v>20190305135935543</v>
      </c>
      <c r="B5385" t="str">
        <f>"1551765575534569"</f>
        <v>1551765575534569</v>
      </c>
      <c r="C5385" t="s">
        <v>40</v>
      </c>
      <c r="D5385">
        <v>4.1979430000000004</v>
      </c>
      <c r="E5385">
        <v>0.4295582</v>
      </c>
      <c r="F5385" t="s">
        <v>82</v>
      </c>
      <c r="G5385">
        <v>-293.29239999999999</v>
      </c>
      <c r="H5385" s="1">
        <v>-5.225294E-6</v>
      </c>
      <c r="I5385">
        <v>-46.503950000000003</v>
      </c>
      <c r="J5385">
        <v>-301.37509999999997</v>
      </c>
      <c r="K5385">
        <v>1.10854599999999</v>
      </c>
      <c r="L5385">
        <v>-27.50986</v>
      </c>
      <c r="M5385">
        <v>3.1810379999999999E-2</v>
      </c>
      <c r="N5385">
        <v>-9.3199819999999992E-3</v>
      </c>
      <c r="O5385">
        <v>-0.99945059999999997</v>
      </c>
      <c r="P5385">
        <v>0.29901699999999998</v>
      </c>
      <c r="Q5385">
        <v>-6.1072840000000003E-2</v>
      </c>
      <c r="R5385">
        <v>-0.95229149999999996</v>
      </c>
      <c r="S5385">
        <v>1.1587829999999999</v>
      </c>
      <c r="T5385">
        <v>-0.158669</v>
      </c>
      <c r="U5385">
        <v>-2.7774049999999999</v>
      </c>
      <c r="V5385">
        <v>-0.26859129999999998</v>
      </c>
      <c r="W5385">
        <v>-5.2007749999999998E-2</v>
      </c>
      <c r="X5385">
        <v>0.96184919999999996</v>
      </c>
      <c r="Y5385">
        <v>-0.35503000000000001</v>
      </c>
      <c r="Z5385">
        <v>4.3681780000000003E-2</v>
      </c>
      <c r="AA5385">
        <v>0.93383380000000005</v>
      </c>
      <c r="AB5385">
        <v>37</v>
      </c>
      <c r="AC5385">
        <v>8.0826999999999796</v>
      </c>
      <c r="AD5385">
        <v>-1.10855122529399</v>
      </c>
      <c r="AE5385">
        <v>-18.99409</v>
      </c>
      <c r="AF5385">
        <v>-7.4528797207707402</v>
      </c>
      <c r="AG5385">
        <v>-1.10855122529399</v>
      </c>
      <c r="AH5385">
        <v>19.186268475369602</v>
      </c>
      <c r="AI5385">
        <v>93.082841141898797</v>
      </c>
      <c r="AJ5385">
        <v>111.228591053006</v>
      </c>
      <c r="AK5385">
        <v>20.612792143723301</v>
      </c>
      <c r="AL5385">
        <v>92.981169558314093</v>
      </c>
      <c r="AM5385">
        <v>105.60210971288799</v>
      </c>
      <c r="AN5385">
        <v>0.99999998801819601</v>
      </c>
    </row>
    <row r="5386" spans="1:40" x14ac:dyDescent="0.25">
      <c r="A5386" t="str">
        <f>"20190305135935564"</f>
        <v>20190305135935564</v>
      </c>
      <c r="B5386" t="str">
        <f>"1551765575554089"</f>
        <v>1551765575554089</v>
      </c>
      <c r="C5386" t="s">
        <v>40</v>
      </c>
      <c r="D5386">
        <v>4.1451449999999896</v>
      </c>
      <c r="E5386">
        <v>0.4237612</v>
      </c>
      <c r="F5386" t="s">
        <v>82</v>
      </c>
      <c r="G5386">
        <v>-281.495</v>
      </c>
      <c r="H5386" s="1">
        <v>-6.7500760000000002E-6</v>
      </c>
      <c r="I5386">
        <v>-64.465409999999906</v>
      </c>
      <c r="J5386">
        <v>-301.36349999999999</v>
      </c>
      <c r="K5386">
        <v>1.1085700000000001</v>
      </c>
      <c r="L5386">
        <v>-27.874110000000002</v>
      </c>
      <c r="M5386">
        <v>3.1784489999999999E-2</v>
      </c>
      <c r="N5386">
        <v>-9.2171660000000006E-3</v>
      </c>
      <c r="O5386">
        <v>-0.99945220000000001</v>
      </c>
      <c r="P5386">
        <v>0.30204579999999998</v>
      </c>
      <c r="Q5386">
        <v>-6.137194E-2</v>
      </c>
      <c r="R5386">
        <v>-0.95131580000000004</v>
      </c>
      <c r="S5386">
        <v>1.4474180000000001</v>
      </c>
      <c r="T5386">
        <v>-8.071101E-2</v>
      </c>
      <c r="U5386">
        <v>-2.6906430000000001</v>
      </c>
      <c r="V5386">
        <v>-0.2716691</v>
      </c>
      <c r="W5386">
        <v>-5.2442599999999902E-2</v>
      </c>
      <c r="X5386">
        <v>0.96096079999999995</v>
      </c>
      <c r="Y5386">
        <v>-0.44537500000000002</v>
      </c>
      <c r="Z5386">
        <v>1.7450569999999999E-2</v>
      </c>
      <c r="AA5386">
        <v>0.89517409999999997</v>
      </c>
      <c r="AB5386">
        <v>37</v>
      </c>
      <c r="AC5386">
        <v>19.868499999999901</v>
      </c>
      <c r="AD5386">
        <v>-1.108576750076</v>
      </c>
      <c r="AE5386">
        <v>-36.591299999999897</v>
      </c>
      <c r="AF5386">
        <v>-18.682132151256202</v>
      </c>
      <c r="AG5386">
        <v>-1.108576750076</v>
      </c>
      <c r="AH5386">
        <v>37.177993388425101</v>
      </c>
      <c r="AI5386">
        <v>91.526190959473993</v>
      </c>
      <c r="AJ5386">
        <v>116.679762470539</v>
      </c>
      <c r="AK5386">
        <v>41.622760558588503</v>
      </c>
      <c r="AL5386">
        <v>93.0061186617597</v>
      </c>
      <c r="AM5386">
        <v>105.785900290849</v>
      </c>
      <c r="AN5386">
        <v>0.99999999266310402</v>
      </c>
    </row>
    <row r="5387" spans="1:40" x14ac:dyDescent="0.25">
      <c r="A5387" t="str">
        <f>"20190305135935586"</f>
        <v>20190305135935586</v>
      </c>
      <c r="B5387" t="str">
        <f>"1551765575574584"</f>
        <v>1551765575574584</v>
      </c>
      <c r="C5387" t="s">
        <v>40</v>
      </c>
      <c r="D5387">
        <v>4.1340539999999999</v>
      </c>
      <c r="E5387">
        <v>0.42193359999999902</v>
      </c>
      <c r="F5387" t="s">
        <v>43</v>
      </c>
      <c r="G5387">
        <v>-268.28370000000001</v>
      </c>
      <c r="H5387">
        <v>-0.05</v>
      </c>
      <c r="I5387">
        <v>-86.675229999999999</v>
      </c>
      <c r="J5387">
        <v>-301.35239999999999</v>
      </c>
      <c r="K5387">
        <v>1.108595</v>
      </c>
      <c r="L5387">
        <v>-28.223269999999999</v>
      </c>
      <c r="M5387">
        <v>3.1813340000000002E-2</v>
      </c>
      <c r="N5387">
        <v>-9.1201070000000006E-3</v>
      </c>
      <c r="O5387">
        <v>-0.99945220000000001</v>
      </c>
      <c r="P5387">
        <v>0.304087099999999</v>
      </c>
      <c r="Q5387">
        <v>-6.1793260000000003E-2</v>
      </c>
      <c r="R5387">
        <v>-0.95063790000000004</v>
      </c>
      <c r="S5387">
        <v>1.503601</v>
      </c>
      <c r="T5387">
        <v>-5.2661300000000001E-2</v>
      </c>
      <c r="U5387">
        <v>-2.6727289999999999</v>
      </c>
      <c r="V5387">
        <v>-0.27369779999999999</v>
      </c>
      <c r="W5387">
        <v>-5.2991749999999997E-2</v>
      </c>
      <c r="X5387">
        <v>0.96035490000000001</v>
      </c>
      <c r="Y5387">
        <v>-0.46226400000000001</v>
      </c>
      <c r="Z5387">
        <v>8.2513309999999902E-3</v>
      </c>
      <c r="AA5387">
        <v>0.88670400000000005</v>
      </c>
      <c r="AB5387">
        <v>37</v>
      </c>
      <c r="AC5387">
        <v>33.0686999999999</v>
      </c>
      <c r="AD5387">
        <v>-1.158595</v>
      </c>
      <c r="AE5387">
        <v>-58.45196</v>
      </c>
      <c r="AF5387">
        <v>-31.183049818382202</v>
      </c>
      <c r="AG5387">
        <v>-1.158595</v>
      </c>
      <c r="AH5387">
        <v>59.456744486045402</v>
      </c>
      <c r="AI5387">
        <v>90.988653099351396</v>
      </c>
      <c r="AJ5387">
        <v>117.675489173495</v>
      </c>
      <c r="AK5387">
        <v>67.147817561173397</v>
      </c>
      <c r="AL5387">
        <v>93.037626208711998</v>
      </c>
      <c r="AM5387">
        <v>105.907367273419</v>
      </c>
      <c r="AN5387">
        <v>1.0000000726234499</v>
      </c>
    </row>
    <row r="5388" spans="1:40" x14ac:dyDescent="0.25">
      <c r="A5388" t="str">
        <f>"20190305135935627"</f>
        <v>20190305135935627</v>
      </c>
      <c r="B5388" t="str">
        <f>"1551765575614600"</f>
        <v>1551765575614600</v>
      </c>
      <c r="C5388" t="s">
        <v>40</v>
      </c>
      <c r="D5388">
        <v>4.1591870000000002</v>
      </c>
      <c r="E5388">
        <v>0.42082239999999999</v>
      </c>
      <c r="F5388" t="s">
        <v>91</v>
      </c>
      <c r="G5388">
        <v>-265.10559999999998</v>
      </c>
      <c r="H5388">
        <v>0.19577929999999999</v>
      </c>
      <c r="I5388">
        <v>-91.564989999999995</v>
      </c>
      <c r="J5388">
        <v>-301.33089999999999</v>
      </c>
      <c r="K5388">
        <v>1.108652</v>
      </c>
      <c r="L5388">
        <v>-28.88983</v>
      </c>
      <c r="M5388">
        <v>3.2018240000000003E-2</v>
      </c>
      <c r="N5388">
        <v>-8.9399749999999993E-3</v>
      </c>
      <c r="O5388">
        <v>-0.99944759999999999</v>
      </c>
      <c r="P5388">
        <v>0.30961909999999998</v>
      </c>
      <c r="Q5388">
        <v>-6.2721929999999995E-2</v>
      </c>
      <c r="R5388">
        <v>-0.94879029999999998</v>
      </c>
      <c r="S5388">
        <v>1.5252380000000001</v>
      </c>
      <c r="T5388">
        <v>-3.8410069999999998E-2</v>
      </c>
      <c r="U5388">
        <v>-2.665375</v>
      </c>
      <c r="V5388">
        <v>-0.27907749999999998</v>
      </c>
      <c r="W5388">
        <v>-5.416849E-2</v>
      </c>
      <c r="X5388">
        <v>0.95873960000000003</v>
      </c>
      <c r="Y5388">
        <v>-0.46857989999999999</v>
      </c>
      <c r="Z5388">
        <v>3.736058E-3</v>
      </c>
      <c r="AA5388">
        <v>0.88341320000000001</v>
      </c>
      <c r="AB5388">
        <v>37</v>
      </c>
      <c r="AC5388">
        <v>36.225299999999997</v>
      </c>
      <c r="AD5388">
        <v>-0.91287269999999898</v>
      </c>
      <c r="AE5388">
        <v>-62.675159999999998</v>
      </c>
      <c r="AF5388">
        <v>-34.194459740281197</v>
      </c>
      <c r="AG5388">
        <v>-0.91287269999999898</v>
      </c>
      <c r="AH5388">
        <v>63.792794957742601</v>
      </c>
      <c r="AI5388">
        <v>90.722594533883395</v>
      </c>
      <c r="AJ5388">
        <v>118.192370022956</v>
      </c>
      <c r="AK5388">
        <v>72.385185652982202</v>
      </c>
      <c r="AL5388">
        <v>93.105145506158493</v>
      </c>
      <c r="AM5388">
        <v>106.229639057954</v>
      </c>
      <c r="AN5388">
        <v>1.00000004846164</v>
      </c>
    </row>
    <row r="5389" spans="1:40" x14ac:dyDescent="0.25">
      <c r="A5389" t="str">
        <f>"20190305135935656"</f>
        <v>20190305135935656</v>
      </c>
      <c r="B5389" t="str">
        <f>"1551765575644858"</f>
        <v>1551765575644858</v>
      </c>
      <c r="C5389" t="s">
        <v>40</v>
      </c>
      <c r="D5389">
        <v>4.1379839999999897</v>
      </c>
      <c r="E5389">
        <v>0.41967660000000001</v>
      </c>
      <c r="F5389" t="s">
        <v>91</v>
      </c>
      <c r="G5389">
        <v>-264.72480000000002</v>
      </c>
      <c r="H5389">
        <v>0.22000929999999999</v>
      </c>
      <c r="I5389">
        <v>-91.564989999999995</v>
      </c>
      <c r="J5389">
        <v>-301.31479999999999</v>
      </c>
      <c r="K5389">
        <v>1.1087089999999999</v>
      </c>
      <c r="L5389">
        <v>-29.385649999999998</v>
      </c>
      <c r="M5389">
        <v>3.2269989999999998E-2</v>
      </c>
      <c r="N5389">
        <v>-8.8172489999999992E-3</v>
      </c>
      <c r="O5389">
        <v>-0.99944040000000001</v>
      </c>
      <c r="P5389">
        <v>0.3120039</v>
      </c>
      <c r="Q5389">
        <v>-6.2815869999999996E-2</v>
      </c>
      <c r="R5389">
        <v>-0.94800240000000002</v>
      </c>
      <c r="S5389">
        <v>1.5498959999999999</v>
      </c>
      <c r="T5389">
        <v>-3.7624480000000002E-2</v>
      </c>
      <c r="U5389">
        <v>-2.6536559999999998</v>
      </c>
      <c r="V5389">
        <v>-0.28123710000000002</v>
      </c>
      <c r="W5389">
        <v>-5.442814E-2</v>
      </c>
      <c r="X5389">
        <v>0.95809359999999999</v>
      </c>
      <c r="Y5389">
        <v>-0.47616629999999899</v>
      </c>
      <c r="Z5389">
        <v>3.5956439999999998E-3</v>
      </c>
      <c r="AA5389">
        <v>0.87934789999999996</v>
      </c>
      <c r="AB5389">
        <v>37</v>
      </c>
      <c r="AC5389">
        <v>36.589999999999897</v>
      </c>
      <c r="AD5389">
        <v>-0.88869969999999998</v>
      </c>
      <c r="AE5389">
        <v>-62.179340000000003</v>
      </c>
      <c r="AF5389">
        <v>-34.559093779918797</v>
      </c>
      <c r="AG5389">
        <v>-0.88869969999999998</v>
      </c>
      <c r="AH5389">
        <v>63.318150992202099</v>
      </c>
      <c r="AI5389">
        <v>90.705841377993295</v>
      </c>
      <c r="AJ5389">
        <v>118.62574474181901</v>
      </c>
      <c r="AK5389">
        <v>72.140896827786307</v>
      </c>
      <c r="AL5389">
        <v>93.1200443679204</v>
      </c>
      <c r="AM5389">
        <v>106.358980583118</v>
      </c>
      <c r="AN5389">
        <v>1.00000003760061</v>
      </c>
    </row>
    <row r="5390" spans="1:40" x14ac:dyDescent="0.25">
      <c r="A5390" t="str">
        <f>"20190305135935679"</f>
        <v>20190305135935679</v>
      </c>
      <c r="B5390" t="str">
        <f>"1551765575674137"</f>
        <v>1551765575674137</v>
      </c>
      <c r="C5390" t="s">
        <v>40</v>
      </c>
      <c r="D5390">
        <v>4.1492839999999998</v>
      </c>
      <c r="E5390">
        <v>0.4197612</v>
      </c>
      <c r="F5390" t="s">
        <v>91</v>
      </c>
      <c r="G5390">
        <v>-264.51729999999998</v>
      </c>
      <c r="H5390">
        <v>0.31608439999999999</v>
      </c>
      <c r="I5390">
        <v>-91.564989999999995</v>
      </c>
      <c r="J5390">
        <v>-301.30259999999998</v>
      </c>
      <c r="K5390">
        <v>1.108743</v>
      </c>
      <c r="L5390">
        <v>-29.758790000000001</v>
      </c>
      <c r="M5390">
        <v>3.2496190000000001E-2</v>
      </c>
      <c r="N5390">
        <v>-8.7453140000000006E-3</v>
      </c>
      <c r="O5390">
        <v>-0.99943380000000004</v>
      </c>
      <c r="P5390">
        <v>0.31457669999999999</v>
      </c>
      <c r="Q5390">
        <v>-6.2212650000000001E-2</v>
      </c>
      <c r="R5390">
        <v>-0.94719129999999996</v>
      </c>
      <c r="S5390">
        <v>1.566376</v>
      </c>
      <c r="T5390">
        <v>-3.3739570000000003E-2</v>
      </c>
      <c r="U5390">
        <v>-2.64682</v>
      </c>
      <c r="V5390">
        <v>-0.28361310000000001</v>
      </c>
      <c r="W5390">
        <v>-5.3925699999999903E-2</v>
      </c>
      <c r="X5390">
        <v>0.95742139999999998</v>
      </c>
      <c r="Y5390">
        <v>-0.48101860000000002</v>
      </c>
      <c r="Z5390">
        <v>2.387438E-3</v>
      </c>
      <c r="AA5390">
        <v>0.87670709999999996</v>
      </c>
      <c r="AB5390">
        <v>37</v>
      </c>
      <c r="AC5390">
        <v>36.785299999999999</v>
      </c>
      <c r="AD5390">
        <v>-0.79265859999999899</v>
      </c>
      <c r="AE5390">
        <v>-61.806199999999997</v>
      </c>
      <c r="AF5390">
        <v>-34.753107342474898</v>
      </c>
      <c r="AG5390">
        <v>-0.79265859999999899</v>
      </c>
      <c r="AH5390">
        <v>62.961335739934</v>
      </c>
      <c r="AI5390">
        <v>90.631489037669397</v>
      </c>
      <c r="AJ5390">
        <v>118.897616493054</v>
      </c>
      <c r="AK5390">
        <v>71.920348829593607</v>
      </c>
      <c r="AL5390">
        <v>93.091214284112894</v>
      </c>
      <c r="AM5390">
        <v>106.50065804833</v>
      </c>
      <c r="AN5390">
        <v>1.00000005439502</v>
      </c>
    </row>
    <row r="5391" spans="1:40" x14ac:dyDescent="0.25">
      <c r="A5391" t="str">
        <f>"20190305135935699"</f>
        <v>20190305135935699</v>
      </c>
      <c r="B5391" t="str">
        <f>"1551765575694633"</f>
        <v>1551765575694633</v>
      </c>
      <c r="C5391" t="s">
        <v>40</v>
      </c>
      <c r="D5391">
        <v>4.420121</v>
      </c>
      <c r="E5391">
        <v>0.42005599999999998</v>
      </c>
      <c r="F5391" t="s">
        <v>91</v>
      </c>
      <c r="G5391">
        <v>-264.51769999999999</v>
      </c>
      <c r="H5391">
        <v>0.35468290000000002</v>
      </c>
      <c r="I5391">
        <v>-91.564989999999995</v>
      </c>
      <c r="J5391">
        <v>-301.2912</v>
      </c>
      <c r="K5391">
        <v>1.108778</v>
      </c>
      <c r="L5391">
        <v>-30.100519999999999</v>
      </c>
      <c r="M5391">
        <v>3.2721859999999998E-2</v>
      </c>
      <c r="N5391">
        <v>-8.7028850000000005E-3</v>
      </c>
      <c r="O5391">
        <v>-0.99942679999999995</v>
      </c>
      <c r="P5391">
        <v>0.3163183</v>
      </c>
      <c r="Q5391">
        <v>-6.0902650000000003E-2</v>
      </c>
      <c r="R5391">
        <v>-0.9466966</v>
      </c>
      <c r="S5391">
        <v>1.5728759999999999</v>
      </c>
      <c r="T5391">
        <v>-3.2242180000000002E-2</v>
      </c>
      <c r="U5391">
        <v>-2.6427610000000001</v>
      </c>
      <c r="V5391">
        <v>-0.28515119999999999</v>
      </c>
      <c r="W5391">
        <v>-5.2678099999999901E-2</v>
      </c>
      <c r="X5391">
        <v>0.95703389999999999</v>
      </c>
      <c r="Y5391">
        <v>-0.48300490000000001</v>
      </c>
      <c r="Z5391">
        <v>1.941332E-3</v>
      </c>
      <c r="AA5391">
        <v>0.87561549999999999</v>
      </c>
      <c r="AB5391">
        <v>37</v>
      </c>
      <c r="AC5391">
        <v>36.773499999999999</v>
      </c>
      <c r="AD5391">
        <v>-0.75409510000000002</v>
      </c>
      <c r="AE5391">
        <v>-61.464469999999999</v>
      </c>
      <c r="AF5391">
        <v>-34.738647975530498</v>
      </c>
      <c r="AG5391">
        <v>-0.75409510000000002</v>
      </c>
      <c r="AH5391">
        <v>62.627953676425101</v>
      </c>
      <c r="AI5391">
        <v>90.603274408446694</v>
      </c>
      <c r="AJ5391">
        <v>119.016377904164</v>
      </c>
      <c r="AK5391">
        <v>71.621246179357399</v>
      </c>
      <c r="AL5391">
        <v>93.019630359443894</v>
      </c>
      <c r="AM5391">
        <v>106.591587592997</v>
      </c>
      <c r="AN5391">
        <v>1.0000000374151199</v>
      </c>
    </row>
    <row r="5392" spans="1:40" x14ac:dyDescent="0.25">
      <c r="A5392" t="str">
        <f>"20190305135935721"</f>
        <v>20190305135935721</v>
      </c>
      <c r="B5392" t="str">
        <f>"1551765575714152"</f>
        <v>1551765575714152</v>
      </c>
      <c r="C5392" t="s">
        <v>40</v>
      </c>
      <c r="D5392">
        <v>4.1466789999999998</v>
      </c>
      <c r="E5392">
        <v>0.41967670000000001</v>
      </c>
      <c r="F5392" t="s">
        <v>91</v>
      </c>
      <c r="G5392">
        <v>-264.61970000000002</v>
      </c>
      <c r="H5392">
        <v>0.41183419999999998</v>
      </c>
      <c r="I5392">
        <v>-91.564989999999995</v>
      </c>
      <c r="J5392">
        <v>-301.27859999999998</v>
      </c>
      <c r="K5392">
        <v>1.108811</v>
      </c>
      <c r="L5392">
        <v>-30.478729999999999</v>
      </c>
      <c r="M5392">
        <v>3.2983390000000001E-2</v>
      </c>
      <c r="N5392">
        <v>-8.6759019999999992E-3</v>
      </c>
      <c r="O5392">
        <v>-0.99941829999999998</v>
      </c>
      <c r="P5392">
        <v>0.318679299999999</v>
      </c>
      <c r="Q5392">
        <v>-5.9693259999999998E-2</v>
      </c>
      <c r="R5392">
        <v>-0.94598099999999996</v>
      </c>
      <c r="S5392">
        <v>1.575439</v>
      </c>
      <c r="T5392">
        <v>-2.9940609999999999E-2</v>
      </c>
      <c r="U5392">
        <v>-2.6405639999999999</v>
      </c>
      <c r="V5392">
        <v>-0.28728179999999998</v>
      </c>
      <c r="W5392">
        <v>-5.151551E-2</v>
      </c>
      <c r="X5392">
        <v>0.95645979999999997</v>
      </c>
      <c r="Y5392">
        <v>-0.48372520000000002</v>
      </c>
      <c r="Z5392">
        <v>1.2171910000000001E-3</v>
      </c>
      <c r="AA5392">
        <v>0.87521909999999903</v>
      </c>
      <c r="AB5392">
        <v>37</v>
      </c>
      <c r="AC5392">
        <v>36.658899999999903</v>
      </c>
      <c r="AD5392">
        <v>-0.69697679999999995</v>
      </c>
      <c r="AE5392">
        <v>-61.086260000000003</v>
      </c>
      <c r="AF5392">
        <v>-34.620731120051801</v>
      </c>
      <c r="AG5392">
        <v>-0.69697679999999995</v>
      </c>
      <c r="AH5392">
        <v>62.256242039310202</v>
      </c>
      <c r="AI5392">
        <v>90.560574402675698</v>
      </c>
      <c r="AJ5392">
        <v>119.078460343863</v>
      </c>
      <c r="AK5392">
        <v>71.238476070195702</v>
      </c>
      <c r="AL5392">
        <v>92.952928346189907</v>
      </c>
      <c r="AM5392">
        <v>106.718140155904</v>
      </c>
      <c r="AN5392">
        <v>1.0000000146989101</v>
      </c>
    </row>
    <row r="5393" spans="1:40" x14ac:dyDescent="0.25">
      <c r="A5393" t="str">
        <f>"20190305135935741"</f>
        <v>20190305135935741</v>
      </c>
      <c r="B5393" t="str">
        <f>"1551765575734649"</f>
        <v>1551765575734649</v>
      </c>
      <c r="C5393" t="s">
        <v>40</v>
      </c>
      <c r="D5393">
        <v>4.0998099999999997</v>
      </c>
      <c r="E5393">
        <v>0.4193017</v>
      </c>
      <c r="F5393" t="s">
        <v>91</v>
      </c>
      <c r="G5393">
        <v>-264.54000000000002</v>
      </c>
      <c r="H5393">
        <v>0.5276303</v>
      </c>
      <c r="I5393">
        <v>-91.564989999999995</v>
      </c>
      <c r="J5393">
        <v>-301.2679</v>
      </c>
      <c r="K5393">
        <v>1.1088469999999999</v>
      </c>
      <c r="L5393">
        <v>-30.797609999999999</v>
      </c>
      <c r="M5393">
        <v>3.3208729999999999E-2</v>
      </c>
      <c r="N5393">
        <v>-8.7042860000000003E-3</v>
      </c>
      <c r="O5393">
        <v>-0.99941069999999999</v>
      </c>
      <c r="P5393">
        <v>0.32032280000000002</v>
      </c>
      <c r="Q5393">
        <v>-5.8220229999999998E-2</v>
      </c>
      <c r="R5393">
        <v>-0.94551779999999996</v>
      </c>
      <c r="S5393">
        <v>1.585175</v>
      </c>
      <c r="T5393">
        <v>-2.507591E-2</v>
      </c>
      <c r="U5393">
        <v>-2.6357119999999998</v>
      </c>
      <c r="V5393">
        <v>-0.28872300000000001</v>
      </c>
      <c r="W5393">
        <v>-5.0029249999999997E-2</v>
      </c>
      <c r="X5393">
        <v>0.95610459999999997</v>
      </c>
      <c r="Y5393">
        <v>-0.48661460000000001</v>
      </c>
      <c r="Z5393">
        <v>-4.0579780000000001E-4</v>
      </c>
      <c r="AA5393">
        <v>0.87361659999999997</v>
      </c>
      <c r="AB5393">
        <v>37</v>
      </c>
      <c r="AC5393">
        <v>36.727899999999899</v>
      </c>
      <c r="AD5393">
        <v>-0.58121669999999903</v>
      </c>
      <c r="AE5393">
        <v>-60.767380000000003</v>
      </c>
      <c r="AF5393">
        <v>-34.687232911210103</v>
      </c>
      <c r="AG5393">
        <v>-0.58121669999999903</v>
      </c>
      <c r="AH5393">
        <v>61.949442496542602</v>
      </c>
      <c r="AI5393">
        <v>90.469024314132497</v>
      </c>
      <c r="AJ5393">
        <v>119.24568964305899</v>
      </c>
      <c r="AK5393">
        <v>71.001939167330704</v>
      </c>
      <c r="AL5393">
        <v>92.867662123784399</v>
      </c>
      <c r="AM5393">
        <v>106.803185433582</v>
      </c>
      <c r="AN5393">
        <v>0.99999995136286002</v>
      </c>
    </row>
    <row r="5394" spans="1:40" x14ac:dyDescent="0.25">
      <c r="A5394" t="str">
        <f>"20190305135935764"</f>
        <v>20190305135935764</v>
      </c>
      <c r="B5394" t="str">
        <f>"1551765575754169"</f>
        <v>1551765575754169</v>
      </c>
      <c r="C5394" t="s">
        <v>40</v>
      </c>
      <c r="D5394">
        <v>4.1190239999999996</v>
      </c>
      <c r="E5394">
        <v>0.4190643</v>
      </c>
      <c r="F5394" t="s">
        <v>91</v>
      </c>
      <c r="G5394">
        <v>-264.50450000000001</v>
      </c>
      <c r="H5394">
        <v>0.64327809999999996</v>
      </c>
      <c r="I5394">
        <v>-91.564989999999995</v>
      </c>
      <c r="J5394">
        <v>-301.25459999999998</v>
      </c>
      <c r="K5394">
        <v>1.1089370000000001</v>
      </c>
      <c r="L5394">
        <v>-31.193359999999998</v>
      </c>
      <c r="M5394">
        <v>3.348777E-2</v>
      </c>
      <c r="N5394">
        <v>-8.9314379999999999E-3</v>
      </c>
      <c r="O5394">
        <v>-0.99939920000000004</v>
      </c>
      <c r="P5394">
        <v>0.32174029999999998</v>
      </c>
      <c r="Q5394">
        <v>-5.7738850000000001E-2</v>
      </c>
      <c r="R5394">
        <v>-0.94506570000000001</v>
      </c>
      <c r="S5394">
        <v>1.5924069999999999</v>
      </c>
      <c r="T5394">
        <v>-2.0165559999999999E-2</v>
      </c>
      <c r="U5394">
        <v>-2.6321409999999998</v>
      </c>
      <c r="V5394">
        <v>-0.28988609999999998</v>
      </c>
      <c r="W5394">
        <v>-4.9345319999999998E-2</v>
      </c>
      <c r="X5394">
        <v>0.95578819999999998</v>
      </c>
      <c r="Y5394">
        <v>-0.48865249999999999</v>
      </c>
      <c r="Z5394">
        <v>-2.2398639999999998E-3</v>
      </c>
      <c r="AA5394">
        <v>0.87247559999999902</v>
      </c>
      <c r="AB5394">
        <v>37</v>
      </c>
      <c r="AC5394">
        <v>36.750099999999897</v>
      </c>
      <c r="AD5394">
        <v>-0.46565889999999999</v>
      </c>
      <c r="AE5394">
        <v>-60.371630000000003</v>
      </c>
      <c r="AF5394">
        <v>-34.706187748015203</v>
      </c>
      <c r="AG5394">
        <v>-0.46565889999999999</v>
      </c>
      <c r="AH5394">
        <v>61.565822033659899</v>
      </c>
      <c r="AI5394">
        <v>90.377504527886998</v>
      </c>
      <c r="AJ5394">
        <v>119.41103928432</v>
      </c>
      <c r="AK5394">
        <v>70.675927647905098</v>
      </c>
      <c r="AL5394">
        <v>92.828427226405694</v>
      </c>
      <c r="AM5394">
        <v>106.872305689513</v>
      </c>
      <c r="AN5394">
        <v>0.999999997419176</v>
      </c>
    </row>
    <row r="5395" spans="1:40" x14ac:dyDescent="0.25">
      <c r="A5395" t="str">
        <f>"20190305135935787"</f>
        <v>20190305135935787</v>
      </c>
      <c r="B5395" t="str">
        <f>"1551765575784426"</f>
        <v>1551765575784426</v>
      </c>
      <c r="C5395" t="s">
        <v>40</v>
      </c>
      <c r="D5395">
        <v>4.1005640000000003</v>
      </c>
      <c r="E5395">
        <v>0.41881239999999997</v>
      </c>
      <c r="F5395" t="s">
        <v>91</v>
      </c>
      <c r="G5395">
        <v>-264.55799999999999</v>
      </c>
      <c r="H5395">
        <v>0.67268939999999999</v>
      </c>
      <c r="I5395">
        <v>-91.564989999999995</v>
      </c>
      <c r="J5395">
        <v>-301.24180000000001</v>
      </c>
      <c r="K5395">
        <v>1.1090500000000001</v>
      </c>
      <c r="L5395">
        <v>-31.56842</v>
      </c>
      <c r="M5395">
        <v>3.3747689999999997E-2</v>
      </c>
      <c r="N5395">
        <v>-9.3351590000000009E-3</v>
      </c>
      <c r="O5395">
        <v>-0.99938709999999997</v>
      </c>
      <c r="P5395">
        <v>0.32294630000000002</v>
      </c>
      <c r="Q5395">
        <v>-5.8561710000000003E-2</v>
      </c>
      <c r="R5395">
        <v>-0.94460429999999995</v>
      </c>
      <c r="S5395">
        <v>1.598114</v>
      </c>
      <c r="T5395">
        <v>-1.8997790000000001E-2</v>
      </c>
      <c r="U5395">
        <v>-2.6291500000000001</v>
      </c>
      <c r="V5395">
        <v>-0.29085709999999998</v>
      </c>
      <c r="W5395">
        <v>-4.9794869999999998E-2</v>
      </c>
      <c r="X5395">
        <v>0.95546980000000004</v>
      </c>
      <c r="Y5395">
        <v>-0.4902456</v>
      </c>
      <c r="Z5395">
        <v>-3.0217439999999998E-3</v>
      </c>
      <c r="AA5395">
        <v>0.87157909999999905</v>
      </c>
      <c r="AB5395">
        <v>37</v>
      </c>
      <c r="AC5395">
        <v>36.683799999999998</v>
      </c>
      <c r="AD5395">
        <v>-0.43636059999999999</v>
      </c>
      <c r="AE5395">
        <v>-59.996569999999998</v>
      </c>
      <c r="AF5395">
        <v>-34.636735657422904</v>
      </c>
      <c r="AG5395">
        <v>-0.43636059999999999</v>
      </c>
      <c r="AH5395">
        <v>61.198082797171701</v>
      </c>
      <c r="AI5395">
        <v>90.355535888214604</v>
      </c>
      <c r="AJ5395">
        <v>119.50888309358101</v>
      </c>
      <c r="AK5395">
        <v>70.321399343478006</v>
      </c>
      <c r="AL5395">
        <v>92.854216354482105</v>
      </c>
      <c r="AM5395">
        <v>106.930912612687</v>
      </c>
      <c r="AN5395">
        <v>0.99999996020538195</v>
      </c>
    </row>
    <row r="5396" spans="1:40" x14ac:dyDescent="0.25">
      <c r="A5396" t="str">
        <f>"20190305135935810"</f>
        <v>20190305135935810</v>
      </c>
      <c r="B5396" t="str">
        <f>"1551765575803945"</f>
        <v>1551765575803945</v>
      </c>
      <c r="C5396" t="s">
        <v>40</v>
      </c>
      <c r="D5396">
        <v>4.1237820000000003</v>
      </c>
      <c r="E5396">
        <v>0.41854279999999999</v>
      </c>
      <c r="F5396" t="s">
        <v>91</v>
      </c>
      <c r="G5396">
        <v>-264.61709999999999</v>
      </c>
      <c r="H5396">
        <v>0.56574250000000004</v>
      </c>
      <c r="I5396">
        <v>-91.564989999999995</v>
      </c>
      <c r="J5396">
        <v>-301.2287</v>
      </c>
      <c r="K5396">
        <v>1.109156</v>
      </c>
      <c r="L5396">
        <v>-31.947600000000001</v>
      </c>
      <c r="M5396">
        <v>3.4007929999999999E-2</v>
      </c>
      <c r="N5396">
        <v>-9.8006699999999992E-3</v>
      </c>
      <c r="O5396">
        <v>-0.99937370000000003</v>
      </c>
      <c r="P5396">
        <v>0.32353340000000003</v>
      </c>
      <c r="Q5396">
        <v>-5.9352910000000002E-2</v>
      </c>
      <c r="R5396">
        <v>-0.94435369999999996</v>
      </c>
      <c r="S5396">
        <v>1.6032409999999999</v>
      </c>
      <c r="T5396">
        <v>-2.3782729999999998E-2</v>
      </c>
      <c r="U5396">
        <v>-2.6263429999999999</v>
      </c>
      <c r="V5396">
        <v>-0.29120220000000002</v>
      </c>
      <c r="W5396">
        <v>-5.0150449999999999E-2</v>
      </c>
      <c r="X5396">
        <v>0.95534609999999998</v>
      </c>
      <c r="Y5396">
        <v>-0.49166700000000002</v>
      </c>
      <c r="Z5396">
        <v>-1.9138409999999999E-3</v>
      </c>
      <c r="AA5396">
        <v>0.87078120000000003</v>
      </c>
      <c r="AB5396">
        <v>37</v>
      </c>
      <c r="AC5396">
        <v>36.611600000000003</v>
      </c>
      <c r="AD5396">
        <v>-0.54341349999999999</v>
      </c>
      <c r="AE5396">
        <v>-59.61739</v>
      </c>
      <c r="AF5396">
        <v>-34.560774373115599</v>
      </c>
      <c r="AG5396">
        <v>-0.54341349999999999</v>
      </c>
      <c r="AH5396">
        <v>60.824376500554898</v>
      </c>
      <c r="AI5396">
        <v>90.445051260877094</v>
      </c>
      <c r="AJ5396">
        <v>119.605497196307</v>
      </c>
      <c r="AK5396">
        <v>69.959611206628693</v>
      </c>
      <c r="AL5396">
        <v>92.874615018601702</v>
      </c>
      <c r="AM5396">
        <v>106.951918807289</v>
      </c>
      <c r="AN5396">
        <v>0.99999997985262601</v>
      </c>
    </row>
    <row r="5397" spans="1:40" x14ac:dyDescent="0.25">
      <c r="A5397" t="str">
        <f>"20190305135935834"</f>
        <v>20190305135935834</v>
      </c>
      <c r="B5397" t="str">
        <f>"1551765575824440"</f>
        <v>1551765575824440</v>
      </c>
      <c r="C5397" t="s">
        <v>40</v>
      </c>
      <c r="D5397">
        <v>4.1232800000000003</v>
      </c>
      <c r="E5397">
        <v>0.41823909999999997</v>
      </c>
      <c r="F5397" t="s">
        <v>91</v>
      </c>
      <c r="G5397">
        <v>-264.72449999999998</v>
      </c>
      <c r="H5397">
        <v>0.4839311</v>
      </c>
      <c r="I5397">
        <v>-91.564989999999995</v>
      </c>
      <c r="J5397">
        <v>-301.2149</v>
      </c>
      <c r="K5397">
        <v>1.109243</v>
      </c>
      <c r="L5397">
        <v>-32.347230000000003</v>
      </c>
      <c r="M5397">
        <v>3.4282229999999997E-2</v>
      </c>
      <c r="N5397">
        <v>-1.0271280000000001E-2</v>
      </c>
      <c r="O5397">
        <v>-0.99935969999999996</v>
      </c>
      <c r="P5397">
        <v>0.3240595</v>
      </c>
      <c r="Q5397">
        <v>-6.0193820000000002E-2</v>
      </c>
      <c r="R5397">
        <v>-0.94412010000000002</v>
      </c>
      <c r="S5397">
        <v>1.606995</v>
      </c>
      <c r="T5397">
        <v>-2.7523039999999999E-2</v>
      </c>
      <c r="U5397">
        <v>-2.6244809999999998</v>
      </c>
      <c r="V5397">
        <v>-0.29147240000000002</v>
      </c>
      <c r="W5397">
        <v>-5.0549410000000003E-2</v>
      </c>
      <c r="X5397">
        <v>0.9552427</v>
      </c>
      <c r="Y5397">
        <v>-0.49260340000000002</v>
      </c>
      <c r="Z5397">
        <v>-1.153636E-3</v>
      </c>
      <c r="AA5397">
        <v>0.87025319999999995</v>
      </c>
      <c r="AB5397">
        <v>37</v>
      </c>
      <c r="AC5397">
        <v>36.490400000000001</v>
      </c>
      <c r="AD5397">
        <v>-0.62531190000000003</v>
      </c>
      <c r="AE5397">
        <v>-59.217759999999998</v>
      </c>
      <c r="AF5397">
        <v>-34.435942009130301</v>
      </c>
      <c r="AG5397">
        <v>-0.62531190000000003</v>
      </c>
      <c r="AH5397">
        <v>60.429101882853502</v>
      </c>
      <c r="AI5397">
        <v>90.515106068928702</v>
      </c>
      <c r="AJ5397">
        <v>119.676952346246</v>
      </c>
      <c r="AK5397">
        <v>69.555024774610999</v>
      </c>
      <c r="AL5397">
        <v>92.897502687806295</v>
      </c>
      <c r="AM5397">
        <v>106.968475994606</v>
      </c>
      <c r="AN5397">
        <v>1.00000000935819</v>
      </c>
    </row>
    <row r="5398" spans="1:40" x14ac:dyDescent="0.25">
      <c r="A5398" t="str">
        <f>"20190305135935872"</f>
        <v>20190305135935872</v>
      </c>
      <c r="B5398" t="str">
        <f>"1551765575864457"</f>
        <v>1551765575864457</v>
      </c>
      <c r="C5398" t="s">
        <v>40</v>
      </c>
      <c r="D5398">
        <v>4.3745989999999999</v>
      </c>
      <c r="E5398">
        <v>0.41778900000000002</v>
      </c>
      <c r="F5398" t="s">
        <v>91</v>
      </c>
      <c r="G5398">
        <v>-264.85289999999998</v>
      </c>
      <c r="H5398">
        <v>0.37478020000000001</v>
      </c>
      <c r="I5398">
        <v>-91.564989999999995</v>
      </c>
      <c r="J5398">
        <v>-301.19279999999998</v>
      </c>
      <c r="K5398">
        <v>1.1093440000000001</v>
      </c>
      <c r="L5398">
        <v>-32.97784</v>
      </c>
      <c r="M5398">
        <v>3.4712630000000001E-2</v>
      </c>
      <c r="N5398">
        <v>-1.0956230000000001E-2</v>
      </c>
      <c r="O5398">
        <v>-0.99933749999999999</v>
      </c>
      <c r="P5398">
        <v>0.3241636</v>
      </c>
      <c r="Q5398">
        <v>-6.1141300000000003E-2</v>
      </c>
      <c r="R5398">
        <v>-0.94402350000000002</v>
      </c>
      <c r="S5398">
        <v>1.6104430000000001</v>
      </c>
      <c r="T5398">
        <v>-3.252816E-2</v>
      </c>
      <c r="U5398">
        <v>-2.6227109999999998</v>
      </c>
      <c r="V5398">
        <v>-0.29116730000000002</v>
      </c>
      <c r="W5398">
        <v>-5.0848119999999997E-2</v>
      </c>
      <c r="X5398">
        <v>0.9553199</v>
      </c>
      <c r="Y5398">
        <v>-0.49331269999999999</v>
      </c>
      <c r="Z5398">
        <v>-1.9024410000000001E-4</v>
      </c>
      <c r="AA5398">
        <v>0.86985199999999996</v>
      </c>
      <c r="AB5398">
        <v>37</v>
      </c>
      <c r="AC5398">
        <v>36.3399</v>
      </c>
      <c r="AD5398">
        <v>-0.73456379999999999</v>
      </c>
      <c r="AE5398">
        <v>-58.587150000000001</v>
      </c>
      <c r="AF5398">
        <v>-34.280269283604703</v>
      </c>
      <c r="AG5398">
        <v>-0.73456379999999999</v>
      </c>
      <c r="AH5398">
        <v>59.806576818630397</v>
      </c>
      <c r="AI5398">
        <v>90.610518979418401</v>
      </c>
      <c r="AJ5398">
        <v>119.820714271925</v>
      </c>
      <c r="AK5398">
        <v>68.938400597166904</v>
      </c>
      <c r="AL5398">
        <v>92.914639518245295</v>
      </c>
      <c r="AM5398">
        <v>106.950441846858</v>
      </c>
      <c r="AN5398">
        <v>1.0000000196164101</v>
      </c>
    </row>
    <row r="5399" spans="1:40" x14ac:dyDescent="0.25">
      <c r="A5399" t="str">
        <f>"20190305135935898"</f>
        <v>20190305135935898</v>
      </c>
      <c r="B5399" t="str">
        <f>"1551765575894713"</f>
        <v>1551765575894713</v>
      </c>
      <c r="C5399" t="s">
        <v>40</v>
      </c>
      <c r="D5399">
        <v>4.7917579999999997</v>
      </c>
      <c r="E5399">
        <v>0.4872689</v>
      </c>
      <c r="F5399" t="s">
        <v>91</v>
      </c>
      <c r="G5399">
        <v>-271.9443</v>
      </c>
      <c r="H5399">
        <v>0.3799305</v>
      </c>
      <c r="I5399">
        <v>-80.464519999999993</v>
      </c>
      <c r="J5399">
        <v>-301.17770000000002</v>
      </c>
      <c r="K5399">
        <v>1.1093919999999999</v>
      </c>
      <c r="L5399">
        <v>-33.402920000000002</v>
      </c>
      <c r="M5399">
        <v>3.5001280000000003E-2</v>
      </c>
      <c r="N5399">
        <v>-1.1375649999999999E-2</v>
      </c>
      <c r="O5399">
        <v>-0.99932270000000001</v>
      </c>
      <c r="P5399">
        <v>0.32409379999999999</v>
      </c>
      <c r="Q5399">
        <v>-6.0988960000000002E-2</v>
      </c>
      <c r="R5399">
        <v>-0.94405709999999998</v>
      </c>
      <c r="S5399">
        <v>1.6143190000000001</v>
      </c>
      <c r="T5399">
        <v>-4.0257929999999997E-2</v>
      </c>
      <c r="U5399">
        <v>-2.6209410000000002</v>
      </c>
      <c r="V5399">
        <v>-0.29082019999999997</v>
      </c>
      <c r="W5399">
        <v>-5.0295609999999998E-2</v>
      </c>
      <c r="X5399">
        <v>0.9554549</v>
      </c>
      <c r="Y5399">
        <v>-0.4942454</v>
      </c>
      <c r="Z5399">
        <v>1.9272510000000001E-3</v>
      </c>
      <c r="AA5399">
        <v>0.86932030000000005</v>
      </c>
      <c r="AB5399">
        <v>37</v>
      </c>
      <c r="AC5399">
        <v>29.2334</v>
      </c>
      <c r="AD5399">
        <v>-0.72946149999999998</v>
      </c>
      <c r="AE5399">
        <v>-47.061599999999899</v>
      </c>
      <c r="AF5399">
        <v>-27.563384459028299</v>
      </c>
      <c r="AG5399">
        <v>-0.72946149999999998</v>
      </c>
      <c r="AH5399">
        <v>48.047702919125499</v>
      </c>
      <c r="AI5399">
        <v>90.7544829727658</v>
      </c>
      <c r="AJ5399">
        <v>119.841473304329</v>
      </c>
      <c r="AK5399">
        <v>55.397238493635498</v>
      </c>
      <c r="AL5399">
        <v>92.882942376492196</v>
      </c>
      <c r="AM5399">
        <v>106.929136402927</v>
      </c>
      <c r="AN5399">
        <v>1.00000005152365</v>
      </c>
    </row>
    <row r="5400" spans="1:40" x14ac:dyDescent="0.25">
      <c r="A5400" t="str">
        <f>"20190305135935923"</f>
        <v>20190305135935923</v>
      </c>
      <c r="B5400" t="str">
        <f>"1551765575914233"</f>
        <v>1551765575914233</v>
      </c>
      <c r="C5400" t="s">
        <v>40</v>
      </c>
      <c r="D5400">
        <v>4.4007940000000003</v>
      </c>
      <c r="E5400">
        <v>0.56126830000000005</v>
      </c>
      <c r="F5400" t="s">
        <v>82</v>
      </c>
      <c r="G5400">
        <v>-296.88630000000001</v>
      </c>
      <c r="H5400" s="1">
        <v>-3.5126040000000002E-6</v>
      </c>
      <c r="I5400">
        <v>-44.75291</v>
      </c>
      <c r="J5400">
        <v>-301.16300000000001</v>
      </c>
      <c r="K5400">
        <v>1.109426</v>
      </c>
      <c r="L5400">
        <v>-33.814729999999997</v>
      </c>
      <c r="M5400">
        <v>3.5281670000000001E-2</v>
      </c>
      <c r="N5400">
        <v>-1.173629E-2</v>
      </c>
      <c r="O5400">
        <v>-0.99930850000000004</v>
      </c>
      <c r="P5400">
        <v>0.32336110000000001</v>
      </c>
      <c r="Q5400">
        <v>-6.0177050000000003E-2</v>
      </c>
      <c r="R5400">
        <v>-0.94436030000000004</v>
      </c>
      <c r="S5400">
        <v>1.0575559999999999</v>
      </c>
      <c r="T5400">
        <v>-0.27339649999999999</v>
      </c>
      <c r="U5400">
        <v>-2.7970579999999998</v>
      </c>
      <c r="V5400">
        <v>-0.28980980000000001</v>
      </c>
      <c r="W5400">
        <v>-4.9134610000000002E-2</v>
      </c>
      <c r="X5400">
        <v>0.95582219999999996</v>
      </c>
      <c r="Y5400">
        <v>-0.31912190000000001</v>
      </c>
      <c r="Z5400">
        <v>7.9901369999999999E-2</v>
      </c>
      <c r="AA5400">
        <v>0.9443395</v>
      </c>
      <c r="AB5400">
        <v>37</v>
      </c>
      <c r="AC5400">
        <v>4.2766999999999999</v>
      </c>
      <c r="AD5400">
        <v>-1.1094295126039999</v>
      </c>
      <c r="AE5400">
        <v>-10.938179999999999</v>
      </c>
      <c r="AF5400">
        <v>-3.8537051715793398</v>
      </c>
      <c r="AG5400">
        <v>-1.1094295126039999</v>
      </c>
      <c r="AH5400">
        <v>10.984252144557701</v>
      </c>
      <c r="AI5400">
        <v>95.444213486451005</v>
      </c>
      <c r="AJ5400">
        <v>109.332865361164</v>
      </c>
      <c r="AK5400">
        <v>11.6934029507288</v>
      </c>
      <c r="AL5400">
        <v>92.816339751617093</v>
      </c>
      <c r="AM5400">
        <v>106.86755105833601</v>
      </c>
      <c r="AN5400">
        <v>1.00000000404436</v>
      </c>
    </row>
    <row r="5401" spans="1:40" x14ac:dyDescent="0.25">
      <c r="A5401" t="str">
        <f>"20190305135935943"</f>
        <v>20190305135935943</v>
      </c>
      <c r="B5401" t="str">
        <f>"1551765575934729"</f>
        <v>1551765575934729</v>
      </c>
      <c r="C5401" t="s">
        <v>40</v>
      </c>
      <c r="D5401">
        <v>4.3976050000000004</v>
      </c>
      <c r="E5401">
        <v>0.57847209999999905</v>
      </c>
      <c r="F5401" t="s">
        <v>82</v>
      </c>
      <c r="G5401">
        <v>-299.64449999999999</v>
      </c>
      <c r="H5401" s="1">
        <v>-1.8771190000000001E-6</v>
      </c>
      <c r="I5401">
        <v>-43.208199999999998</v>
      </c>
      <c r="J5401">
        <v>-301.15050000000002</v>
      </c>
      <c r="K5401">
        <v>1.1094550000000001</v>
      </c>
      <c r="L5401">
        <v>-34.162019999999998</v>
      </c>
      <c r="M5401">
        <v>3.5518679999999997E-2</v>
      </c>
      <c r="N5401">
        <v>-1.200936E-2</v>
      </c>
      <c r="O5401">
        <v>-0.99929679999999999</v>
      </c>
      <c r="P5401">
        <v>0.32275019999999999</v>
      </c>
      <c r="Q5401">
        <v>-5.8235879999999997E-2</v>
      </c>
      <c r="R5401">
        <v>-0.94469099999999995</v>
      </c>
      <c r="S5401">
        <v>0.48315429999999998</v>
      </c>
      <c r="T5401">
        <v>-0.35299970000000003</v>
      </c>
      <c r="U5401">
        <v>-2.9888309999999998</v>
      </c>
      <c r="V5401">
        <v>-0.288962099999999</v>
      </c>
      <c r="W5401">
        <v>-4.6927049999999998E-2</v>
      </c>
      <c r="X5401">
        <v>0.95618970000000003</v>
      </c>
      <c r="Y5401">
        <v>-0.1234533</v>
      </c>
      <c r="Z5401">
        <v>0.1040886</v>
      </c>
      <c r="AA5401">
        <v>0.98687630000000004</v>
      </c>
      <c r="AB5401">
        <v>37</v>
      </c>
      <c r="AC5401">
        <v>1.50600000000002</v>
      </c>
      <c r="AD5401">
        <v>-1.1094568771190001</v>
      </c>
      <c r="AE5401">
        <v>-9.0461799999999997</v>
      </c>
      <c r="AF5401">
        <v>-1.1666432326426399</v>
      </c>
      <c r="AG5401">
        <v>-1.1094568771190001</v>
      </c>
      <c r="AH5401">
        <v>8.9627882295552794</v>
      </c>
      <c r="AI5401">
        <v>96.998009143498194</v>
      </c>
      <c r="AJ5401">
        <v>97.416220582758598</v>
      </c>
      <c r="AK5401">
        <v>9.1062354374523</v>
      </c>
      <c r="AL5401">
        <v>92.689709735789194</v>
      </c>
      <c r="AM5401">
        <v>106.814903304441</v>
      </c>
      <c r="AN5401">
        <v>0.99999999282210095</v>
      </c>
    </row>
    <row r="5402" spans="1:40" x14ac:dyDescent="0.25">
      <c r="A5402" t="str">
        <f>"20190305135935964"</f>
        <v>20190305135935964</v>
      </c>
      <c r="B5402" t="str">
        <f>"1551765575954249"</f>
        <v>1551765575954249</v>
      </c>
      <c r="C5402" t="s">
        <v>40</v>
      </c>
      <c r="D5402">
        <v>4.3690910000000001</v>
      </c>
      <c r="E5402">
        <v>0.58148900000000003</v>
      </c>
      <c r="F5402" t="s">
        <v>82</v>
      </c>
      <c r="G5402">
        <v>-300.08749999999998</v>
      </c>
      <c r="H5402" s="1">
        <v>-1.9427609999999998E-6</v>
      </c>
      <c r="I5402">
        <v>-43.414169999999999</v>
      </c>
      <c r="J5402">
        <v>-301.13740000000001</v>
      </c>
      <c r="K5402">
        <v>1.109483</v>
      </c>
      <c r="L5402">
        <v>-34.52393</v>
      </c>
      <c r="M5402">
        <v>3.5765789999999999E-2</v>
      </c>
      <c r="N5402">
        <v>-1.2263639999999999E-2</v>
      </c>
      <c r="O5402">
        <v>-0.99928519999999998</v>
      </c>
      <c r="P5402">
        <v>0.32234930000000001</v>
      </c>
      <c r="Q5402">
        <v>-5.6106429999999999E-2</v>
      </c>
      <c r="R5402">
        <v>-0.94495669999999998</v>
      </c>
      <c r="S5402">
        <v>0.34860229999999998</v>
      </c>
      <c r="T5402">
        <v>-0.36383159999999998</v>
      </c>
      <c r="U5402">
        <v>-3.034119</v>
      </c>
      <c r="V5402">
        <v>-0.2883173</v>
      </c>
      <c r="W5402">
        <v>-4.4549489999999997E-2</v>
      </c>
      <c r="X5402">
        <v>0.95649799999999996</v>
      </c>
      <c r="Y5402">
        <v>-7.7826779999999998E-2</v>
      </c>
      <c r="Z5402">
        <v>0.106222</v>
      </c>
      <c r="AA5402">
        <v>0.99129199999999995</v>
      </c>
      <c r="AB5402">
        <v>37</v>
      </c>
      <c r="AC5402">
        <v>1.04990000000003</v>
      </c>
      <c r="AD5402">
        <v>-1.1094849427609901</v>
      </c>
      <c r="AE5402">
        <v>-8.8902399999999897</v>
      </c>
      <c r="AF5402">
        <v>-0.72017573938802404</v>
      </c>
      <c r="AG5402">
        <v>-1.1094849427609901</v>
      </c>
      <c r="AH5402">
        <v>8.7871311818934199</v>
      </c>
      <c r="AI5402">
        <v>97.172429971103199</v>
      </c>
      <c r="AJ5402">
        <v>94.685375761342499</v>
      </c>
      <c r="AK5402">
        <v>8.8861287601305996</v>
      </c>
      <c r="AL5402">
        <v>92.553342885139102</v>
      </c>
      <c r="AM5402">
        <v>106.77438839851</v>
      </c>
      <c r="AN5402">
        <v>0.99999997327127399</v>
      </c>
    </row>
    <row r="5403" spans="1:40" x14ac:dyDescent="0.25">
      <c r="A5403" t="str">
        <f>"20190305135935988"</f>
        <v>20190305135935988</v>
      </c>
      <c r="B5403" t="str">
        <f>"1551765575984505"</f>
        <v>1551765575984505</v>
      </c>
      <c r="C5403" t="s">
        <v>40</v>
      </c>
      <c r="D5403">
        <v>4.34199</v>
      </c>
      <c r="E5403">
        <v>0.58140179999999997</v>
      </c>
      <c r="F5403" t="s">
        <v>41</v>
      </c>
      <c r="G5403">
        <v>-301.03980000000001</v>
      </c>
      <c r="H5403">
        <v>0.99486680000000005</v>
      </c>
      <c r="I5403">
        <v>-35.448129999999999</v>
      </c>
      <c r="J5403">
        <v>-301.1234</v>
      </c>
      <c r="K5403">
        <v>1.1095109999999999</v>
      </c>
      <c r="L5403">
        <v>-34.906559999999999</v>
      </c>
      <c r="M5403">
        <v>3.6027330000000003E-2</v>
      </c>
      <c r="N5403">
        <v>-1.2501150000000001E-2</v>
      </c>
      <c r="O5403">
        <v>-0.99927279999999996</v>
      </c>
      <c r="P5403">
        <v>0.32236409999999999</v>
      </c>
      <c r="Q5403">
        <v>-5.4140550000000003E-2</v>
      </c>
      <c r="R5403">
        <v>-0.94506639999999997</v>
      </c>
      <c r="S5403">
        <v>0.322235099999999</v>
      </c>
      <c r="T5403">
        <v>-0.37729289999999999</v>
      </c>
      <c r="U5403">
        <v>-3.0424190000000002</v>
      </c>
      <c r="V5403">
        <v>-0.28807939999999999</v>
      </c>
      <c r="W5403">
        <v>-4.2353170000000002E-2</v>
      </c>
      <c r="X5403">
        <v>0.9566694</v>
      </c>
      <c r="Y5403">
        <v>-6.8728189999999995E-2</v>
      </c>
      <c r="Z5403">
        <v>0.11007400000000001</v>
      </c>
      <c r="AA5403">
        <v>0.99154430000000005</v>
      </c>
      <c r="AB5403">
        <v>37</v>
      </c>
      <c r="AC5403">
        <v>8.3599999999989905E-2</v>
      </c>
      <c r="AD5403">
        <v>-0.1146442</v>
      </c>
      <c r="AE5403">
        <v>-0.54157</v>
      </c>
      <c r="AF5403">
        <v>-6.1347741240213902E-2</v>
      </c>
      <c r="AG5403">
        <v>-0.1146442</v>
      </c>
      <c r="AH5403">
        <v>0.52140888308219702</v>
      </c>
      <c r="AI5403">
        <v>102.31817732150699</v>
      </c>
      <c r="AJ5403">
        <v>96.710435067057105</v>
      </c>
      <c r="AK5403">
        <v>0.53737701970398799</v>
      </c>
      <c r="AL5403">
        <v>92.427384117132107</v>
      </c>
      <c r="AM5403">
        <v>106.758489235933</v>
      </c>
      <c r="AN5403">
        <v>0.99999993630488204</v>
      </c>
    </row>
    <row r="5404" spans="1:40" x14ac:dyDescent="0.25">
      <c r="A5404" t="str">
        <f>"20190305135936011"</f>
        <v>20190305135936011</v>
      </c>
      <c r="B5404" t="str">
        <f>"1551765576004027"</f>
        <v>1551765576004027</v>
      </c>
      <c r="C5404" t="s">
        <v>40</v>
      </c>
      <c r="D5404">
        <v>4.4396279999999999</v>
      </c>
      <c r="E5404">
        <v>0.58145059999999904</v>
      </c>
      <c r="F5404" t="s">
        <v>82</v>
      </c>
      <c r="G5404">
        <v>-300.1293</v>
      </c>
      <c r="H5404" s="1">
        <v>-2.470628E-6</v>
      </c>
      <c r="I5404">
        <v>-44.235480000000003</v>
      </c>
      <c r="J5404">
        <v>-301.1096</v>
      </c>
      <c r="K5404">
        <v>1.109523</v>
      </c>
      <c r="L5404">
        <v>-35.284550000000003</v>
      </c>
      <c r="M5404">
        <v>3.6285749999999999E-2</v>
      </c>
      <c r="N5404">
        <v>-1.2707039999999999E-2</v>
      </c>
      <c r="O5404">
        <v>-0.99926079999999995</v>
      </c>
      <c r="P5404">
        <v>0.32220120000000002</v>
      </c>
      <c r="Q5404">
        <v>-5.2701499999999998E-2</v>
      </c>
      <c r="R5404">
        <v>-0.94520329999999997</v>
      </c>
      <c r="S5404">
        <v>0.32427979999999901</v>
      </c>
      <c r="T5404">
        <v>-0.3619156</v>
      </c>
      <c r="U5404">
        <v>-3.0430299999999999</v>
      </c>
      <c r="V5404">
        <v>-0.28766520000000001</v>
      </c>
      <c r="W5404">
        <v>-4.071346E-2</v>
      </c>
      <c r="X5404">
        <v>0.95686530000000003</v>
      </c>
      <c r="Y5404">
        <v>-6.9168060000000003E-2</v>
      </c>
      <c r="Z5404">
        <v>0.1049115</v>
      </c>
      <c r="AA5404">
        <v>0.99207319999999999</v>
      </c>
      <c r="AB5404">
        <v>37</v>
      </c>
      <c r="AC5404">
        <v>0.98029999999999895</v>
      </c>
      <c r="AD5404">
        <v>-1.109525470628</v>
      </c>
      <c r="AE5404">
        <v>-8.9509299999999907</v>
      </c>
      <c r="AF5404">
        <v>-0.64504318835752705</v>
      </c>
      <c r="AG5404">
        <v>-1.109525470628</v>
      </c>
      <c r="AH5404">
        <v>8.84629419450272</v>
      </c>
      <c r="AI5404">
        <v>97.130123212747094</v>
      </c>
      <c r="AJ5404">
        <v>94.170442344672793</v>
      </c>
      <c r="AK5404">
        <v>8.9389064465689092</v>
      </c>
      <c r="AL5404">
        <v>92.333354288156102</v>
      </c>
      <c r="AM5404">
        <v>106.73250733023301</v>
      </c>
      <c r="AN5404">
        <v>1.00000002773015</v>
      </c>
    </row>
    <row r="5405" spans="1:40" x14ac:dyDescent="0.25">
      <c r="A5405" t="str">
        <f>"20190305135936038"</f>
        <v>20190305135936038</v>
      </c>
      <c r="B5405" t="str">
        <f>"1551765576034787"</f>
        <v>1551765576034787</v>
      </c>
      <c r="C5405" t="s">
        <v>40</v>
      </c>
      <c r="D5405">
        <v>4.3700869999999998</v>
      </c>
      <c r="E5405">
        <v>0.5811501</v>
      </c>
      <c r="F5405" t="s">
        <v>82</v>
      </c>
      <c r="G5405">
        <v>-300.06670000000003</v>
      </c>
      <c r="H5405" s="1">
        <v>-2.9780269999999998E-6</v>
      </c>
      <c r="I5405">
        <v>-45.047460000000001</v>
      </c>
      <c r="J5405">
        <v>-301.09309999999999</v>
      </c>
      <c r="K5405">
        <v>1.1095360000000001</v>
      </c>
      <c r="L5405">
        <v>-35.728359999999903</v>
      </c>
      <c r="M5405">
        <v>3.6590339999999999E-2</v>
      </c>
      <c r="N5405">
        <v>-1.2917120000000001E-2</v>
      </c>
      <c r="O5405">
        <v>-0.999247</v>
      </c>
      <c r="P5405">
        <v>0.32210169999999999</v>
      </c>
      <c r="Q5405">
        <v>-5.252594E-2</v>
      </c>
      <c r="R5405">
        <v>-0.9452469</v>
      </c>
      <c r="S5405">
        <v>0.32513429999999999</v>
      </c>
      <c r="T5405">
        <v>-0.34591769999999999</v>
      </c>
      <c r="U5405">
        <v>-3.043793</v>
      </c>
      <c r="V5405">
        <v>-0.28727269999999999</v>
      </c>
      <c r="W5405">
        <v>-4.033461E-2</v>
      </c>
      <c r="X5405">
        <v>0.95699920000000005</v>
      </c>
      <c r="Y5405">
        <v>-6.917305E-2</v>
      </c>
      <c r="Z5405">
        <v>9.9537479999999998E-2</v>
      </c>
      <c r="AA5405">
        <v>0.99262649999999997</v>
      </c>
      <c r="AB5405">
        <v>37</v>
      </c>
      <c r="AC5405">
        <v>1.02639999999996</v>
      </c>
      <c r="AD5405">
        <v>-1.109538978027</v>
      </c>
      <c r="AE5405">
        <v>-9.3191000000000006</v>
      </c>
      <c r="AF5405">
        <v>-0.67523802481248396</v>
      </c>
      <c r="AG5405">
        <v>-1.109538978027</v>
      </c>
      <c r="AH5405">
        <v>9.22126880438935</v>
      </c>
      <c r="AI5405">
        <v>96.842919921114401</v>
      </c>
      <c r="AJ5405">
        <v>94.188074512225995</v>
      </c>
      <c r="AK5405">
        <v>9.3122941049302099</v>
      </c>
      <c r="AL5405">
        <v>92.3116300550397</v>
      </c>
      <c r="AM5405">
        <v>106.708742807992</v>
      </c>
      <c r="AN5405">
        <v>0.99999997686488995</v>
      </c>
    </row>
    <row r="5406" spans="1:40" x14ac:dyDescent="0.25">
      <c r="A5406" t="str">
        <f>"20190305135936064"</f>
        <v>20190305135936064</v>
      </c>
      <c r="B5406" t="str">
        <f>"1551765576054307"</f>
        <v>1551765576054307</v>
      </c>
      <c r="C5406" t="s">
        <v>40</v>
      </c>
      <c r="D5406">
        <v>4.4536519999999999</v>
      </c>
      <c r="E5406">
        <v>0.58082089999999997</v>
      </c>
      <c r="F5406" t="s">
        <v>82</v>
      </c>
      <c r="G5406">
        <v>-300.0942</v>
      </c>
      <c r="H5406" s="1">
        <v>-2.9937860000000001E-6</v>
      </c>
      <c r="I5406">
        <v>-45.066229999999997</v>
      </c>
      <c r="J5406">
        <v>-301.07769999999999</v>
      </c>
      <c r="K5406">
        <v>1.109551</v>
      </c>
      <c r="L5406">
        <v>-36.143859999999997</v>
      </c>
      <c r="M5406">
        <v>3.688147E-2</v>
      </c>
      <c r="N5406">
        <v>-1.3081489999999999E-2</v>
      </c>
      <c r="O5406">
        <v>-0.99923410000000001</v>
      </c>
      <c r="P5406">
        <v>0.32184119999999999</v>
      </c>
      <c r="Q5406">
        <v>-5.2607189999999998E-2</v>
      </c>
      <c r="R5406">
        <v>-0.94533100000000003</v>
      </c>
      <c r="S5406">
        <v>0.32550050000000003</v>
      </c>
      <c r="T5406">
        <v>-0.3615447</v>
      </c>
      <c r="U5406">
        <v>-3.0427550000000001</v>
      </c>
      <c r="V5406">
        <v>-0.28673090000000001</v>
      </c>
      <c r="W5406">
        <v>-4.0257769999999998E-2</v>
      </c>
      <c r="X5406">
        <v>0.95716489999999999</v>
      </c>
      <c r="Y5406">
        <v>-6.8979890000000002E-2</v>
      </c>
      <c r="Z5406">
        <v>0.1044263</v>
      </c>
      <c r="AA5406">
        <v>0.99213759999999995</v>
      </c>
      <c r="AB5406">
        <v>37</v>
      </c>
      <c r="AC5406">
        <v>0.98349999999999205</v>
      </c>
      <c r="AD5406">
        <v>-1.1095539937859999</v>
      </c>
      <c r="AE5406">
        <v>-8.9223699999999901</v>
      </c>
      <c r="AF5406">
        <v>-0.64389451838730005</v>
      </c>
      <c r="AG5406">
        <v>-1.1095539937859999</v>
      </c>
      <c r="AH5406">
        <v>8.81784782686948</v>
      </c>
      <c r="AI5406">
        <v>97.153015156283701</v>
      </c>
      <c r="AJ5406">
        <v>94.1764244265283</v>
      </c>
      <c r="AK5406">
        <v>8.9106762096803003</v>
      </c>
      <c r="AL5406">
        <v>92.307223880995394</v>
      </c>
      <c r="AM5406">
        <v>106.676254723767</v>
      </c>
      <c r="AN5406">
        <v>0.99999997142609598</v>
      </c>
    </row>
    <row r="5407" spans="1:40" x14ac:dyDescent="0.25">
      <c r="A5407" t="str">
        <f>"20190305135936095"</f>
        <v>20190305135936095</v>
      </c>
      <c r="B5407" t="str">
        <f>"1551765576084563"</f>
        <v>1551765576084563</v>
      </c>
      <c r="C5407" t="s">
        <v>40</v>
      </c>
      <c r="D5407">
        <v>4.4476180000000003</v>
      </c>
      <c r="E5407">
        <v>0.5803294</v>
      </c>
      <c r="F5407" t="s">
        <v>41</v>
      </c>
      <c r="G5407">
        <v>-300.97559999999999</v>
      </c>
      <c r="H5407">
        <v>0.99269859999999999</v>
      </c>
      <c r="I5407">
        <v>-37.097819999999999</v>
      </c>
      <c r="J5407">
        <v>-301.05790000000002</v>
      </c>
      <c r="K5407">
        <v>1.109564</v>
      </c>
      <c r="L5407">
        <v>-36.669739999999997</v>
      </c>
      <c r="M5407">
        <v>3.7275129999999997E-2</v>
      </c>
      <c r="N5407">
        <v>-1.325753E-2</v>
      </c>
      <c r="O5407">
        <v>-0.99921720000000003</v>
      </c>
      <c r="P5407">
        <v>0.32113560000000002</v>
      </c>
      <c r="Q5407">
        <v>-5.137978E-2</v>
      </c>
      <c r="R5407">
        <v>-0.94563869999999906</v>
      </c>
      <c r="S5407">
        <v>0.32580569999999998</v>
      </c>
      <c r="T5407">
        <v>-0.37259239999999999</v>
      </c>
      <c r="U5407">
        <v>-3.0418400000000001</v>
      </c>
      <c r="V5407">
        <v>-0.28563640000000001</v>
      </c>
      <c r="W5407">
        <v>-3.8864759999999998E-2</v>
      </c>
      <c r="X5407">
        <v>0.95754969999999995</v>
      </c>
      <c r="Y5407">
        <v>-6.8675799999999995E-2</v>
      </c>
      <c r="Z5407">
        <v>0.1078264</v>
      </c>
      <c r="AA5407">
        <v>0.99179490000000003</v>
      </c>
      <c r="AB5407">
        <v>37</v>
      </c>
      <c r="AC5407">
        <v>8.2300000000032E-2</v>
      </c>
      <c r="AD5407">
        <v>-0.11686539999999999</v>
      </c>
      <c r="AE5407">
        <v>-0.42807999999999402</v>
      </c>
      <c r="AF5407">
        <v>-6.18400890274255E-2</v>
      </c>
      <c r="AG5407">
        <v>-0.11686539999999999</v>
      </c>
      <c r="AH5407">
        <v>0.40196076133028202</v>
      </c>
      <c r="AI5407">
        <v>106.032403754065</v>
      </c>
      <c r="AJ5407">
        <v>98.746158349727807</v>
      </c>
      <c r="AK5407">
        <v>0.423147931552666</v>
      </c>
      <c r="AL5407">
        <v>92.227347627110106</v>
      </c>
      <c r="AM5407">
        <v>106.609804969151</v>
      </c>
      <c r="AN5407">
        <v>1.0000000252724499</v>
      </c>
    </row>
    <row r="5408" spans="1:40" x14ac:dyDescent="0.25">
      <c r="A5408" t="str">
        <f>"20190305135936123"</f>
        <v>20190305135936123</v>
      </c>
      <c r="B5408" t="str">
        <f>"1551765576114820"</f>
        <v>1551765576114820</v>
      </c>
      <c r="C5408" t="s">
        <v>40</v>
      </c>
      <c r="D5408">
        <v>4.4704410000000001</v>
      </c>
      <c r="E5408">
        <v>0.57985350000000002</v>
      </c>
      <c r="F5408" t="s">
        <v>82</v>
      </c>
      <c r="G5408">
        <v>-300.10849999999999</v>
      </c>
      <c r="H5408" s="1">
        <v>-3.2524450000000002E-6</v>
      </c>
      <c r="I5408">
        <v>-45.515419999999999</v>
      </c>
      <c r="J5408">
        <v>-301.04079999999999</v>
      </c>
      <c r="K5408">
        <v>1.109588</v>
      </c>
      <c r="L5408">
        <v>-37.118070000000003</v>
      </c>
      <c r="M5408">
        <v>3.7657089999999997E-2</v>
      </c>
      <c r="N5408">
        <v>-1.3381280000000001E-2</v>
      </c>
      <c r="O5408">
        <v>-0.99920129999999996</v>
      </c>
      <c r="P5408">
        <v>0.32215480000000002</v>
      </c>
      <c r="Q5408">
        <v>-5.1774130000000002E-2</v>
      </c>
      <c r="R5408">
        <v>-0.94527050000000001</v>
      </c>
      <c r="S5408">
        <v>0.32635500000000001</v>
      </c>
      <c r="T5408">
        <v>-0.38144139999999999</v>
      </c>
      <c r="U5408">
        <v>-3.040924</v>
      </c>
      <c r="V5408">
        <v>-0.28630060000000002</v>
      </c>
      <c r="W5408">
        <v>-3.9160859999999999E-2</v>
      </c>
      <c r="X5408">
        <v>0.95733919999999995</v>
      </c>
      <c r="Y5408">
        <v>-6.8469130000000003E-2</v>
      </c>
      <c r="Z5408">
        <v>0.1105713</v>
      </c>
      <c r="AA5408">
        <v>0.99150689999999997</v>
      </c>
      <c r="AB5408">
        <v>37</v>
      </c>
      <c r="AC5408">
        <v>0.93229999999999802</v>
      </c>
      <c r="AD5408">
        <v>-1.109591252445</v>
      </c>
      <c r="AE5408">
        <v>-8.3973499999999905</v>
      </c>
      <c r="AF5408">
        <v>-0.60495672711503601</v>
      </c>
      <c r="AG5408">
        <v>-1.109591252445</v>
      </c>
      <c r="AH5408">
        <v>8.2836334055920506</v>
      </c>
      <c r="AI5408">
        <v>97.609319466533194</v>
      </c>
      <c r="AJ5408">
        <v>94.176916150116696</v>
      </c>
      <c r="AK5408">
        <v>8.3794837422972996</v>
      </c>
      <c r="AL5408">
        <v>92.244325944852207</v>
      </c>
      <c r="AM5408">
        <v>106.64975113802301</v>
      </c>
      <c r="AN5408">
        <v>0.99999997518646899</v>
      </c>
    </row>
    <row r="5409" spans="1:40" x14ac:dyDescent="0.25">
      <c r="A5409" t="str">
        <f>"20190305135936148"</f>
        <v>20190305135936148</v>
      </c>
      <c r="B5409" t="str">
        <f>"1551765576144100"</f>
        <v>1551765576144100</v>
      </c>
      <c r="C5409" t="s">
        <v>40</v>
      </c>
      <c r="D5409">
        <v>4.4893010000000002</v>
      </c>
      <c r="E5409">
        <v>0.57949419999999996</v>
      </c>
      <c r="F5409" t="s">
        <v>41</v>
      </c>
      <c r="G5409">
        <v>-300.9359</v>
      </c>
      <c r="H5409">
        <v>0.98519380000000001</v>
      </c>
      <c r="I5409">
        <v>-38.080019999999998</v>
      </c>
      <c r="J5409">
        <v>-301.024</v>
      </c>
      <c r="K5409">
        <v>1.1096379999999999</v>
      </c>
      <c r="L5409">
        <v>-37.552</v>
      </c>
      <c r="M5409">
        <v>3.8110819999999997E-2</v>
      </c>
      <c r="N5409">
        <v>-1.3481709999999999E-2</v>
      </c>
      <c r="O5409">
        <v>-0.99918269999999998</v>
      </c>
      <c r="P5409">
        <v>0.32315680000000002</v>
      </c>
      <c r="Q5409">
        <v>-5.1008860000000003E-2</v>
      </c>
      <c r="R5409">
        <v>-0.94496999999999998</v>
      </c>
      <c r="S5409">
        <v>0.33206180000000002</v>
      </c>
      <c r="T5409">
        <v>-0.39298490000000003</v>
      </c>
      <c r="U5409">
        <v>-3.0390009999999998</v>
      </c>
      <c r="V5409">
        <v>-0.28687489999999999</v>
      </c>
      <c r="W5409">
        <v>-3.833425E-2</v>
      </c>
      <c r="X5409">
        <v>0.95720079999999996</v>
      </c>
      <c r="Y5409">
        <v>-6.9874309999999995E-2</v>
      </c>
      <c r="Z5409">
        <v>0.114222699999999</v>
      </c>
      <c r="AA5409">
        <v>0.99099479999999995</v>
      </c>
      <c r="AB5409">
        <v>37</v>
      </c>
      <c r="AC5409">
        <v>8.8099999999997097E-2</v>
      </c>
      <c r="AD5409">
        <v>-0.12444419999999901</v>
      </c>
      <c r="AE5409">
        <v>-0.52802000000000504</v>
      </c>
      <c r="AF5409">
        <v>-6.4429070971885397E-2</v>
      </c>
      <c r="AG5409">
        <v>-0.12444419999999901</v>
      </c>
      <c r="AH5409">
        <v>0.50376995843486805</v>
      </c>
      <c r="AI5409">
        <v>103.76792310344401</v>
      </c>
      <c r="AJ5409">
        <v>97.288211367731606</v>
      </c>
      <c r="AK5409">
        <v>0.52289734663833298</v>
      </c>
      <c r="AL5409">
        <v>92.196928926077803</v>
      </c>
      <c r="AM5409">
        <v>106.683573427027</v>
      </c>
      <c r="AN5409">
        <v>1.00000004724685</v>
      </c>
    </row>
    <row r="5410" spans="1:40" x14ac:dyDescent="0.25">
      <c r="A5410" t="str">
        <f>"20190305135936171"</f>
        <v>20190305135936171</v>
      </c>
      <c r="B5410" t="str">
        <f>"1551765576164596"</f>
        <v>1551765576164596</v>
      </c>
      <c r="C5410" t="s">
        <v>40</v>
      </c>
      <c r="D5410">
        <v>4.4594469999999999</v>
      </c>
      <c r="E5410">
        <v>0.57942579999999999</v>
      </c>
      <c r="F5410" t="s">
        <v>41</v>
      </c>
      <c r="G5410">
        <v>-300.9282</v>
      </c>
      <c r="H5410">
        <v>0.9965292</v>
      </c>
      <c r="I5410">
        <v>-38.414900000000003</v>
      </c>
      <c r="J5410">
        <v>-301.00959999999998</v>
      </c>
      <c r="K5410">
        <v>1.109702</v>
      </c>
      <c r="L5410">
        <v>-37.917789999999997</v>
      </c>
      <c r="M5410">
        <v>3.8569850000000003E-2</v>
      </c>
      <c r="N5410">
        <v>-1.35543E-2</v>
      </c>
      <c r="O5410">
        <v>-0.99916400000000005</v>
      </c>
      <c r="P5410">
        <v>0.32438660000000002</v>
      </c>
      <c r="Q5410">
        <v>-4.9527099999999998E-2</v>
      </c>
      <c r="R5410">
        <v>-0.94462729999999995</v>
      </c>
      <c r="S5410">
        <v>0.33764650000000002</v>
      </c>
      <c r="T5410">
        <v>-0.3981944</v>
      </c>
      <c r="U5410">
        <v>-3.03775</v>
      </c>
      <c r="V5410">
        <v>-0.28767340000000002</v>
      </c>
      <c r="W5410">
        <v>-3.6825030000000002E-2</v>
      </c>
      <c r="X5410">
        <v>0.95702030000000005</v>
      </c>
      <c r="Y5410">
        <v>-7.1236679999999997E-2</v>
      </c>
      <c r="Z5410">
        <v>0.11584709999999999</v>
      </c>
      <c r="AA5410">
        <v>0.99070919999999896</v>
      </c>
      <c r="AB5410">
        <v>37</v>
      </c>
      <c r="AC5410">
        <v>8.1399999999973702E-2</v>
      </c>
      <c r="AD5410">
        <v>-0.1131728</v>
      </c>
      <c r="AE5410">
        <v>-0.497109999999999</v>
      </c>
      <c r="AF5410">
        <v>-5.9177154681238998E-2</v>
      </c>
      <c r="AG5410">
        <v>-0.1131728</v>
      </c>
      <c r="AH5410">
        <v>0.47586022992836402</v>
      </c>
      <c r="AI5410">
        <v>103.27937226922499</v>
      </c>
      <c r="AJ5410">
        <v>97.088810709003297</v>
      </c>
      <c r="AK5410">
        <v>0.492699682081776</v>
      </c>
      <c r="AL5410">
        <v>92.110396043259598</v>
      </c>
      <c r="AM5410">
        <v>106.73039900261</v>
      </c>
      <c r="AN5410">
        <v>0.99999996125707402</v>
      </c>
    </row>
    <row r="5411" spans="1:40" x14ac:dyDescent="0.25">
      <c r="A5411" t="str">
        <f>"20190305135936191"</f>
        <v>20190305135936191</v>
      </c>
      <c r="B5411" t="str">
        <f>"1551765576184115"</f>
        <v>1551765576184115</v>
      </c>
      <c r="C5411" t="s">
        <v>40</v>
      </c>
      <c r="D5411">
        <v>4.432194</v>
      </c>
      <c r="E5411">
        <v>0.57929919999999901</v>
      </c>
      <c r="F5411" t="s">
        <v>41</v>
      </c>
      <c r="G5411">
        <v>-300.91609999999997</v>
      </c>
      <c r="H5411">
        <v>1.000956</v>
      </c>
      <c r="I5411">
        <v>-38.750810000000001</v>
      </c>
      <c r="J5411">
        <v>-300.99599999999998</v>
      </c>
      <c r="K5411">
        <v>1.109796</v>
      </c>
      <c r="L5411">
        <v>-38.256039999999999</v>
      </c>
      <c r="M5411">
        <v>3.9094940000000002E-2</v>
      </c>
      <c r="N5411">
        <v>-1.3612610000000001E-2</v>
      </c>
      <c r="O5411">
        <v>-0.99914289999999994</v>
      </c>
      <c r="P5411">
        <v>0.32631749999999998</v>
      </c>
      <c r="Q5411">
        <v>-4.7128990000000003E-2</v>
      </c>
      <c r="R5411">
        <v>-0.94408479999999995</v>
      </c>
      <c r="S5411">
        <v>0.3418274</v>
      </c>
      <c r="T5411">
        <v>-0.39656839999999999</v>
      </c>
      <c r="U5411">
        <v>-3.0376590000000001</v>
      </c>
      <c r="V5411">
        <v>-0.28911750000000003</v>
      </c>
      <c r="W5411">
        <v>-3.4428390000000003E-2</v>
      </c>
      <c r="X5411">
        <v>0.95667429999999998</v>
      </c>
      <c r="Y5411">
        <v>-7.2069289999999994E-2</v>
      </c>
      <c r="Z5411">
        <v>0.1152565</v>
      </c>
      <c r="AA5411">
        <v>0.99071790000000004</v>
      </c>
      <c r="AB5411">
        <v>37</v>
      </c>
      <c r="AC5411">
        <v>7.9900000000009103E-2</v>
      </c>
      <c r="AD5411">
        <v>-0.10884000000000001</v>
      </c>
      <c r="AE5411">
        <v>-0.494769999999988</v>
      </c>
      <c r="AF5411">
        <v>-5.7769598033970103E-2</v>
      </c>
      <c r="AG5411">
        <v>-0.10884000000000001</v>
      </c>
      <c r="AH5411">
        <v>0.475108708548859</v>
      </c>
      <c r="AI5411">
        <v>102.811716937437</v>
      </c>
      <c r="AJ5411">
        <v>96.932697824303304</v>
      </c>
      <c r="AK5411">
        <v>0.4908276245241</v>
      </c>
      <c r="AL5411">
        <v>91.972991382804906</v>
      </c>
      <c r="AM5411">
        <v>106.815394637032</v>
      </c>
      <c r="AN5411">
        <v>0.99999997956236497</v>
      </c>
    </row>
    <row r="5412" spans="1:40" x14ac:dyDescent="0.25">
      <c r="A5412" t="str">
        <f>"20190305135936215"</f>
        <v>20190305135936215</v>
      </c>
      <c r="B5412" t="str">
        <f>"1551765576204612"</f>
        <v>1551765576204612</v>
      </c>
      <c r="C5412" t="s">
        <v>40</v>
      </c>
      <c r="D5412">
        <v>4.2229299999999999</v>
      </c>
      <c r="E5412">
        <v>0.58028659999999999</v>
      </c>
      <c r="F5412" t="s">
        <v>82</v>
      </c>
      <c r="G5412">
        <v>-300.00799999999998</v>
      </c>
      <c r="H5412" s="1">
        <v>-3.9279519999999999E-6</v>
      </c>
      <c r="I5412">
        <v>-46.852600000000002</v>
      </c>
      <c r="J5412">
        <v>-300.98020000000002</v>
      </c>
      <c r="K5412">
        <v>1.1099300000000001</v>
      </c>
      <c r="L5412">
        <v>-38.642910000000001</v>
      </c>
      <c r="M5412">
        <v>3.9847029999999999E-2</v>
      </c>
      <c r="N5412">
        <v>-1.367078E-2</v>
      </c>
      <c r="O5412">
        <v>-0.99911240000000001</v>
      </c>
      <c r="P5412">
        <v>0.32921919999999999</v>
      </c>
      <c r="Q5412">
        <v>-4.4798289999999998E-2</v>
      </c>
      <c r="R5412">
        <v>-0.94319050000000004</v>
      </c>
      <c r="S5412">
        <v>0.34909059999999997</v>
      </c>
      <c r="T5412">
        <v>-0.39212829999999999</v>
      </c>
      <c r="U5412">
        <v>-3.037445</v>
      </c>
      <c r="V5412">
        <v>-0.2913269</v>
      </c>
      <c r="W5412">
        <v>-3.213353E-2</v>
      </c>
      <c r="X5412">
        <v>0.95608369999999998</v>
      </c>
      <c r="Y5412">
        <v>-7.3683470000000001E-2</v>
      </c>
      <c r="Z5412">
        <v>0.1137585</v>
      </c>
      <c r="AA5412">
        <v>0.99077230000000005</v>
      </c>
      <c r="AB5412">
        <v>37</v>
      </c>
      <c r="AC5412">
        <v>0.97220000000004303</v>
      </c>
      <c r="AD5412">
        <v>-1.109933927952</v>
      </c>
      <c r="AE5412">
        <v>-8.2096900000000002</v>
      </c>
      <c r="AF5412">
        <v>-0.63285771479319697</v>
      </c>
      <c r="AG5412">
        <v>-1.109933927952</v>
      </c>
      <c r="AH5412">
        <v>8.0959756598411001</v>
      </c>
      <c r="AI5412">
        <v>97.782962983581797</v>
      </c>
      <c r="AJ5412">
        <v>94.469688643168993</v>
      </c>
      <c r="AK5412">
        <v>8.1961749674059394</v>
      </c>
      <c r="AL5412">
        <v>91.841432671689901</v>
      </c>
      <c r="AM5412">
        <v>106.94642820446499</v>
      </c>
      <c r="AN5412">
        <v>0.99999998390977995</v>
      </c>
    </row>
    <row r="5413" spans="1:40" x14ac:dyDescent="0.25">
      <c r="A5413" t="str">
        <f>"20190305135936237"</f>
        <v>20190305135936237</v>
      </c>
      <c r="B5413" t="str">
        <f>"1551765576234867"</f>
        <v>1551765576234867</v>
      </c>
      <c r="C5413" t="s">
        <v>40</v>
      </c>
      <c r="D5413">
        <v>4.1654489999999997</v>
      </c>
      <c r="E5413">
        <v>0.58357599999999998</v>
      </c>
      <c r="F5413" t="s">
        <v>82</v>
      </c>
      <c r="G5413">
        <v>-299.95249999999999</v>
      </c>
      <c r="H5413" s="1">
        <v>-4.2601010000000003E-6</v>
      </c>
      <c r="I5413">
        <v>-47.507899999999999</v>
      </c>
      <c r="J5413">
        <v>-300.96530000000001</v>
      </c>
      <c r="K5413">
        <v>1.1100920000000001</v>
      </c>
      <c r="L5413">
        <v>-38.998570000000001</v>
      </c>
      <c r="M5413">
        <v>4.0717799999999998E-2</v>
      </c>
      <c r="N5413">
        <v>-1.371733E-2</v>
      </c>
      <c r="O5413">
        <v>-0.99907650000000003</v>
      </c>
      <c r="P5413">
        <v>0.33232060000000002</v>
      </c>
      <c r="Q5413">
        <v>-4.3515480000000002E-2</v>
      </c>
      <c r="R5413">
        <v>-0.94216230000000001</v>
      </c>
      <c r="S5413">
        <v>0.35238649999999999</v>
      </c>
      <c r="T5413">
        <v>-0.38057609999999997</v>
      </c>
      <c r="U5413">
        <v>-3.0396420000000002</v>
      </c>
      <c r="V5413">
        <v>-0.293626</v>
      </c>
      <c r="W5413">
        <v>-3.0915990000000001E-2</v>
      </c>
      <c r="X5413">
        <v>0.9554203</v>
      </c>
      <c r="Y5413">
        <v>-7.3844670000000001E-2</v>
      </c>
      <c r="Z5413">
        <v>0.1099131</v>
      </c>
      <c r="AA5413">
        <v>0.99119420000000003</v>
      </c>
      <c r="AB5413">
        <v>37</v>
      </c>
      <c r="AC5413">
        <v>1.0128000000000199</v>
      </c>
      <c r="AD5413">
        <v>-1.110096260101</v>
      </c>
      <c r="AE5413">
        <v>-8.5093299999999896</v>
      </c>
      <c r="AF5413">
        <v>-0.65446346548211498</v>
      </c>
      <c r="AG5413">
        <v>-1.110096260101</v>
      </c>
      <c r="AH5413">
        <v>8.4025109552606008</v>
      </c>
      <c r="AI5413">
        <v>97.503570102269407</v>
      </c>
      <c r="AJ5413">
        <v>94.453721004681896</v>
      </c>
      <c r="AK5413">
        <v>8.5007544657880505</v>
      </c>
      <c r="AL5413">
        <v>91.771638065710405</v>
      </c>
      <c r="AM5413">
        <v>107.08358172444601</v>
      </c>
      <c r="AN5413">
        <v>0.99999998798288503</v>
      </c>
    </row>
    <row r="5414" spans="1:40" x14ac:dyDescent="0.25">
      <c r="A5414" t="str">
        <f>"20190305135936263"</f>
        <v>20190305135936263</v>
      </c>
      <c r="B5414" t="str">
        <f>"1551765576254388"</f>
        <v>1551765576254388</v>
      </c>
      <c r="C5414" t="s">
        <v>40</v>
      </c>
      <c r="D5414">
        <v>4.1468959999999999</v>
      </c>
      <c r="E5414">
        <v>0.57652440000000005</v>
      </c>
      <c r="F5414" t="s">
        <v>82</v>
      </c>
      <c r="G5414">
        <v>-297.3039</v>
      </c>
      <c r="H5414" s="1">
        <v>-1.3994320000000001E-5</v>
      </c>
      <c r="I5414">
        <v>-69.396150000000006</v>
      </c>
      <c r="J5414">
        <v>-300.94740000000002</v>
      </c>
      <c r="K5414">
        <v>1.1103080000000001</v>
      </c>
      <c r="L5414">
        <v>-39.40598</v>
      </c>
      <c r="M5414">
        <v>4.1986990000000002E-2</v>
      </c>
      <c r="N5414">
        <v>-1.3763640000000001E-2</v>
      </c>
      <c r="O5414">
        <v>-0.99902340000000001</v>
      </c>
      <c r="P5414">
        <v>0.33706190000000003</v>
      </c>
      <c r="Q5414">
        <v>-4.2262319999999999E-2</v>
      </c>
      <c r="R5414">
        <v>-0.94053379999999998</v>
      </c>
      <c r="S5414">
        <v>0.36730960000000001</v>
      </c>
      <c r="T5414">
        <v>-0.1113652</v>
      </c>
      <c r="U5414">
        <v>-3.0494690000000002</v>
      </c>
      <c r="V5414">
        <v>-0.29720639999999998</v>
      </c>
      <c r="W5414">
        <v>-2.9777959999999999E-2</v>
      </c>
      <c r="X5414">
        <v>0.9543488</v>
      </c>
      <c r="Y5414">
        <v>-7.7733830000000004E-2</v>
      </c>
      <c r="Z5414">
        <v>2.253757E-2</v>
      </c>
      <c r="AA5414">
        <v>0.99671940000000003</v>
      </c>
      <c r="AB5414">
        <v>37</v>
      </c>
      <c r="AC5414">
        <v>3.6435000000000102</v>
      </c>
      <c r="AD5414">
        <v>-1.11032199432</v>
      </c>
      <c r="AE5414">
        <v>-29.990169999999999</v>
      </c>
      <c r="AF5414">
        <v>-2.37775843524703</v>
      </c>
      <c r="AG5414">
        <v>-1.11032199432</v>
      </c>
      <c r="AH5414">
        <v>30.076087021974601</v>
      </c>
      <c r="AI5414">
        <v>92.1076636261094</v>
      </c>
      <c r="AJ5414">
        <v>94.520293822051897</v>
      </c>
      <c r="AK5414">
        <v>30.1903554245532</v>
      </c>
      <c r="AL5414">
        <v>91.706403676871403</v>
      </c>
      <c r="AM5414">
        <v>107.297802640841</v>
      </c>
      <c r="AN5414">
        <v>1.00000000158208</v>
      </c>
    </row>
    <row r="5415" spans="1:40" x14ac:dyDescent="0.25">
      <c r="A5415" t="str">
        <f>"20190305135936289"</f>
        <v>20190305135936289</v>
      </c>
      <c r="B5415" t="str">
        <f>"1551765576284644"</f>
        <v>1551765576284644</v>
      </c>
      <c r="C5415" t="s">
        <v>40</v>
      </c>
      <c r="D5415">
        <v>4.3792559999999998</v>
      </c>
      <c r="E5415">
        <v>0.52819839999999996</v>
      </c>
      <c r="F5415" t="s">
        <v>82</v>
      </c>
      <c r="G5415">
        <v>-295.79840000000002</v>
      </c>
      <c r="H5415">
        <v>7.9986559999999998E-2</v>
      </c>
      <c r="I5415">
        <v>-75.009780000000006</v>
      </c>
      <c r="J5415">
        <v>-300.92750000000001</v>
      </c>
      <c r="K5415">
        <v>1.110557</v>
      </c>
      <c r="L5415">
        <v>-39.839970000000001</v>
      </c>
      <c r="M5415">
        <v>4.3658540000000003E-2</v>
      </c>
      <c r="N5415">
        <v>-1.3806789999999999E-2</v>
      </c>
      <c r="O5415">
        <v>-0.99895140000000004</v>
      </c>
      <c r="P5415">
        <v>0.34192549999999999</v>
      </c>
      <c r="Q5415">
        <v>-4.1273879999999999E-2</v>
      </c>
      <c r="R5415">
        <v>-0.93882049999999995</v>
      </c>
      <c r="S5415">
        <v>0.43801879999999999</v>
      </c>
      <c r="T5415">
        <v>-8.7648390000000007E-2</v>
      </c>
      <c r="U5415">
        <v>-3.028778</v>
      </c>
      <c r="V5415">
        <v>-0.30053039999999998</v>
      </c>
      <c r="W5415">
        <v>-2.8934769999999999E-2</v>
      </c>
      <c r="X5415">
        <v>0.95333330000000005</v>
      </c>
      <c r="Y5415">
        <v>-9.9735359999999995E-2</v>
      </c>
      <c r="Z5415">
        <v>1.490351E-2</v>
      </c>
      <c r="AA5415">
        <v>0.99490239999999996</v>
      </c>
      <c r="AB5415">
        <v>37</v>
      </c>
      <c r="AC5415">
        <v>5.1290999999999896</v>
      </c>
      <c r="AD5415">
        <v>-1.03057044</v>
      </c>
      <c r="AE5415">
        <v>-35.169809999999998</v>
      </c>
      <c r="AF5415">
        <v>-3.58558542106588</v>
      </c>
      <c r="AG5415">
        <v>-1.03057044</v>
      </c>
      <c r="AH5415">
        <v>35.330515202050798</v>
      </c>
      <c r="AI5415">
        <v>91.662276938880396</v>
      </c>
      <c r="AJ5415">
        <v>95.794931796673296</v>
      </c>
      <c r="AK5415">
        <v>35.526944741785798</v>
      </c>
      <c r="AL5415">
        <v>91.658071517021</v>
      </c>
      <c r="AM5415">
        <v>107.49702421659499</v>
      </c>
      <c r="AN5415">
        <v>1.0000000615639899</v>
      </c>
    </row>
    <row r="5416" spans="1:40" x14ac:dyDescent="0.25">
      <c r="A5416" t="str">
        <f>"20190305135936311"</f>
        <v>20190305135936311</v>
      </c>
      <c r="B5416" t="str">
        <f>"1551765576305141"</f>
        <v>1551765576305141</v>
      </c>
      <c r="C5416" t="s">
        <v>40</v>
      </c>
      <c r="D5416">
        <v>4.3955789999999997</v>
      </c>
      <c r="E5416">
        <v>0.52727190000000002</v>
      </c>
      <c r="F5416" t="s">
        <v>82</v>
      </c>
      <c r="G5416">
        <v>-295.6071</v>
      </c>
      <c r="H5416" s="1">
        <v>-7.8939069999999999E-6</v>
      </c>
      <c r="I5416">
        <v>-58.88326</v>
      </c>
      <c r="J5416">
        <v>-300.90960000000001</v>
      </c>
      <c r="K5416">
        <v>1.11077</v>
      </c>
      <c r="L5416">
        <v>-40.213039999999999</v>
      </c>
      <c r="M5416">
        <v>4.5341989999999999E-2</v>
      </c>
      <c r="N5416">
        <v>-1.3839099999999899E-2</v>
      </c>
      <c r="O5416">
        <v>-0.99887590000000004</v>
      </c>
      <c r="P5416">
        <v>0.34707149999999998</v>
      </c>
      <c r="Q5416">
        <v>-4.0186569999999998E-2</v>
      </c>
      <c r="R5416">
        <v>-0.93697779999999997</v>
      </c>
      <c r="S5416">
        <v>0.80844119999999997</v>
      </c>
      <c r="T5416">
        <v>-0.1687514</v>
      </c>
      <c r="U5416">
        <v>-2.8936459999999999</v>
      </c>
      <c r="V5416">
        <v>-0.30413820000000003</v>
      </c>
      <c r="W5416">
        <v>-2.7986520000000001E-2</v>
      </c>
      <c r="X5416">
        <v>0.95221670000000003</v>
      </c>
      <c r="Y5416">
        <v>-0.2247796</v>
      </c>
      <c r="Z5416">
        <v>4.2574010000000002E-2</v>
      </c>
      <c r="AA5416">
        <v>0.97347910000000004</v>
      </c>
      <c r="AB5416">
        <v>37</v>
      </c>
      <c r="AC5416">
        <v>5.3025000000000002</v>
      </c>
      <c r="AD5416">
        <v>-1.1107778939069901</v>
      </c>
      <c r="AE5416">
        <v>-18.67022</v>
      </c>
      <c r="AF5416">
        <v>-4.4358902796006801</v>
      </c>
      <c r="AG5416">
        <v>-1.1107778939069901</v>
      </c>
      <c r="AH5416">
        <v>18.829787960102301</v>
      </c>
      <c r="AI5416">
        <v>93.286240182215707</v>
      </c>
      <c r="AJ5416">
        <v>103.25594965459</v>
      </c>
      <c r="AK5416">
        <v>19.377096395607399</v>
      </c>
      <c r="AL5416">
        <v>91.603718929744602</v>
      </c>
      <c r="AM5416">
        <v>107.71349214771</v>
      </c>
      <c r="AN5416">
        <v>0.99999996687991899</v>
      </c>
    </row>
    <row r="5417" spans="1:40" x14ac:dyDescent="0.25">
      <c r="A5417" t="str">
        <f>"20190305135936333"</f>
        <v>20190305135936333</v>
      </c>
      <c r="B5417" t="str">
        <f>"1551765576324660"</f>
        <v>1551765576324660</v>
      </c>
      <c r="C5417" t="s">
        <v>40</v>
      </c>
      <c r="D5417">
        <v>4.3742179999999999</v>
      </c>
      <c r="E5417">
        <v>0.52607569999999904</v>
      </c>
      <c r="F5417" t="s">
        <v>82</v>
      </c>
      <c r="G5417">
        <v>-295.96850000000001</v>
      </c>
      <c r="H5417" s="1">
        <v>-7.9088079999999998E-6</v>
      </c>
      <c r="I5417">
        <v>-57.418509999999998</v>
      </c>
      <c r="J5417">
        <v>-300.89190000000002</v>
      </c>
      <c r="K5417">
        <v>1.110986</v>
      </c>
      <c r="L5417">
        <v>-40.565249999999999</v>
      </c>
      <c r="M5417">
        <v>4.7190959999999997E-2</v>
      </c>
      <c r="N5417">
        <v>-1.386599E-2</v>
      </c>
      <c r="O5417">
        <v>-0.9987897</v>
      </c>
      <c r="P5417">
        <v>0.35112719999999997</v>
      </c>
      <c r="Q5417">
        <v>-3.8595989999999997E-2</v>
      </c>
      <c r="R5417">
        <v>-0.93553220000000004</v>
      </c>
      <c r="S5417">
        <v>0.82901000000000002</v>
      </c>
      <c r="T5417">
        <v>-0.18636539999999999</v>
      </c>
      <c r="U5417">
        <v>-2.8867189999999998</v>
      </c>
      <c r="V5417">
        <v>-0.30648720000000002</v>
      </c>
      <c r="W5417">
        <v>-2.653753E-2</v>
      </c>
      <c r="X5417">
        <v>0.95150480000000004</v>
      </c>
      <c r="Y5417">
        <v>-0.22991220000000001</v>
      </c>
      <c r="Z5417">
        <v>4.8451080000000001E-2</v>
      </c>
      <c r="AA5417">
        <v>0.9720046</v>
      </c>
      <c r="AB5417">
        <v>37</v>
      </c>
      <c r="AC5417">
        <v>4.9234000000000098</v>
      </c>
      <c r="AD5417">
        <v>-1.1109939088079901</v>
      </c>
      <c r="AE5417">
        <v>-16.853259999999999</v>
      </c>
      <c r="AF5417">
        <v>-4.1060752459966903</v>
      </c>
      <c r="AG5417">
        <v>-1.1109939088079901</v>
      </c>
      <c r="AH5417">
        <v>16.998779923849298</v>
      </c>
      <c r="AI5417">
        <v>93.6351242565174</v>
      </c>
      <c r="AJ5417">
        <v>103.579738937062</v>
      </c>
      <c r="AK5417">
        <v>17.522918714947501</v>
      </c>
      <c r="AL5417">
        <v>91.520666967392998</v>
      </c>
      <c r="AM5417">
        <v>107.854159101348</v>
      </c>
      <c r="AN5417">
        <v>1.0000000143426899</v>
      </c>
    </row>
    <row r="5418" spans="1:40" x14ac:dyDescent="0.25">
      <c r="A5418" t="str">
        <f>"20190305135936353"</f>
        <v>20190305135936353</v>
      </c>
      <c r="B5418" t="str">
        <f>"1551765576344180"</f>
        <v>1551765576344180</v>
      </c>
      <c r="C5418" t="s">
        <v>40</v>
      </c>
      <c r="D5418">
        <v>4.3978950000000001</v>
      </c>
      <c r="E5418">
        <v>0.52507890000000002</v>
      </c>
      <c r="F5418" t="s">
        <v>82</v>
      </c>
      <c r="G5418">
        <v>-296.37580000000003</v>
      </c>
      <c r="H5418" s="1">
        <v>-7.9221119999999994E-6</v>
      </c>
      <c r="I5418">
        <v>-55.914630000000002</v>
      </c>
      <c r="J5418">
        <v>-300.87470000000002</v>
      </c>
      <c r="K5418">
        <v>1.1112040000000001</v>
      </c>
      <c r="L5418">
        <v>-40.892209999999999</v>
      </c>
      <c r="M5418">
        <v>4.9174179999999998E-2</v>
      </c>
      <c r="N5418">
        <v>-1.388938E-2</v>
      </c>
      <c r="O5418">
        <v>-0.99869359999999996</v>
      </c>
      <c r="P5418">
        <v>0.35425079999999998</v>
      </c>
      <c r="Q5418">
        <v>-3.6823889999999998E-2</v>
      </c>
      <c r="R5418">
        <v>-0.93442510000000001</v>
      </c>
      <c r="S5418">
        <v>0.84738159999999896</v>
      </c>
      <c r="T5418">
        <v>-0.20846239999999999</v>
      </c>
      <c r="U5418">
        <v>-2.880096</v>
      </c>
      <c r="V5418">
        <v>-0.30776569999999998</v>
      </c>
      <c r="W5418">
        <v>-2.4914459999999999E-2</v>
      </c>
      <c r="X5418">
        <v>0.95113590000000003</v>
      </c>
      <c r="Y5418">
        <v>-0.2341636</v>
      </c>
      <c r="Z5418">
        <v>5.5827410000000001E-2</v>
      </c>
      <c r="AA5418">
        <v>0.97059300000000004</v>
      </c>
      <c r="AB5418">
        <v>37</v>
      </c>
      <c r="AC5418">
        <v>4.4988999999999901</v>
      </c>
      <c r="AD5418">
        <v>-1.111211922112</v>
      </c>
      <c r="AE5418">
        <v>-15.02242</v>
      </c>
      <c r="AF5418">
        <v>-3.7359108362879798</v>
      </c>
      <c r="AG5418">
        <v>-1.111211922112</v>
      </c>
      <c r="AH5418">
        <v>15.1494246446809</v>
      </c>
      <c r="AI5418">
        <v>94.073532968082702</v>
      </c>
      <c r="AJ5418">
        <v>103.852974413658</v>
      </c>
      <c r="AK5418">
        <v>15.6427903130293</v>
      </c>
      <c r="AL5418">
        <v>91.427641160447607</v>
      </c>
      <c r="AM5418">
        <v>107.930387916977</v>
      </c>
      <c r="AN5418">
        <v>0.99999997834119503</v>
      </c>
    </row>
    <row r="5419" spans="1:40" x14ac:dyDescent="0.25">
      <c r="A5419" t="str">
        <f>"20190305135936377"</f>
        <v>20190305135936377</v>
      </c>
      <c r="B5419" t="str">
        <f>"1551765576364676"</f>
        <v>1551765576364676</v>
      </c>
      <c r="C5419" t="s">
        <v>40</v>
      </c>
      <c r="D5419">
        <v>4.3441640000000001</v>
      </c>
      <c r="E5419">
        <v>0.52431119999999898</v>
      </c>
      <c r="F5419" t="s">
        <v>82</v>
      </c>
      <c r="G5419">
        <v>-296.5367</v>
      </c>
      <c r="H5419" s="1">
        <v>-7.929231E-6</v>
      </c>
      <c r="I5419">
        <v>-55.349209999999999</v>
      </c>
      <c r="J5419">
        <v>-300.85340000000002</v>
      </c>
      <c r="K5419">
        <v>1.11148799999999</v>
      </c>
      <c r="L5419">
        <v>-41.275539999999999</v>
      </c>
      <c r="M5419">
        <v>5.1825940000000001E-2</v>
      </c>
      <c r="N5419">
        <v>-1.3916339999999999E-2</v>
      </c>
      <c r="O5419">
        <v>-0.99855939999999999</v>
      </c>
      <c r="P5419">
        <v>0.35758299999999998</v>
      </c>
      <c r="Q5419">
        <v>-3.6822100000000003E-2</v>
      </c>
      <c r="R5419">
        <v>-0.93315539999999997</v>
      </c>
      <c r="S5419">
        <v>0.86260990000000004</v>
      </c>
      <c r="T5419">
        <v>-0.22096560000000001</v>
      </c>
      <c r="U5419">
        <v>-2.8747859999999998</v>
      </c>
      <c r="V5419">
        <v>-0.30861620000000001</v>
      </c>
      <c r="W5419">
        <v>-2.5111519999999998E-2</v>
      </c>
      <c r="X5419">
        <v>0.95085509999999995</v>
      </c>
      <c r="Y5419">
        <v>-0.2367126</v>
      </c>
      <c r="Z5419">
        <v>6.0000699999999997E-2</v>
      </c>
      <c r="AA5419">
        <v>0.96972530000000001</v>
      </c>
      <c r="AB5419">
        <v>37</v>
      </c>
      <c r="AC5419">
        <v>4.3167000000000204</v>
      </c>
      <c r="AD5419">
        <v>-1.1114959292309901</v>
      </c>
      <c r="AE5419">
        <v>-14.07367</v>
      </c>
      <c r="AF5419">
        <v>-3.5611440056358998</v>
      </c>
      <c r="AG5419">
        <v>-1.1114959292309901</v>
      </c>
      <c r="AH5419">
        <v>14.1975513090846</v>
      </c>
      <c r="AI5419">
        <v>94.342453613403507</v>
      </c>
      <c r="AJ5419">
        <v>104.080887325977</v>
      </c>
      <c r="AK5419">
        <v>14.679497028293</v>
      </c>
      <c r="AL5419">
        <v>91.4389353921636</v>
      </c>
      <c r="AM5419">
        <v>107.98172048852599</v>
      </c>
      <c r="AN5419">
        <v>0.99999998426757997</v>
      </c>
    </row>
    <row r="5420" spans="1:40" x14ac:dyDescent="0.25">
      <c r="A5420" t="str">
        <f>"20190305135936400"</f>
        <v>20190305135936400</v>
      </c>
      <c r="B5420" t="str">
        <f>"1551765576394932"</f>
        <v>1551765576394932</v>
      </c>
      <c r="C5420" t="s">
        <v>40</v>
      </c>
      <c r="D5420">
        <v>4.3931079999999998</v>
      </c>
      <c r="E5420">
        <v>0.524011</v>
      </c>
      <c r="F5420" t="s">
        <v>82</v>
      </c>
      <c r="G5420">
        <v>-296.67270000000002</v>
      </c>
      <c r="H5420" s="1">
        <v>-7.9269780000000003E-6</v>
      </c>
      <c r="I5420">
        <v>-54.944839999999999</v>
      </c>
      <c r="J5420">
        <v>-300.83120000000002</v>
      </c>
      <c r="K5420">
        <v>1.111812</v>
      </c>
      <c r="L5420">
        <v>-41.650239999999997</v>
      </c>
      <c r="M5420">
        <v>5.4810579999999998E-2</v>
      </c>
      <c r="N5420">
        <v>-1.3942410000000001E-2</v>
      </c>
      <c r="O5420">
        <v>-0.99839960000000005</v>
      </c>
      <c r="P5420">
        <v>0.36139539999999998</v>
      </c>
      <c r="Q5420">
        <v>-3.7315010000000003E-2</v>
      </c>
      <c r="R5420">
        <v>-0.93166590000000005</v>
      </c>
      <c r="S5420">
        <v>0.87759399999999999</v>
      </c>
      <c r="T5420">
        <v>-0.2333218</v>
      </c>
      <c r="U5420">
        <v>-2.869415</v>
      </c>
      <c r="V5420">
        <v>-0.30964000000000003</v>
      </c>
      <c r="W5420">
        <v>-2.5826519999999999E-2</v>
      </c>
      <c r="X5420">
        <v>0.95050310000000005</v>
      </c>
      <c r="Y5420">
        <v>-0.23886189999999999</v>
      </c>
      <c r="Z5420">
        <v>6.4129430000000001E-2</v>
      </c>
      <c r="AA5420">
        <v>0.96893359999999995</v>
      </c>
      <c r="AB5420">
        <v>36</v>
      </c>
      <c r="AC5420">
        <v>4.1585000000000001</v>
      </c>
      <c r="AD5420">
        <v>-1.111819926978</v>
      </c>
      <c r="AE5420">
        <v>-13.2945999999999</v>
      </c>
      <c r="AF5420">
        <v>-3.4018206030460898</v>
      </c>
      <c r="AG5420">
        <v>-1.111819926978</v>
      </c>
      <c r="AH5420">
        <v>13.4170886055739</v>
      </c>
      <c r="AI5420">
        <v>94.592387312436699</v>
      </c>
      <c r="AJ5420">
        <v>104.227188424033</v>
      </c>
      <c r="AK5420">
        <v>13.886208755998</v>
      </c>
      <c r="AL5420">
        <v>91.479915085524496</v>
      </c>
      <c r="AM5420">
        <v>108.04376156587</v>
      </c>
      <c r="AN5420">
        <v>1.0000000409224501</v>
      </c>
    </row>
    <row r="5421" spans="1:40" x14ac:dyDescent="0.25">
      <c r="A5421" t="str">
        <f>"20190305135936423"</f>
        <v>20190305135936423</v>
      </c>
      <c r="B5421" t="str">
        <f>"1551765576414452"</f>
        <v>1551765576414452</v>
      </c>
      <c r="C5421" t="s">
        <v>40</v>
      </c>
      <c r="D5421">
        <v>4.3643489999999998</v>
      </c>
      <c r="E5421">
        <v>0.52385550000000003</v>
      </c>
      <c r="F5421" t="s">
        <v>82</v>
      </c>
      <c r="G5421">
        <v>-296.62400000000002</v>
      </c>
      <c r="H5421" s="1">
        <v>-7.9178480000000003E-6</v>
      </c>
      <c r="I5421">
        <v>-55.177959999999999</v>
      </c>
      <c r="J5421">
        <v>-300.8075</v>
      </c>
      <c r="K5421">
        <v>1.1121449999999999</v>
      </c>
      <c r="L5421">
        <v>-42.024320000000003</v>
      </c>
      <c r="M5421">
        <v>5.817394E-2</v>
      </c>
      <c r="N5421">
        <v>-1.39679E-2</v>
      </c>
      <c r="O5421">
        <v>-0.99820869999999995</v>
      </c>
      <c r="P5421">
        <v>0.36554449999999999</v>
      </c>
      <c r="Q5421">
        <v>-3.7385439999999999E-2</v>
      </c>
      <c r="R5421">
        <v>-0.93004299999999995</v>
      </c>
      <c r="S5421">
        <v>0.89102169999999903</v>
      </c>
      <c r="T5421">
        <v>-0.23546610000000001</v>
      </c>
      <c r="U5421">
        <v>-2.86496</v>
      </c>
      <c r="V5421">
        <v>-0.31065320000000002</v>
      </c>
      <c r="W5421">
        <v>-2.6129469999999998E-2</v>
      </c>
      <c r="X5421">
        <v>0.95016409999999996</v>
      </c>
      <c r="Y5421">
        <v>-0.2401421</v>
      </c>
      <c r="Z5421">
        <v>6.4853549999999996E-2</v>
      </c>
      <c r="AA5421">
        <v>0.96856889999999995</v>
      </c>
      <c r="AB5421">
        <v>36</v>
      </c>
      <c r="AC5421">
        <v>4.18349999999998</v>
      </c>
      <c r="AD5421">
        <v>-1.1121529178479901</v>
      </c>
      <c r="AE5421">
        <v>-13.1536399999999</v>
      </c>
      <c r="AF5421">
        <v>-3.3891371575434999</v>
      </c>
      <c r="AG5421">
        <v>-1.1121529178479901</v>
      </c>
      <c r="AH5421">
        <v>13.288483053679499</v>
      </c>
      <c r="AI5421">
        <v>94.636368673200593</v>
      </c>
      <c r="AJ5421">
        <v>104.307875540026</v>
      </c>
      <c r="AK5421">
        <v>13.7588850076322</v>
      </c>
      <c r="AL5421">
        <v>91.497278779902103</v>
      </c>
      <c r="AM5421">
        <v>108.104995808148</v>
      </c>
      <c r="AN5421">
        <v>0.99999998840076498</v>
      </c>
    </row>
    <row r="5422" spans="1:40" x14ac:dyDescent="0.25">
      <c r="A5422" t="str">
        <f>"20190305135936444"</f>
        <v>20190305135936444</v>
      </c>
      <c r="B5422" t="str">
        <f>"1551765576434948"</f>
        <v>1551765576434948</v>
      </c>
      <c r="C5422" t="s">
        <v>40</v>
      </c>
      <c r="D5422">
        <v>4.3490549999999999</v>
      </c>
      <c r="E5422">
        <v>0.52365709999999999</v>
      </c>
      <c r="F5422" t="s">
        <v>82</v>
      </c>
      <c r="G5422">
        <v>-296.81299999999999</v>
      </c>
      <c r="H5422" s="1">
        <v>-7.9081359999999999E-6</v>
      </c>
      <c r="I5422">
        <v>-54.674489999999999</v>
      </c>
      <c r="J5422">
        <v>-300.78429999999997</v>
      </c>
      <c r="K5422">
        <v>1.1124229999999999</v>
      </c>
      <c r="L5422">
        <v>-42.369079999999997</v>
      </c>
      <c r="M5422">
        <v>6.1557170000000001E-2</v>
      </c>
      <c r="N5422">
        <v>-1.3989939999999999E-2</v>
      </c>
      <c r="O5422">
        <v>-0.99800560000000005</v>
      </c>
      <c r="P5422">
        <v>0.37014259999999999</v>
      </c>
      <c r="Q5422">
        <v>-3.7346089999999998E-2</v>
      </c>
      <c r="R5422">
        <v>-0.9282243</v>
      </c>
      <c r="S5422">
        <v>0.90325929999999999</v>
      </c>
      <c r="T5422">
        <v>-0.25148680000000001</v>
      </c>
      <c r="U5422">
        <v>-2.860535</v>
      </c>
      <c r="V5422">
        <v>-0.3121157</v>
      </c>
      <c r="W5422">
        <v>-2.6300239999999999E-2</v>
      </c>
      <c r="X5422">
        <v>0.94967999999999997</v>
      </c>
      <c r="Y5422">
        <v>-0.24093120000000001</v>
      </c>
      <c r="Z5422">
        <v>7.019773E-2</v>
      </c>
      <c r="AA5422">
        <v>0.96800019999999998</v>
      </c>
      <c r="AB5422">
        <v>36</v>
      </c>
      <c r="AC5422">
        <v>3.9712999999999798</v>
      </c>
      <c r="AD5422">
        <v>-1.112430908136</v>
      </c>
      <c r="AE5422">
        <v>-12.30541</v>
      </c>
      <c r="AF5422">
        <v>-3.18265026038641</v>
      </c>
      <c r="AG5422">
        <v>-1.112430908136</v>
      </c>
      <c r="AH5422">
        <v>12.434519731907701</v>
      </c>
      <c r="AI5422">
        <v>94.953402715578804</v>
      </c>
      <c r="AJ5422">
        <v>104.35679899871199</v>
      </c>
      <c r="AK5422">
        <v>12.8834795831141</v>
      </c>
      <c r="AL5422">
        <v>91.507066515090798</v>
      </c>
      <c r="AM5422">
        <v>108.193292150056</v>
      </c>
      <c r="AN5422">
        <v>1.00000000760527</v>
      </c>
    </row>
    <row r="5423" spans="1:40" x14ac:dyDescent="0.25">
      <c r="A5423" t="str">
        <f>"20190305135936475"</f>
        <v>20190305135936475</v>
      </c>
      <c r="B5423" t="str">
        <f>"1551765576464227"</f>
        <v>1551765576464227</v>
      </c>
      <c r="C5423" t="s">
        <v>40</v>
      </c>
      <c r="D5423">
        <v>4.5177860000000001</v>
      </c>
      <c r="E5423">
        <v>0.52335240000000005</v>
      </c>
      <c r="F5423" t="s">
        <v>82</v>
      </c>
      <c r="G5423">
        <v>-296.90899999999999</v>
      </c>
      <c r="H5423" s="1">
        <v>-7.9012539999999992E-6</v>
      </c>
      <c r="I5423">
        <v>-54.436329999999998</v>
      </c>
      <c r="J5423">
        <v>-300.74880000000002</v>
      </c>
      <c r="K5423">
        <v>1.112835</v>
      </c>
      <c r="L5423">
        <v>-42.859740000000002</v>
      </c>
      <c r="M5423">
        <v>6.6840380000000005E-2</v>
      </c>
      <c r="N5423">
        <v>-1.40172E-2</v>
      </c>
      <c r="O5423">
        <v>-0.99766529999999998</v>
      </c>
      <c r="P5423">
        <v>0.38143139999999998</v>
      </c>
      <c r="Q5423">
        <v>-3.6681600000000002E-2</v>
      </c>
      <c r="R5423">
        <v>-0.92366919999999997</v>
      </c>
      <c r="S5423">
        <v>0.91708369999999995</v>
      </c>
      <c r="T5423">
        <v>-0.26325369999999998</v>
      </c>
      <c r="U5423">
        <v>-2.8556819999999998</v>
      </c>
      <c r="V5423">
        <v>-0.31863409999999998</v>
      </c>
      <c r="W5423">
        <v>-2.5978959999999999E-2</v>
      </c>
      <c r="X5423">
        <v>0.94752170000000002</v>
      </c>
      <c r="Y5423">
        <v>-0.24042630000000001</v>
      </c>
      <c r="Z5423">
        <v>7.4128289999999999E-2</v>
      </c>
      <c r="AA5423">
        <v>0.96783269999999999</v>
      </c>
      <c r="AB5423">
        <v>36</v>
      </c>
      <c r="AC5423">
        <v>3.8398000000000199</v>
      </c>
      <c r="AD5423">
        <v>-1.112842901254</v>
      </c>
      <c r="AE5423">
        <v>-11.576589999999999</v>
      </c>
      <c r="AF5423">
        <v>-3.03210975486811</v>
      </c>
      <c r="AG5423">
        <v>-1.112842901254</v>
      </c>
      <c r="AH5423">
        <v>11.7098915924261</v>
      </c>
      <c r="AI5423">
        <v>95.256429800797804</v>
      </c>
      <c r="AJ5423">
        <v>104.517086302143</v>
      </c>
      <c r="AK5423">
        <v>12.1471671592519</v>
      </c>
      <c r="AL5423">
        <v>91.488652270127702</v>
      </c>
      <c r="AM5423">
        <v>108.586844307669</v>
      </c>
      <c r="AN5423">
        <v>0.99999998400819001</v>
      </c>
    </row>
    <row r="5424" spans="1:40" x14ac:dyDescent="0.25">
      <c r="A5424" t="str">
        <f>"20190305135936504"</f>
        <v>20190305135936504</v>
      </c>
      <c r="B5424" t="str">
        <f>"1551765576494484"</f>
        <v>1551765576494484</v>
      </c>
      <c r="C5424" t="s">
        <v>40</v>
      </c>
      <c r="D5424">
        <v>4.202922</v>
      </c>
      <c r="E5424">
        <v>0.39429550000000002</v>
      </c>
      <c r="F5424" t="s">
        <v>82</v>
      </c>
      <c r="G5424">
        <v>-296.63069999999999</v>
      </c>
      <c r="H5424" s="1">
        <v>-7.9195329999999996E-6</v>
      </c>
      <c r="I5424">
        <v>-55.142159999999997</v>
      </c>
      <c r="J5424">
        <v>-300.71280000000002</v>
      </c>
      <c r="K5424">
        <v>1.113194</v>
      </c>
      <c r="L5424">
        <v>-43.31711</v>
      </c>
      <c r="M5424">
        <v>7.2277569999999999E-2</v>
      </c>
      <c r="N5424">
        <v>-1.404159E-2</v>
      </c>
      <c r="O5424">
        <v>-0.9972858</v>
      </c>
      <c r="P5424">
        <v>0.39161610000000002</v>
      </c>
      <c r="Q5424">
        <v>-3.6943820000000002E-2</v>
      </c>
      <c r="R5424">
        <v>-0.9193867</v>
      </c>
      <c r="S5424">
        <v>0.95352170000000003</v>
      </c>
      <c r="T5424">
        <v>-0.25767329999999999</v>
      </c>
      <c r="U5424">
        <v>-2.8439329999999998</v>
      </c>
      <c r="V5424">
        <v>-0.32391059999999999</v>
      </c>
      <c r="W5424">
        <v>-2.655275E-2</v>
      </c>
      <c r="X5424">
        <v>0.94571499999999997</v>
      </c>
      <c r="Y5424">
        <v>-0.24752399999999999</v>
      </c>
      <c r="Z5424">
        <v>7.2311710000000001E-2</v>
      </c>
      <c r="AA5424">
        <v>0.96617949999999997</v>
      </c>
      <c r="AB5424">
        <v>36</v>
      </c>
      <c r="AC5424">
        <v>4.08210000000002</v>
      </c>
      <c r="AD5424">
        <v>-1.1132019195330001</v>
      </c>
      <c r="AE5424">
        <v>-11.8250499999999</v>
      </c>
      <c r="AF5424">
        <v>-3.19138016842696</v>
      </c>
      <c r="AG5424">
        <v>-1.1132019195330001</v>
      </c>
      <c r="AH5424">
        <v>11.9942125308207</v>
      </c>
      <c r="AI5424">
        <v>95.125199687230605</v>
      </c>
      <c r="AJ5424">
        <v>104.899852669872</v>
      </c>
      <c r="AK5424">
        <v>12.461350654226001</v>
      </c>
      <c r="AL5424">
        <v>91.521539348609707</v>
      </c>
      <c r="AM5424">
        <v>108.906506228933</v>
      </c>
      <c r="AN5424">
        <v>0.99999999327496103</v>
      </c>
    </row>
    <row r="5425" spans="1:40" x14ac:dyDescent="0.25">
      <c r="A5425" t="str">
        <f>"20190305135936527"</f>
        <v>20190305135936527</v>
      </c>
      <c r="B5425" t="str">
        <f>"1551765576524740"</f>
        <v>1551765576524740</v>
      </c>
      <c r="C5425" t="s">
        <v>40</v>
      </c>
      <c r="D5425">
        <v>4.1292229999999996</v>
      </c>
      <c r="E5425">
        <v>0.39415359999999999</v>
      </c>
      <c r="F5425" t="s">
        <v>82</v>
      </c>
      <c r="G5425">
        <v>-284.82330000000002</v>
      </c>
      <c r="H5425" s="1">
        <v>-5.6361649999999996E-6</v>
      </c>
      <c r="I5425">
        <v>-63.060510000000001</v>
      </c>
      <c r="J5425">
        <v>-300.68110000000001</v>
      </c>
      <c r="K5425">
        <v>1.113494</v>
      </c>
      <c r="L5425">
        <v>-43.693179999999998</v>
      </c>
      <c r="M5425">
        <v>7.7084410000000006E-2</v>
      </c>
      <c r="N5425">
        <v>-1.406195E-2</v>
      </c>
      <c r="O5425">
        <v>-0.99692559999999997</v>
      </c>
      <c r="P5425">
        <v>0.40216439999999998</v>
      </c>
      <c r="Q5425">
        <v>-3.7004469999999998E-2</v>
      </c>
      <c r="R5425">
        <v>-0.91481939999999995</v>
      </c>
      <c r="S5425">
        <v>1.952393</v>
      </c>
      <c r="T5425">
        <v>-0.136782399999999</v>
      </c>
      <c r="U5425">
        <v>-2.4259339999999998</v>
      </c>
      <c r="V5425">
        <v>-0.33019959999999998</v>
      </c>
      <c r="W5425">
        <v>-2.690244E-2</v>
      </c>
      <c r="X5425">
        <v>0.94352769999999997</v>
      </c>
      <c r="Y5425">
        <v>-0.56454629999999995</v>
      </c>
      <c r="Z5425">
        <v>3.1125320000000001E-2</v>
      </c>
      <c r="AA5425">
        <v>0.8248143</v>
      </c>
      <c r="AB5425">
        <v>36</v>
      </c>
      <c r="AC5425">
        <v>15.8577999999999</v>
      </c>
      <c r="AD5425">
        <v>-1.113499636165</v>
      </c>
      <c r="AE5425">
        <v>-19.367329999999999</v>
      </c>
      <c r="AF5425">
        <v>-14.2892639056777</v>
      </c>
      <c r="AG5425">
        <v>-1.113499636165</v>
      </c>
      <c r="AH5425">
        <v>20.491652144423099</v>
      </c>
      <c r="AI5425">
        <v>92.552122051593997</v>
      </c>
      <c r="AJ5425">
        <v>124.88888199007501</v>
      </c>
      <c r="AK5425">
        <v>25.006614165334</v>
      </c>
      <c r="AL5425">
        <v>91.541582230736694</v>
      </c>
      <c r="AM5425">
        <v>109.28814762603</v>
      </c>
      <c r="AN5425">
        <v>1.0000000188927001</v>
      </c>
    </row>
    <row r="5426" spans="1:40" x14ac:dyDescent="0.25">
      <c r="A5426" t="str">
        <f>"20190305135936549"</f>
        <v>20190305135936549</v>
      </c>
      <c r="B5426" t="str">
        <f>"1551765576544259"</f>
        <v>1551765576544259</v>
      </c>
      <c r="C5426" t="s">
        <v>40</v>
      </c>
      <c r="D5426">
        <v>4.0620529999999997</v>
      </c>
      <c r="E5426">
        <v>0.39405639999999997</v>
      </c>
      <c r="F5426" t="s">
        <v>82</v>
      </c>
      <c r="G5426">
        <v>-290.22129999999999</v>
      </c>
      <c r="H5426" s="1">
        <v>-1.009615E-5</v>
      </c>
      <c r="I5426">
        <v>-56.440539999999999</v>
      </c>
      <c r="J5426">
        <v>-300.64940000000001</v>
      </c>
      <c r="K5426">
        <v>1.113769</v>
      </c>
      <c r="L5426">
        <v>-44.047089999999997</v>
      </c>
      <c r="M5426">
        <v>8.1847149999999994E-2</v>
      </c>
      <c r="N5426">
        <v>-1.4080560000000001E-2</v>
      </c>
      <c r="O5426">
        <v>-0.99654549999999997</v>
      </c>
      <c r="P5426">
        <v>0.41334710000000002</v>
      </c>
      <c r="Q5426">
        <v>-3.4642329999999999E-2</v>
      </c>
      <c r="R5426">
        <v>-0.90991440000000001</v>
      </c>
      <c r="S5426">
        <v>1.9724120000000001</v>
      </c>
      <c r="T5426">
        <v>-0.2099743</v>
      </c>
      <c r="U5426">
        <v>-2.403778</v>
      </c>
      <c r="V5426">
        <v>-0.33724320000000002</v>
      </c>
      <c r="W5426">
        <v>-2.4828759999999998E-2</v>
      </c>
      <c r="X5426">
        <v>0.94109010000000004</v>
      </c>
      <c r="Y5426">
        <v>-0.56768059999999998</v>
      </c>
      <c r="Z5426">
        <v>5.5223059999999997E-2</v>
      </c>
      <c r="AA5426">
        <v>0.82139470000000003</v>
      </c>
      <c r="AB5426">
        <v>36</v>
      </c>
      <c r="AC5426">
        <v>10.428100000000001</v>
      </c>
      <c r="AD5426">
        <v>-1.11377909615</v>
      </c>
      <c r="AE5426">
        <v>-12.39345</v>
      </c>
      <c r="AF5426">
        <v>-9.3344978880215095</v>
      </c>
      <c r="AG5426">
        <v>-1.11377909615</v>
      </c>
      <c r="AH5426">
        <v>13.1433063205205</v>
      </c>
      <c r="AI5426">
        <v>93.952266440126394</v>
      </c>
      <c r="AJ5426">
        <v>125.382722504561</v>
      </c>
      <c r="AK5426">
        <v>16.1592034374078</v>
      </c>
      <c r="AL5426">
        <v>91.422729347840402</v>
      </c>
      <c r="AM5426">
        <v>109.71533299685601</v>
      </c>
      <c r="AN5426">
        <v>1.0000000097936901</v>
      </c>
    </row>
    <row r="5427" spans="1:40" x14ac:dyDescent="0.25">
      <c r="A5427" t="str">
        <f>"20190305135936571"</f>
        <v>20190305135936571</v>
      </c>
      <c r="B5427" t="str">
        <f>"1551765576564756"</f>
        <v>1551765576564756</v>
      </c>
      <c r="C5427" t="s">
        <v>40</v>
      </c>
      <c r="D5427">
        <v>4.0614330000000001</v>
      </c>
      <c r="E5427">
        <v>0.39475680000000002</v>
      </c>
      <c r="F5427" t="s">
        <v>41</v>
      </c>
      <c r="G5427">
        <v>-299.98430000000002</v>
      </c>
      <c r="H5427">
        <v>1.0532060000000001</v>
      </c>
      <c r="I5427">
        <v>-44.836370000000002</v>
      </c>
      <c r="J5427">
        <v>-300.61610000000002</v>
      </c>
      <c r="K5427">
        <v>1.114044</v>
      </c>
      <c r="L5427">
        <v>-44.39734</v>
      </c>
      <c r="M5427">
        <v>8.6811159999999998E-2</v>
      </c>
      <c r="N5427">
        <v>-1.409822E-2</v>
      </c>
      <c r="O5427">
        <v>-0.99612509999999999</v>
      </c>
      <c r="P5427">
        <v>0.42366359999999997</v>
      </c>
      <c r="Q5427">
        <v>-3.1685909999999998E-2</v>
      </c>
      <c r="R5427">
        <v>-0.9052654</v>
      </c>
      <c r="S5427">
        <v>2.0050659999999998</v>
      </c>
      <c r="T5427">
        <v>-0.18256249999999999</v>
      </c>
      <c r="U5427">
        <v>-2.3792110000000002</v>
      </c>
      <c r="V5427">
        <v>-0.34325</v>
      </c>
      <c r="W5427">
        <v>-2.2153320000000001E-2</v>
      </c>
      <c r="X5427">
        <v>0.93898280000000001</v>
      </c>
      <c r="Y5427">
        <v>-0.57465859999999902</v>
      </c>
      <c r="Z5427">
        <v>4.6325310000000001E-2</v>
      </c>
      <c r="AA5427">
        <v>0.8170811</v>
      </c>
      <c r="AB5427">
        <v>36</v>
      </c>
      <c r="AC5427">
        <v>0.63179999999999803</v>
      </c>
      <c r="AD5427">
        <v>-6.08380000000001E-2</v>
      </c>
      <c r="AE5427">
        <v>-0.43903000000000197</v>
      </c>
      <c r="AF5427">
        <v>-0.58762345083021195</v>
      </c>
      <c r="AG5427">
        <v>-6.08380000000001E-2</v>
      </c>
      <c r="AH5427">
        <v>0.48916622323355002</v>
      </c>
      <c r="AI5427">
        <v>94.549458364877594</v>
      </c>
      <c r="AJ5427">
        <v>140.22436372836299</v>
      </c>
      <c r="AK5427">
        <v>0.76699815916479397</v>
      </c>
      <c r="AL5427">
        <v>91.269395563227405</v>
      </c>
      <c r="AM5427">
        <v>110.080145563863</v>
      </c>
      <c r="AN5427">
        <v>1.0000000153914299</v>
      </c>
    </row>
    <row r="5428" spans="1:40" x14ac:dyDescent="0.25">
      <c r="A5428" t="str">
        <f>"20190305135936609"</f>
        <v>20190305135936609</v>
      </c>
      <c r="B5428" t="str">
        <f>"1551765576604775"</f>
        <v>1551765576604775</v>
      </c>
      <c r="C5428" t="s">
        <v>40</v>
      </c>
      <c r="D5428">
        <v>4.0377299999999998</v>
      </c>
      <c r="E5428">
        <v>0.39441280000000001</v>
      </c>
      <c r="F5428" t="s">
        <v>41</v>
      </c>
      <c r="G5428">
        <v>-299.9633</v>
      </c>
      <c r="H5428">
        <v>1.0600540000000001</v>
      </c>
      <c r="I5428">
        <v>-45.157200000000003</v>
      </c>
      <c r="J5428">
        <v>-300.55329999999998</v>
      </c>
      <c r="K5428">
        <v>1.114547</v>
      </c>
      <c r="L5428">
        <v>-45.00638</v>
      </c>
      <c r="M5428">
        <v>9.6156099999999994E-2</v>
      </c>
      <c r="N5428">
        <v>-1.4133679999999999E-2</v>
      </c>
      <c r="O5428">
        <v>-0.99526610000000004</v>
      </c>
      <c r="P5428">
        <v>0.44009219999999999</v>
      </c>
      <c r="Q5428">
        <v>-3.0583880000000001E-2</v>
      </c>
      <c r="R5428">
        <v>-0.897431599999999</v>
      </c>
      <c r="S5428">
        <v>2.0275880000000002</v>
      </c>
      <c r="T5428">
        <v>-0.1676329</v>
      </c>
      <c r="U5428">
        <v>-2.3591609999999998</v>
      </c>
      <c r="V5428">
        <v>-0.351518099999999</v>
      </c>
      <c r="W5428">
        <v>-2.1558500000000001E-2</v>
      </c>
      <c r="X5428">
        <v>0.93593280000000001</v>
      </c>
      <c r="Y5428">
        <v>-0.5750518</v>
      </c>
      <c r="Z5428">
        <v>4.1578619999999997E-2</v>
      </c>
      <c r="AA5428">
        <v>0.8170598</v>
      </c>
      <c r="AB5428">
        <v>36</v>
      </c>
      <c r="AC5428">
        <v>0.58999999999997499</v>
      </c>
      <c r="AD5428">
        <v>-5.4492999999999903E-2</v>
      </c>
      <c r="AE5428">
        <v>-0.15082000000000301</v>
      </c>
      <c r="AF5428">
        <v>-0.56821198786761495</v>
      </c>
      <c r="AG5428">
        <v>-5.4492999999999903E-2</v>
      </c>
      <c r="AH5428">
        <v>0.20521553058317801</v>
      </c>
      <c r="AI5428">
        <v>95.154139367298399</v>
      </c>
      <c r="AJ5428">
        <v>160.142299732976</v>
      </c>
      <c r="AK5428">
        <v>0.606586979911374</v>
      </c>
      <c r="AL5428">
        <v>91.235306795029302</v>
      </c>
      <c r="AM5428">
        <v>110.58519879810299</v>
      </c>
      <c r="AN5428">
        <v>0.99999997483284897</v>
      </c>
    </row>
    <row r="5429" spans="1:40" x14ac:dyDescent="0.25">
      <c r="A5429" t="str">
        <f>"20190305135936636"</f>
        <v>20190305135936636</v>
      </c>
      <c r="B5429" t="str">
        <f>"1551765576634052"</f>
        <v>1551765576634052</v>
      </c>
      <c r="C5429" t="s">
        <v>40</v>
      </c>
      <c r="D5429">
        <v>4.0772769999999996</v>
      </c>
      <c r="E5429">
        <v>0.39525139999999997</v>
      </c>
      <c r="F5429" t="s">
        <v>82</v>
      </c>
      <c r="G5429">
        <v>-285.48970000000003</v>
      </c>
      <c r="H5429" s="1">
        <v>-5.5194299999999996E-6</v>
      </c>
      <c r="I5429">
        <v>-61.860709999999997</v>
      </c>
      <c r="J5429">
        <v>-300.50330000000002</v>
      </c>
      <c r="K5429">
        <v>1.1149359999999999</v>
      </c>
      <c r="L5429">
        <v>-45.452179999999998</v>
      </c>
      <c r="M5429">
        <v>0.1035865</v>
      </c>
      <c r="N5429">
        <v>-1.4166420000000001E-2</v>
      </c>
      <c r="O5429">
        <v>-0.99451959999999995</v>
      </c>
      <c r="P5429">
        <v>0.45089790000000002</v>
      </c>
      <c r="Q5429">
        <v>-2.932448E-2</v>
      </c>
      <c r="R5429">
        <v>-0.89209380000000005</v>
      </c>
      <c r="S5429">
        <v>2.0740050000000001</v>
      </c>
      <c r="T5429">
        <v>-0.15345510000000001</v>
      </c>
      <c r="U5429">
        <v>-2.320557</v>
      </c>
      <c r="V5429">
        <v>-0.35581699999999999</v>
      </c>
      <c r="W5429">
        <v>-2.0675059999999999E-2</v>
      </c>
      <c r="X5429">
        <v>0.93432689999999996</v>
      </c>
      <c r="Y5429">
        <v>-0.58488219999999902</v>
      </c>
      <c r="Z5429">
        <v>3.7028369999999998E-2</v>
      </c>
      <c r="AA5429">
        <v>0.81027260000000001</v>
      </c>
      <c r="AB5429">
        <v>36</v>
      </c>
      <c r="AC5429">
        <v>15.013599999999901</v>
      </c>
      <c r="AD5429">
        <v>-1.1149415194299901</v>
      </c>
      <c r="AE5429">
        <v>-16.408529999999999</v>
      </c>
      <c r="AF5429">
        <v>-13.199772415502499</v>
      </c>
      <c r="AG5429">
        <v>-1.1149415194299901</v>
      </c>
      <c r="AH5429">
        <v>17.830793628814899</v>
      </c>
      <c r="AI5429">
        <v>92.877076351333002</v>
      </c>
      <c r="AJ5429">
        <v>126.51179043733799</v>
      </c>
      <c r="AK5429">
        <v>22.212930645148901</v>
      </c>
      <c r="AL5429">
        <v>91.184678118084506</v>
      </c>
      <c r="AM5429">
        <v>110.84818920210699</v>
      </c>
      <c r="AN5429">
        <v>0.999999975829306</v>
      </c>
    </row>
    <row r="5430" spans="1:40" x14ac:dyDescent="0.25">
      <c r="A5430" t="str">
        <f>"20190305135936664"</f>
        <v>20190305135936664</v>
      </c>
      <c r="B5430" t="str">
        <f>"1551765576654548"</f>
        <v>1551765576654548</v>
      </c>
      <c r="C5430" t="s">
        <v>40</v>
      </c>
      <c r="D5430">
        <v>4.082884</v>
      </c>
      <c r="E5430">
        <v>0.39569379999999998</v>
      </c>
      <c r="F5430" t="s">
        <v>41</v>
      </c>
      <c r="G5430">
        <v>-299.89600000000002</v>
      </c>
      <c r="H5430">
        <v>1.071089</v>
      </c>
      <c r="I5430">
        <v>-46.118180000000002</v>
      </c>
      <c r="J5430">
        <v>-300.45150000000001</v>
      </c>
      <c r="K5430">
        <v>1.115356</v>
      </c>
      <c r="L5430">
        <v>-45.877870000000001</v>
      </c>
      <c r="M5430">
        <v>0.1113794</v>
      </c>
      <c r="N5430">
        <v>-1.420245E-2</v>
      </c>
      <c r="O5430">
        <v>-0.99367669999999997</v>
      </c>
      <c r="P5430">
        <v>0.46181480000000003</v>
      </c>
      <c r="Q5430">
        <v>-2.648491E-2</v>
      </c>
      <c r="R5430">
        <v>-0.88658110000000001</v>
      </c>
      <c r="S5430">
        <v>2.0957949999999999</v>
      </c>
      <c r="T5430">
        <v>-0.15133079999999999</v>
      </c>
      <c r="U5430">
        <v>-2.298645</v>
      </c>
      <c r="V5430">
        <v>-0.35996440000000002</v>
      </c>
      <c r="W5430">
        <v>-1.8258900000000002E-2</v>
      </c>
      <c r="X5430">
        <v>0.93278740000000004</v>
      </c>
      <c r="Y5430">
        <v>-0.5865764</v>
      </c>
      <c r="Z5430">
        <v>3.6457990000000003E-2</v>
      </c>
      <c r="AA5430">
        <v>0.80907289999999998</v>
      </c>
      <c r="AB5430">
        <v>36</v>
      </c>
      <c r="AC5430">
        <v>0.55550000000005095</v>
      </c>
      <c r="AD5430">
        <v>-4.4267000000000001E-2</v>
      </c>
      <c r="AE5430">
        <v>-0.240309999999993</v>
      </c>
      <c r="AF5430">
        <v>-0.522479832090328</v>
      </c>
      <c r="AG5430">
        <v>-4.4267000000000001E-2</v>
      </c>
      <c r="AH5430">
        <v>0.299092059623983</v>
      </c>
      <c r="AI5430">
        <v>94.205358913371697</v>
      </c>
      <c r="AJ5430">
        <v>150.211145930442</v>
      </c>
      <c r="AK5430">
        <v>0.60365619549562699</v>
      </c>
      <c r="AL5430">
        <v>91.046215999350395</v>
      </c>
      <c r="AM5430">
        <v>111.101694675442</v>
      </c>
      <c r="AN5430">
        <v>1.0000000451476601</v>
      </c>
    </row>
    <row r="5431" spans="1:40" x14ac:dyDescent="0.25">
      <c r="A5431" t="str">
        <f>"20190305135936691"</f>
        <v>20190305135936691</v>
      </c>
      <c r="B5431" t="str">
        <f>"1551765576684804"</f>
        <v>1551765576684804</v>
      </c>
      <c r="C5431" t="s">
        <v>40</v>
      </c>
      <c r="D5431">
        <v>4.1213569999999997</v>
      </c>
      <c r="E5431">
        <v>0.39647019999999999</v>
      </c>
      <c r="F5431" t="s">
        <v>82</v>
      </c>
      <c r="G5431">
        <v>-283.28309999999999</v>
      </c>
      <c r="H5431" s="1">
        <v>-6.1346420000000004E-6</v>
      </c>
      <c r="I5431">
        <v>-64.290809999999993</v>
      </c>
      <c r="J5431">
        <v>-300.39550000000003</v>
      </c>
      <c r="K5431">
        <v>1.115864</v>
      </c>
      <c r="L5431">
        <v>-46.305570000000003</v>
      </c>
      <c r="M5431">
        <v>0.119976</v>
      </c>
      <c r="N5431">
        <v>-1.425362E-2</v>
      </c>
      <c r="O5431">
        <v>-0.99267450000000002</v>
      </c>
      <c r="P5431">
        <v>0.4728369</v>
      </c>
      <c r="Q5431">
        <v>-2.511329E-2</v>
      </c>
      <c r="R5431">
        <v>-0.88079240000000003</v>
      </c>
      <c r="S5431">
        <v>2.1210629999999999</v>
      </c>
      <c r="T5431">
        <v>-0.13779640000000001</v>
      </c>
      <c r="U5431">
        <v>-2.2748110000000001</v>
      </c>
      <c r="V5431">
        <v>-0.3635139</v>
      </c>
      <c r="W5431">
        <v>-1.737184E-2</v>
      </c>
      <c r="X5431">
        <v>0.9314268</v>
      </c>
      <c r="Y5431">
        <v>-0.58871759999999995</v>
      </c>
      <c r="Z5431">
        <v>3.208855E-2</v>
      </c>
      <c r="AA5431">
        <v>0.80770159999999902</v>
      </c>
      <c r="AB5431">
        <v>36</v>
      </c>
      <c r="AC5431">
        <v>17.112400000000001</v>
      </c>
      <c r="AD5431">
        <v>-1.1158701346419999</v>
      </c>
      <c r="AE5431">
        <v>-17.985239999999902</v>
      </c>
      <c r="AF5431">
        <v>-14.800848740774001</v>
      </c>
      <c r="AG5431">
        <v>-1.1158701346419999</v>
      </c>
      <c r="AH5431">
        <v>19.868446408834298</v>
      </c>
      <c r="AI5431">
        <v>92.578827322190904</v>
      </c>
      <c r="AJ5431">
        <v>126.683989420057</v>
      </c>
      <c r="AK5431">
        <v>24.800513146009301</v>
      </c>
      <c r="AL5431">
        <v>90.995383173258105</v>
      </c>
      <c r="AM5431">
        <v>111.31952823370401</v>
      </c>
      <c r="AN5431">
        <v>1.00000001003821</v>
      </c>
    </row>
    <row r="5432" spans="1:40" x14ac:dyDescent="0.25">
      <c r="A5432" t="str">
        <f>"20190305135936713"</f>
        <v>20190305135936713</v>
      </c>
      <c r="B5432" t="str">
        <f>"1551765576704324"</f>
        <v>1551765576704324</v>
      </c>
      <c r="C5432" t="s">
        <v>40</v>
      </c>
      <c r="D5432">
        <v>4.1128330000000002</v>
      </c>
      <c r="E5432">
        <v>0.39707330000000002</v>
      </c>
      <c r="F5432" t="s">
        <v>41</v>
      </c>
      <c r="G5432">
        <v>-299.70089999999999</v>
      </c>
      <c r="H5432">
        <v>1.0737950000000001</v>
      </c>
      <c r="I5432">
        <v>-47.035240000000002</v>
      </c>
      <c r="J5432">
        <v>-300.3458</v>
      </c>
      <c r="K5432">
        <v>1.116312</v>
      </c>
      <c r="L5432">
        <v>-46.659239999999997</v>
      </c>
      <c r="M5432">
        <v>0.12768370000000001</v>
      </c>
      <c r="N5432">
        <v>-1.4305429999999999E-2</v>
      </c>
      <c r="O5432">
        <v>-0.99171189999999998</v>
      </c>
      <c r="P5432">
        <v>0.48211159999999997</v>
      </c>
      <c r="Q5432">
        <v>-2.5320740000000001E-2</v>
      </c>
      <c r="R5432">
        <v>-0.87574390000000002</v>
      </c>
      <c r="S5432">
        <v>2.144012</v>
      </c>
      <c r="T5432">
        <v>-0.12980449999999999</v>
      </c>
      <c r="U5432">
        <v>-2.2513730000000001</v>
      </c>
      <c r="V5432">
        <v>-0.36608970000000002</v>
      </c>
      <c r="W5432">
        <v>-1.8002710000000002E-2</v>
      </c>
      <c r="X5432">
        <v>0.93040540000000005</v>
      </c>
      <c r="Y5432">
        <v>-0.59101289999999995</v>
      </c>
      <c r="Z5432">
        <v>2.9537259999999999E-2</v>
      </c>
      <c r="AA5432">
        <v>0.80612119999999998</v>
      </c>
      <c r="AB5432">
        <v>36</v>
      </c>
      <c r="AC5432">
        <v>0.64490000000000602</v>
      </c>
      <c r="AD5432">
        <v>-4.2516999999999902E-2</v>
      </c>
      <c r="AE5432">
        <v>-0.375999999999997</v>
      </c>
      <c r="AF5432">
        <v>-0.58969352734398095</v>
      </c>
      <c r="AG5432">
        <v>-4.2516999999999902E-2</v>
      </c>
      <c r="AH5432">
        <v>0.45380136515608999</v>
      </c>
      <c r="AI5432">
        <v>93.270289131213801</v>
      </c>
      <c r="AJ5432">
        <v>142.419753192938</v>
      </c>
      <c r="AK5432">
        <v>0.745306534586889</v>
      </c>
      <c r="AL5432">
        <v>91.031535040805295</v>
      </c>
      <c r="AM5432">
        <v>111.47831392177299</v>
      </c>
      <c r="AN5432">
        <v>0.99999998718129601</v>
      </c>
    </row>
    <row r="5433" spans="1:40" x14ac:dyDescent="0.25">
      <c r="A5433" t="str">
        <f>"20190305135936743"</f>
        <v>20190305135936743</v>
      </c>
      <c r="B5433" t="str">
        <f>"1551765576734580"</f>
        <v>1551765576734580</v>
      </c>
      <c r="C5433" t="s">
        <v>40</v>
      </c>
      <c r="D5433">
        <v>4.1483530000000002</v>
      </c>
      <c r="E5433">
        <v>0.39782299999999998</v>
      </c>
      <c r="F5433" t="s">
        <v>41</v>
      </c>
      <c r="G5433">
        <v>-299.67290000000003</v>
      </c>
      <c r="H5433">
        <v>1.07656</v>
      </c>
      <c r="I5433">
        <v>-47.352960000000003</v>
      </c>
      <c r="J5433">
        <v>-300.2756</v>
      </c>
      <c r="K5433">
        <v>1.116941</v>
      </c>
      <c r="L5433">
        <v>-47.121429999999997</v>
      </c>
      <c r="M5433">
        <v>0.13876229999999901</v>
      </c>
      <c r="N5433">
        <v>-1.438304E-2</v>
      </c>
      <c r="O5433">
        <v>-0.99022120000000002</v>
      </c>
      <c r="P5433">
        <v>0.49692399999999998</v>
      </c>
      <c r="Q5433">
        <v>-2.9643280000000001E-2</v>
      </c>
      <c r="R5433">
        <v>-0.86728780000000005</v>
      </c>
      <c r="S5433">
        <v>2.163818</v>
      </c>
      <c r="T5433">
        <v>-0.1278299</v>
      </c>
      <c r="U5433">
        <v>-2.2307429999999999</v>
      </c>
      <c r="V5433">
        <v>-0.37140269999999997</v>
      </c>
      <c r="W5433">
        <v>-2.2985419999999999E-2</v>
      </c>
      <c r="X5433">
        <v>0.92818730000000005</v>
      </c>
      <c r="Y5433">
        <v>-0.58942050000000001</v>
      </c>
      <c r="Z5433">
        <v>2.8977019999999999E-2</v>
      </c>
      <c r="AA5433">
        <v>0.80730649999999904</v>
      </c>
      <c r="AB5433">
        <v>36</v>
      </c>
      <c r="AC5433">
        <v>0.60269999999997004</v>
      </c>
      <c r="AD5433">
        <v>-4.0381E-2</v>
      </c>
      <c r="AE5433">
        <v>-0.23152999999999899</v>
      </c>
      <c r="AF5433">
        <v>-0.562536634010115</v>
      </c>
      <c r="AG5433">
        <v>-4.0381E-2</v>
      </c>
      <c r="AH5433">
        <v>0.311711007880352</v>
      </c>
      <c r="AI5433">
        <v>93.592806255948204</v>
      </c>
      <c r="AJ5433">
        <v>151.00842621636801</v>
      </c>
      <c r="AK5433">
        <v>0.64439261494698596</v>
      </c>
      <c r="AL5433">
        <v>91.317083576407796</v>
      </c>
      <c r="AM5433">
        <v>111.808208897252</v>
      </c>
      <c r="AN5433">
        <v>0.99999997949057795</v>
      </c>
    </row>
    <row r="5434" spans="1:40" x14ac:dyDescent="0.25">
      <c r="A5434" t="str">
        <f>"20190305135936772"</f>
        <v>20190305135936772</v>
      </c>
      <c r="B5434" t="str">
        <f>"1551765576764837"</f>
        <v>1551765576764837</v>
      </c>
      <c r="C5434" t="s">
        <v>40</v>
      </c>
      <c r="D5434">
        <v>4.1794399999999996</v>
      </c>
      <c r="E5434">
        <v>0.3982812</v>
      </c>
      <c r="F5434" t="s">
        <v>82</v>
      </c>
      <c r="G5434">
        <v>-283.11149999999998</v>
      </c>
      <c r="H5434" s="1">
        <v>-6.2150660000000003E-6</v>
      </c>
      <c r="I5434">
        <v>-64.287930000000003</v>
      </c>
      <c r="J5434">
        <v>-300.20100000000002</v>
      </c>
      <c r="K5434">
        <v>1.1176379999999999</v>
      </c>
      <c r="L5434">
        <v>-47.572360000000003</v>
      </c>
      <c r="M5434">
        <v>0.15072389999999999</v>
      </c>
      <c r="N5434">
        <v>-1.447937E-2</v>
      </c>
      <c r="O5434">
        <v>-0.98847010000000002</v>
      </c>
      <c r="P5434">
        <v>0.51015509999999997</v>
      </c>
      <c r="Q5434">
        <v>-3.209037E-2</v>
      </c>
      <c r="R5434">
        <v>-0.85948380000000002</v>
      </c>
      <c r="S5434">
        <v>2.19577</v>
      </c>
      <c r="T5434">
        <v>-0.14288879999999901</v>
      </c>
      <c r="U5434">
        <v>-2.196075</v>
      </c>
      <c r="V5434">
        <v>-0.37432650000000001</v>
      </c>
      <c r="W5434">
        <v>-2.605816E-2</v>
      </c>
      <c r="X5434">
        <v>0.9269307</v>
      </c>
      <c r="Y5434">
        <v>-0.59175829999999996</v>
      </c>
      <c r="Z5434">
        <v>3.4123250000000001E-2</v>
      </c>
      <c r="AA5434">
        <v>0.80539289999999997</v>
      </c>
      <c r="AB5434">
        <v>36</v>
      </c>
      <c r="AC5434">
        <v>17.089499999999902</v>
      </c>
      <c r="AD5434">
        <v>-1.117644215066</v>
      </c>
      <c r="AE5434">
        <v>-16.71557</v>
      </c>
      <c r="AF5434">
        <v>-14.343175264639999</v>
      </c>
      <c r="AG5434">
        <v>-1.117644215066</v>
      </c>
      <c r="AH5434">
        <v>19.058974899887001</v>
      </c>
      <c r="AI5434">
        <v>92.682647113443807</v>
      </c>
      <c r="AJ5434">
        <v>126.96394962261</v>
      </c>
      <c r="AK5434">
        <v>23.879286620378199</v>
      </c>
      <c r="AL5434">
        <v>91.493191699238494</v>
      </c>
      <c r="AM5434">
        <v>111.990550737858</v>
      </c>
      <c r="AN5434">
        <v>0.99999993945366095</v>
      </c>
    </row>
    <row r="5435" spans="1:40" x14ac:dyDescent="0.25">
      <c r="A5435" t="str">
        <f>"20190305135936792"</f>
        <v>20190305135936792</v>
      </c>
      <c r="B5435" t="str">
        <f>"1551765576784357"</f>
        <v>1551765576784357</v>
      </c>
      <c r="C5435" t="s">
        <v>40</v>
      </c>
      <c r="D5435">
        <v>4.2054099999999996</v>
      </c>
      <c r="E5435">
        <v>0.37598169999999997</v>
      </c>
      <c r="F5435" t="s">
        <v>41</v>
      </c>
      <c r="G5435">
        <v>-299.48610000000002</v>
      </c>
      <c r="H5435">
        <v>1.0690729999999999</v>
      </c>
      <c r="I5435">
        <v>-48.267589999999998</v>
      </c>
      <c r="J5435">
        <v>-300.14359999999999</v>
      </c>
      <c r="K5435">
        <v>1.118134</v>
      </c>
      <c r="L5435">
        <v>-47.894590000000001</v>
      </c>
      <c r="M5435">
        <v>0.1599225</v>
      </c>
      <c r="N5435">
        <v>-1.4554030000000001E-2</v>
      </c>
      <c r="O5435">
        <v>-0.98702230000000002</v>
      </c>
      <c r="P5435">
        <v>0.52035989999999999</v>
      </c>
      <c r="Q5435">
        <v>-3.3143840000000001E-2</v>
      </c>
      <c r="R5435">
        <v>-0.85330360000000005</v>
      </c>
      <c r="S5435">
        <v>2.225616</v>
      </c>
      <c r="T5435">
        <v>-0.15115789999999901</v>
      </c>
      <c r="U5435">
        <v>-2.1637879999999998</v>
      </c>
      <c r="V5435">
        <v>-0.37668970000000002</v>
      </c>
      <c r="W5435">
        <v>-2.7563540000000001E-2</v>
      </c>
      <c r="X5435">
        <v>0.92592929999999996</v>
      </c>
      <c r="Y5435">
        <v>-0.59556239999999905</v>
      </c>
      <c r="Z5435">
        <v>3.7000619999999998E-2</v>
      </c>
      <c r="AA5435">
        <v>0.80245639999999996</v>
      </c>
      <c r="AB5435">
        <v>36</v>
      </c>
      <c r="AC5435">
        <v>0.65749999999997</v>
      </c>
      <c r="AD5435">
        <v>-4.9061E-2</v>
      </c>
      <c r="AE5435">
        <v>-0.373000000000004</v>
      </c>
      <c r="AF5435">
        <v>-0.58690633183725605</v>
      </c>
      <c r="AG5435">
        <v>-4.9061E-2</v>
      </c>
      <c r="AH5435">
        <v>0.47137298407925698</v>
      </c>
      <c r="AI5435">
        <v>93.728955511172899</v>
      </c>
      <c r="AJ5435">
        <v>141.23036053302999</v>
      </c>
      <c r="AK5435">
        <v>0.75435967163644602</v>
      </c>
      <c r="AL5435">
        <v>91.579474595675805</v>
      </c>
      <c r="AM5435">
        <v>112.137641784281</v>
      </c>
      <c r="AN5435">
        <v>0.99999997371095495</v>
      </c>
    </row>
    <row r="5436" spans="1:40" x14ac:dyDescent="0.25">
      <c r="A5436" t="str">
        <f>"20190305135936816"</f>
        <v>20190305135936816</v>
      </c>
      <c r="B5436" t="str">
        <f>"1551765576804853"</f>
        <v>1551765576804853</v>
      </c>
      <c r="C5436" t="s">
        <v>40</v>
      </c>
      <c r="D5436">
        <v>4.1375679999999999</v>
      </c>
      <c r="E5436">
        <v>0.3467249</v>
      </c>
      <c r="F5436" t="s">
        <v>82</v>
      </c>
      <c r="G5436">
        <v>-290.79750000000001</v>
      </c>
      <c r="H5436" s="1">
        <v>-9.9412640000000007E-6</v>
      </c>
      <c r="I5436">
        <v>-55.893799999999999</v>
      </c>
      <c r="J5436">
        <v>-300.07440000000003</v>
      </c>
      <c r="K5436">
        <v>1.1187260000000001</v>
      </c>
      <c r="L5436">
        <v>-48.260680000000001</v>
      </c>
      <c r="M5436">
        <v>0.17106769999999999</v>
      </c>
      <c r="N5436">
        <v>-1.464027E-2</v>
      </c>
      <c r="O5436">
        <v>-0.98515050000000004</v>
      </c>
      <c r="P5436">
        <v>0.53254089999999998</v>
      </c>
      <c r="Q5436">
        <v>-3.1860869999999999E-2</v>
      </c>
      <c r="R5436">
        <v>-0.84580429999999995</v>
      </c>
      <c r="S5436">
        <v>2.3911129999999998</v>
      </c>
      <c r="T5436">
        <v>-0.2860645</v>
      </c>
      <c r="U5436">
        <v>-2.0465089999999999</v>
      </c>
      <c r="V5436">
        <v>-0.37947959999999997</v>
      </c>
      <c r="W5436">
        <v>-2.6811829999999998E-2</v>
      </c>
      <c r="X5436">
        <v>0.92481150000000001</v>
      </c>
      <c r="Y5436">
        <v>-0.63439919999999905</v>
      </c>
      <c r="Z5436">
        <v>8.127508E-2</v>
      </c>
      <c r="AA5436">
        <v>0.76872099999999999</v>
      </c>
      <c r="AB5436">
        <v>36</v>
      </c>
      <c r="AC5436">
        <v>9.2769000000000101</v>
      </c>
      <c r="AD5436">
        <v>-1.1187359412640001</v>
      </c>
      <c r="AE5436">
        <v>-7.6331199999999901</v>
      </c>
      <c r="AF5436">
        <v>-7.7668489524354198</v>
      </c>
      <c r="AG5436">
        <v>-1.1187359412640001</v>
      </c>
      <c r="AH5436">
        <v>9.0294240999873807</v>
      </c>
      <c r="AI5436">
        <v>95.366070346364495</v>
      </c>
      <c r="AJ5436">
        <v>130.701163361152</v>
      </c>
      <c r="AK5436">
        <v>11.9626925202337</v>
      </c>
      <c r="AL5436">
        <v>91.536388853124294</v>
      </c>
      <c r="AM5436">
        <v>112.309903914561</v>
      </c>
      <c r="AN5436">
        <v>0.99999997578817901</v>
      </c>
    </row>
    <row r="5437" spans="1:40" x14ac:dyDescent="0.25">
      <c r="A5437" t="str">
        <f>"20190305135936839"</f>
        <v>20190305135936839</v>
      </c>
      <c r="B5437" t="str">
        <f>"1551765576834132"</f>
        <v>1551765576834132</v>
      </c>
      <c r="C5437" t="s">
        <v>40</v>
      </c>
      <c r="D5437">
        <v>4.1647420000000004</v>
      </c>
      <c r="E5437">
        <v>0.35035110000000003</v>
      </c>
      <c r="F5437" t="s">
        <v>82</v>
      </c>
      <c r="G5437">
        <v>-286.40039999999999</v>
      </c>
      <c r="H5437" s="1">
        <v>-3.4899790000000001E-6</v>
      </c>
      <c r="I5437">
        <v>-58.085160000000002</v>
      </c>
      <c r="J5437">
        <v>-300.00450000000001</v>
      </c>
      <c r="K5437">
        <v>1.1193059999999999</v>
      </c>
      <c r="L5437">
        <v>-48.606409999999997</v>
      </c>
      <c r="M5437">
        <v>0.18231420000000001</v>
      </c>
      <c r="N5437">
        <v>-1.473168E-2</v>
      </c>
      <c r="O5437">
        <v>-0.9831299</v>
      </c>
      <c r="P5437">
        <v>0.54504229999999998</v>
      </c>
      <c r="Q5437">
        <v>-2.8137309999999999E-2</v>
      </c>
      <c r="R5437">
        <v>-0.83793619999999902</v>
      </c>
      <c r="S5437">
        <v>2.6250610000000001</v>
      </c>
      <c r="T5437">
        <v>-0.21476729999999999</v>
      </c>
      <c r="U5437">
        <v>-1.886047</v>
      </c>
      <c r="V5437">
        <v>-0.38266879999999998</v>
      </c>
      <c r="W5437">
        <v>-2.3615690000000002E-2</v>
      </c>
      <c r="X5437">
        <v>0.92358370000000001</v>
      </c>
      <c r="Y5437">
        <v>-0.69051370000000001</v>
      </c>
      <c r="Z5437">
        <v>5.6661389999999999E-2</v>
      </c>
      <c r="AA5437">
        <v>0.72109659999999998</v>
      </c>
      <c r="AB5437">
        <v>36</v>
      </c>
      <c r="AC5437">
        <v>13.604100000000001</v>
      </c>
      <c r="AD5437">
        <v>-1.1193094899789999</v>
      </c>
      <c r="AE5437">
        <v>-9.4787499999999891</v>
      </c>
      <c r="AF5437">
        <v>-11.5949111940918</v>
      </c>
      <c r="AG5437">
        <v>-1.1193094899789999</v>
      </c>
      <c r="AH5437">
        <v>11.746811919954901</v>
      </c>
      <c r="AI5437">
        <v>93.879549371592603</v>
      </c>
      <c r="AJ5437">
        <v>134.62714202391001</v>
      </c>
      <c r="AK5437">
        <v>16.543349407421299</v>
      </c>
      <c r="AL5437">
        <v>91.353205193345502</v>
      </c>
      <c r="AM5437">
        <v>112.50571350481999</v>
      </c>
      <c r="AN5437">
        <v>0.999999981106652</v>
      </c>
    </row>
    <row r="5438" spans="1:40" x14ac:dyDescent="0.25">
      <c r="A5438" t="str">
        <f>"20190305135936878"</f>
        <v>20190305135936878</v>
      </c>
      <c r="B5438" t="str">
        <f>"1551765576864388"</f>
        <v>1551765576864388</v>
      </c>
      <c r="C5438" t="s">
        <v>40</v>
      </c>
      <c r="D5438">
        <v>4.097626</v>
      </c>
      <c r="E5438">
        <v>0.35232770000000002</v>
      </c>
      <c r="F5438" t="s">
        <v>82</v>
      </c>
      <c r="G5438">
        <v>-285.40710000000001</v>
      </c>
      <c r="H5438" s="1">
        <v>-3.8611750000000003E-6</v>
      </c>
      <c r="I5438">
        <v>-58.95384</v>
      </c>
      <c r="J5438">
        <v>-299.8732</v>
      </c>
      <c r="K5438">
        <v>1.120287</v>
      </c>
      <c r="L5438">
        <v>-49.199399999999997</v>
      </c>
      <c r="M5438">
        <v>0.2032263</v>
      </c>
      <c r="N5438">
        <v>-1.4917339999999999E-2</v>
      </c>
      <c r="O5438">
        <v>-0.97901819999999895</v>
      </c>
      <c r="P5438">
        <v>0.56846450000000004</v>
      </c>
      <c r="Q5438">
        <v>-1.9633950000000001E-2</v>
      </c>
      <c r="R5438">
        <v>-0.82247349999999997</v>
      </c>
      <c r="S5438">
        <v>2.628876</v>
      </c>
      <c r="T5438">
        <v>-0.2015796</v>
      </c>
      <c r="U5438">
        <v>-1.8634949999999999</v>
      </c>
      <c r="V5438">
        <v>-0.3891464</v>
      </c>
      <c r="W5438">
        <v>-1.6040180000000001E-2</v>
      </c>
      <c r="X5438">
        <v>0.92103619999999997</v>
      </c>
      <c r="Y5438">
        <v>-0.67983439999999995</v>
      </c>
      <c r="Z5438">
        <v>5.2727469999999999E-2</v>
      </c>
      <c r="AA5438">
        <v>0.73146769999999905</v>
      </c>
      <c r="AB5438">
        <v>36</v>
      </c>
      <c r="AC5438">
        <v>14.4660999999999</v>
      </c>
      <c r="AD5438">
        <v>-1.120290861175</v>
      </c>
      <c r="AE5438">
        <v>-9.7544400000000007</v>
      </c>
      <c r="AF5438">
        <v>-12.131555313011701</v>
      </c>
      <c r="AG5438">
        <v>-1.120290861175</v>
      </c>
      <c r="AH5438">
        <v>12.439768867548199</v>
      </c>
      <c r="AI5438">
        <v>93.688969044371802</v>
      </c>
      <c r="AJ5438">
        <v>134.28134073553801</v>
      </c>
      <c r="AK5438">
        <v>17.411994010001099</v>
      </c>
      <c r="AL5438">
        <v>90.919074081210596</v>
      </c>
      <c r="AM5438">
        <v>112.904512047111</v>
      </c>
      <c r="AN5438">
        <v>0.99999994485891397</v>
      </c>
    </row>
    <row r="5439" spans="1:40" x14ac:dyDescent="0.25">
      <c r="A5439" t="str">
        <f>"20190305135936912"</f>
        <v>20190305135936912</v>
      </c>
      <c r="B5439" t="str">
        <f>"1551765576904404"</f>
        <v>1551765576904404</v>
      </c>
      <c r="C5439" t="s">
        <v>40</v>
      </c>
      <c r="D5439">
        <v>4.1606139999999998</v>
      </c>
      <c r="E5439">
        <v>0.35529820000000001</v>
      </c>
      <c r="F5439" t="s">
        <v>82</v>
      </c>
      <c r="G5439">
        <v>-283.40949999999998</v>
      </c>
      <c r="H5439" s="1">
        <v>-4.5678690000000001E-6</v>
      </c>
      <c r="I5439">
        <v>-60.305680000000002</v>
      </c>
      <c r="J5439">
        <v>-299.74939999999998</v>
      </c>
      <c r="K5439">
        <v>1.121043</v>
      </c>
      <c r="L5439">
        <v>-49.704830000000001</v>
      </c>
      <c r="M5439">
        <v>0.222523</v>
      </c>
      <c r="N5439">
        <v>-1.507964E-2</v>
      </c>
      <c r="O5439">
        <v>-0.97481110000000004</v>
      </c>
      <c r="P5439">
        <v>0.58757250000000005</v>
      </c>
      <c r="Q5439">
        <v>-1.8123609999999998E-2</v>
      </c>
      <c r="R5439">
        <v>-0.80896889999999999</v>
      </c>
      <c r="S5439">
        <v>2.6675420000000001</v>
      </c>
      <c r="T5439">
        <v>-0.1815158</v>
      </c>
      <c r="U5439">
        <v>-1.7995000000000001</v>
      </c>
      <c r="V5439">
        <v>-0.3925305</v>
      </c>
      <c r="W5439">
        <v>-1.5226460000000001E-2</v>
      </c>
      <c r="X5439">
        <v>0.91961289999999996</v>
      </c>
      <c r="Y5439">
        <v>-0.68259369999999997</v>
      </c>
      <c r="Z5439">
        <v>4.6502969999999998E-2</v>
      </c>
      <c r="AA5439">
        <v>0.72931709999999905</v>
      </c>
      <c r="AB5439">
        <v>36</v>
      </c>
      <c r="AC5439">
        <v>16.3399</v>
      </c>
      <c r="AD5439">
        <v>-1.121047567869</v>
      </c>
      <c r="AE5439">
        <v>-10.600849999999999</v>
      </c>
      <c r="AF5439">
        <v>-13.5261139829252</v>
      </c>
      <c r="AG5439">
        <v>-1.121047567869</v>
      </c>
      <c r="AH5439">
        <v>13.9252839387034</v>
      </c>
      <c r="AI5439">
        <v>93.304983118165794</v>
      </c>
      <c r="AJ5439">
        <v>134.16692249644299</v>
      </c>
      <c r="AK5439">
        <v>19.4454632215852</v>
      </c>
      <c r="AL5439">
        <v>90.872445642175194</v>
      </c>
      <c r="AM5439">
        <v>113.11488251010201</v>
      </c>
      <c r="AN5439">
        <v>0.999999962180395</v>
      </c>
    </row>
    <row r="5440" spans="1:40" x14ac:dyDescent="0.25">
      <c r="A5440" t="str">
        <f>"20190305135936932"</f>
        <v>20190305135936932</v>
      </c>
      <c r="B5440" t="str">
        <f>"1551765576924900"</f>
        <v>1551765576924900</v>
      </c>
      <c r="C5440" t="s">
        <v>40</v>
      </c>
      <c r="D5440">
        <v>4.1627239999999999</v>
      </c>
      <c r="E5440">
        <v>0.356269</v>
      </c>
      <c r="F5440" t="s">
        <v>82</v>
      </c>
      <c r="G5440">
        <v>-283.56540000000001</v>
      </c>
      <c r="H5440" s="1">
        <v>-4.5065169999999998E-6</v>
      </c>
      <c r="I5440">
        <v>-60.242330000000003</v>
      </c>
      <c r="J5440">
        <v>-299.66109999999998</v>
      </c>
      <c r="K5440">
        <v>1.1215079999999999</v>
      </c>
      <c r="L5440">
        <v>-50.040219999999998</v>
      </c>
      <c r="M5440">
        <v>0.23599819999999999</v>
      </c>
      <c r="N5440">
        <v>-1.5189009999999999E-2</v>
      </c>
      <c r="O5440">
        <v>-0.97163500000000003</v>
      </c>
      <c r="P5440">
        <v>0.60216530000000001</v>
      </c>
      <c r="Q5440">
        <v>-1.91582E-2</v>
      </c>
      <c r="R5440">
        <v>-0.79814180000000001</v>
      </c>
      <c r="S5440">
        <v>2.68927</v>
      </c>
      <c r="T5440">
        <v>-0.18628349999999999</v>
      </c>
      <c r="U5440">
        <v>-1.751007</v>
      </c>
      <c r="V5440">
        <v>-0.39645010000000003</v>
      </c>
      <c r="W5440">
        <v>-1.677302E-2</v>
      </c>
      <c r="X5440">
        <v>0.91790309999999997</v>
      </c>
      <c r="Y5440">
        <v>-0.68429890000000004</v>
      </c>
      <c r="Z5440">
        <v>4.8417559999999998E-2</v>
      </c>
      <c r="AA5440">
        <v>0.72759249999999998</v>
      </c>
      <c r="AB5440">
        <v>35</v>
      </c>
      <c r="AC5440">
        <v>16.095699999999901</v>
      </c>
      <c r="AD5440">
        <v>-1.121512506517</v>
      </c>
      <c r="AE5440">
        <v>-10.202109999999999</v>
      </c>
      <c r="AF5440">
        <v>-13.1873151604635</v>
      </c>
      <c r="AG5440">
        <v>-1.121512506517</v>
      </c>
      <c r="AH5440">
        <v>13.665531611248101</v>
      </c>
      <c r="AI5440">
        <v>93.379702298773196</v>
      </c>
      <c r="AJ5440">
        <v>133.97973989612601</v>
      </c>
      <c r="AK5440">
        <v>19.0239277138473</v>
      </c>
      <c r="AL5440">
        <v>90.961068266627805</v>
      </c>
      <c r="AM5440">
        <v>113.359923592741</v>
      </c>
      <c r="AN5440">
        <v>1.0000000584897599</v>
      </c>
    </row>
    <row r="5441" spans="1:40" x14ac:dyDescent="0.25">
      <c r="A5441" t="str">
        <f>"20190305135936955"</f>
        <v>20190305135936955</v>
      </c>
      <c r="B5441" t="str">
        <f>"1551765576944420"</f>
        <v>1551765576944420</v>
      </c>
      <c r="C5441" t="s">
        <v>40</v>
      </c>
      <c r="D5441">
        <v>4.1680580000000003</v>
      </c>
      <c r="E5441">
        <v>0.36468479999999998</v>
      </c>
      <c r="F5441" t="s">
        <v>82</v>
      </c>
      <c r="G5441">
        <v>-283.82839999999999</v>
      </c>
      <c r="H5441" s="1">
        <v>-4.4277559999999998E-6</v>
      </c>
      <c r="I5441">
        <v>-59.996519999999997</v>
      </c>
      <c r="J5441">
        <v>-299.56670000000003</v>
      </c>
      <c r="K5441">
        <v>1.121956</v>
      </c>
      <c r="L5441">
        <v>-50.378570000000003</v>
      </c>
      <c r="M5441">
        <v>0.250129299999999</v>
      </c>
      <c r="N5441">
        <v>-1.530281E-2</v>
      </c>
      <c r="O5441">
        <v>-0.96809149999999999</v>
      </c>
      <c r="P5441">
        <v>0.61682329999999996</v>
      </c>
      <c r="Q5441">
        <v>-2.1477590000000001E-2</v>
      </c>
      <c r="R5441">
        <v>-0.78680899999999998</v>
      </c>
      <c r="S5441">
        <v>2.713867</v>
      </c>
      <c r="T5441">
        <v>-0.19223789999999999</v>
      </c>
      <c r="U5441">
        <v>-1.706604</v>
      </c>
      <c r="V5441">
        <v>-0.39997460000000001</v>
      </c>
      <c r="W5441">
        <v>-1.958147E-2</v>
      </c>
      <c r="X5441">
        <v>0.91631700000000005</v>
      </c>
      <c r="Y5441">
        <v>-0.68507750000000001</v>
      </c>
      <c r="Z5441">
        <v>5.0625089999999998E-2</v>
      </c>
      <c r="AA5441">
        <v>0.72670889999999999</v>
      </c>
      <c r="AB5441">
        <v>35</v>
      </c>
      <c r="AC5441">
        <v>15.738300000000001</v>
      </c>
      <c r="AD5441">
        <v>-1.121960427756</v>
      </c>
      <c r="AE5441">
        <v>-9.6179499999999898</v>
      </c>
      <c r="AF5441">
        <v>-12.7845807772974</v>
      </c>
      <c r="AG5441">
        <v>-1.121960427756</v>
      </c>
      <c r="AH5441">
        <v>13.200373392305901</v>
      </c>
      <c r="AI5441">
        <v>93.493806644039907</v>
      </c>
      <c r="AJ5441">
        <v>134.08327223078501</v>
      </c>
      <c r="AK5441">
        <v>18.4107077145066</v>
      </c>
      <c r="AL5441">
        <v>91.1220073210187</v>
      </c>
      <c r="AM5441">
        <v>113.58138628828701</v>
      </c>
      <c r="AN5441">
        <v>0.99999997955076003</v>
      </c>
    </row>
    <row r="5442" spans="1:40" x14ac:dyDescent="0.25">
      <c r="A5442" t="str">
        <f>"20190305135936977"</f>
        <v>20190305135936977</v>
      </c>
      <c r="B5442" t="str">
        <f>"1551765576974677"</f>
        <v>1551765576974677</v>
      </c>
      <c r="C5442" t="s">
        <v>40</v>
      </c>
      <c r="D5442">
        <v>4.2218220000000004</v>
      </c>
      <c r="E5442">
        <v>0.36735869999999998</v>
      </c>
      <c r="F5442" t="s">
        <v>82</v>
      </c>
      <c r="G5442">
        <v>-287.6207</v>
      </c>
      <c r="H5442" s="1">
        <v>-2.801984E-6</v>
      </c>
      <c r="I5442">
        <v>-57.930759999999999</v>
      </c>
      <c r="J5442">
        <v>-299.46980000000002</v>
      </c>
      <c r="K5442">
        <v>1.1223700000000001</v>
      </c>
      <c r="L5442">
        <v>-50.706940000000003</v>
      </c>
      <c r="M5442">
        <v>0.26435009999999998</v>
      </c>
      <c r="N5442">
        <v>-1.541532E-2</v>
      </c>
      <c r="O5442">
        <v>-0.96430349999999998</v>
      </c>
      <c r="P5442">
        <v>0.63141059999999904</v>
      </c>
      <c r="Q5442">
        <v>-2.249406E-2</v>
      </c>
      <c r="R5442">
        <v>-0.77512219999999998</v>
      </c>
      <c r="S5442">
        <v>2.6875309999999999</v>
      </c>
      <c r="T5442">
        <v>-0.25240980000000002</v>
      </c>
      <c r="U5442">
        <v>-1.699036</v>
      </c>
      <c r="V5442">
        <v>-0.40355350000000001</v>
      </c>
      <c r="W5442">
        <v>-2.1067019999999999E-2</v>
      </c>
      <c r="X5442">
        <v>0.91471349999999996</v>
      </c>
      <c r="Y5442">
        <v>-0.67139919999999997</v>
      </c>
      <c r="Z5442">
        <v>7.1165729999999996E-2</v>
      </c>
      <c r="AA5442">
        <v>0.73767109999999902</v>
      </c>
      <c r="AB5442">
        <v>35</v>
      </c>
      <c r="AC5442">
        <v>11.8491</v>
      </c>
      <c r="AD5442">
        <v>-1.122372801984</v>
      </c>
      <c r="AE5442">
        <v>-7.2238199999999901</v>
      </c>
      <c r="AF5442">
        <v>-9.4557912009606397</v>
      </c>
      <c r="AG5442">
        <v>-1.122372801984</v>
      </c>
      <c r="AH5442">
        <v>10.033833946948</v>
      </c>
      <c r="AI5442">
        <v>94.653971697465806</v>
      </c>
      <c r="AJ5442">
        <v>133.301162625573</v>
      </c>
      <c r="AK5442">
        <v>13.832914791096099</v>
      </c>
      <c r="AL5442">
        <v>91.207140615817707</v>
      </c>
      <c r="AM5442">
        <v>113.80612317709701</v>
      </c>
      <c r="AN5442">
        <v>1.00000001688809</v>
      </c>
    </row>
    <row r="5443" spans="1:40" x14ac:dyDescent="0.25">
      <c r="A5443" t="str">
        <f>"20190305135936999"</f>
        <v>20190305135936999</v>
      </c>
      <c r="B5443" t="str">
        <f>"1551765576994196"</f>
        <v>1551765576994196</v>
      </c>
      <c r="C5443" t="s">
        <v>40</v>
      </c>
      <c r="D5443">
        <v>4.1852510000000001</v>
      </c>
      <c r="E5443">
        <v>0.36807250000000002</v>
      </c>
      <c r="F5443" t="s">
        <v>82</v>
      </c>
      <c r="G5443">
        <v>-288.27440000000001</v>
      </c>
      <c r="H5443" s="1">
        <v>-2.4891839999999998E-6</v>
      </c>
      <c r="I5443">
        <v>-57.597520000000003</v>
      </c>
      <c r="J5443">
        <v>-299.37299999999999</v>
      </c>
      <c r="K5443">
        <v>1.122754</v>
      </c>
      <c r="L5443">
        <v>-51.016820000000003</v>
      </c>
      <c r="M5443">
        <v>0.27822010000000003</v>
      </c>
      <c r="N5443">
        <v>-1.5524039999999999E-2</v>
      </c>
      <c r="O5443">
        <v>-0.96039200000000002</v>
      </c>
      <c r="P5443">
        <v>0.64637270000000002</v>
      </c>
      <c r="Q5443">
        <v>-2.250454E-2</v>
      </c>
      <c r="R5443">
        <v>-0.76269019999999899</v>
      </c>
      <c r="S5443">
        <v>2.7008969999999999</v>
      </c>
      <c r="T5443">
        <v>-0.27077259999999997</v>
      </c>
      <c r="U5443">
        <v>-1.6623540000000001</v>
      </c>
      <c r="V5443">
        <v>-0.40814099999999998</v>
      </c>
      <c r="W5443">
        <v>-2.1554799999999999E-2</v>
      </c>
      <c r="X5443">
        <v>0.91266440000000004</v>
      </c>
      <c r="Y5443">
        <v>-0.66917879999999996</v>
      </c>
      <c r="Z5443">
        <v>7.7632300000000001E-2</v>
      </c>
      <c r="AA5443">
        <v>0.73903509999999994</v>
      </c>
      <c r="AB5443">
        <v>35</v>
      </c>
      <c r="AC5443">
        <v>11.0985999999999</v>
      </c>
      <c r="AD5443">
        <v>-1.1227564891840001</v>
      </c>
      <c r="AE5443">
        <v>-6.5806999999999896</v>
      </c>
      <c r="AF5443">
        <v>-8.7628365011953999</v>
      </c>
      <c r="AG5443">
        <v>-1.1227564891840001</v>
      </c>
      <c r="AH5443">
        <v>9.3383304056456193</v>
      </c>
      <c r="AI5443">
        <v>95.010581720485206</v>
      </c>
      <c r="AJ5443">
        <v>133.17899758305799</v>
      </c>
      <c r="AK5443">
        <v>12.8550496088382</v>
      </c>
      <c r="AL5443">
        <v>91.235094725027096</v>
      </c>
      <c r="AM5443">
        <v>114.094061591756</v>
      </c>
      <c r="AN5443">
        <v>0.99999999615570001</v>
      </c>
    </row>
    <row r="5444" spans="1:40" x14ac:dyDescent="0.25">
      <c r="A5444" t="str">
        <f>"20190305135937018"</f>
        <v>20190305135937018</v>
      </c>
      <c r="B5444" t="str">
        <f>"1551765577014693"</f>
        <v>1551765577014693</v>
      </c>
      <c r="C5444" t="s">
        <v>40</v>
      </c>
      <c r="D5444">
        <v>4.2631779999999999</v>
      </c>
      <c r="E5444">
        <v>0.36919849999999999</v>
      </c>
      <c r="F5444" t="s">
        <v>82</v>
      </c>
      <c r="G5444">
        <v>-288.05489999999998</v>
      </c>
      <c r="H5444" s="1">
        <v>-2.5943350000000002E-6</v>
      </c>
      <c r="I5444">
        <v>-57.708689999999997</v>
      </c>
      <c r="J5444">
        <v>-299.2747</v>
      </c>
      <c r="K5444">
        <v>1.1231</v>
      </c>
      <c r="L5444">
        <v>-51.315829999999998</v>
      </c>
      <c r="M5444">
        <v>0.29199700000000001</v>
      </c>
      <c r="N5444">
        <v>-1.5631369999999999E-2</v>
      </c>
      <c r="O5444">
        <v>-0.95629149999999996</v>
      </c>
      <c r="P5444">
        <v>0.66090369999999998</v>
      </c>
      <c r="Q5444">
        <v>-2.3746730000000001E-2</v>
      </c>
      <c r="R5444">
        <v>-0.75009510000000001</v>
      </c>
      <c r="S5444">
        <v>2.7283629999999999</v>
      </c>
      <c r="T5444">
        <v>-0.27065409999999901</v>
      </c>
      <c r="U5444">
        <v>-1.613159</v>
      </c>
      <c r="V5444">
        <v>-0.41249649999999999</v>
      </c>
      <c r="W5444">
        <v>-2.3246079999999999E-2</v>
      </c>
      <c r="X5444">
        <v>0.91066250000000004</v>
      </c>
      <c r="Y5444">
        <v>-0.67163030000000001</v>
      </c>
      <c r="Z5444">
        <v>7.786208E-2</v>
      </c>
      <c r="AA5444">
        <v>0.73678369999999904</v>
      </c>
      <c r="AB5444">
        <v>35</v>
      </c>
      <c r="AC5444">
        <v>11.219799999999999</v>
      </c>
      <c r="AD5444">
        <v>-1.1231025943349999</v>
      </c>
      <c r="AE5444">
        <v>-6.3928599999999998</v>
      </c>
      <c r="AF5444">
        <v>-8.7972416880784294</v>
      </c>
      <c r="AG5444">
        <v>-1.1231025943349999</v>
      </c>
      <c r="AH5444">
        <v>9.3202322173596599</v>
      </c>
      <c r="AI5444">
        <v>95.008071965100896</v>
      </c>
      <c r="AJ5444">
        <v>133.346522742552</v>
      </c>
      <c r="AK5444">
        <v>12.8654401145618</v>
      </c>
      <c r="AL5444">
        <v>91.3320223045408</v>
      </c>
      <c r="AM5444">
        <v>114.368771653601</v>
      </c>
      <c r="AN5444">
        <v>0.99999996582693196</v>
      </c>
    </row>
    <row r="5445" spans="1:40" x14ac:dyDescent="0.25">
      <c r="A5445" t="str">
        <f>"20190305135937040"</f>
        <v>20190305135937040</v>
      </c>
      <c r="B5445" t="str">
        <f>"1551765577034213"</f>
        <v>1551765577034213</v>
      </c>
      <c r="C5445" t="s">
        <v>40</v>
      </c>
      <c r="D5445">
        <v>4.2516259999999999</v>
      </c>
      <c r="E5445">
        <v>0.3703958</v>
      </c>
      <c r="F5445" t="s">
        <v>82</v>
      </c>
      <c r="G5445">
        <v>-287.95249999999999</v>
      </c>
      <c r="H5445" s="1">
        <v>-2.6439280000000001E-6</v>
      </c>
      <c r="I5445">
        <v>-57.758420000000001</v>
      </c>
      <c r="J5445">
        <v>-299.1712</v>
      </c>
      <c r="K5445">
        <v>1.1234309999999901</v>
      </c>
      <c r="L5445">
        <v>-51.615169999999999</v>
      </c>
      <c r="M5445">
        <v>0.3061334</v>
      </c>
      <c r="N5445">
        <v>-1.573892E-2</v>
      </c>
      <c r="O5445">
        <v>-0.95185850000000005</v>
      </c>
      <c r="P5445">
        <v>0.67430679999999998</v>
      </c>
      <c r="Q5445">
        <v>-2.6217890000000001E-2</v>
      </c>
      <c r="R5445">
        <v>-0.73798560000000002</v>
      </c>
      <c r="S5445">
        <v>2.7521059999999999</v>
      </c>
      <c r="T5445">
        <v>-0.27299380000000001</v>
      </c>
      <c r="U5445">
        <v>-1.5660099999999999</v>
      </c>
      <c r="V5445">
        <v>-0.41532649999999999</v>
      </c>
      <c r="W5445">
        <v>-2.6087949999999999E-2</v>
      </c>
      <c r="X5445">
        <v>0.90929819999999995</v>
      </c>
      <c r="Y5445">
        <v>-0.67286080000000004</v>
      </c>
      <c r="Z5445">
        <v>7.8920309999999994E-2</v>
      </c>
      <c r="AA5445">
        <v>0.73554739999999996</v>
      </c>
      <c r="AB5445">
        <v>35</v>
      </c>
      <c r="AC5445">
        <v>11.2187</v>
      </c>
      <c r="AD5445">
        <v>-1.1234336439279999</v>
      </c>
      <c r="AE5445">
        <v>-6.1432499999999903</v>
      </c>
      <c r="AF5445">
        <v>-8.7316892231948806</v>
      </c>
      <c r="AG5445">
        <v>-1.1234336439279999</v>
      </c>
      <c r="AH5445">
        <v>9.2120062760836703</v>
      </c>
      <c r="AI5445">
        <v>95.058099361704606</v>
      </c>
      <c r="AJ5445">
        <v>133.46667205121</v>
      </c>
      <c r="AK5445">
        <v>12.7422745015704</v>
      </c>
      <c r="AL5445">
        <v>91.494899105851999</v>
      </c>
      <c r="AM5445">
        <v>114.54878739188899</v>
      </c>
      <c r="AN5445">
        <v>0.999999949630344</v>
      </c>
    </row>
    <row r="5446" spans="1:40" x14ac:dyDescent="0.25">
      <c r="A5446" t="str">
        <f>"20190305135937065"</f>
        <v>20190305135937065</v>
      </c>
      <c r="B5446" t="str">
        <f>"1551765577055684"</f>
        <v>1551765577055684</v>
      </c>
      <c r="C5446" t="s">
        <v>40</v>
      </c>
      <c r="D5446">
        <v>4.2650449999999998</v>
      </c>
      <c r="E5446">
        <v>0.3715716</v>
      </c>
      <c r="F5446" t="s">
        <v>82</v>
      </c>
      <c r="G5446">
        <v>-287.70479999999998</v>
      </c>
      <c r="H5446" s="1">
        <v>-2.7578059999999998E-6</v>
      </c>
      <c r="I5446">
        <v>-57.905659999999997</v>
      </c>
      <c r="J5446">
        <v>-299.03449999999998</v>
      </c>
      <c r="K5446">
        <v>1.1238189999999999</v>
      </c>
      <c r="L5446">
        <v>-51.98874</v>
      </c>
      <c r="M5446">
        <v>0.3242467</v>
      </c>
      <c r="N5446">
        <v>-1.5868549999999999E-2</v>
      </c>
      <c r="O5446">
        <v>-0.94583950000000006</v>
      </c>
      <c r="P5446">
        <v>0.69051909999999905</v>
      </c>
      <c r="Q5446">
        <v>-2.658203E-2</v>
      </c>
      <c r="R5446">
        <v>-0.72282539999999995</v>
      </c>
      <c r="S5446">
        <v>2.7733460000000001</v>
      </c>
      <c r="T5446">
        <v>-0.27172020000000002</v>
      </c>
      <c r="U5446">
        <v>-1.5214540000000001</v>
      </c>
      <c r="V5446">
        <v>-0.41811480000000001</v>
      </c>
      <c r="W5446">
        <v>-2.6856540000000002E-2</v>
      </c>
      <c r="X5446">
        <v>0.9079971</v>
      </c>
      <c r="Y5446">
        <v>-0.67023889999999997</v>
      </c>
      <c r="Z5446">
        <v>7.8704919999999998E-2</v>
      </c>
      <c r="AA5446">
        <v>0.73796030000000001</v>
      </c>
      <c r="AB5446">
        <v>35</v>
      </c>
      <c r="AC5446">
        <v>11.329700000000001</v>
      </c>
      <c r="AD5446">
        <v>-1.1238217578059999</v>
      </c>
      <c r="AE5446">
        <v>-5.9169199999999904</v>
      </c>
      <c r="AF5446">
        <v>-8.7311458499028802</v>
      </c>
      <c r="AG5446">
        <v>-1.1238217578059999</v>
      </c>
      <c r="AH5446">
        <v>9.2001183550252499</v>
      </c>
      <c r="AI5446">
        <v>95.063409143731604</v>
      </c>
      <c r="AJ5446">
        <v>133.50183339965801</v>
      </c>
      <c r="AK5446">
        <v>12.733344452344999</v>
      </c>
      <c r="AL5446">
        <v>91.538951438156403</v>
      </c>
      <c r="AM5446">
        <v>114.725140358625</v>
      </c>
      <c r="AN5446">
        <v>0.99999999666410999</v>
      </c>
    </row>
    <row r="5447" spans="1:40" x14ac:dyDescent="0.25">
      <c r="A5447" t="str">
        <f>"20190305135937091"</f>
        <v>20190305135937091</v>
      </c>
      <c r="B5447" t="str">
        <f>"1551765577084965"</f>
        <v>1551765577084965</v>
      </c>
      <c r="C5447" t="s">
        <v>40</v>
      </c>
      <c r="D5447">
        <v>4.3175610000000004</v>
      </c>
      <c r="E5447">
        <v>0.37312869999999998</v>
      </c>
      <c r="F5447" t="s">
        <v>82</v>
      </c>
      <c r="G5447">
        <v>-287.49709999999999</v>
      </c>
      <c r="H5447" s="1">
        <v>-2.8533019999999999E-6</v>
      </c>
      <c r="I5447">
        <v>-58.029089999999997</v>
      </c>
      <c r="J5447">
        <v>-298.89089999999999</v>
      </c>
      <c r="K5447">
        <v>1.124179</v>
      </c>
      <c r="L5447">
        <v>-52.359499999999997</v>
      </c>
      <c r="M5447">
        <v>0.34266029999999997</v>
      </c>
      <c r="N5447">
        <v>-1.5990540000000001E-2</v>
      </c>
      <c r="O5447">
        <v>-0.93932320000000002</v>
      </c>
      <c r="P5447">
        <v>0.70748199999999895</v>
      </c>
      <c r="Q5447">
        <v>-2.585432E-2</v>
      </c>
      <c r="R5447">
        <v>-0.7062581</v>
      </c>
      <c r="S5447">
        <v>2.7996829999999999</v>
      </c>
      <c r="T5447">
        <v>-0.2727077</v>
      </c>
      <c r="U5447">
        <v>-1.465759</v>
      </c>
      <c r="V5447">
        <v>-0.4219194</v>
      </c>
      <c r="W5447">
        <v>-2.6556639999999999E-2</v>
      </c>
      <c r="X5447">
        <v>0.9062443</v>
      </c>
      <c r="Y5447">
        <v>-0.67009830000000004</v>
      </c>
      <c r="Z5447">
        <v>7.9292730000000006E-2</v>
      </c>
      <c r="AA5447">
        <v>0.73802509999999999</v>
      </c>
      <c r="AB5447">
        <v>35</v>
      </c>
      <c r="AC5447">
        <v>11.393800000000001</v>
      </c>
      <c r="AD5447">
        <v>-1.124181853302</v>
      </c>
      <c r="AE5447">
        <v>-5.6695900000000004</v>
      </c>
      <c r="AF5447">
        <v>-8.6930071485470908</v>
      </c>
      <c r="AG5447">
        <v>-1.124181853302</v>
      </c>
      <c r="AH5447">
        <v>9.1594904385720408</v>
      </c>
      <c r="AI5447">
        <v>95.087256572415001</v>
      </c>
      <c r="AJ5447">
        <v>133.503209807031</v>
      </c>
      <c r="AK5447">
        <v>12.6778713993429</v>
      </c>
      <c r="AL5447">
        <v>91.5217623230714</v>
      </c>
      <c r="AM5447">
        <v>114.965234805764</v>
      </c>
      <c r="AN5447">
        <v>0.99999998325346895</v>
      </c>
    </row>
    <row r="5448" spans="1:40" x14ac:dyDescent="0.25">
      <c r="A5448" t="str">
        <f>"20190305135937124"</f>
        <v>20190305135937124</v>
      </c>
      <c r="B5448" t="str">
        <f>"1551765577114244"</f>
        <v>1551765577114244</v>
      </c>
      <c r="C5448" t="s">
        <v>40</v>
      </c>
      <c r="D5448">
        <v>4.2796960000000004</v>
      </c>
      <c r="E5448">
        <v>0.37996000000000002</v>
      </c>
      <c r="F5448" t="s">
        <v>82</v>
      </c>
      <c r="G5448">
        <v>-287.47620000000001</v>
      </c>
      <c r="H5448" s="1">
        <v>-2.8607410000000001E-6</v>
      </c>
      <c r="I5448">
        <v>-58.051119999999997</v>
      </c>
      <c r="J5448">
        <v>-298.70310000000001</v>
      </c>
      <c r="K5448">
        <v>1.124576</v>
      </c>
      <c r="L5448">
        <v>-52.814390000000003</v>
      </c>
      <c r="M5448">
        <v>0.3658573</v>
      </c>
      <c r="N5448">
        <v>-1.613645E-2</v>
      </c>
      <c r="O5448">
        <v>-0.9305312</v>
      </c>
      <c r="P5448">
        <v>0.72948800000000003</v>
      </c>
      <c r="Q5448">
        <v>-2.6572140000000001E-2</v>
      </c>
      <c r="R5448">
        <v>-0.68347729999999995</v>
      </c>
      <c r="S5448">
        <v>2.8243710000000002</v>
      </c>
      <c r="T5448">
        <v>-0.2781593</v>
      </c>
      <c r="U5448">
        <v>-1.4082950000000001</v>
      </c>
      <c r="V5448">
        <v>-0.42807440000000002</v>
      </c>
      <c r="W5448">
        <v>-2.7851440000000002E-2</v>
      </c>
      <c r="X5448">
        <v>0.90331419999999996</v>
      </c>
      <c r="Y5448">
        <v>-0.66615100000000005</v>
      </c>
      <c r="Z5448">
        <v>8.1317520000000004E-2</v>
      </c>
      <c r="AA5448">
        <v>0.74137059999999999</v>
      </c>
      <c r="AB5448">
        <v>35</v>
      </c>
      <c r="AC5448">
        <v>11.226900000000001</v>
      </c>
      <c r="AD5448">
        <v>-1.1245788607410001</v>
      </c>
      <c r="AE5448">
        <v>-5.2367299999999899</v>
      </c>
      <c r="AF5448">
        <v>-8.4624577457299903</v>
      </c>
      <c r="AG5448">
        <v>-1.1245788607410001</v>
      </c>
      <c r="AH5448">
        <v>8.9081425651008992</v>
      </c>
      <c r="AI5448">
        <v>95.229515867802206</v>
      </c>
      <c r="AJ5448">
        <v>133.53026047162101</v>
      </c>
      <c r="AK5448">
        <v>12.3382686253969</v>
      </c>
      <c r="AL5448">
        <v>91.595976393626501</v>
      </c>
      <c r="AM5448">
        <v>115.35595205202701</v>
      </c>
      <c r="AN5448">
        <v>0.99999996928353596</v>
      </c>
    </row>
    <row r="5449" spans="1:40" x14ac:dyDescent="0.25">
      <c r="A5449" t="str">
        <f>"20190305135937150"</f>
        <v>20190305135937150</v>
      </c>
      <c r="B5449" t="str">
        <f>"1551765577144501"</f>
        <v>1551765577144501</v>
      </c>
      <c r="C5449" t="s">
        <v>40</v>
      </c>
      <c r="D5449">
        <v>4.3069920000000002</v>
      </c>
      <c r="E5449">
        <v>0.3796775</v>
      </c>
      <c r="F5449" t="s">
        <v>82</v>
      </c>
      <c r="G5449">
        <v>-287.3372</v>
      </c>
      <c r="H5449" s="1">
        <v>-2.8947899999999999E-6</v>
      </c>
      <c r="I5449">
        <v>-58.268099999999997</v>
      </c>
      <c r="J5449">
        <v>-298.54129999999998</v>
      </c>
      <c r="K5449">
        <v>1.1248819999999999</v>
      </c>
      <c r="L5449">
        <v>-53.181640000000002</v>
      </c>
      <c r="M5449">
        <v>0.38508700000000001</v>
      </c>
      <c r="N5449">
        <v>-1.6257009999999999E-2</v>
      </c>
      <c r="O5449">
        <v>-0.92273729999999998</v>
      </c>
      <c r="P5449">
        <v>0.74515750000000003</v>
      </c>
      <c r="Q5449">
        <v>-2.7139480000000001E-2</v>
      </c>
      <c r="R5449">
        <v>-0.66633659999999995</v>
      </c>
      <c r="S5449">
        <v>2.829987</v>
      </c>
      <c r="T5449">
        <v>-0.2800069</v>
      </c>
      <c r="U5449">
        <v>-1.35791</v>
      </c>
      <c r="V5449">
        <v>-0.43026490000000001</v>
      </c>
      <c r="W5449">
        <v>-2.8746560000000001E-2</v>
      </c>
      <c r="X5449">
        <v>0.90224490000000002</v>
      </c>
      <c r="Y5449">
        <v>-0.66185869999999902</v>
      </c>
      <c r="Z5449">
        <v>8.2432809999999995E-2</v>
      </c>
      <c r="AA5449">
        <v>0.74508240000000003</v>
      </c>
      <c r="AB5449">
        <v>35</v>
      </c>
      <c r="AC5449">
        <v>11.204099999999899</v>
      </c>
      <c r="AD5449">
        <v>-1.1248848947900001</v>
      </c>
      <c r="AE5449">
        <v>-5.08645999999999</v>
      </c>
      <c r="AF5449">
        <v>-8.3113546219600405</v>
      </c>
      <c r="AG5449">
        <v>-1.1248848947900001</v>
      </c>
      <c r="AH5449">
        <v>8.9345375167750696</v>
      </c>
      <c r="AI5449">
        <v>95.266850781873899</v>
      </c>
      <c r="AJ5449">
        <v>132.93050885982001</v>
      </c>
      <c r="AK5449">
        <v>12.2543846160125</v>
      </c>
      <c r="AL5449">
        <v>91.647283403463604</v>
      </c>
      <c r="AM5449">
        <v>115.495662385248</v>
      </c>
      <c r="AN5449">
        <v>1.0000000542299201</v>
      </c>
    </row>
    <row r="5450" spans="1:40" x14ac:dyDescent="0.25">
      <c r="A5450" t="str">
        <f>"20190305135937169"</f>
        <v>20190305135937169</v>
      </c>
      <c r="B5450" t="str">
        <f>"1551765577164997"</f>
        <v>1551765577164997</v>
      </c>
      <c r="C5450" t="s">
        <v>40</v>
      </c>
      <c r="D5450">
        <v>4.2780740000000002</v>
      </c>
      <c r="E5450">
        <v>0.3803936</v>
      </c>
      <c r="F5450" t="s">
        <v>82</v>
      </c>
      <c r="G5450">
        <v>-285.6071</v>
      </c>
      <c r="H5450" s="1">
        <v>-3.752305E-6</v>
      </c>
      <c r="I5450">
        <v>-59.000300000000003</v>
      </c>
      <c r="J5450">
        <v>-298.4153</v>
      </c>
      <c r="K5450">
        <v>1.125116</v>
      </c>
      <c r="L5450">
        <v>-53.454250000000002</v>
      </c>
      <c r="M5450">
        <v>0.39961849999999999</v>
      </c>
      <c r="N5450">
        <v>-1.6347629999999998E-2</v>
      </c>
      <c r="O5450">
        <v>-0.91653569999999995</v>
      </c>
      <c r="P5450">
        <v>0.75787040000000006</v>
      </c>
      <c r="Q5450">
        <v>-2.5418320000000001E-2</v>
      </c>
      <c r="R5450">
        <v>-0.65190959999999998</v>
      </c>
      <c r="S5450">
        <v>2.864563</v>
      </c>
      <c r="T5450">
        <v>-0.24912980000000001</v>
      </c>
      <c r="U5450">
        <v>-1.2886660000000001</v>
      </c>
      <c r="V5450">
        <v>-0.43342930000000002</v>
      </c>
      <c r="W5450">
        <v>-2.7324589999999999E-2</v>
      </c>
      <c r="X5450">
        <v>0.90077320000000005</v>
      </c>
      <c r="Y5450">
        <v>-0.66916640000000005</v>
      </c>
      <c r="Z5450">
        <v>7.2223949999999995E-2</v>
      </c>
      <c r="AA5450">
        <v>0.73959449999999904</v>
      </c>
      <c r="AB5450">
        <v>35</v>
      </c>
      <c r="AC5450">
        <v>12.808199999999999</v>
      </c>
      <c r="AD5450">
        <v>-1.1251197523050001</v>
      </c>
      <c r="AE5450">
        <v>-5.5460500000000001</v>
      </c>
      <c r="AF5450">
        <v>-9.4626520043896996</v>
      </c>
      <c r="AG5450">
        <v>-1.1251197523050001</v>
      </c>
      <c r="AH5450">
        <v>10.1370386094808</v>
      </c>
      <c r="AI5450">
        <v>94.638525749966007</v>
      </c>
      <c r="AJ5450">
        <v>133.02934295121401</v>
      </c>
      <c r="AK5450">
        <v>13.9128440364762</v>
      </c>
      <c r="AL5450">
        <v>91.565778608690593</v>
      </c>
      <c r="AM5450">
        <v>115.69568408865</v>
      </c>
      <c r="AN5450">
        <v>0.99999997457769796</v>
      </c>
    </row>
    <row r="5451" spans="1:40" x14ac:dyDescent="0.25">
      <c r="A5451" t="str">
        <f>"20190305135937194"</f>
        <v>20190305135937194</v>
      </c>
      <c r="B5451" t="str">
        <f>"1551765577184516"</f>
        <v>1551765577184516</v>
      </c>
      <c r="C5451" t="s">
        <v>40</v>
      </c>
      <c r="D5451">
        <v>4.3329559999999896</v>
      </c>
      <c r="E5451">
        <v>0.381521</v>
      </c>
      <c r="F5451" t="s">
        <v>82</v>
      </c>
      <c r="G5451">
        <v>-284.47809999999998</v>
      </c>
      <c r="H5451" s="1">
        <v>-4.2259130000000002E-6</v>
      </c>
      <c r="I5451">
        <v>-59.430269999999901</v>
      </c>
      <c r="J5451">
        <v>-298.25060000000002</v>
      </c>
      <c r="K5451">
        <v>1.1253879999999901</v>
      </c>
      <c r="L5451">
        <v>-53.794559999999997</v>
      </c>
      <c r="M5451">
        <v>0.41806779999999999</v>
      </c>
      <c r="N5451">
        <v>-1.6459979999999999E-2</v>
      </c>
      <c r="O5451">
        <v>-0.90826689999999999</v>
      </c>
      <c r="P5451">
        <v>0.77338929999999995</v>
      </c>
      <c r="Q5451">
        <v>-2.629832E-2</v>
      </c>
      <c r="R5451">
        <v>-0.63338589999999995</v>
      </c>
      <c r="S5451">
        <v>2.8861080000000001</v>
      </c>
      <c r="T5451">
        <v>-0.2329907</v>
      </c>
      <c r="U5451">
        <v>-1.2375179999999999</v>
      </c>
      <c r="V5451">
        <v>-0.43692399999999998</v>
      </c>
      <c r="W5451">
        <v>-2.8556209999999999E-2</v>
      </c>
      <c r="X5451">
        <v>0.89904509999999904</v>
      </c>
      <c r="Y5451">
        <v>-0.66762109999999997</v>
      </c>
      <c r="Z5451">
        <v>6.6816299999999995E-2</v>
      </c>
      <c r="AA5451">
        <v>0.74149690000000001</v>
      </c>
      <c r="AB5451">
        <v>35</v>
      </c>
      <c r="AC5451">
        <v>13.772500000000001</v>
      </c>
      <c r="AD5451">
        <v>-1.12539222591299</v>
      </c>
      <c r="AE5451">
        <v>-5.6357099999999898</v>
      </c>
      <c r="AF5451">
        <v>-10.0966247123402</v>
      </c>
      <c r="AG5451">
        <v>-1.12539222591299</v>
      </c>
      <c r="AH5451">
        <v>10.8161778726767</v>
      </c>
      <c r="AI5451">
        <v>94.349476789756096</v>
      </c>
      <c r="AJ5451">
        <v>133.02938408539001</v>
      </c>
      <c r="AK5451">
        <v>14.839071467493</v>
      </c>
      <c r="AL5451">
        <v>91.636372654935897</v>
      </c>
      <c r="AM5451">
        <v>115.919137461133</v>
      </c>
      <c r="AN5451">
        <v>1.00000006536978</v>
      </c>
    </row>
    <row r="5452" spans="1:40" x14ac:dyDescent="0.25">
      <c r="A5452" t="str">
        <f>"20190305135937215"</f>
        <v>20190305135937215</v>
      </c>
      <c r="B5452" t="str">
        <f>"1551765577205013"</f>
        <v>1551765577205013</v>
      </c>
      <c r="C5452" t="s">
        <v>40</v>
      </c>
      <c r="D5452">
        <v>4.3364729999999998</v>
      </c>
      <c r="E5452">
        <v>0.38254589999999999</v>
      </c>
      <c r="F5452" t="s">
        <v>82</v>
      </c>
      <c r="G5452">
        <v>-283.88709999999998</v>
      </c>
      <c r="H5452" s="1">
        <v>-4.4729199999999997E-6</v>
      </c>
      <c r="I5452">
        <v>-59.589289999999998</v>
      </c>
      <c r="J5452">
        <v>-298.10169999999999</v>
      </c>
      <c r="K5452">
        <v>1.125607</v>
      </c>
      <c r="L5452">
        <v>-54.0877699999999</v>
      </c>
      <c r="M5452">
        <v>0.43425059999999899</v>
      </c>
      <c r="N5452">
        <v>-1.6558570000000002E-2</v>
      </c>
      <c r="O5452">
        <v>-0.90064009999999906</v>
      </c>
      <c r="P5452">
        <v>0.78593849999999998</v>
      </c>
      <c r="Q5452">
        <v>-2.9586879999999999E-2</v>
      </c>
      <c r="R5452">
        <v>-0.61759659999999905</v>
      </c>
      <c r="S5452">
        <v>2.9098820000000001</v>
      </c>
      <c r="T5452">
        <v>-0.2279921</v>
      </c>
      <c r="U5452">
        <v>-1.17395</v>
      </c>
      <c r="V5452">
        <v>-0.43879089999999998</v>
      </c>
      <c r="W5452">
        <v>-3.2089930000000003E-2</v>
      </c>
      <c r="X5452">
        <v>0.89801600000000004</v>
      </c>
      <c r="Y5452">
        <v>-0.67044349999999997</v>
      </c>
      <c r="Z5452">
        <v>6.5323560000000003E-2</v>
      </c>
      <c r="AA5452">
        <v>0.73907939999999905</v>
      </c>
      <c r="AB5452">
        <v>35</v>
      </c>
      <c r="AC5452">
        <v>14.214600000000001</v>
      </c>
      <c r="AD5452">
        <v>-1.12561147292</v>
      </c>
      <c r="AE5452">
        <v>-5.50152000000001</v>
      </c>
      <c r="AF5452">
        <v>-10.358136723080699</v>
      </c>
      <c r="AG5452">
        <v>-1.12561147292</v>
      </c>
      <c r="AH5452">
        <v>11.068746828815399</v>
      </c>
      <c r="AI5452">
        <v>94.246510439741996</v>
      </c>
      <c r="AJ5452">
        <v>133.100515060351</v>
      </c>
      <c r="AK5452">
        <v>15.201156335042899</v>
      </c>
      <c r="AL5452">
        <v>91.838933299601095</v>
      </c>
      <c r="AM5452">
        <v>116.041179334015</v>
      </c>
      <c r="AN5452">
        <v>0.99999997689310705</v>
      </c>
    </row>
    <row r="5453" spans="1:40" x14ac:dyDescent="0.25">
      <c r="A5453" t="str">
        <f>"20190305135937238"</f>
        <v>20190305135937238</v>
      </c>
      <c r="B5453" t="str">
        <f>"1551765577234292"</f>
        <v>1551765577234292</v>
      </c>
      <c r="C5453" t="s">
        <v>40</v>
      </c>
      <c r="D5453">
        <v>4.3373429999999997</v>
      </c>
      <c r="E5453">
        <v>0.38376830000000001</v>
      </c>
      <c r="F5453" t="s">
        <v>82</v>
      </c>
      <c r="G5453">
        <v>-283.7962</v>
      </c>
      <c r="H5453" s="1">
        <v>-4.5199310000000003E-6</v>
      </c>
      <c r="I5453">
        <v>-59.562980000000003</v>
      </c>
      <c r="J5453">
        <v>-297.9418</v>
      </c>
      <c r="K5453">
        <v>1.125821</v>
      </c>
      <c r="L5453">
        <v>-54.389279999999999</v>
      </c>
      <c r="M5453">
        <v>0.45114650000000001</v>
      </c>
      <c r="N5453">
        <v>-1.6662449999999999E-2</v>
      </c>
      <c r="O5453">
        <v>-0.89229449999999999</v>
      </c>
      <c r="P5453">
        <v>0.7981125</v>
      </c>
      <c r="Q5453">
        <v>-2.9598920000000001E-2</v>
      </c>
      <c r="R5453">
        <v>-0.60178100000000001</v>
      </c>
      <c r="S5453">
        <v>2.9278870000000001</v>
      </c>
      <c r="T5453">
        <v>-0.2303779</v>
      </c>
      <c r="U5453">
        <v>-1.1206050000000001</v>
      </c>
      <c r="V5453">
        <v>-0.4397799</v>
      </c>
      <c r="W5453">
        <v>-3.2294299999999998E-2</v>
      </c>
      <c r="X5453">
        <v>0.89752480000000001</v>
      </c>
      <c r="Y5453">
        <v>-0.66967399999999999</v>
      </c>
      <c r="Z5453">
        <v>6.6214480000000006E-2</v>
      </c>
      <c r="AA5453">
        <v>0.73969750000000001</v>
      </c>
      <c r="AB5453">
        <v>35</v>
      </c>
      <c r="AC5453">
        <v>14.1456</v>
      </c>
      <c r="AD5453">
        <v>-1.1258255199310001</v>
      </c>
      <c r="AE5453">
        <v>-5.1736999999999904</v>
      </c>
      <c r="AF5453">
        <v>-10.2322047063158</v>
      </c>
      <c r="AG5453">
        <v>-1.1258255199310001</v>
      </c>
      <c r="AH5453">
        <v>10.938614108447499</v>
      </c>
      <c r="AI5453">
        <v>94.298466770594501</v>
      </c>
      <c r="AJ5453">
        <v>133.08891347816001</v>
      </c>
      <c r="AK5453">
        <v>15.0206116675323</v>
      </c>
      <c r="AL5453">
        <v>91.850648822542595</v>
      </c>
      <c r="AM5453">
        <v>116.104480691341</v>
      </c>
      <c r="AN5453">
        <v>1.0000000244357601</v>
      </c>
    </row>
    <row r="5454" spans="1:40" x14ac:dyDescent="0.25">
      <c r="A5454" t="str">
        <f>"20190305135937262"</f>
        <v>20190305135937262</v>
      </c>
      <c r="B5454" t="str">
        <f>"1551765577254789"</f>
        <v>1551765577254789</v>
      </c>
      <c r="C5454" t="s">
        <v>40</v>
      </c>
      <c r="D5454">
        <v>4.324192</v>
      </c>
      <c r="E5454">
        <v>0.3929957</v>
      </c>
      <c r="F5454" t="s">
        <v>82</v>
      </c>
      <c r="G5454">
        <v>-283.36930000000001</v>
      </c>
      <c r="H5454" s="1">
        <v>-4.6973919999999999E-6</v>
      </c>
      <c r="I5454">
        <v>-59.683300000000003</v>
      </c>
      <c r="J5454">
        <v>-297.76839999999999</v>
      </c>
      <c r="K5454">
        <v>1.126036</v>
      </c>
      <c r="L5454">
        <v>-54.699890000000003</v>
      </c>
      <c r="M5454">
        <v>0.46887849999999998</v>
      </c>
      <c r="N5454">
        <v>-1.6773659999999999E-2</v>
      </c>
      <c r="O5454">
        <v>-0.88310339999999998</v>
      </c>
      <c r="P5454">
        <v>0.81139659999999902</v>
      </c>
      <c r="Q5454">
        <v>-2.4983579999999998E-2</v>
      </c>
      <c r="R5454">
        <v>-0.58396179999999998</v>
      </c>
      <c r="S5454">
        <v>2.944</v>
      </c>
      <c r="T5454">
        <v>-0.22744429999999999</v>
      </c>
      <c r="U5454">
        <v>-1.0695190000000001</v>
      </c>
      <c r="V5454">
        <v>-0.44203330000000002</v>
      </c>
      <c r="W5454">
        <v>-2.7914270000000001E-2</v>
      </c>
      <c r="X5454">
        <v>0.89656420000000003</v>
      </c>
      <c r="Y5454">
        <v>-0.6675584</v>
      </c>
      <c r="Z5454">
        <v>6.524025E-2</v>
      </c>
      <c r="AA5454">
        <v>0.74169370000000001</v>
      </c>
      <c r="AB5454">
        <v>35</v>
      </c>
      <c r="AC5454">
        <v>14.399099999999899</v>
      </c>
      <c r="AD5454">
        <v>-1.1260406973919901</v>
      </c>
      <c r="AE5454">
        <v>-4.9834099999999903</v>
      </c>
      <c r="AF5454">
        <v>-10.324355148175201</v>
      </c>
      <c r="AG5454">
        <v>-1.1260406973919901</v>
      </c>
      <c r="AH5454">
        <v>11.093278863236799</v>
      </c>
      <c r="AI5454">
        <v>94.249551989006093</v>
      </c>
      <c r="AJ5454">
        <v>132.943882592628</v>
      </c>
      <c r="AK5454">
        <v>15.196088734124</v>
      </c>
      <c r="AL5454">
        <v>91.599577631010106</v>
      </c>
      <c r="AM5454">
        <v>116.244693024894</v>
      </c>
      <c r="AN5454">
        <v>1.0000000047500801</v>
      </c>
    </row>
    <row r="5455" spans="1:40" x14ac:dyDescent="0.25">
      <c r="A5455" t="str">
        <f>"20190305135937284"</f>
        <v>20190305135937284</v>
      </c>
      <c r="B5455" t="str">
        <f>"1551765577274309"</f>
        <v>1551765577274309</v>
      </c>
      <c r="C5455" t="s">
        <v>40</v>
      </c>
      <c r="D5455">
        <v>4.333564</v>
      </c>
      <c r="E5455">
        <v>0.39327459999999997</v>
      </c>
      <c r="F5455" t="s">
        <v>42</v>
      </c>
      <c r="G5455">
        <v>-278.85019999999997</v>
      </c>
      <c r="H5455" s="1">
        <v>-3.2070369999999999E-6</v>
      </c>
      <c r="I5455">
        <v>-61.564269999999901</v>
      </c>
      <c r="J5455">
        <v>-297.60390000000001</v>
      </c>
      <c r="K5455">
        <v>1.126228</v>
      </c>
      <c r="L5455">
        <v>-54.98218</v>
      </c>
      <c r="M5455">
        <v>0.48521399999999998</v>
      </c>
      <c r="N5455">
        <v>-1.6876619999999998E-2</v>
      </c>
      <c r="O5455">
        <v>-0.87423269999999997</v>
      </c>
      <c r="P5455">
        <v>0.82440079999999905</v>
      </c>
      <c r="Q5455">
        <v>-2.1782490000000002E-2</v>
      </c>
      <c r="R5455">
        <v>-0.56558730000000002</v>
      </c>
      <c r="S5455">
        <v>2.9274900000000001</v>
      </c>
      <c r="T5455">
        <v>-0.17424829999999999</v>
      </c>
      <c r="U5455">
        <v>-1.062225</v>
      </c>
      <c r="V5455">
        <v>-0.44570009999999999</v>
      </c>
      <c r="W5455">
        <v>-2.4999090000000002E-2</v>
      </c>
      <c r="X5455">
        <v>0.8948332</v>
      </c>
      <c r="Y5455">
        <v>-0.65500530000000001</v>
      </c>
      <c r="Z5455">
        <v>4.730024E-2</v>
      </c>
      <c r="AA5455">
        <v>0.75414230000000004</v>
      </c>
      <c r="AB5455">
        <v>35</v>
      </c>
      <c r="AC5455">
        <v>18.753699999999998</v>
      </c>
      <c r="AD5455">
        <v>-1.126231207037</v>
      </c>
      <c r="AE5455">
        <v>-6.5820899999999796</v>
      </c>
      <c r="AF5455">
        <v>-13.1609952779935</v>
      </c>
      <c r="AG5455">
        <v>-1.126231207037</v>
      </c>
      <c r="AH5455">
        <v>14.8084012767407</v>
      </c>
      <c r="AI5455">
        <v>93.253590506730703</v>
      </c>
      <c r="AJ5455">
        <v>131.62915558534101</v>
      </c>
      <c r="AK5455">
        <v>19.843612116045001</v>
      </c>
      <c r="AL5455">
        <v>91.4324915896552</v>
      </c>
      <c r="AM5455">
        <v>116.47705833276</v>
      </c>
      <c r="AN5455">
        <v>0.999999994731539</v>
      </c>
    </row>
    <row r="5456" spans="1:40" x14ac:dyDescent="0.25">
      <c r="A5456" t="str">
        <f>"20190305135937307"</f>
        <v>20190305135937307</v>
      </c>
      <c r="B5456" t="str">
        <f>"1551765577304565"</f>
        <v>1551765577304565</v>
      </c>
      <c r="C5456" t="s">
        <v>40</v>
      </c>
      <c r="D5456">
        <v>4.3324800000000003</v>
      </c>
      <c r="E5456">
        <v>0.39471230000000002</v>
      </c>
      <c r="F5456" t="s">
        <v>42</v>
      </c>
      <c r="G5456">
        <v>-278.59559999999999</v>
      </c>
      <c r="H5456" s="1">
        <v>-3.0719939999999998E-6</v>
      </c>
      <c r="I5456">
        <v>-61.418970000000002</v>
      </c>
      <c r="J5456">
        <v>-297.41809999999998</v>
      </c>
      <c r="K5456">
        <v>1.12639</v>
      </c>
      <c r="L5456">
        <v>-55.287199999999999</v>
      </c>
      <c r="M5456">
        <v>0.50310089999999996</v>
      </c>
      <c r="N5456">
        <v>-1.698966E-2</v>
      </c>
      <c r="O5456">
        <v>-0.86406070000000001</v>
      </c>
      <c r="P5456">
        <v>0.83841509999999997</v>
      </c>
      <c r="Q5456">
        <v>-2.2701099999999998E-2</v>
      </c>
      <c r="R5456">
        <v>-0.54455969999999998</v>
      </c>
      <c r="S5456">
        <v>2.9491879999999999</v>
      </c>
      <c r="T5456">
        <v>-0.17473820000000001</v>
      </c>
      <c r="U5456">
        <v>-0.99868769999999996</v>
      </c>
      <c r="V5456">
        <v>-0.44983699999999999</v>
      </c>
      <c r="W5456">
        <v>-2.6227540000000001E-2</v>
      </c>
      <c r="X5456">
        <v>0.89272549999999995</v>
      </c>
      <c r="Y5456">
        <v>-0.65571569999999901</v>
      </c>
      <c r="Z5456">
        <v>4.7508969999999998E-2</v>
      </c>
      <c r="AA5456">
        <v>0.75351169999999901</v>
      </c>
      <c r="AB5456">
        <v>34</v>
      </c>
      <c r="AC5456">
        <v>18.822499999999899</v>
      </c>
      <c r="AD5456">
        <v>-1.1263930719939901</v>
      </c>
      <c r="AE5456">
        <v>-6.1317699999999897</v>
      </c>
      <c r="AF5456">
        <v>-13.1382493871845</v>
      </c>
      <c r="AG5456">
        <v>-1.1263930719939901</v>
      </c>
      <c r="AH5456">
        <v>14.72230485026</v>
      </c>
      <c r="AI5456">
        <v>93.267126518543805</v>
      </c>
      <c r="AJ5456">
        <v>131.74586218412699</v>
      </c>
      <c r="AK5456">
        <v>19.764326915341201</v>
      </c>
      <c r="AL5456">
        <v>91.502899664382298</v>
      </c>
      <c r="AM5456">
        <v>116.74315728313699</v>
      </c>
      <c r="AN5456">
        <v>1.0000000143868499</v>
      </c>
    </row>
    <row r="5457" spans="1:40" x14ac:dyDescent="0.25">
      <c r="A5457" t="str">
        <f>"20190305135937328"</f>
        <v>20190305135937328</v>
      </c>
      <c r="B5457" t="str">
        <f>"1551765577325060"</f>
        <v>1551765577325060</v>
      </c>
      <c r="C5457" t="s">
        <v>40</v>
      </c>
      <c r="D5457">
        <v>4.3609669999999996</v>
      </c>
      <c r="E5457">
        <v>0.39520509999999998</v>
      </c>
      <c r="F5457" t="s">
        <v>42</v>
      </c>
      <c r="G5457">
        <v>-279.10599999999999</v>
      </c>
      <c r="H5457" s="1">
        <v>-3.2091229999999999E-6</v>
      </c>
      <c r="I5457">
        <v>-61.051099999999998</v>
      </c>
      <c r="J5457">
        <v>-297.25099999999998</v>
      </c>
      <c r="K5457">
        <v>1.126495</v>
      </c>
      <c r="L5457">
        <v>-55.550109999999997</v>
      </c>
      <c r="M5457">
        <v>0.51869949999999998</v>
      </c>
      <c r="N5457">
        <v>-1.708575E-2</v>
      </c>
      <c r="O5457">
        <v>-0.85478600000000005</v>
      </c>
      <c r="P5457">
        <v>0.85023859999999996</v>
      </c>
      <c r="Q5457">
        <v>-2.4405280000000001E-2</v>
      </c>
      <c r="R5457">
        <v>-0.52583159999999995</v>
      </c>
      <c r="S5457">
        <v>2.966736</v>
      </c>
      <c r="T5457">
        <v>-0.1824865</v>
      </c>
      <c r="U5457">
        <v>-0.93380739999999995</v>
      </c>
      <c r="V5457">
        <v>-0.45330720000000002</v>
      </c>
      <c r="W5457">
        <v>-2.8188399999999999E-2</v>
      </c>
      <c r="X5457">
        <v>0.89090849999999899</v>
      </c>
      <c r="Y5457">
        <v>-0.65812209999999904</v>
      </c>
      <c r="Z5457">
        <v>5.0252400000000003E-2</v>
      </c>
      <c r="AA5457">
        <v>0.75123229999999996</v>
      </c>
      <c r="AB5457">
        <v>34</v>
      </c>
      <c r="AC5457">
        <v>18.1449999999999</v>
      </c>
      <c r="AD5457">
        <v>-1.126498209123</v>
      </c>
      <c r="AE5457">
        <v>-5.5009899999999998</v>
      </c>
      <c r="AF5457">
        <v>-12.6140516663223</v>
      </c>
      <c r="AG5457">
        <v>-1.126498209123</v>
      </c>
      <c r="AH5457">
        <v>14.066378189493699</v>
      </c>
      <c r="AI5457">
        <v>93.412078512232</v>
      </c>
      <c r="AJ5457">
        <v>131.884227934596</v>
      </c>
      <c r="AK5457">
        <v>18.927395304839798</v>
      </c>
      <c r="AL5457">
        <v>91.615290347141098</v>
      </c>
      <c r="AM5457">
        <v>116.96765384802499</v>
      </c>
      <c r="AN5457">
        <v>0.99999997941932395</v>
      </c>
    </row>
    <row r="5458" spans="1:40" x14ac:dyDescent="0.25">
      <c r="A5458" t="str">
        <f>"20190305135937347"</f>
        <v>20190305135937347</v>
      </c>
      <c r="B5458" t="str">
        <f>"1551765577344581"</f>
        <v>1551765577344581</v>
      </c>
      <c r="C5458" t="s">
        <v>40</v>
      </c>
      <c r="D5458">
        <v>4.3616960000000002</v>
      </c>
      <c r="E5458">
        <v>0.402175</v>
      </c>
      <c r="F5458" t="s">
        <v>42</v>
      </c>
      <c r="G5458">
        <v>-279.53870000000001</v>
      </c>
      <c r="H5458" s="1">
        <v>-3.3214940000000001E-6</v>
      </c>
      <c r="I5458">
        <v>-60.7215699999999</v>
      </c>
      <c r="J5458">
        <v>-297.09390000000002</v>
      </c>
      <c r="K5458">
        <v>1.126592</v>
      </c>
      <c r="L5458">
        <v>-55.7881199999999</v>
      </c>
      <c r="M5458">
        <v>0.53296569999999899</v>
      </c>
      <c r="N5458">
        <v>-1.7171249999999999E-2</v>
      </c>
      <c r="O5458">
        <v>-0.84596260000000001</v>
      </c>
      <c r="P5458">
        <v>0.86006469999999902</v>
      </c>
      <c r="Q5458">
        <v>-2.5982419999999999E-2</v>
      </c>
      <c r="R5458">
        <v>-0.50952319999999995</v>
      </c>
      <c r="S5458">
        <v>2.9841310000000001</v>
      </c>
      <c r="T5458">
        <v>-0.18979009999999999</v>
      </c>
      <c r="U5458">
        <v>-0.87127690000000002</v>
      </c>
      <c r="V5458">
        <v>-0.45523429999999998</v>
      </c>
      <c r="W5458">
        <v>-2.993123E-2</v>
      </c>
      <c r="X5458">
        <v>0.88986849999999995</v>
      </c>
      <c r="Y5458">
        <v>-0.66102439999999996</v>
      </c>
      <c r="Z5458">
        <v>5.2809870000000002E-2</v>
      </c>
      <c r="AA5458">
        <v>0.74850369999999899</v>
      </c>
      <c r="AB5458">
        <v>34</v>
      </c>
      <c r="AC5458">
        <v>17.555199999999999</v>
      </c>
      <c r="AD5458">
        <v>-1.1265953214939901</v>
      </c>
      <c r="AE5458">
        <v>-4.9334499999999997</v>
      </c>
      <c r="AF5458">
        <v>-12.177006489141201</v>
      </c>
      <c r="AG5458">
        <v>-1.1265953214939901</v>
      </c>
      <c r="AH5458">
        <v>13.4803751710061</v>
      </c>
      <c r="AI5458">
        <v>93.548769146614802</v>
      </c>
      <c r="AJ5458">
        <v>132.091932884095</v>
      </c>
      <c r="AK5458">
        <v>18.200802696751499</v>
      </c>
      <c r="AL5458">
        <v>91.715189239489902</v>
      </c>
      <c r="AM5458">
        <v>117.093140895594</v>
      </c>
      <c r="AN5458">
        <v>1.00000004685902</v>
      </c>
    </row>
    <row r="5459" spans="1:40" x14ac:dyDescent="0.25">
      <c r="A5459" t="str">
        <f>"20190305135937368"</f>
        <v>20190305135937368</v>
      </c>
      <c r="B5459" t="str">
        <f>"1551765577365078"</f>
        <v>1551765577365078</v>
      </c>
      <c r="C5459" t="s">
        <v>40</v>
      </c>
      <c r="D5459">
        <v>4.3176990000000002</v>
      </c>
      <c r="E5459">
        <v>0.40280110000000002</v>
      </c>
      <c r="F5459" t="s">
        <v>82</v>
      </c>
      <c r="G5459">
        <v>-280.01620000000003</v>
      </c>
      <c r="H5459" s="1">
        <v>-7.6637329999999994E-6</v>
      </c>
      <c r="I5459">
        <v>-60.743609999999997</v>
      </c>
      <c r="J5459">
        <v>-296.91359999999997</v>
      </c>
      <c r="K5459">
        <v>1.1267119999999999</v>
      </c>
      <c r="L5459">
        <v>-56.051090000000002</v>
      </c>
      <c r="M5459">
        <v>0.54888269999999995</v>
      </c>
      <c r="N5459">
        <v>-1.726478E-2</v>
      </c>
      <c r="O5459">
        <v>-0.83572119999999905</v>
      </c>
      <c r="P5459">
        <v>0.86971409999999905</v>
      </c>
      <c r="Q5459">
        <v>-2.5629519999999999E-2</v>
      </c>
      <c r="R5459">
        <v>-0.4928901</v>
      </c>
      <c r="S5459">
        <v>2.9713750000000001</v>
      </c>
      <c r="T5459">
        <v>-0.19601869999999999</v>
      </c>
      <c r="U5459">
        <v>-0.86221309999999995</v>
      </c>
      <c r="V5459">
        <v>-0.45551930000000002</v>
      </c>
      <c r="W5459">
        <v>-2.965549E-2</v>
      </c>
      <c r="X5459">
        <v>0.88973179999999996</v>
      </c>
      <c r="Y5459">
        <v>-0.6478566</v>
      </c>
      <c r="Z5459">
        <v>5.473045E-2</v>
      </c>
      <c r="AA5459">
        <v>0.75979370000000002</v>
      </c>
      <c r="AB5459">
        <v>34</v>
      </c>
      <c r="AC5459">
        <v>16.897399999999902</v>
      </c>
      <c r="AD5459">
        <v>-1.1267196637329999</v>
      </c>
      <c r="AE5459">
        <v>-4.6925199999999903</v>
      </c>
      <c r="AF5459">
        <v>-11.5001210870265</v>
      </c>
      <c r="AG5459">
        <v>-1.1267196637329999</v>
      </c>
      <c r="AH5459">
        <v>13.1440376681991</v>
      </c>
      <c r="AI5459">
        <v>93.691254382141096</v>
      </c>
      <c r="AJ5459">
        <v>131.18367380808101</v>
      </c>
      <c r="AK5459">
        <v>17.5010859217351</v>
      </c>
      <c r="AL5459">
        <v>91.699383601901602</v>
      </c>
      <c r="AM5459">
        <v>117.111253447115</v>
      </c>
      <c r="AN5459">
        <v>0.99999997834543397</v>
      </c>
    </row>
    <row r="5460" spans="1:40" x14ac:dyDescent="0.25">
      <c r="A5460" t="str">
        <f>"20190305135937391"</f>
        <v>20190305135937391</v>
      </c>
      <c r="B5460" t="str">
        <f>"1551765577384597"</f>
        <v>1551765577384597</v>
      </c>
      <c r="C5460" t="s">
        <v>40</v>
      </c>
      <c r="D5460">
        <v>4.3508769999999997</v>
      </c>
      <c r="E5460">
        <v>0.406275</v>
      </c>
      <c r="F5460" t="s">
        <v>42</v>
      </c>
      <c r="G5460">
        <v>-279.7715</v>
      </c>
      <c r="H5460" s="1">
        <v>-3.404931E-6</v>
      </c>
      <c r="I5460">
        <v>-60.699309999999997</v>
      </c>
      <c r="J5460">
        <v>-296.71510000000001</v>
      </c>
      <c r="K5460">
        <v>1.1268549999999999</v>
      </c>
      <c r="L5460">
        <v>-56.328740000000003</v>
      </c>
      <c r="M5460">
        <v>0.56584909999999999</v>
      </c>
      <c r="N5460">
        <v>-1.7362869999999999E-2</v>
      </c>
      <c r="O5460">
        <v>-0.82432619999999901</v>
      </c>
      <c r="P5460">
        <v>0.87921870000000002</v>
      </c>
      <c r="Q5460">
        <v>-2.407432E-2</v>
      </c>
      <c r="R5460">
        <v>-0.47581000000000001</v>
      </c>
      <c r="S5460">
        <v>2.9849239999999999</v>
      </c>
      <c r="T5460">
        <v>-0.19619320000000001</v>
      </c>
      <c r="U5460">
        <v>-0.80938719999999997</v>
      </c>
      <c r="V5460">
        <v>-0.4548084</v>
      </c>
      <c r="W5460">
        <v>-2.8116869999999999E-2</v>
      </c>
      <c r="X5460">
        <v>0.89014539999999998</v>
      </c>
      <c r="Y5460">
        <v>-0.64569330000000003</v>
      </c>
      <c r="Z5460">
        <v>5.4660239999999999E-2</v>
      </c>
      <c r="AA5460">
        <v>0.76163800000000004</v>
      </c>
      <c r="AB5460">
        <v>34</v>
      </c>
      <c r="AC5460">
        <v>16.9436</v>
      </c>
      <c r="AD5460">
        <v>-1.126858404931</v>
      </c>
      <c r="AE5460">
        <v>-4.3705699999999901</v>
      </c>
      <c r="AF5460">
        <v>-11.448223509159799</v>
      </c>
      <c r="AG5460">
        <v>-1.126858404931</v>
      </c>
      <c r="AH5460">
        <v>13.137797884914299</v>
      </c>
      <c r="AI5460">
        <v>93.699911920700202</v>
      </c>
      <c r="AJ5460">
        <v>131.06876120428399</v>
      </c>
      <c r="AK5460">
        <v>17.462341327705801</v>
      </c>
      <c r="AL5460">
        <v>91.611190263486094</v>
      </c>
      <c r="AM5460">
        <v>117.064179278303</v>
      </c>
      <c r="AN5460">
        <v>1.00000003611515</v>
      </c>
    </row>
    <row r="5461" spans="1:40" x14ac:dyDescent="0.25">
      <c r="A5461" t="str">
        <f>"20190305135937413"</f>
        <v>20190305135937413</v>
      </c>
      <c r="B5461" t="str">
        <f>"1551765577405093"</f>
        <v>1551765577405093</v>
      </c>
      <c r="C5461" t="s">
        <v>40</v>
      </c>
      <c r="D5461">
        <v>4.3650539999999998</v>
      </c>
      <c r="E5461">
        <v>0.40653509999999998</v>
      </c>
      <c r="F5461" t="s">
        <v>42</v>
      </c>
      <c r="G5461">
        <v>-279.726</v>
      </c>
      <c r="H5461" s="1">
        <v>-3.3951509999999998E-6</v>
      </c>
      <c r="I5461">
        <v>-60.741970000000002</v>
      </c>
      <c r="J5461">
        <v>-296.5172</v>
      </c>
      <c r="K5461">
        <v>1.126992</v>
      </c>
      <c r="L5461">
        <v>-56.594270000000002</v>
      </c>
      <c r="M5461">
        <v>0.58222479999999999</v>
      </c>
      <c r="N5461">
        <v>-1.74559E-2</v>
      </c>
      <c r="O5461">
        <v>-0.81284049999999997</v>
      </c>
      <c r="P5461">
        <v>0.88784979999999902</v>
      </c>
      <c r="Q5461">
        <v>-2.2450089999999999E-2</v>
      </c>
      <c r="R5461">
        <v>-0.45958529999999997</v>
      </c>
      <c r="S5461">
        <v>2.9868160000000001</v>
      </c>
      <c r="T5461">
        <v>-0.19810990000000001</v>
      </c>
      <c r="U5461">
        <v>-0.77587890000000004</v>
      </c>
      <c r="V5461">
        <v>-0.45344830000000003</v>
      </c>
      <c r="W5461">
        <v>-2.6462280000000001E-2</v>
      </c>
      <c r="X5461">
        <v>0.89088959999999995</v>
      </c>
      <c r="Y5461">
        <v>-0.63847779999999998</v>
      </c>
      <c r="Z5461">
        <v>5.5085589999999997E-2</v>
      </c>
      <c r="AA5461">
        <v>0.76766639999999997</v>
      </c>
      <c r="AB5461">
        <v>34</v>
      </c>
      <c r="AC5461">
        <v>16.7912</v>
      </c>
      <c r="AD5461">
        <v>-1.1269953951509999</v>
      </c>
      <c r="AE5461">
        <v>-4.1477000000000004</v>
      </c>
      <c r="AF5461">
        <v>-11.1878835040706</v>
      </c>
      <c r="AG5461">
        <v>-1.1269953951509999</v>
      </c>
      <c r="AH5461">
        <v>13.094079771250099</v>
      </c>
      <c r="AI5461">
        <v>93.743890631494693</v>
      </c>
      <c r="AJ5461">
        <v>130.51134023693101</v>
      </c>
      <c r="AK5461">
        <v>17.2595996760414</v>
      </c>
      <c r="AL5461">
        <v>91.516354048715002</v>
      </c>
      <c r="AM5461">
        <v>116.97535297644799</v>
      </c>
      <c r="AN5461">
        <v>0.99999994621192201</v>
      </c>
    </row>
    <row r="5462" spans="1:40" x14ac:dyDescent="0.25">
      <c r="A5462" t="str">
        <f>"20190305135937435"</f>
        <v>20190305135937435</v>
      </c>
      <c r="B5462" t="str">
        <f>"1551765577424613"</f>
        <v>1551765577424613</v>
      </c>
      <c r="C5462" t="s">
        <v>40</v>
      </c>
      <c r="D5462">
        <v>4.3857100000000004</v>
      </c>
      <c r="E5462">
        <v>0.4058137</v>
      </c>
      <c r="F5462" t="s">
        <v>42</v>
      </c>
      <c r="G5462">
        <v>-279.0976</v>
      </c>
      <c r="H5462" s="1">
        <v>-3.1476120000000001E-6</v>
      </c>
      <c r="I5462">
        <v>-60.790680000000002</v>
      </c>
      <c r="J5462">
        <v>-296.3229</v>
      </c>
      <c r="K5462">
        <v>1.1271150000000001</v>
      </c>
      <c r="L5462">
        <v>-56.844639999999998</v>
      </c>
      <c r="M5462">
        <v>0.59779380000000004</v>
      </c>
      <c r="N5462">
        <v>-1.7542519999999999E-2</v>
      </c>
      <c r="O5462">
        <v>-0.801458</v>
      </c>
      <c r="P5462">
        <v>0.89543399999999995</v>
      </c>
      <c r="Q5462">
        <v>-1.9463649999999999E-2</v>
      </c>
      <c r="R5462">
        <v>-0.44476900000000003</v>
      </c>
      <c r="S5462">
        <v>2.9999389999999999</v>
      </c>
      <c r="T5462">
        <v>-0.19408610000000001</v>
      </c>
      <c r="U5462">
        <v>-0.72268679999999996</v>
      </c>
      <c r="V5462">
        <v>-0.4512526</v>
      </c>
      <c r="W5462">
        <v>-2.3387560000000002E-2</v>
      </c>
      <c r="X5462">
        <v>0.89208969999999899</v>
      </c>
      <c r="Y5462">
        <v>-0.63736800000000005</v>
      </c>
      <c r="Z5462">
        <v>5.3606029999999999E-2</v>
      </c>
      <c r="AA5462">
        <v>0.76869270000000001</v>
      </c>
      <c r="AB5462">
        <v>34</v>
      </c>
      <c r="AC5462">
        <v>17.225300000000001</v>
      </c>
      <c r="AD5462">
        <v>-1.12711814761199</v>
      </c>
      <c r="AE5462">
        <v>-3.9460399999999898</v>
      </c>
      <c r="AF5462">
        <v>-11.401813654594999</v>
      </c>
      <c r="AG5462">
        <v>-1.12711814761199</v>
      </c>
      <c r="AH5462">
        <v>13.407291565994999</v>
      </c>
      <c r="AI5462">
        <v>93.664282667717202</v>
      </c>
      <c r="AJ5462">
        <v>130.37846640999601</v>
      </c>
      <c r="AK5462">
        <v>17.635963740844598</v>
      </c>
      <c r="AL5462">
        <v>91.340130724110395</v>
      </c>
      <c r="AM5462">
        <v>116.832006232393</v>
      </c>
      <c r="AN5462">
        <v>0.9999999599078</v>
      </c>
    </row>
    <row r="5463" spans="1:40" x14ac:dyDescent="0.25">
      <c r="A5463" t="str">
        <f>"20190305135937457"</f>
        <v>20190305135937457</v>
      </c>
      <c r="B5463" t="str">
        <f>"1551765577454949"</f>
        <v>1551765577454949</v>
      </c>
      <c r="C5463" t="s">
        <v>40</v>
      </c>
      <c r="D5463">
        <v>4.4116229999999996</v>
      </c>
      <c r="E5463">
        <v>0.40609630000000002</v>
      </c>
      <c r="F5463" t="s">
        <v>42</v>
      </c>
      <c r="G5463">
        <v>-277.35239999999999</v>
      </c>
      <c r="H5463" s="1">
        <v>-2.4550639999999999E-6</v>
      </c>
      <c r="I5463">
        <v>-61.043140000000001</v>
      </c>
      <c r="J5463">
        <v>-296.11239999999998</v>
      </c>
      <c r="K5463">
        <v>1.127227</v>
      </c>
      <c r="L5463">
        <v>-57.105379999999997</v>
      </c>
      <c r="M5463">
        <v>0.61412540000000004</v>
      </c>
      <c r="N5463">
        <v>-1.7631419999999998E-2</v>
      </c>
      <c r="O5463">
        <v>-0.78901149999999998</v>
      </c>
      <c r="P5463">
        <v>0.90358620000000001</v>
      </c>
      <c r="Q5463">
        <v>-1.487642E-2</v>
      </c>
      <c r="R5463">
        <v>-0.42814799999999997</v>
      </c>
      <c r="S5463">
        <v>3.0149840000000001</v>
      </c>
      <c r="T5463">
        <v>-0.17913219999999999</v>
      </c>
      <c r="U5463">
        <v>-0.66726680000000005</v>
      </c>
      <c r="V5463">
        <v>-0.44968419999999998</v>
      </c>
      <c r="W5463">
        <v>-1.8734460000000001E-2</v>
      </c>
      <c r="X5463">
        <v>0.89299110000000004</v>
      </c>
      <c r="Y5463">
        <v>-0.63615980000000005</v>
      </c>
      <c r="Z5463">
        <v>4.8501450000000002E-2</v>
      </c>
      <c r="AA5463">
        <v>0.77003140000000003</v>
      </c>
      <c r="AB5463">
        <v>34</v>
      </c>
      <c r="AC5463">
        <v>18.759999999999899</v>
      </c>
      <c r="AD5463">
        <v>-1.1272294550640001</v>
      </c>
      <c r="AE5463">
        <v>-3.9377599999999902</v>
      </c>
      <c r="AF5463">
        <v>-12.342820086257399</v>
      </c>
      <c r="AG5463">
        <v>-1.1272294550640001</v>
      </c>
      <c r="AH5463">
        <v>14.579786524098701</v>
      </c>
      <c r="AI5463">
        <v>93.377034978212194</v>
      </c>
      <c r="AJ5463">
        <v>130.250274041892</v>
      </c>
      <c r="AK5463">
        <v>19.135987798239601</v>
      </c>
      <c r="AL5463">
        <v>91.073468309127307</v>
      </c>
      <c r="AM5463">
        <v>116.728488523382</v>
      </c>
      <c r="AN5463">
        <v>0.99999998220016995</v>
      </c>
    </row>
    <row r="5464" spans="1:40" x14ac:dyDescent="0.25">
      <c r="A5464" t="str">
        <f>"20190305135937482"</f>
        <v>20190305135937482</v>
      </c>
      <c r="B5464" t="str">
        <f>"1551765577474469"</f>
        <v>1551765577474469</v>
      </c>
      <c r="C5464" t="s">
        <v>40</v>
      </c>
      <c r="D5464">
        <v>4.3542779999999999</v>
      </c>
      <c r="E5464">
        <v>0.40608420000000001</v>
      </c>
      <c r="F5464" t="s">
        <v>41</v>
      </c>
      <c r="G5464">
        <v>-295.21010000000001</v>
      </c>
      <c r="H5464">
        <v>1.080333</v>
      </c>
      <c r="I5464">
        <v>-57.288319999999999</v>
      </c>
      <c r="J5464">
        <v>-295.88650000000001</v>
      </c>
      <c r="K5464">
        <v>1.1273230000000001</v>
      </c>
      <c r="L5464">
        <v>-57.37238</v>
      </c>
      <c r="M5464">
        <v>0.63101189999999996</v>
      </c>
      <c r="N5464">
        <v>-1.7720929999999999E-2</v>
      </c>
      <c r="O5464">
        <v>-0.77557069999999995</v>
      </c>
      <c r="P5464">
        <v>0.91174460000000002</v>
      </c>
      <c r="Q5464">
        <v>-1.1850029999999999E-2</v>
      </c>
      <c r="R5464">
        <v>-0.41058650000000002</v>
      </c>
      <c r="S5464">
        <v>3.0270079999999999</v>
      </c>
      <c r="T5464">
        <v>-0.15728020000000001</v>
      </c>
      <c r="U5464">
        <v>-0.61312869999999997</v>
      </c>
      <c r="V5464">
        <v>-0.44785320000000001</v>
      </c>
      <c r="W5464">
        <v>-1.562126E-2</v>
      </c>
      <c r="X5464">
        <v>0.89397059999999995</v>
      </c>
      <c r="Y5464">
        <v>-0.63374439999999999</v>
      </c>
      <c r="Z5464">
        <v>4.1206880000000001E-2</v>
      </c>
      <c r="AA5464">
        <v>0.77244419999999903</v>
      </c>
      <c r="AB5464">
        <v>34</v>
      </c>
      <c r="AC5464">
        <v>0.676400000000001</v>
      </c>
      <c r="AD5464">
        <v>-4.6989999999999803E-2</v>
      </c>
      <c r="AE5464">
        <v>8.4060000000008003E-2</v>
      </c>
      <c r="AF5464">
        <v>-0.57499678099181695</v>
      </c>
      <c r="AG5464">
        <v>-4.6989999999999803E-2</v>
      </c>
      <c r="AH5464">
        <v>0.359967929371309</v>
      </c>
      <c r="AI5464">
        <v>93.9624378623393</v>
      </c>
      <c r="AJ5464">
        <v>147.95200603224001</v>
      </c>
      <c r="AK5464">
        <v>0.68000460912174698</v>
      </c>
      <c r="AL5464">
        <v>90.895068698287105</v>
      </c>
      <c r="AM5464">
        <v>116.609533797705</v>
      </c>
      <c r="AN5464">
        <v>0.999999973089293</v>
      </c>
    </row>
    <row r="5465" spans="1:40" x14ac:dyDescent="0.25">
      <c r="A5465" t="str">
        <f>"20190305135937503"</f>
        <v>20190305135937503</v>
      </c>
      <c r="B5465" t="str">
        <f>"1551765577494965"</f>
        <v>1551765577494965</v>
      </c>
      <c r="C5465" t="s">
        <v>40</v>
      </c>
      <c r="D5465">
        <v>4.3557439999999996</v>
      </c>
      <c r="E5465">
        <v>0.4067364</v>
      </c>
      <c r="F5465" t="s">
        <v>42</v>
      </c>
      <c r="G5465">
        <v>-271.94589999999999</v>
      </c>
      <c r="H5465" s="1">
        <v>-2.9010150000000003E-7</v>
      </c>
      <c r="I5465">
        <v>-61.73753</v>
      </c>
      <c r="J5465">
        <v>-295.67259999999999</v>
      </c>
      <c r="K5465">
        <v>1.1273930000000001</v>
      </c>
      <c r="L5465">
        <v>-57.615049999999997</v>
      </c>
      <c r="M5465">
        <v>0.64645160000000002</v>
      </c>
      <c r="N5465">
        <v>-1.7800050000000001E-2</v>
      </c>
      <c r="O5465">
        <v>-0.76274709999999901</v>
      </c>
      <c r="P5465">
        <v>0.91899140000000001</v>
      </c>
      <c r="Q5465">
        <v>-9.9546310000000002E-3</v>
      </c>
      <c r="R5465">
        <v>-0.39415159999999999</v>
      </c>
      <c r="S5465">
        <v>3.0390009999999998</v>
      </c>
      <c r="T5465">
        <v>-0.14310120000000001</v>
      </c>
      <c r="U5465">
        <v>-0.55410769999999998</v>
      </c>
      <c r="V5465">
        <v>-0.44606040000000002</v>
      </c>
      <c r="W5465">
        <v>-1.3634810000000001E-2</v>
      </c>
      <c r="X5465">
        <v>0.894899</v>
      </c>
      <c r="Y5465">
        <v>-0.63351429999999997</v>
      </c>
      <c r="Z5465">
        <v>3.6547179999999999E-2</v>
      </c>
      <c r="AA5465">
        <v>0.77286739999999998</v>
      </c>
      <c r="AB5465">
        <v>34</v>
      </c>
      <c r="AC5465">
        <v>23.726699999999902</v>
      </c>
      <c r="AD5465">
        <v>-1.1273932901015</v>
      </c>
      <c r="AE5465">
        <v>-4.1224800000000004</v>
      </c>
      <c r="AF5465">
        <v>-15.4011828335079</v>
      </c>
      <c r="AG5465">
        <v>-1.1273932901015</v>
      </c>
      <c r="AH5465">
        <v>18.445080715318699</v>
      </c>
      <c r="AI5465">
        <v>92.686177936041204</v>
      </c>
      <c r="AJ5465">
        <v>129.86104031066199</v>
      </c>
      <c r="AK5465">
        <v>24.055944190497399</v>
      </c>
      <c r="AL5465">
        <v>90.781241271848302</v>
      </c>
      <c r="AM5465">
        <v>116.493857467887</v>
      </c>
      <c r="AN5465">
        <v>1.0000000043464401</v>
      </c>
    </row>
    <row r="5466" spans="1:40" x14ac:dyDescent="0.25">
      <c r="A5466" t="str">
        <f>"20190305135937525"</f>
        <v>20190305135937525</v>
      </c>
      <c r="B5466" t="str">
        <f>"1551765577514485"</f>
        <v>1551765577514485</v>
      </c>
      <c r="C5466" t="s">
        <v>40</v>
      </c>
      <c r="D5466">
        <v>4.3708609999999997</v>
      </c>
      <c r="E5466">
        <v>0.4068309</v>
      </c>
      <c r="F5466" t="s">
        <v>42</v>
      </c>
      <c r="G5466">
        <v>-270.25659999999999</v>
      </c>
      <c r="H5466" s="1">
        <v>4.1627829999999999E-7</v>
      </c>
      <c r="I5466">
        <v>-61.819879999999998</v>
      </c>
      <c r="J5466">
        <v>-295.46370000000002</v>
      </c>
      <c r="K5466">
        <v>1.1274599999999999</v>
      </c>
      <c r="L5466">
        <v>-57.84299</v>
      </c>
      <c r="M5466">
        <v>0.66103829999999997</v>
      </c>
      <c r="N5466">
        <v>-1.787182E-2</v>
      </c>
      <c r="O5466">
        <v>-0.75013940000000001</v>
      </c>
      <c r="P5466">
        <v>0.92555770000000004</v>
      </c>
      <c r="Q5466">
        <v>-9.3698819999999995E-3</v>
      </c>
      <c r="R5466">
        <v>-0.37849060000000001</v>
      </c>
      <c r="S5466">
        <v>3.046783</v>
      </c>
      <c r="T5466">
        <v>-0.13514770000000001</v>
      </c>
      <c r="U5466">
        <v>-0.50405880000000003</v>
      </c>
      <c r="V5466">
        <v>-0.4440325</v>
      </c>
      <c r="W5466">
        <v>-1.2942469999999999E-2</v>
      </c>
      <c r="X5466">
        <v>0.89591719999999897</v>
      </c>
      <c r="Y5466">
        <v>-0.63138969999999905</v>
      </c>
      <c r="Z5466">
        <v>3.3898930000000001E-2</v>
      </c>
      <c r="AA5466">
        <v>0.77472439999999998</v>
      </c>
      <c r="AB5466">
        <v>34</v>
      </c>
      <c r="AC5466">
        <v>25.207100000000001</v>
      </c>
      <c r="AD5466">
        <v>-1.1274595837217001</v>
      </c>
      <c r="AE5466">
        <v>-3.97689</v>
      </c>
      <c r="AF5466">
        <v>-16.250840001017998</v>
      </c>
      <c r="AG5466">
        <v>-1.1274595837217001</v>
      </c>
      <c r="AH5466">
        <v>19.610936696441001</v>
      </c>
      <c r="AI5466">
        <v>92.534693043174201</v>
      </c>
      <c r="AJ5466">
        <v>129.64725518768901</v>
      </c>
      <c r="AK5466">
        <v>25.494113123688599</v>
      </c>
      <c r="AL5466">
        <v>90.741569612339902</v>
      </c>
      <c r="AM5466">
        <v>116.36383344346299</v>
      </c>
      <c r="AN5466">
        <v>0.99999999892089497</v>
      </c>
    </row>
    <row r="5467" spans="1:40" x14ac:dyDescent="0.25">
      <c r="A5467" t="str">
        <f>"20190305135937547"</f>
        <v>20190305135937547</v>
      </c>
      <c r="B5467" t="str">
        <f>"1551765577534982"</f>
        <v>1551765577534982</v>
      </c>
      <c r="C5467" t="s">
        <v>40</v>
      </c>
      <c r="D5467">
        <v>4.3446220000000002</v>
      </c>
      <c r="E5467">
        <v>0.40720109999999998</v>
      </c>
      <c r="F5467" t="s">
        <v>92</v>
      </c>
      <c r="G5467">
        <v>-269.31540000000001</v>
      </c>
      <c r="H5467" s="1">
        <v>-3.2953419999999999E-6</v>
      </c>
      <c r="I5467">
        <v>-61.718699999999998</v>
      </c>
      <c r="J5467">
        <v>-295.23970000000003</v>
      </c>
      <c r="K5467">
        <v>1.127513</v>
      </c>
      <c r="L5467">
        <v>-58.07779</v>
      </c>
      <c r="M5467">
        <v>0.67614849999999904</v>
      </c>
      <c r="N5467">
        <v>-1.7942099999999999E-2</v>
      </c>
      <c r="O5467">
        <v>-0.73654710000000001</v>
      </c>
      <c r="P5467">
        <v>0.93219759999999996</v>
      </c>
      <c r="Q5467">
        <v>-7.4633729999999997E-3</v>
      </c>
      <c r="R5467">
        <v>-0.3618729</v>
      </c>
      <c r="S5467">
        <v>3.0547789999999999</v>
      </c>
      <c r="T5467">
        <v>-0.13171640000000001</v>
      </c>
      <c r="U5467">
        <v>-0.45278930000000001</v>
      </c>
      <c r="V5467">
        <v>-0.4419479</v>
      </c>
      <c r="W5467">
        <v>-1.0919699999999999E-2</v>
      </c>
      <c r="X5467">
        <v>0.8969743</v>
      </c>
      <c r="Y5467">
        <v>-0.62869790000000003</v>
      </c>
      <c r="Z5467">
        <v>3.2680220000000003E-2</v>
      </c>
      <c r="AA5467">
        <v>0.77696259999999995</v>
      </c>
      <c r="AB5467">
        <v>34</v>
      </c>
      <c r="AC5467">
        <v>25.924299999999999</v>
      </c>
      <c r="AD5467">
        <v>-1.1275162953419999</v>
      </c>
      <c r="AE5467">
        <v>-3.6409099999999901</v>
      </c>
      <c r="AF5467">
        <v>-16.604545350910499</v>
      </c>
      <c r="AG5467">
        <v>-1.1275162953419999</v>
      </c>
      <c r="AH5467">
        <v>20.176201356572498</v>
      </c>
      <c r="AI5467">
        <v>92.470771329416394</v>
      </c>
      <c r="AJ5467">
        <v>129.45358743441199</v>
      </c>
      <c r="AK5467">
        <v>26.154565958693802</v>
      </c>
      <c r="AL5467">
        <v>90.625665132657801</v>
      </c>
      <c r="AM5467">
        <v>116.22991298693201</v>
      </c>
      <c r="AN5467">
        <v>1.0000000405114899</v>
      </c>
    </row>
    <row r="5468" spans="1:40" x14ac:dyDescent="0.25">
      <c r="A5468" t="str">
        <f>"20190305135937569"</f>
        <v>20190305135937569</v>
      </c>
      <c r="B5468" t="str">
        <f>"1551765577564940"</f>
        <v>1551765577564940</v>
      </c>
      <c r="C5468" t="s">
        <v>40</v>
      </c>
      <c r="D5468">
        <v>4.322711</v>
      </c>
      <c r="E5468">
        <v>0.4076998</v>
      </c>
      <c r="F5468" t="s">
        <v>92</v>
      </c>
      <c r="G5468">
        <v>-268.54050000000001</v>
      </c>
      <c r="H5468" s="1">
        <v>-2.9862709999999999E-6</v>
      </c>
      <c r="I5468">
        <v>-61.575679999999998</v>
      </c>
      <c r="J5468">
        <v>-295.00380000000001</v>
      </c>
      <c r="K5468">
        <v>1.1275710000000001</v>
      </c>
      <c r="L5468">
        <v>-58.315159999999999</v>
      </c>
      <c r="M5468">
        <v>0.69150610000000001</v>
      </c>
      <c r="N5468">
        <v>-1.8009310000000001E-2</v>
      </c>
      <c r="O5468">
        <v>-0.72214619999999996</v>
      </c>
      <c r="P5468">
        <v>0.93850049999999996</v>
      </c>
      <c r="Q5468">
        <v>-5.6661139999999999E-3</v>
      </c>
      <c r="R5468">
        <v>-0.34523130000000002</v>
      </c>
      <c r="S5468">
        <v>3.0614620000000001</v>
      </c>
      <c r="T5468">
        <v>-0.12928629999999999</v>
      </c>
      <c r="U5468">
        <v>-0.40109250000000002</v>
      </c>
      <c r="V5468">
        <v>-0.43911080000000002</v>
      </c>
      <c r="W5468">
        <v>-8.9626140000000007E-3</v>
      </c>
      <c r="X5468">
        <v>0.89838819999999997</v>
      </c>
      <c r="Y5468">
        <v>-0.62547640000000004</v>
      </c>
      <c r="Z5468">
        <v>3.1772660000000001E-2</v>
      </c>
      <c r="AA5468">
        <v>0.77959590000000001</v>
      </c>
      <c r="AB5468">
        <v>34</v>
      </c>
      <c r="AC5468">
        <v>26.4633</v>
      </c>
      <c r="AD5468">
        <v>-1.1275739862709999</v>
      </c>
      <c r="AE5468">
        <v>-3.2605200000000001</v>
      </c>
      <c r="AF5468">
        <v>-16.828339467724</v>
      </c>
      <c r="AG5468">
        <v>-1.1275739862709999</v>
      </c>
      <c r="AH5468">
        <v>20.620576792341001</v>
      </c>
      <c r="AI5468">
        <v>92.425874997269105</v>
      </c>
      <c r="AJ5468">
        <v>129.217695504434</v>
      </c>
      <c r="AK5468">
        <v>26.6396812965979</v>
      </c>
      <c r="AL5468">
        <v>90.513526835769099</v>
      </c>
      <c r="AM5468">
        <v>116.04828551205399</v>
      </c>
      <c r="AN5468">
        <v>0.99999999051279598</v>
      </c>
    </row>
    <row r="5469" spans="1:40" x14ac:dyDescent="0.25">
      <c r="A5469" t="str">
        <f>"20190305135937593"</f>
        <v>20190305135937593</v>
      </c>
      <c r="B5469" t="str">
        <f>"1551765577584460"</f>
        <v>1551765577584460</v>
      </c>
      <c r="C5469" t="s">
        <v>40</v>
      </c>
      <c r="D5469">
        <v>4.399521</v>
      </c>
      <c r="E5469">
        <v>0.4080452</v>
      </c>
      <c r="F5469" t="s">
        <v>92</v>
      </c>
      <c r="G5469">
        <v>-267.8492</v>
      </c>
      <c r="H5469" s="1">
        <v>-2.6478599999999998E-6</v>
      </c>
      <c r="I5469">
        <v>-61.418410000000002</v>
      </c>
      <c r="J5469">
        <v>-294.7636</v>
      </c>
      <c r="K5469">
        <v>1.127623</v>
      </c>
      <c r="L5469">
        <v>-58.546970000000002</v>
      </c>
      <c r="M5469">
        <v>0.70658219999999905</v>
      </c>
      <c r="N5469">
        <v>-1.8071819999999999E-2</v>
      </c>
      <c r="O5469">
        <v>-0.70740009999999998</v>
      </c>
      <c r="P5469">
        <v>0.94425539999999997</v>
      </c>
      <c r="Q5469">
        <v>-4.3228900000000002E-3</v>
      </c>
      <c r="R5469">
        <v>-0.32918500000000001</v>
      </c>
      <c r="S5469">
        <v>3.0668950000000001</v>
      </c>
      <c r="T5469">
        <v>-0.1273503</v>
      </c>
      <c r="U5469">
        <v>-0.35049439999999998</v>
      </c>
      <c r="V5469">
        <v>-0.43554219999999999</v>
      </c>
      <c r="W5469">
        <v>-7.4173449999999997E-3</v>
      </c>
      <c r="X5469">
        <v>0.90013770000000004</v>
      </c>
      <c r="Y5469">
        <v>-0.6218979</v>
      </c>
      <c r="Z5469">
        <v>3.1013220000000001E-2</v>
      </c>
      <c r="AA5469">
        <v>0.78248399999999996</v>
      </c>
      <c r="AB5469">
        <v>33</v>
      </c>
      <c r="AC5469">
        <v>26.914400000000001</v>
      </c>
      <c r="AD5469">
        <v>-1.12762564786</v>
      </c>
      <c r="AE5469">
        <v>-2.8714400000000002</v>
      </c>
      <c r="AF5469">
        <v>-16.983643615033099</v>
      </c>
      <c r="AG5469">
        <v>-1.12762564786</v>
      </c>
      <c r="AH5469">
        <v>21.0154578985053</v>
      </c>
      <c r="AI5469">
        <v>92.389716414727005</v>
      </c>
      <c r="AJ5469">
        <v>128.943412679532</v>
      </c>
      <c r="AK5469">
        <v>27.043763804766801</v>
      </c>
      <c r="AL5469">
        <v>90.424986481077596</v>
      </c>
      <c r="AM5469">
        <v>115.820563887186</v>
      </c>
      <c r="AN5469">
        <v>0.99999995197448799</v>
      </c>
    </row>
    <row r="5470" spans="1:40" x14ac:dyDescent="0.25">
      <c r="A5470" t="str">
        <f>"20190305135937614"</f>
        <v>20190305135937614</v>
      </c>
      <c r="B5470" t="str">
        <f>"1551765577604957"</f>
        <v>1551765577604957</v>
      </c>
      <c r="C5470" t="s">
        <v>40</v>
      </c>
      <c r="D5470">
        <v>4.5558719999999999</v>
      </c>
      <c r="E5470">
        <v>0.40827619999999998</v>
      </c>
      <c r="F5470" t="s">
        <v>92</v>
      </c>
      <c r="G5470">
        <v>-267.81569999999999</v>
      </c>
      <c r="H5470" s="1">
        <v>-2.572373E-6</v>
      </c>
      <c r="I5470">
        <v>-61.188740000000003</v>
      </c>
      <c r="J5470">
        <v>-294.53449999999998</v>
      </c>
      <c r="K5470">
        <v>1.1276489999999999</v>
      </c>
      <c r="L5470">
        <v>-58.759160000000001</v>
      </c>
      <c r="M5470">
        <v>0.72045170000000003</v>
      </c>
      <c r="N5470">
        <v>-1.8126949999999999E-2</v>
      </c>
      <c r="O5470">
        <v>-0.69326829999999995</v>
      </c>
      <c r="P5470">
        <v>0.94942300000000002</v>
      </c>
      <c r="Q5470">
        <v>-4.6555920000000001E-3</v>
      </c>
      <c r="R5470">
        <v>-0.31396570000000001</v>
      </c>
      <c r="S5470">
        <v>3.0715330000000001</v>
      </c>
      <c r="T5470">
        <v>-0.128527</v>
      </c>
      <c r="U5470">
        <v>-0.30111690000000002</v>
      </c>
      <c r="V5470">
        <v>-0.43217109999999898</v>
      </c>
      <c r="W5470">
        <v>-7.557238E-3</v>
      </c>
      <c r="X5470">
        <v>0.90176000000000001</v>
      </c>
      <c r="Y5470">
        <v>-0.61895040000000001</v>
      </c>
      <c r="Z5470">
        <v>3.1225389999999999E-2</v>
      </c>
      <c r="AA5470">
        <v>0.78480909999999904</v>
      </c>
      <c r="AB5470">
        <v>33</v>
      </c>
      <c r="AC5470">
        <v>26.718799999999899</v>
      </c>
      <c r="AD5470">
        <v>-1.1276515723729901</v>
      </c>
      <c r="AE5470">
        <v>-2.4295800000000001</v>
      </c>
      <c r="AF5470">
        <v>-16.746073187475499</v>
      </c>
      <c r="AG5470">
        <v>-1.1276515723729901</v>
      </c>
      <c r="AH5470">
        <v>20.900471106620699</v>
      </c>
      <c r="AI5470">
        <v>92.411029958019896</v>
      </c>
      <c r="AJ5470">
        <v>128.70273548496201</v>
      </c>
      <c r="AK5470">
        <v>26.805452015357702</v>
      </c>
      <c r="AL5470">
        <v>90.433001948867698</v>
      </c>
      <c r="AM5470">
        <v>115.60620588934501</v>
      </c>
      <c r="AN5470">
        <v>1.0000000345606901</v>
      </c>
    </row>
    <row r="5471" spans="1:40" x14ac:dyDescent="0.25">
      <c r="A5471" t="str">
        <f>"20190305135937636"</f>
        <v>20190305135937636</v>
      </c>
      <c r="B5471" t="str">
        <f>"1551765577624476"</f>
        <v>1551765577624476</v>
      </c>
      <c r="C5471" t="s">
        <v>40</v>
      </c>
      <c r="D5471">
        <v>4.624161</v>
      </c>
      <c r="E5471">
        <v>0.42948950000000002</v>
      </c>
      <c r="F5471" t="s">
        <v>41</v>
      </c>
      <c r="G5471">
        <v>-293.57409999999999</v>
      </c>
      <c r="H5471">
        <v>1.0863689999999999</v>
      </c>
      <c r="I5471">
        <v>-58.838500000000003</v>
      </c>
      <c r="J5471">
        <v>-294.29700000000003</v>
      </c>
      <c r="K5471">
        <v>1.1276660000000001</v>
      </c>
      <c r="L5471">
        <v>-58.97034</v>
      </c>
      <c r="M5471">
        <v>0.73432120000000001</v>
      </c>
      <c r="N5471">
        <v>-1.8180020000000002E-2</v>
      </c>
      <c r="O5471">
        <v>-0.67855900000000002</v>
      </c>
      <c r="P5471">
        <v>0.95426060000000001</v>
      </c>
      <c r="Q5471">
        <v>-6.2707290000000001E-3</v>
      </c>
      <c r="R5471">
        <v>-0.29891060000000003</v>
      </c>
      <c r="S5471">
        <v>3.0753170000000001</v>
      </c>
      <c r="T5471">
        <v>-0.1321465</v>
      </c>
      <c r="U5471">
        <v>-0.25357059999999998</v>
      </c>
      <c r="V5471">
        <v>-0.42812339999999999</v>
      </c>
      <c r="W5471">
        <v>-8.9414159999999902E-3</v>
      </c>
      <c r="X5471">
        <v>0.90367600000000003</v>
      </c>
      <c r="Y5471">
        <v>-0.61515220000000004</v>
      </c>
      <c r="Z5471">
        <v>3.2123739999999998E-2</v>
      </c>
      <c r="AA5471">
        <v>0.78775360000000005</v>
      </c>
      <c r="AB5471">
        <v>33</v>
      </c>
      <c r="AC5471">
        <v>0.72290000000003796</v>
      </c>
      <c r="AD5471">
        <v>-4.1296999999999903E-2</v>
      </c>
      <c r="AE5471">
        <v>0.13183999999999599</v>
      </c>
      <c r="AF5471">
        <v>-0.58559061751156805</v>
      </c>
      <c r="AG5471">
        <v>-4.1296999999999903E-2</v>
      </c>
      <c r="AH5471">
        <v>0.44006253147658497</v>
      </c>
      <c r="AI5471">
        <v>93.226769072145501</v>
      </c>
      <c r="AJ5471">
        <v>143.07568935753699</v>
      </c>
      <c r="AK5471">
        <v>0.733673527623943</v>
      </c>
      <c r="AL5471">
        <v>90.5123122499826</v>
      </c>
      <c r="AM5471">
        <v>115.349611570332</v>
      </c>
      <c r="AN5471">
        <v>0.99999995376182105</v>
      </c>
    </row>
    <row r="5472" spans="1:40" x14ac:dyDescent="0.25">
      <c r="A5472" t="str">
        <f>"20190305135937659"</f>
        <v>20190305135937659</v>
      </c>
      <c r="B5472" t="str">
        <f>"1551765577654267"</f>
        <v>1551765577654267</v>
      </c>
      <c r="C5472" t="s">
        <v>40</v>
      </c>
      <c r="D5472">
        <v>4.5619139999999998</v>
      </c>
      <c r="E5472">
        <v>0.48337190000000002</v>
      </c>
      <c r="F5472" t="s">
        <v>41</v>
      </c>
      <c r="G5472">
        <v>-293.39920000000001</v>
      </c>
      <c r="H5472">
        <v>1.04305</v>
      </c>
      <c r="I5472">
        <v>-59.082160000000002</v>
      </c>
      <c r="J5472">
        <v>-294.05090000000001</v>
      </c>
      <c r="K5472">
        <v>1.127675</v>
      </c>
      <c r="L5472">
        <v>-59.180239999999998</v>
      </c>
      <c r="M5472">
        <v>0.7481757</v>
      </c>
      <c r="N5472">
        <v>-1.82311E-2</v>
      </c>
      <c r="O5472">
        <v>-0.66325019999999901</v>
      </c>
      <c r="P5472">
        <v>0.95881099999999997</v>
      </c>
      <c r="Q5472">
        <v>-8.4089899999999999E-3</v>
      </c>
      <c r="R5472">
        <v>-0.28392020000000001</v>
      </c>
      <c r="S5472">
        <v>3.0239259999999999</v>
      </c>
      <c r="T5472">
        <v>-0.28500189999999997</v>
      </c>
      <c r="U5472">
        <v>-0.37667850000000003</v>
      </c>
      <c r="V5472">
        <v>-0.42351919999999998</v>
      </c>
      <c r="W5472">
        <v>-1.081589E-2</v>
      </c>
      <c r="X5472">
        <v>0.90582260000000003</v>
      </c>
      <c r="Y5472">
        <v>-0.56153629999999999</v>
      </c>
      <c r="Z5472">
        <v>7.5481720000000002E-2</v>
      </c>
      <c r="AA5472">
        <v>0.82400209999999996</v>
      </c>
      <c r="AB5472">
        <v>33</v>
      </c>
      <c r="AC5472">
        <v>0.65170000000000505</v>
      </c>
      <c r="AD5472">
        <v>-8.4624999999999895E-2</v>
      </c>
      <c r="AE5472">
        <v>9.8080000000010104E-2</v>
      </c>
      <c r="AF5472">
        <v>-0.49750230654445898</v>
      </c>
      <c r="AG5472">
        <v>-8.4624999999999895E-2</v>
      </c>
      <c r="AH5472">
        <v>0.41574975234848599</v>
      </c>
      <c r="AI5472">
        <v>97.436425279464501</v>
      </c>
      <c r="AJ5472">
        <v>140.115372221738</v>
      </c>
      <c r="AK5472">
        <v>0.65384844744014203</v>
      </c>
      <c r="AL5472">
        <v>90.619716907398001</v>
      </c>
      <c r="AM5472">
        <v>115.05853544007999</v>
      </c>
      <c r="AN5472">
        <v>1.00000003945794</v>
      </c>
    </row>
    <row r="5473" spans="1:40" x14ac:dyDescent="0.25">
      <c r="A5473" t="str">
        <f>"20190305135937682"</f>
        <v>20190305135937682</v>
      </c>
      <c r="B5473" t="str">
        <f>"1551765577674759"</f>
        <v>1551765577674759</v>
      </c>
      <c r="C5473" t="s">
        <v>40</v>
      </c>
      <c r="D5473">
        <v>4.9405669999999997</v>
      </c>
      <c r="E5473">
        <v>0.48555100000000001</v>
      </c>
      <c r="F5473" t="s">
        <v>41</v>
      </c>
      <c r="G5473">
        <v>-292.97239999999999</v>
      </c>
      <c r="H5473">
        <v>1.0514699999999999</v>
      </c>
      <c r="I5473">
        <v>-59.453200000000002</v>
      </c>
      <c r="J5473">
        <v>-293.79050000000001</v>
      </c>
      <c r="K5473">
        <v>1.127699</v>
      </c>
      <c r="L5473">
        <v>-59.392240000000001</v>
      </c>
      <c r="M5473">
        <v>0.76227259999999997</v>
      </c>
      <c r="N5473">
        <v>-1.8280009999999999E-2</v>
      </c>
      <c r="O5473">
        <v>-0.64699799999999996</v>
      </c>
      <c r="P5473">
        <v>0.96349410000000002</v>
      </c>
      <c r="Q5473">
        <v>-9.9112539999999996E-3</v>
      </c>
      <c r="R5473">
        <v>-0.26754539999999999</v>
      </c>
      <c r="S5473">
        <v>2.909027</v>
      </c>
      <c r="T5473">
        <v>-0.20556140000000001</v>
      </c>
      <c r="U5473">
        <v>-0.73645019999999894</v>
      </c>
      <c r="V5473">
        <v>-0.41938560000000003</v>
      </c>
      <c r="W5473">
        <v>-1.2076079999999999E-2</v>
      </c>
      <c r="X5473">
        <v>0.90772790000000003</v>
      </c>
      <c r="Y5473">
        <v>-0.43838559999999999</v>
      </c>
      <c r="Z5473">
        <v>4.7708210000000001E-2</v>
      </c>
      <c r="AA5473">
        <v>0.89751990000000004</v>
      </c>
      <c r="AB5473">
        <v>33</v>
      </c>
      <c r="AC5473">
        <v>0.81810000000001504</v>
      </c>
      <c r="AD5473">
        <v>-7.6228999999999797E-2</v>
      </c>
      <c r="AE5473">
        <v>-6.0960000000001402E-2</v>
      </c>
      <c r="AF5473">
        <v>-0.47878764143999802</v>
      </c>
      <c r="AG5473">
        <v>-7.6228999999999797E-2</v>
      </c>
      <c r="AH5473">
        <v>0.65749008170088397</v>
      </c>
      <c r="AI5473">
        <v>95.354279299783798</v>
      </c>
      <c r="AJ5473">
        <v>126.06229873949199</v>
      </c>
      <c r="AK5473">
        <v>0.81690983197150402</v>
      </c>
      <c r="AL5473">
        <v>90.691925216640797</v>
      </c>
      <c r="AM5473">
        <v>114.797733474533</v>
      </c>
      <c r="AN5473">
        <v>1.00000002681696</v>
      </c>
    </row>
    <row r="5474" spans="1:40" x14ac:dyDescent="0.25">
      <c r="A5474" t="str">
        <f>"20190305135937704"</f>
        <v>20190305135937704</v>
      </c>
      <c r="B5474" t="str">
        <f>"1551765577694280"</f>
        <v>1551765577694280</v>
      </c>
      <c r="C5474" t="s">
        <v>40</v>
      </c>
      <c r="D5474">
        <v>4.5533409999999996</v>
      </c>
      <c r="E5474">
        <v>0.48505219999999999</v>
      </c>
      <c r="F5474" t="s">
        <v>41</v>
      </c>
      <c r="G5474">
        <v>-292.75880000000001</v>
      </c>
      <c r="H5474">
        <v>1.0543199999999999</v>
      </c>
      <c r="I5474">
        <v>-59.641249999999999</v>
      </c>
      <c r="J5474">
        <v>-293.53859999999997</v>
      </c>
      <c r="K5474">
        <v>1.127721</v>
      </c>
      <c r="L5474">
        <v>-59.588709999999999</v>
      </c>
      <c r="M5474">
        <v>0.77539429999999998</v>
      </c>
      <c r="N5474">
        <v>-1.8322649999999999E-2</v>
      </c>
      <c r="O5474">
        <v>-0.63121179999999999</v>
      </c>
      <c r="P5474">
        <v>0.96771320000000005</v>
      </c>
      <c r="Q5474">
        <v>-9.4786939999999993E-3</v>
      </c>
      <c r="R5474">
        <v>-0.25187589999999999</v>
      </c>
      <c r="S5474">
        <v>2.9161990000000002</v>
      </c>
      <c r="T5474">
        <v>-0.207373</v>
      </c>
      <c r="U5474">
        <v>-0.70333859999999904</v>
      </c>
      <c r="V5474">
        <v>-0.41550419999999999</v>
      </c>
      <c r="W5474">
        <v>-1.1412240000000001E-2</v>
      </c>
      <c r="X5474">
        <v>0.90951970000000004</v>
      </c>
      <c r="Y5474">
        <v>-0.4300525</v>
      </c>
      <c r="Z5474">
        <v>4.7336759999999999E-2</v>
      </c>
      <c r="AA5474">
        <v>0.90156199999999997</v>
      </c>
      <c r="AB5474">
        <v>33</v>
      </c>
      <c r="AC5474">
        <v>0.77979999999996596</v>
      </c>
      <c r="AD5474">
        <v>-7.34009999999998E-2</v>
      </c>
      <c r="AE5474">
        <v>-5.2540000000000399E-2</v>
      </c>
      <c r="AF5474">
        <v>-0.447607548951652</v>
      </c>
      <c r="AG5474">
        <v>-7.34009999999998E-2</v>
      </c>
      <c r="AH5474">
        <v>0.63234599804040603</v>
      </c>
      <c r="AI5474">
        <v>95.412241026020396</v>
      </c>
      <c r="AJ5474">
        <v>125.29285518034</v>
      </c>
      <c r="AK5474">
        <v>0.77820414154463602</v>
      </c>
      <c r="AL5474">
        <v>90.653887359977702</v>
      </c>
      <c r="AM5474">
        <v>114.55277607753101</v>
      </c>
      <c r="AN5474">
        <v>1.0000000320637701</v>
      </c>
    </row>
    <row r="5475" spans="1:40" x14ac:dyDescent="0.25">
      <c r="A5475" t="str">
        <f>"20190305135937726"</f>
        <v>20190305135937726</v>
      </c>
      <c r="B5475" t="str">
        <f>"1551765577714776"</f>
        <v>1551765577714776</v>
      </c>
      <c r="C5475" t="s">
        <v>40</v>
      </c>
      <c r="D5475">
        <v>4.6219169999999998</v>
      </c>
      <c r="E5475">
        <v>0.48428729999999998</v>
      </c>
      <c r="F5475" t="s">
        <v>41</v>
      </c>
      <c r="G5475">
        <v>-292.53539999999998</v>
      </c>
      <c r="H5475">
        <v>1.056743</v>
      </c>
      <c r="I5475">
        <v>-59.812260000000002</v>
      </c>
      <c r="J5475">
        <v>-293.28870000000001</v>
      </c>
      <c r="K5475">
        <v>1.1277360000000001</v>
      </c>
      <c r="L5475">
        <v>-59.775570000000002</v>
      </c>
      <c r="M5475">
        <v>0.78793740000000001</v>
      </c>
      <c r="N5475">
        <v>-1.836047E-2</v>
      </c>
      <c r="O5475">
        <v>-0.61548159999999996</v>
      </c>
      <c r="P5475">
        <v>0.9715973</v>
      </c>
      <c r="Q5475">
        <v>-8.7550249999999996E-3</v>
      </c>
      <c r="R5475">
        <v>-0.2364782</v>
      </c>
      <c r="S5475">
        <v>2.928223</v>
      </c>
      <c r="T5475">
        <v>-0.2071654</v>
      </c>
      <c r="U5475">
        <v>-0.65234380000000003</v>
      </c>
      <c r="V5475">
        <v>-0.41168389999999999</v>
      </c>
      <c r="W5475">
        <v>-1.046062E-2</v>
      </c>
      <c r="X5475">
        <v>0.91126660000000004</v>
      </c>
      <c r="Y5475">
        <v>-0.42766389999999999</v>
      </c>
      <c r="Z5475">
        <v>4.6617270000000002E-2</v>
      </c>
      <c r="AA5475">
        <v>0.90273499999999995</v>
      </c>
      <c r="AB5475">
        <v>33</v>
      </c>
      <c r="AC5475">
        <v>0.75330000000002395</v>
      </c>
      <c r="AD5475">
        <v>-7.0993000000000001E-2</v>
      </c>
      <c r="AE5475">
        <v>-3.6690000000000098E-2</v>
      </c>
      <c r="AF5475">
        <v>-0.43098731653581301</v>
      </c>
      <c r="AG5475">
        <v>-7.0993000000000001E-2</v>
      </c>
      <c r="AH5475">
        <v>0.61082679614541802</v>
      </c>
      <c r="AI5475">
        <v>95.424833269994295</v>
      </c>
      <c r="AJ5475">
        <v>125.206038078362</v>
      </c>
      <c r="AK5475">
        <v>0.75093238573989896</v>
      </c>
      <c r="AL5475">
        <v>90.599360345871304</v>
      </c>
      <c r="AM5475">
        <v>114.312076605473</v>
      </c>
      <c r="AN5475">
        <v>0.99999993718277502</v>
      </c>
    </row>
    <row r="5476" spans="1:40" x14ac:dyDescent="0.25">
      <c r="A5476" t="str">
        <f>"20190305135937748"</f>
        <v>20190305135937748</v>
      </c>
      <c r="B5476" t="str">
        <f>"1551765577744565"</f>
        <v>1551765577744565</v>
      </c>
      <c r="C5476" t="s">
        <v>40</v>
      </c>
      <c r="D5476">
        <v>4.5497430000000003</v>
      </c>
      <c r="E5476">
        <v>0.4845756</v>
      </c>
      <c r="F5476" t="s">
        <v>41</v>
      </c>
      <c r="G5476">
        <v>-292.30779999999999</v>
      </c>
      <c r="H5476">
        <v>1.057588</v>
      </c>
      <c r="I5476">
        <v>-59.97589</v>
      </c>
      <c r="J5476">
        <v>-293.0333</v>
      </c>
      <c r="K5476">
        <v>1.127739</v>
      </c>
      <c r="L5476">
        <v>-59.958500000000001</v>
      </c>
      <c r="M5476">
        <v>0.8002804</v>
      </c>
      <c r="N5476">
        <v>-1.8394669999999998E-2</v>
      </c>
      <c r="O5476">
        <v>-0.59934370000000003</v>
      </c>
      <c r="P5476">
        <v>0.97530340000000004</v>
      </c>
      <c r="Q5476">
        <v>-9.5660020000000005E-3</v>
      </c>
      <c r="R5476">
        <v>-0.2206621</v>
      </c>
      <c r="S5476">
        <v>2.9397579999999999</v>
      </c>
      <c r="T5476">
        <v>-0.210255</v>
      </c>
      <c r="U5476">
        <v>-0.60034180000000004</v>
      </c>
      <c r="V5476">
        <v>-0.40793360000000001</v>
      </c>
      <c r="W5476">
        <v>-1.1049639999999999E-2</v>
      </c>
      <c r="X5476">
        <v>0.91294470000000005</v>
      </c>
      <c r="Y5476">
        <v>-0.42529260000000002</v>
      </c>
      <c r="Z5476">
        <v>4.6723889999999997E-2</v>
      </c>
      <c r="AA5476">
        <v>0.90384909999999996</v>
      </c>
      <c r="AB5476">
        <v>33</v>
      </c>
      <c r="AC5476">
        <v>0.72550000000001003</v>
      </c>
      <c r="AD5476">
        <v>-7.0151000000000005E-2</v>
      </c>
      <c r="AE5476">
        <v>-1.7389999999998899E-2</v>
      </c>
      <c r="AF5476">
        <v>-0.41708091659969299</v>
      </c>
      <c r="AG5476">
        <v>-7.0151000000000005E-2</v>
      </c>
      <c r="AH5476">
        <v>0.58565356654802503</v>
      </c>
      <c r="AI5476">
        <v>95.572642707243801</v>
      </c>
      <c r="AJ5476">
        <v>125.457070554586</v>
      </c>
      <c r="AK5476">
        <v>0.72240414852287604</v>
      </c>
      <c r="AL5476">
        <v>90.633110639230793</v>
      </c>
      <c r="AM5476">
        <v>114.076656414399</v>
      </c>
      <c r="AN5476">
        <v>0.99999997090558901</v>
      </c>
    </row>
    <row r="5477" spans="1:40" x14ac:dyDescent="0.25">
      <c r="A5477" t="str">
        <f>"20190305135937770"</f>
        <v>20190305135937770</v>
      </c>
      <c r="B5477" t="str">
        <f>"1551765577765060"</f>
        <v>1551765577765060</v>
      </c>
      <c r="C5477" t="s">
        <v>40</v>
      </c>
      <c r="D5477">
        <v>4.5172860000000004</v>
      </c>
      <c r="E5477">
        <v>0.485128</v>
      </c>
      <c r="F5477" t="s">
        <v>41</v>
      </c>
      <c r="G5477">
        <v>-292.05939999999998</v>
      </c>
      <c r="H5477">
        <v>1.057488</v>
      </c>
      <c r="I5477">
        <v>-60.141779999999997</v>
      </c>
      <c r="J5477">
        <v>-292.76209999999998</v>
      </c>
      <c r="K5477">
        <v>1.1277330000000001</v>
      </c>
      <c r="L5477">
        <v>-60.14423</v>
      </c>
      <c r="M5477">
        <v>0.81287849999999995</v>
      </c>
      <c r="N5477">
        <v>-1.8426809999999998E-2</v>
      </c>
      <c r="O5477">
        <v>-0.58214169999999998</v>
      </c>
      <c r="P5477">
        <v>0.97915839999999998</v>
      </c>
      <c r="Q5477">
        <v>-1.126712E-2</v>
      </c>
      <c r="R5477">
        <v>-0.20278589999999999</v>
      </c>
      <c r="S5477">
        <v>2.948334</v>
      </c>
      <c r="T5477">
        <v>-0.21266599999999999</v>
      </c>
      <c r="U5477">
        <v>-0.5546875</v>
      </c>
      <c r="V5477">
        <v>-0.40508070000000002</v>
      </c>
      <c r="W5477">
        <v>-1.2576459999999999E-2</v>
      </c>
      <c r="X5477">
        <v>0.91419439999999996</v>
      </c>
      <c r="Y5477">
        <v>-0.41997299999999899</v>
      </c>
      <c r="Z5477">
        <v>4.6467750000000002E-2</v>
      </c>
      <c r="AA5477">
        <v>0.90634619999999999</v>
      </c>
      <c r="AB5477">
        <v>33</v>
      </c>
      <c r="AC5477">
        <v>0.702699999999992</v>
      </c>
      <c r="AD5477">
        <v>-7.0245000000000099E-2</v>
      </c>
      <c r="AE5477">
        <v>2.4500000000031701E-3</v>
      </c>
      <c r="AF5477">
        <v>-0.40706463709721602</v>
      </c>
      <c r="AG5477">
        <v>-7.0245000000000099E-2</v>
      </c>
      <c r="AH5477">
        <v>0.56424190805353802</v>
      </c>
      <c r="AI5477">
        <v>95.765202151310604</v>
      </c>
      <c r="AJ5477">
        <v>125.80805099157401</v>
      </c>
      <c r="AK5477">
        <v>0.69928885991697698</v>
      </c>
      <c r="AL5477">
        <v>90.720597096840095</v>
      </c>
      <c r="AM5477">
        <v>113.898192881228</v>
      </c>
      <c r="AN5477">
        <v>0.99999997092499004</v>
      </c>
    </row>
    <row r="5478" spans="1:40" x14ac:dyDescent="0.25">
      <c r="A5478" t="str">
        <f>"20190305135937793"</f>
        <v>20190305135937793</v>
      </c>
      <c r="B5478" t="str">
        <f>"1551765577784580"</f>
        <v>1551765577784580</v>
      </c>
      <c r="C5478" t="s">
        <v>40</v>
      </c>
      <c r="D5478">
        <v>4.8942199999999998</v>
      </c>
      <c r="E5478">
        <v>0.4864156</v>
      </c>
      <c r="F5478" t="s">
        <v>42</v>
      </c>
      <c r="G5478">
        <v>-277.45569999999998</v>
      </c>
      <c r="H5478" s="1">
        <v>-2.8808969999999999E-6</v>
      </c>
      <c r="I5478">
        <v>-62.758679999999998</v>
      </c>
      <c r="J5478">
        <v>-292.50040000000001</v>
      </c>
      <c r="K5478">
        <v>1.1277349999999999</v>
      </c>
      <c r="L5478">
        <v>-60.315399999999997</v>
      </c>
      <c r="M5478">
        <v>0.82456229999999997</v>
      </c>
      <c r="N5478">
        <v>-1.8454269999999998E-2</v>
      </c>
      <c r="O5478">
        <v>-0.56547019999999903</v>
      </c>
      <c r="P5478">
        <v>0.98288419999999999</v>
      </c>
      <c r="Q5478">
        <v>-1.2452370000000001E-2</v>
      </c>
      <c r="R5478">
        <v>-0.1838032</v>
      </c>
      <c r="S5478">
        <v>2.9567260000000002</v>
      </c>
      <c r="T5478">
        <v>-0.21784510000000001</v>
      </c>
      <c r="U5478">
        <v>-0.50503540000000002</v>
      </c>
      <c r="V5478">
        <v>-0.40409600000000001</v>
      </c>
      <c r="W5478">
        <v>-1.3686830000000001E-2</v>
      </c>
      <c r="X5478">
        <v>0.91461420000000004</v>
      </c>
      <c r="Y5478">
        <v>-0.41664030000000002</v>
      </c>
      <c r="Z5478">
        <v>4.6964489999999998E-2</v>
      </c>
      <c r="AA5478">
        <v>0.90785749999999998</v>
      </c>
      <c r="AB5478">
        <v>33</v>
      </c>
      <c r="AC5478">
        <v>15.044700000000001</v>
      </c>
      <c r="AD5478">
        <v>-1.127737880897</v>
      </c>
      <c r="AE5478">
        <v>-2.4432800000000001</v>
      </c>
      <c r="AF5478">
        <v>-6.4584418303990203</v>
      </c>
      <c r="AG5478">
        <v>-1.127737880897</v>
      </c>
      <c r="AH5478">
        <v>13.714164018757799</v>
      </c>
      <c r="AI5478">
        <v>94.254672740385402</v>
      </c>
      <c r="AJ5478">
        <v>115.217257521568</v>
      </c>
      <c r="AK5478">
        <v>15.2007091393148</v>
      </c>
      <c r="AL5478">
        <v>90.784222063619694</v>
      </c>
      <c r="AM5478">
        <v>113.83686088708301</v>
      </c>
      <c r="AN5478">
        <v>1.00000002068654</v>
      </c>
    </row>
    <row r="5479" spans="1:40" x14ac:dyDescent="0.25">
      <c r="A5479" t="str">
        <f>"20190305135937815"</f>
        <v>20190305135937815</v>
      </c>
      <c r="B5479" t="str">
        <f>"1551765577805076"</f>
        <v>1551765577805076</v>
      </c>
      <c r="C5479" t="s">
        <v>40</v>
      </c>
      <c r="D5479">
        <v>4.757682</v>
      </c>
      <c r="E5479">
        <v>0.48763299999999998</v>
      </c>
      <c r="F5479" t="s">
        <v>42</v>
      </c>
      <c r="G5479">
        <v>-277.33499999999998</v>
      </c>
      <c r="H5479" s="1">
        <v>-2.8065569999999998E-6</v>
      </c>
      <c r="I5479">
        <v>-62.657359999999997</v>
      </c>
      <c r="J5479">
        <v>-292.23630000000003</v>
      </c>
      <c r="K5479">
        <v>1.1277280000000001</v>
      </c>
      <c r="L5479">
        <v>-60.480559999999997</v>
      </c>
      <c r="M5479">
        <v>0.83589859999999905</v>
      </c>
      <c r="N5479">
        <v>-1.847909E-2</v>
      </c>
      <c r="O5479">
        <v>-0.54857279999999997</v>
      </c>
      <c r="P5479">
        <v>0.98586499999999999</v>
      </c>
      <c r="Q5479">
        <v>-1.227112E-2</v>
      </c>
      <c r="R5479">
        <v>-0.167091299999999</v>
      </c>
      <c r="S5479">
        <v>2.963867</v>
      </c>
      <c r="T5479">
        <v>-0.22040029999999999</v>
      </c>
      <c r="U5479">
        <v>-0.45770260000000001</v>
      </c>
      <c r="V5479">
        <v>-0.40102189999999999</v>
      </c>
      <c r="W5479">
        <v>-1.331765E-2</v>
      </c>
      <c r="X5479">
        <v>0.91597169999999895</v>
      </c>
      <c r="Y5479">
        <v>-0.41261439999999999</v>
      </c>
      <c r="Z5479">
        <v>4.6719980000000001E-2</v>
      </c>
      <c r="AA5479">
        <v>0.90970689999999998</v>
      </c>
      <c r="AB5479">
        <v>33</v>
      </c>
      <c r="AC5479">
        <v>14.901300000000001</v>
      </c>
      <c r="AD5479">
        <v>-1.127730806557</v>
      </c>
      <c r="AE5479">
        <v>-2.1768000000000001</v>
      </c>
      <c r="AF5479">
        <v>-6.3205047754507504</v>
      </c>
      <c r="AG5479">
        <v>-1.127730806557</v>
      </c>
      <c r="AH5479">
        <v>13.576306659329401</v>
      </c>
      <c r="AI5479">
        <v>94.306540220891804</v>
      </c>
      <c r="AJ5479">
        <v>114.96452394144001</v>
      </c>
      <c r="AK5479">
        <v>15.017878009116499</v>
      </c>
      <c r="AL5479">
        <v>90.763067665171206</v>
      </c>
      <c r="AM5479">
        <v>113.644301530513</v>
      </c>
      <c r="AN5479">
        <v>1.00000003964101</v>
      </c>
    </row>
    <row r="5480" spans="1:40" x14ac:dyDescent="0.25">
      <c r="A5480" t="str">
        <f>"20190305135937828"</f>
        <v>20190305135937828</v>
      </c>
      <c r="B5480" t="str">
        <f>"1551765577824597"</f>
        <v>1551765577824597</v>
      </c>
      <c r="C5480" t="s">
        <v>40</v>
      </c>
      <c r="D5480">
        <v>4.9670529999999999</v>
      </c>
      <c r="E5480">
        <v>0.48898069999999999</v>
      </c>
      <c r="F5480" t="s">
        <v>42</v>
      </c>
      <c r="G5480">
        <v>-276.86009999999999</v>
      </c>
      <c r="H5480" s="1">
        <v>-2.5985939999999998E-6</v>
      </c>
      <c r="I5480">
        <v>-62.638240000000003</v>
      </c>
      <c r="J5480">
        <v>-292.08109999999999</v>
      </c>
      <c r="K5480">
        <v>1.127729</v>
      </c>
      <c r="L5480">
        <v>-60.573549999999997</v>
      </c>
      <c r="M5480">
        <v>0.84234599999999904</v>
      </c>
      <c r="N5480">
        <v>-1.8492560000000002E-2</v>
      </c>
      <c r="O5480">
        <v>-0.53861990000000004</v>
      </c>
      <c r="P5480">
        <v>0.98753279999999999</v>
      </c>
      <c r="Q5480">
        <v>-1.1806799999999999E-2</v>
      </c>
      <c r="R5480">
        <v>-0.1569699</v>
      </c>
      <c r="S5480">
        <v>2.9696349999999998</v>
      </c>
      <c r="T5480">
        <v>-0.2178013</v>
      </c>
      <c r="U5480">
        <v>-0.41671750000000002</v>
      </c>
      <c r="V5480">
        <v>-0.39957949999999998</v>
      </c>
      <c r="W5480">
        <v>-1.276125E-2</v>
      </c>
      <c r="X5480">
        <v>0.91660969999999997</v>
      </c>
      <c r="Y5480">
        <v>-0.41442689999999999</v>
      </c>
      <c r="Z5480">
        <v>4.575974E-2</v>
      </c>
      <c r="AA5480">
        <v>0.9089315</v>
      </c>
      <c r="AB5480">
        <v>33</v>
      </c>
      <c r="AC5480">
        <v>15.221</v>
      </c>
      <c r="AD5480">
        <v>-1.127731598594</v>
      </c>
      <c r="AE5480">
        <v>-2.0646900000000001</v>
      </c>
      <c r="AF5480">
        <v>-6.4256188395549696</v>
      </c>
      <c r="AG5480">
        <v>-1.127731598594</v>
      </c>
      <c r="AH5480">
        <v>13.8610991591367</v>
      </c>
      <c r="AI5480">
        <v>94.221567273716701</v>
      </c>
      <c r="AJ5480">
        <v>114.87112323488201</v>
      </c>
      <c r="AK5480">
        <v>15.3196091963579</v>
      </c>
      <c r="AL5480">
        <v>90.731185624295406</v>
      </c>
      <c r="AM5480">
        <v>113.553927838786</v>
      </c>
      <c r="AN5480">
        <v>0.999999984227951</v>
      </c>
    </row>
    <row r="5481" spans="1:40" x14ac:dyDescent="0.25">
      <c r="A5481" t="str">
        <f>"20190305135937839"</f>
        <v>20190305135937839</v>
      </c>
      <c r="B5481" t="str">
        <f>"1551765577834357"</f>
        <v>1551765577834357</v>
      </c>
      <c r="C5481" t="s">
        <v>40</v>
      </c>
      <c r="D5481">
        <v>4.6127419999999999</v>
      </c>
      <c r="E5481">
        <v>0.48944270000000001</v>
      </c>
      <c r="F5481" t="s">
        <v>42</v>
      </c>
      <c r="G5481">
        <v>-276.55279999999999</v>
      </c>
      <c r="H5481" s="1">
        <v>-2.4687390000000002E-6</v>
      </c>
      <c r="I5481">
        <v>-62.647239999999996</v>
      </c>
      <c r="J5481">
        <v>-291.9402</v>
      </c>
      <c r="K5481">
        <v>1.1277280000000001</v>
      </c>
      <c r="L5481">
        <v>-60.656709999999997</v>
      </c>
      <c r="M5481">
        <v>0.84808090000000003</v>
      </c>
      <c r="N5481">
        <v>-1.8504509999999998E-2</v>
      </c>
      <c r="O5481">
        <v>-0.52954349999999994</v>
      </c>
      <c r="P5481">
        <v>0.98888949999999998</v>
      </c>
      <c r="Q5481">
        <v>-1.081356E-2</v>
      </c>
      <c r="R5481">
        <v>-0.14825920000000001</v>
      </c>
      <c r="S5481">
        <v>2.9721679999999999</v>
      </c>
      <c r="T5481">
        <v>-0.21585090000000001</v>
      </c>
      <c r="U5481">
        <v>-0.39691159999999998</v>
      </c>
      <c r="V5481">
        <v>-0.39786899999999997</v>
      </c>
      <c r="W5481">
        <v>-1.1662290000000001E-2</v>
      </c>
      <c r="X5481">
        <v>0.91736810000000002</v>
      </c>
      <c r="Y5481">
        <v>-0.41076689999999999</v>
      </c>
      <c r="Z5481">
        <v>4.4757949999999998E-2</v>
      </c>
      <c r="AA5481">
        <v>0.91064109999999998</v>
      </c>
      <c r="AB5481">
        <v>32</v>
      </c>
      <c r="AC5481">
        <v>15.3874</v>
      </c>
      <c r="AD5481">
        <v>-1.127730468739</v>
      </c>
      <c r="AE5481">
        <v>-1.9905299999999999</v>
      </c>
      <c r="AF5481">
        <v>-6.4273187599985002</v>
      </c>
      <c r="AG5481">
        <v>-1.127730468739</v>
      </c>
      <c r="AH5481">
        <v>14.0321176214806</v>
      </c>
      <c r="AI5481">
        <v>94.179036544458896</v>
      </c>
      <c r="AJ5481">
        <v>114.60983482418401</v>
      </c>
      <c r="AK5481">
        <v>15.475223016028499</v>
      </c>
      <c r="AL5481">
        <v>90.668215150580593</v>
      </c>
      <c r="AM5481">
        <v>113.446716965473</v>
      </c>
      <c r="AN5481">
        <v>0.999999990533327</v>
      </c>
    </row>
    <row r="5482" spans="1:40" x14ac:dyDescent="0.25">
      <c r="A5482" t="str">
        <f>"20190305135937851"</f>
        <v>20190305135937851</v>
      </c>
      <c r="B5482" t="str">
        <f>"1551765577844624"</f>
        <v>1551765577844624</v>
      </c>
      <c r="C5482" t="s">
        <v>40</v>
      </c>
      <c r="D5482">
        <v>4.6854279999999999</v>
      </c>
      <c r="E5482">
        <v>0.48956729999999998</v>
      </c>
      <c r="F5482" t="s">
        <v>41</v>
      </c>
      <c r="G5482">
        <v>-290.86590000000001</v>
      </c>
      <c r="H5482">
        <v>1.051067</v>
      </c>
      <c r="I5482">
        <v>-60.792059999999999</v>
      </c>
      <c r="J5482">
        <v>-291.79500000000002</v>
      </c>
      <c r="K5482">
        <v>1.1277299999999999</v>
      </c>
      <c r="L5482">
        <v>-60.739109999999997</v>
      </c>
      <c r="M5482">
        <v>0.85384559999999998</v>
      </c>
      <c r="N5482">
        <v>-1.8516009999999999E-2</v>
      </c>
      <c r="O5482">
        <v>-0.52019720000000003</v>
      </c>
      <c r="P5482">
        <v>0.99020739999999996</v>
      </c>
      <c r="Q5482">
        <v>-9.8514280000000006E-3</v>
      </c>
      <c r="R5482">
        <v>-0.139257299999999</v>
      </c>
      <c r="S5482">
        <v>2.9752809999999998</v>
      </c>
      <c r="T5482">
        <v>-0.21229100000000001</v>
      </c>
      <c r="U5482">
        <v>-0.37429810000000002</v>
      </c>
      <c r="V5482">
        <v>-0.39618989999999998</v>
      </c>
      <c r="W5482">
        <v>-1.059558E-2</v>
      </c>
      <c r="X5482">
        <v>0.91810749999999997</v>
      </c>
      <c r="Y5482">
        <v>-0.40777439999999998</v>
      </c>
      <c r="Z5482">
        <v>4.3401090000000003E-2</v>
      </c>
      <c r="AA5482">
        <v>0.91205060000000004</v>
      </c>
      <c r="AB5482">
        <v>32</v>
      </c>
      <c r="AC5482">
        <v>0.92910000000000503</v>
      </c>
      <c r="AD5482">
        <v>-7.6662999999999898E-2</v>
      </c>
      <c r="AE5482">
        <v>-5.2950000000002703E-2</v>
      </c>
      <c r="AF5482">
        <v>-0.43522554508074601</v>
      </c>
      <c r="AG5482">
        <v>-7.6662999999999898E-2</v>
      </c>
      <c r="AH5482">
        <v>0.81545900436801699</v>
      </c>
      <c r="AI5482">
        <v>94.741178713012005</v>
      </c>
      <c r="AJ5482">
        <v>118.089664856065</v>
      </c>
      <c r="AK5482">
        <v>0.927508425010097</v>
      </c>
      <c r="AL5482">
        <v>90.607093349489006</v>
      </c>
      <c r="AM5482">
        <v>113.341592625993</v>
      </c>
      <c r="AN5482">
        <v>1.00000004236689</v>
      </c>
    </row>
    <row r="5483" spans="1:40" x14ac:dyDescent="0.25">
      <c r="A5483" t="str">
        <f>"20190305135937864"</f>
        <v>20190305135937864</v>
      </c>
      <c r="B5483" t="str">
        <f>"1551765577854385"</f>
        <v>1551765577854385</v>
      </c>
      <c r="C5483" t="s">
        <v>40</v>
      </c>
      <c r="D5483">
        <v>4.5777650000000003</v>
      </c>
      <c r="E5483">
        <v>0.49004829999999999</v>
      </c>
      <c r="F5483" t="s">
        <v>42</v>
      </c>
      <c r="G5483">
        <v>-275.93610000000001</v>
      </c>
      <c r="H5483" s="1">
        <v>-2.1922360000000001E-6</v>
      </c>
      <c r="I5483">
        <v>-62.593559999999997</v>
      </c>
      <c r="J5483">
        <v>-291.6397</v>
      </c>
      <c r="K5483">
        <v>1.127729</v>
      </c>
      <c r="L5483">
        <v>-60.825499999999998</v>
      </c>
      <c r="M5483">
        <v>0.85988240000000005</v>
      </c>
      <c r="N5483">
        <v>-1.8528010000000001E-2</v>
      </c>
      <c r="O5483">
        <v>-0.5101559</v>
      </c>
      <c r="P5483">
        <v>0.99153139999999995</v>
      </c>
      <c r="Q5483">
        <v>-9.7556640000000007E-3</v>
      </c>
      <c r="R5483">
        <v>-0.12950010000000001</v>
      </c>
      <c r="S5483">
        <v>2.978577</v>
      </c>
      <c r="T5483">
        <v>-0.21180669999999999</v>
      </c>
      <c r="U5483">
        <v>-0.34829710000000003</v>
      </c>
      <c r="V5483">
        <v>-0.3944783</v>
      </c>
      <c r="W5483">
        <v>-1.0393660000000001E-2</v>
      </c>
      <c r="X5483">
        <v>0.91884650000000001</v>
      </c>
      <c r="Y5483">
        <v>-0.40507720000000003</v>
      </c>
      <c r="Z5483">
        <v>4.2756179999999998E-2</v>
      </c>
      <c r="AA5483">
        <v>0.91328220000000004</v>
      </c>
      <c r="AB5483">
        <v>32</v>
      </c>
      <c r="AC5483">
        <v>15.7035999999999</v>
      </c>
      <c r="AD5483">
        <v>-1.127731192236</v>
      </c>
      <c r="AE5483">
        <v>-1.76805999999999</v>
      </c>
      <c r="AF5483">
        <v>-6.45918049129014</v>
      </c>
      <c r="AG5483">
        <v>-1.127731192236</v>
      </c>
      <c r="AH5483">
        <v>14.3347068403079</v>
      </c>
      <c r="AI5483">
        <v>94.102576049598596</v>
      </c>
      <c r="AJ5483">
        <v>114.25619961157901</v>
      </c>
      <c r="AK5483">
        <v>15.7631408817715</v>
      </c>
      <c r="AL5483">
        <v>90.595523559978602</v>
      </c>
      <c r="AM5483">
        <v>113.234769031049</v>
      </c>
      <c r="AN5483">
        <v>1.0000000239506599</v>
      </c>
    </row>
    <row r="5484" spans="1:40" x14ac:dyDescent="0.25">
      <c r="A5484" t="str">
        <f>"20190305135937877"</f>
        <v>20190305135937877</v>
      </c>
      <c r="B5484" t="str">
        <f>"1551765577865120"</f>
        <v>1551765577865120</v>
      </c>
      <c r="C5484" t="s">
        <v>40</v>
      </c>
      <c r="D5484">
        <v>4.5754159999999997</v>
      </c>
      <c r="E5484">
        <v>0.49054249999999999</v>
      </c>
      <c r="F5484" t="s">
        <v>41</v>
      </c>
      <c r="G5484">
        <v>-290.5446</v>
      </c>
      <c r="H5484">
        <v>1.0502910000000001</v>
      </c>
      <c r="I5484">
        <v>-60.943910000000002</v>
      </c>
      <c r="J5484">
        <v>-291.47820000000002</v>
      </c>
      <c r="K5484">
        <v>1.1277269999999999</v>
      </c>
      <c r="L5484">
        <v>-60.913209999999999</v>
      </c>
      <c r="M5484">
        <v>0.86601219999999901</v>
      </c>
      <c r="N5484">
        <v>-1.8540089999999999E-2</v>
      </c>
      <c r="O5484">
        <v>-0.49967929999999999</v>
      </c>
      <c r="P5484">
        <v>0.99277070000000001</v>
      </c>
      <c r="Q5484">
        <v>-1.0082010000000001E-2</v>
      </c>
      <c r="R5484">
        <v>-0.1196025</v>
      </c>
      <c r="S5484">
        <v>2.9814150000000001</v>
      </c>
      <c r="T5484">
        <v>-0.21084900000000001</v>
      </c>
      <c r="U5484">
        <v>-0.32263180000000002</v>
      </c>
      <c r="V5484">
        <v>-0.39247589999999999</v>
      </c>
      <c r="W5484">
        <v>-1.059832E-2</v>
      </c>
      <c r="X5484">
        <v>0.9197012</v>
      </c>
      <c r="Y5484">
        <v>-0.40188239999999997</v>
      </c>
      <c r="Z5484">
        <v>4.1966490000000002E-2</v>
      </c>
      <c r="AA5484">
        <v>0.91472909999999996</v>
      </c>
      <c r="AB5484">
        <v>32</v>
      </c>
      <c r="AC5484">
        <v>0.93360000000001198</v>
      </c>
      <c r="AD5484">
        <v>-7.7436000000000005E-2</v>
      </c>
      <c r="AE5484">
        <v>-3.0699999999995901E-2</v>
      </c>
      <c r="AF5484">
        <v>-0.43698653542564198</v>
      </c>
      <c r="AG5484">
        <v>-7.7436000000000005E-2</v>
      </c>
      <c r="AH5484">
        <v>0.81836669671710505</v>
      </c>
      <c r="AI5484">
        <v>94.771323084201995</v>
      </c>
      <c r="AJ5484">
        <v>118.10105766525</v>
      </c>
      <c r="AK5484">
        <v>0.93095521725535901</v>
      </c>
      <c r="AL5484">
        <v>90.607250388505307</v>
      </c>
      <c r="AM5484">
        <v>113.110018905118</v>
      </c>
      <c r="AN5484">
        <v>0.99999997687453601</v>
      </c>
    </row>
    <row r="5485" spans="1:40" x14ac:dyDescent="0.25">
      <c r="A5485" t="str">
        <f>"20190305135937892"</f>
        <v>20190305135937892</v>
      </c>
      <c r="B5485" t="str">
        <f>"1551765577884640"</f>
        <v>1551765577884640</v>
      </c>
      <c r="C5485" t="s">
        <v>40</v>
      </c>
      <c r="D5485">
        <v>4.5544890000000002</v>
      </c>
      <c r="E5485">
        <v>0.49162939999999999</v>
      </c>
      <c r="F5485" t="s">
        <v>42</v>
      </c>
      <c r="G5485">
        <v>-275.5394</v>
      </c>
      <c r="H5485" s="1">
        <v>-2.0007429999999999E-6</v>
      </c>
      <c r="I5485">
        <v>-62.49765</v>
      </c>
      <c r="J5485">
        <v>-291.29660000000001</v>
      </c>
      <c r="K5485">
        <v>1.1277170000000001</v>
      </c>
      <c r="L5485">
        <v>-61.007629999999999</v>
      </c>
      <c r="M5485">
        <v>0.87271010000000004</v>
      </c>
      <c r="N5485">
        <v>-1.8552860000000001E-2</v>
      </c>
      <c r="O5485">
        <v>-0.4878864</v>
      </c>
      <c r="P5485">
        <v>0.99400040000000001</v>
      </c>
      <c r="Q5485">
        <v>-1.048286E-2</v>
      </c>
      <c r="R5485">
        <v>-0.1088756</v>
      </c>
      <c r="S5485">
        <v>2.983978</v>
      </c>
      <c r="T5485">
        <v>-0.21112790000000001</v>
      </c>
      <c r="U5485">
        <v>-0.29663089999999998</v>
      </c>
      <c r="V5485">
        <v>-0.38991480000000001</v>
      </c>
      <c r="W5485">
        <v>-1.0846150000000001E-2</v>
      </c>
      <c r="X5485">
        <v>0.92078700000000002</v>
      </c>
      <c r="Y5485">
        <v>-0.3974531</v>
      </c>
      <c r="Z5485">
        <v>4.1346769999999998E-2</v>
      </c>
      <c r="AA5485">
        <v>0.91669049999999996</v>
      </c>
      <c r="AB5485">
        <v>32</v>
      </c>
      <c r="AC5485">
        <v>15.757199999999999</v>
      </c>
      <c r="AD5485">
        <v>-1.127719000743</v>
      </c>
      <c r="AE5485">
        <v>-1.4900199999999899</v>
      </c>
      <c r="AF5485">
        <v>-6.3561985827993803</v>
      </c>
      <c r="AG5485">
        <v>-1.127719000743</v>
      </c>
      <c r="AH5485">
        <v>14.407775302128501</v>
      </c>
      <c r="AI5485">
        <v>94.096093376639899</v>
      </c>
      <c r="AJ5485">
        <v>113.805368050003</v>
      </c>
      <c r="AK5485">
        <v>15.7878750858132</v>
      </c>
      <c r="AL5485">
        <v>90.621450838150096</v>
      </c>
      <c r="AM5485">
        <v>112.950626587134</v>
      </c>
      <c r="AN5485">
        <v>0.99999994479892895</v>
      </c>
    </row>
    <row r="5486" spans="1:40" x14ac:dyDescent="0.25">
      <c r="A5486" t="str">
        <f>"20190305135937906"</f>
        <v>20190305135937906</v>
      </c>
      <c r="B5486" t="str">
        <f>"1551765577894400"</f>
        <v>1551765577894400</v>
      </c>
      <c r="C5486" t="s">
        <v>40</v>
      </c>
      <c r="D5486">
        <v>4.538627</v>
      </c>
      <c r="E5486">
        <v>0.49212610000000001</v>
      </c>
      <c r="F5486" t="s">
        <v>42</v>
      </c>
      <c r="G5486">
        <v>-275.35809999999998</v>
      </c>
      <c r="H5486" s="1">
        <v>-1.915533E-6</v>
      </c>
      <c r="I5486">
        <v>-62.464239999999997</v>
      </c>
      <c r="J5486">
        <v>-291.1191</v>
      </c>
      <c r="K5486">
        <v>1.1276969999999999</v>
      </c>
      <c r="L5486">
        <v>-61.097259999999999</v>
      </c>
      <c r="M5486">
        <v>0.87907739999999901</v>
      </c>
      <c r="N5486">
        <v>-1.8565089999999999E-2</v>
      </c>
      <c r="O5486">
        <v>-0.4763174</v>
      </c>
      <c r="P5486">
        <v>0.99477329999999997</v>
      </c>
      <c r="Q5486">
        <v>-1.1924260000000001E-2</v>
      </c>
      <c r="R5486">
        <v>-0.10140979999999999</v>
      </c>
      <c r="S5486">
        <v>2.985992</v>
      </c>
      <c r="T5486">
        <v>-0.21127209999999999</v>
      </c>
      <c r="U5486">
        <v>-0.27288820000000003</v>
      </c>
      <c r="V5486">
        <v>-0.38459589999999999</v>
      </c>
      <c r="W5486">
        <v>-1.199151E-2</v>
      </c>
      <c r="X5486">
        <v>0.92300709999999997</v>
      </c>
      <c r="Y5486">
        <v>-0.39264179999999999</v>
      </c>
      <c r="Z5486">
        <v>4.0683700000000003E-2</v>
      </c>
      <c r="AA5486">
        <v>0.91879120000000003</v>
      </c>
      <c r="AB5486">
        <v>32</v>
      </c>
      <c r="AC5486">
        <v>15.760999999999999</v>
      </c>
      <c r="AD5486">
        <v>-1.1276989155329999</v>
      </c>
      <c r="AE5486">
        <v>-1.3669800000000001</v>
      </c>
      <c r="AF5486">
        <v>-6.2747610791200197</v>
      </c>
      <c r="AG5486">
        <v>-1.1276989155329999</v>
      </c>
      <c r="AH5486">
        <v>14.435406949205801</v>
      </c>
      <c r="AI5486">
        <v>94.097928589726706</v>
      </c>
      <c r="AJ5486">
        <v>113.493548957055</v>
      </c>
      <c r="AK5486">
        <v>15.780535644689399</v>
      </c>
      <c r="AL5486">
        <v>90.687079411414501</v>
      </c>
      <c r="AM5486">
        <v>112.620373154094</v>
      </c>
      <c r="AN5486">
        <v>0.99999995462964897</v>
      </c>
    </row>
    <row r="5487" spans="1:40" x14ac:dyDescent="0.25">
      <c r="A5487" t="str">
        <f>"20190305135937921"</f>
        <v>20190305135937921</v>
      </c>
      <c r="B5487" t="str">
        <f>"1551765577914896"</f>
        <v>1551765577914896</v>
      </c>
      <c r="C5487" t="s">
        <v>40</v>
      </c>
      <c r="D5487">
        <v>4.5641660000000002</v>
      </c>
      <c r="E5487">
        <v>0.49315379999999998</v>
      </c>
      <c r="F5487" t="s">
        <v>42</v>
      </c>
      <c r="G5487">
        <v>-275.52249999999998</v>
      </c>
      <c r="H5487" s="1">
        <v>-1.9772700000000001E-6</v>
      </c>
      <c r="I5487">
        <v>-62.424680000000002</v>
      </c>
      <c r="J5487">
        <v>-290.92720000000003</v>
      </c>
      <c r="K5487">
        <v>1.1276889999999999</v>
      </c>
      <c r="L5487">
        <v>-61.191279999999999</v>
      </c>
      <c r="M5487">
        <v>0.88576779999999999</v>
      </c>
      <c r="N5487">
        <v>-1.8578009999999999E-2</v>
      </c>
      <c r="O5487">
        <v>-0.46375690000000003</v>
      </c>
      <c r="P5487">
        <v>0.99588270000000001</v>
      </c>
      <c r="Q5487">
        <v>-1.2067390000000001E-2</v>
      </c>
      <c r="R5487">
        <v>-8.9844010000000002E-2</v>
      </c>
      <c r="S5487">
        <v>2.987244</v>
      </c>
      <c r="T5487">
        <v>-0.21598980000000001</v>
      </c>
      <c r="U5487">
        <v>-0.25424190000000002</v>
      </c>
      <c r="V5487">
        <v>-0.38217879999999999</v>
      </c>
      <c r="W5487">
        <v>-1.198799E-2</v>
      </c>
      <c r="X5487">
        <v>0.92401060000000002</v>
      </c>
      <c r="Y5487">
        <v>-0.3852236</v>
      </c>
      <c r="Z5487">
        <v>4.0832420000000001E-2</v>
      </c>
      <c r="AA5487">
        <v>0.9219195</v>
      </c>
      <c r="AB5487">
        <v>32</v>
      </c>
      <c r="AC5487">
        <v>15.4047</v>
      </c>
      <c r="AD5487">
        <v>-1.1276909772699999</v>
      </c>
      <c r="AE5487">
        <v>-1.2333999999999901</v>
      </c>
      <c r="AF5487">
        <v>-6.0205162065068301</v>
      </c>
      <c r="AG5487">
        <v>-1.1276909772699999</v>
      </c>
      <c r="AH5487">
        <v>14.144123844130799</v>
      </c>
      <c r="AI5487">
        <v>94.195666871251404</v>
      </c>
      <c r="AJ5487">
        <v>113.05726884796</v>
      </c>
      <c r="AK5487">
        <v>15.413453268204901</v>
      </c>
      <c r="AL5487">
        <v>90.686877706584198</v>
      </c>
      <c r="AM5487">
        <v>112.470411656273</v>
      </c>
      <c r="AN5487">
        <v>0.99999996799301905</v>
      </c>
    </row>
    <row r="5488" spans="1:40" x14ac:dyDescent="0.25">
      <c r="A5488" t="str">
        <f>"20190305135937933"</f>
        <v>20190305135937933</v>
      </c>
      <c r="B5488" t="str">
        <f>"1551765577924656"</f>
        <v>1551765577924656</v>
      </c>
      <c r="C5488" t="s">
        <v>40</v>
      </c>
      <c r="D5488">
        <v>4.5581459999999998</v>
      </c>
      <c r="E5488">
        <v>0.49364940000000002</v>
      </c>
      <c r="F5488" t="s">
        <v>42</v>
      </c>
      <c r="G5488">
        <v>-275.28059999999999</v>
      </c>
      <c r="H5488" s="1">
        <v>-1.8640869999999999E-6</v>
      </c>
      <c r="I5488">
        <v>-62.382429999999999</v>
      </c>
      <c r="J5488">
        <v>-290.7706</v>
      </c>
      <c r="K5488">
        <v>1.127678</v>
      </c>
      <c r="L5488">
        <v>-61.264980000000001</v>
      </c>
      <c r="M5488">
        <v>0.89106909999999895</v>
      </c>
      <c r="N5488">
        <v>-1.8588159999999999E-2</v>
      </c>
      <c r="O5488">
        <v>-0.45348670000000002</v>
      </c>
      <c r="P5488">
        <v>0.99664160000000002</v>
      </c>
      <c r="Q5488">
        <v>-1.2341059999999999E-2</v>
      </c>
      <c r="R5488">
        <v>-8.0950800000000003E-2</v>
      </c>
      <c r="S5488">
        <v>2.9892880000000002</v>
      </c>
      <c r="T5488">
        <v>-0.21544550000000001</v>
      </c>
      <c r="U5488">
        <v>-0.22756960000000001</v>
      </c>
      <c r="V5488">
        <v>-0.37973459999999998</v>
      </c>
      <c r="W5488">
        <v>-1.211768E-2</v>
      </c>
      <c r="X5488">
        <v>0.92501610000000001</v>
      </c>
      <c r="Y5488">
        <v>-0.38281490000000001</v>
      </c>
      <c r="Z5488">
        <v>4.015585E-2</v>
      </c>
      <c r="AA5488">
        <v>0.92295190000000005</v>
      </c>
      <c r="AB5488">
        <v>32</v>
      </c>
      <c r="AC5488">
        <v>15.49</v>
      </c>
      <c r="AD5488">
        <v>-1.1276798640870001</v>
      </c>
      <c r="AE5488">
        <v>-1.1174500000000001</v>
      </c>
      <c r="AF5488">
        <v>-5.9982007151652796</v>
      </c>
      <c r="AG5488">
        <v>-1.1276798640870001</v>
      </c>
      <c r="AH5488">
        <v>14.2368196192088</v>
      </c>
      <c r="AI5488">
        <v>94.1748812071842</v>
      </c>
      <c r="AJ5488">
        <v>112.846473312448</v>
      </c>
      <c r="AK5488">
        <v>15.489903374946101</v>
      </c>
      <c r="AL5488">
        <v>90.694308917557194</v>
      </c>
      <c r="AM5488">
        <v>112.318971196229</v>
      </c>
      <c r="AN5488">
        <v>0.99999999493247604</v>
      </c>
    </row>
    <row r="5489" spans="1:40" x14ac:dyDescent="0.25">
      <c r="A5489" t="str">
        <f>"20190305135937945"</f>
        <v>20190305135937945</v>
      </c>
      <c r="B5489" t="str">
        <f>"1551765577935392"</f>
        <v>1551765577935392</v>
      </c>
      <c r="C5489" t="s">
        <v>40</v>
      </c>
      <c r="D5489">
        <v>4.5802399999999999</v>
      </c>
      <c r="E5489">
        <v>0.49416599999999999</v>
      </c>
      <c r="F5489" t="s">
        <v>42</v>
      </c>
      <c r="G5489">
        <v>-275.13139999999999</v>
      </c>
      <c r="H5489" s="1">
        <v>-1.7898739999999999E-6</v>
      </c>
      <c r="I5489">
        <v>-62.336410000000001</v>
      </c>
      <c r="J5489">
        <v>-290.62549999999999</v>
      </c>
      <c r="K5489">
        <v>1.127669</v>
      </c>
      <c r="L5489">
        <v>-61.331270000000004</v>
      </c>
      <c r="M5489">
        <v>0.89586520000000003</v>
      </c>
      <c r="N5489">
        <v>-1.8597320000000001E-2</v>
      </c>
      <c r="O5489">
        <v>-0.44393709999999997</v>
      </c>
      <c r="P5489">
        <v>0.99728890000000003</v>
      </c>
      <c r="Q5489">
        <v>-1.2317669999999999E-2</v>
      </c>
      <c r="R5489">
        <v>-7.2548189999999999E-2</v>
      </c>
      <c r="S5489">
        <v>2.9907840000000001</v>
      </c>
      <c r="T5489">
        <v>-0.2156537</v>
      </c>
      <c r="U5489">
        <v>-0.20489499999999999</v>
      </c>
      <c r="V5489">
        <v>-0.37764710000000001</v>
      </c>
      <c r="W5489">
        <v>-1.1970039999999999E-2</v>
      </c>
      <c r="X5489">
        <v>0.92587220000000003</v>
      </c>
      <c r="Y5489">
        <v>-0.37995590000000001</v>
      </c>
      <c r="Z5489">
        <v>3.9646859999999999E-2</v>
      </c>
      <c r="AA5489">
        <v>0.92415449999999999</v>
      </c>
      <c r="AB5489">
        <v>32</v>
      </c>
      <c r="AC5489">
        <v>15.4941</v>
      </c>
      <c r="AD5489">
        <v>-1.1276707898739999</v>
      </c>
      <c r="AE5489">
        <v>-1.0051399999999999</v>
      </c>
      <c r="AF5489">
        <v>-5.9475959847246802</v>
      </c>
      <c r="AG5489">
        <v>-1.1276707898739999</v>
      </c>
      <c r="AH5489">
        <v>14.2541307300882</v>
      </c>
      <c r="AI5489">
        <v>94.175818117016306</v>
      </c>
      <c r="AJ5489">
        <v>112.648542624181</v>
      </c>
      <c r="AK5489">
        <v>15.486309511251999</v>
      </c>
      <c r="AL5489">
        <v>90.685849170512498</v>
      </c>
      <c r="AM5489">
        <v>112.189689503531</v>
      </c>
      <c r="AN5489">
        <v>0.99999997236442495</v>
      </c>
    </row>
    <row r="5490" spans="1:40" x14ac:dyDescent="0.25">
      <c r="A5490" t="str">
        <f>"20190305135937957"</f>
        <v>20190305135937957</v>
      </c>
      <c r="B5490" t="str">
        <f>"1551765577944683"</f>
        <v>1551765577944683</v>
      </c>
      <c r="C5490" t="s">
        <v>40</v>
      </c>
      <c r="D5490">
        <v>4.5026820000000001</v>
      </c>
      <c r="E5490">
        <v>0.49462630000000002</v>
      </c>
      <c r="F5490" t="s">
        <v>42</v>
      </c>
      <c r="G5490">
        <v>-274.9357</v>
      </c>
      <c r="H5490" s="1">
        <v>-1.696814E-6</v>
      </c>
      <c r="I5490">
        <v>-62.295580000000001</v>
      </c>
      <c r="J5490">
        <v>-290.46960000000001</v>
      </c>
      <c r="K5490">
        <v>1.1276569999999999</v>
      </c>
      <c r="L5490">
        <v>-61.401060000000001</v>
      </c>
      <c r="M5490">
        <v>0.90089200000000003</v>
      </c>
      <c r="N5490">
        <v>-1.860705E-2</v>
      </c>
      <c r="O5490">
        <v>-0.43364439999999999</v>
      </c>
      <c r="P5490">
        <v>0.99791459999999998</v>
      </c>
      <c r="Q5490">
        <v>-1.2845560000000001E-2</v>
      </c>
      <c r="R5490">
        <v>-6.3254439999999995E-2</v>
      </c>
      <c r="S5490">
        <v>2.9921259999999998</v>
      </c>
      <c r="T5490">
        <v>-0.21505250000000001</v>
      </c>
      <c r="U5490">
        <v>-0.1838989</v>
      </c>
      <c r="V5490">
        <v>-0.37564140000000001</v>
      </c>
      <c r="W5490">
        <v>-1.237774E-2</v>
      </c>
      <c r="X5490">
        <v>0.92668249999999996</v>
      </c>
      <c r="Y5490">
        <v>-0.37588120000000003</v>
      </c>
      <c r="Z5490">
        <v>3.8878360000000001E-2</v>
      </c>
      <c r="AA5490">
        <v>0.92585189999999995</v>
      </c>
      <c r="AB5490">
        <v>32</v>
      </c>
      <c r="AC5490">
        <v>15.533899999999999</v>
      </c>
      <c r="AD5490">
        <v>-1.1276586968140001</v>
      </c>
      <c r="AE5490">
        <v>-0.89452000000000698</v>
      </c>
      <c r="AF5490">
        <v>-5.9003585001755097</v>
      </c>
      <c r="AG5490">
        <v>-1.1276586968140001</v>
      </c>
      <c r="AH5490">
        <v>14.3096000696017</v>
      </c>
      <c r="AI5490">
        <v>94.166864990519102</v>
      </c>
      <c r="AJ5490">
        <v>112.40810061482399</v>
      </c>
      <c r="AK5490">
        <v>15.519358837240601</v>
      </c>
      <c r="AL5490">
        <v>90.709210327642097</v>
      </c>
      <c r="AM5490">
        <v>112.065738585291</v>
      </c>
      <c r="AN5490">
        <v>1.0000000628238499</v>
      </c>
    </row>
    <row r="5491" spans="1:40" x14ac:dyDescent="0.25">
      <c r="A5491" t="str">
        <f>"20190305135937969"</f>
        <v>20190305135937969</v>
      </c>
      <c r="B5491" t="str">
        <f>"1551765577964203"</f>
        <v>1551765577964203</v>
      </c>
      <c r="C5491" t="s">
        <v>40</v>
      </c>
      <c r="D5491">
        <v>4.5587119999999999</v>
      </c>
      <c r="E5491">
        <v>0.51421870000000003</v>
      </c>
      <c r="F5491" t="s">
        <v>42</v>
      </c>
      <c r="G5491">
        <v>-274.94150000000002</v>
      </c>
      <c r="H5491" s="1">
        <v>-1.684716E-6</v>
      </c>
      <c r="I5491">
        <v>-62.229970000000002</v>
      </c>
      <c r="J5491">
        <v>-290.32170000000002</v>
      </c>
      <c r="K5491">
        <v>1.1276469999999901</v>
      </c>
      <c r="L5491">
        <v>-61.464109999999998</v>
      </c>
      <c r="M5491">
        <v>0.90553380000000006</v>
      </c>
      <c r="N5491">
        <v>-1.8616029999999999E-2</v>
      </c>
      <c r="O5491">
        <v>-0.42386590000000002</v>
      </c>
      <c r="P5491">
        <v>0.99842059999999999</v>
      </c>
      <c r="Q5491">
        <v>-1.311818E-2</v>
      </c>
      <c r="R5491">
        <v>-5.4630409999999997E-2</v>
      </c>
      <c r="S5491">
        <v>2.9933779999999999</v>
      </c>
      <c r="T5491">
        <v>-0.21738080000000001</v>
      </c>
      <c r="U5491">
        <v>-0.15978999999999999</v>
      </c>
      <c r="V5491">
        <v>-0.37360450000000001</v>
      </c>
      <c r="W5491">
        <v>-1.252909E-2</v>
      </c>
      <c r="X5491">
        <v>0.92750350000000004</v>
      </c>
      <c r="Y5491">
        <v>-0.37328800000000001</v>
      </c>
      <c r="Z5491">
        <v>3.8786550000000003E-2</v>
      </c>
      <c r="AA5491">
        <v>0.92690430000000001</v>
      </c>
      <c r="AB5491">
        <v>32</v>
      </c>
      <c r="AC5491">
        <v>15.3802</v>
      </c>
      <c r="AD5491">
        <v>-1.1276486847160001</v>
      </c>
      <c r="AE5491">
        <v>-0.76585999999999599</v>
      </c>
      <c r="AF5491">
        <v>-5.7955616540588997</v>
      </c>
      <c r="AG5491">
        <v>-1.1276486847160001</v>
      </c>
      <c r="AH5491">
        <v>14.1783527297499</v>
      </c>
      <c r="AI5491">
        <v>94.210527475557797</v>
      </c>
      <c r="AJ5491">
        <v>112.23284318643999</v>
      </c>
      <c r="AK5491">
        <v>15.3585745618318</v>
      </c>
      <c r="AL5491">
        <v>90.717882745507595</v>
      </c>
      <c r="AM5491">
        <v>111.939899670757</v>
      </c>
      <c r="AN5491">
        <v>1.0000000215143601</v>
      </c>
    </row>
    <row r="5492" spans="1:40" x14ac:dyDescent="0.25">
      <c r="A5492" t="str">
        <f>"20190305135937983"</f>
        <v>20190305135937983</v>
      </c>
      <c r="B5492" t="str">
        <f>"1551765577974938"</f>
        <v>1551765577974938</v>
      </c>
      <c r="C5492" t="s">
        <v>40</v>
      </c>
      <c r="D5492">
        <v>4.5230309999999996</v>
      </c>
      <c r="E5492">
        <v>0.51490590000000003</v>
      </c>
      <c r="F5492" t="s">
        <v>42</v>
      </c>
      <c r="G5492">
        <v>-270.0933</v>
      </c>
      <c r="H5492" s="1">
        <v>1.3384099999999999E-7</v>
      </c>
      <c r="I5492">
        <v>-63.405019999999901</v>
      </c>
      <c r="J5492">
        <v>-290.13510000000002</v>
      </c>
      <c r="K5492">
        <v>1.1276330000000001</v>
      </c>
      <c r="L5492">
        <v>-61.541840000000001</v>
      </c>
      <c r="M5492">
        <v>0.91122809999999999</v>
      </c>
      <c r="N5492">
        <v>-1.8627290000000001E-2</v>
      </c>
      <c r="O5492">
        <v>-0.41148109999999999</v>
      </c>
      <c r="P5492">
        <v>0.99880880000000005</v>
      </c>
      <c r="Q5492">
        <v>-1.5108389999999999E-2</v>
      </c>
      <c r="R5492">
        <v>-4.6398309999999998E-2</v>
      </c>
      <c r="S5492">
        <v>2.9868769999999998</v>
      </c>
      <c r="T5492">
        <v>-0.16650619999999999</v>
      </c>
      <c r="U5492">
        <v>-0.28659059999999997</v>
      </c>
      <c r="V5492">
        <v>-0.36850739999999998</v>
      </c>
      <c r="W5492">
        <v>-1.4237379999999999E-2</v>
      </c>
      <c r="X5492">
        <v>0.9295158</v>
      </c>
      <c r="Y5492">
        <v>-0.32172659999999997</v>
      </c>
      <c r="Z5492">
        <v>2.6314009999999999E-2</v>
      </c>
      <c r="AA5492">
        <v>0.9464669</v>
      </c>
      <c r="AB5492">
        <v>32</v>
      </c>
      <c r="AC5492">
        <v>20.041799999999999</v>
      </c>
      <c r="AD5492">
        <v>-1.1276328661589901</v>
      </c>
      <c r="AE5492">
        <v>-1.8631799999999901</v>
      </c>
      <c r="AF5492">
        <v>-6.5296818289383403</v>
      </c>
      <c r="AG5492">
        <v>-1.1276328661589901</v>
      </c>
      <c r="AH5492">
        <v>18.9730665129686</v>
      </c>
      <c r="AI5492">
        <v>93.2165428678274</v>
      </c>
      <c r="AJ5492">
        <v>108.991174338289</v>
      </c>
      <c r="AK5492">
        <v>20.096904079323799</v>
      </c>
      <c r="AL5492">
        <v>90.8157693347719</v>
      </c>
      <c r="AM5492">
        <v>111.625896152614</v>
      </c>
      <c r="AN5492">
        <v>1.00000001464683</v>
      </c>
    </row>
    <row r="5493" spans="1:40" x14ac:dyDescent="0.25">
      <c r="A5493" t="str">
        <f>"20190305135937994"</f>
        <v>20190305135937994</v>
      </c>
      <c r="B5493" t="str">
        <f>"1551765577984699"</f>
        <v>1551765577984699</v>
      </c>
      <c r="C5493" t="s">
        <v>40</v>
      </c>
      <c r="D5493">
        <v>4.542497</v>
      </c>
      <c r="E5493">
        <v>0.51521589999999995</v>
      </c>
      <c r="F5493" t="s">
        <v>42</v>
      </c>
      <c r="G5493">
        <v>-271.7577</v>
      </c>
      <c r="H5493" s="1">
        <v>-5.3263769999999995E-7</v>
      </c>
      <c r="I5493">
        <v>-63.191290000000002</v>
      </c>
      <c r="J5493">
        <v>-289.99110000000002</v>
      </c>
      <c r="K5493">
        <v>1.127626</v>
      </c>
      <c r="L5493">
        <v>-61.599789999999999</v>
      </c>
      <c r="M5493">
        <v>0.91549970000000003</v>
      </c>
      <c r="N5493">
        <v>-1.863575E-2</v>
      </c>
      <c r="O5493">
        <v>-0.40188689999999999</v>
      </c>
      <c r="P5493">
        <v>0.99909729999999997</v>
      </c>
      <c r="Q5493">
        <v>-1.6159960000000001E-2</v>
      </c>
      <c r="R5493">
        <v>-3.9288730000000001E-2</v>
      </c>
      <c r="S5493">
        <v>2.9883730000000002</v>
      </c>
      <c r="T5493">
        <v>-0.18336549999999999</v>
      </c>
      <c r="U5493">
        <v>-0.26821899999999999</v>
      </c>
      <c r="V5493">
        <v>-0.36530800000000002</v>
      </c>
      <c r="W5493">
        <v>-1.5109579999999999E-2</v>
      </c>
      <c r="X5493">
        <v>0.93076409999999998</v>
      </c>
      <c r="Y5493">
        <v>-0.31740580000000002</v>
      </c>
      <c r="Z5493">
        <v>2.8944170000000002E-2</v>
      </c>
      <c r="AA5493">
        <v>0.94784800000000002</v>
      </c>
      <c r="AB5493">
        <v>32</v>
      </c>
      <c r="AC5493">
        <v>18.2334</v>
      </c>
      <c r="AD5493">
        <v>-1.1276265326377</v>
      </c>
      <c r="AE5493">
        <v>-1.5914999999999899</v>
      </c>
      <c r="AF5493">
        <v>-5.8495627602904303</v>
      </c>
      <c r="AG5493">
        <v>-1.1276265326377</v>
      </c>
      <c r="AH5493">
        <v>17.2697332522933</v>
      </c>
      <c r="AI5493">
        <v>93.538871243691105</v>
      </c>
      <c r="AJ5493">
        <v>108.712145564813</v>
      </c>
      <c r="AK5493">
        <v>18.2683500264542</v>
      </c>
      <c r="AL5493">
        <v>90.865748088876302</v>
      </c>
      <c r="AM5493">
        <v>111.429105350513</v>
      </c>
      <c r="AN5493">
        <v>1.00000002206029</v>
      </c>
    </row>
    <row r="5494" spans="1:40" x14ac:dyDescent="0.25">
      <c r="A5494" t="str">
        <f>"20190305135938005"</f>
        <v>20190305135938005</v>
      </c>
      <c r="B5494" t="str">
        <f>"1551765577994459"</f>
        <v>1551765577994459</v>
      </c>
      <c r="C5494" t="s">
        <v>40</v>
      </c>
      <c r="D5494">
        <v>4.4557129999999896</v>
      </c>
      <c r="E5494">
        <v>0.51570400000000005</v>
      </c>
      <c r="F5494" t="s">
        <v>42</v>
      </c>
      <c r="G5494">
        <v>-270.99310000000003</v>
      </c>
      <c r="H5494" s="1">
        <v>-2.0214459999999999E-7</v>
      </c>
      <c r="I5494">
        <v>-63.180079999999997</v>
      </c>
      <c r="J5494">
        <v>-289.85059999999999</v>
      </c>
      <c r="K5494">
        <v>1.127623</v>
      </c>
      <c r="L5494">
        <v>-61.654169999999901</v>
      </c>
      <c r="M5494">
        <v>0.9195586</v>
      </c>
      <c r="N5494">
        <v>-1.864387E-2</v>
      </c>
      <c r="O5494">
        <v>-0.39251049999999998</v>
      </c>
      <c r="P5494">
        <v>0.99931490000000001</v>
      </c>
      <c r="Q5494">
        <v>-1.7034469999999999E-2</v>
      </c>
      <c r="R5494">
        <v>-3.2861210000000002E-2</v>
      </c>
      <c r="S5494">
        <v>2.9900509999999998</v>
      </c>
      <c r="T5494">
        <v>-0.17747499999999999</v>
      </c>
      <c r="U5494">
        <v>-0.2487183</v>
      </c>
      <c r="V5494">
        <v>-0.36174260000000003</v>
      </c>
      <c r="W5494">
        <v>-1.5786209999999998E-2</v>
      </c>
      <c r="X5494">
        <v>0.93214430000000004</v>
      </c>
      <c r="Y5494">
        <v>-0.31398569999999998</v>
      </c>
      <c r="Z5494">
        <v>2.7402599999999999E-2</v>
      </c>
      <c r="AA5494">
        <v>0.94903219999999999</v>
      </c>
      <c r="AB5494">
        <v>32</v>
      </c>
      <c r="AC5494">
        <v>18.857499999999899</v>
      </c>
      <c r="AD5494">
        <v>-1.1276232021446</v>
      </c>
      <c r="AE5494">
        <v>-1.5259100000000101</v>
      </c>
      <c r="AF5494">
        <v>-5.9784077160885403</v>
      </c>
      <c r="AG5494">
        <v>-1.1276232021446</v>
      </c>
      <c r="AH5494">
        <v>17.879115408432</v>
      </c>
      <c r="AI5494">
        <v>93.423010859275394</v>
      </c>
      <c r="AJ5494">
        <v>108.488873088384</v>
      </c>
      <c r="AK5494">
        <v>18.885858749176101</v>
      </c>
      <c r="AL5494">
        <v>90.904520819702796</v>
      </c>
      <c r="AM5494">
        <v>111.21002538426499</v>
      </c>
      <c r="AN5494">
        <v>0.99999995455170598</v>
      </c>
    </row>
    <row r="5495" spans="1:40" x14ac:dyDescent="0.25">
      <c r="A5495" t="str">
        <f>"20190305135938016"</f>
        <v>20190305135938016</v>
      </c>
      <c r="B5495" t="str">
        <f>"1551765578004219"</f>
        <v>1551765578004219</v>
      </c>
      <c r="C5495" t="s">
        <v>40</v>
      </c>
      <c r="D5495">
        <v>4.9813660000000004</v>
      </c>
      <c r="E5495">
        <v>0.51484979999999902</v>
      </c>
      <c r="F5495" t="s">
        <v>42</v>
      </c>
      <c r="G5495">
        <v>-271.54079999999999</v>
      </c>
      <c r="H5495" s="1">
        <v>-4.158292E-7</v>
      </c>
      <c r="I5495">
        <v>-63.084319999999998</v>
      </c>
      <c r="J5495">
        <v>-289.7047</v>
      </c>
      <c r="K5495">
        <v>1.1276280000000001</v>
      </c>
      <c r="L5495">
        <v>-61.70966</v>
      </c>
      <c r="M5495">
        <v>0.92367010000000005</v>
      </c>
      <c r="N5495">
        <v>-1.865232E-2</v>
      </c>
      <c r="O5495">
        <v>-0.38273499999999999</v>
      </c>
      <c r="P5495">
        <v>0.99951299999999998</v>
      </c>
      <c r="Q5495">
        <v>-1.7362679999999998E-2</v>
      </c>
      <c r="R5495">
        <v>-2.5932440000000001E-2</v>
      </c>
      <c r="S5495">
        <v>2.991241</v>
      </c>
      <c r="T5495">
        <v>-0.18421889999999999</v>
      </c>
      <c r="U5495">
        <v>-0.23364260000000001</v>
      </c>
      <c r="V5495">
        <v>-0.35830400000000001</v>
      </c>
      <c r="W5495">
        <v>-1.5922120000000001E-2</v>
      </c>
      <c r="X5495">
        <v>0.9334692</v>
      </c>
      <c r="Y5495">
        <v>-0.30863370000000001</v>
      </c>
      <c r="Z5495">
        <v>2.8035500000000001E-2</v>
      </c>
      <c r="AA5495">
        <v>0.95076769999999999</v>
      </c>
      <c r="AB5495">
        <v>32</v>
      </c>
      <c r="AC5495">
        <v>18.163900000000002</v>
      </c>
      <c r="AD5495">
        <v>-1.1276284158292</v>
      </c>
      <c r="AE5495">
        <v>-1.37465999999999</v>
      </c>
      <c r="AF5495">
        <v>-5.6615200331169904</v>
      </c>
      <c r="AG5495">
        <v>-1.1276284158292</v>
      </c>
      <c r="AH5495">
        <v>17.2405219229937</v>
      </c>
      <c r="AI5495">
        <v>93.555841127805706</v>
      </c>
      <c r="AJ5495">
        <v>108.17937813093501</v>
      </c>
      <c r="AK5495">
        <v>18.181307739180902</v>
      </c>
      <c r="AL5495">
        <v>90.912308818771294</v>
      </c>
      <c r="AM5495">
        <v>110.998862991184</v>
      </c>
      <c r="AN5495">
        <v>1.0000000088349601</v>
      </c>
    </row>
    <row r="5496" spans="1:40" x14ac:dyDescent="0.25">
      <c r="A5496" t="str">
        <f>"20190305135938028"</f>
        <v>20190305135938028</v>
      </c>
      <c r="B5496" t="str">
        <f>"1551765578024716"</f>
        <v>1551765578024716</v>
      </c>
      <c r="C5496" t="s">
        <v>40</v>
      </c>
      <c r="D5496">
        <v>4.6146000000000003</v>
      </c>
      <c r="E5496">
        <v>0.5136849</v>
      </c>
      <c r="F5496" t="s">
        <v>42</v>
      </c>
      <c r="G5496">
        <v>-273.86660000000001</v>
      </c>
      <c r="H5496" s="1">
        <v>-1.3527829999999999E-6</v>
      </c>
      <c r="I5496">
        <v>-62.810920000000003</v>
      </c>
      <c r="J5496">
        <v>-289.55419999999998</v>
      </c>
      <c r="K5496">
        <v>1.127626</v>
      </c>
      <c r="L5496">
        <v>-61.763890000000004</v>
      </c>
      <c r="M5496">
        <v>0.92778890000000003</v>
      </c>
      <c r="N5496">
        <v>-1.866079E-2</v>
      </c>
      <c r="O5496">
        <v>-0.37263869999999999</v>
      </c>
      <c r="P5496">
        <v>0.99967530000000004</v>
      </c>
      <c r="Q5496">
        <v>-1.707374E-2</v>
      </c>
      <c r="R5496">
        <v>-1.8911549999999999E-2</v>
      </c>
      <c r="S5496">
        <v>2.9923709999999999</v>
      </c>
      <c r="T5496">
        <v>-0.2130495</v>
      </c>
      <c r="U5496">
        <v>-0.2080688</v>
      </c>
      <c r="V5496">
        <v>-0.35469820000000002</v>
      </c>
      <c r="W5496">
        <v>-1.5431439999999999E-2</v>
      </c>
      <c r="X5496">
        <v>0.9348535</v>
      </c>
      <c r="Y5496">
        <v>-0.30600480000000002</v>
      </c>
      <c r="Z5496">
        <v>3.2523820000000002E-2</v>
      </c>
      <c r="AA5496">
        <v>0.95147420000000005</v>
      </c>
      <c r="AB5496">
        <v>32</v>
      </c>
      <c r="AC5496">
        <v>15.6875999999999</v>
      </c>
      <c r="AD5496">
        <v>-1.1276273527830001</v>
      </c>
      <c r="AE5496">
        <v>-1.0470299999999899</v>
      </c>
      <c r="AF5496">
        <v>-4.8502836948887103</v>
      </c>
      <c r="AG5496">
        <v>-1.1276273527830001</v>
      </c>
      <c r="AH5496">
        <v>14.8710529189688</v>
      </c>
      <c r="AI5496">
        <v>94.1232926241412</v>
      </c>
      <c r="AJ5496">
        <v>108.064049497658</v>
      </c>
      <c r="AK5496">
        <v>15.682634035340399</v>
      </c>
      <c r="AL5496">
        <v>90.884191474237397</v>
      </c>
      <c r="AM5496">
        <v>110.77753726754101</v>
      </c>
      <c r="AN5496">
        <v>1.00000000444298</v>
      </c>
    </row>
    <row r="5497" spans="1:40" x14ac:dyDescent="0.25">
      <c r="A5497" t="str">
        <f>"20190305135938040"</f>
        <v>20190305135938040</v>
      </c>
      <c r="B5497" t="str">
        <f>"1551765578034476"</f>
        <v>1551765578034476</v>
      </c>
      <c r="C5497" t="s">
        <v>40</v>
      </c>
      <c r="D5497">
        <v>4.5682029999999996</v>
      </c>
      <c r="E5497">
        <v>0.51367149999999995</v>
      </c>
      <c r="F5497" t="s">
        <v>42</v>
      </c>
      <c r="G5497">
        <v>-276.15019999999998</v>
      </c>
      <c r="H5497" s="1">
        <v>-2.2795270000000001E-6</v>
      </c>
      <c r="I5497">
        <v>-62.57291</v>
      </c>
      <c r="J5497">
        <v>-289.39609999999999</v>
      </c>
      <c r="K5497">
        <v>1.1276269999999999</v>
      </c>
      <c r="L5497">
        <v>-61.819819999999901</v>
      </c>
      <c r="M5497">
        <v>0.93199430000000005</v>
      </c>
      <c r="N5497">
        <v>-1.8669720000000001E-2</v>
      </c>
      <c r="O5497">
        <v>-0.36199199999999998</v>
      </c>
      <c r="P5497">
        <v>0.99979969999999996</v>
      </c>
      <c r="Q5497">
        <v>-1.6708870000000001E-2</v>
      </c>
      <c r="R5497">
        <v>-1.101944E-2</v>
      </c>
      <c r="S5497">
        <v>2.9932560000000001</v>
      </c>
      <c r="T5497">
        <v>-0.25181290000000001</v>
      </c>
      <c r="U5497">
        <v>-0.18066409999999999</v>
      </c>
      <c r="V5497">
        <v>-0.3513966</v>
      </c>
      <c r="W5497">
        <v>-1.48801E-2</v>
      </c>
      <c r="X5497">
        <v>0.93610839999999995</v>
      </c>
      <c r="Y5497">
        <v>-0.30322519999999997</v>
      </c>
      <c r="Z5497">
        <v>3.8435480000000001E-2</v>
      </c>
      <c r="AA5497">
        <v>0.95214350000000003</v>
      </c>
      <c r="AB5497">
        <v>32</v>
      </c>
      <c r="AC5497">
        <v>13.245900000000001</v>
      </c>
      <c r="AD5497">
        <v>-1.127629279527</v>
      </c>
      <c r="AE5497">
        <v>-0.75309000000000703</v>
      </c>
      <c r="AF5497">
        <v>-4.0643869873380201</v>
      </c>
      <c r="AG5497">
        <v>-1.127629279527</v>
      </c>
      <c r="AH5497">
        <v>12.529404117001</v>
      </c>
      <c r="AI5497">
        <v>94.8929992604712</v>
      </c>
      <c r="AJ5497">
        <v>107.972435186063</v>
      </c>
      <c r="AK5497">
        <v>13.220316066645699</v>
      </c>
      <c r="AL5497">
        <v>90.8525984262794</v>
      </c>
      <c r="AM5497">
        <v>110.575143237505</v>
      </c>
      <c r="AN5497">
        <v>0.99999996220906395</v>
      </c>
    </row>
    <row r="5498" spans="1:40" x14ac:dyDescent="0.25">
      <c r="A5498" t="str">
        <f>"20190305135938053"</f>
        <v>20190305135938053</v>
      </c>
      <c r="B5498" t="str">
        <f>"1551765578044742"</f>
        <v>1551765578044742</v>
      </c>
      <c r="C5498" t="s">
        <v>40</v>
      </c>
      <c r="D5498">
        <v>4.5803729999999998</v>
      </c>
      <c r="E5498">
        <v>0.51377399999999995</v>
      </c>
      <c r="F5498" t="s">
        <v>42</v>
      </c>
      <c r="G5498">
        <v>-276.53379999999999</v>
      </c>
      <c r="H5498" s="1">
        <v>-2.4273390000000001E-6</v>
      </c>
      <c r="I5498">
        <v>-62.497790000000002</v>
      </c>
      <c r="J5498">
        <v>-289.22890000000001</v>
      </c>
      <c r="K5498">
        <v>1.127632</v>
      </c>
      <c r="L5498">
        <v>-61.876069999999999</v>
      </c>
      <c r="M5498">
        <v>0.93630259999999998</v>
      </c>
      <c r="N5498">
        <v>-1.8678899999999998E-2</v>
      </c>
      <c r="O5498">
        <v>-0.35069709999999898</v>
      </c>
      <c r="P5498">
        <v>0.99987630000000005</v>
      </c>
      <c r="Q5498">
        <v>-1.5444909999999999E-2</v>
      </c>
      <c r="R5498">
        <v>-2.932469E-3</v>
      </c>
      <c r="S5498">
        <v>2.9944760000000001</v>
      </c>
      <c r="T5498">
        <v>-0.2625227</v>
      </c>
      <c r="U5498">
        <v>-0.1578369</v>
      </c>
      <c r="V5498">
        <v>-0.34771639999999998</v>
      </c>
      <c r="W5498">
        <v>-1.3408700000000001E-2</v>
      </c>
      <c r="X5498">
        <v>0.93750389999999995</v>
      </c>
      <c r="Y5498">
        <v>-0.29882389999999998</v>
      </c>
      <c r="Z5498">
        <v>3.9295959999999998E-2</v>
      </c>
      <c r="AA5498">
        <v>0.95349890000000004</v>
      </c>
      <c r="AB5498">
        <v>32</v>
      </c>
      <c r="AC5498">
        <v>12.6951</v>
      </c>
      <c r="AD5498">
        <v>-1.127634427339</v>
      </c>
      <c r="AE5498">
        <v>-0.62172000000000305</v>
      </c>
      <c r="AF5498">
        <v>-3.8404642819188801</v>
      </c>
      <c r="AG5498">
        <v>-1.127634427339</v>
      </c>
      <c r="AH5498">
        <v>12.0120576074469</v>
      </c>
      <c r="AI5498">
        <v>95.109590711253105</v>
      </c>
      <c r="AJ5498">
        <v>107.729984628891</v>
      </c>
      <c r="AK5498">
        <v>12.6613685384732</v>
      </c>
      <c r="AL5498">
        <v>90.768284922571496</v>
      </c>
      <c r="AM5498">
        <v>110.349613302235</v>
      </c>
      <c r="AN5498">
        <v>1.0000000252899199</v>
      </c>
    </row>
    <row r="5499" spans="1:40" x14ac:dyDescent="0.25">
      <c r="A5499" t="str">
        <f>"20190305135938065"</f>
        <v>20190305135938065</v>
      </c>
      <c r="B5499" t="str">
        <f>"1551765578054502"</f>
        <v>1551765578054502</v>
      </c>
      <c r="C5499" t="s">
        <v>40</v>
      </c>
      <c r="D5499">
        <v>4.5741079999999998</v>
      </c>
      <c r="E5499">
        <v>0.5139918</v>
      </c>
      <c r="F5499" t="s">
        <v>42</v>
      </c>
      <c r="G5499">
        <v>-276.6977</v>
      </c>
      <c r="H5499" s="1">
        <v>-2.4852400000000002E-6</v>
      </c>
      <c r="I5499">
        <v>-62.441960000000002</v>
      </c>
      <c r="J5499">
        <v>-289.08190000000002</v>
      </c>
      <c r="K5499">
        <v>1.127632</v>
      </c>
      <c r="L5499">
        <v>-61.923740000000002</v>
      </c>
      <c r="M5499">
        <v>0.93997339999999996</v>
      </c>
      <c r="N5499">
        <v>-1.8686919999999999E-2</v>
      </c>
      <c r="O5499">
        <v>-0.34073619999999999</v>
      </c>
      <c r="P5499">
        <v>0.99988840000000001</v>
      </c>
      <c r="Q5499">
        <v>-1.43687E-2</v>
      </c>
      <c r="R5499">
        <v>4.1364380000000001E-3</v>
      </c>
      <c r="S5499">
        <v>2.9957889999999998</v>
      </c>
      <c r="T5499">
        <v>-0.2695787</v>
      </c>
      <c r="U5499">
        <v>-0.1352844</v>
      </c>
      <c r="V5499">
        <v>-0.344447</v>
      </c>
      <c r="W5499">
        <v>-1.214893E-2</v>
      </c>
      <c r="X5499">
        <v>0.93872710000000004</v>
      </c>
      <c r="Y5499">
        <v>-0.29579179999999999</v>
      </c>
      <c r="Z5499">
        <v>3.963527E-2</v>
      </c>
      <c r="AA5499">
        <v>0.95442979999999999</v>
      </c>
      <c r="AB5499">
        <v>32</v>
      </c>
      <c r="AC5499">
        <v>12.3842</v>
      </c>
      <c r="AD5499">
        <v>-1.12763448524</v>
      </c>
      <c r="AE5499">
        <v>-0.51821999999999202</v>
      </c>
      <c r="AF5499">
        <v>-3.7026389790556098</v>
      </c>
      <c r="AG5499">
        <v>-1.12763448524</v>
      </c>
      <c r="AH5499">
        <v>11.722437207075799</v>
      </c>
      <c r="AI5499">
        <v>95.240938918215903</v>
      </c>
      <c r="AJ5499">
        <v>107.529198125672</v>
      </c>
      <c r="AK5499">
        <v>12.344902956903301</v>
      </c>
      <c r="AL5499">
        <v>90.696099573562194</v>
      </c>
      <c r="AM5499">
        <v>110.149594848524</v>
      </c>
      <c r="AN5499">
        <v>0.99999995029177602</v>
      </c>
    </row>
    <row r="5500" spans="1:40" x14ac:dyDescent="0.25">
      <c r="A5500" t="str">
        <f>"20190305135938076"</f>
        <v>20190305135938076</v>
      </c>
      <c r="B5500" t="str">
        <f>"1551765578064262"</f>
        <v>1551765578064262</v>
      </c>
      <c r="C5500" t="s">
        <v>40</v>
      </c>
      <c r="D5500">
        <v>4.5763689999999997</v>
      </c>
      <c r="E5500">
        <v>0.51410409999999995</v>
      </c>
      <c r="F5500" t="s">
        <v>42</v>
      </c>
      <c r="G5500">
        <v>-276.72160000000002</v>
      </c>
      <c r="H5500" s="1">
        <v>-2.486996E-6</v>
      </c>
      <c r="I5500">
        <v>-62.403660000000002</v>
      </c>
      <c r="J5500">
        <v>-288.9194</v>
      </c>
      <c r="K5500">
        <v>1.127631</v>
      </c>
      <c r="L5500">
        <v>-61.974910000000001</v>
      </c>
      <c r="M5500">
        <v>0.94390359999999995</v>
      </c>
      <c r="N5500">
        <v>-1.8695779999999999E-2</v>
      </c>
      <c r="O5500">
        <v>-0.32969199999999999</v>
      </c>
      <c r="P5500">
        <v>0.99984189999999995</v>
      </c>
      <c r="Q5500">
        <v>-1.3124459999999999E-2</v>
      </c>
      <c r="R5500">
        <v>1.200098E-2</v>
      </c>
      <c r="S5500">
        <v>2.9968870000000001</v>
      </c>
      <c r="T5500">
        <v>-0.27340720000000002</v>
      </c>
      <c r="U5500">
        <v>-0.11636349999999999</v>
      </c>
      <c r="V5500">
        <v>-0.34088839999999998</v>
      </c>
      <c r="W5500">
        <v>-1.0705070000000001E-2</v>
      </c>
      <c r="X5500">
        <v>0.94004279999999996</v>
      </c>
      <c r="Y5500">
        <v>-0.29060920000000001</v>
      </c>
      <c r="Z5500">
        <v>3.9222260000000002E-2</v>
      </c>
      <c r="AA5500">
        <v>0.95603760000000004</v>
      </c>
      <c r="AB5500">
        <v>32</v>
      </c>
      <c r="AC5500">
        <v>12.1977999999999</v>
      </c>
      <c r="AD5500">
        <v>-1.1276334869959901</v>
      </c>
      <c r="AE5500">
        <v>-0.42875000000000002</v>
      </c>
      <c r="AF5500">
        <v>-3.5868340678887298</v>
      </c>
      <c r="AG5500">
        <v>-1.1276334869959901</v>
      </c>
      <c r="AH5500">
        <v>11.5582806793897</v>
      </c>
      <c r="AI5500">
        <v>95.323289426260203</v>
      </c>
      <c r="AJ5500">
        <v>107.24047116214901</v>
      </c>
      <c r="AK5500">
        <v>12.1544554865742</v>
      </c>
      <c r="AL5500">
        <v>90.613367056479404</v>
      </c>
      <c r="AM5500">
        <v>109.932200339986</v>
      </c>
      <c r="AN5500">
        <v>0.99999998280505198</v>
      </c>
    </row>
    <row r="5501" spans="1:40" x14ac:dyDescent="0.25">
      <c r="A5501" t="str">
        <f>"20190305135938091"</f>
        <v>20190305135938091</v>
      </c>
      <c r="B5501" t="str">
        <f>"1551765578084759"</f>
        <v>1551765578084759</v>
      </c>
      <c r="C5501" t="s">
        <v>40</v>
      </c>
      <c r="D5501">
        <v>4.5959260000000004</v>
      </c>
      <c r="E5501">
        <v>0.51464949999999998</v>
      </c>
      <c r="F5501" t="s">
        <v>42</v>
      </c>
      <c r="G5501">
        <v>-276.65730000000002</v>
      </c>
      <c r="H5501" s="1">
        <v>-2.449578E-6</v>
      </c>
      <c r="I5501">
        <v>-62.359349999999999</v>
      </c>
      <c r="J5501">
        <v>-288.74430000000001</v>
      </c>
      <c r="K5501">
        <v>1.127631</v>
      </c>
      <c r="L5501">
        <v>-62.026670000000003</v>
      </c>
      <c r="M5501">
        <v>0.94799120000000003</v>
      </c>
      <c r="N5501">
        <v>-1.870511E-2</v>
      </c>
      <c r="O5501">
        <v>-0.3177468</v>
      </c>
      <c r="P5501">
        <v>0.99970840000000005</v>
      </c>
      <c r="Q5501">
        <v>-1.216179E-2</v>
      </c>
      <c r="R5501">
        <v>2.0863900000000001E-2</v>
      </c>
      <c r="S5501">
        <v>2.9980470000000001</v>
      </c>
      <c r="T5501">
        <v>-0.2757038</v>
      </c>
      <c r="U5501">
        <v>-9.3994140000000004E-2</v>
      </c>
      <c r="V5501">
        <v>-0.3374009</v>
      </c>
      <c r="W5501">
        <v>-9.5464940000000009E-3</v>
      </c>
      <c r="X5501">
        <v>0.94131260000000005</v>
      </c>
      <c r="Y5501">
        <v>-0.2856822</v>
      </c>
      <c r="Z5501">
        <v>3.8492480000000003E-2</v>
      </c>
      <c r="AA5501">
        <v>0.95755109999999999</v>
      </c>
      <c r="AB5501">
        <v>32</v>
      </c>
      <c r="AC5501">
        <v>12.0869999999999</v>
      </c>
      <c r="AD5501">
        <v>-1.127633449578</v>
      </c>
      <c r="AE5501">
        <v>-0.33268000000000297</v>
      </c>
      <c r="AF5501">
        <v>-3.4954444135151199</v>
      </c>
      <c r="AG5501">
        <v>-1.127633449578</v>
      </c>
      <c r="AH5501">
        <v>11.466376699103501</v>
      </c>
      <c r="AI5501">
        <v>95.373932711542807</v>
      </c>
      <c r="AJ5501">
        <v>106.953474488739</v>
      </c>
      <c r="AK5501">
        <v>12.040244326853299</v>
      </c>
      <c r="AL5501">
        <v>90.546982147393194</v>
      </c>
      <c r="AM5501">
        <v>109.71953846528</v>
      </c>
      <c r="AN5501">
        <v>0.99999995689362997</v>
      </c>
    </row>
    <row r="5502" spans="1:40" x14ac:dyDescent="0.25">
      <c r="A5502" t="str">
        <f>"20190305135938105"</f>
        <v>20190305135938105</v>
      </c>
      <c r="B5502" t="str">
        <f>"1551765578094518"</f>
        <v>1551765578094518</v>
      </c>
      <c r="C5502" t="s">
        <v>40</v>
      </c>
      <c r="D5502">
        <v>4.6152790000000001</v>
      </c>
      <c r="E5502">
        <v>0.51488429999999996</v>
      </c>
      <c r="F5502" t="s">
        <v>42</v>
      </c>
      <c r="G5502">
        <v>-276.86880000000002</v>
      </c>
      <c r="H5502" s="1">
        <v>-2.5302060000000001E-6</v>
      </c>
      <c r="I5502">
        <v>-62.314050000000002</v>
      </c>
      <c r="J5502">
        <v>-288.55770000000001</v>
      </c>
      <c r="K5502">
        <v>1.1276269999999999</v>
      </c>
      <c r="L5502">
        <v>-62.079680000000003</v>
      </c>
      <c r="M5502">
        <v>0.95217499999999999</v>
      </c>
      <c r="N5502">
        <v>-1.8714999999999999E-2</v>
      </c>
      <c r="O5502">
        <v>-0.30497940000000001</v>
      </c>
      <c r="P5502">
        <v>0.99946729999999995</v>
      </c>
      <c r="Q5502">
        <v>-1.1460639999999999E-2</v>
      </c>
      <c r="R5502">
        <v>3.0551620000000002E-2</v>
      </c>
      <c r="S5502">
        <v>2.9989319999999999</v>
      </c>
      <c r="T5502">
        <v>-0.28476240000000003</v>
      </c>
      <c r="U5502">
        <v>-7.2570800000000005E-2</v>
      </c>
      <c r="V5502">
        <v>-0.33391110000000002</v>
      </c>
      <c r="W5502">
        <v>-8.6493219999999992E-3</v>
      </c>
      <c r="X5502">
        <v>0.94256490000000004</v>
      </c>
      <c r="Y5502">
        <v>-0.27955930000000001</v>
      </c>
      <c r="Z5502">
        <v>3.8602839999999999E-2</v>
      </c>
      <c r="AA5502">
        <v>0.95935210000000004</v>
      </c>
      <c r="AB5502">
        <v>31</v>
      </c>
      <c r="AC5502">
        <v>11.688899999999901</v>
      </c>
      <c r="AD5502">
        <v>-1.127629530206</v>
      </c>
      <c r="AE5502">
        <v>-0.234369999999998</v>
      </c>
      <c r="AF5502">
        <v>-3.3114920074371699</v>
      </c>
      <c r="AG5502">
        <v>-1.127629530206</v>
      </c>
      <c r="AH5502">
        <v>11.1000580195628</v>
      </c>
      <c r="AI5502">
        <v>95.560109185464697</v>
      </c>
      <c r="AJ5502">
        <v>106.611475943565</v>
      </c>
      <c r="AK5502">
        <v>11.638247965667899</v>
      </c>
      <c r="AL5502">
        <v>90.495575819455695</v>
      </c>
      <c r="AM5502">
        <v>109.507095104492</v>
      </c>
      <c r="AN5502">
        <v>1.0000000120931301</v>
      </c>
    </row>
    <row r="5503" spans="1:40" x14ac:dyDescent="0.25">
      <c r="A5503" t="str">
        <f>"20190305135938119"</f>
        <v>20190305135938119</v>
      </c>
      <c r="B5503" t="str">
        <f>"1551765578115014"</f>
        <v>1551765578115014</v>
      </c>
      <c r="C5503" t="s">
        <v>40</v>
      </c>
      <c r="D5503">
        <v>4.6101369999999999</v>
      </c>
      <c r="E5503">
        <v>0.51543339999999904</v>
      </c>
      <c r="F5503" t="s">
        <v>42</v>
      </c>
      <c r="G5503">
        <v>-276.82499999999999</v>
      </c>
      <c r="H5503" s="1">
        <v>-2.4990909999999999E-6</v>
      </c>
      <c r="I5503">
        <v>-62.258490000000002</v>
      </c>
      <c r="J5503">
        <v>-288.36880000000002</v>
      </c>
      <c r="K5503">
        <v>1.127613</v>
      </c>
      <c r="L5503">
        <v>-62.131070000000001</v>
      </c>
      <c r="M5503">
        <v>0.95623590000000003</v>
      </c>
      <c r="N5503">
        <v>-1.8724919999999999E-2</v>
      </c>
      <c r="O5503">
        <v>-0.2919967</v>
      </c>
      <c r="P5503">
        <v>0.99914590000000003</v>
      </c>
      <c r="Q5503">
        <v>-1.1846189999999999E-2</v>
      </c>
      <c r="R5503">
        <v>3.9583470000000003E-2</v>
      </c>
      <c r="S5503">
        <v>2.999695</v>
      </c>
      <c r="T5503">
        <v>-0.28830109999999998</v>
      </c>
      <c r="U5503">
        <v>-4.5715329999999998E-2</v>
      </c>
      <c r="V5503">
        <v>-0.32959060000000001</v>
      </c>
      <c r="W5503">
        <v>-8.7984469999999992E-3</v>
      </c>
      <c r="X5503">
        <v>0.94408289999999995</v>
      </c>
      <c r="Y5503">
        <v>-0.27509090000000003</v>
      </c>
      <c r="Z5503">
        <v>3.7919359999999999E-2</v>
      </c>
      <c r="AA5503">
        <v>0.96067009999999997</v>
      </c>
      <c r="AB5503">
        <v>31</v>
      </c>
      <c r="AC5503">
        <v>11.543799999999999</v>
      </c>
      <c r="AD5503">
        <v>-1.1276154990909999</v>
      </c>
      <c r="AE5503">
        <v>-0.127420000000007</v>
      </c>
      <c r="AF5503">
        <v>-3.2187692859881198</v>
      </c>
      <c r="AG5503">
        <v>-1.1276154990909999</v>
      </c>
      <c r="AH5503">
        <v>10.973057022666699</v>
      </c>
      <c r="AI5503">
        <v>95.631582585747495</v>
      </c>
      <c r="AJ5503">
        <v>106.348199878203</v>
      </c>
      <c r="AK5503">
        <v>11.4908647565319</v>
      </c>
      <c r="AL5503">
        <v>90.504120409352097</v>
      </c>
      <c r="AM5503">
        <v>109.244703728216</v>
      </c>
      <c r="AN5503">
        <v>0.99999994917518897</v>
      </c>
    </row>
    <row r="5504" spans="1:40" x14ac:dyDescent="0.25">
      <c r="A5504" t="str">
        <f>"20190305135938132"</f>
        <v>20190305135938132</v>
      </c>
      <c r="B5504" t="str">
        <f>"1551765578124774"</f>
        <v>1551765578124774</v>
      </c>
      <c r="C5504" t="s">
        <v>40</v>
      </c>
      <c r="D5504">
        <v>4.6341999999999999</v>
      </c>
      <c r="E5504">
        <v>0.51570579999999999</v>
      </c>
      <c r="F5504" t="s">
        <v>42</v>
      </c>
      <c r="G5504">
        <v>-277.01870000000002</v>
      </c>
      <c r="H5504" s="1">
        <v>-2.573684E-6</v>
      </c>
      <c r="I5504">
        <v>-62.220329999999997</v>
      </c>
      <c r="J5504">
        <v>-288.18880000000001</v>
      </c>
      <c r="K5504">
        <v>1.127605</v>
      </c>
      <c r="L5504">
        <v>-62.176419999999901</v>
      </c>
      <c r="M5504">
        <v>0.95993689999999998</v>
      </c>
      <c r="N5504">
        <v>-1.873435E-2</v>
      </c>
      <c r="O5504">
        <v>-0.27958889999999997</v>
      </c>
      <c r="P5504">
        <v>0.99874169999999995</v>
      </c>
      <c r="Q5504">
        <v>-1.2398599999999999E-2</v>
      </c>
      <c r="R5504">
        <v>4.8592249999999997E-2</v>
      </c>
      <c r="S5504">
        <v>2.9999690000000001</v>
      </c>
      <c r="T5504">
        <v>-0.298043</v>
      </c>
      <c r="U5504">
        <v>-2.3590090000000001E-2</v>
      </c>
      <c r="V5504">
        <v>-0.32585459999999999</v>
      </c>
      <c r="W5504">
        <v>-9.1459439999999996E-3</v>
      </c>
      <c r="X5504">
        <v>0.94537559999999998</v>
      </c>
      <c r="Y5504">
        <v>-0.26962950000000002</v>
      </c>
      <c r="Z5504">
        <v>3.8029260000000002E-2</v>
      </c>
      <c r="AA5504">
        <v>0.96221290000000004</v>
      </c>
      <c r="AB5504">
        <v>31</v>
      </c>
      <c r="AC5504">
        <v>11.1700999999999</v>
      </c>
      <c r="AD5504">
        <v>-1.1276075736840001</v>
      </c>
      <c r="AE5504">
        <v>-4.3910000000011003E-2</v>
      </c>
      <c r="AF5504">
        <v>-3.0503417984510701</v>
      </c>
      <c r="AG5504">
        <v>-1.1276075736840001</v>
      </c>
      <c r="AH5504">
        <v>10.628444355152601</v>
      </c>
      <c r="AI5504">
        <v>95.822704802363205</v>
      </c>
      <c r="AJ5504">
        <v>106.01337081539801</v>
      </c>
      <c r="AK5504">
        <v>11.1148510263603</v>
      </c>
      <c r="AL5504">
        <v>90.524031324607506</v>
      </c>
      <c r="AM5504">
        <v>109.018185748093</v>
      </c>
      <c r="AN5504">
        <v>0.999999946854084</v>
      </c>
    </row>
    <row r="5505" spans="1:40" x14ac:dyDescent="0.25">
      <c r="A5505" t="str">
        <f>"20190305135938144"</f>
        <v>20190305135938144</v>
      </c>
      <c r="B5505" t="str">
        <f>"1551765578134534"</f>
        <v>1551765578134534</v>
      </c>
      <c r="C5505" t="s">
        <v>40</v>
      </c>
      <c r="D5505">
        <v>4.6495089999999903</v>
      </c>
      <c r="E5505">
        <v>0.51596249999999999</v>
      </c>
      <c r="F5505" t="s">
        <v>42</v>
      </c>
      <c r="G5505">
        <v>-277.05360000000002</v>
      </c>
      <c r="H5505" s="1">
        <v>-2.5781150000000001E-6</v>
      </c>
      <c r="I5505">
        <v>-62.172800000000002</v>
      </c>
      <c r="J5505">
        <v>-288.03500000000003</v>
      </c>
      <c r="K5505">
        <v>1.1275949999999999</v>
      </c>
      <c r="L5505">
        <v>-62.213529999999999</v>
      </c>
      <c r="M5505">
        <v>0.96297250000000001</v>
      </c>
      <c r="N5505">
        <v>-1.8742370000000001E-2</v>
      </c>
      <c r="O5505">
        <v>-0.26894750000000001</v>
      </c>
      <c r="P5505">
        <v>0.99838159999999998</v>
      </c>
      <c r="Q5505">
        <v>-1.305561E-2</v>
      </c>
      <c r="R5505">
        <v>5.5350360000000001E-2</v>
      </c>
      <c r="S5505">
        <v>2.9999690000000001</v>
      </c>
      <c r="T5505">
        <v>-0.30379339999999999</v>
      </c>
      <c r="U5505">
        <v>9.765625E-4</v>
      </c>
      <c r="V5505">
        <v>-0.32176120000000002</v>
      </c>
      <c r="W5505">
        <v>-9.5828500000000004E-3</v>
      </c>
      <c r="X5505">
        <v>0.94677239999999996</v>
      </c>
      <c r="Y5505">
        <v>-0.26680700000000002</v>
      </c>
      <c r="Z5505">
        <v>3.7815179999999997E-2</v>
      </c>
      <c r="AA5505">
        <v>0.96300779999999997</v>
      </c>
      <c r="AB5505">
        <v>31</v>
      </c>
      <c r="AC5505">
        <v>10.981400000000001</v>
      </c>
      <c r="AD5505">
        <v>-1.1275975781150001</v>
      </c>
      <c r="AE5505">
        <v>4.0730000000003402E-2</v>
      </c>
      <c r="AF5505">
        <v>-2.9619382576656501</v>
      </c>
      <c r="AG5505">
        <v>-1.1275975781150001</v>
      </c>
      <c r="AH5505">
        <v>10.455449949825701</v>
      </c>
      <c r="AI5505">
        <v>95.924062570837606</v>
      </c>
      <c r="AJ5505">
        <v>105.81696582336799</v>
      </c>
      <c r="AK5505">
        <v>10.925245452332099</v>
      </c>
      <c r="AL5505">
        <v>90.549065242981797</v>
      </c>
      <c r="AM5505">
        <v>108.770361606474</v>
      </c>
      <c r="AN5505">
        <v>1.00000003912066</v>
      </c>
    </row>
    <row r="5506" spans="1:40" x14ac:dyDescent="0.25">
      <c r="A5506" t="str">
        <f>"20190305135938155"</f>
        <v>20190305135938155</v>
      </c>
      <c r="B5506" t="str">
        <f>"1551765578144294"</f>
        <v>1551765578144294</v>
      </c>
      <c r="C5506" t="s">
        <v>40</v>
      </c>
      <c r="D5506">
        <v>4.6456739999999996</v>
      </c>
      <c r="E5506">
        <v>0.51632259999999996</v>
      </c>
      <c r="F5506" t="s">
        <v>42</v>
      </c>
      <c r="G5506">
        <v>-277.09269999999998</v>
      </c>
      <c r="H5506" s="1">
        <v>-2.5884999999999999E-6</v>
      </c>
      <c r="I5506">
        <v>-62.144289999999998</v>
      </c>
      <c r="J5506">
        <v>-287.88799999999998</v>
      </c>
      <c r="K5506">
        <v>1.127586</v>
      </c>
      <c r="L5506">
        <v>-62.247590000000002</v>
      </c>
      <c r="M5506">
        <v>0.96576260000000003</v>
      </c>
      <c r="N5506">
        <v>-1.8749990000000001E-2</v>
      </c>
      <c r="O5506">
        <v>-0.2587487</v>
      </c>
      <c r="P5506">
        <v>0.99804689999999996</v>
      </c>
      <c r="Q5506">
        <v>-1.3991119999999999E-2</v>
      </c>
      <c r="R5506">
        <v>6.0884340000000002E-2</v>
      </c>
      <c r="S5506">
        <v>2.9997560000000001</v>
      </c>
      <c r="T5506">
        <v>-0.30912220000000001</v>
      </c>
      <c r="U5506">
        <v>1.8981930000000001E-2</v>
      </c>
      <c r="V5506">
        <v>-0.3169555</v>
      </c>
      <c r="W5506">
        <v>-1.026381E-2</v>
      </c>
      <c r="X5506">
        <v>0.94838489999999998</v>
      </c>
      <c r="Y5506">
        <v>-0.26236789999999999</v>
      </c>
      <c r="Z5506">
        <v>3.7435309999999999E-2</v>
      </c>
      <c r="AA5506">
        <v>0.96424149999999997</v>
      </c>
      <c r="AB5506">
        <v>31</v>
      </c>
      <c r="AC5506">
        <v>10.7952999999999</v>
      </c>
      <c r="AD5506">
        <v>-1.1275885885000001</v>
      </c>
      <c r="AE5506">
        <v>0.10329999999999701</v>
      </c>
      <c r="AF5506">
        <v>-2.8623164786851998</v>
      </c>
      <c r="AG5506">
        <v>-1.1275885885000001</v>
      </c>
      <c r="AH5506">
        <v>10.2885577132894</v>
      </c>
      <c r="AI5506">
        <v>96.027325981981406</v>
      </c>
      <c r="AJ5506">
        <v>105.546772503555</v>
      </c>
      <c r="AK5506">
        <v>10.738655943308499</v>
      </c>
      <c r="AL5506">
        <v>90.588083304703204</v>
      </c>
      <c r="AM5506">
        <v>108.479914105045</v>
      </c>
      <c r="AN5506">
        <v>1.00000002666198</v>
      </c>
    </row>
    <row r="5507" spans="1:40" x14ac:dyDescent="0.25">
      <c r="A5507" t="str">
        <f>"20190305135938165"</f>
        <v>20190305135938165</v>
      </c>
      <c r="B5507" t="str">
        <f>"1551765578155031"</f>
        <v>1551765578155031</v>
      </c>
      <c r="C5507" t="s">
        <v>40</v>
      </c>
      <c r="D5507">
        <v>4.6543559999999999</v>
      </c>
      <c r="E5507">
        <v>0.51656440000000003</v>
      </c>
      <c r="F5507" t="s">
        <v>42</v>
      </c>
      <c r="G5507">
        <v>-277.16919999999999</v>
      </c>
      <c r="H5507" s="1">
        <v>-2.6184429999999999E-6</v>
      </c>
      <c r="I5507">
        <v>-62.131340000000002</v>
      </c>
      <c r="J5507">
        <v>-287.75080000000003</v>
      </c>
      <c r="K5507">
        <v>1.12758</v>
      </c>
      <c r="L5507">
        <v>-62.27731</v>
      </c>
      <c r="M5507">
        <v>0.96827079999999999</v>
      </c>
      <c r="N5507">
        <v>-1.875694E-2</v>
      </c>
      <c r="O5507">
        <v>-0.24919830000000001</v>
      </c>
      <c r="P5507">
        <v>0.99775060000000004</v>
      </c>
      <c r="Q5507">
        <v>-1.506539E-2</v>
      </c>
      <c r="R5507">
        <v>6.53194E-2</v>
      </c>
      <c r="S5507">
        <v>2.9994510000000001</v>
      </c>
      <c r="T5507">
        <v>-0.3155328</v>
      </c>
      <c r="U5507">
        <v>3.2531740000000003E-2</v>
      </c>
      <c r="V5507">
        <v>-0.31175520000000001</v>
      </c>
      <c r="W5507">
        <v>-1.1065490000000001E-2</v>
      </c>
      <c r="X5507">
        <v>0.950098</v>
      </c>
      <c r="Y5507">
        <v>-0.25715349999999998</v>
      </c>
      <c r="Z5507">
        <v>3.714899E-2</v>
      </c>
      <c r="AA5507">
        <v>0.96565630000000002</v>
      </c>
      <c r="AB5507">
        <v>31</v>
      </c>
      <c r="AC5507">
        <v>10.5816</v>
      </c>
      <c r="AD5507">
        <v>-1.127582618443</v>
      </c>
      <c r="AE5507">
        <v>0.14596999999999799</v>
      </c>
      <c r="AF5507">
        <v>-2.7475511298021602</v>
      </c>
      <c r="AG5507">
        <v>-1.127582618443</v>
      </c>
      <c r="AH5507">
        <v>10.0966480217583</v>
      </c>
      <c r="AI5507">
        <v>96.150472403516503</v>
      </c>
      <c r="AJ5507">
        <v>105.222999260905</v>
      </c>
      <c r="AK5507">
        <v>10.524389818301501</v>
      </c>
      <c r="AL5507">
        <v>90.634018827310399</v>
      </c>
      <c r="AM5507">
        <v>108.166190295346</v>
      </c>
      <c r="AN5507">
        <v>0.99999997969998899</v>
      </c>
    </row>
    <row r="5508" spans="1:40" x14ac:dyDescent="0.25">
      <c r="A5508" t="str">
        <f>"20190305135938175"</f>
        <v>20190305135938175</v>
      </c>
      <c r="B5508" t="str">
        <f>"1551765578164790"</f>
        <v>1551765578164790</v>
      </c>
      <c r="C5508" t="s">
        <v>40</v>
      </c>
      <c r="D5508">
        <v>4.62277</v>
      </c>
      <c r="E5508">
        <v>0.51699529999999905</v>
      </c>
      <c r="F5508" t="s">
        <v>42</v>
      </c>
      <c r="G5508">
        <v>-277.25580000000002</v>
      </c>
      <c r="H5508" s="1">
        <v>-2.6540080000000001E-6</v>
      </c>
      <c r="I5508">
        <v>-62.12406</v>
      </c>
      <c r="J5508">
        <v>-287.60980000000001</v>
      </c>
      <c r="K5508">
        <v>1.1275790000000001</v>
      </c>
      <c r="L5508">
        <v>-62.307070000000003</v>
      </c>
      <c r="M5508">
        <v>0.97074930000000004</v>
      </c>
      <c r="N5508">
        <v>-1.8764119999999999E-2</v>
      </c>
      <c r="O5508">
        <v>-0.23936160000000001</v>
      </c>
      <c r="P5508">
        <v>0.99742050000000004</v>
      </c>
      <c r="Q5508">
        <v>-1.6387470000000001E-2</v>
      </c>
      <c r="R5508">
        <v>6.9886399999999904E-2</v>
      </c>
      <c r="S5508">
        <v>2.9990230000000002</v>
      </c>
      <c r="T5508">
        <v>-0.32221699999999998</v>
      </c>
      <c r="U5508">
        <v>4.379272E-2</v>
      </c>
      <c r="V5508">
        <v>-0.30640479999999998</v>
      </c>
      <c r="W5508">
        <v>-1.21082E-2</v>
      </c>
      <c r="X5508">
        <v>0.95182429999999996</v>
      </c>
      <c r="Y5508">
        <v>-0.25094050000000001</v>
      </c>
      <c r="Z5508">
        <v>3.6755250000000003E-2</v>
      </c>
      <c r="AA5508">
        <v>0.96730450000000001</v>
      </c>
      <c r="AB5508">
        <v>31</v>
      </c>
      <c r="AC5508">
        <v>10.3539999999999</v>
      </c>
      <c r="AD5508">
        <v>-1.1275816540079999</v>
      </c>
      <c r="AE5508">
        <v>0.18300999999999501</v>
      </c>
      <c r="AF5508">
        <v>-2.6253476390672001</v>
      </c>
      <c r="AG5508">
        <v>-1.1275816540079999</v>
      </c>
      <c r="AH5508">
        <v>9.8918146165609908</v>
      </c>
      <c r="AI5508">
        <v>96.287316218010801</v>
      </c>
      <c r="AJ5508">
        <v>104.863964297077</v>
      </c>
      <c r="AK5508">
        <v>10.2962074095669</v>
      </c>
      <c r="AL5508">
        <v>90.693765707407707</v>
      </c>
      <c r="AM5508">
        <v>107.84405202809199</v>
      </c>
      <c r="AN5508">
        <v>1.00000000402038</v>
      </c>
    </row>
    <row r="5509" spans="1:40" x14ac:dyDescent="0.25">
      <c r="A5509" t="str">
        <f>"20190305135938186"</f>
        <v>20190305135938186</v>
      </c>
      <c r="B5509" t="str">
        <f>"1551765578174550"</f>
        <v>1551765578174550</v>
      </c>
      <c r="C5509" t="s">
        <v>40</v>
      </c>
      <c r="D5509">
        <v>4.6395220000000004</v>
      </c>
      <c r="E5509">
        <v>0.51738919999999999</v>
      </c>
      <c r="F5509" t="s">
        <v>42</v>
      </c>
      <c r="G5509">
        <v>-277.17099999999999</v>
      </c>
      <c r="H5509" s="1">
        <v>-2.6160489999999999E-6</v>
      </c>
      <c r="I5509">
        <v>-62.117010000000001</v>
      </c>
      <c r="J5509">
        <v>-287.47949999999997</v>
      </c>
      <c r="K5509">
        <v>1.1275759999999999</v>
      </c>
      <c r="L5509">
        <v>-62.3324</v>
      </c>
      <c r="M5509">
        <v>0.97295189999999998</v>
      </c>
      <c r="N5509">
        <v>-1.8770769999999999E-2</v>
      </c>
      <c r="O5509">
        <v>-0.23024339999999999</v>
      </c>
      <c r="P5509">
        <v>0.99715880000000001</v>
      </c>
      <c r="Q5509">
        <v>-1.644091E-2</v>
      </c>
      <c r="R5509">
        <v>7.3513620000000002E-2</v>
      </c>
      <c r="S5509">
        <v>2.9986269999999999</v>
      </c>
      <c r="T5509">
        <v>-0.32390560000000002</v>
      </c>
      <c r="U5509">
        <v>5.4595949999999997E-2</v>
      </c>
      <c r="V5509">
        <v>-0.30093700000000001</v>
      </c>
      <c r="W5509">
        <v>-1.187625E-2</v>
      </c>
      <c r="X5509">
        <v>0.95357009999999998</v>
      </c>
      <c r="Y5509">
        <v>-0.2453891</v>
      </c>
      <c r="Z5509">
        <v>3.5826209999999997E-2</v>
      </c>
      <c r="AA5509">
        <v>0.96876249999999997</v>
      </c>
      <c r="AB5509">
        <v>31</v>
      </c>
      <c r="AC5509">
        <v>10.308499999999899</v>
      </c>
      <c r="AD5509">
        <v>-1.127578616049</v>
      </c>
      <c r="AE5509">
        <v>0.215389999999999</v>
      </c>
      <c r="AF5509">
        <v>-2.5529516431872898</v>
      </c>
      <c r="AG5509">
        <v>-1.127578616049</v>
      </c>
      <c r="AH5509">
        <v>9.86387532309943</v>
      </c>
      <c r="AI5509">
        <v>96.315077808350395</v>
      </c>
      <c r="AJ5509">
        <v>104.51077978039901</v>
      </c>
      <c r="AK5509">
        <v>10.2510990638796</v>
      </c>
      <c r="AL5509">
        <v>90.680474978343199</v>
      </c>
      <c r="AM5509">
        <v>107.515164895955</v>
      </c>
      <c r="AN5509">
        <v>1.0000000294485301</v>
      </c>
    </row>
    <row r="5510" spans="1:40" x14ac:dyDescent="0.25">
      <c r="A5510" t="str">
        <f>"20190305135938195"</f>
        <v>20190305135938195</v>
      </c>
      <c r="B5510" t="str">
        <f>"1551765578184310"</f>
        <v>1551765578184310</v>
      </c>
      <c r="C5510" t="s">
        <v>40</v>
      </c>
      <c r="D5510">
        <v>4.660069</v>
      </c>
      <c r="E5510">
        <v>0.51777019999999996</v>
      </c>
      <c r="F5510" t="s">
        <v>42</v>
      </c>
      <c r="G5510">
        <v>-277.16079999999999</v>
      </c>
      <c r="H5510" s="1">
        <v>-2.6116999999999999E-6</v>
      </c>
      <c r="I5510">
        <v>-62.11721</v>
      </c>
      <c r="J5510">
        <v>-287.34879999999998</v>
      </c>
      <c r="K5510">
        <v>1.127578</v>
      </c>
      <c r="L5510">
        <v>-62.357329999999997</v>
      </c>
      <c r="M5510">
        <v>0.97507630000000001</v>
      </c>
      <c r="N5510">
        <v>-1.877755E-2</v>
      </c>
      <c r="O5510">
        <v>-0.22107389999999999</v>
      </c>
      <c r="P5510">
        <v>0.99689479999999997</v>
      </c>
      <c r="Q5510">
        <v>-1.5377109999999999E-2</v>
      </c>
      <c r="R5510">
        <v>7.722917E-2</v>
      </c>
      <c r="S5510">
        <v>2.9985050000000002</v>
      </c>
      <c r="T5510">
        <v>-0.32766009999999901</v>
      </c>
      <c r="U5510">
        <v>6.2530520000000006E-2</v>
      </c>
      <c r="V5510">
        <v>-0.29556759999999999</v>
      </c>
      <c r="W5510">
        <v>-1.053112E-2</v>
      </c>
      <c r="X5510">
        <v>0.9552638</v>
      </c>
      <c r="Y5510">
        <v>-0.23884569999999999</v>
      </c>
      <c r="Z5510">
        <v>3.5041879999999997E-2</v>
      </c>
      <c r="AA5510">
        <v>0.97042510000000004</v>
      </c>
      <c r="AB5510">
        <v>31</v>
      </c>
      <c r="AC5510">
        <v>10.187999999999899</v>
      </c>
      <c r="AD5510">
        <v>-1.1275806117</v>
      </c>
      <c r="AE5510">
        <v>0.240120000000004</v>
      </c>
      <c r="AF5510">
        <v>-2.4567968608548498</v>
      </c>
      <c r="AG5510">
        <v>-1.1275806117</v>
      </c>
      <c r="AH5510">
        <v>9.7632075336427793</v>
      </c>
      <c r="AI5510">
        <v>96.390563771199993</v>
      </c>
      <c r="AJ5510">
        <v>104.124554931224</v>
      </c>
      <c r="AK5510">
        <v>10.1305236881598</v>
      </c>
      <c r="AL5510">
        <v>90.603399871648804</v>
      </c>
      <c r="AM5510">
        <v>107.192558999928</v>
      </c>
      <c r="AN5510">
        <v>1.0000000191243199</v>
      </c>
    </row>
    <row r="5511" spans="1:40" x14ac:dyDescent="0.25">
      <c r="A5511" t="str">
        <f>"20190305135938206"</f>
        <v>20190305135938206</v>
      </c>
      <c r="B5511" t="str">
        <f>"1551765578195046"</f>
        <v>1551765578195046</v>
      </c>
      <c r="C5511" t="s">
        <v>40</v>
      </c>
      <c r="D5511">
        <v>4.6629050000000003</v>
      </c>
      <c r="E5511">
        <v>0.51817139999999995</v>
      </c>
      <c r="F5511" t="s">
        <v>42</v>
      </c>
      <c r="G5511">
        <v>-276.84660000000002</v>
      </c>
      <c r="H5511" s="1">
        <v>-2.4748150000000002E-6</v>
      </c>
      <c r="I5511">
        <v>-62.107779999999998</v>
      </c>
      <c r="J5511">
        <v>-287.21280000000002</v>
      </c>
      <c r="K5511">
        <v>1.1275839999999999</v>
      </c>
      <c r="L5511">
        <v>-62.381070000000001</v>
      </c>
      <c r="M5511">
        <v>0.97719630000000002</v>
      </c>
      <c r="N5511">
        <v>-1.8784289999999999E-2</v>
      </c>
      <c r="O5511">
        <v>-0.21150540000000001</v>
      </c>
      <c r="P5511">
        <v>0.99656299999999998</v>
      </c>
      <c r="Q5511">
        <v>-1.3534610000000001E-2</v>
      </c>
      <c r="R5511">
        <v>8.1727670000000002E-2</v>
      </c>
      <c r="S5511">
        <v>2.99884</v>
      </c>
      <c r="T5511">
        <v>-0.32197429999999999</v>
      </c>
      <c r="U5511">
        <v>7.1258539999999995E-2</v>
      </c>
      <c r="V5511">
        <v>-0.29060580000000003</v>
      </c>
      <c r="W5511">
        <v>-8.4273569999999999E-3</v>
      </c>
      <c r="X5511">
        <v>0.95680580000000004</v>
      </c>
      <c r="Y5511">
        <v>-0.2323181</v>
      </c>
      <c r="Z5511">
        <v>3.3164869999999999E-2</v>
      </c>
      <c r="AA5511">
        <v>0.97207429999999995</v>
      </c>
      <c r="AB5511">
        <v>31</v>
      </c>
      <c r="AC5511">
        <v>10.3661999999999</v>
      </c>
      <c r="AD5511">
        <v>-1.127586474815</v>
      </c>
      <c r="AE5511">
        <v>0.27328999999998799</v>
      </c>
      <c r="AF5511">
        <v>-2.4312525484068801</v>
      </c>
      <c r="AG5511">
        <v>-1.127586474815</v>
      </c>
      <c r="AH5511">
        <v>9.9560684046504306</v>
      </c>
      <c r="AI5511">
        <v>96.278612428664005</v>
      </c>
      <c r="AJ5511">
        <v>103.722946496619</v>
      </c>
      <c r="AK5511">
        <v>10.310467413769301</v>
      </c>
      <c r="AL5511">
        <v>90.482857682328302</v>
      </c>
      <c r="AM5511">
        <v>106.894845038407</v>
      </c>
      <c r="AN5511">
        <v>1.00000004512664</v>
      </c>
    </row>
    <row r="5512" spans="1:40" x14ac:dyDescent="0.25">
      <c r="A5512" t="str">
        <f>"20190305135938217"</f>
        <v>20190305135938217</v>
      </c>
      <c r="B5512" t="str">
        <f>"1551765578204806"</f>
        <v>1551765578204806</v>
      </c>
      <c r="C5512" t="s">
        <v>40</v>
      </c>
      <c r="D5512">
        <v>4.6707380000000001</v>
      </c>
      <c r="E5512">
        <v>0.51857140000000002</v>
      </c>
      <c r="F5512" t="s">
        <v>42</v>
      </c>
      <c r="G5512">
        <v>-276.4325</v>
      </c>
      <c r="H5512" s="1">
        <v>-2.2926470000000001E-6</v>
      </c>
      <c r="I5512">
        <v>-62.087339999999998</v>
      </c>
      <c r="J5512">
        <v>-287.06130000000002</v>
      </c>
      <c r="K5512">
        <v>1.127589</v>
      </c>
      <c r="L5512">
        <v>-62.4069199999999</v>
      </c>
      <c r="M5512">
        <v>0.97944600000000004</v>
      </c>
      <c r="N5512">
        <v>-1.8791809999999999E-2</v>
      </c>
      <c r="O5512">
        <v>-0.20082920000000001</v>
      </c>
      <c r="P5512">
        <v>0.99609289999999995</v>
      </c>
      <c r="Q5512">
        <v>-1.1498410000000001E-2</v>
      </c>
      <c r="R5512">
        <v>8.7559200000000004E-2</v>
      </c>
      <c r="S5512">
        <v>2.99939</v>
      </c>
      <c r="T5512">
        <v>-0.31372850000000002</v>
      </c>
      <c r="U5512">
        <v>8.1726069999999998E-2</v>
      </c>
      <c r="V5512">
        <v>-0.28586309999999998</v>
      </c>
      <c r="W5512">
        <v>-6.1401800000000003E-3</v>
      </c>
      <c r="X5512">
        <v>0.95825079999999996</v>
      </c>
      <c r="Y5512">
        <v>-0.2252961</v>
      </c>
      <c r="Z5512">
        <v>3.0942130000000002E-2</v>
      </c>
      <c r="AA5512">
        <v>0.97379890000000002</v>
      </c>
      <c r="AB5512">
        <v>31</v>
      </c>
      <c r="AC5512">
        <v>10.6288</v>
      </c>
      <c r="AD5512">
        <v>-1.127591292647</v>
      </c>
      <c r="AE5512">
        <v>0.31957999999998699</v>
      </c>
      <c r="AF5512">
        <v>-2.42079627755317</v>
      </c>
      <c r="AG5512">
        <v>-1.127591292647</v>
      </c>
      <c r="AH5512">
        <v>10.232917419589199</v>
      </c>
      <c r="AI5512">
        <v>96.120595700356105</v>
      </c>
      <c r="AJ5512">
        <v>103.30974146986399</v>
      </c>
      <c r="AK5512">
        <v>10.575647292568</v>
      </c>
      <c r="AL5512">
        <v>90.351808608448295</v>
      </c>
      <c r="AM5512">
        <v>106.61076924960101</v>
      </c>
      <c r="AN5512">
        <v>1.00000000472634</v>
      </c>
    </row>
    <row r="5513" spans="1:40" x14ac:dyDescent="0.25">
      <c r="A5513" t="str">
        <f>"20190305135938229"</f>
        <v>20190305135938229</v>
      </c>
      <c r="B5513" t="str">
        <f>"1551765578224331"</f>
        <v>1551765578224331</v>
      </c>
      <c r="C5513" t="s">
        <v>40</v>
      </c>
      <c r="D5513">
        <v>4.6659670000000002</v>
      </c>
      <c r="E5513">
        <v>0.51895800000000003</v>
      </c>
      <c r="F5513" t="s">
        <v>42</v>
      </c>
      <c r="G5513">
        <v>-275.98559999999998</v>
      </c>
      <c r="H5513" s="1">
        <v>-2.0930480000000002E-6</v>
      </c>
      <c r="I5513">
        <v>-62.051879999999997</v>
      </c>
      <c r="J5513">
        <v>-286.90809999999999</v>
      </c>
      <c r="K5513">
        <v>1.127589</v>
      </c>
      <c r="L5513">
        <v>-62.430079999999997</v>
      </c>
      <c r="M5513">
        <v>0.98160579999999997</v>
      </c>
      <c r="N5513">
        <v>-1.87983E-2</v>
      </c>
      <c r="O5513">
        <v>-0.18999199999999999</v>
      </c>
      <c r="P5513">
        <v>0.99557870000000004</v>
      </c>
      <c r="Q5513">
        <v>-9.9342579999999996E-3</v>
      </c>
      <c r="R5513">
        <v>9.3404989999999993E-2</v>
      </c>
      <c r="S5513">
        <v>2.9997859999999998</v>
      </c>
      <c r="T5513">
        <v>-0.305401599999999</v>
      </c>
      <c r="U5513">
        <v>9.6160889999999999E-2</v>
      </c>
      <c r="V5513">
        <v>-0.28097240000000001</v>
      </c>
      <c r="W5513">
        <v>-4.3200829999999997E-3</v>
      </c>
      <c r="X5513">
        <v>0.95970610000000001</v>
      </c>
      <c r="Y5513">
        <v>-0.21939610000000001</v>
      </c>
      <c r="Z5513">
        <v>2.8842159999999999E-2</v>
      </c>
      <c r="AA5513">
        <v>0.97520949999999995</v>
      </c>
      <c r="AB5513">
        <v>31</v>
      </c>
      <c r="AC5513">
        <v>10.922499999999999</v>
      </c>
      <c r="AD5513">
        <v>-1.127591093048</v>
      </c>
      <c r="AE5513">
        <v>0.37819999999999898</v>
      </c>
      <c r="AF5513">
        <v>-2.4210908534783599</v>
      </c>
      <c r="AG5513">
        <v>-1.127591093048</v>
      </c>
      <c r="AH5513">
        <v>10.5394246517433</v>
      </c>
      <c r="AI5513">
        <v>95.952836729100994</v>
      </c>
      <c r="AJ5513">
        <v>102.937393679029</v>
      </c>
      <c r="AK5513">
        <v>10.872562466304499</v>
      </c>
      <c r="AL5513">
        <v>90.247523299033702</v>
      </c>
      <c r="AM5513">
        <v>106.318406086503</v>
      </c>
      <c r="AN5513">
        <v>0.99999997552804798</v>
      </c>
    </row>
    <row r="5514" spans="1:40" x14ac:dyDescent="0.25">
      <c r="A5514" t="str">
        <f>"20190305135938241"</f>
        <v>20190305135938241</v>
      </c>
      <c r="B5514" t="str">
        <f>"1551765578235062"</f>
        <v>1551765578235062</v>
      </c>
      <c r="C5514" t="s">
        <v>40</v>
      </c>
      <c r="D5514">
        <v>4.6928489999999998</v>
      </c>
      <c r="E5514">
        <v>0.5317963</v>
      </c>
      <c r="F5514" t="s">
        <v>42</v>
      </c>
      <c r="G5514">
        <v>-275.53190000000001</v>
      </c>
      <c r="H5514" s="1">
        <v>-1.8891630000000001E-6</v>
      </c>
      <c r="I5514">
        <v>-62.010339999999999</v>
      </c>
      <c r="J5514">
        <v>-286.75009999999997</v>
      </c>
      <c r="K5514">
        <v>1.12758799999999</v>
      </c>
      <c r="L5514">
        <v>-62.453060000000001</v>
      </c>
      <c r="M5514">
        <v>0.98370789999999997</v>
      </c>
      <c r="N5514">
        <v>-1.8804649999999999E-2</v>
      </c>
      <c r="O5514">
        <v>-0.17878829999999901</v>
      </c>
      <c r="P5514">
        <v>0.99498900000000001</v>
      </c>
      <c r="Q5514">
        <v>-9.4680770000000001E-3</v>
      </c>
      <c r="R5514">
        <v>9.9536760000000002E-2</v>
      </c>
      <c r="S5514">
        <v>2.9999389999999999</v>
      </c>
      <c r="T5514">
        <v>-0.29734890000000003</v>
      </c>
      <c r="U5514">
        <v>0.1106873</v>
      </c>
      <c r="V5514">
        <v>-0.27596759999999998</v>
      </c>
      <c r="W5514">
        <v>-3.5943720000000002E-3</v>
      </c>
      <c r="X5514">
        <v>0.96116020000000002</v>
      </c>
      <c r="Y5514">
        <v>-0.21316450000000001</v>
      </c>
      <c r="Z5514">
        <v>2.6794869999999998E-2</v>
      </c>
      <c r="AA5514">
        <v>0.97664879999999998</v>
      </c>
      <c r="AB5514">
        <v>31</v>
      </c>
      <c r="AC5514">
        <v>11.2181999999999</v>
      </c>
      <c r="AD5514">
        <v>-1.1275898891629901</v>
      </c>
      <c r="AE5514">
        <v>0.442720000000001</v>
      </c>
      <c r="AF5514">
        <v>-2.4172379810120801</v>
      </c>
      <c r="AG5514">
        <v>-1.1275898891629901</v>
      </c>
      <c r="AH5514">
        <v>10.8487797019633</v>
      </c>
      <c r="AI5514">
        <v>95.7927975102277</v>
      </c>
      <c r="AJ5514">
        <v>102.561003640842</v>
      </c>
      <c r="AK5514">
        <v>11.1718628454131</v>
      </c>
      <c r="AL5514">
        <v>90.205942792567399</v>
      </c>
      <c r="AM5514">
        <v>106.01979164671999</v>
      </c>
      <c r="AN5514">
        <v>0.99999998291193704</v>
      </c>
    </row>
    <row r="5515" spans="1:40" x14ac:dyDescent="0.25">
      <c r="A5515" t="str">
        <f>"20190305135938251"</f>
        <v>20190305135938251</v>
      </c>
      <c r="B5515" t="str">
        <f>"1551765578244822"</f>
        <v>1551765578244822</v>
      </c>
      <c r="C5515" t="s">
        <v>40</v>
      </c>
      <c r="D5515">
        <v>4.6935510000000003</v>
      </c>
      <c r="E5515">
        <v>0.53192459999999997</v>
      </c>
      <c r="F5515" t="s">
        <v>42</v>
      </c>
      <c r="G5515">
        <v>-269.96510000000001</v>
      </c>
      <c r="H5515" s="1">
        <v>4.4209299999999999E-7</v>
      </c>
      <c r="I5515">
        <v>-62.266030000000001</v>
      </c>
      <c r="J5515">
        <v>-286.60950000000003</v>
      </c>
      <c r="K5515">
        <v>1.12758</v>
      </c>
      <c r="L5515">
        <v>-62.471369999999901</v>
      </c>
      <c r="M5515">
        <v>0.98547300000000004</v>
      </c>
      <c r="N5515">
        <v>-1.880919E-2</v>
      </c>
      <c r="O5515">
        <v>-0.16878779999999999</v>
      </c>
      <c r="P5515">
        <v>0.994529</v>
      </c>
      <c r="Q5515">
        <v>-9.3922299999999997E-3</v>
      </c>
      <c r="R5515">
        <v>0.1040389</v>
      </c>
      <c r="S5515">
        <v>3.0098569999999998</v>
      </c>
      <c r="T5515">
        <v>-0.20219809999999999</v>
      </c>
      <c r="U5515">
        <v>3.3538819999999997E-2</v>
      </c>
      <c r="V5515">
        <v>-0.270561</v>
      </c>
      <c r="W5515">
        <v>-3.2425399999999999E-3</v>
      </c>
      <c r="X5515">
        <v>0.96269740000000004</v>
      </c>
      <c r="Y5515">
        <v>-0.17907879999999901</v>
      </c>
      <c r="Z5515">
        <v>1.5799379999999998E-2</v>
      </c>
      <c r="AA5515">
        <v>0.98370780000000002</v>
      </c>
      <c r="AB5515">
        <v>31</v>
      </c>
      <c r="AC5515">
        <v>16.644400000000001</v>
      </c>
      <c r="AD5515">
        <v>-1.127579557907</v>
      </c>
      <c r="AE5515">
        <v>0.20533999999998501</v>
      </c>
      <c r="AF5515">
        <v>-2.9985020660244999</v>
      </c>
      <c r="AG5515">
        <v>-1.127579557907</v>
      </c>
      <c r="AH5515">
        <v>16.296064747203001</v>
      </c>
      <c r="AI5515">
        <v>93.893031157504097</v>
      </c>
      <c r="AJ5515">
        <v>100.42589746515699</v>
      </c>
      <c r="AK5515">
        <v>16.607955218641401</v>
      </c>
      <c r="AL5515">
        <v>90.185784177560706</v>
      </c>
      <c r="AM5515">
        <v>105.697736565664</v>
      </c>
      <c r="AN5515">
        <v>1.0000000263766999</v>
      </c>
    </row>
    <row r="5516" spans="1:40" x14ac:dyDescent="0.25">
      <c r="A5516" t="str">
        <f>"20190305135938263"</f>
        <v>20190305135938263</v>
      </c>
      <c r="B5516" t="str">
        <f>"1551765578254582"</f>
        <v>1551765578254582</v>
      </c>
      <c r="C5516" t="s">
        <v>40</v>
      </c>
      <c r="D5516">
        <v>4.6782329999999996</v>
      </c>
      <c r="E5516">
        <v>0.53237900000000005</v>
      </c>
      <c r="F5516" t="s">
        <v>92</v>
      </c>
      <c r="G5516">
        <v>-269.6651</v>
      </c>
      <c r="H5516" s="1">
        <v>-3.5015369999999998E-6</v>
      </c>
      <c r="I5516">
        <v>-62.210329999999999</v>
      </c>
      <c r="J5516">
        <v>-286.46140000000003</v>
      </c>
      <c r="K5516">
        <v>1.1275729999999999</v>
      </c>
      <c r="L5516">
        <v>-62.489440000000002</v>
      </c>
      <c r="M5516">
        <v>0.98722220000000005</v>
      </c>
      <c r="N5516">
        <v>-1.8813030000000001E-2</v>
      </c>
      <c r="O5516">
        <v>-0.15823579999999901</v>
      </c>
      <c r="P5516">
        <v>0.99405520000000003</v>
      </c>
      <c r="Q5516">
        <v>-9.9396129999999999E-3</v>
      </c>
      <c r="R5516">
        <v>0.1084244</v>
      </c>
      <c r="S5516">
        <v>3.0097659999999999</v>
      </c>
      <c r="T5516">
        <v>-0.20028869999999999</v>
      </c>
      <c r="U5516">
        <v>4.6356199999999903E-2</v>
      </c>
      <c r="V5516">
        <v>-0.26448539999999998</v>
      </c>
      <c r="W5516">
        <v>-3.482958E-3</v>
      </c>
      <c r="X5516">
        <v>0.9643834</v>
      </c>
      <c r="Y5516">
        <v>-0.1727832</v>
      </c>
      <c r="Z5516">
        <v>1.48746E-2</v>
      </c>
      <c r="AA5516">
        <v>0.98484749999999999</v>
      </c>
      <c r="AB5516">
        <v>31</v>
      </c>
      <c r="AC5516">
        <v>16.796299999999999</v>
      </c>
      <c r="AD5516">
        <v>-1.1275765015369901</v>
      </c>
      <c r="AE5516">
        <v>0.27910999999999497</v>
      </c>
      <c r="AF5516">
        <v>-2.9206793602171399</v>
      </c>
      <c r="AG5516">
        <v>-1.1275765015369901</v>
      </c>
      <c r="AH5516">
        <v>16.466251950719599</v>
      </c>
      <c r="AI5516">
        <v>93.857363450793898</v>
      </c>
      <c r="AJ5516">
        <v>100.058151501438</v>
      </c>
      <c r="AK5516">
        <v>16.761242495608499</v>
      </c>
      <c r="AL5516">
        <v>90.1995591970975</v>
      </c>
      <c r="AM5516">
        <v>105.336472743076</v>
      </c>
      <c r="AN5516">
        <v>1.0000000000025699</v>
      </c>
    </row>
    <row r="5517" spans="1:40" x14ac:dyDescent="0.25">
      <c r="A5517" t="str">
        <f>"20190305135938274"</f>
        <v>20190305135938274</v>
      </c>
      <c r="B5517" t="str">
        <f>"1551765578264342"</f>
        <v>1551765578264342</v>
      </c>
      <c r="C5517" t="s">
        <v>40</v>
      </c>
      <c r="D5517">
        <v>4.6983889999999997</v>
      </c>
      <c r="E5517">
        <v>0.532721</v>
      </c>
      <c r="F5517" t="s">
        <v>42</v>
      </c>
      <c r="G5517">
        <v>-269.75400000000002</v>
      </c>
      <c r="H5517" s="1">
        <v>-3.525817E-6</v>
      </c>
      <c r="I5517">
        <v>-62.176650000000002</v>
      </c>
      <c r="J5517">
        <v>-286.30630000000002</v>
      </c>
      <c r="K5517">
        <v>1.1275649999999999</v>
      </c>
      <c r="L5517">
        <v>-62.506529999999998</v>
      </c>
      <c r="M5517">
        <v>0.98893489999999995</v>
      </c>
      <c r="N5517">
        <v>-1.8815579999999998E-2</v>
      </c>
      <c r="O5517">
        <v>-0.14715220000000001</v>
      </c>
      <c r="P5517">
        <v>0.99352870000000004</v>
      </c>
      <c r="Q5517">
        <v>-1.0133939999999999E-2</v>
      </c>
      <c r="R5517">
        <v>0.11312899999999999</v>
      </c>
      <c r="S5517">
        <v>3.009735</v>
      </c>
      <c r="T5517">
        <v>-0.203126</v>
      </c>
      <c r="U5517">
        <v>5.6335450000000002E-2</v>
      </c>
      <c r="V5517">
        <v>-0.25822640000000002</v>
      </c>
      <c r="W5517">
        <v>-3.3629910000000001E-3</v>
      </c>
      <c r="X5517">
        <v>0.96607860000000001</v>
      </c>
      <c r="Y5517">
        <v>-0.16501089999999999</v>
      </c>
      <c r="Z5517">
        <v>1.4238590000000001E-2</v>
      </c>
      <c r="AA5517">
        <v>0.98618890000000003</v>
      </c>
      <c r="AB5517">
        <v>31</v>
      </c>
      <c r="AC5517">
        <v>16.552299999999999</v>
      </c>
      <c r="AD5517">
        <v>-1.1275685258169901</v>
      </c>
      <c r="AE5517">
        <v>0.329880000000002</v>
      </c>
      <c r="AF5517">
        <v>-2.7496712755763402</v>
      </c>
      <c r="AG5517">
        <v>-1.1275685258169901</v>
      </c>
      <c r="AH5517">
        <v>16.2481237906945</v>
      </c>
      <c r="AI5517">
        <v>93.914303609818205</v>
      </c>
      <c r="AJ5517">
        <v>99.605165718619702</v>
      </c>
      <c r="AK5517">
        <v>16.517676277911299</v>
      </c>
      <c r="AL5517">
        <v>90.192685549733795</v>
      </c>
      <c r="AM5517">
        <v>104.964935244115</v>
      </c>
      <c r="AN5517">
        <v>1.0000000223716901</v>
      </c>
    </row>
    <row r="5518" spans="1:40" x14ac:dyDescent="0.25">
      <c r="A5518" t="str">
        <f>"20190305135938284"</f>
        <v>20190305135938284</v>
      </c>
      <c r="B5518" t="str">
        <f>"1551765578274103"</f>
        <v>1551765578274103</v>
      </c>
      <c r="C5518" t="s">
        <v>40</v>
      </c>
      <c r="D5518">
        <v>4.638687</v>
      </c>
      <c r="E5518">
        <v>0.532721</v>
      </c>
      <c r="F5518" t="s">
        <v>42</v>
      </c>
      <c r="G5518">
        <v>-269.59649999999999</v>
      </c>
      <c r="H5518" s="1">
        <v>-3.4635450000000001E-6</v>
      </c>
      <c r="I5518">
        <v>-62.127780000000001</v>
      </c>
      <c r="J5518">
        <v>-286.16989999999998</v>
      </c>
      <c r="K5518">
        <v>1.127553</v>
      </c>
      <c r="L5518">
        <v>-62.519840000000002</v>
      </c>
      <c r="M5518">
        <v>0.99033979999999999</v>
      </c>
      <c r="N5518">
        <v>-1.8816360000000001E-2</v>
      </c>
      <c r="O5518">
        <v>-0.13737920000000001</v>
      </c>
      <c r="P5518">
        <v>0.99320569999999997</v>
      </c>
      <c r="Q5518">
        <v>-9.5123129999999997E-3</v>
      </c>
      <c r="R5518">
        <v>0.1159819</v>
      </c>
      <c r="S5518">
        <v>3.009674</v>
      </c>
      <c r="T5518">
        <v>-0.20309079999999999</v>
      </c>
      <c r="U5518">
        <v>6.8206790000000003E-2</v>
      </c>
      <c r="V5518">
        <v>-0.25149100000000002</v>
      </c>
      <c r="W5518">
        <v>-2.405698E-3</v>
      </c>
      <c r="X5518">
        <v>0.96785659999999896</v>
      </c>
      <c r="Y5518">
        <v>-0.1591862</v>
      </c>
      <c r="Z5518">
        <v>1.351641E-2</v>
      </c>
      <c r="AA5518">
        <v>0.98715600000000003</v>
      </c>
      <c r="AB5518">
        <v>31</v>
      </c>
      <c r="AC5518">
        <v>16.5733999999999</v>
      </c>
      <c r="AD5518">
        <v>-1.1275564635449999</v>
      </c>
      <c r="AE5518">
        <v>0.39206000000000002</v>
      </c>
      <c r="AF5518">
        <v>-2.65331060355361</v>
      </c>
      <c r="AG5518">
        <v>-1.1275564635449999</v>
      </c>
      <c r="AH5518">
        <v>16.286988995416898</v>
      </c>
      <c r="AI5518">
        <v>93.908928581398996</v>
      </c>
      <c r="AJ5518">
        <v>99.252762163814495</v>
      </c>
      <c r="AK5518">
        <v>16.540176881588799</v>
      </c>
      <c r="AL5518">
        <v>90.137836481432601</v>
      </c>
      <c r="AM5518">
        <v>104.56580319565499</v>
      </c>
      <c r="AN5518">
        <v>0.99999995431371203</v>
      </c>
    </row>
    <row r="5519" spans="1:40" x14ac:dyDescent="0.25">
      <c r="A5519" t="str">
        <f>"20190305135938296"</f>
        <v>20190305135938296</v>
      </c>
      <c r="B5519" t="str">
        <f>"1551765578284838"</f>
        <v>1551765578284838</v>
      </c>
      <c r="C5519" t="s">
        <v>40</v>
      </c>
      <c r="D5519">
        <v>4.649222</v>
      </c>
      <c r="E5519">
        <v>0.53392059999999997</v>
      </c>
      <c r="F5519" t="s">
        <v>42</v>
      </c>
      <c r="G5519">
        <v>-269.3612</v>
      </c>
      <c r="H5519" s="1">
        <v>-3.3764750000000001E-6</v>
      </c>
      <c r="I5519">
        <v>-62.088200000000001</v>
      </c>
      <c r="J5519">
        <v>-286.01560000000001</v>
      </c>
      <c r="K5519">
        <v>1.1275440000000001</v>
      </c>
      <c r="L5519">
        <v>-62.53378</v>
      </c>
      <c r="M5519">
        <v>0.9918129</v>
      </c>
      <c r="N5519">
        <v>-1.8816340000000001E-2</v>
      </c>
      <c r="O5519">
        <v>-0.1263061</v>
      </c>
      <c r="P5519">
        <v>0.99265490000000001</v>
      </c>
      <c r="Q5519">
        <v>-8.5682919999999999E-3</v>
      </c>
      <c r="R5519">
        <v>0.1206776</v>
      </c>
      <c r="S5519">
        <v>3.0095209999999999</v>
      </c>
      <c r="T5519">
        <v>-0.20188449999999999</v>
      </c>
      <c r="U5519">
        <v>7.7270510000000001E-2</v>
      </c>
      <c r="V5519">
        <v>-0.24529909999999999</v>
      </c>
      <c r="W5519">
        <v>-1.1536889999999901E-3</v>
      </c>
      <c r="X5519">
        <v>0.96944680000000005</v>
      </c>
      <c r="Y5519">
        <v>-0.15116729999999901</v>
      </c>
      <c r="Z5519">
        <v>1.2558410000000001E-2</v>
      </c>
      <c r="AA5519">
        <v>0.98842839999999998</v>
      </c>
      <c r="AB5519">
        <v>31</v>
      </c>
      <c r="AC5519">
        <v>16.654399999999999</v>
      </c>
      <c r="AD5519">
        <v>-1.1275473764749999</v>
      </c>
      <c r="AE5519">
        <v>0.44558000000000603</v>
      </c>
      <c r="AF5519">
        <v>-2.5343267363697102</v>
      </c>
      <c r="AG5519">
        <v>-1.1275473764749999</v>
      </c>
      <c r="AH5519">
        <v>16.389612764946499</v>
      </c>
      <c r="AI5519">
        <v>93.889465480480197</v>
      </c>
      <c r="AJ5519">
        <v>98.790032878648205</v>
      </c>
      <c r="AK5519">
        <v>16.622682746108499</v>
      </c>
      <c r="AL5519">
        <v>90.066101522673094</v>
      </c>
      <c r="AM5519">
        <v>104.199519378171</v>
      </c>
      <c r="AN5519">
        <v>1.0000000387446699</v>
      </c>
    </row>
    <row r="5520" spans="1:40" x14ac:dyDescent="0.25">
      <c r="A5520" t="str">
        <f>"20190305135938307"</f>
        <v>20190305135938307</v>
      </c>
      <c r="B5520" t="str">
        <f>"1551765578294598"</f>
        <v>1551765578294598</v>
      </c>
      <c r="C5520" t="s">
        <v>40</v>
      </c>
      <c r="D5520">
        <v>4.7008530000000004</v>
      </c>
      <c r="E5520">
        <v>0.53419530000000004</v>
      </c>
      <c r="F5520" t="s">
        <v>42</v>
      </c>
      <c r="G5520">
        <v>-276.2405</v>
      </c>
      <c r="H5520" s="1">
        <v>-2.256902E-6</v>
      </c>
      <c r="I5520">
        <v>-62.296950000000002</v>
      </c>
      <c r="J5520">
        <v>-285.87209999999999</v>
      </c>
      <c r="K5520">
        <v>1.127532</v>
      </c>
      <c r="L5520">
        <v>-62.544370000000001</v>
      </c>
      <c r="M5520">
        <v>0.99307319999999999</v>
      </c>
      <c r="N5520">
        <v>-1.8814020000000001E-2</v>
      </c>
      <c r="O5520">
        <v>-0.11598219999999999</v>
      </c>
      <c r="P5520">
        <v>0.9921837</v>
      </c>
      <c r="Q5520">
        <v>-7.1963819999999899E-3</v>
      </c>
      <c r="R5520">
        <v>0.1245783</v>
      </c>
      <c r="S5520">
        <v>3.0103759999999999</v>
      </c>
      <c r="T5520">
        <v>-0.3472441</v>
      </c>
      <c r="U5520">
        <v>7.2937009999999997E-2</v>
      </c>
      <c r="V5520">
        <v>-0.2390892</v>
      </c>
      <c r="W5520">
        <v>5.2482259999999997E-4</v>
      </c>
      <c r="X5520">
        <v>0.97099749999999996</v>
      </c>
      <c r="Y5520">
        <v>-0.1384223</v>
      </c>
      <c r="Z5520">
        <v>2.039881E-2</v>
      </c>
      <c r="AA5520">
        <v>0.99016320000000002</v>
      </c>
      <c r="AB5520">
        <v>31</v>
      </c>
      <c r="AC5520">
        <v>9.6315999999999899</v>
      </c>
      <c r="AD5520">
        <v>-1.1275342569019999</v>
      </c>
      <c r="AE5520">
        <v>0.24741999999999101</v>
      </c>
      <c r="AF5520">
        <v>-1.34462618422581</v>
      </c>
      <c r="AG5520">
        <v>-1.1275342569019999</v>
      </c>
      <c r="AH5520">
        <v>9.4090140452781004</v>
      </c>
      <c r="AI5520">
        <v>96.765395808708604</v>
      </c>
      <c r="AJ5520">
        <v>98.132974694797696</v>
      </c>
      <c r="AK5520">
        <v>9.5712537517314704</v>
      </c>
      <c r="AL5520">
        <v>89.969929879638798</v>
      </c>
      <c r="AM5520">
        <v>103.83279193261301</v>
      </c>
      <c r="AN5520">
        <v>1.0000000330008201</v>
      </c>
    </row>
    <row r="5521" spans="1:40" x14ac:dyDescent="0.25">
      <c r="A5521" t="str">
        <f>"20190305135938319"</f>
        <v>20190305135938319</v>
      </c>
      <c r="B5521" t="str">
        <f>"1551765578314118"</f>
        <v>1551765578314118</v>
      </c>
      <c r="C5521" t="s">
        <v>40</v>
      </c>
      <c r="D5521">
        <v>4.7136459999999998</v>
      </c>
      <c r="E5521">
        <v>0.535138</v>
      </c>
      <c r="F5521" t="s">
        <v>42</v>
      </c>
      <c r="G5521">
        <v>-276.17579999999998</v>
      </c>
      <c r="H5521" s="1">
        <v>-2.2252019999999999E-6</v>
      </c>
      <c r="I5521">
        <v>-62.279400000000003</v>
      </c>
      <c r="J5521">
        <v>-285.71589999999998</v>
      </c>
      <c r="K5521">
        <v>1.1275139999999999</v>
      </c>
      <c r="L5521">
        <v>-62.555210000000002</v>
      </c>
      <c r="M5521">
        <v>0.99432339999999997</v>
      </c>
      <c r="N5521">
        <v>-1.8810830000000001E-2</v>
      </c>
      <c r="O5521">
        <v>-0.10472579999999999</v>
      </c>
      <c r="P5521">
        <v>0.99151560000000005</v>
      </c>
      <c r="Q5521">
        <v>-6.8652869999999899E-3</v>
      </c>
      <c r="R5521">
        <v>0.1298069</v>
      </c>
      <c r="S5521">
        <v>3.0107729999999999</v>
      </c>
      <c r="T5521">
        <v>-0.35010469999999999</v>
      </c>
      <c r="U5521">
        <v>8.2275390000000004E-2</v>
      </c>
      <c r="V5521">
        <v>-0.2332263</v>
      </c>
      <c r="W5521">
        <v>1.14328E-3</v>
      </c>
      <c r="X5521">
        <v>0.9724218</v>
      </c>
      <c r="Y5521">
        <v>-0.13035679999999999</v>
      </c>
      <c r="Z5521">
        <v>1.8939609999999999E-2</v>
      </c>
      <c r="AA5521">
        <v>0.99128620000000001</v>
      </c>
      <c r="AB5521">
        <v>31</v>
      </c>
      <c r="AC5521">
        <v>9.54009999999999</v>
      </c>
      <c r="AD5521">
        <v>-1.1275162252019999</v>
      </c>
      <c r="AE5521">
        <v>0.27580999999999201</v>
      </c>
      <c r="AF5521">
        <v>-1.25603419627409</v>
      </c>
      <c r="AG5521">
        <v>-1.1275162252019999</v>
      </c>
      <c r="AH5521">
        <v>9.3285382839148099</v>
      </c>
      <c r="AI5521">
        <v>96.830712639497605</v>
      </c>
      <c r="AJ5521">
        <v>97.668429621288695</v>
      </c>
      <c r="AK5521">
        <v>9.4800074501430593</v>
      </c>
      <c r="AL5521">
        <v>89.9344948659853</v>
      </c>
      <c r="AM5521">
        <v>103.487101441817</v>
      </c>
      <c r="AN5521">
        <v>0.99999998560804404</v>
      </c>
    </row>
    <row r="5522" spans="1:40" x14ac:dyDescent="0.25">
      <c r="A5522" t="str">
        <f>"20190305135938331"</f>
        <v>20190305135938331</v>
      </c>
      <c r="B5522" t="str">
        <f>"1551765578324854"</f>
        <v>1551765578324854</v>
      </c>
      <c r="C5522" t="s">
        <v>40</v>
      </c>
      <c r="D5522">
        <v>4.6862839999999997</v>
      </c>
      <c r="E5522">
        <v>0.53573519999999997</v>
      </c>
      <c r="F5522" t="s">
        <v>42</v>
      </c>
      <c r="G5522">
        <v>-276.1574</v>
      </c>
      <c r="H5522" s="1">
        <v>-2.2150200000000001E-6</v>
      </c>
      <c r="I5522">
        <v>-62.2690699999999</v>
      </c>
      <c r="J5522">
        <v>-285.54790000000003</v>
      </c>
      <c r="K5522">
        <v>1.1274900000000001</v>
      </c>
      <c r="L5522">
        <v>-62.563690000000001</v>
      </c>
      <c r="M5522">
        <v>0.99552609999999997</v>
      </c>
      <c r="N5522">
        <v>-1.8802780000000002E-2</v>
      </c>
      <c r="O5522">
        <v>-9.2597280000000004E-2</v>
      </c>
      <c r="P5522">
        <v>0.99076750000000002</v>
      </c>
      <c r="Q5522">
        <v>-7.2650930000000002E-3</v>
      </c>
      <c r="R5522">
        <v>0.13537729999999901</v>
      </c>
      <c r="S5522">
        <v>3.0114139999999998</v>
      </c>
      <c r="T5522">
        <v>-0.3552247</v>
      </c>
      <c r="U5522">
        <v>9.0148930000000002E-2</v>
      </c>
      <c r="V5522">
        <v>-0.2268211</v>
      </c>
      <c r="W5522">
        <v>1.052203E-3</v>
      </c>
      <c r="X5522">
        <v>0.97393589999999997</v>
      </c>
      <c r="Y5522">
        <v>-0.1209411</v>
      </c>
      <c r="Z5522">
        <v>1.7386289999999999E-2</v>
      </c>
      <c r="AA5522">
        <v>0.99250740000000004</v>
      </c>
      <c r="AB5522">
        <v>31</v>
      </c>
      <c r="AC5522">
        <v>9.3905000000000296</v>
      </c>
      <c r="AD5522">
        <v>-1.12749221502</v>
      </c>
      <c r="AE5522">
        <v>0.29462000000000899</v>
      </c>
      <c r="AF5522">
        <v>-1.1465299512528899</v>
      </c>
      <c r="AG5522">
        <v>-1.12749221502</v>
      </c>
      <c r="AH5522">
        <v>9.1904935622987693</v>
      </c>
      <c r="AI5522">
        <v>96.940842383692797</v>
      </c>
      <c r="AJ5522">
        <v>97.111009817462502</v>
      </c>
      <c r="AK5522">
        <v>9.3301094067918502</v>
      </c>
      <c r="AL5522">
        <v>89.939713199468102</v>
      </c>
      <c r="AM5522">
        <v>103.10999555066699</v>
      </c>
      <c r="AN5522">
        <v>1.00000002792258</v>
      </c>
    </row>
    <row r="5523" spans="1:40" x14ac:dyDescent="0.25">
      <c r="A5523" t="str">
        <f>"20190305135938342"</f>
        <v>20190305135938342</v>
      </c>
      <c r="B5523" t="str">
        <f>"1551765578334614"</f>
        <v>1551765578334614</v>
      </c>
      <c r="C5523" t="s">
        <v>40</v>
      </c>
      <c r="D5523">
        <v>4.7091770000000004</v>
      </c>
      <c r="E5523">
        <v>0.53646729999999998</v>
      </c>
      <c r="F5523" t="s">
        <v>42</v>
      </c>
      <c r="G5523">
        <v>-275.99400000000003</v>
      </c>
      <c r="H5523" s="1">
        <v>-2.1384519999999999E-6</v>
      </c>
      <c r="I5523">
        <v>-62.239930000000001</v>
      </c>
      <c r="J5523">
        <v>-285.4101</v>
      </c>
      <c r="K5523">
        <v>1.127464</v>
      </c>
      <c r="L5523">
        <v>-62.569670000000002</v>
      </c>
      <c r="M5523">
        <v>0.99640289999999998</v>
      </c>
      <c r="N5523">
        <v>-1.8794249999999998E-2</v>
      </c>
      <c r="O5523">
        <v>-8.2633139999999994E-2</v>
      </c>
      <c r="P5523">
        <v>0.98998109999999995</v>
      </c>
      <c r="Q5523">
        <v>-8.8511869999999999E-3</v>
      </c>
      <c r="R5523">
        <v>0.14092279999999999</v>
      </c>
      <c r="S5523">
        <v>3.0114139999999998</v>
      </c>
      <c r="T5523">
        <v>-0.35538649999999999</v>
      </c>
      <c r="U5523">
        <v>0.1020508</v>
      </c>
      <c r="V5523">
        <v>-0.22246179999999999</v>
      </c>
      <c r="W5523">
        <v>-3.2760759999999998E-4</v>
      </c>
      <c r="X5523">
        <v>0.97494139999999996</v>
      </c>
      <c r="Y5523">
        <v>-0.1150231</v>
      </c>
      <c r="Z5523">
        <v>1.6008720000000001E-2</v>
      </c>
      <c r="AA5523">
        <v>0.99323380000000006</v>
      </c>
      <c r="AB5523">
        <v>31</v>
      </c>
      <c r="AC5523">
        <v>9.4160999999999699</v>
      </c>
      <c r="AD5523">
        <v>-1.1274661384519999</v>
      </c>
      <c r="AE5523">
        <v>0.32973999999998599</v>
      </c>
      <c r="AF5523">
        <v>-1.0912054993945</v>
      </c>
      <c r="AG5523">
        <v>-1.1274661384519999</v>
      </c>
      <c r="AH5523">
        <v>9.2245413297419692</v>
      </c>
      <c r="AI5523">
        <v>96.920612143217397</v>
      </c>
      <c r="AJ5523">
        <v>96.746380366883102</v>
      </c>
      <c r="AK5523">
        <v>9.3570332947672306</v>
      </c>
      <c r="AL5523">
        <v>90.018770532277202</v>
      </c>
      <c r="AM5523">
        <v>102.853667715311</v>
      </c>
      <c r="AN5523">
        <v>1.0000000466099599</v>
      </c>
    </row>
    <row r="5524" spans="1:40" x14ac:dyDescent="0.25">
      <c r="A5524" t="str">
        <f>"20190305135938352"</f>
        <v>20190305135938352</v>
      </c>
      <c r="B5524" t="str">
        <f>"1551765578344374"</f>
        <v>1551765578344374</v>
      </c>
      <c r="C5524" t="s">
        <v>40</v>
      </c>
      <c r="D5524">
        <v>4.723967</v>
      </c>
      <c r="E5524">
        <v>0.53652630000000001</v>
      </c>
      <c r="F5524" t="s">
        <v>42</v>
      </c>
      <c r="G5524">
        <v>-275.94200000000001</v>
      </c>
      <c r="H5524" s="1">
        <v>-2.1105500000000001E-6</v>
      </c>
      <c r="I5524">
        <v>-62.21481</v>
      </c>
      <c r="J5524">
        <v>-285.26949999999999</v>
      </c>
      <c r="K5524">
        <v>1.1274309999999901</v>
      </c>
      <c r="L5524">
        <v>-62.573970000000003</v>
      </c>
      <c r="M5524">
        <v>0.99719480000000005</v>
      </c>
      <c r="N5524">
        <v>-1.8781740000000002E-2</v>
      </c>
      <c r="O5524">
        <v>-7.2458040000000001E-2</v>
      </c>
      <c r="P5524">
        <v>0.98972830000000001</v>
      </c>
      <c r="Q5524">
        <v>-1.204506E-2</v>
      </c>
      <c r="R5524">
        <v>0.14245289999999999</v>
      </c>
      <c r="S5524">
        <v>3.011047</v>
      </c>
      <c r="T5524">
        <v>-0.35855619999999999</v>
      </c>
      <c r="U5524">
        <v>0.112854</v>
      </c>
      <c r="V5524">
        <v>-0.2138747</v>
      </c>
      <c r="W5524">
        <v>-3.1161639999999998E-3</v>
      </c>
      <c r="X5524">
        <v>0.97685619999999995</v>
      </c>
      <c r="Y5524">
        <v>-0.1085251</v>
      </c>
      <c r="Z5524">
        <v>1.469561E-2</v>
      </c>
      <c r="AA5524">
        <v>0.99398509999999995</v>
      </c>
      <c r="AB5524">
        <v>31</v>
      </c>
      <c r="AC5524">
        <v>9.3274999999999793</v>
      </c>
      <c r="AD5524">
        <v>-1.12743311055</v>
      </c>
      <c r="AE5524">
        <v>0.35915999999999498</v>
      </c>
      <c r="AF5524">
        <v>-1.0193168726769799</v>
      </c>
      <c r="AG5524">
        <v>-1.12743311055</v>
      </c>
      <c r="AH5524">
        <v>9.1435552126517603</v>
      </c>
      <c r="AI5524">
        <v>96.9864474257176</v>
      </c>
      <c r="AJ5524">
        <v>96.361027686823306</v>
      </c>
      <c r="AK5524">
        <v>9.2690190544900499</v>
      </c>
      <c r="AL5524">
        <v>90.178543322532093</v>
      </c>
      <c r="AM5524">
        <v>102.349576877717</v>
      </c>
      <c r="AN5524">
        <v>1.0000000666283</v>
      </c>
    </row>
    <row r="5525" spans="1:40" x14ac:dyDescent="0.25">
      <c r="A5525" t="str">
        <f>"20190305135938363"</f>
        <v>20190305135938363</v>
      </c>
      <c r="B5525" t="str">
        <f>"1551765578354134"</f>
        <v>1551765578354134</v>
      </c>
      <c r="C5525" t="s">
        <v>40</v>
      </c>
      <c r="D5525">
        <v>4.6613449999999998</v>
      </c>
      <c r="E5525">
        <v>0.53661329999999996</v>
      </c>
      <c r="F5525" t="s">
        <v>42</v>
      </c>
      <c r="G5525">
        <v>-276.10289999999998</v>
      </c>
      <c r="H5525" s="1">
        <v>-2.1805620000000001E-6</v>
      </c>
      <c r="I5525">
        <v>-62.21913</v>
      </c>
      <c r="J5525">
        <v>-285.11829999999998</v>
      </c>
      <c r="K5525">
        <v>1.127391</v>
      </c>
      <c r="L5525">
        <v>-62.577120000000001</v>
      </c>
      <c r="M5525">
        <v>0.99792959999999997</v>
      </c>
      <c r="N5525">
        <v>-1.876442E-2</v>
      </c>
      <c r="O5525">
        <v>-6.1518209999999997E-2</v>
      </c>
      <c r="P5525">
        <v>0.98904190000000003</v>
      </c>
      <c r="Q5525">
        <v>-1.5533E-2</v>
      </c>
      <c r="R5525">
        <v>0.14681629999999901</v>
      </c>
      <c r="S5525">
        <v>3.0098880000000001</v>
      </c>
      <c r="T5525">
        <v>-0.37019960000000002</v>
      </c>
      <c r="U5525">
        <v>0.1165161</v>
      </c>
      <c r="V5525">
        <v>-0.20731620000000001</v>
      </c>
      <c r="W5525">
        <v>-6.3009959999999997E-3</v>
      </c>
      <c r="X5525">
        <v>0.9782537</v>
      </c>
      <c r="Y5525">
        <v>-9.8900589999999997E-2</v>
      </c>
      <c r="Z5525">
        <v>1.337269E-2</v>
      </c>
      <c r="AA5525">
        <v>0.99500750000000004</v>
      </c>
      <c r="AB5525">
        <v>31</v>
      </c>
      <c r="AC5525">
        <v>9.0153999999999996</v>
      </c>
      <c r="AD5525">
        <v>-1.1273931805619899</v>
      </c>
      <c r="AE5525">
        <v>0.35798999999998599</v>
      </c>
      <c r="AF5525">
        <v>-0.89799982778447096</v>
      </c>
      <c r="AG5525">
        <v>-1.1273931805619899</v>
      </c>
      <c r="AH5525">
        <v>8.8382961250932492</v>
      </c>
      <c r="AI5525">
        <v>97.232426561071094</v>
      </c>
      <c r="AJ5525">
        <v>95.8015299776185</v>
      </c>
      <c r="AK5525">
        <v>8.9550487139443895</v>
      </c>
      <c r="AL5525">
        <v>90.361022864510105</v>
      </c>
      <c r="AM5525">
        <v>101.965361880773</v>
      </c>
      <c r="AN5525">
        <v>1.00000000544836</v>
      </c>
    </row>
    <row r="5526" spans="1:40" x14ac:dyDescent="0.25">
      <c r="A5526" t="str">
        <f>"20190305135938373"</f>
        <v>20190305135938373</v>
      </c>
      <c r="B5526" t="str">
        <f>"1551765578364871"</f>
        <v>1551765578364871</v>
      </c>
      <c r="C5526" t="s">
        <v>40</v>
      </c>
      <c r="D5526">
        <v>4.694941</v>
      </c>
      <c r="E5526">
        <v>0.53693740000000001</v>
      </c>
      <c r="F5526" t="s">
        <v>42</v>
      </c>
      <c r="G5526">
        <v>-276.23250000000002</v>
      </c>
      <c r="H5526" s="1">
        <v>-2.2309370000000001E-6</v>
      </c>
      <c r="I5526">
        <v>-62.195799999999998</v>
      </c>
      <c r="J5526">
        <v>-284.97879999999998</v>
      </c>
      <c r="K5526">
        <v>1.127353</v>
      </c>
      <c r="L5526">
        <v>-62.578670000000002</v>
      </c>
      <c r="M5526">
        <v>0.99850119999999998</v>
      </c>
      <c r="N5526">
        <v>-1.8744960000000001E-2</v>
      </c>
      <c r="O5526">
        <v>-5.1420590000000002E-2</v>
      </c>
      <c r="P5526">
        <v>0.98845640000000001</v>
      </c>
      <c r="Q5526">
        <v>-1.8903380000000001E-2</v>
      </c>
      <c r="R5526">
        <v>0.15032200000000001</v>
      </c>
      <c r="S5526">
        <v>3.0081479999999998</v>
      </c>
      <c r="T5526">
        <v>-0.38165860000000001</v>
      </c>
      <c r="U5526">
        <v>0.12908939999999999</v>
      </c>
      <c r="V5526">
        <v>-0.20074120000000001</v>
      </c>
      <c r="W5526">
        <v>-9.3698900000000005E-3</v>
      </c>
      <c r="X5526">
        <v>0.97959949999999996</v>
      </c>
      <c r="Y5526">
        <v>-9.3044639999999998E-2</v>
      </c>
      <c r="Z5526">
        <v>1.228712E-2</v>
      </c>
      <c r="AA5526">
        <v>0.99558610000000003</v>
      </c>
      <c r="AB5526">
        <v>30</v>
      </c>
      <c r="AC5526">
        <v>8.7462999999999607</v>
      </c>
      <c r="AD5526">
        <v>-1.1273552309370001</v>
      </c>
      <c r="AE5526">
        <v>0.38286999999999599</v>
      </c>
      <c r="AF5526">
        <v>-0.81860793930690601</v>
      </c>
      <c r="AG5526">
        <v>-1.1273552309370001</v>
      </c>
      <c r="AH5526">
        <v>8.5728775455386295</v>
      </c>
      <c r="AI5526">
        <v>97.458015269078004</v>
      </c>
      <c r="AJ5526">
        <v>95.454528156214906</v>
      </c>
      <c r="AK5526">
        <v>8.6853484780875494</v>
      </c>
      <c r="AL5526">
        <v>90.536863006091494</v>
      </c>
      <c r="AM5526">
        <v>101.58082111898599</v>
      </c>
      <c r="AN5526">
        <v>1.0000000023081499</v>
      </c>
    </row>
    <row r="5527" spans="1:40" x14ac:dyDescent="0.25">
      <c r="A5527" t="str">
        <f>"20190305135938385"</f>
        <v>20190305135938385</v>
      </c>
      <c r="B5527" t="str">
        <f>"1551765578374630"</f>
        <v>1551765578374630</v>
      </c>
      <c r="C5527" t="s">
        <v>40</v>
      </c>
      <c r="D5527">
        <v>4.6973710000000004</v>
      </c>
      <c r="E5527">
        <v>0.53727469999999999</v>
      </c>
      <c r="F5527" t="s">
        <v>42</v>
      </c>
      <c r="G5527">
        <v>-276.32760000000002</v>
      </c>
      <c r="H5527" s="1">
        <v>-2.26907E-6</v>
      </c>
      <c r="I5527">
        <v>-62.183799999999998</v>
      </c>
      <c r="J5527">
        <v>-284.83929999999998</v>
      </c>
      <c r="K5527">
        <v>1.12731</v>
      </c>
      <c r="L5527">
        <v>-62.57846</v>
      </c>
      <c r="M5527">
        <v>0.99896989999999997</v>
      </c>
      <c r="N5527">
        <v>-1.8719320000000001E-2</v>
      </c>
      <c r="O5527">
        <v>-4.134086E-2</v>
      </c>
      <c r="P5527">
        <v>0.98788030000000004</v>
      </c>
      <c r="Q5527">
        <v>-2.292661E-2</v>
      </c>
      <c r="R5527">
        <v>0.15351600000000001</v>
      </c>
      <c r="S5527">
        <v>3.0066830000000002</v>
      </c>
      <c r="T5527">
        <v>-0.39180429999999999</v>
      </c>
      <c r="U5527">
        <v>0.13723750000000001</v>
      </c>
      <c r="V5527">
        <v>-0.1938444</v>
      </c>
      <c r="W5527">
        <v>-1.308111E-2</v>
      </c>
      <c r="X5527">
        <v>0.98094510000000001</v>
      </c>
      <c r="Y5527">
        <v>-8.5777930000000002E-2</v>
      </c>
      <c r="Z5527">
        <v>1.0960839999999999E-2</v>
      </c>
      <c r="AA5527">
        <v>0.99625399999999997</v>
      </c>
      <c r="AB5527">
        <v>30</v>
      </c>
      <c r="AC5527">
        <v>8.5116999999999603</v>
      </c>
      <c r="AD5527">
        <v>-1.1273122690699999</v>
      </c>
      <c r="AE5527">
        <v>0.39466000000000101</v>
      </c>
      <c r="AF5527">
        <v>-0.73342759466100205</v>
      </c>
      <c r="AG5527">
        <v>-1.1273122690699999</v>
      </c>
      <c r="AH5527">
        <v>8.3420872247793394</v>
      </c>
      <c r="AI5527">
        <v>97.666852621996497</v>
      </c>
      <c r="AJ5527">
        <v>95.024465718710502</v>
      </c>
      <c r="AK5527">
        <v>8.4498028529920504</v>
      </c>
      <c r="AL5527">
        <v>90.749513749934096</v>
      </c>
      <c r="AM5527">
        <v>101.17819298975</v>
      </c>
      <c r="AN5527">
        <v>1.0000000280321</v>
      </c>
    </row>
    <row r="5528" spans="1:40" x14ac:dyDescent="0.25">
      <c r="A5528" t="str">
        <f>"20190305135938396"</f>
        <v>20190305135938396</v>
      </c>
      <c r="B5528" t="str">
        <f>"1551765578384390"</f>
        <v>1551765578384390</v>
      </c>
      <c r="C5528" t="s">
        <v>40</v>
      </c>
      <c r="D5528">
        <v>4.6931560000000001</v>
      </c>
      <c r="E5528">
        <v>0.53762379999999999</v>
      </c>
      <c r="F5528" t="s">
        <v>41</v>
      </c>
      <c r="G5528">
        <v>-283.95549999999997</v>
      </c>
      <c r="H5528">
        <v>1.0079739999999999</v>
      </c>
      <c r="I5528">
        <v>-62.536029999999997</v>
      </c>
      <c r="J5528">
        <v>-284.69299999999998</v>
      </c>
      <c r="K5528">
        <v>1.1272629999999999</v>
      </c>
      <c r="L5528">
        <v>-62.577179999999998</v>
      </c>
      <c r="M5528">
        <v>0.99935160000000001</v>
      </c>
      <c r="N5528">
        <v>-1.8689339999999999E-2</v>
      </c>
      <c r="O5528">
        <v>-3.077829E-2</v>
      </c>
      <c r="P5528">
        <v>0.98717840000000001</v>
      </c>
      <c r="Q5528">
        <v>-2.5308839999999999E-2</v>
      </c>
      <c r="R5528">
        <v>0.15760279999999999</v>
      </c>
      <c r="S5528">
        <v>3.0049739999999998</v>
      </c>
      <c r="T5528">
        <v>-0.40544960000000002</v>
      </c>
      <c r="U5528">
        <v>0.1442871</v>
      </c>
      <c r="V5528">
        <v>-0.18743219999999999</v>
      </c>
      <c r="W5528">
        <v>-1.5175549999999999E-2</v>
      </c>
      <c r="X5528">
        <v>0.98216029999999999</v>
      </c>
      <c r="Y5528">
        <v>-7.7678940000000002E-2</v>
      </c>
      <c r="Z5528">
        <v>9.5032599999999995E-3</v>
      </c>
      <c r="AA5528">
        <v>0.99693310000000002</v>
      </c>
      <c r="AB5528">
        <v>30</v>
      </c>
      <c r="AC5528">
        <v>0.73750000000001104</v>
      </c>
      <c r="AD5528">
        <v>-0.11928899999999901</v>
      </c>
      <c r="AE5528">
        <v>4.1150000000001803E-2</v>
      </c>
      <c r="AF5528">
        <v>-6.2210917161740702E-2</v>
      </c>
      <c r="AG5528">
        <v>-0.11928899999999901</v>
      </c>
      <c r="AH5528">
        <v>0.71717887790514301</v>
      </c>
      <c r="AI5528">
        <v>99.408905396981496</v>
      </c>
      <c r="AJ5528">
        <v>94.957651529148507</v>
      </c>
      <c r="AK5528">
        <v>0.72968870530410701</v>
      </c>
      <c r="AL5528">
        <v>90.869528351883901</v>
      </c>
      <c r="AM5528">
        <v>100.804227327595</v>
      </c>
      <c r="AN5528">
        <v>0.99999999090536595</v>
      </c>
    </row>
    <row r="5529" spans="1:40" x14ac:dyDescent="0.25">
      <c r="A5529" t="str">
        <f>"20190305135938407"</f>
        <v>20190305135938407</v>
      </c>
      <c r="B5529" t="str">
        <f>"1551765578404885"</f>
        <v>1551765578404885</v>
      </c>
      <c r="C5529" t="s">
        <v>40</v>
      </c>
      <c r="D5529">
        <v>4.614471</v>
      </c>
      <c r="E5529">
        <v>0.53872419999999899</v>
      </c>
      <c r="F5529" t="s">
        <v>42</v>
      </c>
      <c r="G5529">
        <v>-276.54090000000002</v>
      </c>
      <c r="H5529" s="1">
        <v>-2.3551340000000002E-6</v>
      </c>
      <c r="I5529">
        <v>-62.159329999999997</v>
      </c>
      <c r="J5529">
        <v>-284.5421</v>
      </c>
      <c r="K5529">
        <v>1.1272</v>
      </c>
      <c r="L5529">
        <v>-62.573520000000002</v>
      </c>
      <c r="M5529">
        <v>0.99962720000000005</v>
      </c>
      <c r="N5529">
        <v>-1.8646610000000001E-2</v>
      </c>
      <c r="O5529">
        <v>-1.9947489999999998E-2</v>
      </c>
      <c r="P5529">
        <v>0.98645740000000004</v>
      </c>
      <c r="Q5529">
        <v>-2.6208579999999999E-2</v>
      </c>
      <c r="R5529">
        <v>0.16191069999999999</v>
      </c>
      <c r="S5529">
        <v>3.0037539999999998</v>
      </c>
      <c r="T5529">
        <v>-0.41535499999999997</v>
      </c>
      <c r="U5529">
        <v>0.15396119999999999</v>
      </c>
      <c r="V5529">
        <v>-0.18104229999999999</v>
      </c>
      <c r="W5529">
        <v>-1.5792090000000002E-2</v>
      </c>
      <c r="X5529">
        <v>0.98334849999999996</v>
      </c>
      <c r="Y5529">
        <v>-7.0204589999999997E-2</v>
      </c>
      <c r="Z5529">
        <v>7.8598219999999903E-3</v>
      </c>
      <c r="AA5529">
        <v>0.99750170000000005</v>
      </c>
      <c r="AB5529">
        <v>30</v>
      </c>
      <c r="AC5529">
        <v>8.0011999999999794</v>
      </c>
      <c r="AD5529">
        <v>-1.127202355134</v>
      </c>
      <c r="AE5529">
        <v>0.41418999999999001</v>
      </c>
      <c r="AF5529">
        <v>-0.56260305308862801</v>
      </c>
      <c r="AG5529">
        <v>-1.127202355134</v>
      </c>
      <c r="AH5529">
        <v>7.8362343422215002</v>
      </c>
      <c r="AI5529">
        <v>98.164825720833804</v>
      </c>
      <c r="AJ5529">
        <v>94.106508899354694</v>
      </c>
      <c r="AK5529">
        <v>7.9368555493328703</v>
      </c>
      <c r="AL5529">
        <v>90.904857730206004</v>
      </c>
      <c r="AM5529">
        <v>100.431792271649</v>
      </c>
      <c r="AN5529">
        <v>0.99999998847405303</v>
      </c>
    </row>
    <row r="5530" spans="1:40" x14ac:dyDescent="0.25">
      <c r="A5530" t="str">
        <f>"20190305135938419"</f>
        <v>20190305135938419</v>
      </c>
      <c r="B5530" t="str">
        <f>"1551765578414646"</f>
        <v>1551765578414646</v>
      </c>
      <c r="C5530" t="s">
        <v>40</v>
      </c>
      <c r="D5530">
        <v>4.6916250000000002</v>
      </c>
      <c r="E5530">
        <v>0.53856979999999999</v>
      </c>
      <c r="F5530" t="s">
        <v>41</v>
      </c>
      <c r="G5530">
        <v>-283.69409999999999</v>
      </c>
      <c r="H5530">
        <v>1.009083</v>
      </c>
      <c r="I5530">
        <v>-62.528849999999998</v>
      </c>
      <c r="J5530">
        <v>-284.392</v>
      </c>
      <c r="K5530">
        <v>1.1271329999999999</v>
      </c>
      <c r="L5530">
        <v>-62.569180000000003</v>
      </c>
      <c r="M5530">
        <v>0.99978469999999997</v>
      </c>
      <c r="N5530">
        <v>-1.8601409999999999E-2</v>
      </c>
      <c r="O5530">
        <v>-9.1924699999999995E-3</v>
      </c>
      <c r="P5530">
        <v>0.98577490000000001</v>
      </c>
      <c r="Q5530">
        <v>-2.619575E-2</v>
      </c>
      <c r="R5530">
        <v>0.16601679999999999</v>
      </c>
      <c r="S5530">
        <v>3.004089</v>
      </c>
      <c r="T5530">
        <v>-0.41895710000000003</v>
      </c>
      <c r="U5530">
        <v>0.15826419999999999</v>
      </c>
      <c r="V5530">
        <v>-0.17456469999999999</v>
      </c>
      <c r="W5530">
        <v>-1.549294E-2</v>
      </c>
      <c r="X5530">
        <v>0.98452379999999995</v>
      </c>
      <c r="Y5530">
        <v>-6.105352E-2</v>
      </c>
      <c r="Z5530">
        <v>5.9101659999999997E-3</v>
      </c>
      <c r="AA5530">
        <v>0.99811700000000003</v>
      </c>
      <c r="AB5530">
        <v>30</v>
      </c>
      <c r="AC5530">
        <v>0.69790000000000396</v>
      </c>
      <c r="AD5530">
        <v>-0.11805</v>
      </c>
      <c r="AE5530">
        <v>4.0330000000004397E-2</v>
      </c>
      <c r="AF5530">
        <v>-4.5448785782635497E-2</v>
      </c>
      <c r="AG5530">
        <v>-0.11805</v>
      </c>
      <c r="AH5530">
        <v>0.67816086509468199</v>
      </c>
      <c r="AI5530">
        <v>99.853076261417698</v>
      </c>
      <c r="AJ5530">
        <v>93.834098468946394</v>
      </c>
      <c r="AK5530">
        <v>0.68985763283092205</v>
      </c>
      <c r="AL5530">
        <v>90.887715599472401</v>
      </c>
      <c r="AM5530">
        <v>100.054546764725</v>
      </c>
      <c r="AN5530">
        <v>0.99999998922118605</v>
      </c>
    </row>
    <row r="5531" spans="1:40" x14ac:dyDescent="0.25">
      <c r="A5531" t="str">
        <f>"20190305135938430"</f>
        <v>20190305135938430</v>
      </c>
      <c r="B5531" t="str">
        <f>"1551765578424406"</f>
        <v>1551765578424406</v>
      </c>
      <c r="C5531" t="s">
        <v>40</v>
      </c>
      <c r="D5531">
        <v>4.6432479999999998</v>
      </c>
      <c r="E5531">
        <v>0.53893760000000002</v>
      </c>
      <c r="F5531" t="s">
        <v>41</v>
      </c>
      <c r="G5531">
        <v>-283.43939999999998</v>
      </c>
      <c r="H5531">
        <v>0.99249050000000005</v>
      </c>
      <c r="I5531">
        <v>-62.514690000000002</v>
      </c>
      <c r="J5531">
        <v>-284.24020000000002</v>
      </c>
      <c r="K5531">
        <v>1.1270389999999999</v>
      </c>
      <c r="L5531">
        <v>-62.562040000000003</v>
      </c>
      <c r="M5531">
        <v>0.99982700000000002</v>
      </c>
      <c r="N5531">
        <v>-1.853753E-2</v>
      </c>
      <c r="O5531">
        <v>1.553275E-3</v>
      </c>
      <c r="P5531">
        <v>0.98507</v>
      </c>
      <c r="Q5531">
        <v>-2.4710309999999999E-2</v>
      </c>
      <c r="R5531">
        <v>0.1703721</v>
      </c>
      <c r="S5531">
        <v>3.003174</v>
      </c>
      <c r="T5531">
        <v>-0.42429749999999999</v>
      </c>
      <c r="U5531">
        <v>0.17169189999999901</v>
      </c>
      <c r="V5531">
        <v>-0.168405</v>
      </c>
      <c r="W5531">
        <v>-1.374035E-2</v>
      </c>
      <c r="X5531">
        <v>0.98562209999999995</v>
      </c>
      <c r="Y5531">
        <v>-5.492155E-2</v>
      </c>
      <c r="Z5531">
        <v>4.1802829999999999E-3</v>
      </c>
      <c r="AA5531">
        <v>0.99848190000000003</v>
      </c>
      <c r="AB5531">
        <v>30</v>
      </c>
      <c r="AC5531">
        <v>0.80080000000003704</v>
      </c>
      <c r="AD5531">
        <v>-0.13454849999999899</v>
      </c>
      <c r="AE5531">
        <v>4.7350000000001502E-2</v>
      </c>
      <c r="AF5531">
        <v>-4.48443255110988E-2</v>
      </c>
      <c r="AG5531">
        <v>-0.13454849999999899</v>
      </c>
      <c r="AH5531">
        <v>0.778959251933521</v>
      </c>
      <c r="AI5531">
        <v>99.784033475198498</v>
      </c>
      <c r="AJ5531">
        <v>93.294854866799497</v>
      </c>
      <c r="AK5531">
        <v>0.791765008418297</v>
      </c>
      <c r="AL5531">
        <v>90.7872888520277</v>
      </c>
      <c r="AM5531">
        <v>99.696019664369501</v>
      </c>
      <c r="AN5531">
        <v>0.99999998262576595</v>
      </c>
    </row>
    <row r="5532" spans="1:40" x14ac:dyDescent="0.25">
      <c r="A5532" t="str">
        <f>"20190305135938441"</f>
        <v>20190305135938441</v>
      </c>
      <c r="B5532" t="str">
        <f>"1551765578435142"</f>
        <v>1551765578435142</v>
      </c>
      <c r="C5532" t="s">
        <v>40</v>
      </c>
      <c r="D5532">
        <v>4.6359180000000002</v>
      </c>
      <c r="E5532">
        <v>0.53912139999999997</v>
      </c>
      <c r="F5532" t="s">
        <v>41</v>
      </c>
      <c r="G5532">
        <v>-283.42930000000001</v>
      </c>
      <c r="H5532">
        <v>1.0136229999999999</v>
      </c>
      <c r="I5532">
        <v>-62.512830000000001</v>
      </c>
      <c r="J5532">
        <v>-284.0924</v>
      </c>
      <c r="K5532">
        <v>1.126938</v>
      </c>
      <c r="L5532">
        <v>-62.554290000000002</v>
      </c>
      <c r="M5532">
        <v>0.99975789999999998</v>
      </c>
      <c r="N5532">
        <v>-1.8470199999999999E-2</v>
      </c>
      <c r="O5532">
        <v>1.1956130000000001E-2</v>
      </c>
      <c r="P5532">
        <v>0.98443400000000003</v>
      </c>
      <c r="Q5532">
        <v>-2.2943769999999999E-2</v>
      </c>
      <c r="R5532">
        <v>0.17425009999999999</v>
      </c>
      <c r="S5532">
        <v>3.0034179999999999</v>
      </c>
      <c r="T5532">
        <v>-0.41987140000000001</v>
      </c>
      <c r="U5532">
        <v>0.1821594</v>
      </c>
      <c r="V5532">
        <v>-0.16211229999999999</v>
      </c>
      <c r="W5532">
        <v>-1.170275E-2</v>
      </c>
      <c r="X5532">
        <v>0.98670290000000005</v>
      </c>
      <c r="Y5532">
        <v>-4.8157129999999999E-2</v>
      </c>
      <c r="Z5532">
        <v>2.3525059999999999E-3</v>
      </c>
      <c r="AA5532">
        <v>0.99883699999999997</v>
      </c>
      <c r="AB5532">
        <v>30</v>
      </c>
      <c r="AC5532">
        <v>0.66309999999998503</v>
      </c>
      <c r="AD5532">
        <v>-0.113315</v>
      </c>
      <c r="AE5532">
        <v>4.1459999999993599E-2</v>
      </c>
      <c r="AF5532">
        <v>-3.2579871257573598E-2</v>
      </c>
      <c r="AG5532">
        <v>-0.113315</v>
      </c>
      <c r="AH5532">
        <v>0.64479229191669496</v>
      </c>
      <c r="AI5532">
        <v>99.954865580703597</v>
      </c>
      <c r="AJ5532">
        <v>92.892563993012303</v>
      </c>
      <c r="AK5532">
        <v>0.65548366642605504</v>
      </c>
      <c r="AL5532">
        <v>90.670533501426902</v>
      </c>
      <c r="AM5532">
        <v>99.330167781256307</v>
      </c>
      <c r="AN5532">
        <v>0.99999998251863098</v>
      </c>
    </row>
    <row r="5533" spans="1:40" x14ac:dyDescent="0.25">
      <c r="A5533" t="str">
        <f>"20190305135938452"</f>
        <v>20190305135938452</v>
      </c>
      <c r="B5533" t="str">
        <f>"1551765578444902"</f>
        <v>1551765578444902</v>
      </c>
      <c r="C5533" t="s">
        <v>40</v>
      </c>
      <c r="D5533">
        <v>4.5860589999999997</v>
      </c>
      <c r="E5533">
        <v>0.5395257</v>
      </c>
      <c r="F5533" t="s">
        <v>41</v>
      </c>
      <c r="G5533">
        <v>-283.17340000000002</v>
      </c>
      <c r="H5533">
        <v>1.000286</v>
      </c>
      <c r="I5533">
        <v>-62.495489999999997</v>
      </c>
      <c r="J5533">
        <v>-283.94420000000002</v>
      </c>
      <c r="K5533">
        <v>1.126817</v>
      </c>
      <c r="L5533">
        <v>-62.544620000000002</v>
      </c>
      <c r="M5533">
        <v>0.99958349999999996</v>
      </c>
      <c r="N5533">
        <v>-1.8388419999999999E-2</v>
      </c>
      <c r="O5533">
        <v>2.2245540000000001E-2</v>
      </c>
      <c r="P5533">
        <v>0.98371980000000003</v>
      </c>
      <c r="Q5533">
        <v>-2.1047199999999999E-2</v>
      </c>
      <c r="R5533">
        <v>0.17847279999999999</v>
      </c>
      <c r="S5533">
        <v>3.0037229999999999</v>
      </c>
      <c r="T5533">
        <v>-0.41464459999999997</v>
      </c>
      <c r="U5533">
        <v>0.19241330000000001</v>
      </c>
      <c r="V5533">
        <v>-0.156276</v>
      </c>
      <c r="W5533">
        <v>-9.561768E-3</v>
      </c>
      <c r="X5533">
        <v>0.98766710000000002</v>
      </c>
      <c r="Y5533">
        <v>-4.1421510000000002E-2</v>
      </c>
      <c r="Z5533">
        <v>5.8047640000000005E-4</v>
      </c>
      <c r="AA5533">
        <v>0.99914159999999996</v>
      </c>
      <c r="AB5533">
        <v>30</v>
      </c>
      <c r="AC5533">
        <v>0.77080000000000803</v>
      </c>
      <c r="AD5533">
        <v>-0.12653099999999901</v>
      </c>
      <c r="AE5533">
        <v>4.9129999999991E-2</v>
      </c>
      <c r="AF5533">
        <v>-3.1132543338578799E-2</v>
      </c>
      <c r="AG5533">
        <v>-0.12653099999999901</v>
      </c>
      <c r="AH5533">
        <v>0.751532688104804</v>
      </c>
      <c r="AI5533">
        <v>99.548875342329893</v>
      </c>
      <c r="AJ5533">
        <v>92.372144373378006</v>
      </c>
      <c r="AK5533">
        <v>0.76274550834846699</v>
      </c>
      <c r="AL5533">
        <v>90.547857322504001</v>
      </c>
      <c r="AM5533">
        <v>98.991222382723905</v>
      </c>
      <c r="AN5533">
        <v>0.99999995800284702</v>
      </c>
    </row>
    <row r="5534" spans="1:40" x14ac:dyDescent="0.25">
      <c r="A5534" t="str">
        <f>"20190305135938463"</f>
        <v>20190305135938463</v>
      </c>
      <c r="B5534" t="str">
        <f>"1551765578454662"</f>
        <v>1551765578454662</v>
      </c>
      <c r="C5534" t="s">
        <v>40</v>
      </c>
      <c r="D5534">
        <v>4.6486150000000004</v>
      </c>
      <c r="E5534">
        <v>0.53995309999999996</v>
      </c>
      <c r="F5534" t="s">
        <v>41</v>
      </c>
      <c r="G5534">
        <v>-283.16320000000002</v>
      </c>
      <c r="H5534">
        <v>1.0214510000000001</v>
      </c>
      <c r="I5534">
        <v>-62.492100000000001</v>
      </c>
      <c r="J5534">
        <v>-283.8032</v>
      </c>
      <c r="K5534">
        <v>1.1266659999999999</v>
      </c>
      <c r="L5534">
        <v>-62.534179999999999</v>
      </c>
      <c r="M5534">
        <v>0.99932339999999997</v>
      </c>
      <c r="N5534">
        <v>-1.8300690000000001E-2</v>
      </c>
      <c r="O5534">
        <v>3.1902020000000003E-2</v>
      </c>
      <c r="P5534">
        <v>0.98296240000000001</v>
      </c>
      <c r="Q5534">
        <v>-1.9798300000000001E-2</v>
      </c>
      <c r="R5534">
        <v>0.18273780000000001</v>
      </c>
      <c r="S5534">
        <v>3.0042420000000001</v>
      </c>
      <c r="T5534">
        <v>-0.40620410000000001</v>
      </c>
      <c r="U5534">
        <v>0.20230100000000001</v>
      </c>
      <c r="V5534">
        <v>-0.15107409999999999</v>
      </c>
      <c r="W5534">
        <v>-8.0993899999999997E-3</v>
      </c>
      <c r="X5534">
        <v>0.98848930000000002</v>
      </c>
      <c r="Y5534">
        <v>-3.5170519999999997E-2</v>
      </c>
      <c r="Z5534">
        <v>-1.0181249999999999E-3</v>
      </c>
      <c r="AA5534">
        <v>0.99938079999999996</v>
      </c>
      <c r="AB5534">
        <v>30</v>
      </c>
      <c r="AC5534">
        <v>0.63999999999998602</v>
      </c>
      <c r="AD5534">
        <v>-0.105214999999999</v>
      </c>
      <c r="AE5534">
        <v>4.2080000000005599E-2</v>
      </c>
      <c r="AF5534">
        <v>-2.1070833664126699E-2</v>
      </c>
      <c r="AG5534">
        <v>-0.105214999999999</v>
      </c>
      <c r="AH5534">
        <v>0.62421874823893697</v>
      </c>
      <c r="AI5534">
        <v>99.562196635597999</v>
      </c>
      <c r="AJ5534">
        <v>91.933315237582306</v>
      </c>
      <c r="AK5534">
        <v>0.63337447210105202</v>
      </c>
      <c r="AL5534">
        <v>90.464065918952898</v>
      </c>
      <c r="AM5534">
        <v>98.689464220378397</v>
      </c>
      <c r="AN5534">
        <v>1.0000000400118301</v>
      </c>
    </row>
    <row r="5535" spans="1:40" x14ac:dyDescent="0.25">
      <c r="A5535" t="str">
        <f>"20190305135938474"</f>
        <v>20190305135938474</v>
      </c>
      <c r="B5535" t="str">
        <f>"1551765578464423"</f>
        <v>1551765578464423</v>
      </c>
      <c r="C5535" t="s">
        <v>40</v>
      </c>
      <c r="D5535">
        <v>4.6476810000000004</v>
      </c>
      <c r="E5535">
        <v>0.54037969999999902</v>
      </c>
      <c r="F5535" t="s">
        <v>41</v>
      </c>
      <c r="G5535">
        <v>-282.90800000000002</v>
      </c>
      <c r="H5535">
        <v>1.007031</v>
      </c>
      <c r="I5535">
        <v>-62.471159999999998</v>
      </c>
      <c r="J5535">
        <v>-283.65809999999999</v>
      </c>
      <c r="K5535">
        <v>1.126482</v>
      </c>
      <c r="L5535">
        <v>-62.522219999999997</v>
      </c>
      <c r="M5535">
        <v>0.99896499999999999</v>
      </c>
      <c r="N5535">
        <v>-1.8201599999999998E-2</v>
      </c>
      <c r="O5535">
        <v>4.1684640000000002E-2</v>
      </c>
      <c r="P5535">
        <v>0.98201570000000005</v>
      </c>
      <c r="Q5535">
        <v>-1.8663740000000002E-2</v>
      </c>
      <c r="R5535">
        <v>0.18787499999999999</v>
      </c>
      <c r="S5535">
        <v>3.004578</v>
      </c>
      <c r="T5535">
        <v>-0.40170349999999999</v>
      </c>
      <c r="U5535">
        <v>0.21160889999999999</v>
      </c>
      <c r="V5535">
        <v>-0.14661459999999901</v>
      </c>
      <c r="W5535">
        <v>-6.7874939999999998E-3</v>
      </c>
      <c r="X5535">
        <v>0.98917040000000001</v>
      </c>
      <c r="Y5535">
        <v>-2.8592269999999999E-2</v>
      </c>
      <c r="Z5535">
        <v>-2.6205989999999999E-3</v>
      </c>
      <c r="AA5535">
        <v>0.99958769999999997</v>
      </c>
      <c r="AB5535">
        <v>30</v>
      </c>
      <c r="AC5535">
        <v>0.75009999999997401</v>
      </c>
      <c r="AD5535">
        <v>-0.119450999999999</v>
      </c>
      <c r="AE5535">
        <v>5.1059999999999599E-2</v>
      </c>
      <c r="AF5535">
        <v>-1.9256687065954702E-2</v>
      </c>
      <c r="AG5535">
        <v>-0.119450999999999</v>
      </c>
      <c r="AH5535">
        <v>0.73307196199555202</v>
      </c>
      <c r="AI5535">
        <v>99.251633817691001</v>
      </c>
      <c r="AJ5535">
        <v>91.504727067907695</v>
      </c>
      <c r="AK5535">
        <v>0.74298981343068504</v>
      </c>
      <c r="AL5535">
        <v>90.388897747503293</v>
      </c>
      <c r="AM5535">
        <v>98.430983957731598</v>
      </c>
      <c r="AN5535">
        <v>0.99999999562205999</v>
      </c>
    </row>
    <row r="5536" spans="1:40" x14ac:dyDescent="0.25">
      <c r="A5536" t="str">
        <f>"20190305135938485"</f>
        <v>20190305135938485</v>
      </c>
      <c r="B5536" t="str">
        <f>"1551765578474183"</f>
        <v>1551765578474183</v>
      </c>
      <c r="C5536" t="s">
        <v>40</v>
      </c>
      <c r="D5536">
        <v>4.6102049999999997</v>
      </c>
      <c r="E5536">
        <v>0.54096440000000001</v>
      </c>
      <c r="F5536" t="s">
        <v>41</v>
      </c>
      <c r="G5536">
        <v>-282.89800000000002</v>
      </c>
      <c r="H5536">
        <v>1.0279210000000001</v>
      </c>
      <c r="I5536">
        <v>-62.465629999999997</v>
      </c>
      <c r="J5536">
        <v>-283.5172</v>
      </c>
      <c r="K5536">
        <v>1.1262509999999999</v>
      </c>
      <c r="L5536">
        <v>-62.508999999999901</v>
      </c>
      <c r="M5536">
        <v>0.99853840000000005</v>
      </c>
      <c r="N5536">
        <v>-1.8090249999999999E-2</v>
      </c>
      <c r="O5536">
        <v>5.0928300000000003E-2</v>
      </c>
      <c r="P5536">
        <v>0.98095080000000001</v>
      </c>
      <c r="Q5536">
        <v>-1.767297E-2</v>
      </c>
      <c r="R5536">
        <v>0.19345100000000001</v>
      </c>
      <c r="S5536">
        <v>3.0047609999999998</v>
      </c>
      <c r="T5536">
        <v>-0.3898239</v>
      </c>
      <c r="U5536">
        <v>0.2237854</v>
      </c>
      <c r="V5536">
        <v>-0.143122</v>
      </c>
      <c r="W5536">
        <v>-5.6614050000000004E-3</v>
      </c>
      <c r="X5536">
        <v>0.98968889999999998</v>
      </c>
      <c r="Y5536">
        <v>-2.3469460000000001E-2</v>
      </c>
      <c r="Z5536">
        <v>-3.9202719999999998E-3</v>
      </c>
      <c r="AA5536">
        <v>0.99971690000000002</v>
      </c>
      <c r="AB5536">
        <v>30</v>
      </c>
      <c r="AC5536">
        <v>0.61920000000003395</v>
      </c>
      <c r="AD5536">
        <v>-9.8330000000000195E-2</v>
      </c>
      <c r="AE5536">
        <v>4.3369999999988799E-2</v>
      </c>
      <c r="AF5536">
        <v>-1.1485507193964E-2</v>
      </c>
      <c r="AG5536">
        <v>-9.8330000000000195E-2</v>
      </c>
      <c r="AH5536">
        <v>0.60541258564811595</v>
      </c>
      <c r="AI5536">
        <v>99.223686721031996</v>
      </c>
      <c r="AJ5536">
        <v>91.086849152115306</v>
      </c>
      <c r="AK5536">
        <v>0.61345342499381295</v>
      </c>
      <c r="AL5536">
        <v>90.324376332904905</v>
      </c>
      <c r="AM5536">
        <v>98.228675920866706</v>
      </c>
      <c r="AN5536">
        <v>1.0000000385868899</v>
      </c>
    </row>
    <row r="5537" spans="1:40" x14ac:dyDescent="0.25">
      <c r="A5537" t="str">
        <f>"20190305135938497"</f>
        <v>20190305135938497</v>
      </c>
      <c r="B5537" t="str">
        <f>"1551765578494678"</f>
        <v>1551765578494678</v>
      </c>
      <c r="C5537" t="s">
        <v>40</v>
      </c>
      <c r="D5537">
        <v>4.647119</v>
      </c>
      <c r="E5537">
        <v>0.54173739999999904</v>
      </c>
      <c r="F5537" t="s">
        <v>41</v>
      </c>
      <c r="G5537">
        <v>-282.64139999999998</v>
      </c>
      <c r="H5537">
        <v>1.0163450000000001</v>
      </c>
      <c r="I5537">
        <v>-62.440359999999998</v>
      </c>
      <c r="J5537">
        <v>-283.35390000000001</v>
      </c>
      <c r="K5537">
        <v>1.1259410000000001</v>
      </c>
      <c r="L5537">
        <v>-62.492890000000003</v>
      </c>
      <c r="M5537">
        <v>0.99794640000000001</v>
      </c>
      <c r="N5537">
        <v>-1.795747E-2</v>
      </c>
      <c r="O5537">
        <v>6.1486069999999997E-2</v>
      </c>
      <c r="P5537">
        <v>0.97955400000000004</v>
      </c>
      <c r="Q5537">
        <v>-1.6443280000000001E-2</v>
      </c>
      <c r="R5537">
        <v>0.2005093</v>
      </c>
      <c r="S5537">
        <v>3.0049739999999998</v>
      </c>
      <c r="T5537">
        <v>-0.37735869999999999</v>
      </c>
      <c r="U5537">
        <v>0.23568729999999999</v>
      </c>
      <c r="V5537">
        <v>-0.13983190000000001</v>
      </c>
      <c r="W5537">
        <v>-4.3058280000000003E-3</v>
      </c>
      <c r="X5537">
        <v>0.99016590000000004</v>
      </c>
      <c r="Y5537">
        <v>-1.693681E-2</v>
      </c>
      <c r="Z5537">
        <v>-5.3604789999999996E-3</v>
      </c>
      <c r="AA5537">
        <v>0.99984220000000001</v>
      </c>
      <c r="AB5537">
        <v>30</v>
      </c>
      <c r="AC5537">
        <v>0.712500000000034</v>
      </c>
      <c r="AD5537">
        <v>-0.109596</v>
      </c>
      <c r="AE5537">
        <v>5.25300000000044E-2</v>
      </c>
      <c r="AF5537">
        <v>-8.4166254806673502E-3</v>
      </c>
      <c r="AG5537">
        <v>-0.109596</v>
      </c>
      <c r="AH5537">
        <v>0.69795727761012205</v>
      </c>
      <c r="AI5537">
        <v>98.923302250121196</v>
      </c>
      <c r="AJ5537">
        <v>90.690892924202103</v>
      </c>
      <c r="AK5537">
        <v>0.70655961119314903</v>
      </c>
      <c r="AL5537">
        <v>90.2467065328172</v>
      </c>
      <c r="AM5537">
        <v>98.038194112568107</v>
      </c>
      <c r="AN5537">
        <v>1.0000000049675899</v>
      </c>
    </row>
    <row r="5538" spans="1:40" x14ac:dyDescent="0.25">
      <c r="A5538" t="str">
        <f>"20190305135938509"</f>
        <v>20190305135938509</v>
      </c>
      <c r="B5538" t="str">
        <f>"1551765578504438"</f>
        <v>1551765578504438</v>
      </c>
      <c r="C5538" t="s">
        <v>40</v>
      </c>
      <c r="D5538">
        <v>4.6305399999999999</v>
      </c>
      <c r="E5538">
        <v>0.54205219999999998</v>
      </c>
      <c r="F5538" t="s">
        <v>41</v>
      </c>
      <c r="G5538">
        <v>-282.63049999999998</v>
      </c>
      <c r="H5538">
        <v>1.037647</v>
      </c>
      <c r="I5538">
        <v>-62.432589999999998</v>
      </c>
      <c r="J5538">
        <v>-283.21039999999999</v>
      </c>
      <c r="K5538">
        <v>1.125577</v>
      </c>
      <c r="L5538">
        <v>-62.476649999999999</v>
      </c>
      <c r="M5538">
        <v>0.99736950000000002</v>
      </c>
      <c r="N5538">
        <v>-1.7815899999999999E-2</v>
      </c>
      <c r="O5538">
        <v>7.0261229999999994E-2</v>
      </c>
      <c r="P5538">
        <v>0.97835850000000002</v>
      </c>
      <c r="Q5538">
        <v>-1.4914729999999999E-2</v>
      </c>
      <c r="R5538">
        <v>0.2063787</v>
      </c>
      <c r="S5538">
        <v>3.0051570000000001</v>
      </c>
      <c r="T5538">
        <v>-0.36706450000000002</v>
      </c>
      <c r="U5538">
        <v>0.25073240000000002</v>
      </c>
      <c r="V5538">
        <v>-0.13711779999999901</v>
      </c>
      <c r="W5538">
        <v>-2.6696839999999999E-3</v>
      </c>
      <c r="X5538">
        <v>0.99055119999999997</v>
      </c>
      <c r="Y5538">
        <v>-1.317599E-2</v>
      </c>
      <c r="Z5538">
        <v>-6.3582279999999996E-3</v>
      </c>
      <c r="AA5538">
        <v>0.99989300000000003</v>
      </c>
      <c r="AB5538">
        <v>30</v>
      </c>
      <c r="AC5538">
        <v>0.57990000000000896</v>
      </c>
      <c r="AD5538">
        <v>-8.7929999999999994E-2</v>
      </c>
      <c r="AE5538">
        <v>4.4059999999994597E-2</v>
      </c>
      <c r="AF5538">
        <v>-3.1286023509360899E-3</v>
      </c>
      <c r="AG5538">
        <v>-8.7929999999999994E-2</v>
      </c>
      <c r="AH5538">
        <v>0.56856543423985995</v>
      </c>
      <c r="AI5538">
        <v>98.791151311745907</v>
      </c>
      <c r="AJ5538">
        <v>90.315274004539205</v>
      </c>
      <c r="AK5538">
        <v>0.57533305664200396</v>
      </c>
      <c r="AL5538">
        <v>90.152961800028805</v>
      </c>
      <c r="AM5538">
        <v>97.881127761690394</v>
      </c>
      <c r="AN5538">
        <v>1.0000000490554599</v>
      </c>
    </row>
    <row r="5539" spans="1:40" x14ac:dyDescent="0.25">
      <c r="A5539" t="str">
        <f>"20190305135938521"</f>
        <v>20190305135938521</v>
      </c>
      <c r="B5539" t="str">
        <f>"1551765578514198"</f>
        <v>1551765578514198</v>
      </c>
      <c r="C5539" t="s">
        <v>40</v>
      </c>
      <c r="D5539">
        <v>4.6112900000000003</v>
      </c>
      <c r="E5539">
        <v>0.54245049999999995</v>
      </c>
      <c r="F5539" t="s">
        <v>41</v>
      </c>
      <c r="G5539">
        <v>-282.37549999999999</v>
      </c>
      <c r="H5539">
        <v>1.024769</v>
      </c>
      <c r="I5539">
        <v>-62.402889999999999</v>
      </c>
      <c r="J5539">
        <v>-283.05939999999998</v>
      </c>
      <c r="K5539">
        <v>1.1251709999999999</v>
      </c>
      <c r="L5539">
        <v>-62.459139999999998</v>
      </c>
      <c r="M5539">
        <v>0.99669099999999999</v>
      </c>
      <c r="N5539">
        <v>-1.7668619999999999E-2</v>
      </c>
      <c r="O5539">
        <v>7.9339889999999996E-2</v>
      </c>
      <c r="P5539">
        <v>0.97708870000000003</v>
      </c>
      <c r="Q5539">
        <v>-1.252297E-2</v>
      </c>
      <c r="R5539">
        <v>0.21246370000000001</v>
      </c>
      <c r="S5539">
        <v>3.0047609999999998</v>
      </c>
      <c r="T5539">
        <v>-0.36300559999999998</v>
      </c>
      <c r="U5539">
        <v>0.26568599999999998</v>
      </c>
      <c r="V5539">
        <v>-0.1343522</v>
      </c>
      <c r="W5539">
        <v>-1.6353879999999999E-4</v>
      </c>
      <c r="X5539">
        <v>0.99093370000000003</v>
      </c>
      <c r="Y5539">
        <v>-9.0965100000000004E-3</v>
      </c>
      <c r="Z5539">
        <v>-7.4915789999999999E-3</v>
      </c>
      <c r="AA5539">
        <v>0.9999306</v>
      </c>
      <c r="AB5539">
        <v>30</v>
      </c>
      <c r="AC5539">
        <v>0.68389999999999396</v>
      </c>
      <c r="AD5539">
        <v>-0.10040199999999901</v>
      </c>
      <c r="AE5539">
        <v>5.6250000000005601E-2</v>
      </c>
      <c r="AF5539">
        <v>-1.7657977763776199E-3</v>
      </c>
      <c r="AG5539">
        <v>-0.10040199999999901</v>
      </c>
      <c r="AH5539">
        <v>0.67182471006487399</v>
      </c>
      <c r="AI5539">
        <v>98.499731181091505</v>
      </c>
      <c r="AJ5539">
        <v>90.150593637847294</v>
      </c>
      <c r="AK5539">
        <v>0.67928795123978103</v>
      </c>
      <c r="AL5539">
        <v>90.009370082420901</v>
      </c>
      <c r="AM5539">
        <v>97.721161999473097</v>
      </c>
      <c r="AN5539">
        <v>1.00000006909273</v>
      </c>
    </row>
    <row r="5540" spans="1:40" x14ac:dyDescent="0.25">
      <c r="A5540" t="str">
        <f>"20190305135938531"</f>
        <v>20190305135938531</v>
      </c>
      <c r="B5540" t="str">
        <f>"1551765578524934"</f>
        <v>1551765578524934</v>
      </c>
      <c r="C5540" t="s">
        <v>40</v>
      </c>
      <c r="D5540">
        <v>4.6437369999999998</v>
      </c>
      <c r="E5540">
        <v>0.54275410000000002</v>
      </c>
      <c r="F5540" t="s">
        <v>41</v>
      </c>
      <c r="G5540">
        <v>-282.11840000000001</v>
      </c>
      <c r="H5540">
        <v>1.013371</v>
      </c>
      <c r="I5540">
        <v>-62.371200000000002</v>
      </c>
      <c r="J5540">
        <v>-282.90890000000002</v>
      </c>
      <c r="K5540">
        <v>1.1246670000000001</v>
      </c>
      <c r="L5540">
        <v>-62.440119999999901</v>
      </c>
      <c r="M5540">
        <v>0.99598149999999996</v>
      </c>
      <c r="N5540">
        <v>-1.750386E-2</v>
      </c>
      <c r="O5540">
        <v>8.7832560000000004E-2</v>
      </c>
      <c r="P5540">
        <v>0.97588649999999999</v>
      </c>
      <c r="Q5540">
        <v>-9.7062290000000002E-3</v>
      </c>
      <c r="R5540">
        <v>0.21806310000000001</v>
      </c>
      <c r="S5540">
        <v>3.0047000000000001</v>
      </c>
      <c r="T5540">
        <v>-0.35709259999999998</v>
      </c>
      <c r="U5540">
        <v>0.28097529999999998</v>
      </c>
      <c r="V5540">
        <v>-0.13168529999999901</v>
      </c>
      <c r="W5540">
        <v>2.7712000000000001E-3</v>
      </c>
      <c r="X5540">
        <v>0.99128769999999999</v>
      </c>
      <c r="Y5540">
        <v>-5.6790540000000002E-3</v>
      </c>
      <c r="Z5540">
        <v>-8.4405169999999998E-3</v>
      </c>
      <c r="AA5540">
        <v>0.99994830000000001</v>
      </c>
      <c r="AB5540">
        <v>30</v>
      </c>
      <c r="AC5540">
        <v>0.79050000000000797</v>
      </c>
      <c r="AD5540">
        <v>-0.11129600000000001</v>
      </c>
      <c r="AE5540">
        <v>6.8919999999991405E-2</v>
      </c>
      <c r="AF5540">
        <v>7.7349761755204905E-4</v>
      </c>
      <c r="AG5540">
        <v>-0.11129600000000001</v>
      </c>
      <c r="AH5540">
        <v>0.778189150323779</v>
      </c>
      <c r="AI5540">
        <v>98.139198408489193</v>
      </c>
      <c r="AJ5540">
        <v>89.943049663008495</v>
      </c>
      <c r="AK5540">
        <v>0.78610797705926505</v>
      </c>
      <c r="AL5540">
        <v>89.841221732744003</v>
      </c>
      <c r="AM5540">
        <v>97.567019439660498</v>
      </c>
      <c r="AN5540">
        <v>1.00000000097841</v>
      </c>
    </row>
    <row r="5541" spans="1:40" x14ac:dyDescent="0.25">
      <c r="A5541" t="str">
        <f>"20190305135938542"</f>
        <v>20190305135938542</v>
      </c>
      <c r="B5541" t="str">
        <f>"1551765578534695"</f>
        <v>1551765578534695</v>
      </c>
      <c r="C5541" t="s">
        <v>40</v>
      </c>
      <c r="D5541">
        <v>4.6461379999999997</v>
      </c>
      <c r="E5541">
        <v>0.54305009999999998</v>
      </c>
      <c r="F5541" t="s">
        <v>41</v>
      </c>
      <c r="G5541">
        <v>-282.11020000000002</v>
      </c>
      <c r="H5541">
        <v>1.031576</v>
      </c>
      <c r="I5541">
        <v>-62.361649999999997</v>
      </c>
      <c r="J5541">
        <v>-282.76190000000003</v>
      </c>
      <c r="K5541">
        <v>1.1241369999999999</v>
      </c>
      <c r="L5541">
        <v>-62.420900000000003</v>
      </c>
      <c r="M5541">
        <v>0.9952493</v>
      </c>
      <c r="N5541">
        <v>-1.7342469999999999E-2</v>
      </c>
      <c r="O5541">
        <v>9.5802170000000006E-2</v>
      </c>
      <c r="P5541">
        <v>0.97465210000000002</v>
      </c>
      <c r="Q5541">
        <v>-6.1422959999999898E-3</v>
      </c>
      <c r="R5541">
        <v>0.2236418</v>
      </c>
      <c r="S5541">
        <v>3.0046080000000002</v>
      </c>
      <c r="T5541">
        <v>-0.35038330000000001</v>
      </c>
      <c r="U5541">
        <v>0.2954407</v>
      </c>
      <c r="V5541">
        <v>-0.12953680000000001</v>
      </c>
      <c r="W5541">
        <v>6.4389919999999897E-3</v>
      </c>
      <c r="X5541">
        <v>0.99155369999999998</v>
      </c>
      <c r="Y5541">
        <v>-2.4940750000000001E-3</v>
      </c>
      <c r="Z5541">
        <v>-9.2588770000000004E-3</v>
      </c>
      <c r="AA5541">
        <v>0.99995400000000001</v>
      </c>
      <c r="AB5541">
        <v>30</v>
      </c>
      <c r="AC5541">
        <v>0.65170000000000505</v>
      </c>
      <c r="AD5541">
        <v>-9.2561000000000102E-2</v>
      </c>
      <c r="AE5541">
        <v>5.9250000000005798E-2</v>
      </c>
      <c r="AF5541">
        <v>3.39828443869028E-3</v>
      </c>
      <c r="AG5541">
        <v>-9.2561000000000102E-2</v>
      </c>
      <c r="AH5541">
        <v>0.64154320230342099</v>
      </c>
      <c r="AI5541">
        <v>98.209791371282705</v>
      </c>
      <c r="AJ5541">
        <v>89.696504406601605</v>
      </c>
      <c r="AK5541">
        <v>0.648195007293217</v>
      </c>
      <c r="AL5541">
        <v>89.631070381602697</v>
      </c>
      <c r="AM5541">
        <v>97.442981822743405</v>
      </c>
      <c r="AN5541">
        <v>0.99999999157795205</v>
      </c>
    </row>
    <row r="5542" spans="1:40" x14ac:dyDescent="0.25">
      <c r="A5542" t="str">
        <f>"20190305135938552"</f>
        <v>20190305135938552</v>
      </c>
      <c r="B5542" t="str">
        <f>"1551765578544456"</f>
        <v>1551765578544456</v>
      </c>
      <c r="C5542" t="s">
        <v>40</v>
      </c>
      <c r="D5542">
        <v>4.6608910000000003</v>
      </c>
      <c r="E5542">
        <v>0.54342990000000002</v>
      </c>
      <c r="F5542" t="s">
        <v>41</v>
      </c>
      <c r="G5542">
        <v>-281.8528</v>
      </c>
      <c r="H5542">
        <v>1.0210250000000001</v>
      </c>
      <c r="I5542">
        <v>-62.327179999999998</v>
      </c>
      <c r="J5542">
        <v>-282.62860000000001</v>
      </c>
      <c r="K5542">
        <v>1.123605</v>
      </c>
      <c r="L5542">
        <v>-62.402619999999999</v>
      </c>
      <c r="M5542">
        <v>0.99456929999999999</v>
      </c>
      <c r="N5542">
        <v>-1.7192019999999999E-2</v>
      </c>
      <c r="O5542">
        <v>0.10264710000000001</v>
      </c>
      <c r="P5542">
        <v>0.97355290000000005</v>
      </c>
      <c r="Q5542">
        <v>-3.153421E-3</v>
      </c>
      <c r="R5542">
        <v>0.22844010000000001</v>
      </c>
      <c r="S5542">
        <v>3.004791</v>
      </c>
      <c r="T5542">
        <v>-0.34088420000000003</v>
      </c>
      <c r="U5542">
        <v>0.30987550000000003</v>
      </c>
      <c r="V5542">
        <v>-0.12768759999999901</v>
      </c>
      <c r="W5542">
        <v>9.5230750000000006E-3</v>
      </c>
      <c r="X5542">
        <v>0.99176869999999995</v>
      </c>
      <c r="Y5542">
        <v>-3.8316149999999998E-4</v>
      </c>
      <c r="Z5542">
        <v>-9.7617639999999992E-3</v>
      </c>
      <c r="AA5542">
        <v>0.99995230000000002</v>
      </c>
      <c r="AB5542">
        <v>30</v>
      </c>
      <c r="AC5542">
        <v>0.77580000000000304</v>
      </c>
      <c r="AD5542">
        <v>-0.10257999999999901</v>
      </c>
      <c r="AE5542">
        <v>7.5439999999993207E-2</v>
      </c>
      <c r="AF5542">
        <v>4.5256105561257802E-3</v>
      </c>
      <c r="AG5542">
        <v>-0.10257999999999901</v>
      </c>
      <c r="AH5542">
        <v>0.76617584594377997</v>
      </c>
      <c r="AI5542">
        <v>97.625605899391999</v>
      </c>
      <c r="AJ5542">
        <v>89.661571987154105</v>
      </c>
      <c r="AK5542">
        <v>0.77302559107611202</v>
      </c>
      <c r="AL5542">
        <v>89.454359737890698</v>
      </c>
      <c r="AM5542">
        <v>97.336322541328499</v>
      </c>
      <c r="AN5542">
        <v>0.99999998322545203</v>
      </c>
    </row>
    <row r="5543" spans="1:40" x14ac:dyDescent="0.25">
      <c r="A5543" t="str">
        <f>"20190305135938563"</f>
        <v>20190305135938563</v>
      </c>
      <c r="B5543" t="str">
        <f>"1551765578554215"</f>
        <v>1551765578554215</v>
      </c>
      <c r="C5543" t="s">
        <v>40</v>
      </c>
      <c r="D5543">
        <v>4.6729859999999999</v>
      </c>
      <c r="E5543">
        <v>0.54386009999999996</v>
      </c>
      <c r="F5543" t="s">
        <v>41</v>
      </c>
      <c r="G5543">
        <v>-281.84559999999999</v>
      </c>
      <c r="H5543">
        <v>1.0370649999999999</v>
      </c>
      <c r="I5543">
        <v>-62.318950000000001</v>
      </c>
      <c r="J5543">
        <v>-282.48779999999999</v>
      </c>
      <c r="K5543">
        <v>1.1230070000000001</v>
      </c>
      <c r="L5543">
        <v>-62.382660000000001</v>
      </c>
      <c r="M5543">
        <v>0.99384479999999997</v>
      </c>
      <c r="N5543">
        <v>-1.7034710000000002E-2</v>
      </c>
      <c r="O5543">
        <v>0.10946350000000001</v>
      </c>
      <c r="P5543">
        <v>0.97238519999999995</v>
      </c>
      <c r="Q5543">
        <v>-1.02954E-3</v>
      </c>
      <c r="R5543">
        <v>0.23337959999999999</v>
      </c>
      <c r="S5543">
        <v>3.0050349999999999</v>
      </c>
      <c r="T5543">
        <v>-0.33226450000000002</v>
      </c>
      <c r="U5543">
        <v>0.3212585</v>
      </c>
      <c r="V5543">
        <v>-0.12597439999999999</v>
      </c>
      <c r="W5543">
        <v>1.174358E-2</v>
      </c>
      <c r="X5543">
        <v>0.99196399999999996</v>
      </c>
      <c r="Y5543">
        <v>2.7101249999999999E-3</v>
      </c>
      <c r="Z5543">
        <v>-1.03088E-2</v>
      </c>
      <c r="AA5543">
        <v>0.99994320000000003</v>
      </c>
      <c r="AB5543">
        <v>30</v>
      </c>
      <c r="AC5543">
        <v>0.64220000000000199</v>
      </c>
      <c r="AD5543">
        <v>-8.5941999999999893E-2</v>
      </c>
      <c r="AE5543">
        <v>6.3709999999993203E-2</v>
      </c>
      <c r="AF5543">
        <v>6.8589806116352604E-3</v>
      </c>
      <c r="AG5543">
        <v>-8.5941999999999893E-2</v>
      </c>
      <c r="AH5543">
        <v>0.63406984966298596</v>
      </c>
      <c r="AI5543">
        <v>97.718400711220596</v>
      </c>
      <c r="AJ5543">
        <v>89.380233402718105</v>
      </c>
      <c r="AK5543">
        <v>0.63990440475954802</v>
      </c>
      <c r="AL5543">
        <v>89.327126975774505</v>
      </c>
      <c r="AM5543">
        <v>97.237531241400006</v>
      </c>
      <c r="AN5543">
        <v>1.0000000192112799</v>
      </c>
    </row>
    <row r="5544" spans="1:40" x14ac:dyDescent="0.25">
      <c r="A5544" t="str">
        <f>"20190305135938574"</f>
        <v>20190305135938574</v>
      </c>
      <c r="B5544" t="str">
        <f>"1551765578564951"</f>
        <v>1551765578564951</v>
      </c>
      <c r="C5544" t="s">
        <v>40</v>
      </c>
      <c r="D5544">
        <v>4.6578780000000002</v>
      </c>
      <c r="E5544">
        <v>0.54433030000000004</v>
      </c>
      <c r="F5544" t="s">
        <v>41</v>
      </c>
      <c r="G5544">
        <v>-281.58850000000001</v>
      </c>
      <c r="H5544">
        <v>1.024958</v>
      </c>
      <c r="I5544">
        <v>-62.283239999999999</v>
      </c>
      <c r="J5544">
        <v>-282.34300000000002</v>
      </c>
      <c r="K5544">
        <v>1.1223540000000001</v>
      </c>
      <c r="L5544">
        <v>-62.361539999999998</v>
      </c>
      <c r="M5544">
        <v>0.99309429999999999</v>
      </c>
      <c r="N5544">
        <v>-1.6875939999999999E-2</v>
      </c>
      <c r="O5544">
        <v>0.1160987</v>
      </c>
      <c r="P5544">
        <v>0.97118320000000002</v>
      </c>
      <c r="Q5544" s="1">
        <v>1.623109E-5</v>
      </c>
      <c r="R5544">
        <v>0.2383344</v>
      </c>
      <c r="S5544">
        <v>3.0049739999999998</v>
      </c>
      <c r="T5544">
        <v>-0.32795829999999998</v>
      </c>
      <c r="U5544">
        <v>0.33285520000000002</v>
      </c>
      <c r="V5544">
        <v>-0.12441579999999999</v>
      </c>
      <c r="W5544">
        <v>1.2887900000000001E-2</v>
      </c>
      <c r="X5544">
        <v>0.99214650000000004</v>
      </c>
      <c r="Y5544">
        <v>5.5395890000000001E-3</v>
      </c>
      <c r="Z5544">
        <v>-1.094613E-2</v>
      </c>
      <c r="AA5544">
        <v>0.9999247</v>
      </c>
      <c r="AB5544">
        <v>30</v>
      </c>
      <c r="AC5544">
        <v>0.75450000000000705</v>
      </c>
      <c r="AD5544">
        <v>-9.7395999999999996E-2</v>
      </c>
      <c r="AE5544">
        <v>7.8300000000005796E-2</v>
      </c>
      <c r="AF5544">
        <v>9.6790196577001501E-3</v>
      </c>
      <c r="AG5544">
        <v>-9.7395999999999996E-2</v>
      </c>
      <c r="AH5544">
        <v>0.74618666858163696</v>
      </c>
      <c r="AI5544">
        <v>97.435870856935693</v>
      </c>
      <c r="AJ5544">
        <v>89.256840278948005</v>
      </c>
      <c r="AK5544">
        <v>0.75257837373026903</v>
      </c>
      <c r="AL5544">
        <v>89.261557304580705</v>
      </c>
      <c r="AM5544">
        <v>97.147616715522403</v>
      </c>
      <c r="AN5544">
        <v>1.0000000333591399</v>
      </c>
    </row>
    <row r="5545" spans="1:40" x14ac:dyDescent="0.25">
      <c r="A5545" t="str">
        <f>"20190305135938586"</f>
        <v>20190305135938586</v>
      </c>
      <c r="B5545" t="str">
        <f>"1551765578574710"</f>
        <v>1551765578574710</v>
      </c>
      <c r="C5545" t="s">
        <v>40</v>
      </c>
      <c r="D5545">
        <v>4.701956</v>
      </c>
      <c r="E5545">
        <v>0.54479250000000001</v>
      </c>
      <c r="F5545" t="s">
        <v>41</v>
      </c>
      <c r="G5545">
        <v>-281.58210000000003</v>
      </c>
      <c r="H5545">
        <v>1.0396609999999999</v>
      </c>
      <c r="I5545">
        <v>-62.274540000000002</v>
      </c>
      <c r="J5545">
        <v>-282.19619999999998</v>
      </c>
      <c r="K5545">
        <v>1.121677</v>
      </c>
      <c r="L5545">
        <v>-62.339359999999999</v>
      </c>
      <c r="M5545">
        <v>0.99236069999999998</v>
      </c>
      <c r="N5545">
        <v>-1.671767E-2</v>
      </c>
      <c r="O5545">
        <v>0.1222323</v>
      </c>
      <c r="P5545">
        <v>0.97013400000000005</v>
      </c>
      <c r="Q5545">
        <v>6.6012519999999997E-4</v>
      </c>
      <c r="R5545">
        <v>0.24256829999999999</v>
      </c>
      <c r="S5545">
        <v>3.004486</v>
      </c>
      <c r="T5545">
        <v>-0.32689550000000001</v>
      </c>
      <c r="U5545">
        <v>0.34429929999999997</v>
      </c>
      <c r="V5545">
        <v>-0.1226067</v>
      </c>
      <c r="W5545">
        <v>1.3641240000000001E-2</v>
      </c>
      <c r="X5545">
        <v>0.99236159999999995</v>
      </c>
      <c r="Y5545">
        <v>7.9004929999999998E-3</v>
      </c>
      <c r="Z5545">
        <v>-1.1623629999999999E-2</v>
      </c>
      <c r="AA5545">
        <v>0.99990120000000005</v>
      </c>
      <c r="AB5545">
        <v>30</v>
      </c>
      <c r="AC5545">
        <v>0.61409999999995002</v>
      </c>
      <c r="AD5545">
        <v>-8.2015999999999797E-2</v>
      </c>
      <c r="AE5545">
        <v>6.4819999999997394E-2</v>
      </c>
      <c r="AF5545">
        <v>1.0553370739448399E-2</v>
      </c>
      <c r="AG5545">
        <v>-8.2015999999999797E-2</v>
      </c>
      <c r="AH5545">
        <v>0.60671542601112705</v>
      </c>
      <c r="AI5545">
        <v>97.697445109547303</v>
      </c>
      <c r="AJ5545">
        <v>89.003482348227806</v>
      </c>
      <c r="AK5545">
        <v>0.61232475537889897</v>
      </c>
      <c r="AL5545">
        <v>89.218390290925896</v>
      </c>
      <c r="AM5545">
        <v>97.043225190476505</v>
      </c>
      <c r="AN5545">
        <v>1.00000001573409</v>
      </c>
    </row>
    <row r="5546" spans="1:40" x14ac:dyDescent="0.25">
      <c r="A5546" t="str">
        <f>"20190305135938598"</f>
        <v>20190305135938598</v>
      </c>
      <c r="B5546" t="str">
        <f>"1551765578594231"</f>
        <v>1551765578594231</v>
      </c>
      <c r="C5546" t="s">
        <v>40</v>
      </c>
      <c r="D5546">
        <v>4.6275719999999998</v>
      </c>
      <c r="E5546">
        <v>0.54574579999999995</v>
      </c>
      <c r="F5546" t="s">
        <v>41</v>
      </c>
      <c r="G5546">
        <v>-281.3252</v>
      </c>
      <c r="H5546">
        <v>1.0268189999999999</v>
      </c>
      <c r="I5546">
        <v>-62.236870000000003</v>
      </c>
      <c r="J5546">
        <v>-282.04259999999999</v>
      </c>
      <c r="K5546">
        <v>1.120949</v>
      </c>
      <c r="L5546">
        <v>-62.315829999999998</v>
      </c>
      <c r="M5546">
        <v>0.99158579999999996</v>
      </c>
      <c r="N5546">
        <v>-1.6559580000000001E-2</v>
      </c>
      <c r="O5546">
        <v>0.12838840000000001</v>
      </c>
      <c r="P5546">
        <v>0.96914180000000005</v>
      </c>
      <c r="Q5546">
        <v>-5.7060269999999896E-4</v>
      </c>
      <c r="R5546">
        <v>0.2465039</v>
      </c>
      <c r="S5546">
        <v>3.004181</v>
      </c>
      <c r="T5546">
        <v>-0.32714880000000002</v>
      </c>
      <c r="U5546">
        <v>0.353485099999999</v>
      </c>
      <c r="V5546">
        <v>-0.12041350000000001</v>
      </c>
      <c r="W5546">
        <v>1.2536500000000001E-2</v>
      </c>
      <c r="X5546">
        <v>0.99264470000000005</v>
      </c>
      <c r="Y5546">
        <v>1.1028970000000001E-2</v>
      </c>
      <c r="Z5546">
        <v>-1.2404170000000001E-2</v>
      </c>
      <c r="AA5546">
        <v>0.99986229999999998</v>
      </c>
      <c r="AB5546">
        <v>30</v>
      </c>
      <c r="AC5546">
        <v>0.71739999999999704</v>
      </c>
      <c r="AD5546">
        <v>-9.4129999999999797E-2</v>
      </c>
      <c r="AE5546">
        <v>7.8960000000009203E-2</v>
      </c>
      <c r="AF5546">
        <v>1.35811016049808E-2</v>
      </c>
      <c r="AG5546">
        <v>-9.4129999999999797E-2</v>
      </c>
      <c r="AH5546">
        <v>0.70953096416690098</v>
      </c>
      <c r="AI5546">
        <v>97.5556542052135</v>
      </c>
      <c r="AJ5546">
        <v>88.903437858756106</v>
      </c>
      <c r="AK5546">
        <v>0.715876450466432</v>
      </c>
      <c r="AL5546">
        <v>89.281692671002205</v>
      </c>
      <c r="AM5546">
        <v>96.916513359324597</v>
      </c>
      <c r="AN5546">
        <v>1.0000000376262901</v>
      </c>
    </row>
    <row r="5547" spans="1:40" x14ac:dyDescent="0.25">
      <c r="A5547" t="str">
        <f>"20190305135938608"</f>
        <v>20190305135938608</v>
      </c>
      <c r="B5547" t="str">
        <f>"1551765578604966"</f>
        <v>1551765578604966</v>
      </c>
      <c r="C5547" t="s">
        <v>40</v>
      </c>
      <c r="D5547">
        <v>4.6398659999999996</v>
      </c>
      <c r="E5547">
        <v>0.54626949999999996</v>
      </c>
      <c r="F5547" t="s">
        <v>41</v>
      </c>
      <c r="G5547">
        <v>-281.3193</v>
      </c>
      <c r="H5547">
        <v>1.040465</v>
      </c>
      <c r="I5547">
        <v>-62.229680000000002</v>
      </c>
      <c r="J5547">
        <v>-281.899</v>
      </c>
      <c r="K5547">
        <v>1.120261</v>
      </c>
      <c r="L5547">
        <v>-62.293030000000002</v>
      </c>
      <c r="M5547">
        <v>0.99093810000000004</v>
      </c>
      <c r="N5547">
        <v>-1.641279E-2</v>
      </c>
      <c r="O5547">
        <v>0.133313299999999</v>
      </c>
      <c r="P5547">
        <v>0.96855380000000002</v>
      </c>
      <c r="Q5547">
        <v>-3.0591339999999998E-3</v>
      </c>
      <c r="R5547">
        <v>0.24878539999999999</v>
      </c>
      <c r="S5547">
        <v>3.0043030000000002</v>
      </c>
      <c r="T5547">
        <v>-0.33426060000000002</v>
      </c>
      <c r="U5547">
        <v>0.35781859999999999</v>
      </c>
      <c r="V5547">
        <v>-0.1177305</v>
      </c>
      <c r="W5547">
        <v>1.017679E-2</v>
      </c>
      <c r="X5547">
        <v>0.99299340000000003</v>
      </c>
      <c r="Y5547">
        <v>1.450153E-2</v>
      </c>
      <c r="Z5547">
        <v>-1.3410450000000001E-2</v>
      </c>
      <c r="AA5547">
        <v>0.9998049</v>
      </c>
      <c r="AB5547">
        <v>30</v>
      </c>
      <c r="AC5547">
        <v>0.57970000000000199</v>
      </c>
      <c r="AD5547">
        <v>-7.9795999999999895E-2</v>
      </c>
      <c r="AE5547">
        <v>6.3349999999999795E-2</v>
      </c>
      <c r="AF5547">
        <v>1.4241093563473899E-2</v>
      </c>
      <c r="AG5547">
        <v>-7.9795999999999895E-2</v>
      </c>
      <c r="AH5547">
        <v>0.57225575249074301</v>
      </c>
      <c r="AI5547">
        <v>97.935778095504602</v>
      </c>
      <c r="AJ5547">
        <v>88.574437786620905</v>
      </c>
      <c r="AK5547">
        <v>0.57796786815586099</v>
      </c>
      <c r="AL5547">
        <v>89.416902798399093</v>
      </c>
      <c r="AM5547">
        <v>96.761493329336403</v>
      </c>
      <c r="AN5547">
        <v>0.99999996506425604</v>
      </c>
    </row>
    <row r="5548" spans="1:40" x14ac:dyDescent="0.25">
      <c r="A5548" t="str">
        <f>"20190305135938621"</f>
        <v>20190305135938621</v>
      </c>
      <c r="B5548" t="str">
        <f>"1551765578614730"</f>
        <v>1551765578614730</v>
      </c>
      <c r="C5548" t="s">
        <v>40</v>
      </c>
      <c r="D5548">
        <v>4.6506749999999997</v>
      </c>
      <c r="E5548">
        <v>0.54684279999999996</v>
      </c>
      <c r="F5548" t="s">
        <v>41</v>
      </c>
      <c r="G5548">
        <v>-281.06310000000002</v>
      </c>
      <c r="H5548">
        <v>1.02508</v>
      </c>
      <c r="I5548">
        <v>-62.193109999999997</v>
      </c>
      <c r="J5548">
        <v>-281.7398</v>
      </c>
      <c r="K5548">
        <v>1.119499</v>
      </c>
      <c r="L5548">
        <v>-62.26755</v>
      </c>
      <c r="M5548">
        <v>0.99022540000000003</v>
      </c>
      <c r="N5548">
        <v>-1.6257750000000001E-2</v>
      </c>
      <c r="O5548">
        <v>0.1385256</v>
      </c>
      <c r="P5548">
        <v>0.96796079999999995</v>
      </c>
      <c r="Q5548">
        <v>-5.2644950000000001E-3</v>
      </c>
      <c r="R5548">
        <v>0.25104599999999999</v>
      </c>
      <c r="S5548">
        <v>3.0037539999999998</v>
      </c>
      <c r="T5548">
        <v>-0.34232620000000002</v>
      </c>
      <c r="U5548">
        <v>0.36013790000000001</v>
      </c>
      <c r="V5548">
        <v>-0.11475009999999999</v>
      </c>
      <c r="W5548">
        <v>8.1107360000000003E-3</v>
      </c>
      <c r="X5548">
        <v>0.9933613</v>
      </c>
      <c r="Y5548">
        <v>1.888397E-2</v>
      </c>
      <c r="Z5548">
        <v>-1.4585600000000001E-2</v>
      </c>
      <c r="AA5548">
        <v>0.99971529999999997</v>
      </c>
      <c r="AB5548">
        <v>30</v>
      </c>
      <c r="AC5548">
        <v>0.67669999999998198</v>
      </c>
      <c r="AD5548">
        <v>-9.4419000000000003E-2</v>
      </c>
      <c r="AE5548">
        <v>7.4440000000002698E-2</v>
      </c>
      <c r="AF5548">
        <v>1.9652516888759599E-2</v>
      </c>
      <c r="AG5548">
        <v>-9.4419000000000003E-2</v>
      </c>
      <c r="AH5548">
        <v>0.66764485491146697</v>
      </c>
      <c r="AI5548">
        <v>98.046007384415006</v>
      </c>
      <c r="AJ5548">
        <v>88.313952059297094</v>
      </c>
      <c r="AK5548">
        <v>0.67457454834200203</v>
      </c>
      <c r="AL5548">
        <v>89.535283972929406</v>
      </c>
      <c r="AM5548">
        <v>96.589428979798896</v>
      </c>
      <c r="AN5548">
        <v>1.0000000209130799</v>
      </c>
    </row>
    <row r="5549" spans="1:40" x14ac:dyDescent="0.25">
      <c r="A5549" t="str">
        <f>"20190305135938632"</f>
        <v>20190305135938632</v>
      </c>
      <c r="B5549" t="str">
        <f>"1551765578624486"</f>
        <v>1551765578624486</v>
      </c>
      <c r="C5549" t="s">
        <v>40</v>
      </c>
      <c r="D5549">
        <v>4.6715</v>
      </c>
      <c r="E5549">
        <v>0.54684279999999996</v>
      </c>
      <c r="F5549" t="s">
        <v>41</v>
      </c>
      <c r="G5549">
        <v>-280.80599999999998</v>
      </c>
      <c r="H5549">
        <v>1.01078</v>
      </c>
      <c r="I5549">
        <v>-62.155090000000001</v>
      </c>
      <c r="J5549">
        <v>-281.58870000000002</v>
      </c>
      <c r="K5549">
        <v>1.1187879999999999</v>
      </c>
      <c r="L5549">
        <v>-62.242829999999998</v>
      </c>
      <c r="M5549">
        <v>0.9896258</v>
      </c>
      <c r="N5549">
        <v>-1.6113499999999999E-2</v>
      </c>
      <c r="O5549">
        <v>0.14276229999999901</v>
      </c>
      <c r="P5549">
        <v>0.96768920000000003</v>
      </c>
      <c r="Q5549">
        <v>-7.081319E-3</v>
      </c>
      <c r="R5549">
        <v>0.25204690000000002</v>
      </c>
      <c r="S5549">
        <v>3.0035400000000001</v>
      </c>
      <c r="T5549">
        <v>-0.34972920000000002</v>
      </c>
      <c r="U5549">
        <v>0.36187740000000002</v>
      </c>
      <c r="V5549">
        <v>-0.11147020000000001</v>
      </c>
      <c r="W5549">
        <v>6.4261159999999999E-3</v>
      </c>
      <c r="X5549">
        <v>0.99374700000000005</v>
      </c>
      <c r="Y5549">
        <v>2.249551E-2</v>
      </c>
      <c r="Z5549">
        <v>-1.5616980000000001E-2</v>
      </c>
      <c r="AA5549">
        <v>0.99962499999999999</v>
      </c>
      <c r="AB5549">
        <v>30</v>
      </c>
      <c r="AC5549">
        <v>0.78270000000003304</v>
      </c>
      <c r="AD5549">
        <v>-0.10800799999999899</v>
      </c>
      <c r="AE5549">
        <v>8.7740000000003704E-2</v>
      </c>
      <c r="AF5549">
        <v>2.4453643163618002E-2</v>
      </c>
      <c r="AG5549">
        <v>-0.10800799999999899</v>
      </c>
      <c r="AH5549">
        <v>0.77267729102186899</v>
      </c>
      <c r="AI5549">
        <v>97.953546580689704</v>
      </c>
      <c r="AJ5549">
        <v>88.187311739988004</v>
      </c>
      <c r="AK5549">
        <v>0.780572805565802</v>
      </c>
      <c r="AL5549">
        <v>89.631808140515801</v>
      </c>
      <c r="AM5549">
        <v>96.400205795172099</v>
      </c>
      <c r="AN5549">
        <v>1.00000000023194</v>
      </c>
    </row>
    <row r="5550" spans="1:40" x14ac:dyDescent="0.25">
      <c r="A5550" t="str">
        <f>"20190305135938643"</f>
        <v>20190305135938643</v>
      </c>
      <c r="B5550" t="str">
        <f>"1551765578634247"</f>
        <v>1551765578634247</v>
      </c>
      <c r="C5550" t="s">
        <v>40</v>
      </c>
      <c r="D5550">
        <v>4.6373259999999998</v>
      </c>
      <c r="E5550">
        <v>0.56908110000000001</v>
      </c>
      <c r="F5550" t="s">
        <v>41</v>
      </c>
      <c r="G5550">
        <v>-280.79969999999997</v>
      </c>
      <c r="H5550">
        <v>1.025631</v>
      </c>
      <c r="I5550">
        <v>-62.147129999999997</v>
      </c>
      <c r="J5550">
        <v>-281.45069999999998</v>
      </c>
      <c r="K5550">
        <v>1.118163</v>
      </c>
      <c r="L5550">
        <v>-62.22</v>
      </c>
      <c r="M5550">
        <v>0.98911150000000003</v>
      </c>
      <c r="N5550">
        <v>-1.5987459999999998E-2</v>
      </c>
      <c r="O5550">
        <v>0.14629729999999999</v>
      </c>
      <c r="P5550">
        <v>0.96762680000000001</v>
      </c>
      <c r="Q5550">
        <v>-8.6390859999999903E-3</v>
      </c>
      <c r="R5550">
        <v>0.2522375</v>
      </c>
      <c r="S5550">
        <v>3.0026860000000002</v>
      </c>
      <c r="T5550">
        <v>-0.35461039999999999</v>
      </c>
      <c r="U5550">
        <v>0.36434939999999999</v>
      </c>
      <c r="V5550">
        <v>-0.1080724</v>
      </c>
      <c r="W5550">
        <v>4.9879989999999999E-3</v>
      </c>
      <c r="X5550">
        <v>0.99413050000000003</v>
      </c>
      <c r="Y5550">
        <v>2.5154880000000001E-2</v>
      </c>
      <c r="Z5550">
        <v>-1.6413460000000001E-2</v>
      </c>
      <c r="AA5550">
        <v>0.99954880000000002</v>
      </c>
      <c r="AB5550">
        <v>30</v>
      </c>
      <c r="AC5550">
        <v>0.65100000000001002</v>
      </c>
      <c r="AD5550">
        <v>-9.2532000000000003E-2</v>
      </c>
      <c r="AE5550">
        <v>7.2869999999994606E-2</v>
      </c>
      <c r="AF5550">
        <v>2.27127535597418E-2</v>
      </c>
      <c r="AG5550">
        <v>-9.2532000000000003E-2</v>
      </c>
      <c r="AH5550">
        <v>0.64184893266393095</v>
      </c>
      <c r="AI5550">
        <v>98.198450008162098</v>
      </c>
      <c r="AJ5550">
        <v>87.973351547419398</v>
      </c>
      <c r="AK5550">
        <v>0.64888218696470101</v>
      </c>
      <c r="AL5550">
        <v>89.714207520383496</v>
      </c>
      <c r="AM5550">
        <v>96.2042873333438</v>
      </c>
      <c r="AN5550">
        <v>0.99999998740301599</v>
      </c>
    </row>
    <row r="5551" spans="1:40" x14ac:dyDescent="0.25">
      <c r="A5551" t="str">
        <f>"20190305135938653"</f>
        <v>20190305135938653</v>
      </c>
      <c r="B5551" t="str">
        <f>"1551765578644007"</f>
        <v>1551765578644007</v>
      </c>
      <c r="C5551" t="s">
        <v>40</v>
      </c>
      <c r="D5551">
        <v>4.7327879999999896</v>
      </c>
      <c r="E5551">
        <v>0.57012499999999999</v>
      </c>
      <c r="F5551" t="s">
        <v>41</v>
      </c>
      <c r="G5551">
        <v>-280.54349999999999</v>
      </c>
      <c r="H5551">
        <v>0.99191300000000004</v>
      </c>
      <c r="I5551">
        <v>-62.164700000000003</v>
      </c>
      <c r="J5551">
        <v>-281.30130000000003</v>
      </c>
      <c r="K5551">
        <v>1.1175200000000001</v>
      </c>
      <c r="L5551">
        <v>-62.195010000000003</v>
      </c>
      <c r="M5551">
        <v>0.98860749999999997</v>
      </c>
      <c r="N5551">
        <v>-1.5855540000000001E-2</v>
      </c>
      <c r="O5551">
        <v>0.1496789</v>
      </c>
      <c r="P5551">
        <v>0.96762499999999996</v>
      </c>
      <c r="Q5551">
        <v>-9.5270049999999998E-3</v>
      </c>
      <c r="R5551">
        <v>0.25221270000000001</v>
      </c>
      <c r="S5551">
        <v>3.0479129999999999</v>
      </c>
      <c r="T5551">
        <v>-0.42422080000000001</v>
      </c>
      <c r="U5551">
        <v>0.186554</v>
      </c>
      <c r="V5551">
        <v>-0.1046212</v>
      </c>
      <c r="W5551">
        <v>4.2102850000000002E-3</v>
      </c>
      <c r="X5551">
        <v>0.99450329999999998</v>
      </c>
      <c r="Y5551">
        <v>8.6967420000000004E-2</v>
      </c>
      <c r="Z5551">
        <v>-2.4972339999999999E-2</v>
      </c>
      <c r="AA5551">
        <v>0.99589810000000001</v>
      </c>
      <c r="AB5551">
        <v>30</v>
      </c>
      <c r="AC5551">
        <v>0.757800000000031</v>
      </c>
      <c r="AD5551">
        <v>-0.125607</v>
      </c>
      <c r="AE5551">
        <v>3.0309999999992902E-2</v>
      </c>
      <c r="AF5551">
        <v>8.1243957997753496E-2</v>
      </c>
      <c r="AG5551">
        <v>-0.125607</v>
      </c>
      <c r="AH5551">
        <v>0.73367370559993295</v>
      </c>
      <c r="AI5551">
        <v>99.657104453880805</v>
      </c>
      <c r="AJ5551">
        <v>83.681049606358798</v>
      </c>
      <c r="AK5551">
        <v>0.74876885982850405</v>
      </c>
      <c r="AL5551">
        <v>89.7587677426162</v>
      </c>
      <c r="AM5551">
        <v>96.005395731746304</v>
      </c>
      <c r="AN5551">
        <v>1.00000006785005</v>
      </c>
    </row>
    <row r="5552" spans="1:40" x14ac:dyDescent="0.25">
      <c r="A5552" t="str">
        <f>"20190305135938664"</f>
        <v>20190305135938664</v>
      </c>
      <c r="B5552" t="str">
        <f>"1551765578654743"</f>
        <v>1551765578654743</v>
      </c>
      <c r="C5552" t="s">
        <v>40</v>
      </c>
      <c r="D5552">
        <v>4.653848</v>
      </c>
      <c r="E5552">
        <v>0.57020170000000003</v>
      </c>
      <c r="F5552" t="s">
        <v>41</v>
      </c>
      <c r="G5552">
        <v>-280.53809999999999</v>
      </c>
      <c r="H5552">
        <v>1.007198</v>
      </c>
      <c r="I5552">
        <v>-62.150959999999998</v>
      </c>
      <c r="J5552">
        <v>-281.16919999999999</v>
      </c>
      <c r="K5552">
        <v>1.116973</v>
      </c>
      <c r="L5552">
        <v>-62.172699999999999</v>
      </c>
      <c r="M5552">
        <v>0.98821630000000005</v>
      </c>
      <c r="N5552">
        <v>-1.5742780000000001E-2</v>
      </c>
      <c r="O5552">
        <v>0.15225329999999901</v>
      </c>
      <c r="P5552">
        <v>0.96779499999999996</v>
      </c>
      <c r="Q5552">
        <v>-1.0672320000000001E-2</v>
      </c>
      <c r="R5552">
        <v>0.25151370000000001</v>
      </c>
      <c r="S5552">
        <v>3.0499269999999998</v>
      </c>
      <c r="T5552">
        <v>-0.44094349999999999</v>
      </c>
      <c r="U5552">
        <v>0.1769104</v>
      </c>
      <c r="V5552">
        <v>-0.10128669999999999</v>
      </c>
      <c r="W5552">
        <v>3.157436E-3</v>
      </c>
      <c r="X5552">
        <v>0.99485219999999996</v>
      </c>
      <c r="Y5552">
        <v>9.2483010000000004E-2</v>
      </c>
      <c r="Z5552">
        <v>-2.6776069999999999E-2</v>
      </c>
      <c r="AA5552">
        <v>0.99535419999999997</v>
      </c>
      <c r="AB5552">
        <v>30</v>
      </c>
      <c r="AC5552">
        <v>0.63110000000000299</v>
      </c>
      <c r="AD5552">
        <v>-0.109774999999999</v>
      </c>
      <c r="AE5552">
        <v>2.1740000000001199E-2</v>
      </c>
      <c r="AF5552">
        <v>7.2423815428071497E-2</v>
      </c>
      <c r="AG5552">
        <v>-0.109774999999999</v>
      </c>
      <c r="AH5552">
        <v>0.60865722426261404</v>
      </c>
      <c r="AI5552">
        <v>100.153609615932</v>
      </c>
      <c r="AJ5552">
        <v>83.214309201774299</v>
      </c>
      <c r="AK5552">
        <v>0.62270328111647999</v>
      </c>
      <c r="AL5552">
        <v>89.819091930300104</v>
      </c>
      <c r="AM5552">
        <v>95.813298664942593</v>
      </c>
      <c r="AN5552">
        <v>0.99999993242190899</v>
      </c>
    </row>
    <row r="5553" spans="1:40" x14ac:dyDescent="0.25">
      <c r="A5553" t="str">
        <f>"20190305135938675"</f>
        <v>20190305135938675</v>
      </c>
      <c r="B5553" t="str">
        <f>"1551765578664503"</f>
        <v>1551765578664503</v>
      </c>
      <c r="C5553" t="s">
        <v>40</v>
      </c>
      <c r="D5553">
        <v>4.6376619999999997</v>
      </c>
      <c r="E5553">
        <v>0.57013179999999997</v>
      </c>
      <c r="F5553" t="s">
        <v>41</v>
      </c>
      <c r="G5553">
        <v>-280.28039999999999</v>
      </c>
      <c r="H5553">
        <v>0.98883840000000001</v>
      </c>
      <c r="I5553">
        <v>-62.1220199999999</v>
      </c>
      <c r="J5553">
        <v>-281.02429999999998</v>
      </c>
      <c r="K5553">
        <v>1.1163909999999999</v>
      </c>
      <c r="L5553">
        <v>-62.148009999999999</v>
      </c>
      <c r="M5553">
        <v>0.98782550000000002</v>
      </c>
      <c r="N5553">
        <v>-1.5622399999999899E-2</v>
      </c>
      <c r="O5553">
        <v>0.1547799</v>
      </c>
      <c r="P5553">
        <v>0.96788629999999998</v>
      </c>
      <c r="Q5553">
        <v>-1.245505E-2</v>
      </c>
      <c r="R5553">
        <v>0.25107990000000002</v>
      </c>
      <c r="S5553">
        <v>3.0498050000000001</v>
      </c>
      <c r="T5553">
        <v>-0.43972489999999997</v>
      </c>
      <c r="U5553">
        <v>0.1739502</v>
      </c>
      <c r="V5553">
        <v>-9.8263439999999994E-2</v>
      </c>
      <c r="W5553">
        <v>1.453701E-3</v>
      </c>
      <c r="X5553">
        <v>0.99515940000000003</v>
      </c>
      <c r="Y5553">
        <v>9.5940319999999996E-2</v>
      </c>
      <c r="Z5553">
        <v>-2.7306469999999999E-2</v>
      </c>
      <c r="AA5553">
        <v>0.99501249999999997</v>
      </c>
      <c r="AB5553">
        <v>30</v>
      </c>
      <c r="AC5553">
        <v>0.74389999999999601</v>
      </c>
      <c r="AD5553">
        <v>-0.12755259999999899</v>
      </c>
      <c r="AE5553">
        <v>2.5990000000007198E-2</v>
      </c>
      <c r="AF5553">
        <v>8.6925588760753597E-2</v>
      </c>
      <c r="AG5553">
        <v>-0.12755259999999899</v>
      </c>
      <c r="AH5553">
        <v>0.717876324672029</v>
      </c>
      <c r="AI5553">
        <v>100.00361481357</v>
      </c>
      <c r="AJ5553">
        <v>83.095830373455996</v>
      </c>
      <c r="AK5553">
        <v>0.73428342026276505</v>
      </c>
      <c r="AL5553">
        <v>89.916709040701605</v>
      </c>
      <c r="AM5553">
        <v>95.639186227387896</v>
      </c>
      <c r="AN5553">
        <v>1.00000002414779</v>
      </c>
    </row>
    <row r="5554" spans="1:40" x14ac:dyDescent="0.25">
      <c r="A5554" t="str">
        <f>"20190305135938686"</f>
        <v>20190305135938686</v>
      </c>
      <c r="B5554" t="str">
        <f>"1551765578684023"</f>
        <v>1551765578684023</v>
      </c>
      <c r="C5554" t="s">
        <v>40</v>
      </c>
      <c r="D5554">
        <v>4.7259370000000001</v>
      </c>
      <c r="E5554">
        <v>0.57131549999999998</v>
      </c>
      <c r="F5554" t="s">
        <v>41</v>
      </c>
      <c r="G5554">
        <v>-280.27350000000001</v>
      </c>
      <c r="H5554">
        <v>1.00822099999999</v>
      </c>
      <c r="I5554">
        <v>-62.105510000000002</v>
      </c>
      <c r="J5554">
        <v>-280.87619999999998</v>
      </c>
      <c r="K5554">
        <v>1.115807</v>
      </c>
      <c r="L5554">
        <v>-62.122619999999998</v>
      </c>
      <c r="M5554">
        <v>0.98750610000000005</v>
      </c>
      <c r="N5554">
        <v>-1.5503899999999999E-2</v>
      </c>
      <c r="O5554">
        <v>0.15681639999999999</v>
      </c>
      <c r="P5554">
        <v>0.96797100000000003</v>
      </c>
      <c r="Q5554">
        <v>-1.460127E-2</v>
      </c>
      <c r="R5554">
        <v>0.2506371</v>
      </c>
      <c r="S5554">
        <v>3.0491329999999999</v>
      </c>
      <c r="T5554">
        <v>-0.43930170000000002</v>
      </c>
      <c r="U5554">
        <v>0.17263789999999901</v>
      </c>
      <c r="V5554">
        <v>-9.5724939999999994E-2</v>
      </c>
      <c r="W5554">
        <v>-6.2789949999999997E-4</v>
      </c>
      <c r="X5554">
        <v>0.99540759999999995</v>
      </c>
      <c r="Y5554">
        <v>9.8364259999999995E-2</v>
      </c>
      <c r="Z5554">
        <v>-2.7747299999999999E-2</v>
      </c>
      <c r="AA5554">
        <v>0.99476359999999997</v>
      </c>
      <c r="AB5554">
        <v>30</v>
      </c>
      <c r="AC5554">
        <v>0.60269999999997004</v>
      </c>
      <c r="AD5554">
        <v>-0.107586</v>
      </c>
      <c r="AE5554">
        <v>1.7110000000002401E-2</v>
      </c>
      <c r="AF5554">
        <v>7.52310620616857E-2</v>
      </c>
      <c r="AG5554">
        <v>-0.107586</v>
      </c>
      <c r="AH5554">
        <v>0.57947500741653801</v>
      </c>
      <c r="AI5554">
        <v>100.432237931706</v>
      </c>
      <c r="AJ5554">
        <v>82.6028782825382</v>
      </c>
      <c r="AK5554">
        <v>0.59415969597013796</v>
      </c>
      <c r="AL5554">
        <v>90.035975994598104</v>
      </c>
      <c r="AM5554">
        <v>95.493047205928207</v>
      </c>
      <c r="AN5554">
        <v>0.99999997426677201</v>
      </c>
    </row>
    <row r="5555" spans="1:40" x14ac:dyDescent="0.25">
      <c r="A5555" t="str">
        <f>"20190305135938697"</f>
        <v>20190305135938697</v>
      </c>
      <c r="B5555" t="str">
        <f>"1551765578694758"</f>
        <v>1551765578694758</v>
      </c>
      <c r="C5555" t="s">
        <v>40</v>
      </c>
      <c r="D5555">
        <v>4.6770180000000003</v>
      </c>
      <c r="E5555">
        <v>0.57151419999999997</v>
      </c>
      <c r="F5555" t="s">
        <v>41</v>
      </c>
      <c r="G5555">
        <v>-280.01560000000001</v>
      </c>
      <c r="H5555">
        <v>0.98969169999999995</v>
      </c>
      <c r="I5555">
        <v>-62.077530000000003</v>
      </c>
      <c r="J5555">
        <v>-280.72280000000001</v>
      </c>
      <c r="K5555">
        <v>1.115211</v>
      </c>
      <c r="L5555">
        <v>-62.096249999999998</v>
      </c>
      <c r="M5555">
        <v>0.98720280000000005</v>
      </c>
      <c r="N5555">
        <v>-1.5384429999999999E-2</v>
      </c>
      <c r="O5555">
        <v>0.1587266</v>
      </c>
      <c r="P5555">
        <v>0.96797699999999998</v>
      </c>
      <c r="Q5555">
        <v>-1.6633519999999999E-2</v>
      </c>
      <c r="R5555">
        <v>0.25048740000000003</v>
      </c>
      <c r="S5555">
        <v>3.0510250000000001</v>
      </c>
      <c r="T5555">
        <v>-0.44711200000000001</v>
      </c>
      <c r="U5555">
        <v>0.1603088</v>
      </c>
      <c r="V5555">
        <v>-9.3622230000000001E-2</v>
      </c>
      <c r="W5555">
        <v>-2.606096E-3</v>
      </c>
      <c r="X5555">
        <v>0.99560439999999994</v>
      </c>
      <c r="Y5555">
        <v>0.1041575</v>
      </c>
      <c r="Z5555">
        <v>-2.8976809999999999E-2</v>
      </c>
      <c r="AA5555">
        <v>0.99413859999999998</v>
      </c>
      <c r="AB5555">
        <v>30</v>
      </c>
      <c r="AC5555">
        <v>0.70720000000000005</v>
      </c>
      <c r="AD5555">
        <v>-0.1255193</v>
      </c>
      <c r="AE5555">
        <v>1.8719999999994699E-2</v>
      </c>
      <c r="AF5555">
        <v>9.0919960922786106E-2</v>
      </c>
      <c r="AG5555">
        <v>-0.1255193</v>
      </c>
      <c r="AH5555">
        <v>0.67980399283357895</v>
      </c>
      <c r="AI5555">
        <v>100.370982013325</v>
      </c>
      <c r="AJ5555">
        <v>82.382218231792095</v>
      </c>
      <c r="AK5555">
        <v>0.69724816431394598</v>
      </c>
      <c r="AL5555">
        <v>90.149318468216094</v>
      </c>
      <c r="AM5555">
        <v>95.372044171358695</v>
      </c>
      <c r="AN5555">
        <v>1.00000001749294</v>
      </c>
    </row>
    <row r="5556" spans="1:40" x14ac:dyDescent="0.25">
      <c r="A5556" t="str">
        <f>"20190305135938711"</f>
        <v>20190305135938711</v>
      </c>
      <c r="B5556" t="str">
        <f>"1551765578704518"</f>
        <v>1551765578704518</v>
      </c>
      <c r="C5556" t="s">
        <v>40</v>
      </c>
      <c r="D5556">
        <v>4.700742</v>
      </c>
      <c r="E5556">
        <v>0.57218040000000003</v>
      </c>
      <c r="F5556" t="s">
        <v>41</v>
      </c>
      <c r="G5556">
        <v>-280.00839999999999</v>
      </c>
      <c r="H5556">
        <v>1.0102420000000001</v>
      </c>
      <c r="I5556">
        <v>-62.059660000000001</v>
      </c>
      <c r="J5556">
        <v>-280.5609</v>
      </c>
      <c r="K5556">
        <v>1.114563</v>
      </c>
      <c r="L5556">
        <v>-62.068390000000001</v>
      </c>
      <c r="M5556">
        <v>0.98699899999999996</v>
      </c>
      <c r="N5556">
        <v>-1.526718E-2</v>
      </c>
      <c r="O5556">
        <v>0.16000020000000001</v>
      </c>
      <c r="P5556">
        <v>0.96805399999999997</v>
      </c>
      <c r="Q5556">
        <v>-1.7919750000000002E-2</v>
      </c>
      <c r="R5556">
        <v>0.25010100000000002</v>
      </c>
      <c r="S5556">
        <v>3.0509949999999999</v>
      </c>
      <c r="T5556">
        <v>-0.44827719999999999</v>
      </c>
      <c r="U5556">
        <v>0.15686040000000001</v>
      </c>
      <c r="V5556">
        <v>-9.193163E-2</v>
      </c>
      <c r="W5556">
        <v>-3.8365399999999998E-3</v>
      </c>
      <c r="X5556">
        <v>0.99575789999999997</v>
      </c>
      <c r="Y5556">
        <v>0.1065059</v>
      </c>
      <c r="Z5556">
        <v>-2.942374E-2</v>
      </c>
      <c r="AA5556">
        <v>0.9938766</v>
      </c>
      <c r="AB5556">
        <v>30</v>
      </c>
      <c r="AC5556">
        <v>0.55250000000000898</v>
      </c>
      <c r="AD5556">
        <v>-0.104320999999999</v>
      </c>
      <c r="AE5556">
        <v>8.7299999999998993E-3</v>
      </c>
      <c r="AF5556">
        <v>7.7046748499801795E-2</v>
      </c>
      <c r="AG5556">
        <v>-0.104320999999999</v>
      </c>
      <c r="AH5556">
        <v>0.52795952885647701</v>
      </c>
      <c r="AI5556">
        <v>101.06300816135099</v>
      </c>
      <c r="AJ5556">
        <v>81.697260299238195</v>
      </c>
      <c r="AK5556">
        <v>0.543654611500487</v>
      </c>
      <c r="AL5556">
        <v>90.219818095886595</v>
      </c>
      <c r="AM5556">
        <v>95.274781210558203</v>
      </c>
      <c r="AN5556">
        <v>0.99999996952301795</v>
      </c>
    </row>
    <row r="5557" spans="1:40" x14ac:dyDescent="0.25">
      <c r="A5557" t="str">
        <f>"20190305135938723"</f>
        <v>20190305135938723</v>
      </c>
      <c r="B5557" t="str">
        <f>"1551765578714278"</f>
        <v>1551765578714278</v>
      </c>
      <c r="C5557" t="s">
        <v>40</v>
      </c>
      <c r="D5557">
        <v>4.7419370000000001</v>
      </c>
      <c r="E5557">
        <v>0.5722159</v>
      </c>
      <c r="F5557" t="s">
        <v>41</v>
      </c>
      <c r="G5557">
        <v>-279.74860000000001</v>
      </c>
      <c r="H5557">
        <v>0.99590610000000002</v>
      </c>
      <c r="I5557">
        <v>-62.028649999999999</v>
      </c>
      <c r="J5557">
        <v>-280.40440000000001</v>
      </c>
      <c r="K5557">
        <v>1.1139239999999999</v>
      </c>
      <c r="L5557">
        <v>-62.041469999999997</v>
      </c>
      <c r="M5557">
        <v>0.98683829999999995</v>
      </c>
      <c r="N5557">
        <v>-1.515935E-2</v>
      </c>
      <c r="O5557">
        <v>0.16099810000000001</v>
      </c>
      <c r="P5557">
        <v>0.96828590000000003</v>
      </c>
      <c r="Q5557">
        <v>-1.852465E-2</v>
      </c>
      <c r="R5557">
        <v>0.2491573</v>
      </c>
      <c r="S5557">
        <v>3.0521850000000001</v>
      </c>
      <c r="T5557">
        <v>-0.44586290000000001</v>
      </c>
      <c r="U5557">
        <v>0.14926149999999999</v>
      </c>
      <c r="V5557">
        <v>-8.9955080000000007E-2</v>
      </c>
      <c r="W5557">
        <v>-4.3804129999999997E-3</v>
      </c>
      <c r="X5557">
        <v>0.99593620000000005</v>
      </c>
      <c r="Y5557">
        <v>0.1099786</v>
      </c>
      <c r="Z5557">
        <v>-2.9667240000000001E-2</v>
      </c>
      <c r="AA5557">
        <v>0.99349109999999996</v>
      </c>
      <c r="AB5557">
        <v>30</v>
      </c>
      <c r="AC5557">
        <v>0.65579999999999905</v>
      </c>
      <c r="AD5557">
        <v>-0.118017899999999</v>
      </c>
      <c r="AE5557">
        <v>1.28199999999978E-2</v>
      </c>
      <c r="AF5557">
        <v>9.0027478938780894E-2</v>
      </c>
      <c r="AG5557">
        <v>-0.118017899999999</v>
      </c>
      <c r="AH5557">
        <v>0.628946094207258</v>
      </c>
      <c r="AI5557">
        <v>100.522796610546</v>
      </c>
      <c r="AJ5557">
        <v>81.854003832521997</v>
      </c>
      <c r="AK5557">
        <v>0.64622469861732101</v>
      </c>
      <c r="AL5557">
        <v>90.250979977690704</v>
      </c>
      <c r="AM5557">
        <v>95.161072483399806</v>
      </c>
      <c r="AN5557">
        <v>1.00000000945314</v>
      </c>
    </row>
    <row r="5558" spans="1:40" x14ac:dyDescent="0.25">
      <c r="A5558" t="str">
        <f>"20190305135938732"</f>
        <v>20190305135938732</v>
      </c>
      <c r="B5558" t="str">
        <f>"1551765578724039"</f>
        <v>1551765578724039</v>
      </c>
      <c r="C5558" t="s">
        <v>40</v>
      </c>
      <c r="D5558">
        <v>4.7744169999999997</v>
      </c>
      <c r="E5558">
        <v>0.57273450000000004</v>
      </c>
      <c r="F5558" t="s">
        <v>41</v>
      </c>
      <c r="G5558">
        <v>-279.4889</v>
      </c>
      <c r="H5558">
        <v>0.98095810000000006</v>
      </c>
      <c r="I5558">
        <v>-61.998139999999999</v>
      </c>
      <c r="J5558">
        <v>-280.25619999999998</v>
      </c>
      <c r="K5558">
        <v>1.113305</v>
      </c>
      <c r="L5558">
        <v>-62.016109999999998</v>
      </c>
      <c r="M5558">
        <v>0.98675299999999999</v>
      </c>
      <c r="N5558">
        <v>-1.506475E-2</v>
      </c>
      <c r="O5558">
        <v>0.16152900000000001</v>
      </c>
      <c r="P5558">
        <v>0.9687249</v>
      </c>
      <c r="Q5558">
        <v>-1.8291519999999999E-2</v>
      </c>
      <c r="R5558">
        <v>0.24746270000000001</v>
      </c>
      <c r="S5558">
        <v>3.0523989999999999</v>
      </c>
      <c r="T5558">
        <v>-0.44314910000000002</v>
      </c>
      <c r="U5558">
        <v>0.14529420000000001</v>
      </c>
      <c r="V5558">
        <v>-8.7683990000000003E-2</v>
      </c>
      <c r="W5558">
        <v>-4.0790999999999996E-3</v>
      </c>
      <c r="X5558">
        <v>0.99614000000000003</v>
      </c>
      <c r="Y5558">
        <v>0.1118109</v>
      </c>
      <c r="Z5558">
        <v>-2.9701869999999998E-2</v>
      </c>
      <c r="AA5558">
        <v>0.99328550000000004</v>
      </c>
      <c r="AB5558">
        <v>30</v>
      </c>
      <c r="AC5558">
        <v>0.767299999999977</v>
      </c>
      <c r="AD5558">
        <v>-0.13234689999999899</v>
      </c>
      <c r="AE5558">
        <v>1.7969999999998199E-2</v>
      </c>
      <c r="AF5558">
        <v>0.103154078301539</v>
      </c>
      <c r="AG5558">
        <v>-0.13234689999999899</v>
      </c>
      <c r="AH5558">
        <v>0.73817530253862096</v>
      </c>
      <c r="AI5558">
        <v>100.068719742506</v>
      </c>
      <c r="AJ5558">
        <v>82.044889395129005</v>
      </c>
      <c r="AK5558">
        <v>0.75700676554957902</v>
      </c>
      <c r="AL5558">
        <v>90.233715859924203</v>
      </c>
      <c r="AM5558">
        <v>95.0304245632435</v>
      </c>
      <c r="AN5558">
        <v>1.0000000103795601</v>
      </c>
    </row>
    <row r="5559" spans="1:40" x14ac:dyDescent="0.25">
      <c r="A5559" t="str">
        <f>"20190305135938744"</f>
        <v>20190305135938744</v>
      </c>
      <c r="B5559" t="str">
        <f>"1551765578734774"</f>
        <v>1551765578734774</v>
      </c>
      <c r="C5559" t="s">
        <v>40</v>
      </c>
      <c r="D5559">
        <v>4.7638550000000004</v>
      </c>
      <c r="E5559">
        <v>0.57348199999999905</v>
      </c>
      <c r="F5559" t="s">
        <v>41</v>
      </c>
      <c r="G5559">
        <v>-279.48149999999998</v>
      </c>
      <c r="H5559">
        <v>1.0016780000000001</v>
      </c>
      <c r="I5559">
        <v>-61.981909999999999</v>
      </c>
      <c r="J5559">
        <v>-280.11419999999998</v>
      </c>
      <c r="K5559">
        <v>1.112714</v>
      </c>
      <c r="L5559">
        <v>-61.99203</v>
      </c>
      <c r="M5559">
        <v>0.98671929999999997</v>
      </c>
      <c r="N5559">
        <v>-1.4981939999999999E-2</v>
      </c>
      <c r="O5559">
        <v>0.16174259999999999</v>
      </c>
      <c r="P5559">
        <v>0.96922410000000003</v>
      </c>
      <c r="Q5559">
        <v>-1.710339E-2</v>
      </c>
      <c r="R5559">
        <v>0.24558579999999999</v>
      </c>
      <c r="S5559">
        <v>3.0538639999999999</v>
      </c>
      <c r="T5559">
        <v>-0.4398512</v>
      </c>
      <c r="U5559">
        <v>0.13580320000000001</v>
      </c>
      <c r="V5559">
        <v>-8.5550470000000003E-2</v>
      </c>
      <c r="W5559">
        <v>-2.8239770000000001E-3</v>
      </c>
      <c r="X5559">
        <v>0.99632980000000004</v>
      </c>
      <c r="Y5559">
        <v>0.11512989999999999</v>
      </c>
      <c r="Z5559">
        <v>-2.9758409999999999E-2</v>
      </c>
      <c r="AA5559">
        <v>0.99290460000000003</v>
      </c>
      <c r="AB5559">
        <v>30</v>
      </c>
      <c r="AC5559">
        <v>0.63269999999999904</v>
      </c>
      <c r="AD5559">
        <v>-0.111035999999999</v>
      </c>
      <c r="AE5559">
        <v>1.01200000000076E-2</v>
      </c>
      <c r="AF5559">
        <v>8.9600436533459504E-2</v>
      </c>
      <c r="AG5559">
        <v>-0.111035999999999</v>
      </c>
      <c r="AH5559">
        <v>0.607304963080597</v>
      </c>
      <c r="AI5559">
        <v>100.252582492342</v>
      </c>
      <c r="AJ5559">
        <v>81.607253486016702</v>
      </c>
      <c r="AK5559">
        <v>0.623840163587847</v>
      </c>
      <c r="AL5559">
        <v>90.161802184414597</v>
      </c>
      <c r="AM5559">
        <v>94.907699576814807</v>
      </c>
      <c r="AN5559">
        <v>0.99999996406567804</v>
      </c>
    </row>
    <row r="5560" spans="1:40" x14ac:dyDescent="0.25">
      <c r="A5560" t="str">
        <f>"20190305135938754"</f>
        <v>20190305135938754</v>
      </c>
      <c r="B5560" t="str">
        <f>"1551765578744535"</f>
        <v>1551765578744535</v>
      </c>
      <c r="C5560" t="s">
        <v>40</v>
      </c>
      <c r="D5560">
        <v>4.7569049999999997</v>
      </c>
      <c r="E5560">
        <v>0.57453109999999996</v>
      </c>
      <c r="F5560" t="s">
        <v>41</v>
      </c>
      <c r="G5560">
        <v>-279.22179999999997</v>
      </c>
      <c r="H5560">
        <v>0.98494420000000005</v>
      </c>
      <c r="I5560">
        <v>-61.955689999999997</v>
      </c>
      <c r="J5560">
        <v>-279.97680000000003</v>
      </c>
      <c r="K5560">
        <v>1.112141</v>
      </c>
      <c r="L5560">
        <v>-61.96893</v>
      </c>
      <c r="M5560">
        <v>0.9867224</v>
      </c>
      <c r="N5560">
        <v>-1.4907180000000001E-2</v>
      </c>
      <c r="O5560">
        <v>0.16172990000000001</v>
      </c>
      <c r="P5560">
        <v>0.96975889999999998</v>
      </c>
      <c r="Q5560">
        <v>-1.5581599999999999E-2</v>
      </c>
      <c r="R5560">
        <v>0.24356729999999999</v>
      </c>
      <c r="S5560">
        <v>3.0560299999999998</v>
      </c>
      <c r="T5560">
        <v>-0.4376061</v>
      </c>
      <c r="U5560">
        <v>0.12429809999999999</v>
      </c>
      <c r="V5560">
        <v>-8.3497719999999997E-2</v>
      </c>
      <c r="W5560">
        <v>-1.237665E-3</v>
      </c>
      <c r="X5560">
        <v>0.99650720000000004</v>
      </c>
      <c r="Y5560">
        <v>0.1188665</v>
      </c>
      <c r="Z5560">
        <v>-2.9882550000000001E-2</v>
      </c>
      <c r="AA5560">
        <v>0.99246049999999997</v>
      </c>
      <c r="AB5560">
        <v>30</v>
      </c>
      <c r="AC5560">
        <v>0.75500000000005196</v>
      </c>
      <c r="AD5560">
        <v>-0.1271968</v>
      </c>
      <c r="AE5560">
        <v>1.3240000000003201E-2</v>
      </c>
      <c r="AF5560">
        <v>0.10604504211044299</v>
      </c>
      <c r="AG5560">
        <v>-0.1271968</v>
      </c>
      <c r="AH5560">
        <v>0.72658350092224899</v>
      </c>
      <c r="AI5560">
        <v>99.827606733900794</v>
      </c>
      <c r="AJ5560">
        <v>81.696295923258802</v>
      </c>
      <c r="AK5560">
        <v>0.74521685481400501</v>
      </c>
      <c r="AL5560">
        <v>90.070912999030099</v>
      </c>
      <c r="AM5560">
        <v>94.789647124941197</v>
      </c>
      <c r="AN5560">
        <v>1.00000000035584</v>
      </c>
    </row>
    <row r="5561" spans="1:40" x14ac:dyDescent="0.25">
      <c r="A5561" t="str">
        <f>"20190305135938766"</f>
        <v>20190305135938766</v>
      </c>
      <c r="B5561" t="str">
        <f>"1551765578754295"</f>
        <v>1551765578754295</v>
      </c>
      <c r="C5561" t="s">
        <v>40</v>
      </c>
      <c r="D5561">
        <v>4.8072980000000003</v>
      </c>
      <c r="E5561">
        <v>0.57522340000000005</v>
      </c>
      <c r="F5561" t="s">
        <v>41</v>
      </c>
      <c r="G5561">
        <v>-279.21510000000001</v>
      </c>
      <c r="H5561">
        <v>1.0033890000000001</v>
      </c>
      <c r="I5561">
        <v>-61.941540000000003</v>
      </c>
      <c r="J5561">
        <v>-279.83069999999998</v>
      </c>
      <c r="K5561">
        <v>1.1115379999999999</v>
      </c>
      <c r="L5561">
        <v>-61.944699999999997</v>
      </c>
      <c r="M5561">
        <v>0.98678299999999997</v>
      </c>
      <c r="N5561">
        <v>-1.483514E-2</v>
      </c>
      <c r="O5561">
        <v>0.16136639999999999</v>
      </c>
      <c r="P5561">
        <v>0.97035859999999996</v>
      </c>
      <c r="Q5561">
        <v>-1.3738129999999999E-2</v>
      </c>
      <c r="R5561">
        <v>0.2412792</v>
      </c>
      <c r="S5561">
        <v>3.0589599999999999</v>
      </c>
      <c r="T5561">
        <v>-0.43686390000000003</v>
      </c>
      <c r="U5561">
        <v>0.10983279999999999</v>
      </c>
      <c r="V5561">
        <v>-8.1519939999999999E-2</v>
      </c>
      <c r="W5561">
        <v>6.7264210000000002E-4</v>
      </c>
      <c r="X5561">
        <v>0.99667150000000004</v>
      </c>
      <c r="Y5561">
        <v>0.1231917</v>
      </c>
      <c r="Z5561">
        <v>-3.0106170000000002E-2</v>
      </c>
      <c r="AA5561">
        <v>0.99192610000000003</v>
      </c>
      <c r="AB5561">
        <v>30</v>
      </c>
      <c r="AC5561">
        <v>0.61559999999997195</v>
      </c>
      <c r="AD5561">
        <v>-0.108149</v>
      </c>
      <c r="AE5561">
        <v>3.1599999999940499E-3</v>
      </c>
      <c r="AF5561">
        <v>9.3348513505469105E-2</v>
      </c>
      <c r="AG5561">
        <v>-0.108149</v>
      </c>
      <c r="AH5561">
        <v>0.58983643342671999</v>
      </c>
      <c r="AI5561">
        <v>100.265023836731</v>
      </c>
      <c r="AJ5561">
        <v>81.006860835517401</v>
      </c>
      <c r="AK5561">
        <v>0.60689139833436001</v>
      </c>
      <c r="AL5561">
        <v>89.961460444257199</v>
      </c>
      <c r="AM5561">
        <v>94.6759382690081</v>
      </c>
      <c r="AN5561">
        <v>1.00000001598862</v>
      </c>
    </row>
    <row r="5562" spans="1:40" x14ac:dyDescent="0.25">
      <c r="A5562" t="str">
        <f>"20190305135938776"</f>
        <v>20190305135938776</v>
      </c>
      <c r="B5562" t="str">
        <f>"1551765578774790"</f>
        <v>1551765578774790</v>
      </c>
      <c r="C5562" t="s">
        <v>40</v>
      </c>
      <c r="D5562">
        <v>4.797161</v>
      </c>
      <c r="E5562">
        <v>0.57684449999999998</v>
      </c>
      <c r="F5562" t="s">
        <v>41</v>
      </c>
      <c r="G5562">
        <v>-278.9547</v>
      </c>
      <c r="H5562">
        <v>0.98740159999999999</v>
      </c>
      <c r="I5562">
        <v>-61.91704</v>
      </c>
      <c r="J5562">
        <v>-279.68079999999998</v>
      </c>
      <c r="K5562">
        <v>1.1109230000000001</v>
      </c>
      <c r="L5562">
        <v>-61.920009999999998</v>
      </c>
      <c r="M5562">
        <v>0.98687270000000005</v>
      </c>
      <c r="N5562">
        <v>-1.47641E-2</v>
      </c>
      <c r="O5562">
        <v>0.16082439999999901</v>
      </c>
      <c r="P5562">
        <v>0.97090069999999995</v>
      </c>
      <c r="Q5562">
        <v>-1.2106219999999999E-2</v>
      </c>
      <c r="R5562">
        <v>0.23917640000000001</v>
      </c>
      <c r="S5562">
        <v>3.0612789999999999</v>
      </c>
      <c r="T5562">
        <v>-0.43359259999999999</v>
      </c>
      <c r="U5562">
        <v>9.7381590000000004E-2</v>
      </c>
      <c r="V5562">
        <v>-7.9908510000000002E-2</v>
      </c>
      <c r="W5562">
        <v>2.3682730000000002E-3</v>
      </c>
      <c r="X5562">
        <v>0.9967994</v>
      </c>
      <c r="Y5562">
        <v>0.12671180000000001</v>
      </c>
      <c r="Z5562">
        <v>-3.0065970000000001E-2</v>
      </c>
      <c r="AA5562">
        <v>0.99148380000000003</v>
      </c>
      <c r="AB5562">
        <v>30</v>
      </c>
      <c r="AC5562">
        <v>0.72609999999997399</v>
      </c>
      <c r="AD5562">
        <v>-0.123521399999999</v>
      </c>
      <c r="AE5562">
        <v>2.9699999999976902E-3</v>
      </c>
      <c r="AF5562">
        <v>0.11065376878196501</v>
      </c>
      <c r="AG5562">
        <v>-0.123521399999999</v>
      </c>
      <c r="AH5562">
        <v>0.69695480024907497</v>
      </c>
      <c r="AI5562">
        <v>99.928345554272795</v>
      </c>
      <c r="AJ5562">
        <v>80.978590861726801</v>
      </c>
      <c r="AK5562">
        <v>0.716413139462029</v>
      </c>
      <c r="AL5562">
        <v>89.864307827050197</v>
      </c>
      <c r="AM5562">
        <v>94.583319737999901</v>
      </c>
      <c r="AN5562">
        <v>1.00000001126389</v>
      </c>
    </row>
    <row r="5563" spans="1:40" x14ac:dyDescent="0.25">
      <c r="A5563" t="str">
        <f>"20190305135938788"</f>
        <v>20190305135938788</v>
      </c>
      <c r="B5563" t="str">
        <f>"1551765578784551"</f>
        <v>1551765578784551</v>
      </c>
      <c r="C5563" t="s">
        <v>40</v>
      </c>
      <c r="D5563">
        <v>4.7293000000000003</v>
      </c>
      <c r="E5563">
        <v>0.57710499999999998</v>
      </c>
      <c r="F5563" t="s">
        <v>41</v>
      </c>
      <c r="G5563">
        <v>-278.94690000000003</v>
      </c>
      <c r="H5563">
        <v>1.00875</v>
      </c>
      <c r="I5563">
        <v>-61.901389999999999</v>
      </c>
      <c r="J5563">
        <v>-279.53100000000001</v>
      </c>
      <c r="K5563">
        <v>1.110328</v>
      </c>
      <c r="L5563">
        <v>-61.896000000000001</v>
      </c>
      <c r="M5563">
        <v>0.987035</v>
      </c>
      <c r="N5563">
        <v>-1.470252E-2</v>
      </c>
      <c r="O5563">
        <v>0.1598301</v>
      </c>
      <c r="P5563">
        <v>0.97142419999999996</v>
      </c>
      <c r="Q5563">
        <v>-1.0657939999999999E-2</v>
      </c>
      <c r="R5563">
        <v>0.2371113</v>
      </c>
      <c r="S5563">
        <v>3.065277</v>
      </c>
      <c r="T5563">
        <v>-0.42643059999999999</v>
      </c>
      <c r="U5563">
        <v>7.8613279999999994E-2</v>
      </c>
      <c r="V5563">
        <v>-7.8789209999999998E-2</v>
      </c>
      <c r="W5563">
        <v>3.876979E-3</v>
      </c>
      <c r="X5563">
        <v>0.99688370000000004</v>
      </c>
      <c r="Y5563">
        <v>0.1318655</v>
      </c>
      <c r="Z5563">
        <v>-2.9794939999999999E-2</v>
      </c>
      <c r="AA5563">
        <v>0.99081980000000003</v>
      </c>
      <c r="AB5563">
        <v>30</v>
      </c>
      <c r="AC5563">
        <v>0.58409999999997797</v>
      </c>
      <c r="AD5563">
        <v>-0.101577999999999</v>
      </c>
      <c r="AE5563">
        <v>-5.3899999999984499E-3</v>
      </c>
      <c r="AF5563">
        <v>9.5790796513267995E-2</v>
      </c>
      <c r="AG5563">
        <v>-0.101577999999999</v>
      </c>
      <c r="AH5563">
        <v>0.55882869414211001</v>
      </c>
      <c r="AI5563">
        <v>100.15715410852999</v>
      </c>
      <c r="AJ5563">
        <v>80.273258917894395</v>
      </c>
      <c r="AK5563">
        <v>0.57600648970061297</v>
      </c>
      <c r="AL5563">
        <v>89.777864896435901</v>
      </c>
      <c r="AM5563">
        <v>94.519007189089706</v>
      </c>
      <c r="AN5563">
        <v>0.99999994095213796</v>
      </c>
    </row>
    <row r="5564" spans="1:40" x14ac:dyDescent="0.25">
      <c r="A5564" t="str">
        <f>"20190305135938800"</f>
        <v>20190305135938800</v>
      </c>
      <c r="B5564" t="str">
        <f>"1551765578794310"</f>
        <v>1551765578794310</v>
      </c>
      <c r="C5564" t="s">
        <v>40</v>
      </c>
      <c r="D5564">
        <v>4.6883229999999996</v>
      </c>
      <c r="E5564">
        <v>0.57682060000000002</v>
      </c>
      <c r="F5564" t="s">
        <v>41</v>
      </c>
      <c r="G5564">
        <v>-278.68599999999998</v>
      </c>
      <c r="H5564">
        <v>0.99398260000000005</v>
      </c>
      <c r="I5564">
        <v>-61.876779999999997</v>
      </c>
      <c r="J5564">
        <v>-279.37520000000001</v>
      </c>
      <c r="K5564">
        <v>1.1097159999999999</v>
      </c>
      <c r="L5564">
        <v>-61.871250000000003</v>
      </c>
      <c r="M5564">
        <v>0.98722430000000005</v>
      </c>
      <c r="N5564">
        <v>-1.4640179999999999E-2</v>
      </c>
      <c r="O5564">
        <v>0.15866269999999999</v>
      </c>
      <c r="P5564">
        <v>0.97200039999999999</v>
      </c>
      <c r="Q5564">
        <v>-9.762682E-3</v>
      </c>
      <c r="R5564">
        <v>0.2347765</v>
      </c>
      <c r="S5564">
        <v>3.0665279999999999</v>
      </c>
      <c r="T5564">
        <v>-0.42212189999999999</v>
      </c>
      <c r="U5564">
        <v>7.0068359999999996E-2</v>
      </c>
      <c r="V5564">
        <v>-7.7565759999999997E-2</v>
      </c>
      <c r="W5564">
        <v>4.8320739999999996E-3</v>
      </c>
      <c r="X5564">
        <v>0.99697550000000001</v>
      </c>
      <c r="Y5564">
        <v>0.1335095</v>
      </c>
      <c r="Z5564">
        <v>-2.9461950000000001E-2</v>
      </c>
      <c r="AA5564">
        <v>0.99060950000000003</v>
      </c>
      <c r="AB5564">
        <v>30</v>
      </c>
      <c r="AC5564">
        <v>0.68920000000002801</v>
      </c>
      <c r="AD5564">
        <v>-0.1157334</v>
      </c>
      <c r="AE5564">
        <v>-5.53000000000025E-3</v>
      </c>
      <c r="AF5564">
        <v>0.11167316921265</v>
      </c>
      <c r="AG5564">
        <v>-0.1157334</v>
      </c>
      <c r="AH5564">
        <v>0.66095367466074595</v>
      </c>
      <c r="AI5564">
        <v>99.795750841608395</v>
      </c>
      <c r="AJ5564">
        <v>80.410010302448498</v>
      </c>
      <c r="AK5564">
        <v>0.680238837942307</v>
      </c>
      <c r="AL5564">
        <v>89.723141468307105</v>
      </c>
      <c r="AM5564">
        <v>94.448711331176796</v>
      </c>
      <c r="AN5564">
        <v>0.99999997183188405</v>
      </c>
    </row>
    <row r="5565" spans="1:40" x14ac:dyDescent="0.25">
      <c r="A5565" t="str">
        <f>"20190305135938811"</f>
        <v>20190305135938811</v>
      </c>
      <c r="B5565" t="str">
        <f>"1551765578805046"</f>
        <v>1551765578805046</v>
      </c>
      <c r="C5565" t="s">
        <v>40</v>
      </c>
      <c r="D5565">
        <v>4.7308690000000002</v>
      </c>
      <c r="E5565">
        <v>0.57615430000000001</v>
      </c>
      <c r="F5565" t="s">
        <v>41</v>
      </c>
      <c r="G5565">
        <v>-278.42469999999997</v>
      </c>
      <c r="H5565">
        <v>0.98052430000000002</v>
      </c>
      <c r="I5565">
        <v>-61.851349999999996</v>
      </c>
      <c r="J5565">
        <v>-279.21719999999999</v>
      </c>
      <c r="K5565">
        <v>1.1091310000000001</v>
      </c>
      <c r="L5565">
        <v>-61.846890000000002</v>
      </c>
      <c r="M5565">
        <v>0.98748100000000005</v>
      </c>
      <c r="N5565">
        <v>-1.4585829999999999E-2</v>
      </c>
      <c r="O5565">
        <v>0.15706229999999999</v>
      </c>
      <c r="P5565">
        <v>0.97269720000000004</v>
      </c>
      <c r="Q5565">
        <v>-9.1844609999999997E-3</v>
      </c>
      <c r="R5565">
        <v>0.2318964</v>
      </c>
      <c r="S5565">
        <v>3.0665279999999999</v>
      </c>
      <c r="T5565">
        <v>-0.41643210000000003</v>
      </c>
      <c r="U5565">
        <v>6.5063480000000007E-2</v>
      </c>
      <c r="V5565">
        <v>-7.6219599999999998E-2</v>
      </c>
      <c r="W5565">
        <v>5.4681670000000003E-3</v>
      </c>
      <c r="X5565">
        <v>0.99707599999999996</v>
      </c>
      <c r="Y5565">
        <v>0.13359989999999999</v>
      </c>
      <c r="Z5565">
        <v>-2.887261E-2</v>
      </c>
      <c r="AA5565">
        <v>0.99061469999999896</v>
      </c>
      <c r="AB5565">
        <v>30</v>
      </c>
      <c r="AC5565">
        <v>0.79250000000001797</v>
      </c>
      <c r="AD5565">
        <v>-0.12860669999999899</v>
      </c>
      <c r="AE5565">
        <v>-4.4599999999945699E-3</v>
      </c>
      <c r="AF5565">
        <v>0.12558266751063801</v>
      </c>
      <c r="AG5565">
        <v>-0.12860669999999899</v>
      </c>
      <c r="AH5565">
        <v>0.76189764107994695</v>
      </c>
      <c r="AI5565">
        <v>99.455849793069405</v>
      </c>
      <c r="AJ5565">
        <v>80.640164698133901</v>
      </c>
      <c r="AK5565">
        <v>0.78281460458218599</v>
      </c>
      <c r="AL5565">
        <v>89.686695528765199</v>
      </c>
      <c r="AM5565">
        <v>94.371366591310206</v>
      </c>
      <c r="AN5565">
        <v>0.99999993902524797</v>
      </c>
    </row>
    <row r="5566" spans="1:40" x14ac:dyDescent="0.25">
      <c r="A5566" t="str">
        <f>"20190305135938823"</f>
        <v>20190305135938823</v>
      </c>
      <c r="B5566" t="str">
        <f>"1551765578814806"</f>
        <v>1551765578814806</v>
      </c>
      <c r="C5566" t="s">
        <v>40</v>
      </c>
      <c r="D5566">
        <v>4.7064919999999999</v>
      </c>
      <c r="E5566">
        <v>0.57570129999999997</v>
      </c>
      <c r="F5566" t="s">
        <v>41</v>
      </c>
      <c r="G5566">
        <v>-278.41789999999997</v>
      </c>
      <c r="H5566">
        <v>1.0016179999999999</v>
      </c>
      <c r="I5566">
        <v>-61.831200000000003</v>
      </c>
      <c r="J5566">
        <v>-279.06360000000001</v>
      </c>
      <c r="K5566">
        <v>1.108598</v>
      </c>
      <c r="L5566">
        <v>-61.8236699999999</v>
      </c>
      <c r="M5566">
        <v>0.98775829999999998</v>
      </c>
      <c r="N5566">
        <v>-1.4536230000000001E-2</v>
      </c>
      <c r="O5566">
        <v>0.15531349999999999</v>
      </c>
      <c r="P5566">
        <v>0.9735511</v>
      </c>
      <c r="Q5566">
        <v>-8.7370429999999999E-3</v>
      </c>
      <c r="R5566">
        <v>0.22830249999999999</v>
      </c>
      <c r="S5566">
        <v>3.0657350000000001</v>
      </c>
      <c r="T5566">
        <v>-0.4119158</v>
      </c>
      <c r="U5566">
        <v>6.1187739999999997E-2</v>
      </c>
      <c r="V5566">
        <v>-7.4293700000000004E-2</v>
      </c>
      <c r="W5566">
        <v>5.9645459999999898E-3</v>
      </c>
      <c r="X5566">
        <v>0.99721850000000001</v>
      </c>
      <c r="Y5566">
        <v>0.13316169999999999</v>
      </c>
      <c r="Z5566">
        <v>-2.8322480000000001E-2</v>
      </c>
      <c r="AA5566">
        <v>0.99068959999999995</v>
      </c>
      <c r="AB5566">
        <v>30</v>
      </c>
      <c r="AC5566">
        <v>0.64570000000003303</v>
      </c>
      <c r="AD5566">
        <v>-0.10697999999999901</v>
      </c>
      <c r="AE5566">
        <v>-7.5300000000097997E-3</v>
      </c>
      <c r="AF5566">
        <v>0.10485718086599299</v>
      </c>
      <c r="AG5566">
        <v>-0.10697999999999901</v>
      </c>
      <c r="AH5566">
        <v>0.61968518545858498</v>
      </c>
      <c r="AI5566">
        <v>99.660096069421598</v>
      </c>
      <c r="AJ5566">
        <v>80.395930178384702</v>
      </c>
      <c r="AK5566">
        <v>0.63753390329927195</v>
      </c>
      <c r="AL5566">
        <v>89.658254638329794</v>
      </c>
      <c r="AM5566">
        <v>94.260717289443704</v>
      </c>
      <c r="AN5566">
        <v>0.99999993320545999</v>
      </c>
    </row>
    <row r="5567" spans="1:40" x14ac:dyDescent="0.25">
      <c r="A5567" t="str">
        <f>"20190305135938833"</f>
        <v>20190305135938833</v>
      </c>
      <c r="B5567" t="str">
        <f>"1551765578824566"</f>
        <v>1551765578824566</v>
      </c>
      <c r="C5567" t="s">
        <v>40</v>
      </c>
      <c r="D5567">
        <v>4.7244549999999998</v>
      </c>
      <c r="E5567">
        <v>0.57494619999999996</v>
      </c>
      <c r="F5567" t="s">
        <v>41</v>
      </c>
      <c r="G5567">
        <v>-278.15609999999998</v>
      </c>
      <c r="H5567">
        <v>0.9888171</v>
      </c>
      <c r="I5567">
        <v>-61.807589999999998</v>
      </c>
      <c r="J5567">
        <v>-278.93150000000003</v>
      </c>
      <c r="K5567">
        <v>1.1081639999999999</v>
      </c>
      <c r="L5567">
        <v>-61.804110000000001</v>
      </c>
      <c r="M5567">
        <v>0.98802380000000001</v>
      </c>
      <c r="N5567">
        <v>-1.4497029999999999E-2</v>
      </c>
      <c r="O5567">
        <v>0.15361949999999999</v>
      </c>
      <c r="P5567">
        <v>0.97452839999999996</v>
      </c>
      <c r="Q5567">
        <v>-7.9709999999999902E-3</v>
      </c>
      <c r="R5567">
        <v>0.22412319999999999</v>
      </c>
      <c r="S5567">
        <v>3.0650940000000002</v>
      </c>
      <c r="T5567">
        <v>-0.40442990000000001</v>
      </c>
      <c r="U5567">
        <v>5.4473880000000002E-2</v>
      </c>
      <c r="V5567">
        <v>-7.171487E-2</v>
      </c>
      <c r="W5567">
        <v>6.7637089999999997E-3</v>
      </c>
      <c r="X5567">
        <v>0.99740229999999996</v>
      </c>
      <c r="Y5567">
        <v>0.13372149999999999</v>
      </c>
      <c r="Z5567">
        <v>-2.7644800000000001E-2</v>
      </c>
      <c r="AA5567">
        <v>0.99063330000000005</v>
      </c>
      <c r="AB5567">
        <v>30</v>
      </c>
      <c r="AC5567">
        <v>0.77540000000004705</v>
      </c>
      <c r="AD5567">
        <v>-0.11934689999999901</v>
      </c>
      <c r="AE5567">
        <v>-3.4800000000103598E-3</v>
      </c>
      <c r="AF5567">
        <v>0.119731339547738</v>
      </c>
      <c r="AG5567">
        <v>-0.11934689999999901</v>
      </c>
      <c r="AH5567">
        <v>0.74794087258282504</v>
      </c>
      <c r="AI5567">
        <v>98.953981898175499</v>
      </c>
      <c r="AJ5567">
        <v>80.905181833929902</v>
      </c>
      <c r="AK5567">
        <v>0.76680820619595802</v>
      </c>
      <c r="AL5567">
        <v>89.612465088537107</v>
      </c>
      <c r="AM5567">
        <v>94.112583624053201</v>
      </c>
      <c r="AN5567">
        <v>1.00000005919192</v>
      </c>
    </row>
    <row r="5568" spans="1:40" x14ac:dyDescent="0.25">
      <c r="A5568" t="str">
        <f>"20190305135938844"</f>
        <v>20190305135938844</v>
      </c>
      <c r="B5568" t="str">
        <f>"1551765578834327"</f>
        <v>1551765578834327</v>
      </c>
      <c r="C5568" t="s">
        <v>40</v>
      </c>
      <c r="D5568">
        <v>4.7267939999999999</v>
      </c>
      <c r="E5568">
        <v>0.57435999999999998</v>
      </c>
      <c r="F5568" t="s">
        <v>41</v>
      </c>
      <c r="G5568">
        <v>-278.15039999999999</v>
      </c>
      <c r="H5568">
        <v>1.0058100000000001</v>
      </c>
      <c r="I5568">
        <v>-61.79186</v>
      </c>
      <c r="J5568">
        <v>-278.79149999999998</v>
      </c>
      <c r="K5568">
        <v>1.1077440000000001</v>
      </c>
      <c r="L5568">
        <v>-61.783869999999901</v>
      </c>
      <c r="M5568">
        <v>0.98832989999999998</v>
      </c>
      <c r="N5568">
        <v>-1.4457889999999999E-2</v>
      </c>
      <c r="O5568">
        <v>0.1516421</v>
      </c>
      <c r="P5568">
        <v>0.97563330000000004</v>
      </c>
      <c r="Q5568">
        <v>-7.1345899999999997E-3</v>
      </c>
      <c r="R5568">
        <v>0.21929209999999999</v>
      </c>
      <c r="S5568">
        <v>3.0640260000000001</v>
      </c>
      <c r="T5568">
        <v>-0.40134300000000001</v>
      </c>
      <c r="U5568">
        <v>4.8278809999999998E-2</v>
      </c>
      <c r="V5568">
        <v>-6.8756860000000003E-2</v>
      </c>
      <c r="W5568">
        <v>7.6253309999999999E-3</v>
      </c>
      <c r="X5568">
        <v>0.9976043</v>
      </c>
      <c r="Y5568">
        <v>0.13378180000000001</v>
      </c>
      <c r="Z5568">
        <v>-2.7218180000000002E-2</v>
      </c>
      <c r="AA5568">
        <v>0.99063690000000004</v>
      </c>
      <c r="AB5568">
        <v>30</v>
      </c>
      <c r="AC5568">
        <v>0.64109999999999401</v>
      </c>
      <c r="AD5568">
        <v>-0.101933999999999</v>
      </c>
      <c r="AE5568">
        <v>-7.9900000000065995E-3</v>
      </c>
      <c r="AF5568">
        <v>0.10253376784074</v>
      </c>
      <c r="AG5568">
        <v>-0.101933999999999</v>
      </c>
      <c r="AH5568">
        <v>0.616880028197199</v>
      </c>
      <c r="AI5568">
        <v>99.258067577350801</v>
      </c>
      <c r="AJ5568">
        <v>80.562944313386893</v>
      </c>
      <c r="AK5568">
        <v>0.63359662490593804</v>
      </c>
      <c r="AL5568">
        <v>89.563096480232602</v>
      </c>
      <c r="AM5568">
        <v>93.942703323224194</v>
      </c>
      <c r="AN5568">
        <v>0.99999999542420404</v>
      </c>
    </row>
    <row r="5569" spans="1:40" x14ac:dyDescent="0.25">
      <c r="A5569" t="str">
        <f>"20190305135938854"</f>
        <v>20190305135938854</v>
      </c>
      <c r="B5569" t="str">
        <f>"1551765578845063"</f>
        <v>1551765578845063</v>
      </c>
      <c r="C5569" t="s">
        <v>40</v>
      </c>
      <c r="D5569">
        <v>4.7378080000000002</v>
      </c>
      <c r="E5569">
        <v>0.57374069999999899</v>
      </c>
      <c r="F5569" t="s">
        <v>41</v>
      </c>
      <c r="G5569">
        <v>-277.88929999999999</v>
      </c>
      <c r="H5569">
        <v>0.9905233</v>
      </c>
      <c r="I5569">
        <v>-61.772500000000001</v>
      </c>
      <c r="J5569">
        <v>-278.6463</v>
      </c>
      <c r="K5569">
        <v>1.1073390000000001</v>
      </c>
      <c r="L5569">
        <v>-61.763309999999997</v>
      </c>
      <c r="M5569">
        <v>0.98866500000000002</v>
      </c>
      <c r="N5569">
        <v>-1.4418759999999999E-2</v>
      </c>
      <c r="O5569">
        <v>0.14944479999999999</v>
      </c>
      <c r="P5569">
        <v>0.97672749999999997</v>
      </c>
      <c r="Q5569">
        <v>-6.8596269999999897E-3</v>
      </c>
      <c r="R5569">
        <v>0.21437419999999999</v>
      </c>
      <c r="S5569">
        <v>3.0632320000000002</v>
      </c>
      <c r="T5569">
        <v>-0.39784190000000003</v>
      </c>
      <c r="U5569">
        <v>3.90625E-2</v>
      </c>
      <c r="V5569">
        <v>-6.5938899999999995E-2</v>
      </c>
      <c r="W5569">
        <v>7.9166700000000007E-3</v>
      </c>
      <c r="X5569">
        <v>0.99779220000000002</v>
      </c>
      <c r="Y5569">
        <v>0.13460069999999999</v>
      </c>
      <c r="Z5569">
        <v>-2.679345E-2</v>
      </c>
      <c r="AA5569">
        <v>0.99053760000000002</v>
      </c>
      <c r="AB5569">
        <v>30</v>
      </c>
      <c r="AC5569">
        <v>0.757000000000005</v>
      </c>
      <c r="AD5569">
        <v>-0.116815699999999</v>
      </c>
      <c r="AE5569">
        <v>-9.1900000000037993E-3</v>
      </c>
      <c r="AF5569">
        <v>0.11938575179617</v>
      </c>
      <c r="AG5569">
        <v>-0.116815699999999</v>
      </c>
      <c r="AH5569">
        <v>0.72974881585554596</v>
      </c>
      <c r="AI5569">
        <v>98.977195641332699</v>
      </c>
      <c r="AJ5569">
        <v>80.708808841342105</v>
      </c>
      <c r="AK5569">
        <v>0.74862019725692597</v>
      </c>
      <c r="AL5569">
        <v>89.546403457300897</v>
      </c>
      <c r="AM5569">
        <v>93.780882682973299</v>
      </c>
      <c r="AN5569">
        <v>0.99999994328896702</v>
      </c>
    </row>
    <row r="5570" spans="1:40" x14ac:dyDescent="0.25">
      <c r="A5570" t="str">
        <f>"20190305135938866"</f>
        <v>20190305135938866</v>
      </c>
      <c r="B5570" t="str">
        <f>"1551765578854823"</f>
        <v>1551765578854823</v>
      </c>
      <c r="C5570" t="s">
        <v>40</v>
      </c>
      <c r="D5570">
        <v>4.7431570000000001</v>
      </c>
      <c r="E5570">
        <v>0.57325789999999999</v>
      </c>
      <c r="F5570" t="s">
        <v>41</v>
      </c>
      <c r="G5570">
        <v>-277.88310000000001</v>
      </c>
      <c r="H5570">
        <v>1.008675</v>
      </c>
      <c r="I5570">
        <v>-61.756050000000002</v>
      </c>
      <c r="J5570">
        <v>-278.49889999999999</v>
      </c>
      <c r="K5570">
        <v>1.1069770000000001</v>
      </c>
      <c r="L5570">
        <v>-61.743099999999998</v>
      </c>
      <c r="M5570">
        <v>0.98902939999999995</v>
      </c>
      <c r="N5570">
        <v>-1.438239E-2</v>
      </c>
      <c r="O5570">
        <v>0.1470167</v>
      </c>
      <c r="P5570">
        <v>0.97780639999999996</v>
      </c>
      <c r="Q5570">
        <v>-7.2972810000000001E-3</v>
      </c>
      <c r="R5570">
        <v>0.2093836</v>
      </c>
      <c r="S5570">
        <v>3.062195</v>
      </c>
      <c r="T5570">
        <v>-0.39559139999999998</v>
      </c>
      <c r="U5570">
        <v>2.9602050000000001E-2</v>
      </c>
      <c r="V5570">
        <v>-6.3290180000000001E-2</v>
      </c>
      <c r="W5570">
        <v>7.4860990000000004E-3</v>
      </c>
      <c r="X5570">
        <v>0.9979671</v>
      </c>
      <c r="Y5570">
        <v>0.13525699999999999</v>
      </c>
      <c r="Z5570">
        <v>-2.6422790000000002E-2</v>
      </c>
      <c r="AA5570">
        <v>0.99045819999999996</v>
      </c>
      <c r="AB5570">
        <v>30</v>
      </c>
      <c r="AC5570">
        <v>0.61579999999997803</v>
      </c>
      <c r="AD5570">
        <v>-9.8302000000000098E-2</v>
      </c>
      <c r="AE5570">
        <v>-1.29500000000035E-2</v>
      </c>
      <c r="AF5570">
        <v>0.100784386326567</v>
      </c>
      <c r="AG5570">
        <v>-9.8302000000000098E-2</v>
      </c>
      <c r="AH5570">
        <v>0.59212109684194503</v>
      </c>
      <c r="AI5570">
        <v>99.294788976224396</v>
      </c>
      <c r="AJ5570">
        <v>80.340312241784702</v>
      </c>
      <c r="AK5570">
        <v>0.60862810406399304</v>
      </c>
      <c r="AL5570">
        <v>89.571074120487907</v>
      </c>
      <c r="AM5570">
        <v>93.6287872731683</v>
      </c>
      <c r="AN5570">
        <v>1.00000001062254</v>
      </c>
    </row>
    <row r="5571" spans="1:40" x14ac:dyDescent="0.25">
      <c r="A5571" t="str">
        <f>"20190305135938877"</f>
        <v>20190305135938877</v>
      </c>
      <c r="B5571" t="str">
        <f>"1551765578874343"</f>
        <v>1551765578874343</v>
      </c>
      <c r="C5571" t="s">
        <v>40</v>
      </c>
      <c r="D5571">
        <v>4.7303569999999997</v>
      </c>
      <c r="E5571">
        <v>0.57227059999999996</v>
      </c>
      <c r="F5571" t="s">
        <v>41</v>
      </c>
      <c r="G5571">
        <v>-277.62189999999998</v>
      </c>
      <c r="H5571">
        <v>0.99392029999999998</v>
      </c>
      <c r="I5571">
        <v>-61.737960000000001</v>
      </c>
      <c r="J5571">
        <v>-278.3503</v>
      </c>
      <c r="K5571">
        <v>1.1066309999999999</v>
      </c>
      <c r="L5571">
        <v>-61.723050000000001</v>
      </c>
      <c r="M5571">
        <v>0.98940249999999996</v>
      </c>
      <c r="N5571">
        <v>-1.434583E-2</v>
      </c>
      <c r="O5571">
        <v>0.14448839999999999</v>
      </c>
      <c r="P5571">
        <v>0.97869989999999996</v>
      </c>
      <c r="Q5571">
        <v>-8.3224700000000002E-3</v>
      </c>
      <c r="R5571">
        <v>0.20512749999999999</v>
      </c>
      <c r="S5571">
        <v>3.0613100000000002</v>
      </c>
      <c r="T5571">
        <v>-0.3947099</v>
      </c>
      <c r="U5571">
        <v>1.7883300000000001E-2</v>
      </c>
      <c r="V5571">
        <v>-6.1501729999999998E-2</v>
      </c>
      <c r="W5571">
        <v>6.4666469999999998E-3</v>
      </c>
      <c r="X5571">
        <v>0.99808600000000003</v>
      </c>
      <c r="Y5571">
        <v>0.1365265</v>
      </c>
      <c r="Z5571">
        <v>-2.6179600000000001E-2</v>
      </c>
      <c r="AA5571">
        <v>0.99029049999999996</v>
      </c>
      <c r="AB5571">
        <v>30</v>
      </c>
      <c r="AC5571">
        <v>0.72840000000002103</v>
      </c>
      <c r="AD5571">
        <v>-0.112710699999999</v>
      </c>
      <c r="AE5571">
        <v>-1.49100000000004E-2</v>
      </c>
      <c r="AF5571">
        <v>0.117204561130944</v>
      </c>
      <c r="AG5571">
        <v>-0.112710699999999</v>
      </c>
      <c r="AH5571">
        <v>0.70180369827447397</v>
      </c>
      <c r="AI5571">
        <v>99.001295188440494</v>
      </c>
      <c r="AJ5571">
        <v>80.518830821086198</v>
      </c>
      <c r="AK5571">
        <v>0.72039505964166395</v>
      </c>
      <c r="AL5571">
        <v>89.629485826509793</v>
      </c>
      <c r="AM5571">
        <v>93.5260887047273</v>
      </c>
      <c r="AN5571">
        <v>0.99999997185620704</v>
      </c>
    </row>
    <row r="5572" spans="1:40" x14ac:dyDescent="0.25">
      <c r="A5572" t="str">
        <f>"20190305135938889"</f>
        <v>20190305135938889</v>
      </c>
      <c r="B5572" t="str">
        <f>"1551765578885079"</f>
        <v>1551765578885079</v>
      </c>
      <c r="C5572" t="s">
        <v>40</v>
      </c>
      <c r="D5572">
        <v>4.6816490000000002</v>
      </c>
      <c r="E5572">
        <v>0.57227059999999996</v>
      </c>
      <c r="F5572" t="s">
        <v>41</v>
      </c>
      <c r="G5572">
        <v>-277.61559999999997</v>
      </c>
      <c r="H5572">
        <v>1.012405</v>
      </c>
      <c r="I5572">
        <v>-61.7200699999999</v>
      </c>
      <c r="J5572">
        <v>-278.19060000000002</v>
      </c>
      <c r="K5572">
        <v>1.106328</v>
      </c>
      <c r="L5572">
        <v>-61.702419999999996</v>
      </c>
      <c r="M5572">
        <v>0.98982539999999997</v>
      </c>
      <c r="N5572">
        <v>-1.4311040000000001E-2</v>
      </c>
      <c r="O5572">
        <v>0.14156550000000001</v>
      </c>
      <c r="P5572">
        <v>0.97944929999999997</v>
      </c>
      <c r="Q5572">
        <v>-1.002862E-2</v>
      </c>
      <c r="R5572">
        <v>0.20144129999999999</v>
      </c>
      <c r="S5572">
        <v>3.0593569999999999</v>
      </c>
      <c r="T5572">
        <v>-0.39248549999999999</v>
      </c>
      <c r="U5572">
        <v>1.235962E-2</v>
      </c>
      <c r="V5572">
        <v>-6.0703689999999998E-2</v>
      </c>
      <c r="W5572">
        <v>4.7653180000000002E-3</v>
      </c>
      <c r="X5572">
        <v>0.99814440000000004</v>
      </c>
      <c r="Y5572">
        <v>0.135436</v>
      </c>
      <c r="Z5572">
        <v>-2.56417E-2</v>
      </c>
      <c r="AA5572">
        <v>0.99045430000000001</v>
      </c>
      <c r="AB5572">
        <v>30</v>
      </c>
      <c r="AC5572">
        <v>0.57500000000004503</v>
      </c>
      <c r="AD5572">
        <v>-9.3922999999999895E-2</v>
      </c>
      <c r="AE5572">
        <v>-1.7649999999996099E-2</v>
      </c>
      <c r="AF5572">
        <v>9.6313357129260105E-2</v>
      </c>
      <c r="AG5572">
        <v>-9.3922999999999895E-2</v>
      </c>
      <c r="AH5572">
        <v>0.55199491266429901</v>
      </c>
      <c r="AI5572">
        <v>99.515434511236293</v>
      </c>
      <c r="AJ5572">
        <v>80.102536110704705</v>
      </c>
      <c r="AK5572">
        <v>0.56815154342637797</v>
      </c>
      <c r="AL5572">
        <v>89.726966342115603</v>
      </c>
      <c r="AM5572">
        <v>93.480244620110597</v>
      </c>
      <c r="AN5572">
        <v>0.999999944743307</v>
      </c>
    </row>
    <row r="5573" spans="1:40" x14ac:dyDescent="0.25">
      <c r="A5573" t="str">
        <f>"20190305135938902"</f>
        <v>20190305135938902</v>
      </c>
      <c r="B5573" t="str">
        <f>"1551765578894839"</f>
        <v>1551765578894839</v>
      </c>
      <c r="C5573" t="s">
        <v>40</v>
      </c>
      <c r="D5573">
        <v>4.7256970000000003</v>
      </c>
      <c r="E5573">
        <v>0.56007419999999997</v>
      </c>
      <c r="F5573" t="s">
        <v>41</v>
      </c>
      <c r="G5573">
        <v>-277.3544</v>
      </c>
      <c r="H5573">
        <v>0.9979365</v>
      </c>
      <c r="I5573">
        <v>-61.702680000000001</v>
      </c>
      <c r="J5573">
        <v>-278.02789999999999</v>
      </c>
      <c r="K5573">
        <v>1.106047</v>
      </c>
      <c r="L5573">
        <v>-61.681820000000002</v>
      </c>
      <c r="M5573">
        <v>0.9902552</v>
      </c>
      <c r="N5573">
        <v>-1.4275629999999999E-2</v>
      </c>
      <c r="O5573">
        <v>0.1385313</v>
      </c>
      <c r="P5573">
        <v>0.98009919999999995</v>
      </c>
      <c r="Q5573">
        <v>-1.175616E-2</v>
      </c>
      <c r="R5573">
        <v>0.19816010000000001</v>
      </c>
      <c r="S5573">
        <v>3.058929</v>
      </c>
      <c r="T5573">
        <v>-0.3961672</v>
      </c>
      <c r="U5573">
        <v>-1.5258789999999999E-4</v>
      </c>
      <c r="V5573">
        <v>-6.0435660000000002E-2</v>
      </c>
      <c r="W5573">
        <v>3.042519E-3</v>
      </c>
      <c r="X5573">
        <v>0.99816749999999999</v>
      </c>
      <c r="Y5573">
        <v>0.13641909999999999</v>
      </c>
      <c r="Z5573">
        <v>-2.5623659999999999E-2</v>
      </c>
      <c r="AA5573">
        <v>0.99031979999999997</v>
      </c>
      <c r="AB5573">
        <v>30</v>
      </c>
      <c r="AC5573">
        <v>0.67349999999999</v>
      </c>
      <c r="AD5573">
        <v>-0.1081105</v>
      </c>
      <c r="AE5573">
        <v>-2.0860000000013201E-2</v>
      </c>
      <c r="AF5573">
        <v>0.111108983757742</v>
      </c>
      <c r="AG5573">
        <v>-0.1081105</v>
      </c>
      <c r="AH5573">
        <v>0.64744808423039601</v>
      </c>
      <c r="AI5573">
        <v>99.345601794052897</v>
      </c>
      <c r="AJ5573">
        <v>80.262287494886706</v>
      </c>
      <c r="AK5573">
        <v>0.66574928333084904</v>
      </c>
      <c r="AL5573">
        <v>89.825676240580293</v>
      </c>
      <c r="AM5573">
        <v>93.464835538779695</v>
      </c>
      <c r="AN5573">
        <v>1.0000000419888699</v>
      </c>
    </row>
    <row r="5574" spans="1:40" x14ac:dyDescent="0.25">
      <c r="A5574" t="str">
        <f>"20190305135938913"</f>
        <v>20190305135938913</v>
      </c>
      <c r="B5574" t="str">
        <f>"1551765578904599"</f>
        <v>1551765578904599</v>
      </c>
      <c r="C5574" t="s">
        <v>40</v>
      </c>
      <c r="D5574">
        <v>4.7228130000000004</v>
      </c>
      <c r="E5574">
        <v>0.55931790000000003</v>
      </c>
      <c r="F5574" t="s">
        <v>41</v>
      </c>
      <c r="G5574">
        <v>-277.08640000000003</v>
      </c>
      <c r="H5574">
        <v>1.0077719999999999</v>
      </c>
      <c r="I5574">
        <v>-61.653230000000001</v>
      </c>
      <c r="J5574">
        <v>-277.8673</v>
      </c>
      <c r="K5574">
        <v>1.1058269999999999</v>
      </c>
      <c r="L5574">
        <v>-61.662199999999999</v>
      </c>
      <c r="M5574">
        <v>0.99068509999999999</v>
      </c>
      <c r="N5574">
        <v>-1.424312E-2</v>
      </c>
      <c r="O5574">
        <v>0.13542560000000001</v>
      </c>
      <c r="P5574">
        <v>0.98065100000000005</v>
      </c>
      <c r="Q5574">
        <v>-1.313485E-2</v>
      </c>
      <c r="R5574">
        <v>0.19532279999999999</v>
      </c>
      <c r="S5574">
        <v>3.0383300000000002</v>
      </c>
      <c r="T5574">
        <v>-0.31682539999999998</v>
      </c>
      <c r="U5574">
        <v>9.2895510000000001E-2</v>
      </c>
      <c r="V5574">
        <v>-6.0691450000000001E-2</v>
      </c>
      <c r="W5574">
        <v>1.6668469999999999E-3</v>
      </c>
      <c r="X5574">
        <v>0.99815520000000002</v>
      </c>
      <c r="Y5574">
        <v>0.1039153</v>
      </c>
      <c r="Z5574">
        <v>-1.8255360000000002E-2</v>
      </c>
      <c r="AA5574">
        <v>0.99441860000000004</v>
      </c>
      <c r="AB5574">
        <v>30</v>
      </c>
      <c r="AC5574">
        <v>0.78089999999997395</v>
      </c>
      <c r="AD5574">
        <v>-9.8055000000000198E-2</v>
      </c>
      <c r="AE5574">
        <v>8.96999999999081E-3</v>
      </c>
      <c r="AF5574">
        <v>9.5373679358140798E-2</v>
      </c>
      <c r="AG5574">
        <v>-9.8055000000000198E-2</v>
      </c>
      <c r="AH5574">
        <v>0.76289247018733597</v>
      </c>
      <c r="AI5574">
        <v>97.268138808095699</v>
      </c>
      <c r="AJ5574">
        <v>82.874087360906699</v>
      </c>
      <c r="AK5574">
        <v>0.775058606047211</v>
      </c>
      <c r="AL5574">
        <v>89.904496659194393</v>
      </c>
      <c r="AM5574">
        <v>93.479507048570198</v>
      </c>
      <c r="AN5574">
        <v>1.00000001688453</v>
      </c>
    </row>
    <row r="5575" spans="1:40" x14ac:dyDescent="0.25">
      <c r="A5575" t="str">
        <f>"20190305135938925"</f>
        <v>20190305135938925</v>
      </c>
      <c r="B5575" t="str">
        <f>"1551765578914359"</f>
        <v>1551765578914359</v>
      </c>
      <c r="C5575" t="s">
        <v>40</v>
      </c>
      <c r="D5575">
        <v>4.7325689999999998</v>
      </c>
      <c r="E5575">
        <v>0.55822530000000004</v>
      </c>
      <c r="F5575" t="s">
        <v>41</v>
      </c>
      <c r="G5575">
        <v>-277.08080000000001</v>
      </c>
      <c r="H5575">
        <v>1.0229159999999999</v>
      </c>
      <c r="I5575">
        <v>-61.639279999999999</v>
      </c>
      <c r="J5575">
        <v>-277.71749999999997</v>
      </c>
      <c r="K5575">
        <v>1.105664</v>
      </c>
      <c r="L5575">
        <v>-61.644469999999998</v>
      </c>
      <c r="M5575">
        <v>0.99108359999999995</v>
      </c>
      <c r="N5575">
        <v>-1.421383E-2</v>
      </c>
      <c r="O5575">
        <v>0.13248199999999999</v>
      </c>
      <c r="P5575">
        <v>0.98114849999999998</v>
      </c>
      <c r="Q5575">
        <v>-1.3588980000000001E-2</v>
      </c>
      <c r="R5575">
        <v>0.19277810000000001</v>
      </c>
      <c r="S5575">
        <v>3.0371090000000001</v>
      </c>
      <c r="T5575">
        <v>-0.31982509999999997</v>
      </c>
      <c r="U5575">
        <v>8.9263919999999997E-2</v>
      </c>
      <c r="V5575">
        <v>-6.1071779999999999E-2</v>
      </c>
      <c r="W5575">
        <v>1.2124219999999999E-3</v>
      </c>
      <c r="X5575">
        <v>0.99813260000000004</v>
      </c>
      <c r="Y5575">
        <v>0.10213510000000001</v>
      </c>
      <c r="Z5575">
        <v>-1.8078759999999999E-2</v>
      </c>
      <c r="AA5575">
        <v>0.99460630000000005</v>
      </c>
      <c r="AB5575">
        <v>30</v>
      </c>
      <c r="AC5575">
        <v>0.63669999999996196</v>
      </c>
      <c r="AD5575">
        <v>-8.2748000000000002E-2</v>
      </c>
      <c r="AE5575">
        <v>5.1899999999918097E-3</v>
      </c>
      <c r="AF5575">
        <v>7.7899870617805303E-2</v>
      </c>
      <c r="AG5575">
        <v>-8.2748000000000002E-2</v>
      </c>
      <c r="AH5575">
        <v>0.62128114471075901</v>
      </c>
      <c r="AI5575">
        <v>97.528271254214999</v>
      </c>
      <c r="AJ5575">
        <v>82.853216662992693</v>
      </c>
      <c r="AK5575">
        <v>0.63158996359931296</v>
      </c>
      <c r="AL5575">
        <v>89.930533316594804</v>
      </c>
      <c r="AM5575">
        <v>93.501336787628901</v>
      </c>
      <c r="AN5575">
        <v>0.99999995973111599</v>
      </c>
    </row>
    <row r="5576" spans="1:40" x14ac:dyDescent="0.25">
      <c r="A5576" t="str">
        <f>"20190305135938935"</f>
        <v>20190305135938935</v>
      </c>
      <c r="B5576" t="str">
        <f>"1551765578925095"</f>
        <v>1551765578925095</v>
      </c>
      <c r="C5576" t="s">
        <v>40</v>
      </c>
      <c r="D5576">
        <v>4.746124</v>
      </c>
      <c r="E5576">
        <v>0.55778190000000005</v>
      </c>
      <c r="F5576" t="s">
        <v>41</v>
      </c>
      <c r="G5576">
        <v>-276.82049999999998</v>
      </c>
      <c r="H5576">
        <v>1.0088980000000001</v>
      </c>
      <c r="I5576">
        <v>-61.618380000000002</v>
      </c>
      <c r="J5576">
        <v>-277.57229999999998</v>
      </c>
      <c r="K5576">
        <v>1.1055360000000001</v>
      </c>
      <c r="L5576">
        <v>-61.627619999999901</v>
      </c>
      <c r="M5576">
        <v>0.99146540000000005</v>
      </c>
      <c r="N5576">
        <v>-1.418608E-2</v>
      </c>
      <c r="O5576">
        <v>0.1295964</v>
      </c>
      <c r="P5576">
        <v>0.98162740000000004</v>
      </c>
      <c r="Q5576">
        <v>-1.319478E-2</v>
      </c>
      <c r="R5576">
        <v>0.19035199999999999</v>
      </c>
      <c r="S5576">
        <v>3.0356139999999998</v>
      </c>
      <c r="T5576">
        <v>-0.3270999</v>
      </c>
      <c r="U5576">
        <v>8.8989260000000001E-2</v>
      </c>
      <c r="V5576">
        <v>-6.1505329999999997E-2</v>
      </c>
      <c r="W5576">
        <v>1.6039050000000001E-3</v>
      </c>
      <c r="X5576">
        <v>0.99810549999999998</v>
      </c>
      <c r="Y5576">
        <v>9.9287650000000005E-2</v>
      </c>
      <c r="Z5576">
        <v>-1.80863E-2</v>
      </c>
      <c r="AA5576">
        <v>0.99489439999999996</v>
      </c>
      <c r="AB5576">
        <v>30</v>
      </c>
      <c r="AC5576">
        <v>0.75180000000000202</v>
      </c>
      <c r="AD5576">
        <v>-9.6638000000000196E-2</v>
      </c>
      <c r="AE5576">
        <v>9.23999999999125E-3</v>
      </c>
      <c r="AF5576">
        <v>8.6843603731439206E-2</v>
      </c>
      <c r="AG5576">
        <v>-9.6638000000000196E-2</v>
      </c>
      <c r="AH5576">
        <v>0.73452152019343298</v>
      </c>
      <c r="AI5576">
        <v>97.443864233841296</v>
      </c>
      <c r="AJ5576">
        <v>83.257134830008098</v>
      </c>
      <c r="AK5576">
        <v>0.74592397613988504</v>
      </c>
      <c r="AL5576">
        <v>89.908102976449499</v>
      </c>
      <c r="AM5576">
        <v>93.526225863889806</v>
      </c>
      <c r="AN5576">
        <v>1.0000000336299499</v>
      </c>
    </row>
    <row r="5577" spans="1:40" x14ac:dyDescent="0.25">
      <c r="A5577" t="str">
        <f>"20190305135938947"</f>
        <v>20190305135938947</v>
      </c>
      <c r="B5577" t="str">
        <f>"1551765578944616"</f>
        <v>1551765578944616</v>
      </c>
      <c r="C5577" t="s">
        <v>40</v>
      </c>
      <c r="D5577">
        <v>4.7109809999999896</v>
      </c>
      <c r="E5577">
        <v>0.55713699999999999</v>
      </c>
      <c r="F5577" t="s">
        <v>41</v>
      </c>
      <c r="G5577">
        <v>-276.815</v>
      </c>
      <c r="H5577">
        <v>1.0230729999999999</v>
      </c>
      <c r="I5577">
        <v>-61.606740000000002</v>
      </c>
      <c r="J5577">
        <v>-277.42540000000002</v>
      </c>
      <c r="K5577">
        <v>1.105453</v>
      </c>
      <c r="L5577">
        <v>-61.6113</v>
      </c>
      <c r="M5577">
        <v>0.99184450000000002</v>
      </c>
      <c r="N5577">
        <v>-1.415976E-2</v>
      </c>
      <c r="O5577">
        <v>0.126665</v>
      </c>
      <c r="P5577">
        <v>0.98206099999999996</v>
      </c>
      <c r="Q5577">
        <v>-1.199208E-2</v>
      </c>
      <c r="R5577">
        <v>0.18818209999999999</v>
      </c>
      <c r="S5577">
        <v>3.0353089999999998</v>
      </c>
      <c r="T5577">
        <v>-0.33008729999999997</v>
      </c>
      <c r="U5577">
        <v>8.4564210000000001E-2</v>
      </c>
      <c r="V5577">
        <v>-6.2234280000000003E-2</v>
      </c>
      <c r="W5577">
        <v>2.801717E-3</v>
      </c>
      <c r="X5577">
        <v>0.99805770000000005</v>
      </c>
      <c r="Y5577">
        <v>9.7791870000000003E-2</v>
      </c>
      <c r="Z5577">
        <v>-1.790015E-2</v>
      </c>
      <c r="AA5577">
        <v>0.99504590000000004</v>
      </c>
      <c r="AB5577">
        <v>30</v>
      </c>
      <c r="AC5577">
        <v>0.61040000000002603</v>
      </c>
      <c r="AD5577">
        <v>-8.2380000000000106E-2</v>
      </c>
      <c r="AE5577">
        <v>4.5599999999978904E-3</v>
      </c>
      <c r="AF5577">
        <v>7.1498572581634695E-2</v>
      </c>
      <c r="AG5577">
        <v>-8.2380000000000106E-2</v>
      </c>
      <c r="AH5577">
        <v>0.59521927697259303</v>
      </c>
      <c r="AI5577">
        <v>97.824293072284505</v>
      </c>
      <c r="AJ5577">
        <v>83.150369744694402</v>
      </c>
      <c r="AK5577">
        <v>0.60513180213982098</v>
      </c>
      <c r="AL5577">
        <v>89.839473240751204</v>
      </c>
      <c r="AM5577">
        <v>93.568081161889197</v>
      </c>
      <c r="AN5577">
        <v>1.0000000638772699</v>
      </c>
    </row>
    <row r="5578" spans="1:40" x14ac:dyDescent="0.25">
      <c r="A5578" t="str">
        <f>"20190305135938956"</f>
        <v>20190305135938956</v>
      </c>
      <c r="B5578" t="str">
        <f>"1551765578944616"</f>
        <v>1551765578944616</v>
      </c>
      <c r="C5578" t="s">
        <v>40</v>
      </c>
      <c r="D5578">
        <v>4.7109809999999896</v>
      </c>
      <c r="E5578">
        <v>0.55713699999999999</v>
      </c>
      <c r="F5578" t="s">
        <v>41</v>
      </c>
      <c r="G5578">
        <v>-276.55329999999998</v>
      </c>
      <c r="H5578">
        <v>1.0120929999999999</v>
      </c>
      <c r="I5578">
        <v>-61.587519999999998</v>
      </c>
      <c r="J5578">
        <v>-277.29390000000001</v>
      </c>
      <c r="K5578">
        <v>1.10538799999999</v>
      </c>
      <c r="L5578">
        <v>-61.596829999999997</v>
      </c>
      <c r="M5578">
        <v>0.99217699999999998</v>
      </c>
      <c r="N5578">
        <v>-1.4136360000000001E-2</v>
      </c>
      <c r="O5578">
        <v>0.1240362</v>
      </c>
      <c r="P5578">
        <v>0.98246290000000003</v>
      </c>
      <c r="Q5578">
        <v>-1.12832E-2</v>
      </c>
      <c r="R5578">
        <v>0.1861168</v>
      </c>
      <c r="S5578">
        <v>3.034821</v>
      </c>
      <c r="T5578">
        <v>-0.32450390000000001</v>
      </c>
      <c r="U5578">
        <v>8.3526610000000001E-2</v>
      </c>
      <c r="V5578">
        <v>-6.2772389999999997E-2</v>
      </c>
      <c r="W5578">
        <v>3.5040940000000001E-3</v>
      </c>
      <c r="X5578">
        <v>0.99802170000000001</v>
      </c>
      <c r="Y5578">
        <v>9.5557130000000004E-2</v>
      </c>
      <c r="Z5578">
        <v>-1.72094E-2</v>
      </c>
      <c r="AA5578">
        <v>0.99527520000000003</v>
      </c>
      <c r="AB5578">
        <v>30</v>
      </c>
      <c r="AC5578">
        <v>0.74060000000002901</v>
      </c>
      <c r="AD5578">
        <v>-9.32949999999996E-2</v>
      </c>
      <c r="AE5578">
        <v>9.3100000000063601E-3</v>
      </c>
      <c r="AF5578">
        <v>8.13416914828618E-2</v>
      </c>
      <c r="AG5578">
        <v>-9.32949999999996E-2</v>
      </c>
      <c r="AH5578">
        <v>0.72453872272053799</v>
      </c>
      <c r="AI5578">
        <v>97.2919870787142</v>
      </c>
      <c r="AJ5578">
        <v>83.594404277871803</v>
      </c>
      <c r="AK5578">
        <v>0.73503522944128397</v>
      </c>
      <c r="AL5578">
        <v>89.799229788431902</v>
      </c>
      <c r="AM5578">
        <v>93.598981388374597</v>
      </c>
      <c r="AN5578">
        <v>0.999999982645981</v>
      </c>
    </row>
    <row r="5579" spans="1:40" x14ac:dyDescent="0.25">
      <c r="A5579" t="str">
        <f>"20190305135938967"</f>
        <v>20190305135938967</v>
      </c>
      <c r="B5579" t="str">
        <f>"1551765578965112"</f>
        <v>1551765578965112</v>
      </c>
      <c r="C5579" t="s">
        <v>40</v>
      </c>
      <c r="D5579">
        <v>4.7509269999999999</v>
      </c>
      <c r="E5579">
        <v>0.555558199999999</v>
      </c>
      <c r="F5579" t="s">
        <v>41</v>
      </c>
      <c r="G5579">
        <v>-276.54759999999999</v>
      </c>
      <c r="H5579">
        <v>1.025849</v>
      </c>
      <c r="I5579">
        <v>-61.577979999999997</v>
      </c>
      <c r="J5579">
        <v>-277.15499999999997</v>
      </c>
      <c r="K5579">
        <v>1.1053660000000001</v>
      </c>
      <c r="L5579">
        <v>-61.582180000000001</v>
      </c>
      <c r="M5579">
        <v>0.99251619999999996</v>
      </c>
      <c r="N5579">
        <v>-1.4112939999999999E-2</v>
      </c>
      <c r="O5579">
        <v>0.12129520000000001</v>
      </c>
      <c r="P5579">
        <v>0.98282250000000004</v>
      </c>
      <c r="Q5579">
        <v>-1.0336420000000001E-2</v>
      </c>
      <c r="R5579">
        <v>0.18426429999999999</v>
      </c>
      <c r="S5579">
        <v>3.0351560000000002</v>
      </c>
      <c r="T5579">
        <v>-0.32306309999999999</v>
      </c>
      <c r="U5579">
        <v>7.76062E-2</v>
      </c>
      <c r="V5579">
        <v>-6.3635869999999997E-2</v>
      </c>
      <c r="W5579">
        <v>4.4410719999999999E-3</v>
      </c>
      <c r="X5579">
        <v>0.9979633</v>
      </c>
      <c r="Y5579">
        <v>9.4777799999999995E-2</v>
      </c>
      <c r="Z5579">
        <v>-1.6832219999999998E-2</v>
      </c>
      <c r="AA5579">
        <v>0.99535609999999997</v>
      </c>
      <c r="AB5579">
        <v>30</v>
      </c>
      <c r="AC5579">
        <v>0.60739999999998395</v>
      </c>
      <c r="AD5579">
        <v>-7.9517000000000004E-2</v>
      </c>
      <c r="AE5579">
        <v>4.2000000000044198E-3</v>
      </c>
      <c r="AF5579">
        <v>6.8341841518708799E-2</v>
      </c>
      <c r="AG5579">
        <v>-7.9517000000000004E-2</v>
      </c>
      <c r="AH5579">
        <v>0.59325685362114</v>
      </c>
      <c r="AI5579">
        <v>97.584552782282401</v>
      </c>
      <c r="AJ5579">
        <v>83.428622754011698</v>
      </c>
      <c r="AK5579">
        <v>0.60245103947094503</v>
      </c>
      <c r="AL5579">
        <v>89.745544480830304</v>
      </c>
      <c r="AM5579">
        <v>93.648568115763595</v>
      </c>
      <c r="AN5579">
        <v>0.99999999760902802</v>
      </c>
    </row>
    <row r="5580" spans="1:40" x14ac:dyDescent="0.25">
      <c r="A5580" t="str">
        <f>"20190305135938977"</f>
        <v>20190305135938977</v>
      </c>
      <c r="B5580" t="str">
        <f>"1551765578974871"</f>
        <v>1551765578974871</v>
      </c>
      <c r="C5580" t="s">
        <v>40</v>
      </c>
      <c r="D5580">
        <v>4.7290710000000002</v>
      </c>
      <c r="E5580">
        <v>0.55510990000000004</v>
      </c>
      <c r="F5580" t="s">
        <v>41</v>
      </c>
      <c r="G5580">
        <v>-276.286</v>
      </c>
      <c r="H5580">
        <v>1.0155190000000001</v>
      </c>
      <c r="I5580">
        <v>-61.558030000000002</v>
      </c>
      <c r="J5580">
        <v>-277.01350000000002</v>
      </c>
      <c r="K5580">
        <v>1.105348</v>
      </c>
      <c r="L5580">
        <v>-61.567410000000002</v>
      </c>
      <c r="M5580">
        <v>0.9928536</v>
      </c>
      <c r="N5580">
        <v>-1.408918E-2</v>
      </c>
      <c r="O5580">
        <v>0.1185047</v>
      </c>
      <c r="P5580">
        <v>0.98313189999999995</v>
      </c>
      <c r="Q5580">
        <v>-9.8092260000000008E-3</v>
      </c>
      <c r="R5580">
        <v>0.18263560000000001</v>
      </c>
      <c r="S5580">
        <v>3.0330810000000001</v>
      </c>
      <c r="T5580">
        <v>-0.31309379999999998</v>
      </c>
      <c r="U5580">
        <v>8.5540770000000002E-2</v>
      </c>
      <c r="V5580">
        <v>-6.4781080000000005E-2</v>
      </c>
      <c r="W5580">
        <v>4.9598649999999999E-3</v>
      </c>
      <c r="X5580">
        <v>0.99788719999999997</v>
      </c>
      <c r="Y5580">
        <v>8.9470530000000006E-2</v>
      </c>
      <c r="Z5580">
        <v>-1.5739110000000001E-2</v>
      </c>
      <c r="AA5580">
        <v>0.99586509999999995</v>
      </c>
      <c r="AB5580">
        <v>30</v>
      </c>
      <c r="AC5580">
        <v>0.72750000000002002</v>
      </c>
      <c r="AD5580">
        <v>-8.9828999999999895E-2</v>
      </c>
      <c r="AE5580">
        <v>9.3799999999930501E-3</v>
      </c>
      <c r="AF5580">
        <v>7.5752076645584004E-2</v>
      </c>
      <c r="AG5580">
        <v>-8.9828999999999895E-2</v>
      </c>
      <c r="AH5580">
        <v>0.71262123058885296</v>
      </c>
      <c r="AI5580">
        <v>97.144654752617797</v>
      </c>
      <c r="AJ5580">
        <v>83.932209792061798</v>
      </c>
      <c r="AK5580">
        <v>0.72224417245353401</v>
      </c>
      <c r="AL5580">
        <v>89.715819510846103</v>
      </c>
      <c r="AM5580">
        <v>93.714329111849395</v>
      </c>
      <c r="AN5580">
        <v>1.0000000262553099</v>
      </c>
    </row>
    <row r="5581" spans="1:40" x14ac:dyDescent="0.25">
      <c r="A5581" t="str">
        <f>"20190305135938990"</f>
        <v>20190305135938990</v>
      </c>
      <c r="B5581" t="str">
        <f>"1551765578984631"</f>
        <v>1551765578984631</v>
      </c>
      <c r="C5581" t="s">
        <v>40</v>
      </c>
      <c r="D5581">
        <v>4.7565220000000004</v>
      </c>
      <c r="E5581">
        <v>0.55441269999999998</v>
      </c>
      <c r="F5581" t="s">
        <v>41</v>
      </c>
      <c r="G5581">
        <v>-276.2799</v>
      </c>
      <c r="H5581">
        <v>1.0304059999999999</v>
      </c>
      <c r="I5581">
        <v>-61.547269999999997</v>
      </c>
      <c r="J5581">
        <v>-276.85079999999999</v>
      </c>
      <c r="K5581">
        <v>1.1053789999999999</v>
      </c>
      <c r="L5581">
        <v>-61.551180000000002</v>
      </c>
      <c r="M5581">
        <v>0.9932202</v>
      </c>
      <c r="N5581">
        <v>-1.4062969999999999E-2</v>
      </c>
      <c r="O5581">
        <v>0.1153945</v>
      </c>
      <c r="P5581">
        <v>0.98346149999999999</v>
      </c>
      <c r="Q5581">
        <v>-9.7109750000000002E-3</v>
      </c>
      <c r="R5581">
        <v>0.18085689999999999</v>
      </c>
      <c r="S5581">
        <v>3.032654</v>
      </c>
      <c r="T5581">
        <v>-0.3092029</v>
      </c>
      <c r="U5581">
        <v>8.4747310000000006E-2</v>
      </c>
      <c r="V5581">
        <v>-6.6099989999999997E-2</v>
      </c>
      <c r="W5581">
        <v>5.0414029999999999E-3</v>
      </c>
      <c r="X5581">
        <v>0.99780029999999997</v>
      </c>
      <c r="Y5581">
        <v>8.6661050000000003E-2</v>
      </c>
      <c r="Z5581">
        <v>-1.5102859999999999E-2</v>
      </c>
      <c r="AA5581">
        <v>0.99612339999999999</v>
      </c>
      <c r="AB5581">
        <v>30</v>
      </c>
      <c r="AC5581">
        <v>0.57089999999999397</v>
      </c>
      <c r="AD5581">
        <v>-7.4973000000000095E-2</v>
      </c>
      <c r="AE5581">
        <v>3.9100000000047404E-3</v>
      </c>
      <c r="AF5581">
        <v>6.0950257549179397E-2</v>
      </c>
      <c r="AG5581">
        <v>-7.4973000000000095E-2</v>
      </c>
      <c r="AH5581">
        <v>0.55791533524571302</v>
      </c>
      <c r="AI5581">
        <v>97.608856073170202</v>
      </c>
      <c r="AJ5581">
        <v>83.765365297440596</v>
      </c>
      <c r="AK5581">
        <v>0.56622028039151695</v>
      </c>
      <c r="AL5581">
        <v>89.7111476708141</v>
      </c>
      <c r="AM5581">
        <v>93.790061885192699</v>
      </c>
      <c r="AN5581">
        <v>1.0000000315511399</v>
      </c>
    </row>
    <row r="5582" spans="1:40" x14ac:dyDescent="0.25">
      <c r="A5582" t="str">
        <f>"20190305135939001"</f>
        <v>20190305135939001</v>
      </c>
      <c r="B5582" t="str">
        <f>"1551765578994390"</f>
        <v>1551765578994390</v>
      </c>
      <c r="C5582" t="s">
        <v>40</v>
      </c>
      <c r="D5582">
        <v>4.7249109999999996</v>
      </c>
      <c r="E5582">
        <v>0.55393429999999999</v>
      </c>
      <c r="F5582" t="s">
        <v>41</v>
      </c>
      <c r="G5582">
        <v>-276.01799999999997</v>
      </c>
      <c r="H5582">
        <v>1.021139</v>
      </c>
      <c r="I5582">
        <v>-61.527810000000002</v>
      </c>
      <c r="J5582">
        <v>-276.70319999999998</v>
      </c>
      <c r="K5582">
        <v>1.1054139999999999</v>
      </c>
      <c r="L5582">
        <v>-61.536650000000002</v>
      </c>
      <c r="M5582">
        <v>0.99353990000000003</v>
      </c>
      <c r="N5582">
        <v>-1.4039589999999999E-2</v>
      </c>
      <c r="O5582">
        <v>0.112611</v>
      </c>
      <c r="P5582">
        <v>0.98372550000000003</v>
      </c>
      <c r="Q5582">
        <v>-9.3552659999999992E-3</v>
      </c>
      <c r="R5582">
        <v>0.17943429999999999</v>
      </c>
      <c r="S5582">
        <v>3.0317080000000001</v>
      </c>
      <c r="T5582">
        <v>-0.3065408</v>
      </c>
      <c r="U5582">
        <v>8.5449220000000006E-2</v>
      </c>
      <c r="V5582">
        <v>-6.7449149999999999E-2</v>
      </c>
      <c r="W5582">
        <v>5.381383E-3</v>
      </c>
      <c r="X5582">
        <v>0.99770820000000005</v>
      </c>
      <c r="Y5582">
        <v>8.3674170000000006E-2</v>
      </c>
      <c r="Z5582">
        <v>-1.4559819999999999E-2</v>
      </c>
      <c r="AA5582">
        <v>0.99638680000000002</v>
      </c>
      <c r="AB5582">
        <v>30</v>
      </c>
      <c r="AC5582">
        <v>0.68520000000000802</v>
      </c>
      <c r="AD5582">
        <v>-8.4274999999999795E-2</v>
      </c>
      <c r="AE5582">
        <v>8.8400000000063896E-3</v>
      </c>
      <c r="AF5582">
        <v>6.7366009077219194E-2</v>
      </c>
      <c r="AG5582">
        <v>-8.4274999999999795E-2</v>
      </c>
      <c r="AH5582">
        <v>0.67167725815660695</v>
      </c>
      <c r="AI5582">
        <v>97.116167595106901</v>
      </c>
      <c r="AJ5582">
        <v>84.272660751612307</v>
      </c>
      <c r="AK5582">
        <v>0.68028728779006897</v>
      </c>
      <c r="AL5582">
        <v>89.691667977882901</v>
      </c>
      <c r="AM5582">
        <v>93.867543953191401</v>
      </c>
      <c r="AN5582">
        <v>0.99999999973297704</v>
      </c>
    </row>
    <row r="5583" spans="1:40" x14ac:dyDescent="0.25">
      <c r="A5583" t="str">
        <f>"20190305135939011"</f>
        <v>20190305135939011</v>
      </c>
      <c r="B5583" t="str">
        <f>"1551765579005126"</f>
        <v>1551765579005126</v>
      </c>
      <c r="C5583" t="s">
        <v>40</v>
      </c>
      <c r="D5583">
        <v>4.6828409999999998</v>
      </c>
      <c r="E5583">
        <v>0.55369139999999994</v>
      </c>
      <c r="F5583" t="s">
        <v>41</v>
      </c>
      <c r="G5583">
        <v>-275.75689999999997</v>
      </c>
      <c r="H5583">
        <v>1.0108280000000001</v>
      </c>
      <c r="I5583">
        <v>-61.50994</v>
      </c>
      <c r="J5583">
        <v>-276.55990000000003</v>
      </c>
      <c r="K5583">
        <v>1.1054809999999999</v>
      </c>
      <c r="L5583">
        <v>-61.523040000000002</v>
      </c>
      <c r="M5583">
        <v>0.9938323</v>
      </c>
      <c r="N5583">
        <v>-1.4017679999999999E-2</v>
      </c>
      <c r="O5583">
        <v>0.1100049</v>
      </c>
      <c r="P5583">
        <v>0.98404809999999998</v>
      </c>
      <c r="Q5583">
        <v>-9.381492E-3</v>
      </c>
      <c r="R5583">
        <v>0.17765539999999999</v>
      </c>
      <c r="S5583">
        <v>3.0311279999999998</v>
      </c>
      <c r="T5583">
        <v>-0.30286229999999997</v>
      </c>
      <c r="U5583">
        <v>8.5662840000000004E-2</v>
      </c>
      <c r="V5583">
        <v>-6.8263619999999997E-2</v>
      </c>
      <c r="W5583">
        <v>5.3294099999999997E-3</v>
      </c>
      <c r="X5583">
        <v>0.99765309999999996</v>
      </c>
      <c r="Y5583">
        <v>8.1031469999999994E-2</v>
      </c>
      <c r="Z5583">
        <v>-1.4006579999999999E-2</v>
      </c>
      <c r="AA5583">
        <v>0.99661310000000003</v>
      </c>
      <c r="AB5583">
        <v>30</v>
      </c>
      <c r="AC5583">
        <v>0.803000000000054</v>
      </c>
      <c r="AD5583">
        <v>-9.4652999999999807E-2</v>
      </c>
      <c r="AE5583">
        <v>1.31000000000014E-2</v>
      </c>
      <c r="AF5583">
        <v>7.4290186219909293E-2</v>
      </c>
      <c r="AG5583">
        <v>-9.4652999999999807E-2</v>
      </c>
      <c r="AH5583">
        <v>0.78861254577308204</v>
      </c>
      <c r="AI5583">
        <v>96.814285885561404</v>
      </c>
      <c r="AJ5583">
        <v>84.618409841621599</v>
      </c>
      <c r="AK5583">
        <v>0.79773928668976202</v>
      </c>
      <c r="AL5583">
        <v>89.694645859159294</v>
      </c>
      <c r="AM5583">
        <v>93.914316981034801</v>
      </c>
      <c r="AN5583">
        <v>1.00000001618303</v>
      </c>
    </row>
    <row r="5584" spans="1:40" x14ac:dyDescent="0.25">
      <c r="A5584" t="str">
        <f>"20190305135939023"</f>
        <v>20190305135939023</v>
      </c>
      <c r="B5584" t="str">
        <f>"1551765579014887"</f>
        <v>1551765579014887</v>
      </c>
      <c r="C5584" t="s">
        <v>40</v>
      </c>
      <c r="D5584">
        <v>4.6952949999999998</v>
      </c>
      <c r="E5584">
        <v>0.5534791</v>
      </c>
      <c r="F5584" t="s">
        <v>41</v>
      </c>
      <c r="G5584">
        <v>-275.75069999999999</v>
      </c>
      <c r="H5584">
        <v>1.0252840000000001</v>
      </c>
      <c r="I5584">
        <v>-61.500929999999997</v>
      </c>
      <c r="J5584">
        <v>-276.40769999999998</v>
      </c>
      <c r="K5584">
        <v>1.105566</v>
      </c>
      <c r="L5584">
        <v>-61.508819999999901</v>
      </c>
      <c r="M5584">
        <v>0.99412730000000005</v>
      </c>
      <c r="N5584">
        <v>-1.399502E-2</v>
      </c>
      <c r="O5584">
        <v>0.1073083</v>
      </c>
      <c r="P5584">
        <v>0.98435439999999996</v>
      </c>
      <c r="Q5584">
        <v>-9.5430500000000008E-3</v>
      </c>
      <c r="R5584">
        <v>0.17594189999999901</v>
      </c>
      <c r="S5584">
        <v>3.0307919999999999</v>
      </c>
      <c r="T5584">
        <v>-0.300236</v>
      </c>
      <c r="U5584">
        <v>8.2916260000000006E-2</v>
      </c>
      <c r="V5584">
        <v>-6.9236510000000001E-2</v>
      </c>
      <c r="W5584">
        <v>5.1401069999999997E-3</v>
      </c>
      <c r="X5584">
        <v>0.997587</v>
      </c>
      <c r="Y5584">
        <v>7.9261470000000001E-2</v>
      </c>
      <c r="Z5584">
        <v>-1.355372E-2</v>
      </c>
      <c r="AA5584">
        <v>0.99676169999999997</v>
      </c>
      <c r="AB5584">
        <v>30</v>
      </c>
      <c r="AC5584">
        <v>0.65699999999998204</v>
      </c>
      <c r="AD5584">
        <v>-8.0281999999999895E-2</v>
      </c>
      <c r="AE5584">
        <v>7.8899999999890707E-3</v>
      </c>
      <c r="AF5584">
        <v>6.1742248970776202E-2</v>
      </c>
      <c r="AG5584">
        <v>-8.0281999999999895E-2</v>
      </c>
      <c r="AH5584">
        <v>0.64443135878264401</v>
      </c>
      <c r="AI5584">
        <v>97.069169615747001</v>
      </c>
      <c r="AJ5584">
        <v>84.527259926886103</v>
      </c>
      <c r="AK5584">
        <v>0.65234123050318804</v>
      </c>
      <c r="AL5584">
        <v>89.705492256603705</v>
      </c>
      <c r="AM5584">
        <v>93.970188722609194</v>
      </c>
      <c r="AN5584">
        <v>0.99999996879297504</v>
      </c>
    </row>
    <row r="5585" spans="1:40" x14ac:dyDescent="0.25">
      <c r="A5585" t="str">
        <f>"20190305135939034"</f>
        <v>20190305135939034</v>
      </c>
      <c r="B5585" t="str">
        <f>"1551765579024647"</f>
        <v>1551765579024647</v>
      </c>
      <c r="C5585" t="s">
        <v>40</v>
      </c>
      <c r="D5585">
        <v>4.74559</v>
      </c>
      <c r="E5585">
        <v>0.55320119999999995</v>
      </c>
      <c r="F5585" t="s">
        <v>41</v>
      </c>
      <c r="G5585">
        <v>-275.4898</v>
      </c>
      <c r="H5585">
        <v>1.0149330000000001</v>
      </c>
      <c r="I5585">
        <v>-61.484630000000003</v>
      </c>
      <c r="J5585">
        <v>-276.25760000000002</v>
      </c>
      <c r="K5585">
        <v>1.1056649999999999</v>
      </c>
      <c r="L5585">
        <v>-61.495179999999998</v>
      </c>
      <c r="M5585">
        <v>0.99440170000000006</v>
      </c>
      <c r="N5585">
        <v>-1.397343E-2</v>
      </c>
      <c r="O5585">
        <v>0.10473780000000001</v>
      </c>
      <c r="P5585">
        <v>0.98473270000000002</v>
      </c>
      <c r="Q5585">
        <v>-9.7449089999999995E-3</v>
      </c>
      <c r="R5585">
        <v>0.17380039999999999</v>
      </c>
      <c r="S5585">
        <v>3.0304259999999998</v>
      </c>
      <c r="T5585">
        <v>-0.29898570000000002</v>
      </c>
      <c r="U5585">
        <v>8.0627439999999995E-2</v>
      </c>
      <c r="V5585">
        <v>-6.9649470000000005E-2</v>
      </c>
      <c r="W5585">
        <v>4.9031220000000002E-3</v>
      </c>
      <c r="X5585">
        <v>0.99755950000000004</v>
      </c>
      <c r="Y5585">
        <v>7.745908E-2</v>
      </c>
      <c r="Z5585">
        <v>-1.3180040000000001E-2</v>
      </c>
      <c r="AA5585">
        <v>0.99690840000000003</v>
      </c>
      <c r="AB5585">
        <v>30</v>
      </c>
      <c r="AC5585">
        <v>0.76780000000002202</v>
      </c>
      <c r="AD5585">
        <v>-9.0731999999999799E-2</v>
      </c>
      <c r="AE5585">
        <v>1.0550000000002E-2</v>
      </c>
      <c r="AF5585">
        <v>6.8970615644504907E-2</v>
      </c>
      <c r="AG5585">
        <v>-9.0731999999999799E-2</v>
      </c>
      <c r="AH5585">
        <v>0.75415191460265296</v>
      </c>
      <c r="AI5585">
        <v>96.8320403610265</v>
      </c>
      <c r="AJ5585">
        <v>84.774576912042903</v>
      </c>
      <c r="AK5585">
        <v>0.76271511847165496</v>
      </c>
      <c r="AL5585">
        <v>89.719070683701503</v>
      </c>
      <c r="AM5585">
        <v>93.993902184630002</v>
      </c>
      <c r="AN5585">
        <v>1.00000002265843</v>
      </c>
    </row>
    <row r="5586" spans="1:40" x14ac:dyDescent="0.25">
      <c r="A5586" t="str">
        <f>"20190305135939046"</f>
        <v>20190305135939046</v>
      </c>
      <c r="B5586" t="str">
        <f>"1551765579034407"</f>
        <v>1551765579034407</v>
      </c>
      <c r="C5586" t="s">
        <v>40</v>
      </c>
      <c r="D5586">
        <v>4.7348319999999999</v>
      </c>
      <c r="E5586">
        <v>0.55289659999999996</v>
      </c>
      <c r="F5586" t="s">
        <v>41</v>
      </c>
      <c r="G5586">
        <v>-275.48360000000002</v>
      </c>
      <c r="H5586">
        <v>1.0292699999999999</v>
      </c>
      <c r="I5586">
        <v>-61.475679999999997</v>
      </c>
      <c r="J5586">
        <v>-276.11070000000001</v>
      </c>
      <c r="K5586">
        <v>1.1057779999999999</v>
      </c>
      <c r="L5586">
        <v>-61.482149999999997</v>
      </c>
      <c r="M5586">
        <v>0.99465099999999995</v>
      </c>
      <c r="N5586">
        <v>-1.395326E-2</v>
      </c>
      <c r="O5586">
        <v>0.1023457</v>
      </c>
      <c r="P5586">
        <v>0.98514400000000002</v>
      </c>
      <c r="Q5586">
        <v>-1.044104E-2</v>
      </c>
      <c r="R5586">
        <v>0.1714127</v>
      </c>
      <c r="S5586">
        <v>3.0299070000000001</v>
      </c>
      <c r="T5586">
        <v>-0.29876209999999997</v>
      </c>
      <c r="U5586">
        <v>7.7209470000000002E-2</v>
      </c>
      <c r="V5586">
        <v>-6.9639709999999994E-2</v>
      </c>
      <c r="W5586">
        <v>4.1664170000000004E-3</v>
      </c>
      <c r="X5586">
        <v>0.99756350000000005</v>
      </c>
      <c r="Y5586">
        <v>7.6196689999999997E-2</v>
      </c>
      <c r="Z5586">
        <v>-1.290202E-2</v>
      </c>
      <c r="AA5586">
        <v>0.99700929999999999</v>
      </c>
      <c r="AB5586">
        <v>30</v>
      </c>
      <c r="AC5586">
        <v>0.627099999999984</v>
      </c>
      <c r="AD5586">
        <v>-7.6508000000000007E-2</v>
      </c>
      <c r="AE5586">
        <v>6.4699999999930898E-3</v>
      </c>
      <c r="AF5586">
        <v>5.6904306775525097E-2</v>
      </c>
      <c r="AG5586">
        <v>-7.6508000000000007E-2</v>
      </c>
      <c r="AH5586">
        <v>0.61531088475001705</v>
      </c>
      <c r="AI5586">
        <v>97.057989976731406</v>
      </c>
      <c r="AJ5586">
        <v>84.716282220931902</v>
      </c>
      <c r="AK5586">
        <v>0.62265484747607303</v>
      </c>
      <c r="AL5586">
        <v>89.761281197732899</v>
      </c>
      <c r="AM5586">
        <v>93.993328368214193</v>
      </c>
      <c r="AN5586">
        <v>0.999999992385875</v>
      </c>
    </row>
    <row r="5587" spans="1:40" x14ac:dyDescent="0.25">
      <c r="A5587" t="str">
        <f>"20190305135939055"</f>
        <v>20190305135939055</v>
      </c>
      <c r="B5587" t="str">
        <f>"1551765579045143"</f>
        <v>1551765579045143</v>
      </c>
      <c r="C5587" t="s">
        <v>40</v>
      </c>
      <c r="D5587">
        <v>4.6811049999999996</v>
      </c>
      <c r="E5587">
        <v>0.55260469999999995</v>
      </c>
      <c r="F5587" t="s">
        <v>41</v>
      </c>
      <c r="G5587">
        <v>-275.22329999999999</v>
      </c>
      <c r="H5587">
        <v>1.0179849999999999</v>
      </c>
      <c r="I5587">
        <v>-61.460940000000001</v>
      </c>
      <c r="J5587">
        <v>-275.97329999999999</v>
      </c>
      <c r="K5587">
        <v>1.105891</v>
      </c>
      <c r="L5587">
        <v>-61.470149999999997</v>
      </c>
      <c r="M5587">
        <v>0.99487320000000001</v>
      </c>
      <c r="N5587">
        <v>-1.393521E-2</v>
      </c>
      <c r="O5587">
        <v>0.10016659999999999</v>
      </c>
      <c r="P5587">
        <v>0.98543539999999996</v>
      </c>
      <c r="Q5587">
        <v>-1.1845090000000001E-2</v>
      </c>
      <c r="R5587">
        <v>0.16963689999999901</v>
      </c>
      <c r="S5587">
        <v>3.0293580000000002</v>
      </c>
      <c r="T5587">
        <v>-0.299487</v>
      </c>
      <c r="U5587">
        <v>7.2998049999999995E-2</v>
      </c>
      <c r="V5587">
        <v>-7.0042960000000001E-2</v>
      </c>
      <c r="W5587">
        <v>2.7263769999999999E-3</v>
      </c>
      <c r="X5587">
        <v>0.99754019999999999</v>
      </c>
      <c r="Y5587">
        <v>7.5400869999999995E-2</v>
      </c>
      <c r="Z5587">
        <v>-1.2711139999999999E-2</v>
      </c>
      <c r="AA5587">
        <v>0.99707230000000002</v>
      </c>
      <c r="AB5587">
        <v>30</v>
      </c>
      <c r="AC5587">
        <v>0.75</v>
      </c>
      <c r="AD5587">
        <v>-8.7905999999999804E-2</v>
      </c>
      <c r="AE5587">
        <v>9.2099999999959402E-3</v>
      </c>
      <c r="AF5587">
        <v>6.5074722816365005E-2</v>
      </c>
      <c r="AG5587">
        <v>-8.7905999999999804E-2</v>
      </c>
      <c r="AH5587">
        <v>0.73702636777789998</v>
      </c>
      <c r="AI5587">
        <v>96.775491669334798</v>
      </c>
      <c r="AJ5587">
        <v>84.954233186729795</v>
      </c>
      <c r="AK5587">
        <v>0.74509734342937395</v>
      </c>
      <c r="AL5587">
        <v>89.843789903205305</v>
      </c>
      <c r="AM5587">
        <v>94.016469854391204</v>
      </c>
      <c r="AN5587">
        <v>0.99999994999657205</v>
      </c>
    </row>
    <row r="5588" spans="1:40" x14ac:dyDescent="0.25">
      <c r="A5588" t="str">
        <f>"20190305135939068"</f>
        <v>20190305135939068</v>
      </c>
      <c r="B5588" t="str">
        <f>"1551765579064663"</f>
        <v>1551765579064663</v>
      </c>
      <c r="C5588" t="s">
        <v>40</v>
      </c>
      <c r="D5588">
        <v>4.8038569999999998</v>
      </c>
      <c r="E5588">
        <v>0.55204409999999904</v>
      </c>
      <c r="F5588" t="s">
        <v>41</v>
      </c>
      <c r="G5588">
        <v>-275.21780000000001</v>
      </c>
      <c r="H5588">
        <v>1.0305329999999999</v>
      </c>
      <c r="I5588">
        <v>-61.452800000000003</v>
      </c>
      <c r="J5588">
        <v>-275.81830000000002</v>
      </c>
      <c r="K5588">
        <v>1.1060369999999999</v>
      </c>
      <c r="L5588">
        <v>-61.456940000000003</v>
      </c>
      <c r="M5588">
        <v>0.99509939999999997</v>
      </c>
      <c r="N5588">
        <v>-1.391531E-2</v>
      </c>
      <c r="O5588">
        <v>9.7895549999999998E-2</v>
      </c>
      <c r="P5588">
        <v>0.98576759999999997</v>
      </c>
      <c r="Q5588">
        <v>-1.378857E-2</v>
      </c>
      <c r="R5588">
        <v>0.1675469</v>
      </c>
      <c r="S5588">
        <v>3.0286249999999999</v>
      </c>
      <c r="T5588">
        <v>-0.3018653</v>
      </c>
      <c r="U5588">
        <v>7.0251460000000002E-2</v>
      </c>
      <c r="V5588">
        <v>-7.0226789999999997E-2</v>
      </c>
      <c r="W5588">
        <v>7.3796859999999997E-4</v>
      </c>
      <c r="X5588">
        <v>0.99753080000000005</v>
      </c>
      <c r="Y5588">
        <v>7.4025389999999996E-2</v>
      </c>
      <c r="Z5588">
        <v>-1.2552209999999999E-2</v>
      </c>
      <c r="AA5588">
        <v>0.99717739999999999</v>
      </c>
      <c r="AB5588">
        <v>30</v>
      </c>
      <c r="AC5588">
        <v>0.60050000000001003</v>
      </c>
      <c r="AD5588">
        <v>-7.5504000000000196E-2</v>
      </c>
      <c r="AE5588">
        <v>4.1399999999995798E-3</v>
      </c>
      <c r="AF5588">
        <v>5.3821025238907597E-2</v>
      </c>
      <c r="AG5588">
        <v>-7.5504000000000196E-2</v>
      </c>
      <c r="AH5588">
        <v>0.58871364681966698</v>
      </c>
      <c r="AI5588">
        <v>97.278404916636703</v>
      </c>
      <c r="AJ5588">
        <v>84.776459943654601</v>
      </c>
      <c r="AK5588">
        <v>0.59597090090496796</v>
      </c>
      <c r="AL5588">
        <v>89.957717510890305</v>
      </c>
      <c r="AM5588">
        <v>94.027014395423194</v>
      </c>
      <c r="AN5588">
        <v>1.00000002178999</v>
      </c>
    </row>
    <row r="5589" spans="1:40" x14ac:dyDescent="0.25">
      <c r="A5589" t="str">
        <f>"20190305135939079"</f>
        <v>20190305135939079</v>
      </c>
      <c r="B5589" t="str">
        <f>"1551765579074423"</f>
        <v>1551765579074423</v>
      </c>
      <c r="C5589" t="s">
        <v>40</v>
      </c>
      <c r="D5589">
        <v>4.7138140000000002</v>
      </c>
      <c r="E5589">
        <v>0.55203789999999997</v>
      </c>
      <c r="F5589" t="s">
        <v>41</v>
      </c>
      <c r="G5589">
        <v>-274.95800000000003</v>
      </c>
      <c r="H5589">
        <v>1.0194399999999999</v>
      </c>
      <c r="I5589">
        <v>-61.437579999999997</v>
      </c>
      <c r="J5589">
        <v>-275.6739</v>
      </c>
      <c r="K5589">
        <v>1.106176</v>
      </c>
      <c r="L5589">
        <v>-61.444760000000002</v>
      </c>
      <c r="M5589">
        <v>0.99530090000000004</v>
      </c>
      <c r="N5589">
        <v>-1.389746E-2</v>
      </c>
      <c r="O5589">
        <v>9.5827519999999999E-2</v>
      </c>
      <c r="P5589">
        <v>0.98601709999999998</v>
      </c>
      <c r="Q5589">
        <v>-1.4839949999999999E-2</v>
      </c>
      <c r="R5589">
        <v>0.16598209999999999</v>
      </c>
      <c r="S5589">
        <v>3.027466</v>
      </c>
      <c r="T5589">
        <v>-0.30471039999999999</v>
      </c>
      <c r="U5589">
        <v>6.8359379999999997E-2</v>
      </c>
      <c r="V5589">
        <v>-7.0727209999999999E-2</v>
      </c>
      <c r="W5589">
        <v>-3.5408370000000001E-4</v>
      </c>
      <c r="X5589">
        <v>0.99749569999999999</v>
      </c>
      <c r="Y5589">
        <v>7.2567160000000006E-2</v>
      </c>
      <c r="Z5589">
        <v>-1.242304E-2</v>
      </c>
      <c r="AA5589">
        <v>0.99728609999999895</v>
      </c>
      <c r="AB5589">
        <v>30</v>
      </c>
      <c r="AC5589">
        <v>0.71590000000003295</v>
      </c>
      <c r="AD5589">
        <v>-8.6736000000000105E-2</v>
      </c>
      <c r="AE5589">
        <v>7.1799999999910798E-3</v>
      </c>
      <c r="AF5589">
        <v>6.0573534293716799E-2</v>
      </c>
      <c r="AG5589">
        <v>-8.6736000000000105E-2</v>
      </c>
      <c r="AH5589">
        <v>0.70297499041650102</v>
      </c>
      <c r="AI5589">
        <v>97.008134209953198</v>
      </c>
      <c r="AJ5589">
        <v>85.0751357772685</v>
      </c>
      <c r="AK5589">
        <v>0.71089107738380897</v>
      </c>
      <c r="AL5589">
        <v>90.020287500657602</v>
      </c>
      <c r="AM5589">
        <v>94.055756792707498</v>
      </c>
      <c r="AN5589">
        <v>1.0000000675640599</v>
      </c>
    </row>
    <row r="5590" spans="1:40" x14ac:dyDescent="0.25">
      <c r="A5590" t="str">
        <f>"20190305135939091"</f>
        <v>20190305135939091</v>
      </c>
      <c r="B5590" t="str">
        <f>"1551765579085159"</f>
        <v>1551765579085159</v>
      </c>
      <c r="C5590" t="s">
        <v>40</v>
      </c>
      <c r="D5590">
        <v>4.7671539999999997</v>
      </c>
      <c r="E5590">
        <v>0.55188099999999995</v>
      </c>
      <c r="F5590" t="s">
        <v>41</v>
      </c>
      <c r="G5590">
        <v>-274.69869999999997</v>
      </c>
      <c r="H5590">
        <v>1.007665</v>
      </c>
      <c r="I5590">
        <v>-61.424489999999999</v>
      </c>
      <c r="J5590">
        <v>-275.50869999999998</v>
      </c>
      <c r="K5590">
        <v>1.1063620000000001</v>
      </c>
      <c r="L5590">
        <v>-61.431179999999998</v>
      </c>
      <c r="M5590">
        <v>0.99550280000000002</v>
      </c>
      <c r="N5590">
        <v>-1.387714E-2</v>
      </c>
      <c r="O5590">
        <v>9.3711069999999994E-2</v>
      </c>
      <c r="P5590">
        <v>0.98623380000000005</v>
      </c>
      <c r="Q5590">
        <v>-1.5767650000000001E-2</v>
      </c>
      <c r="R5590">
        <v>0.1646041</v>
      </c>
      <c r="S5590">
        <v>3.0272220000000001</v>
      </c>
      <c r="T5590">
        <v>-0.30558259999999998</v>
      </c>
      <c r="U5590">
        <v>6.3598630000000003E-2</v>
      </c>
      <c r="V5590">
        <v>-7.1463410000000005E-2</v>
      </c>
      <c r="W5590">
        <v>-1.33076299999999E-3</v>
      </c>
      <c r="X5590">
        <v>0.9974423</v>
      </c>
      <c r="Y5590">
        <v>7.2018609999999997E-2</v>
      </c>
      <c r="Z5590">
        <v>-1.22492E-2</v>
      </c>
      <c r="AA5590">
        <v>0.99732799999999999</v>
      </c>
      <c r="AB5590">
        <v>30</v>
      </c>
      <c r="AC5590">
        <v>0.81000000000000205</v>
      </c>
      <c r="AD5590">
        <v>-9.8696999999999993E-2</v>
      </c>
      <c r="AE5590">
        <v>6.6899999999989702E-3</v>
      </c>
      <c r="AF5590">
        <v>6.8239633006510994E-2</v>
      </c>
      <c r="AG5590">
        <v>-9.8696999999999993E-2</v>
      </c>
      <c r="AH5590">
        <v>0.79525551208356104</v>
      </c>
      <c r="AI5590">
        <v>97.049007135028106</v>
      </c>
      <c r="AJ5590">
        <v>85.095552425927906</v>
      </c>
      <c r="AK5590">
        <v>0.80425684630045302</v>
      </c>
      <c r="AL5590">
        <v>90.076247128539606</v>
      </c>
      <c r="AM5590">
        <v>94.098048750441393</v>
      </c>
      <c r="AN5590">
        <v>0.99999996586413897</v>
      </c>
    </row>
    <row r="5591" spans="1:40" x14ac:dyDescent="0.25">
      <c r="A5591" t="str">
        <f>"20190305135939102"</f>
        <v>20190305135939102</v>
      </c>
      <c r="B5591" t="str">
        <f>"1551765579094919"</f>
        <v>1551765579094919</v>
      </c>
      <c r="C5591" t="s">
        <v>40</v>
      </c>
      <c r="D5591">
        <v>4.8057790000000002</v>
      </c>
      <c r="E5591">
        <v>0.55169429999999997</v>
      </c>
      <c r="F5591" t="s">
        <v>41</v>
      </c>
      <c r="G5591">
        <v>-274.69200000000001</v>
      </c>
      <c r="H5591">
        <v>1.0228219999999999</v>
      </c>
      <c r="I5591">
        <v>-61.415080000000003</v>
      </c>
      <c r="J5591">
        <v>-275.36579999999998</v>
      </c>
      <c r="K5591">
        <v>1.1065259999999999</v>
      </c>
      <c r="L5591">
        <v>-61.419530000000002</v>
      </c>
      <c r="M5591">
        <v>0.99566719999999997</v>
      </c>
      <c r="N5591">
        <v>-1.386044E-2</v>
      </c>
      <c r="O5591">
        <v>9.1950009999999999E-2</v>
      </c>
      <c r="P5591">
        <v>0.98642649999999998</v>
      </c>
      <c r="Q5591">
        <v>-1.6304010000000001E-2</v>
      </c>
      <c r="R5591">
        <v>0.16339229999999999</v>
      </c>
      <c r="S5591">
        <v>3.0268549999999999</v>
      </c>
      <c r="T5591">
        <v>-0.30937979999999998</v>
      </c>
      <c r="U5591">
        <v>6.045532E-2</v>
      </c>
      <c r="V5591">
        <v>-7.2006979999999998E-2</v>
      </c>
      <c r="W5591">
        <v>-1.909921E-3</v>
      </c>
      <c r="X5591">
        <v>0.99740229999999996</v>
      </c>
      <c r="Y5591">
        <v>7.1277999999999994E-2</v>
      </c>
      <c r="Z5591">
        <v>-1.2216110000000001E-2</v>
      </c>
      <c r="AA5591">
        <v>0.99738170000000004</v>
      </c>
      <c r="AB5591">
        <v>30</v>
      </c>
      <c r="AC5591">
        <v>0.67379999999997098</v>
      </c>
      <c r="AD5591">
        <v>-8.3704000000000195E-2</v>
      </c>
      <c r="AE5591">
        <v>4.4499999999985098E-3</v>
      </c>
      <c r="AF5591">
        <v>5.6656421299137803E-2</v>
      </c>
      <c r="AG5591">
        <v>-8.3704000000000195E-2</v>
      </c>
      <c r="AH5591">
        <v>0.66115155913962498</v>
      </c>
      <c r="AI5591">
        <v>97.189378416698901</v>
      </c>
      <c r="AJ5591">
        <v>85.102087200957001</v>
      </c>
      <c r="AK5591">
        <v>0.66883308369366901</v>
      </c>
      <c r="AL5591">
        <v>90.109430478978098</v>
      </c>
      <c r="AM5591">
        <v>94.129277228896896</v>
      </c>
      <c r="AN5591">
        <v>1.00000000050611</v>
      </c>
    </row>
    <row r="5592" spans="1:40" x14ac:dyDescent="0.25">
      <c r="A5592" t="str">
        <f>"20190305135939113"</f>
        <v>20190305135939113</v>
      </c>
      <c r="B5592" t="str">
        <f>"1551765579104679"</f>
        <v>1551765579104679</v>
      </c>
      <c r="C5592" t="s">
        <v>40</v>
      </c>
      <c r="D5592">
        <v>4.7068349999999999</v>
      </c>
      <c r="E5592">
        <v>0.55165959999999903</v>
      </c>
      <c r="F5592" t="s">
        <v>41</v>
      </c>
      <c r="G5592">
        <v>-274.43340000000001</v>
      </c>
      <c r="H5592">
        <v>1.0105170000000001</v>
      </c>
      <c r="I5592">
        <v>-61.401730000000001</v>
      </c>
      <c r="J5592">
        <v>-275.21359999999999</v>
      </c>
      <c r="K5592">
        <v>1.106708</v>
      </c>
      <c r="L5592">
        <v>-61.407350000000001</v>
      </c>
      <c r="M5592">
        <v>0.99582610000000005</v>
      </c>
      <c r="N5592">
        <v>-1.384353E-2</v>
      </c>
      <c r="O5592">
        <v>9.0215530000000002E-2</v>
      </c>
      <c r="P5592">
        <v>0.98661949999999998</v>
      </c>
      <c r="Q5592">
        <v>-1.6507879999999999E-2</v>
      </c>
      <c r="R5592">
        <v>0.1622025</v>
      </c>
      <c r="S5592">
        <v>3.0264890000000002</v>
      </c>
      <c r="T5592">
        <v>-0.31146810000000003</v>
      </c>
      <c r="U5592">
        <v>5.8166500000000003E-2</v>
      </c>
      <c r="V5592">
        <v>-7.254244E-2</v>
      </c>
      <c r="W5592">
        <v>-2.1595310000000001E-3</v>
      </c>
      <c r="X5592">
        <v>0.997363</v>
      </c>
      <c r="Y5592">
        <v>7.0293629999999996E-2</v>
      </c>
      <c r="Z5592">
        <v>-1.2095430000000001E-2</v>
      </c>
      <c r="AA5592">
        <v>0.99745300000000003</v>
      </c>
      <c r="AB5592">
        <v>30</v>
      </c>
      <c r="AC5592">
        <v>0.78019999999997902</v>
      </c>
      <c r="AD5592">
        <v>-9.6190999999999902E-2</v>
      </c>
      <c r="AE5592">
        <v>5.6199999999932901E-3</v>
      </c>
      <c r="AF5592">
        <v>6.3825689435162494E-2</v>
      </c>
      <c r="AG5592">
        <v>-9.6190999999999902E-2</v>
      </c>
      <c r="AH5592">
        <v>0.76588381126794902</v>
      </c>
      <c r="AI5592">
        <v>97.134093584622406</v>
      </c>
      <c r="AJ5592">
        <v>85.236206861101707</v>
      </c>
      <c r="AK5592">
        <v>0.77453498273169896</v>
      </c>
      <c r="AL5592">
        <v>90.123732106780594</v>
      </c>
      <c r="AM5592">
        <v>94.160039399405093</v>
      </c>
      <c r="AN5592">
        <v>1.0000000114721399</v>
      </c>
    </row>
    <row r="5593" spans="1:40" x14ac:dyDescent="0.25">
      <c r="A5593" t="str">
        <f>"20190305135939126"</f>
        <v>20190305135939126</v>
      </c>
      <c r="B5593" t="str">
        <f>"1551765579114439"</f>
        <v>1551765579114439</v>
      </c>
      <c r="C5593" t="s">
        <v>40</v>
      </c>
      <c r="D5593">
        <v>4.7014760000000004</v>
      </c>
      <c r="E5593">
        <v>0.55165959999999903</v>
      </c>
      <c r="F5593" t="s">
        <v>41</v>
      </c>
      <c r="G5593">
        <v>-274.42630000000003</v>
      </c>
      <c r="H5593">
        <v>1.026233</v>
      </c>
      <c r="I5593">
        <v>-61.393099999999997</v>
      </c>
      <c r="J5593">
        <v>-275.05840000000001</v>
      </c>
      <c r="K5593">
        <v>1.1068880000000001</v>
      </c>
      <c r="L5593">
        <v>-61.39508</v>
      </c>
      <c r="M5593">
        <v>0.99597449999999998</v>
      </c>
      <c r="N5593">
        <v>-1.3827239999999999E-2</v>
      </c>
      <c r="O5593">
        <v>8.8564439999999994E-2</v>
      </c>
      <c r="P5593">
        <v>0.98676779999999997</v>
      </c>
      <c r="Q5593">
        <v>-1.5957269999999999E-2</v>
      </c>
      <c r="R5593">
        <v>0.1613532</v>
      </c>
      <c r="S5593">
        <v>3.0264280000000001</v>
      </c>
      <c r="T5593">
        <v>-0.30919799999999997</v>
      </c>
      <c r="U5593">
        <v>5.5236819999999999E-2</v>
      </c>
      <c r="V5593">
        <v>-7.3331939999999998E-2</v>
      </c>
      <c r="W5593">
        <v>-1.6523899999999999E-3</v>
      </c>
      <c r="X5593">
        <v>0.99730620000000003</v>
      </c>
      <c r="Y5593">
        <v>6.9626610000000005E-2</v>
      </c>
      <c r="Z5593">
        <v>-1.182012E-2</v>
      </c>
      <c r="AA5593">
        <v>0.99750309999999998</v>
      </c>
      <c r="AB5593">
        <v>30</v>
      </c>
      <c r="AC5593">
        <v>0.63209999999997901</v>
      </c>
      <c r="AD5593">
        <v>-8.0654999999999893E-2</v>
      </c>
      <c r="AE5593">
        <v>1.9800000000102999E-3</v>
      </c>
      <c r="AF5593">
        <v>5.3149378978318597E-2</v>
      </c>
      <c r="AG5593">
        <v>-8.0654999999999893E-2</v>
      </c>
      <c r="AH5593">
        <v>0.61970153705708098</v>
      </c>
      <c r="AI5593">
        <v>97.388616784746205</v>
      </c>
      <c r="AJ5593">
        <v>85.097960932051905</v>
      </c>
      <c r="AK5593">
        <v>0.62718424768299996</v>
      </c>
      <c r="AL5593">
        <v>90.094675018068699</v>
      </c>
      <c r="AM5593">
        <v>94.205391387504804</v>
      </c>
      <c r="AN5593">
        <v>0.99999998018765701</v>
      </c>
    </row>
    <row r="5594" spans="1:40" x14ac:dyDescent="0.25">
      <c r="A5594" t="str">
        <f>"20190305135939135"</f>
        <v>20190305135939135</v>
      </c>
      <c r="B5594" t="str">
        <f>"1551765579124199"</f>
        <v>1551765579124199</v>
      </c>
      <c r="C5594" t="s">
        <v>40</v>
      </c>
      <c r="D5594">
        <v>4.739039</v>
      </c>
      <c r="E5594">
        <v>0.55151059999999996</v>
      </c>
      <c r="F5594" t="s">
        <v>41</v>
      </c>
      <c r="G5594">
        <v>-274.1669</v>
      </c>
      <c r="H5594">
        <v>1.0162739999999999</v>
      </c>
      <c r="I5594">
        <v>-61.379840000000002</v>
      </c>
      <c r="J5594">
        <v>-274.91219999999998</v>
      </c>
      <c r="K5594">
        <v>1.1070549999999999</v>
      </c>
      <c r="L5594">
        <v>-61.383580000000002</v>
      </c>
      <c r="M5594">
        <v>0.99610509999999997</v>
      </c>
      <c r="N5594">
        <v>-1.3812629999999999E-2</v>
      </c>
      <c r="O5594">
        <v>8.7086629999999998E-2</v>
      </c>
      <c r="P5594">
        <v>0.98684360000000004</v>
      </c>
      <c r="Q5594">
        <v>-1.5245949999999999E-2</v>
      </c>
      <c r="R5594">
        <v>0.16095770000000001</v>
      </c>
      <c r="S5594">
        <v>3.026672</v>
      </c>
      <c r="T5594">
        <v>-0.30746469999999998</v>
      </c>
      <c r="U5594">
        <v>5.2612300000000001E-2</v>
      </c>
      <c r="V5594">
        <v>-7.440484E-2</v>
      </c>
      <c r="W5594">
        <v>-9.7928709999999994E-4</v>
      </c>
      <c r="X5594">
        <v>0.99722759999999999</v>
      </c>
      <c r="Y5594">
        <v>6.9030610000000006E-2</v>
      </c>
      <c r="Z5594">
        <v>-1.1586859999999999E-2</v>
      </c>
      <c r="AA5594">
        <v>0.99754730000000003</v>
      </c>
      <c r="AB5594">
        <v>30</v>
      </c>
      <c r="AC5594">
        <v>0.74529999999998597</v>
      </c>
      <c r="AD5594">
        <v>-9.0781000000000001E-2</v>
      </c>
      <c r="AE5594">
        <v>3.7400000000005198E-3</v>
      </c>
      <c r="AF5594">
        <v>6.0291576337617801E-2</v>
      </c>
      <c r="AG5594">
        <v>-9.0781000000000001E-2</v>
      </c>
      <c r="AH5594">
        <v>0.73193462737623904</v>
      </c>
      <c r="AI5594">
        <v>97.046597221680997</v>
      </c>
      <c r="AJ5594">
        <v>85.291012023437005</v>
      </c>
      <c r="AK5594">
        <v>0.74000308302781304</v>
      </c>
      <c r="AL5594">
        <v>90.056109028821993</v>
      </c>
      <c r="AM5594">
        <v>94.267028810051002</v>
      </c>
      <c r="AN5594">
        <v>0.99999996271020397</v>
      </c>
    </row>
    <row r="5595" spans="1:40" x14ac:dyDescent="0.25">
      <c r="A5595" t="str">
        <f>"20190305135939147"</f>
        <v>20190305135939147</v>
      </c>
      <c r="B5595" t="str">
        <f>"1551765579134935"</f>
        <v>1551765579134935</v>
      </c>
      <c r="C5595" t="s">
        <v>40</v>
      </c>
      <c r="D5595">
        <v>4.7747890000000002</v>
      </c>
      <c r="E5595">
        <v>0.55151629999999996</v>
      </c>
      <c r="F5595" t="s">
        <v>41</v>
      </c>
      <c r="G5595">
        <v>-274.16019999999997</v>
      </c>
      <c r="H5595">
        <v>1.031242</v>
      </c>
      <c r="I5595">
        <v>-61.370769999999901</v>
      </c>
      <c r="J5595">
        <v>-274.77539999999999</v>
      </c>
      <c r="K5595">
        <v>1.107199</v>
      </c>
      <c r="L5595">
        <v>-61.373049999999999</v>
      </c>
      <c r="M5595">
        <v>0.99621470000000001</v>
      </c>
      <c r="N5595">
        <v>-1.379972E-2</v>
      </c>
      <c r="O5595">
        <v>8.5824860000000003E-2</v>
      </c>
      <c r="P5595">
        <v>0.98684079999999996</v>
      </c>
      <c r="Q5595">
        <v>-1.4823350000000001E-2</v>
      </c>
      <c r="R5595">
        <v>0.16101550000000001</v>
      </c>
      <c r="S5595">
        <v>3.0267029999999999</v>
      </c>
      <c r="T5595">
        <v>-0.3049383</v>
      </c>
      <c r="U5595">
        <v>5.2551269999999997E-2</v>
      </c>
      <c r="V5595">
        <v>-7.5723390000000002E-2</v>
      </c>
      <c r="W5595">
        <v>-5.8788410000000003E-4</v>
      </c>
      <c r="X5595">
        <v>0.99712869999999998</v>
      </c>
      <c r="Y5595">
        <v>6.7811460000000004E-2</v>
      </c>
      <c r="Z5595">
        <v>-1.130806E-2</v>
      </c>
      <c r="AA5595">
        <v>0.99763409999999997</v>
      </c>
      <c r="AB5595">
        <v>30</v>
      </c>
      <c r="AC5595">
        <v>0.61520000000001496</v>
      </c>
      <c r="AD5595">
        <v>-7.5956999999999997E-2</v>
      </c>
      <c r="AE5595">
        <v>2.2800000000060502E-3</v>
      </c>
      <c r="AF5595">
        <v>4.9774140836947603E-2</v>
      </c>
      <c r="AG5595">
        <v>-7.5956999999999997E-2</v>
      </c>
      <c r="AH5595">
        <v>0.60391922241969398</v>
      </c>
      <c r="AI5595">
        <v>97.144671903074595</v>
      </c>
      <c r="AJ5595">
        <v>85.288414535346604</v>
      </c>
      <c r="AK5595">
        <v>0.61070889804641304</v>
      </c>
      <c r="AL5595">
        <v>90.033683279346405</v>
      </c>
      <c r="AM5595">
        <v>94.342788405088498</v>
      </c>
      <c r="AN5595">
        <v>1.00000001088224</v>
      </c>
    </row>
    <row r="5596" spans="1:40" x14ac:dyDescent="0.25">
      <c r="A5596" t="str">
        <f>"20190305135939156"</f>
        <v>20190305135939156</v>
      </c>
      <c r="B5596" t="str">
        <f>"1551765579144695"</f>
        <v>1551765579144695</v>
      </c>
      <c r="C5596" t="s">
        <v>40</v>
      </c>
      <c r="D5596">
        <v>4.8210559999999996</v>
      </c>
      <c r="E5596">
        <v>0.55140979999999995</v>
      </c>
      <c r="F5596" t="s">
        <v>41</v>
      </c>
      <c r="G5596">
        <v>-273.90159999999997</v>
      </c>
      <c r="H5596">
        <v>1.020057</v>
      </c>
      <c r="I5596">
        <v>-61.357860000000002</v>
      </c>
      <c r="J5596">
        <v>-274.64089999999999</v>
      </c>
      <c r="K5596">
        <v>1.107335</v>
      </c>
      <c r="L5596">
        <v>-61.362699999999997</v>
      </c>
      <c r="M5596">
        <v>0.9963185</v>
      </c>
      <c r="N5596">
        <v>-1.3787489999999999E-2</v>
      </c>
      <c r="O5596">
        <v>8.4613259999999996E-2</v>
      </c>
      <c r="P5596">
        <v>0.98674980000000001</v>
      </c>
      <c r="Q5596">
        <v>-1.492243E-2</v>
      </c>
      <c r="R5596">
        <v>0.1615617</v>
      </c>
      <c r="S5596">
        <v>3.0268860000000002</v>
      </c>
      <c r="T5596">
        <v>-0.30190129999999998</v>
      </c>
      <c r="U5596">
        <v>5.2612300000000001E-2</v>
      </c>
      <c r="V5596">
        <v>-7.7487710000000001E-2</v>
      </c>
      <c r="W5596">
        <v>-7.1510629999999996E-4</v>
      </c>
      <c r="X5596">
        <v>0.99699309999999997</v>
      </c>
      <c r="Y5596">
        <v>6.6604960000000005E-2</v>
      </c>
      <c r="Z5596">
        <v>-1.1016959999999999E-2</v>
      </c>
      <c r="AA5596">
        <v>0.99771860000000001</v>
      </c>
      <c r="AB5596">
        <v>29</v>
      </c>
      <c r="AC5596">
        <v>0.73930000000001395</v>
      </c>
      <c r="AD5596">
        <v>-8.7277999999999897E-2</v>
      </c>
      <c r="AE5596">
        <v>4.8400000000015098E-3</v>
      </c>
      <c r="AF5596">
        <v>5.69442916786424E-2</v>
      </c>
      <c r="AG5596">
        <v>-8.7277999999999897E-2</v>
      </c>
      <c r="AH5596">
        <v>0.72692711247056496</v>
      </c>
      <c r="AI5596">
        <v>96.825692981972907</v>
      </c>
      <c r="AJ5596">
        <v>85.520846265129094</v>
      </c>
      <c r="AK5596">
        <v>0.73435899155901696</v>
      </c>
      <c r="AL5596">
        <v>90.040972574377093</v>
      </c>
      <c r="AM5596">
        <v>94.444174649165205</v>
      </c>
      <c r="AN5596">
        <v>1.00000004901283</v>
      </c>
    </row>
    <row r="5597" spans="1:40" x14ac:dyDescent="0.25">
      <c r="A5597" t="str">
        <f>"20190305135939167"</f>
        <v>20190305135939167</v>
      </c>
      <c r="B5597" t="str">
        <f>"1551765579164215"</f>
        <v>1551765579164215</v>
      </c>
      <c r="C5597" t="s">
        <v>40</v>
      </c>
      <c r="D5597">
        <v>4.734807</v>
      </c>
      <c r="E5597">
        <v>0.55110119999999996</v>
      </c>
      <c r="F5597" t="s">
        <v>41</v>
      </c>
      <c r="G5597">
        <v>-273.89580000000001</v>
      </c>
      <c r="H5597">
        <v>1.033185</v>
      </c>
      <c r="I5597">
        <v>-61.349170000000001</v>
      </c>
      <c r="J5597">
        <v>-274.49779999999998</v>
      </c>
      <c r="K5597">
        <v>1.1074569999999999</v>
      </c>
      <c r="L5597">
        <v>-61.351900000000001</v>
      </c>
      <c r="M5597">
        <v>0.99641900000000005</v>
      </c>
      <c r="N5597">
        <v>-1.377506E-2</v>
      </c>
      <c r="O5597">
        <v>8.3424429999999994E-2</v>
      </c>
      <c r="P5597">
        <v>0.9865621</v>
      </c>
      <c r="Q5597">
        <v>-1.497656E-2</v>
      </c>
      <c r="R5597">
        <v>0.1626996</v>
      </c>
      <c r="S5597">
        <v>3.0267029999999999</v>
      </c>
      <c r="T5597">
        <v>-0.30122749999999998</v>
      </c>
      <c r="U5597">
        <v>5.4992680000000002E-2</v>
      </c>
      <c r="V5597">
        <v>-7.9826960000000002E-2</v>
      </c>
      <c r="W5597">
        <v>-7.9271149999999896E-4</v>
      </c>
      <c r="X5597">
        <v>0.99680840000000004</v>
      </c>
      <c r="Y5597">
        <v>6.4647289999999996E-2</v>
      </c>
      <c r="Z5597">
        <v>-1.0780140000000001E-2</v>
      </c>
      <c r="AA5597">
        <v>0.99784989999999996</v>
      </c>
      <c r="AB5597">
        <v>29</v>
      </c>
      <c r="AC5597">
        <v>0.601999999999975</v>
      </c>
      <c r="AD5597">
        <v>-7.4271999999999894E-2</v>
      </c>
      <c r="AE5597">
        <v>2.73000000000678E-3</v>
      </c>
      <c r="AF5597">
        <v>4.6793532563180397E-2</v>
      </c>
      <c r="AG5597">
        <v>-7.4271999999999894E-2</v>
      </c>
      <c r="AH5597">
        <v>0.59113115019501195</v>
      </c>
      <c r="AI5597">
        <v>97.139234952062097</v>
      </c>
      <c r="AJ5597">
        <v>85.473943737224502</v>
      </c>
      <c r="AK5597">
        <v>0.59761358870479198</v>
      </c>
      <c r="AL5597">
        <v>90.045419029026505</v>
      </c>
      <c r="AM5597">
        <v>94.578621001403604</v>
      </c>
      <c r="AN5597">
        <v>0.99999997912246097</v>
      </c>
    </row>
    <row r="5598" spans="1:40" x14ac:dyDescent="0.25">
      <c r="A5598" t="str">
        <f>"20190305135939178"</f>
        <v>20190305135939178</v>
      </c>
      <c r="B5598" t="str">
        <f>"1551765579174951"</f>
        <v>1551765579174951</v>
      </c>
      <c r="C5598" t="s">
        <v>40</v>
      </c>
      <c r="D5598">
        <v>4.7673880000000004</v>
      </c>
      <c r="E5598">
        <v>0.55099739999999997</v>
      </c>
      <c r="F5598" t="s">
        <v>41</v>
      </c>
      <c r="G5598">
        <v>-273.6377</v>
      </c>
      <c r="H5598">
        <v>1.0218929999999999</v>
      </c>
      <c r="I5598">
        <v>-61.334870000000002</v>
      </c>
      <c r="J5598">
        <v>-274.34899999999999</v>
      </c>
      <c r="K5598">
        <v>1.1075790000000001</v>
      </c>
      <c r="L5598">
        <v>-61.340730000000001</v>
      </c>
      <c r="M5598">
        <v>0.99652019999999997</v>
      </c>
      <c r="N5598">
        <v>-1.376256E-2</v>
      </c>
      <c r="O5598">
        <v>8.2208649999999994E-2</v>
      </c>
      <c r="P5598">
        <v>0.98629270000000002</v>
      </c>
      <c r="Q5598">
        <v>-1.4593399999999999E-2</v>
      </c>
      <c r="R5598">
        <v>0.1643589</v>
      </c>
      <c r="S5598">
        <v>3.0262760000000002</v>
      </c>
      <c r="T5598">
        <v>-0.30084689999999997</v>
      </c>
      <c r="U5598">
        <v>6.0729980000000003E-2</v>
      </c>
      <c r="V5598">
        <v>-8.2716559999999995E-2</v>
      </c>
      <c r="W5598">
        <v>-4.3175419999999997E-4</v>
      </c>
      <c r="X5598">
        <v>0.99657300000000004</v>
      </c>
      <c r="Y5598">
        <v>6.1559139999999998E-2</v>
      </c>
      <c r="Z5598">
        <v>-1.0489719999999999E-2</v>
      </c>
      <c r="AA5598">
        <v>0.9980483</v>
      </c>
      <c r="AB5598">
        <v>29</v>
      </c>
      <c r="AC5598">
        <v>0.71129999999999405</v>
      </c>
      <c r="AD5598">
        <v>-8.5686000000000095E-2</v>
      </c>
      <c r="AE5598">
        <v>5.8600000000126303E-3</v>
      </c>
      <c r="AF5598">
        <v>5.1887468109304599E-2</v>
      </c>
      <c r="AG5598">
        <v>-8.5686000000000095E-2</v>
      </c>
      <c r="AH5598">
        <v>0.69922748764612497</v>
      </c>
      <c r="AI5598">
        <v>96.967442187331798</v>
      </c>
      <c r="AJ5598">
        <v>85.756039385492102</v>
      </c>
      <c r="AK5598">
        <v>0.70636639177037996</v>
      </c>
      <c r="AL5598">
        <v>90.024737694709799</v>
      </c>
      <c r="AM5598">
        <v>94.744731445989004</v>
      </c>
      <c r="AN5598">
        <v>0.999999980019461</v>
      </c>
    </row>
    <row r="5599" spans="1:40" x14ac:dyDescent="0.25">
      <c r="A5599" t="str">
        <f>"20190305135939190"</f>
        <v>20190305135939190</v>
      </c>
      <c r="B5599" t="str">
        <f>"1551765579184710"</f>
        <v>1551765579184710</v>
      </c>
      <c r="C5599" t="s">
        <v>40</v>
      </c>
      <c r="D5599">
        <v>4.7675489999999998</v>
      </c>
      <c r="E5599">
        <v>0.55094049999999894</v>
      </c>
      <c r="F5599" t="s">
        <v>41</v>
      </c>
      <c r="G5599">
        <v>-273.37939999999998</v>
      </c>
      <c r="H5599">
        <v>1.011792</v>
      </c>
      <c r="I5599">
        <v>-61.319609999999997</v>
      </c>
      <c r="J5599">
        <v>-274.18860000000001</v>
      </c>
      <c r="K5599">
        <v>1.1076779999999999</v>
      </c>
      <c r="L5599">
        <v>-61.328890000000001</v>
      </c>
      <c r="M5599">
        <v>0.99662119999999998</v>
      </c>
      <c r="N5599">
        <v>-1.3750190000000001E-2</v>
      </c>
      <c r="O5599">
        <v>8.0976839999999994E-2</v>
      </c>
      <c r="P5599">
        <v>0.98604270000000005</v>
      </c>
      <c r="Q5599">
        <v>-1.3875449999999999E-2</v>
      </c>
      <c r="R5599">
        <v>0.16591439999999999</v>
      </c>
      <c r="S5599">
        <v>3.0261840000000002</v>
      </c>
      <c r="T5599">
        <v>-0.29885109999999998</v>
      </c>
      <c r="U5599">
        <v>6.6375729999999994E-2</v>
      </c>
      <c r="V5599">
        <v>-8.5515190000000005E-2</v>
      </c>
      <c r="W5599">
        <v>2.6733079999999998E-4</v>
      </c>
      <c r="X5599">
        <v>0.99633680000000002</v>
      </c>
      <c r="Y5599">
        <v>5.8493610000000001E-2</v>
      </c>
      <c r="Z5599">
        <v>-1.014023E-2</v>
      </c>
      <c r="AA5599">
        <v>0.99823629999999997</v>
      </c>
      <c r="AB5599">
        <v>29</v>
      </c>
      <c r="AC5599">
        <v>0.809200000000032</v>
      </c>
      <c r="AD5599">
        <v>-9.5886000000000096E-2</v>
      </c>
      <c r="AE5599">
        <v>9.28000000000395E-3</v>
      </c>
      <c r="AF5599">
        <v>5.5503902454740399E-2</v>
      </c>
      <c r="AG5599">
        <v>-9.5886000000000096E-2</v>
      </c>
      <c r="AH5599">
        <v>0.79611678507408801</v>
      </c>
      <c r="AI5599">
        <v>96.851272635249998</v>
      </c>
      <c r="AJ5599">
        <v>86.011889352215107</v>
      </c>
      <c r="AK5599">
        <v>0.80378899200001896</v>
      </c>
      <c r="AL5599">
        <v>89.984683072770494</v>
      </c>
      <c r="AM5599">
        <v>94.905651280493899</v>
      </c>
      <c r="AN5599">
        <v>0.99999996911036604</v>
      </c>
    </row>
    <row r="5600" spans="1:40" x14ac:dyDescent="0.25">
      <c r="A5600" t="str">
        <f>"20190305135939202"</f>
        <v>20190305135939202</v>
      </c>
      <c r="B5600" t="str">
        <f>"1551765579194471"</f>
        <v>1551765579194471</v>
      </c>
      <c r="C5600" t="s">
        <v>40</v>
      </c>
      <c r="D5600">
        <v>4.7619040000000004</v>
      </c>
      <c r="E5600">
        <v>0.55083760000000004</v>
      </c>
      <c r="F5600" t="s">
        <v>41</v>
      </c>
      <c r="G5600">
        <v>-273.37220000000002</v>
      </c>
      <c r="H5600">
        <v>1.027792</v>
      </c>
      <c r="I5600">
        <v>-61.309800000000003</v>
      </c>
      <c r="J5600">
        <v>-274.04340000000002</v>
      </c>
      <c r="K5600">
        <v>1.1077589999999999</v>
      </c>
      <c r="L5600">
        <v>-61.318300000000001</v>
      </c>
      <c r="M5600">
        <v>0.99671019999999999</v>
      </c>
      <c r="N5600">
        <v>-1.373953E-2</v>
      </c>
      <c r="O5600">
        <v>7.9876429999999998E-2</v>
      </c>
      <c r="P5600">
        <v>0.98571200000000003</v>
      </c>
      <c r="Q5600">
        <v>-1.270666E-2</v>
      </c>
      <c r="R5600">
        <v>0.16796079999999999</v>
      </c>
      <c r="S5600">
        <v>3.0263369999999998</v>
      </c>
      <c r="T5600">
        <v>-0.29599009999999998</v>
      </c>
      <c r="U5600">
        <v>7.1319579999999994E-2</v>
      </c>
      <c r="V5600">
        <v>-8.8675920000000005E-2</v>
      </c>
      <c r="W5600">
        <v>1.4227070000000001E-3</v>
      </c>
      <c r="X5600">
        <v>0.99605949999999999</v>
      </c>
      <c r="Y5600">
        <v>5.5793250000000003E-2</v>
      </c>
      <c r="Z5600">
        <v>-9.794245E-3</v>
      </c>
      <c r="AA5600">
        <v>0.99839429999999996</v>
      </c>
      <c r="AB5600">
        <v>29</v>
      </c>
      <c r="AC5600">
        <v>0.67119999999999802</v>
      </c>
      <c r="AD5600">
        <v>-7.9966999999999899E-2</v>
      </c>
      <c r="AE5600">
        <v>8.4999999999979502E-3</v>
      </c>
      <c r="AF5600">
        <v>4.4513536403727801E-2</v>
      </c>
      <c r="AG5600">
        <v>-7.9966999999999899E-2</v>
      </c>
      <c r="AH5600">
        <v>0.66036201828043695</v>
      </c>
      <c r="AI5600">
        <v>96.889170053008598</v>
      </c>
      <c r="AJ5600">
        <v>86.143652582013601</v>
      </c>
      <c r="AK5600">
        <v>0.666673961693104</v>
      </c>
      <c r="AL5600">
        <v>89.918484864711701</v>
      </c>
      <c r="AM5600">
        <v>95.087443556389402</v>
      </c>
      <c r="AN5600">
        <v>0.99999998521165201</v>
      </c>
    </row>
    <row r="5601" spans="1:40" x14ac:dyDescent="0.25">
      <c r="A5601" t="str">
        <f>"20190305135939213"</f>
        <v>20190305135939213</v>
      </c>
      <c r="B5601" t="str">
        <f>"1551765579204232"</f>
        <v>1551765579204232</v>
      </c>
      <c r="C5601" t="s">
        <v>40</v>
      </c>
      <c r="D5601">
        <v>4.7398559999999996</v>
      </c>
      <c r="E5601">
        <v>0.55074239999999997</v>
      </c>
      <c r="F5601" t="s">
        <v>41</v>
      </c>
      <c r="G5601">
        <v>-273.1139</v>
      </c>
      <c r="H5601">
        <v>1.0179530000000001</v>
      </c>
      <c r="I5601">
        <v>-61.29448</v>
      </c>
      <c r="J5601">
        <v>-273.89760000000001</v>
      </c>
      <c r="K5601">
        <v>1.107829</v>
      </c>
      <c r="L5601">
        <v>-61.307830000000003</v>
      </c>
      <c r="M5601">
        <v>0.99679609999999996</v>
      </c>
      <c r="N5601">
        <v>-1.372955E-2</v>
      </c>
      <c r="O5601">
        <v>7.8798010000000002E-2</v>
      </c>
      <c r="P5601">
        <v>0.98546299999999998</v>
      </c>
      <c r="Q5601">
        <v>-1.137641E-2</v>
      </c>
      <c r="R5601">
        <v>0.16950899999999999</v>
      </c>
      <c r="S5601">
        <v>3.0263979999999999</v>
      </c>
      <c r="T5601">
        <v>-0.29233409999999999</v>
      </c>
      <c r="U5601">
        <v>7.8125E-2</v>
      </c>
      <c r="V5601">
        <v>-9.1309950000000001E-2</v>
      </c>
      <c r="W5601">
        <v>2.7416350000000001E-3</v>
      </c>
      <c r="X5601">
        <v>0.99581869999999995</v>
      </c>
      <c r="Y5601">
        <v>5.2505620000000003E-2</v>
      </c>
      <c r="Z5601">
        <v>-9.3950479999999996E-3</v>
      </c>
      <c r="AA5601">
        <v>0.99857649999999998</v>
      </c>
      <c r="AB5601">
        <v>29</v>
      </c>
      <c r="AC5601">
        <v>0.78370000000001006</v>
      </c>
      <c r="AD5601">
        <v>-8.9875999999999998E-2</v>
      </c>
      <c r="AE5601">
        <v>1.3349999999995499E-2</v>
      </c>
      <c r="AF5601">
        <v>4.7822562975497099E-2</v>
      </c>
      <c r="AG5601">
        <v>-8.9875999999999998E-2</v>
      </c>
      <c r="AH5601">
        <v>0.77216231915183597</v>
      </c>
      <c r="AI5601">
        <v>96.626497106262093</v>
      </c>
      <c r="AJ5601">
        <v>86.456009761921194</v>
      </c>
      <c r="AK5601">
        <v>0.77884487545562398</v>
      </c>
      <c r="AL5601">
        <v>89.842915681425097</v>
      </c>
      <c r="AM5601">
        <v>95.238992017943403</v>
      </c>
      <c r="AN5601">
        <v>0.99999995340058101</v>
      </c>
    </row>
    <row r="5602" spans="1:40" x14ac:dyDescent="0.25">
      <c r="A5602" t="str">
        <f>"20190305135939224"</f>
        <v>20190305135939224</v>
      </c>
      <c r="B5602" t="str">
        <f>"1551765579214967"</f>
        <v>1551765579214967</v>
      </c>
      <c r="C5602" t="s">
        <v>40</v>
      </c>
      <c r="D5602">
        <v>4.7762650000000004</v>
      </c>
      <c r="E5602">
        <v>0.55069049999999997</v>
      </c>
      <c r="F5602" t="s">
        <v>41</v>
      </c>
      <c r="G5602">
        <v>-273.10719999999998</v>
      </c>
      <c r="H5602">
        <v>1.0326949999999999</v>
      </c>
      <c r="I5602">
        <v>-61.286189999999998</v>
      </c>
      <c r="J5602">
        <v>-273.75319999999999</v>
      </c>
      <c r="K5602">
        <v>1.1078790000000001</v>
      </c>
      <c r="L5602">
        <v>-61.297609999999999</v>
      </c>
      <c r="M5602">
        <v>0.99687979999999998</v>
      </c>
      <c r="N5602">
        <v>-1.372025E-2</v>
      </c>
      <c r="O5602">
        <v>7.7735219999999994E-2</v>
      </c>
      <c r="P5602">
        <v>0.98525110000000005</v>
      </c>
      <c r="Q5602">
        <v>-1.018371E-2</v>
      </c>
      <c r="R5602">
        <v>0.1708134</v>
      </c>
      <c r="S5602">
        <v>3.0265499999999999</v>
      </c>
      <c r="T5602">
        <v>-0.28759380000000001</v>
      </c>
      <c r="U5602">
        <v>8.3557129999999993E-2</v>
      </c>
      <c r="V5602">
        <v>-9.3682580000000001E-2</v>
      </c>
      <c r="W5602">
        <v>3.9237079999999997E-3</v>
      </c>
      <c r="X5602">
        <v>0.99559439999999999</v>
      </c>
      <c r="Y5602">
        <v>4.9687549999999997E-2</v>
      </c>
      <c r="Z5602">
        <v>-8.992501E-3</v>
      </c>
      <c r="AA5602">
        <v>0.99872430000000001</v>
      </c>
      <c r="AB5602">
        <v>29</v>
      </c>
      <c r="AC5602">
        <v>0.64600000000001501</v>
      </c>
      <c r="AD5602">
        <v>-7.5183999999999904E-2</v>
      </c>
      <c r="AE5602">
        <v>1.14199999999939E-2</v>
      </c>
      <c r="AF5602">
        <v>3.8317378752994402E-2</v>
      </c>
      <c r="AG5602">
        <v>-7.5183999999999904E-2</v>
      </c>
      <c r="AH5602">
        <v>0.63631633407876598</v>
      </c>
      <c r="AI5602">
        <v>96.726471952065395</v>
      </c>
      <c r="AJ5602">
        <v>86.553952677298</v>
      </c>
      <c r="AK5602">
        <v>0.64188732063029597</v>
      </c>
      <c r="AL5602">
        <v>89.775187518144904</v>
      </c>
      <c r="AM5602">
        <v>95.375540452805794</v>
      </c>
      <c r="AN5602">
        <v>1.0000000152956401</v>
      </c>
    </row>
    <row r="5603" spans="1:40" x14ac:dyDescent="0.25">
      <c r="A5603" t="str">
        <f>"20190305135939234"</f>
        <v>20190305135939234</v>
      </c>
      <c r="B5603" t="str">
        <f>"1551765579224728"</f>
        <v>1551765579224728</v>
      </c>
      <c r="C5603" t="s">
        <v>40</v>
      </c>
      <c r="D5603">
        <v>4.7556890000000003</v>
      </c>
      <c r="E5603">
        <v>0.55058790000000002</v>
      </c>
      <c r="F5603" t="s">
        <v>41</v>
      </c>
      <c r="G5603">
        <v>-272.84899999999999</v>
      </c>
      <c r="H5603">
        <v>1.0230490000000001</v>
      </c>
      <c r="I5603">
        <v>-61.271450000000002</v>
      </c>
      <c r="J5603">
        <v>-273.61619999999999</v>
      </c>
      <c r="K5603">
        <v>1.1079159999999999</v>
      </c>
      <c r="L5603">
        <v>-61.288020000000003</v>
      </c>
      <c r="M5603">
        <v>0.99695750000000005</v>
      </c>
      <c r="N5603">
        <v>-1.3711869999999999E-2</v>
      </c>
      <c r="O5603">
        <v>7.6731659999999993E-2</v>
      </c>
      <c r="P5603">
        <v>0.98507299999999998</v>
      </c>
      <c r="Q5603">
        <v>-9.7859650000000006E-3</v>
      </c>
      <c r="R5603">
        <v>0.1718585</v>
      </c>
      <c r="S5603">
        <v>3.0267029999999999</v>
      </c>
      <c r="T5603">
        <v>-0.2838135</v>
      </c>
      <c r="U5603">
        <v>8.8104249999999995E-2</v>
      </c>
      <c r="V5603">
        <v>-9.5738779999999996E-2</v>
      </c>
      <c r="W5603">
        <v>4.313758E-3</v>
      </c>
      <c r="X5603">
        <v>0.99539719999999998</v>
      </c>
      <c r="Y5603">
        <v>4.7213869999999998E-2</v>
      </c>
      <c r="Z5603">
        <v>-8.6523840000000008E-3</v>
      </c>
      <c r="AA5603">
        <v>0.99884729999999999</v>
      </c>
      <c r="AB5603">
        <v>29</v>
      </c>
      <c r="AC5603">
        <v>0.76720000000000199</v>
      </c>
      <c r="AD5603">
        <v>-8.4866999999999998E-2</v>
      </c>
      <c r="AE5603">
        <v>1.6569999999994402E-2</v>
      </c>
      <c r="AF5603">
        <v>4.1841170395777803E-2</v>
      </c>
      <c r="AG5603">
        <v>-8.4866999999999998E-2</v>
      </c>
      <c r="AH5603">
        <v>0.75695107944196505</v>
      </c>
      <c r="AI5603">
        <v>96.387439528643299</v>
      </c>
      <c r="AJ5603">
        <v>86.836142533195996</v>
      </c>
      <c r="AK5603">
        <v>0.76284207271062698</v>
      </c>
      <c r="AL5603">
        <v>89.752839119586199</v>
      </c>
      <c r="AM5603">
        <v>95.493893586087097</v>
      </c>
      <c r="AN5603">
        <v>1.0000000541359</v>
      </c>
    </row>
    <row r="5604" spans="1:40" x14ac:dyDescent="0.25">
      <c r="A5604" t="str">
        <f>"20190305135939245"</f>
        <v>20190305135939245</v>
      </c>
      <c r="B5604" t="str">
        <f>"1551765579234487"</f>
        <v>1551765579234487</v>
      </c>
      <c r="C5604" t="s">
        <v>40</v>
      </c>
      <c r="D5604">
        <v>4.7622949999999999</v>
      </c>
      <c r="E5604">
        <v>0.55052619999999997</v>
      </c>
      <c r="F5604" t="s">
        <v>41</v>
      </c>
      <c r="G5604">
        <v>-272.8433</v>
      </c>
      <c r="H5604">
        <v>1.035482</v>
      </c>
      <c r="I5604">
        <v>-61.264629999999997</v>
      </c>
      <c r="J5604">
        <v>-273.47239999999999</v>
      </c>
      <c r="K5604">
        <v>1.1079410000000001</v>
      </c>
      <c r="L5604">
        <v>-61.278109999999998</v>
      </c>
      <c r="M5604">
        <v>0.99703850000000005</v>
      </c>
      <c r="N5604">
        <v>-1.370383E-2</v>
      </c>
      <c r="O5604">
        <v>7.5672749999999997E-2</v>
      </c>
      <c r="P5604">
        <v>0.98500659999999896</v>
      </c>
      <c r="Q5604">
        <v>-9.5246919999999995E-3</v>
      </c>
      <c r="R5604">
        <v>0.17225370000000001</v>
      </c>
      <c r="S5604">
        <v>3.0265499999999999</v>
      </c>
      <c r="T5604">
        <v>-0.28349439999999998</v>
      </c>
      <c r="U5604">
        <v>9.2285160000000005E-2</v>
      </c>
      <c r="V5604">
        <v>-9.7194779999999995E-2</v>
      </c>
      <c r="W5604">
        <v>4.5664800000000004E-3</v>
      </c>
      <c r="X5604">
        <v>0.99525490000000005</v>
      </c>
      <c r="Y5604">
        <v>4.4789349999999999E-2</v>
      </c>
      <c r="Z5604">
        <v>-8.4284129999999992E-3</v>
      </c>
      <c r="AA5604">
        <v>0.99896090000000004</v>
      </c>
      <c r="AB5604">
        <v>29</v>
      </c>
      <c r="AC5604">
        <v>0.629099999999994</v>
      </c>
      <c r="AD5604">
        <v>-7.2458999999999996E-2</v>
      </c>
      <c r="AE5604">
        <v>1.3479999999994099E-2</v>
      </c>
      <c r="AF5604">
        <v>3.3721705442569597E-2</v>
      </c>
      <c r="AG5604">
        <v>-7.2458999999999996E-2</v>
      </c>
      <c r="AH5604">
        <v>0.62009352487798197</v>
      </c>
      <c r="AI5604">
        <v>96.655140515860595</v>
      </c>
      <c r="AJ5604">
        <v>86.887227421035405</v>
      </c>
      <c r="AK5604">
        <v>0.62522271207511004</v>
      </c>
      <c r="AL5604">
        <v>89.738359058653501</v>
      </c>
      <c r="AM5604">
        <v>95.577714519123404</v>
      </c>
      <c r="AN5604">
        <v>0.99999999698642394</v>
      </c>
    </row>
    <row r="5605" spans="1:40" x14ac:dyDescent="0.25">
      <c r="A5605" t="str">
        <f>"20190305135939255"</f>
        <v>20190305135939255</v>
      </c>
      <c r="B5605" t="str">
        <f>"1551765579244247"</f>
        <v>1551765579244247</v>
      </c>
      <c r="C5605" t="s">
        <v>40</v>
      </c>
      <c r="D5605">
        <v>4.7852699999999997</v>
      </c>
      <c r="E5605">
        <v>0.55051649999999996</v>
      </c>
      <c r="F5605" t="s">
        <v>41</v>
      </c>
      <c r="G5605">
        <v>-272.58580000000001</v>
      </c>
      <c r="H5605">
        <v>1.0247729999999999</v>
      </c>
      <c r="I5605">
        <v>-61.250680000000003</v>
      </c>
      <c r="J5605">
        <v>-273.32589999999999</v>
      </c>
      <c r="K5605">
        <v>1.1079600000000001</v>
      </c>
      <c r="L5605">
        <v>-61.268160000000002</v>
      </c>
      <c r="M5605">
        <v>0.99712009999999995</v>
      </c>
      <c r="N5605">
        <v>-1.369604E-2</v>
      </c>
      <c r="O5605">
        <v>7.4592279999999997E-2</v>
      </c>
      <c r="P5605">
        <v>0.98497789999999996</v>
      </c>
      <c r="Q5605">
        <v>-9.7827799999999996E-3</v>
      </c>
      <c r="R5605">
        <v>0.17240440000000001</v>
      </c>
      <c r="S5605">
        <v>3.0264890000000002</v>
      </c>
      <c r="T5605">
        <v>-0.2837635</v>
      </c>
      <c r="U5605">
        <v>9.4238279999999994E-2</v>
      </c>
      <c r="V5605">
        <v>-9.8426340000000001E-2</v>
      </c>
      <c r="W5605">
        <v>4.2999290000000001E-3</v>
      </c>
      <c r="X5605">
        <v>0.99513510000000005</v>
      </c>
      <c r="Y5605">
        <v>4.3073140000000003E-2</v>
      </c>
      <c r="Z5605">
        <v>-8.2595259999999997E-3</v>
      </c>
      <c r="AA5605">
        <v>0.99903779999999998</v>
      </c>
      <c r="AB5605">
        <v>29</v>
      </c>
      <c r="AC5605">
        <v>0.74009999999998399</v>
      </c>
      <c r="AD5605">
        <v>-8.3187000000000094E-2</v>
      </c>
      <c r="AE5605">
        <v>1.7479999999991901E-2</v>
      </c>
      <c r="AF5605">
        <v>3.7308547317951399E-2</v>
      </c>
      <c r="AG5605">
        <v>-8.3187000000000094E-2</v>
      </c>
      <c r="AH5605">
        <v>0.730122774797904</v>
      </c>
      <c r="AI5605">
        <v>96.4916041779029</v>
      </c>
      <c r="AJ5605">
        <v>87.074786922045107</v>
      </c>
      <c r="AK5605">
        <v>0.73579295386036903</v>
      </c>
      <c r="AL5605">
        <v>89.753631469336895</v>
      </c>
      <c r="AM5605">
        <v>95.648611437599897</v>
      </c>
      <c r="AN5605">
        <v>1.0000000505236</v>
      </c>
    </row>
    <row r="5606" spans="1:40" x14ac:dyDescent="0.25">
      <c r="A5606" t="str">
        <f>"20190305135939269"</f>
        <v>20190305135939269</v>
      </c>
      <c r="B5606" t="str">
        <f>"1551765579264744"</f>
        <v>1551765579264744</v>
      </c>
      <c r="C5606" t="s">
        <v>40</v>
      </c>
      <c r="D5606">
        <v>4.7714230000000004</v>
      </c>
      <c r="E5606">
        <v>0.55052619999999997</v>
      </c>
      <c r="F5606" t="s">
        <v>41</v>
      </c>
      <c r="G5606">
        <v>-272.57979999999998</v>
      </c>
      <c r="H5606">
        <v>1.0376570000000001</v>
      </c>
      <c r="I5606">
        <v>-61.244929999999997</v>
      </c>
      <c r="J5606">
        <v>-273.17129999999997</v>
      </c>
      <c r="K5606">
        <v>1.1079669999999999</v>
      </c>
      <c r="L5606">
        <v>-61.257899999999999</v>
      </c>
      <c r="M5606">
        <v>0.99720660000000005</v>
      </c>
      <c r="N5606">
        <v>-1.3669519999999999E-2</v>
      </c>
      <c r="O5606">
        <v>7.3430670000000003E-2</v>
      </c>
      <c r="P5606">
        <v>0.98492880000000005</v>
      </c>
      <c r="Q5606">
        <v>-1.022349E-2</v>
      </c>
      <c r="R5606">
        <v>0.17265810000000001</v>
      </c>
      <c r="S5606">
        <v>3.0263059999999999</v>
      </c>
      <c r="T5606">
        <v>-0.28491339999999998</v>
      </c>
      <c r="U5606">
        <v>9.4970700000000005E-2</v>
      </c>
      <c r="V5606">
        <v>-9.9844279999999994E-2</v>
      </c>
      <c r="W5606">
        <v>3.835017E-3</v>
      </c>
      <c r="X5606">
        <v>0.99499570000000004</v>
      </c>
      <c r="Y5606">
        <v>4.1672590000000002E-2</v>
      </c>
      <c r="Z5606">
        <v>-8.1294130000000003E-3</v>
      </c>
      <c r="AA5606">
        <v>0.99909820000000005</v>
      </c>
      <c r="AB5606">
        <v>29</v>
      </c>
      <c r="AC5606">
        <v>0.59149999999999603</v>
      </c>
      <c r="AD5606">
        <v>-7.0309999999999803E-2</v>
      </c>
      <c r="AE5606">
        <v>1.29699999999957E-2</v>
      </c>
      <c r="AF5606">
        <v>3.0078534522991598E-2</v>
      </c>
      <c r="AG5606">
        <v>-7.0309999999999803E-2</v>
      </c>
      <c r="AH5606">
        <v>0.58262709402488499</v>
      </c>
      <c r="AI5606">
        <v>96.871975155531302</v>
      </c>
      <c r="AJ5606">
        <v>87.044688633426105</v>
      </c>
      <c r="AK5606">
        <v>0.58762449321903898</v>
      </c>
      <c r="AL5606">
        <v>89.780269176291299</v>
      </c>
      <c r="AM5606">
        <v>95.730245692640906</v>
      </c>
      <c r="AN5606">
        <v>1.00000001531129</v>
      </c>
    </row>
    <row r="5607" spans="1:40" x14ac:dyDescent="0.25">
      <c r="A5607" t="str">
        <f>"20190305135939280"</f>
        <v>20190305135939280</v>
      </c>
      <c r="B5607" t="str">
        <f>"1551765579274503"</f>
        <v>1551765579274503</v>
      </c>
      <c r="C5607" t="s">
        <v>40</v>
      </c>
      <c r="D5607">
        <v>4.7313710000000002</v>
      </c>
      <c r="E5607">
        <v>0.55045119999999903</v>
      </c>
      <c r="F5607" t="s">
        <v>41</v>
      </c>
      <c r="G5607">
        <v>-272.32220000000001</v>
      </c>
      <c r="H5607">
        <v>1.027304</v>
      </c>
      <c r="I5607">
        <v>-61.23115</v>
      </c>
      <c r="J5607">
        <v>-273.02539999999999</v>
      </c>
      <c r="K5607">
        <v>1.10797099999999</v>
      </c>
      <c r="L5607">
        <v>-61.248289999999997</v>
      </c>
      <c r="M5607">
        <v>0.9972877</v>
      </c>
      <c r="N5607">
        <v>-1.3638040000000001E-2</v>
      </c>
      <c r="O5607">
        <v>7.2328719999999999E-2</v>
      </c>
      <c r="P5607">
        <v>0.98491689999999998</v>
      </c>
      <c r="Q5607">
        <v>-1.0136900000000001E-2</v>
      </c>
      <c r="R5607">
        <v>0.17273189999999999</v>
      </c>
      <c r="S5607">
        <v>3.0260929999999999</v>
      </c>
      <c r="T5607">
        <v>-0.28740250000000001</v>
      </c>
      <c r="U5607">
        <v>9.5611570000000007E-2</v>
      </c>
      <c r="V5607">
        <v>-0.1010185</v>
      </c>
      <c r="W5607">
        <v>3.8912830000000002E-3</v>
      </c>
      <c r="X5607">
        <v>0.99487689999999995</v>
      </c>
      <c r="Y5607">
        <v>4.0356799999999998E-2</v>
      </c>
      <c r="Z5607">
        <v>-8.04822E-3</v>
      </c>
      <c r="AA5607">
        <v>0.99915290000000001</v>
      </c>
      <c r="AB5607">
        <v>29</v>
      </c>
      <c r="AC5607">
        <v>0.70319999999998095</v>
      </c>
      <c r="AD5607">
        <v>-8.0666999999999794E-2</v>
      </c>
      <c r="AE5607">
        <v>1.7140000000004801E-2</v>
      </c>
      <c r="AF5607">
        <v>3.3332804958907399E-2</v>
      </c>
      <c r="AG5607">
        <v>-8.0666999999999794E-2</v>
      </c>
      <c r="AH5607">
        <v>0.69347741293708598</v>
      </c>
      <c r="AI5607">
        <v>96.627384413700796</v>
      </c>
      <c r="AJ5607">
        <v>87.248129141971205</v>
      </c>
      <c r="AK5607">
        <v>0.69894861258131302</v>
      </c>
      <c r="AL5607">
        <v>89.777045336243901</v>
      </c>
      <c r="AM5607">
        <v>95.797867504646007</v>
      </c>
      <c r="AN5607">
        <v>0.999999962789622</v>
      </c>
    </row>
    <row r="5608" spans="1:40" x14ac:dyDescent="0.25">
      <c r="A5608" t="str">
        <f>"20190305135939291"</f>
        <v>20190305135939291</v>
      </c>
      <c r="B5608" t="str">
        <f>"1551765579284263"</f>
        <v>1551765579284263</v>
      </c>
      <c r="C5608" t="s">
        <v>40</v>
      </c>
      <c r="D5608">
        <v>4.7383230000000003</v>
      </c>
      <c r="E5608">
        <v>0.55042449999999998</v>
      </c>
      <c r="F5608" t="s">
        <v>41</v>
      </c>
      <c r="G5608">
        <v>-272.06459999999998</v>
      </c>
      <c r="H5608">
        <v>1.0166170000000001</v>
      </c>
      <c r="I5608">
        <v>-61.217979999999997</v>
      </c>
      <c r="J5608">
        <v>-272.87459999999999</v>
      </c>
      <c r="K5608">
        <v>1.10796299999999</v>
      </c>
      <c r="L5608">
        <v>-61.238619999999997</v>
      </c>
      <c r="M5608">
        <v>0.99737180000000003</v>
      </c>
      <c r="N5608">
        <v>-1.3577519999999999E-2</v>
      </c>
      <c r="O5608">
        <v>7.1170620000000004E-2</v>
      </c>
      <c r="P5608">
        <v>0.9849021</v>
      </c>
      <c r="Q5608">
        <v>-1.0155640000000001E-2</v>
      </c>
      <c r="R5608">
        <v>0.17281440000000001</v>
      </c>
      <c r="S5608">
        <v>3.0260929999999999</v>
      </c>
      <c r="T5608">
        <v>-0.28752909999999998</v>
      </c>
      <c r="U5608">
        <v>9.6343990000000004E-2</v>
      </c>
      <c r="V5608">
        <v>-0.102257</v>
      </c>
      <c r="W5608">
        <v>3.8154669999999999E-3</v>
      </c>
      <c r="X5608">
        <v>0.99475069999999999</v>
      </c>
      <c r="Y5608">
        <v>3.8965189999999997E-2</v>
      </c>
      <c r="Z5608">
        <v>-7.8859869999999901E-3</v>
      </c>
      <c r="AA5608">
        <v>0.99920949999999997</v>
      </c>
      <c r="AB5608">
        <v>29</v>
      </c>
      <c r="AC5608">
        <v>0.81000000000000205</v>
      </c>
      <c r="AD5608">
        <v>-9.1345999999999705E-2</v>
      </c>
      <c r="AE5608">
        <v>2.0639999999993101E-2</v>
      </c>
      <c r="AF5608">
        <v>3.66006878131514E-2</v>
      </c>
      <c r="AG5608">
        <v>-9.1345999999999705E-2</v>
      </c>
      <c r="AH5608">
        <v>0.79925656432084402</v>
      </c>
      <c r="AI5608">
        <v>96.513204164343094</v>
      </c>
      <c r="AJ5608">
        <v>87.378062314434501</v>
      </c>
      <c r="AK5608">
        <v>0.80529172209476696</v>
      </c>
      <c r="AL5608">
        <v>89.781389314375502</v>
      </c>
      <c r="AM5608">
        <v>95.869196305471803</v>
      </c>
      <c r="AN5608">
        <v>1.00000000349395</v>
      </c>
    </row>
    <row r="5609" spans="1:40" x14ac:dyDescent="0.25">
      <c r="A5609" t="str">
        <f>"20190305135939302"</f>
        <v>20190305135939302</v>
      </c>
      <c r="B5609" t="str">
        <f>"1551765579294999"</f>
        <v>1551765579294999</v>
      </c>
      <c r="C5609" t="s">
        <v>40</v>
      </c>
      <c r="D5609">
        <v>4.7155769999999997</v>
      </c>
      <c r="E5609">
        <v>0.55034859999999997</v>
      </c>
      <c r="F5609" t="s">
        <v>41</v>
      </c>
      <c r="G5609">
        <v>-272.05829999999997</v>
      </c>
      <c r="H5609">
        <v>1.030173</v>
      </c>
      <c r="I5609">
        <v>-61.2127699999999</v>
      </c>
      <c r="J5609">
        <v>-272.72059999999999</v>
      </c>
      <c r="K5609">
        <v>1.107955</v>
      </c>
      <c r="L5609">
        <v>-61.228850000000001</v>
      </c>
      <c r="M5609">
        <v>0.99745680000000003</v>
      </c>
      <c r="N5609">
        <v>-1.350906E-2</v>
      </c>
      <c r="O5609">
        <v>6.9982440000000007E-2</v>
      </c>
      <c r="P5609">
        <v>0.98494539999999997</v>
      </c>
      <c r="Q5609">
        <v>-1.034011E-2</v>
      </c>
      <c r="R5609">
        <v>0.17255680000000001</v>
      </c>
      <c r="S5609">
        <v>3.0260310000000001</v>
      </c>
      <c r="T5609">
        <v>-0.28809849999999998</v>
      </c>
      <c r="U5609">
        <v>9.6832280000000007E-2</v>
      </c>
      <c r="V5609">
        <v>-0.1031835</v>
      </c>
      <c r="W5609">
        <v>3.563699E-3</v>
      </c>
      <c r="X5609">
        <v>0.99465599999999998</v>
      </c>
      <c r="Y5609">
        <v>3.7621769999999999E-2</v>
      </c>
      <c r="Z5609">
        <v>-7.7371969999999899E-3</v>
      </c>
      <c r="AA5609">
        <v>0.99926210000000004</v>
      </c>
      <c r="AB5609">
        <v>29</v>
      </c>
      <c r="AC5609">
        <v>0.66230000000001599</v>
      </c>
      <c r="AD5609">
        <v>-7.7782000000000004E-2</v>
      </c>
      <c r="AE5609">
        <v>1.6080000000009399E-2</v>
      </c>
      <c r="AF5609">
        <v>2.9900859135477301E-2</v>
      </c>
      <c r="AG5609">
        <v>-7.7782000000000004E-2</v>
      </c>
      <c r="AH5609">
        <v>0.65280271665382095</v>
      </c>
      <c r="AI5609">
        <v>96.787756582717705</v>
      </c>
      <c r="AJ5609">
        <v>87.377467330987301</v>
      </c>
      <c r="AK5609">
        <v>0.65809990713542099</v>
      </c>
      <c r="AL5609">
        <v>89.795814665143197</v>
      </c>
      <c r="AM5609">
        <v>95.922557758131504</v>
      </c>
      <c r="AN5609">
        <v>1.0000000464794001</v>
      </c>
    </row>
    <row r="5610" spans="1:40" x14ac:dyDescent="0.25">
      <c r="A5610" t="str">
        <f>"20190305135939313"</f>
        <v>20190305135939313</v>
      </c>
      <c r="B5610" t="str">
        <f>"1551765579304759"</f>
        <v>1551765579304759</v>
      </c>
      <c r="C5610" t="s">
        <v>40</v>
      </c>
      <c r="D5610">
        <v>4.7148339999999997</v>
      </c>
      <c r="E5610">
        <v>0.55036319999999905</v>
      </c>
      <c r="F5610" t="s">
        <v>41</v>
      </c>
      <c r="G5610">
        <v>-271.80029999999999</v>
      </c>
      <c r="H5610">
        <v>1.0200389999999999</v>
      </c>
      <c r="I5610">
        <v>-61.199489999999997</v>
      </c>
      <c r="J5610">
        <v>-272.57400000000001</v>
      </c>
      <c r="K5610">
        <v>1.107942</v>
      </c>
      <c r="L5610">
        <v>-61.219760000000001</v>
      </c>
      <c r="M5610">
        <v>0.99753700000000001</v>
      </c>
      <c r="N5610">
        <v>-1.343424E-2</v>
      </c>
      <c r="O5610">
        <v>6.8843459999999995E-2</v>
      </c>
      <c r="P5610">
        <v>0.98501470000000002</v>
      </c>
      <c r="Q5610">
        <v>-1.0233620000000001E-2</v>
      </c>
      <c r="R5610">
        <v>0.172166299999999</v>
      </c>
      <c r="S5610">
        <v>3.025909</v>
      </c>
      <c r="T5610">
        <v>-0.28909400000000002</v>
      </c>
      <c r="U5610">
        <v>9.6527100000000005E-2</v>
      </c>
      <c r="V5610">
        <v>-0.1039243</v>
      </c>
      <c r="W5610">
        <v>3.5975529999999999E-3</v>
      </c>
      <c r="X5610">
        <v>0.99457870000000004</v>
      </c>
      <c r="Y5610">
        <v>3.6585779999999998E-2</v>
      </c>
      <c r="Z5610">
        <v>-7.6210540000000004E-3</v>
      </c>
      <c r="AA5610">
        <v>0.99930140000000001</v>
      </c>
      <c r="AB5610">
        <v>29</v>
      </c>
      <c r="AC5610">
        <v>0.77370000000001904</v>
      </c>
      <c r="AD5610">
        <v>-8.7902999999999995E-2</v>
      </c>
      <c r="AE5610">
        <v>2.0269999999996399E-2</v>
      </c>
      <c r="AF5610">
        <v>3.2626239063800702E-2</v>
      </c>
      <c r="AG5610">
        <v>-8.7902999999999995E-2</v>
      </c>
      <c r="AH5610">
        <v>0.76341218907729602</v>
      </c>
      <c r="AI5610">
        <v>96.562450519877402</v>
      </c>
      <c r="AJ5610">
        <v>87.552817518390597</v>
      </c>
      <c r="AK5610">
        <v>0.76914860678300501</v>
      </c>
      <c r="AL5610">
        <v>89.793874951178395</v>
      </c>
      <c r="AM5610">
        <v>95.965233192288196</v>
      </c>
      <c r="AN5610">
        <v>0.999999996505883</v>
      </c>
    </row>
    <row r="5611" spans="1:40" x14ac:dyDescent="0.25">
      <c r="A5611" t="str">
        <f>"20190305135939325"</f>
        <v>20190305135939325</v>
      </c>
      <c r="B5611" t="str">
        <f>"1551765579314518"</f>
        <v>1551765579314518</v>
      </c>
      <c r="C5611" t="s">
        <v>40</v>
      </c>
      <c r="D5611">
        <v>4.7052180000000003</v>
      </c>
      <c r="E5611">
        <v>0.55037250000000004</v>
      </c>
      <c r="F5611" t="s">
        <v>41</v>
      </c>
      <c r="G5611">
        <v>-271.79399999999998</v>
      </c>
      <c r="H5611">
        <v>1.0334110000000001</v>
      </c>
      <c r="I5611">
        <v>-61.1952199999999</v>
      </c>
      <c r="J5611">
        <v>-272.42700000000002</v>
      </c>
      <c r="K5611">
        <v>1.1079289999999999</v>
      </c>
      <c r="L5611">
        <v>-61.210819999999998</v>
      </c>
      <c r="M5611">
        <v>0.99761670000000002</v>
      </c>
      <c r="N5611">
        <v>-1.334861E-2</v>
      </c>
      <c r="O5611">
        <v>6.7696580000000006E-2</v>
      </c>
      <c r="P5611">
        <v>0.98513079999999997</v>
      </c>
      <c r="Q5611">
        <v>-1.002515E-2</v>
      </c>
      <c r="R5611">
        <v>0.17151329999999901</v>
      </c>
      <c r="S5611">
        <v>3.0260009999999999</v>
      </c>
      <c r="T5611">
        <v>-0.28912640000000001</v>
      </c>
      <c r="U5611">
        <v>9.5153810000000005E-2</v>
      </c>
      <c r="V5611">
        <v>-0.1044079</v>
      </c>
      <c r="W5611">
        <v>3.7205760000000002E-3</v>
      </c>
      <c r="X5611">
        <v>0.99452759999999996</v>
      </c>
      <c r="Y5611">
        <v>3.5897819999999997E-2</v>
      </c>
      <c r="Z5611">
        <v>-7.4949959999999899E-3</v>
      </c>
      <c r="AA5611">
        <v>0.99932739999999998</v>
      </c>
      <c r="AB5611">
        <v>29</v>
      </c>
      <c r="AC5611">
        <v>0.63299999999998102</v>
      </c>
      <c r="AD5611">
        <v>-7.4518000000000001E-2</v>
      </c>
      <c r="AE5611">
        <v>1.5600000000006199E-2</v>
      </c>
      <c r="AF5611">
        <v>2.6918719395349299E-2</v>
      </c>
      <c r="AG5611">
        <v>-7.4518000000000001E-2</v>
      </c>
      <c r="AH5611">
        <v>0.62396186970868395</v>
      </c>
      <c r="AI5611">
        <v>96.804146793456496</v>
      </c>
      <c r="AJ5611">
        <v>87.529699661040894</v>
      </c>
      <c r="AK5611">
        <v>0.62897214932637702</v>
      </c>
      <c r="AL5611">
        <v>89.786826205963294</v>
      </c>
      <c r="AM5611">
        <v>95.993095861995101</v>
      </c>
      <c r="AN5611">
        <v>0.99999999971497</v>
      </c>
    </row>
    <row r="5612" spans="1:40" x14ac:dyDescent="0.25">
      <c r="A5612" t="str">
        <f>"20190305135939335"</f>
        <v>20190305135939335</v>
      </c>
      <c r="B5612" t="str">
        <f>"1551765579324280"</f>
        <v>1551765579324280</v>
      </c>
      <c r="C5612" t="s">
        <v>40</v>
      </c>
      <c r="D5612">
        <v>4.6801409999999999</v>
      </c>
      <c r="E5612">
        <v>0.5503924</v>
      </c>
      <c r="F5612" t="s">
        <v>41</v>
      </c>
      <c r="G5612">
        <v>-271.536</v>
      </c>
      <c r="H5612">
        <v>1.022834</v>
      </c>
      <c r="I5612">
        <v>-61.183779999999999</v>
      </c>
      <c r="J5612">
        <v>-272.28359999999998</v>
      </c>
      <c r="K5612">
        <v>1.107917</v>
      </c>
      <c r="L5612">
        <v>-61.202179999999998</v>
      </c>
      <c r="M5612">
        <v>0.99769339999999995</v>
      </c>
      <c r="N5612">
        <v>-1.3258900000000001E-2</v>
      </c>
      <c r="O5612">
        <v>6.6574949999999994E-2</v>
      </c>
      <c r="P5612">
        <v>0.98522430000000005</v>
      </c>
      <c r="Q5612">
        <v>-1.0513939999999999E-2</v>
      </c>
      <c r="R5612">
        <v>0.17094690000000001</v>
      </c>
      <c r="S5612">
        <v>3.026154</v>
      </c>
      <c r="T5612">
        <v>-0.28880020000000001</v>
      </c>
      <c r="U5612">
        <v>9.2926030000000007E-2</v>
      </c>
      <c r="V5612">
        <v>-0.1049578</v>
      </c>
      <c r="W5612">
        <v>3.1426549999999998E-3</v>
      </c>
      <c r="X5612">
        <v>0.99447169999999896</v>
      </c>
      <c r="Y5612">
        <v>3.5517159999999999E-2</v>
      </c>
      <c r="Z5612">
        <v>-7.3776839999999998E-3</v>
      </c>
      <c r="AA5612">
        <v>0.99934179999999995</v>
      </c>
      <c r="AB5612">
        <v>29</v>
      </c>
      <c r="AC5612">
        <v>0.74759999999997695</v>
      </c>
      <c r="AD5612">
        <v>-8.5083000000000006E-2</v>
      </c>
      <c r="AE5612">
        <v>1.8399999999999701E-2</v>
      </c>
      <c r="AF5612">
        <v>3.1015158887566702E-2</v>
      </c>
      <c r="AG5612">
        <v>-8.5083000000000006E-2</v>
      </c>
      <c r="AH5612">
        <v>0.73761811999780003</v>
      </c>
      <c r="AI5612">
        <v>96.574133473495607</v>
      </c>
      <c r="AJ5612">
        <v>87.592261506665395</v>
      </c>
      <c r="AK5612">
        <v>0.74315647606604995</v>
      </c>
      <c r="AL5612">
        <v>89.819938833678293</v>
      </c>
      <c r="AM5612">
        <v>96.024765171249697</v>
      </c>
      <c r="AN5612">
        <v>0.999999989081089</v>
      </c>
    </row>
    <row r="5613" spans="1:40" x14ac:dyDescent="0.25">
      <c r="A5613" t="str">
        <f>"20190305135939348"</f>
        <v>20190305135939348</v>
      </c>
      <c r="B5613" t="str">
        <f>"1551765579344775"</f>
        <v>1551765579344775</v>
      </c>
      <c r="C5613" t="s">
        <v>40</v>
      </c>
      <c r="D5613">
        <v>4.6927130000000004</v>
      </c>
      <c r="E5613">
        <v>0.55043719999999996</v>
      </c>
      <c r="F5613" t="s">
        <v>41</v>
      </c>
      <c r="G5613">
        <v>-271.5299</v>
      </c>
      <c r="H5613">
        <v>1.035631</v>
      </c>
      <c r="I5613">
        <v>-61.179870000000001</v>
      </c>
      <c r="J5613">
        <v>-272.13479999999998</v>
      </c>
      <c r="K5613">
        <v>1.107904</v>
      </c>
      <c r="L5613">
        <v>-61.193449999999999</v>
      </c>
      <c r="M5613">
        <v>0.99777150000000003</v>
      </c>
      <c r="N5613">
        <v>-1.315094E-2</v>
      </c>
      <c r="O5613">
        <v>6.5415730000000005E-2</v>
      </c>
      <c r="P5613">
        <v>0.98533090000000001</v>
      </c>
      <c r="Q5613">
        <v>-1.069991E-2</v>
      </c>
      <c r="R5613">
        <v>0.1703191</v>
      </c>
      <c r="S5613">
        <v>3.026154</v>
      </c>
      <c r="T5613">
        <v>-0.29002129999999998</v>
      </c>
      <c r="U5613">
        <v>9.0911870000000006E-2</v>
      </c>
      <c r="V5613">
        <v>-0.1054809</v>
      </c>
      <c r="W5613">
        <v>2.84797E-3</v>
      </c>
      <c r="X5613">
        <v>0.99441729999999995</v>
      </c>
      <c r="Y5613">
        <v>3.5022919999999999E-2</v>
      </c>
      <c r="Z5613">
        <v>-7.2946189999999996E-3</v>
      </c>
      <c r="AA5613">
        <v>0.99935989999999997</v>
      </c>
      <c r="AB5613">
        <v>29</v>
      </c>
      <c r="AC5613">
        <v>0.604899999999986</v>
      </c>
      <c r="AD5613">
        <v>-7.2273000000000004E-2</v>
      </c>
      <c r="AE5613">
        <v>1.35800000000045E-2</v>
      </c>
      <c r="AF5613">
        <v>2.5656418394936299E-2</v>
      </c>
      <c r="AG5613">
        <v>-7.2273000000000004E-2</v>
      </c>
      <c r="AH5613">
        <v>0.59598893115123697</v>
      </c>
      <c r="AI5613">
        <v>96.907915164204397</v>
      </c>
      <c r="AJ5613">
        <v>87.535025625358799</v>
      </c>
      <c r="AK5613">
        <v>0.60090302411341701</v>
      </c>
      <c r="AL5613">
        <v>89.836823126207705</v>
      </c>
      <c r="AM5613">
        <v>96.054898315710304</v>
      </c>
      <c r="AN5613">
        <v>1.0000000488686001</v>
      </c>
    </row>
    <row r="5614" spans="1:40" x14ac:dyDescent="0.25">
      <c r="A5614" t="str">
        <f>"20190305135939360"</f>
        <v>20190305135939360</v>
      </c>
      <c r="B5614" t="str">
        <f>"1551765579354535"</f>
        <v>1551765579354535</v>
      </c>
      <c r="C5614" t="s">
        <v>40</v>
      </c>
      <c r="D5614">
        <v>4.6749199999999904</v>
      </c>
      <c r="E5614">
        <v>0.55044890000000002</v>
      </c>
      <c r="F5614" t="s">
        <v>41</v>
      </c>
      <c r="G5614">
        <v>-271.27190000000002</v>
      </c>
      <c r="H5614">
        <v>1.0250509999999999</v>
      </c>
      <c r="I5614">
        <v>-61.168289999999999</v>
      </c>
      <c r="J5614">
        <v>-271.96660000000003</v>
      </c>
      <c r="K5614">
        <v>1.107893</v>
      </c>
      <c r="L5614">
        <v>-61.183750000000003</v>
      </c>
      <c r="M5614">
        <v>0.99785789999999996</v>
      </c>
      <c r="N5614">
        <v>-1.3022290000000001E-2</v>
      </c>
      <c r="O5614">
        <v>6.4109600000000003E-2</v>
      </c>
      <c r="P5614">
        <v>0.98545210000000005</v>
      </c>
      <c r="Q5614">
        <v>-1.118978E-2</v>
      </c>
      <c r="R5614">
        <v>0.1695847</v>
      </c>
      <c r="S5614">
        <v>3.0262150000000001</v>
      </c>
      <c r="T5614">
        <v>-0.29048099999999999</v>
      </c>
      <c r="U5614">
        <v>8.8500980000000007E-2</v>
      </c>
      <c r="V5614">
        <v>-0.10604479999999999</v>
      </c>
      <c r="W5614">
        <v>2.228084E-3</v>
      </c>
      <c r="X5614">
        <v>0.99435879999999999</v>
      </c>
      <c r="Y5614">
        <v>3.451597E-2</v>
      </c>
      <c r="Z5614">
        <v>-7.1778639999999999E-3</v>
      </c>
      <c r="AA5614">
        <v>0.9993784</v>
      </c>
      <c r="AB5614">
        <v>29</v>
      </c>
      <c r="AC5614">
        <v>0.69470000000001098</v>
      </c>
      <c r="AD5614">
        <v>-8.2841999999999999E-2</v>
      </c>
      <c r="AE5614">
        <v>1.5460000000004401E-2</v>
      </c>
      <c r="AF5614">
        <v>2.8704541342302301E-2</v>
      </c>
      <c r="AG5614">
        <v>-8.2841999999999999E-2</v>
      </c>
      <c r="AH5614">
        <v>0.68453249374327896</v>
      </c>
      <c r="AI5614">
        <v>96.894368016185496</v>
      </c>
      <c r="AJ5614">
        <v>87.598819443808196</v>
      </c>
      <c r="AK5614">
        <v>0.69012425160116198</v>
      </c>
      <c r="AL5614">
        <v>89.872340077567998</v>
      </c>
      <c r="AM5614">
        <v>96.087380799373605</v>
      </c>
      <c r="AN5614">
        <v>0.99999994355139399</v>
      </c>
    </row>
    <row r="5615" spans="1:40" x14ac:dyDescent="0.25">
      <c r="A5615" t="str">
        <f>"20190305135939370"</f>
        <v>20190305135939370</v>
      </c>
      <c r="B5615" t="str">
        <f>"1551765579364296"</f>
        <v>1551765579364296</v>
      </c>
      <c r="C5615" t="s">
        <v>40</v>
      </c>
      <c r="D5615">
        <v>4.6343399999999999</v>
      </c>
      <c r="E5615">
        <v>0.55055430000000005</v>
      </c>
      <c r="F5615" t="s">
        <v>41</v>
      </c>
      <c r="G5615">
        <v>-271.01280000000003</v>
      </c>
      <c r="H5615">
        <v>1.015765</v>
      </c>
      <c r="I5615">
        <v>-61.156930000000003</v>
      </c>
      <c r="J5615">
        <v>-271.8329</v>
      </c>
      <c r="K5615">
        <v>1.1078859999999999</v>
      </c>
      <c r="L5615">
        <v>-61.176180000000002</v>
      </c>
      <c r="M5615">
        <v>0.9979247</v>
      </c>
      <c r="N5615">
        <v>-1.290818E-2</v>
      </c>
      <c r="O5615">
        <v>6.3086240000000002E-2</v>
      </c>
      <c r="P5615">
        <v>0.98556440000000001</v>
      </c>
      <c r="Q5615">
        <v>-1.1537820000000001E-2</v>
      </c>
      <c r="R5615">
        <v>0.16890839999999999</v>
      </c>
      <c r="S5615">
        <v>3.0261840000000002</v>
      </c>
      <c r="T5615">
        <v>-0.2921298</v>
      </c>
      <c r="U5615">
        <v>8.5906979999999994E-2</v>
      </c>
      <c r="V5615">
        <v>-0.1063849</v>
      </c>
      <c r="W5615">
        <v>1.763169E-3</v>
      </c>
      <c r="X5615">
        <v>0.99432339999999997</v>
      </c>
      <c r="Y5615">
        <v>3.4345809999999997E-2</v>
      </c>
      <c r="Z5615">
        <v>-7.132991E-3</v>
      </c>
      <c r="AA5615">
        <v>0.99938459999999996</v>
      </c>
      <c r="AB5615">
        <v>29</v>
      </c>
      <c r="AC5615">
        <v>0.82009999999996797</v>
      </c>
      <c r="AD5615">
        <v>-9.2121000000000106E-2</v>
      </c>
      <c r="AE5615">
        <v>1.92499999999995E-2</v>
      </c>
      <c r="AF5615">
        <v>3.2124563712697098E-2</v>
      </c>
      <c r="AG5615">
        <v>-9.2121000000000106E-2</v>
      </c>
      <c r="AH5615">
        <v>0.80947252619491905</v>
      </c>
      <c r="AI5615">
        <v>96.4874779812897</v>
      </c>
      <c r="AJ5615">
        <v>87.727363833938099</v>
      </c>
      <c r="AK5615">
        <v>0.81533063041879805</v>
      </c>
      <c r="AL5615">
        <v>89.898977799302699</v>
      </c>
      <c r="AM5615">
        <v>96.106972337200901</v>
      </c>
      <c r="AN5615">
        <v>0.99999993975024404</v>
      </c>
    </row>
    <row r="5616" spans="1:40" x14ac:dyDescent="0.25">
      <c r="A5616" t="str">
        <f>"20190305135939379"</f>
        <v>20190305135939379</v>
      </c>
      <c r="B5616" t="str">
        <f>"1551765579375031"</f>
        <v>1551765579375031</v>
      </c>
      <c r="C5616" t="s">
        <v>40</v>
      </c>
      <c r="D5616">
        <v>4.6445749999999997</v>
      </c>
      <c r="E5616">
        <v>0.55058660000000004</v>
      </c>
      <c r="F5616" t="s">
        <v>41</v>
      </c>
      <c r="G5616">
        <v>-271.00700000000001</v>
      </c>
      <c r="H5616">
        <v>1.028106</v>
      </c>
      <c r="I5616">
        <v>-61.153779999999998</v>
      </c>
      <c r="J5616">
        <v>-271.71420000000001</v>
      </c>
      <c r="K5616">
        <v>1.1078809999999999</v>
      </c>
      <c r="L5616">
        <v>-61.169530000000002</v>
      </c>
      <c r="M5616">
        <v>0.99798279999999995</v>
      </c>
      <c r="N5616">
        <v>-1.280648E-2</v>
      </c>
      <c r="O5616">
        <v>6.2180979999999997E-2</v>
      </c>
      <c r="P5616">
        <v>0.98564030000000002</v>
      </c>
      <c r="Q5616">
        <v>-1.1841549999999999E-2</v>
      </c>
      <c r="R5616">
        <v>0.16844319999999999</v>
      </c>
      <c r="S5616">
        <v>3.0262760000000002</v>
      </c>
      <c r="T5616">
        <v>-0.2921319</v>
      </c>
      <c r="U5616">
        <v>8.3038329999999994E-2</v>
      </c>
      <c r="V5616">
        <v>-0.1068192</v>
      </c>
      <c r="W5616">
        <v>1.3554719999999999E-3</v>
      </c>
      <c r="X5616">
        <v>0.99427750000000004</v>
      </c>
      <c r="Y5616">
        <v>3.4389160000000002E-2</v>
      </c>
      <c r="Z5616">
        <v>-7.0645660000000004E-3</v>
      </c>
      <c r="AA5616">
        <v>0.99938360000000004</v>
      </c>
      <c r="AB5616">
        <v>29</v>
      </c>
      <c r="AC5616">
        <v>0.70720000000000005</v>
      </c>
      <c r="AD5616">
        <v>-7.9774999999999902E-2</v>
      </c>
      <c r="AE5616">
        <v>1.5749999999996999E-2</v>
      </c>
      <c r="AF5616">
        <v>2.79035852095341E-2</v>
      </c>
      <c r="AG5616">
        <v>-7.9774999999999902E-2</v>
      </c>
      <c r="AH5616">
        <v>0.69793406582976203</v>
      </c>
      <c r="AI5616">
        <v>96.515541387903497</v>
      </c>
      <c r="AJ5616">
        <v>87.710519187018406</v>
      </c>
      <c r="AK5616">
        <v>0.70303244657569597</v>
      </c>
      <c r="AL5616">
        <v>89.922337148488793</v>
      </c>
      <c r="AM5616">
        <v>96.131994484480501</v>
      </c>
      <c r="AN5616">
        <v>0.99999996289961501</v>
      </c>
    </row>
    <row r="5617" spans="1:40" x14ac:dyDescent="0.25">
      <c r="A5617" t="str">
        <f>"20190305135939390"</f>
        <v>20190305135939390</v>
      </c>
      <c r="B5617" t="str">
        <f>"1551765579384790"</f>
        <v>1551765579384790</v>
      </c>
      <c r="C5617" t="s">
        <v>40</v>
      </c>
      <c r="D5617">
        <v>4.6200340000000004</v>
      </c>
      <c r="E5617">
        <v>0.55065039999999998</v>
      </c>
      <c r="F5617" t="s">
        <v>41</v>
      </c>
      <c r="G5617">
        <v>-270.74970000000002</v>
      </c>
      <c r="H5617">
        <v>1.014618</v>
      </c>
      <c r="I5617">
        <v>-61.143709999999999</v>
      </c>
      <c r="J5617">
        <v>-271.55470000000003</v>
      </c>
      <c r="K5617">
        <v>1.1078840000000001</v>
      </c>
      <c r="L5617">
        <v>-61.160829999999997</v>
      </c>
      <c r="M5617">
        <v>0.99805809999999995</v>
      </c>
      <c r="N5617">
        <v>-1.2665620000000001E-2</v>
      </c>
      <c r="O5617">
        <v>6.0989799999999997E-2</v>
      </c>
      <c r="P5617">
        <v>0.98580990000000002</v>
      </c>
      <c r="Q5617">
        <v>-1.1909680000000001E-2</v>
      </c>
      <c r="R5617">
        <v>0.1674435</v>
      </c>
      <c r="S5617">
        <v>3.0263059999999999</v>
      </c>
      <c r="T5617">
        <v>-0.29258859999999998</v>
      </c>
      <c r="U5617">
        <v>8.1237790000000004E-2</v>
      </c>
      <c r="V5617">
        <v>-0.1069985</v>
      </c>
      <c r="W5617">
        <v>1.1413739999999999E-3</v>
      </c>
      <c r="X5617">
        <v>0.99425850000000005</v>
      </c>
      <c r="Y5617">
        <v>3.3796140000000002E-2</v>
      </c>
      <c r="Z5617">
        <v>-6.9508419999999996E-3</v>
      </c>
      <c r="AA5617">
        <v>0.99940450000000003</v>
      </c>
      <c r="AB5617">
        <v>29</v>
      </c>
      <c r="AC5617">
        <v>0.80500000000000604</v>
      </c>
      <c r="AD5617">
        <v>-9.3266000000000002E-2</v>
      </c>
      <c r="AE5617">
        <v>1.7120000000005499E-2</v>
      </c>
      <c r="AF5617">
        <v>3.15887702196452E-2</v>
      </c>
      <c r="AG5617">
        <v>-9.3266000000000002E-2</v>
      </c>
      <c r="AH5617">
        <v>0.79389364401499496</v>
      </c>
      <c r="AI5617">
        <v>96.695101360903195</v>
      </c>
      <c r="AJ5617">
        <v>87.721421532627602</v>
      </c>
      <c r="AK5617">
        <v>0.79997719665462796</v>
      </c>
      <c r="AL5617">
        <v>89.934604071007698</v>
      </c>
      <c r="AM5617">
        <v>96.142325132173994</v>
      </c>
      <c r="AN5617">
        <v>0.99999997327955303</v>
      </c>
    </row>
    <row r="5618" spans="1:40" x14ac:dyDescent="0.25">
      <c r="A5618" t="str">
        <f>"20190305135939402"</f>
        <v>20190305135939402</v>
      </c>
      <c r="B5618" t="str">
        <f>"1551765579394551"</f>
        <v>1551765579394551</v>
      </c>
      <c r="C5618" t="s">
        <v>40</v>
      </c>
      <c r="D5618">
        <v>4.61355</v>
      </c>
      <c r="E5618">
        <v>0.55069650000000003</v>
      </c>
      <c r="F5618" t="s">
        <v>41</v>
      </c>
      <c r="G5618">
        <v>-270.74270000000001</v>
      </c>
      <c r="H5618">
        <v>1.0293300000000001</v>
      </c>
      <c r="I5618">
        <v>-61.140070000000001</v>
      </c>
      <c r="J5618">
        <v>-271.40960000000001</v>
      </c>
      <c r="K5618">
        <v>1.107888</v>
      </c>
      <c r="L5618">
        <v>-61.153019999999998</v>
      </c>
      <c r="M5618">
        <v>0.99812449999999997</v>
      </c>
      <c r="N5618">
        <v>-1.2535070000000001E-2</v>
      </c>
      <c r="O5618">
        <v>5.9920870000000001E-2</v>
      </c>
      <c r="P5618">
        <v>0.98594800000000005</v>
      </c>
      <c r="Q5618">
        <v>-1.2018630000000001E-2</v>
      </c>
      <c r="R5618">
        <v>0.16662009999999999</v>
      </c>
      <c r="S5618">
        <v>3.0264280000000001</v>
      </c>
      <c r="T5618">
        <v>-0.2926801</v>
      </c>
      <c r="U5618">
        <v>7.7636720000000006E-2</v>
      </c>
      <c r="V5618">
        <v>-0.1072346</v>
      </c>
      <c r="W5618">
        <v>8.962792E-4</v>
      </c>
      <c r="X5618">
        <v>0.99423329999999999</v>
      </c>
      <c r="Y5618">
        <v>3.3917540000000003E-2</v>
      </c>
      <c r="Z5618">
        <v>-6.8758600000000001E-3</v>
      </c>
      <c r="AA5618">
        <v>0.99940099999999998</v>
      </c>
      <c r="AB5618">
        <v>29</v>
      </c>
      <c r="AC5618">
        <v>0.66689999999999805</v>
      </c>
      <c r="AD5618">
        <v>-7.85580000000001E-2</v>
      </c>
      <c r="AE5618">
        <v>1.29500000000035E-2</v>
      </c>
      <c r="AF5618">
        <v>2.6667740164862699E-2</v>
      </c>
      <c r="AG5618">
        <v>-7.85580000000001E-2</v>
      </c>
      <c r="AH5618">
        <v>0.65735953533715497</v>
      </c>
      <c r="AI5618">
        <v>96.809286079582193</v>
      </c>
      <c r="AJ5618">
        <v>87.676900550127698</v>
      </c>
      <c r="AK5618">
        <v>0.66257383469933395</v>
      </c>
      <c r="AL5618">
        <v>89.948646975582903</v>
      </c>
      <c r="AM5618">
        <v>96.155929502934995</v>
      </c>
      <c r="AN5618">
        <v>0.99999995879122605</v>
      </c>
    </row>
    <row r="5619" spans="1:40" x14ac:dyDescent="0.25">
      <c r="A5619" t="str">
        <f>"20190305135939412"</f>
        <v>20190305135939412</v>
      </c>
      <c r="B5619" t="str">
        <f>"1551765579404311"</f>
        <v>1551765579404311</v>
      </c>
      <c r="C5619" t="s">
        <v>40</v>
      </c>
      <c r="D5619">
        <v>4.5646040000000001</v>
      </c>
      <c r="E5619">
        <v>0.55078590000000005</v>
      </c>
      <c r="F5619" t="s">
        <v>41</v>
      </c>
      <c r="G5619">
        <v>-270.48390000000001</v>
      </c>
      <c r="H5619">
        <v>1.0182230000000001</v>
      </c>
      <c r="I5619">
        <v>-61.13026</v>
      </c>
      <c r="J5619">
        <v>-271.26889999999997</v>
      </c>
      <c r="K5619">
        <v>1.1078950000000001</v>
      </c>
      <c r="L5619">
        <v>-61.1455699999999</v>
      </c>
      <c r="M5619">
        <v>0.99818660000000003</v>
      </c>
      <c r="N5619">
        <v>-1.240454E-2</v>
      </c>
      <c r="O5619">
        <v>5.8905489999999998E-2</v>
      </c>
      <c r="P5619">
        <v>0.98608070000000003</v>
      </c>
      <c r="Q5619">
        <v>-1.214309E-2</v>
      </c>
      <c r="R5619">
        <v>0.16582439999999901</v>
      </c>
      <c r="S5619">
        <v>3.0265200000000001</v>
      </c>
      <c r="T5619">
        <v>-0.29311429999999999</v>
      </c>
      <c r="U5619">
        <v>7.4859620000000002E-2</v>
      </c>
      <c r="V5619">
        <v>-0.1074447</v>
      </c>
      <c r="W5619">
        <v>6.3592569999999999E-4</v>
      </c>
      <c r="X5619">
        <v>0.99421079999999995</v>
      </c>
      <c r="Y5619">
        <v>3.3820459999999997E-2</v>
      </c>
      <c r="Z5619">
        <v>-6.801667E-3</v>
      </c>
      <c r="AA5619">
        <v>0.99940479999999998</v>
      </c>
      <c r="AB5619">
        <v>29</v>
      </c>
      <c r="AC5619">
        <v>0.78499999999996795</v>
      </c>
      <c r="AD5619">
        <v>-8.9672000000000196E-2</v>
      </c>
      <c r="AE5619">
        <v>1.53099999999923E-2</v>
      </c>
      <c r="AF5619">
        <v>3.0562298352292201E-2</v>
      </c>
      <c r="AG5619">
        <v>-8.9672000000000196E-2</v>
      </c>
      <c r="AH5619">
        <v>0.77443688190552495</v>
      </c>
      <c r="AI5619">
        <v>96.599769988835504</v>
      </c>
      <c r="AJ5619">
        <v>87.7400579077826</v>
      </c>
      <c r="AK5619">
        <v>0.78020997540413894</v>
      </c>
      <c r="AL5619">
        <v>89.963564136714993</v>
      </c>
      <c r="AM5619">
        <v>96.168036178213995</v>
      </c>
      <c r="AN5619">
        <v>0.99999994139811099</v>
      </c>
    </row>
    <row r="5620" spans="1:40" x14ac:dyDescent="0.25">
      <c r="A5620" t="str">
        <f>"20190305135939423"</f>
        <v>20190305135939423</v>
      </c>
      <c r="B5620" t="str">
        <f>"1551765579415049"</f>
        <v>1551765579415049</v>
      </c>
      <c r="C5620" t="s">
        <v>40</v>
      </c>
      <c r="D5620">
        <v>4.5842330000000002</v>
      </c>
      <c r="E5620">
        <v>0.55083959999999998</v>
      </c>
      <c r="F5620" t="s">
        <v>41</v>
      </c>
      <c r="G5620">
        <v>-270.47770000000003</v>
      </c>
      <c r="H5620">
        <v>1.0312509999999999</v>
      </c>
      <c r="I5620">
        <v>-61.126930000000002</v>
      </c>
      <c r="J5620">
        <v>-271.12299999999999</v>
      </c>
      <c r="K5620">
        <v>1.107898</v>
      </c>
      <c r="L5620">
        <v>-61.137999999999998</v>
      </c>
      <c r="M5620">
        <v>0.99824829999999998</v>
      </c>
      <c r="N5620">
        <v>-1.2263019999999999E-2</v>
      </c>
      <c r="O5620">
        <v>5.7878850000000003E-2</v>
      </c>
      <c r="P5620">
        <v>0.98627129999999996</v>
      </c>
      <c r="Q5620">
        <v>-1.225853E-2</v>
      </c>
      <c r="R5620">
        <v>0.16467770000000001</v>
      </c>
      <c r="S5620">
        <v>3.0266419999999998</v>
      </c>
      <c r="T5620">
        <v>-0.29310429999999998</v>
      </c>
      <c r="U5620">
        <v>7.1868899999999999E-2</v>
      </c>
      <c r="V5620">
        <v>-0.1073124</v>
      </c>
      <c r="W5620">
        <v>3.7128109999999998E-4</v>
      </c>
      <c r="X5620">
        <v>0.99422529999999998</v>
      </c>
      <c r="Y5620">
        <v>3.3783880000000002E-2</v>
      </c>
      <c r="Z5620">
        <v>-6.7187499999999999E-3</v>
      </c>
      <c r="AA5620">
        <v>0.99940660000000003</v>
      </c>
      <c r="AB5620">
        <v>29</v>
      </c>
      <c r="AC5620">
        <v>0.64529999999996301</v>
      </c>
      <c r="AD5620">
        <v>-7.6647000000000104E-2</v>
      </c>
      <c r="AE5620">
        <v>1.10700000000036E-2</v>
      </c>
      <c r="AF5620">
        <v>2.5934808776499702E-2</v>
      </c>
      <c r="AG5620">
        <v>-7.6647000000000104E-2</v>
      </c>
      <c r="AH5620">
        <v>0.63589029963188204</v>
      </c>
      <c r="AI5620">
        <v>96.867331625989806</v>
      </c>
      <c r="AJ5620">
        <v>87.664483975430997</v>
      </c>
      <c r="AK5620">
        <v>0.64101782352848702</v>
      </c>
      <c r="AL5620">
        <v>89.978727159853307</v>
      </c>
      <c r="AM5620">
        <v>96.160410563808796</v>
      </c>
      <c r="AN5620">
        <v>1.0000000181017501</v>
      </c>
    </row>
    <row r="5621" spans="1:40" x14ac:dyDescent="0.25">
      <c r="A5621" t="str">
        <f>"20190305135939434"</f>
        <v>20190305135939434</v>
      </c>
      <c r="B5621" t="str">
        <f>"1551765579424808"</f>
        <v>1551765579424808</v>
      </c>
      <c r="C5621" t="s">
        <v>40</v>
      </c>
      <c r="D5621">
        <v>4.5604779999999998</v>
      </c>
      <c r="E5621">
        <v>0.55090519999999998</v>
      </c>
      <c r="F5621" t="s">
        <v>41</v>
      </c>
      <c r="G5621">
        <v>-270.21850000000001</v>
      </c>
      <c r="H5621">
        <v>1.020187</v>
      </c>
      <c r="I5621">
        <v>-61.117730000000002</v>
      </c>
      <c r="J5621">
        <v>-270.97919999999999</v>
      </c>
      <c r="K5621">
        <v>1.107904</v>
      </c>
      <c r="L5621">
        <v>-61.130619999999901</v>
      </c>
      <c r="M5621">
        <v>0.9983071</v>
      </c>
      <c r="N5621">
        <v>-1.2118139999999999E-2</v>
      </c>
      <c r="O5621">
        <v>5.6887720000000003E-2</v>
      </c>
      <c r="P5621">
        <v>0.98645000000000005</v>
      </c>
      <c r="Q5621">
        <v>-1.2534180000000001E-2</v>
      </c>
      <c r="R5621">
        <v>0.16358320000000001</v>
      </c>
      <c r="S5621">
        <v>3.026764</v>
      </c>
      <c r="T5621">
        <v>-0.29351260000000001</v>
      </c>
      <c r="U5621">
        <v>6.8023680000000003E-2</v>
      </c>
      <c r="V5621">
        <v>-0.1071986</v>
      </c>
      <c r="W5621" s="1">
        <v>-5.69769199999999E-5</v>
      </c>
      <c r="X5621">
        <v>0.99423760000000005</v>
      </c>
      <c r="Y5621">
        <v>3.4061929999999997E-2</v>
      </c>
      <c r="Z5621">
        <v>-6.6659639999999999E-3</v>
      </c>
      <c r="AA5621">
        <v>0.99939750000000005</v>
      </c>
      <c r="AB5621">
        <v>30</v>
      </c>
      <c r="AC5621">
        <v>0.76069999999998505</v>
      </c>
      <c r="AD5621">
        <v>-8.7716999999999795E-2</v>
      </c>
      <c r="AE5621">
        <v>1.2889999999991599E-2</v>
      </c>
      <c r="AF5621">
        <v>3.0009629365540798E-2</v>
      </c>
      <c r="AG5621">
        <v>-8.7716999999999795E-2</v>
      </c>
      <c r="AH5621">
        <v>0.75022863561778197</v>
      </c>
      <c r="AI5621">
        <v>96.663483982464797</v>
      </c>
      <c r="AJ5621">
        <v>87.709353057313294</v>
      </c>
      <c r="AK5621">
        <v>0.75593508692517697</v>
      </c>
      <c r="AL5621">
        <v>90.003264537131699</v>
      </c>
      <c r="AM5621">
        <v>96.153852328980705</v>
      </c>
      <c r="AN5621">
        <v>0.99999997417104403</v>
      </c>
    </row>
    <row r="5622" spans="1:40" x14ac:dyDescent="0.25">
      <c r="A5622" t="str">
        <f>"20190305135939446"</f>
        <v>20190305135939446</v>
      </c>
      <c r="B5622" t="str">
        <f>"1551765579434568"</f>
        <v>1551765579434568</v>
      </c>
      <c r="C5622" t="s">
        <v>40</v>
      </c>
      <c r="D5622">
        <v>4.5548979999999997</v>
      </c>
      <c r="E5622">
        <v>0.55096239999999996</v>
      </c>
      <c r="F5622" t="s">
        <v>41</v>
      </c>
      <c r="G5622">
        <v>-270.21230000000003</v>
      </c>
      <c r="H5622">
        <v>1.0332709999999901</v>
      </c>
      <c r="I5622">
        <v>-61.11439</v>
      </c>
      <c r="J5622">
        <v>-270.83569999999997</v>
      </c>
      <c r="K5622">
        <v>1.1079139999999901</v>
      </c>
      <c r="L5622">
        <v>-61.12341</v>
      </c>
      <c r="M5622">
        <v>0.99836279999999999</v>
      </c>
      <c r="N5622">
        <v>-1.196209E-2</v>
      </c>
      <c r="O5622">
        <v>5.5934079999999997E-2</v>
      </c>
      <c r="P5622">
        <v>0.98663160000000005</v>
      </c>
      <c r="Q5622">
        <v>-1.306817E-2</v>
      </c>
      <c r="R5622">
        <v>0.16244249999999999</v>
      </c>
      <c r="S5622">
        <v>3.0268250000000001</v>
      </c>
      <c r="T5622">
        <v>-0.2945546</v>
      </c>
      <c r="U5622">
        <v>6.4239500000000005E-2</v>
      </c>
      <c r="V5622">
        <v>-0.10700179999999999</v>
      </c>
      <c r="W5622">
        <v>-7.5570909999999995E-4</v>
      </c>
      <c r="X5622">
        <v>0.99425850000000005</v>
      </c>
      <c r="Y5622">
        <v>3.4355009999999998E-2</v>
      </c>
      <c r="Z5622">
        <v>-6.6323759999999997E-3</v>
      </c>
      <c r="AA5622">
        <v>0.99938769999999999</v>
      </c>
      <c r="AB5622">
        <v>30</v>
      </c>
      <c r="AC5622">
        <v>0.623399999999946</v>
      </c>
      <c r="AD5622">
        <v>-7.4643000000000001E-2</v>
      </c>
      <c r="AE5622">
        <v>9.0199999999995804E-3</v>
      </c>
      <c r="AF5622">
        <v>2.5500412415400301E-2</v>
      </c>
      <c r="AG5622">
        <v>-7.4643000000000001E-2</v>
      </c>
      <c r="AH5622">
        <v>0.61412586476947795</v>
      </c>
      <c r="AI5622">
        <v>96.924028887041899</v>
      </c>
      <c r="AJ5622">
        <v>87.6222672732506</v>
      </c>
      <c r="AK5622">
        <v>0.61917075694933699</v>
      </c>
      <c r="AL5622">
        <v>90.043298947798604</v>
      </c>
      <c r="AM5622">
        <v>96.142513122854695</v>
      </c>
      <c r="AN5622">
        <v>0.99999996056086604</v>
      </c>
    </row>
    <row r="5623" spans="1:40" x14ac:dyDescent="0.25">
      <c r="A5623" t="str">
        <f>"20190305135939457"</f>
        <v>20190305135939457</v>
      </c>
      <c r="B5623" t="str">
        <f>"1551765579455063"</f>
        <v>1551765579455063</v>
      </c>
      <c r="C5623" t="s">
        <v>40</v>
      </c>
      <c r="D5623">
        <v>4.4873450000000004</v>
      </c>
      <c r="E5623">
        <v>0.55104019999999898</v>
      </c>
      <c r="F5623" t="s">
        <v>41</v>
      </c>
      <c r="G5623">
        <v>-269.9529</v>
      </c>
      <c r="H5623">
        <v>1.021477</v>
      </c>
      <c r="I5623">
        <v>-61.106029999999997</v>
      </c>
      <c r="J5623">
        <v>-270.68450000000001</v>
      </c>
      <c r="K5623">
        <v>1.107928</v>
      </c>
      <c r="L5623">
        <v>-61.115839999999999</v>
      </c>
      <c r="M5623">
        <v>0.99841979999999997</v>
      </c>
      <c r="N5623">
        <v>-1.1792749999999999E-2</v>
      </c>
      <c r="O5623">
        <v>5.4945569999999999E-2</v>
      </c>
      <c r="P5623">
        <v>0.98678880000000002</v>
      </c>
      <c r="Q5623">
        <v>-1.3311740000000001E-2</v>
      </c>
      <c r="R5623">
        <v>0.16146479999999999</v>
      </c>
      <c r="S5623">
        <v>3.026764</v>
      </c>
      <c r="T5623">
        <v>-0.29623430000000001</v>
      </c>
      <c r="U5623">
        <v>6.0424800000000001E-2</v>
      </c>
      <c r="V5623">
        <v>-0.1070028</v>
      </c>
      <c r="W5623">
        <v>-1.177448E-3</v>
      </c>
      <c r="X5623">
        <v>0.99425799999999998</v>
      </c>
      <c r="Y5623">
        <v>3.4621039999999999E-2</v>
      </c>
      <c r="Z5623">
        <v>-6.6093209999999996E-3</v>
      </c>
      <c r="AA5623">
        <v>0.99937869999999995</v>
      </c>
      <c r="AB5623">
        <v>30</v>
      </c>
      <c r="AC5623">
        <v>0.73160000000001402</v>
      </c>
      <c r="AD5623">
        <v>-8.6451E-2</v>
      </c>
      <c r="AE5623">
        <v>9.8100000000016507E-3</v>
      </c>
      <c r="AF5623">
        <v>2.9987143710281799E-2</v>
      </c>
      <c r="AG5623">
        <v>-8.6451E-2</v>
      </c>
      <c r="AH5623">
        <v>0.720968315846792</v>
      </c>
      <c r="AI5623">
        <v>96.831814640415502</v>
      </c>
      <c r="AJ5623">
        <v>87.618276711638799</v>
      </c>
      <c r="AK5623">
        <v>0.72675189483334701</v>
      </c>
      <c r="AL5623">
        <v>90.067462818063206</v>
      </c>
      <c r="AM5623">
        <v>96.142573155108707</v>
      </c>
      <c r="AN5623">
        <v>0.99999997807781604</v>
      </c>
    </row>
    <row r="5624" spans="1:40" x14ac:dyDescent="0.25">
      <c r="A5624" t="str">
        <f>"20190305135939469"</f>
        <v>20190305135939469</v>
      </c>
      <c r="B5624" t="str">
        <f>"1551765579464823"</f>
        <v>1551765579464823</v>
      </c>
      <c r="C5624" t="s">
        <v>40</v>
      </c>
      <c r="D5624">
        <v>4.5676620000000003</v>
      </c>
      <c r="E5624">
        <v>0.551091199999999</v>
      </c>
      <c r="F5624" t="s">
        <v>41</v>
      </c>
      <c r="G5624">
        <v>-269.94630000000001</v>
      </c>
      <c r="H5624">
        <v>1.035415</v>
      </c>
      <c r="I5624">
        <v>-61.102220000000003</v>
      </c>
      <c r="J5624">
        <v>-270.53519999999997</v>
      </c>
      <c r="K5624">
        <v>1.1079349999999999</v>
      </c>
      <c r="L5624">
        <v>-61.108609999999999</v>
      </c>
      <c r="M5624">
        <v>0.99847269999999999</v>
      </c>
      <c r="N5624">
        <v>-1.160783E-2</v>
      </c>
      <c r="O5624">
        <v>5.4016059999999998E-2</v>
      </c>
      <c r="P5624">
        <v>0.98697619999999997</v>
      </c>
      <c r="Q5624">
        <v>-1.361484E-2</v>
      </c>
      <c r="R5624">
        <v>0.1602894</v>
      </c>
      <c r="S5624">
        <v>3.0268549999999999</v>
      </c>
      <c r="T5624">
        <v>-0.29707220000000001</v>
      </c>
      <c r="U5624">
        <v>5.6823730000000003E-2</v>
      </c>
      <c r="V5624">
        <v>-0.1067467</v>
      </c>
      <c r="W5624">
        <v>-1.675043E-3</v>
      </c>
      <c r="X5624">
        <v>0.99428490000000003</v>
      </c>
      <c r="Y5624">
        <v>3.4878869999999999E-2</v>
      </c>
      <c r="Z5624">
        <v>-6.5700510000000004E-3</v>
      </c>
      <c r="AA5624">
        <v>0.99936999999999998</v>
      </c>
      <c r="AB5624">
        <v>30</v>
      </c>
      <c r="AC5624">
        <v>0.58889999999996601</v>
      </c>
      <c r="AD5624">
        <v>-7.2520000000000098E-2</v>
      </c>
      <c r="AE5624">
        <v>6.3900000000032204E-3</v>
      </c>
      <c r="AF5624">
        <v>2.5051672718865801E-2</v>
      </c>
      <c r="AG5624">
        <v>-7.2520000000000098E-2</v>
      </c>
      <c r="AH5624">
        <v>0.57959696329015498</v>
      </c>
      <c r="AI5624">
        <v>97.125282434979496</v>
      </c>
      <c r="AJ5624">
        <v>87.525069369163603</v>
      </c>
      <c r="AK5624">
        <v>0.58465321051131003</v>
      </c>
      <c r="AL5624">
        <v>90.095972933231593</v>
      </c>
      <c r="AM5624">
        <v>96.127819011680501</v>
      </c>
      <c r="AN5624">
        <v>1.00000006304897</v>
      </c>
    </row>
    <row r="5625" spans="1:40" x14ac:dyDescent="0.25">
      <c r="A5625" t="str">
        <f>"20190305135939481"</f>
        <v>20190305135939481</v>
      </c>
      <c r="B5625" t="str">
        <f>"1551765579474583"</f>
        <v>1551765579474583</v>
      </c>
      <c r="C5625" t="s">
        <v>40</v>
      </c>
      <c r="D5625">
        <v>4.5473019999999904</v>
      </c>
      <c r="E5625">
        <v>0.5511298</v>
      </c>
      <c r="F5625" t="s">
        <v>41</v>
      </c>
      <c r="G5625">
        <v>-269.68599999999998</v>
      </c>
      <c r="H5625">
        <v>1.024446</v>
      </c>
      <c r="I5625">
        <v>-61.09375</v>
      </c>
      <c r="J5625">
        <v>-270.37369999999999</v>
      </c>
      <c r="K5625">
        <v>1.107939</v>
      </c>
      <c r="L5625">
        <v>-61.1008</v>
      </c>
      <c r="M5625">
        <v>0.99852810000000003</v>
      </c>
      <c r="N5625">
        <v>-1.1401990000000001E-2</v>
      </c>
      <c r="O5625">
        <v>5.3024549999999997E-2</v>
      </c>
      <c r="P5625">
        <v>0.98714170000000001</v>
      </c>
      <c r="Q5625">
        <v>-1.3612590000000001E-2</v>
      </c>
      <c r="R5625">
        <v>0.15926709999999999</v>
      </c>
      <c r="S5625">
        <v>3.0269469999999998</v>
      </c>
      <c r="T5625">
        <v>-0.29758810000000002</v>
      </c>
      <c r="U5625">
        <v>5.2764890000000002E-2</v>
      </c>
      <c r="V5625">
        <v>-0.10670490000000001</v>
      </c>
      <c r="W5625">
        <v>-1.8881900000000001E-3</v>
      </c>
      <c r="X5625">
        <v>0.99428890000000003</v>
      </c>
      <c r="Y5625">
        <v>3.522641E-2</v>
      </c>
      <c r="Z5625">
        <v>-6.5227810000000001E-3</v>
      </c>
      <c r="AA5625">
        <v>0.99935810000000003</v>
      </c>
      <c r="AB5625">
        <v>30</v>
      </c>
      <c r="AC5625">
        <v>0.68770000000000597</v>
      </c>
      <c r="AD5625">
        <v>-8.3492999999999998E-2</v>
      </c>
      <c r="AE5625">
        <v>7.0499999999995497E-3</v>
      </c>
      <c r="AF5625">
        <v>2.8999855733562799E-2</v>
      </c>
      <c r="AG5625">
        <v>-8.3492999999999998E-2</v>
      </c>
      <c r="AH5625">
        <v>0.67712637172314005</v>
      </c>
      <c r="AI5625">
        <v>97.022995088323199</v>
      </c>
      <c r="AJ5625">
        <v>87.547644532092406</v>
      </c>
      <c r="AK5625">
        <v>0.68287055578968303</v>
      </c>
      <c r="AL5625">
        <v>90.108185386660494</v>
      </c>
      <c r="AM5625">
        <v>96.125413263400006</v>
      </c>
      <c r="AN5625">
        <v>0.999999958804347</v>
      </c>
    </row>
    <row r="5626" spans="1:40" x14ac:dyDescent="0.25">
      <c r="A5626" t="str">
        <f>"20190305135939491"</f>
        <v>20190305135939491</v>
      </c>
      <c r="B5626" t="str">
        <f>"1551765579484343"</f>
        <v>1551765579484343</v>
      </c>
      <c r="C5626" t="s">
        <v>40</v>
      </c>
      <c r="D5626">
        <v>4.5604760000000004</v>
      </c>
      <c r="E5626">
        <v>0.55116359999999998</v>
      </c>
      <c r="F5626" t="s">
        <v>41</v>
      </c>
      <c r="G5626">
        <v>-269.42439999999999</v>
      </c>
      <c r="H5626">
        <v>1.014721</v>
      </c>
      <c r="I5626">
        <v>-61.085459999999998</v>
      </c>
      <c r="J5626">
        <v>-270.2287</v>
      </c>
      <c r="K5626">
        <v>1.1079429999999999</v>
      </c>
      <c r="L5626">
        <v>-61.093960000000003</v>
      </c>
      <c r="M5626">
        <v>0.99857549999999995</v>
      </c>
      <c r="N5626">
        <v>-1.1203039999999999E-2</v>
      </c>
      <c r="O5626">
        <v>5.2168899999999997E-2</v>
      </c>
      <c r="P5626">
        <v>0.98726219999999998</v>
      </c>
      <c r="Q5626">
        <v>-1.380322E-2</v>
      </c>
      <c r="R5626">
        <v>0.15850259999999999</v>
      </c>
      <c r="S5626">
        <v>3.0270079999999999</v>
      </c>
      <c r="T5626">
        <v>-0.29714600000000002</v>
      </c>
      <c r="U5626">
        <v>4.9346920000000002E-2</v>
      </c>
      <c r="V5626">
        <v>-0.1067878</v>
      </c>
      <c r="W5626">
        <v>-2.2853880000000002E-3</v>
      </c>
      <c r="X5626">
        <v>0.99427920000000003</v>
      </c>
      <c r="Y5626">
        <v>3.5500780000000003E-2</v>
      </c>
      <c r="Z5626">
        <v>-6.4603849999999999E-3</v>
      </c>
      <c r="AA5626">
        <v>0.99934880000000004</v>
      </c>
      <c r="AB5626">
        <v>30</v>
      </c>
      <c r="AC5626">
        <v>0.80430000000001201</v>
      </c>
      <c r="AD5626">
        <v>-9.3222000000000096E-2</v>
      </c>
      <c r="AE5626">
        <v>8.4999999999979502E-3</v>
      </c>
      <c r="AF5626">
        <v>3.3029982510520903E-2</v>
      </c>
      <c r="AG5626">
        <v>-9.3222000000000096E-2</v>
      </c>
      <c r="AH5626">
        <v>0.79299628288378499</v>
      </c>
      <c r="AI5626">
        <v>96.698972744821305</v>
      </c>
      <c r="AJ5626">
        <v>87.614887542766397</v>
      </c>
      <c r="AK5626">
        <v>0.79913980359893499</v>
      </c>
      <c r="AL5626">
        <v>90.130943201932496</v>
      </c>
      <c r="AM5626">
        <v>96.1301952813578</v>
      </c>
      <c r="AN5626">
        <v>0.99999999238989501</v>
      </c>
    </row>
    <row r="5627" spans="1:40" x14ac:dyDescent="0.25">
      <c r="A5627" t="str">
        <f>"20190305135939502"</f>
        <v>20190305135939502</v>
      </c>
      <c r="B5627" t="str">
        <f>"1551765579495079"</f>
        <v>1551765579495079</v>
      </c>
      <c r="C5627" t="s">
        <v>40</v>
      </c>
      <c r="D5627">
        <v>4.5408900000000001</v>
      </c>
      <c r="E5627">
        <v>0.55126200000000003</v>
      </c>
      <c r="F5627" t="s">
        <v>41</v>
      </c>
      <c r="G5627">
        <v>-269.41789999999997</v>
      </c>
      <c r="H5627">
        <v>1.028243</v>
      </c>
      <c r="I5627">
        <v>-61.081589999999998</v>
      </c>
      <c r="J5627">
        <v>-270.07639999999998</v>
      </c>
      <c r="K5627">
        <v>1.107942</v>
      </c>
      <c r="L5627">
        <v>-61.086849999999998</v>
      </c>
      <c r="M5627">
        <v>0.9986237</v>
      </c>
      <c r="N5627">
        <v>-1.0992780000000001E-2</v>
      </c>
      <c r="O5627">
        <v>5.128394E-2</v>
      </c>
      <c r="P5627">
        <v>0.98737350000000002</v>
      </c>
      <c r="Q5627">
        <v>-1.3749829999999999E-2</v>
      </c>
      <c r="R5627">
        <v>0.15781210000000001</v>
      </c>
      <c r="S5627">
        <v>3.0270389999999998</v>
      </c>
      <c r="T5627">
        <v>-0.29747580000000001</v>
      </c>
      <c r="U5627">
        <v>4.6722409999999999E-2</v>
      </c>
      <c r="V5627">
        <v>-0.1069741</v>
      </c>
      <c r="W5627">
        <v>-2.4492350000000001E-3</v>
      </c>
      <c r="X5627">
        <v>0.9942588</v>
      </c>
      <c r="Y5627">
        <v>3.5483399999999998E-2</v>
      </c>
      <c r="Z5627">
        <v>-6.3972899999999999E-3</v>
      </c>
      <c r="AA5627">
        <v>0.99934979999999995</v>
      </c>
      <c r="AB5627">
        <v>30</v>
      </c>
      <c r="AC5627">
        <v>0.65850000000000297</v>
      </c>
      <c r="AD5627">
        <v>-7.9698999999999895E-2</v>
      </c>
      <c r="AE5627">
        <v>5.2599999999927097E-3</v>
      </c>
      <c r="AF5627">
        <v>2.8107723804795599E-2</v>
      </c>
      <c r="AG5627">
        <v>-7.9698999999999895E-2</v>
      </c>
      <c r="AH5627">
        <v>0.64840556805319904</v>
      </c>
      <c r="AI5627">
        <v>97.0008731128612</v>
      </c>
      <c r="AJ5627">
        <v>87.517840056245404</v>
      </c>
      <c r="AK5627">
        <v>0.65388971197051105</v>
      </c>
      <c r="AL5627">
        <v>90.140330967560701</v>
      </c>
      <c r="AM5627">
        <v>96.140933297593904</v>
      </c>
      <c r="AN5627">
        <v>1.00000000910016</v>
      </c>
    </row>
    <row r="5628" spans="1:40" x14ac:dyDescent="0.25">
      <c r="A5628" t="str">
        <f>"20190305135939512"</f>
        <v>20190305135939512</v>
      </c>
      <c r="B5628" t="str">
        <f>"1551765579504839"</f>
        <v>1551765579504839</v>
      </c>
      <c r="C5628" t="s">
        <v>40</v>
      </c>
      <c r="D5628">
        <v>4.5380459999999996</v>
      </c>
      <c r="E5628">
        <v>0.55130219999999996</v>
      </c>
      <c r="F5628" t="s">
        <v>41</v>
      </c>
      <c r="G5628">
        <v>-269.15589999999997</v>
      </c>
      <c r="H5628">
        <v>1.0177849999999999</v>
      </c>
      <c r="I5628">
        <v>-61.07358</v>
      </c>
      <c r="J5628">
        <v>-269.93709999999999</v>
      </c>
      <c r="K5628">
        <v>1.1079369999999999</v>
      </c>
      <c r="L5628">
        <v>-61.080469999999998</v>
      </c>
      <c r="M5628">
        <v>0.99866619999999995</v>
      </c>
      <c r="N5628">
        <v>-1.0799090000000001E-2</v>
      </c>
      <c r="O5628">
        <v>5.049323E-2</v>
      </c>
      <c r="P5628">
        <v>0.98746970000000001</v>
      </c>
      <c r="Q5628">
        <v>-1.364141E-2</v>
      </c>
      <c r="R5628">
        <v>0.1572191</v>
      </c>
      <c r="S5628">
        <v>3.0271910000000002</v>
      </c>
      <c r="T5628">
        <v>-0.29647760000000001</v>
      </c>
      <c r="U5628">
        <v>4.3914790000000002E-2</v>
      </c>
      <c r="V5628">
        <v>-0.1071642</v>
      </c>
      <c r="W5628">
        <v>-2.5398059999999999E-3</v>
      </c>
      <c r="X5628">
        <v>0.99423810000000001</v>
      </c>
      <c r="Y5628">
        <v>3.562386E-2</v>
      </c>
      <c r="Z5628">
        <v>-6.3198830000000001E-3</v>
      </c>
      <c r="AA5628">
        <v>0.99934529999999999</v>
      </c>
      <c r="AB5628">
        <v>30</v>
      </c>
      <c r="AC5628">
        <v>0.781200000000012</v>
      </c>
      <c r="AD5628">
        <v>-9.0152000000000204E-2</v>
      </c>
      <c r="AE5628">
        <v>6.8899999999914004E-3</v>
      </c>
      <c r="AF5628">
        <v>3.2138420580921097E-2</v>
      </c>
      <c r="AG5628">
        <v>-9.0152000000000204E-2</v>
      </c>
      <c r="AH5628">
        <v>0.77029363491507397</v>
      </c>
      <c r="AI5628">
        <v>96.669544799613206</v>
      </c>
      <c r="AJ5628">
        <v>87.610874060715304</v>
      </c>
      <c r="AK5628">
        <v>0.77621681582668201</v>
      </c>
      <c r="AL5628">
        <v>90.145520319876994</v>
      </c>
      <c r="AM5628">
        <v>96.1518896343281</v>
      </c>
      <c r="AN5628">
        <v>1.00000000793388</v>
      </c>
    </row>
    <row r="5629" spans="1:40" x14ac:dyDescent="0.25">
      <c r="A5629" t="str">
        <f>"20190305135939526"</f>
        <v>20190305135939526</v>
      </c>
      <c r="B5629" t="str">
        <f>"1551765579514600"</f>
        <v>1551765579514600</v>
      </c>
      <c r="C5629" t="s">
        <v>40</v>
      </c>
      <c r="D5629">
        <v>4.5377010000000002</v>
      </c>
      <c r="E5629">
        <v>0.55133679999999996</v>
      </c>
      <c r="F5629" t="s">
        <v>41</v>
      </c>
      <c r="G5629">
        <v>-269.1497</v>
      </c>
      <c r="H5629">
        <v>1.03087</v>
      </c>
      <c r="I5629">
        <v>-61.069670000000002</v>
      </c>
      <c r="J5629">
        <v>-269.77330000000001</v>
      </c>
      <c r="K5629">
        <v>1.1079300000000001</v>
      </c>
      <c r="L5629">
        <v>-61.073090000000001</v>
      </c>
      <c r="M5629">
        <v>0.99871430000000005</v>
      </c>
      <c r="N5629">
        <v>-1.0571819999999999E-2</v>
      </c>
      <c r="O5629">
        <v>4.9579150000000002E-2</v>
      </c>
      <c r="P5629">
        <v>0.98758849999999998</v>
      </c>
      <c r="Q5629">
        <v>-1.3743969999999999E-2</v>
      </c>
      <c r="R5629">
        <v>0.15646179999999901</v>
      </c>
      <c r="S5629">
        <v>3.0272830000000002</v>
      </c>
      <c r="T5629">
        <v>-0.29619499999999999</v>
      </c>
      <c r="U5629">
        <v>4.1839599999999998E-2</v>
      </c>
      <c r="V5629">
        <v>-0.1073129</v>
      </c>
      <c r="W5629">
        <v>-2.8745559999999999E-3</v>
      </c>
      <c r="X5629">
        <v>0.99422120000000003</v>
      </c>
      <c r="Y5629">
        <v>3.5399229999999997E-2</v>
      </c>
      <c r="Z5629">
        <v>-6.2291859999999899E-3</v>
      </c>
      <c r="AA5629">
        <v>0.99935379999999996</v>
      </c>
      <c r="AB5629">
        <v>30</v>
      </c>
      <c r="AC5629">
        <v>0.62360000000001004</v>
      </c>
      <c r="AD5629">
        <v>-7.7059999999999601E-2</v>
      </c>
      <c r="AE5629">
        <v>3.4200000000055202E-3</v>
      </c>
      <c r="AF5629">
        <v>2.70898347528746E-2</v>
      </c>
      <c r="AG5629">
        <v>-7.7059999999999601E-2</v>
      </c>
      <c r="AH5629">
        <v>0.61363254677744095</v>
      </c>
      <c r="AI5629">
        <v>97.1508439385522</v>
      </c>
      <c r="AJ5629">
        <v>87.472223316104305</v>
      </c>
      <c r="AK5629">
        <v>0.61904523680544299</v>
      </c>
      <c r="AL5629">
        <v>90.164700144034498</v>
      </c>
      <c r="AM5629">
        <v>96.160464255532304</v>
      </c>
      <c r="AN5629">
        <v>1.00000005805402</v>
      </c>
    </row>
    <row r="5630" spans="1:40" x14ac:dyDescent="0.25">
      <c r="A5630" t="str">
        <f>"20190305135939536"</f>
        <v>20190305135939536</v>
      </c>
      <c r="B5630" t="str">
        <f>"1551765579524359"</f>
        <v>1551765579524359</v>
      </c>
      <c r="C5630" t="s">
        <v>40</v>
      </c>
      <c r="D5630">
        <v>4.6054539999999999</v>
      </c>
      <c r="E5630">
        <v>0.55133679999999996</v>
      </c>
      <c r="F5630" t="s">
        <v>41</v>
      </c>
      <c r="G5630">
        <v>-268.88650000000001</v>
      </c>
      <c r="H5630">
        <v>1.021015</v>
      </c>
      <c r="I5630">
        <v>-61.06176</v>
      </c>
      <c r="J5630">
        <v>-269.63369999999998</v>
      </c>
      <c r="K5630">
        <v>1.1079220000000001</v>
      </c>
      <c r="L5630">
        <v>-61.066859999999998</v>
      </c>
      <c r="M5630">
        <v>0.99875429999999998</v>
      </c>
      <c r="N5630">
        <v>-1.0378299999999899E-2</v>
      </c>
      <c r="O5630">
        <v>4.8808440000000002E-2</v>
      </c>
      <c r="P5630">
        <v>0.9876625</v>
      </c>
      <c r="Q5630">
        <v>-1.396091E-2</v>
      </c>
      <c r="R5630">
        <v>0.15597510000000001</v>
      </c>
      <c r="S5630">
        <v>3.0273439999999998</v>
      </c>
      <c r="T5630">
        <v>-0.2966086</v>
      </c>
      <c r="U5630">
        <v>3.9428709999999999E-2</v>
      </c>
      <c r="V5630">
        <v>-0.10759199999999999</v>
      </c>
      <c r="W5630">
        <v>-3.2880660000000001E-3</v>
      </c>
      <c r="X5630">
        <v>0.99418969999999995</v>
      </c>
      <c r="Y5630">
        <v>3.5425150000000002E-2</v>
      </c>
      <c r="Z5630">
        <v>-6.178528E-3</v>
      </c>
      <c r="AA5630">
        <v>0.99935320000000005</v>
      </c>
      <c r="AB5630">
        <v>30</v>
      </c>
      <c r="AC5630">
        <v>0.747199999999963</v>
      </c>
      <c r="AD5630">
        <v>-8.6906999999999804E-2</v>
      </c>
      <c r="AE5630">
        <v>5.0999999999987696E-3</v>
      </c>
      <c r="AF5630">
        <v>3.0958912582961299E-2</v>
      </c>
      <c r="AG5630">
        <v>-8.6906999999999804E-2</v>
      </c>
      <c r="AH5630">
        <v>0.73659406540753702</v>
      </c>
      <c r="AI5630">
        <v>96.723049300063806</v>
      </c>
      <c r="AJ5630">
        <v>87.593285455813799</v>
      </c>
      <c r="AK5630">
        <v>0.74234904062100204</v>
      </c>
      <c r="AL5630">
        <v>90.188392643137405</v>
      </c>
      <c r="AM5630">
        <v>96.176556930179999</v>
      </c>
      <c r="AN5630">
        <v>1.00000000471405</v>
      </c>
    </row>
    <row r="5631" spans="1:40" x14ac:dyDescent="0.25">
      <c r="A5631" t="str">
        <f>"20190305135939547"</f>
        <v>20190305135939547</v>
      </c>
      <c r="B5631" t="str">
        <f>"1551765579544855"</f>
        <v>1551765579544855</v>
      </c>
      <c r="C5631" t="s">
        <v>40</v>
      </c>
      <c r="D5631">
        <v>4.565804</v>
      </c>
      <c r="E5631">
        <v>0.57700589999999996</v>
      </c>
      <c r="F5631" t="s">
        <v>41</v>
      </c>
      <c r="G5631">
        <v>-268.88040000000001</v>
      </c>
      <c r="H5631">
        <v>1.0338590000000001</v>
      </c>
      <c r="I5631">
        <v>-61.057619999999901</v>
      </c>
      <c r="J5631">
        <v>-269.48020000000002</v>
      </c>
      <c r="K5631">
        <v>1.107907</v>
      </c>
      <c r="L5631">
        <v>-61.060180000000003</v>
      </c>
      <c r="M5631">
        <v>0.99879689999999999</v>
      </c>
      <c r="N5631">
        <v>-1.0169050000000001E-2</v>
      </c>
      <c r="O5631">
        <v>4.7971359999999998E-2</v>
      </c>
      <c r="P5631">
        <v>0.98774309999999998</v>
      </c>
      <c r="Q5631">
        <v>-1.3973070000000001E-2</v>
      </c>
      <c r="R5631">
        <v>0.1554613</v>
      </c>
      <c r="S5631">
        <v>3.0272519999999998</v>
      </c>
      <c r="T5631">
        <v>-0.29754350000000002</v>
      </c>
      <c r="U5631">
        <v>3.805542E-2</v>
      </c>
      <c r="V5631">
        <v>-0.10790859999999999</v>
      </c>
      <c r="W5631">
        <v>-3.510614E-3</v>
      </c>
      <c r="X5631">
        <v>0.9941546</v>
      </c>
      <c r="Y5631">
        <v>3.5042629999999998E-2</v>
      </c>
      <c r="Z5631">
        <v>-6.1114469999999999E-3</v>
      </c>
      <c r="AA5631">
        <v>0.99936709999999995</v>
      </c>
      <c r="AB5631">
        <v>30</v>
      </c>
      <c r="AC5631">
        <v>0.59980000000001599</v>
      </c>
      <c r="AD5631">
        <v>-7.4047999999999795E-2</v>
      </c>
      <c r="AE5631">
        <v>2.56000000000966E-3</v>
      </c>
      <c r="AF5631">
        <v>2.58240805820588E-2</v>
      </c>
      <c r="AG5631">
        <v>-7.4047999999999795E-2</v>
      </c>
      <c r="AH5631">
        <v>0.590236561360447</v>
      </c>
      <c r="AI5631">
        <v>97.143907591680403</v>
      </c>
      <c r="AJ5631">
        <v>87.494787862539297</v>
      </c>
      <c r="AK5631">
        <v>0.59542353649189295</v>
      </c>
      <c r="AL5631">
        <v>90.201143782980907</v>
      </c>
      <c r="AM5631">
        <v>96.194807964081207</v>
      </c>
      <c r="AN5631">
        <v>0.99999997953288799</v>
      </c>
    </row>
    <row r="5632" spans="1:40" x14ac:dyDescent="0.25">
      <c r="A5632" t="str">
        <f>"20190305135939557"</f>
        <v>20190305135939557</v>
      </c>
      <c r="B5632" t="str">
        <f>"1551765579554616"</f>
        <v>1551765579554616</v>
      </c>
      <c r="C5632" t="s">
        <v>40</v>
      </c>
      <c r="D5632">
        <v>4.576695</v>
      </c>
      <c r="E5632">
        <v>0.57992709999999903</v>
      </c>
      <c r="F5632" t="s">
        <v>41</v>
      </c>
      <c r="G5632">
        <v>-268.61329999999998</v>
      </c>
      <c r="H5632">
        <v>1.0255270000000001</v>
      </c>
      <c r="I5632">
        <v>-61.107149999999997</v>
      </c>
      <c r="J5632">
        <v>-269.34249999999997</v>
      </c>
      <c r="K5632">
        <v>1.10789</v>
      </c>
      <c r="L5632">
        <v>-61.054259999999999</v>
      </c>
      <c r="M5632">
        <v>0.99883460000000002</v>
      </c>
      <c r="N5632">
        <v>-9.9819390000000004E-3</v>
      </c>
      <c r="O5632">
        <v>4.7221970000000002E-2</v>
      </c>
      <c r="P5632">
        <v>0.98779170000000005</v>
      </c>
      <c r="Q5632">
        <v>-1.3864599999999999E-2</v>
      </c>
      <c r="R5632">
        <v>0.155163299999999</v>
      </c>
      <c r="S5632">
        <v>3.0592039999999998</v>
      </c>
      <c r="T5632">
        <v>-0.29074029999999901</v>
      </c>
      <c r="U5632">
        <v>-0.16583249999999999</v>
      </c>
      <c r="V5632">
        <v>-0.1083547</v>
      </c>
      <c r="W5632">
        <v>-3.5894809999999998E-3</v>
      </c>
      <c r="X5632">
        <v>0.99410580000000004</v>
      </c>
      <c r="Y5632">
        <v>0.1005532</v>
      </c>
      <c r="Z5632">
        <v>-9.2720839999999999E-3</v>
      </c>
      <c r="AA5632">
        <v>0.99488849999999995</v>
      </c>
      <c r="AB5632">
        <v>30</v>
      </c>
      <c r="AC5632">
        <v>0.72919999999999097</v>
      </c>
      <c r="AD5632">
        <v>-8.2362999999999895E-2</v>
      </c>
      <c r="AE5632">
        <v>-5.28899999999978E-2</v>
      </c>
      <c r="AF5632">
        <v>8.6173348473424796E-2</v>
      </c>
      <c r="AG5632">
        <v>-8.2362999999999895E-2</v>
      </c>
      <c r="AH5632">
        <v>0.716792012282923</v>
      </c>
      <c r="AI5632">
        <v>96.508367613224905</v>
      </c>
      <c r="AJ5632">
        <v>83.1447524937536</v>
      </c>
      <c r="AK5632">
        <v>0.72663629047049605</v>
      </c>
      <c r="AL5632">
        <v>90.205662556978396</v>
      </c>
      <c r="AM5632">
        <v>96.220520246980399</v>
      </c>
      <c r="AN5632">
        <v>0.99999998348978902</v>
      </c>
    </row>
    <row r="5633" spans="1:40" x14ac:dyDescent="0.25">
      <c r="A5633" t="str">
        <f>"20190305135939570"</f>
        <v>20190305135939570</v>
      </c>
      <c r="B5633" t="str">
        <f>"1551765579564375"</f>
        <v>1551765579564375</v>
      </c>
      <c r="C5633" t="s">
        <v>40</v>
      </c>
      <c r="D5633">
        <v>4.7118739999999999</v>
      </c>
      <c r="E5633">
        <v>0.58423659999999999</v>
      </c>
      <c r="F5633" t="s">
        <v>41</v>
      </c>
      <c r="G5633">
        <v>-268.60820000000001</v>
      </c>
      <c r="H5633">
        <v>1.0365310000000001</v>
      </c>
      <c r="I5633">
        <v>-61.099899999999998</v>
      </c>
      <c r="J5633">
        <v>-269.1857</v>
      </c>
      <c r="K5633">
        <v>1.1078650000000001</v>
      </c>
      <c r="L5633">
        <v>-61.047669999999997</v>
      </c>
      <c r="M5633">
        <v>0.9988764</v>
      </c>
      <c r="N5633">
        <v>-9.7790040000000009E-3</v>
      </c>
      <c r="O5633">
        <v>4.6372589999999998E-2</v>
      </c>
      <c r="P5633">
        <v>0.98786569999999996</v>
      </c>
      <c r="Q5633">
        <v>-1.373016E-2</v>
      </c>
      <c r="R5633">
        <v>0.15470390000000001</v>
      </c>
      <c r="S5633">
        <v>3.0628359999999999</v>
      </c>
      <c r="T5633">
        <v>-0.29771920000000002</v>
      </c>
      <c r="U5633">
        <v>-0.19049070000000001</v>
      </c>
      <c r="V5633">
        <v>-0.1087381</v>
      </c>
      <c r="W5633">
        <v>-3.6562970000000002E-3</v>
      </c>
      <c r="X5633">
        <v>0.99406369999999999</v>
      </c>
      <c r="Y5633">
        <v>0.107560199999999</v>
      </c>
      <c r="Z5633">
        <v>-9.7791660000000006E-3</v>
      </c>
      <c r="AA5633">
        <v>0.99415050000000005</v>
      </c>
      <c r="AB5633">
        <v>30</v>
      </c>
      <c r="AC5633">
        <v>0.57749999999998602</v>
      </c>
      <c r="AD5633">
        <v>-7.1333999999999995E-2</v>
      </c>
      <c r="AE5633">
        <v>-5.2230000000001497E-2</v>
      </c>
      <c r="AF5633">
        <v>7.7778168059666003E-2</v>
      </c>
      <c r="AG5633">
        <v>-7.1333999999999995E-2</v>
      </c>
      <c r="AH5633">
        <v>0.56589235169247398</v>
      </c>
      <c r="AI5633">
        <v>97.118344946717599</v>
      </c>
      <c r="AJ5633">
        <v>82.174106359777795</v>
      </c>
      <c r="AK5633">
        <v>0.57564931745530301</v>
      </c>
      <c r="AL5633">
        <v>90.209490855338501</v>
      </c>
      <c r="AM5633">
        <v>96.242619628996906</v>
      </c>
      <c r="AN5633">
        <v>0.99999999127852601</v>
      </c>
    </row>
    <row r="5634" spans="1:40" x14ac:dyDescent="0.25">
      <c r="A5634" t="str">
        <f>"20190305135939580"</f>
        <v>20190305135939580</v>
      </c>
      <c r="B5634" t="str">
        <f>"1551765579575111"</f>
        <v>1551765579575111</v>
      </c>
      <c r="C5634" t="s">
        <v>40</v>
      </c>
      <c r="D5634">
        <v>4.5815590000000004</v>
      </c>
      <c r="E5634">
        <v>0.58522240000000003</v>
      </c>
      <c r="F5634" t="s">
        <v>41</v>
      </c>
      <c r="G5634">
        <v>-268.34289999999999</v>
      </c>
      <c r="H5634">
        <v>1.0259769999999999</v>
      </c>
      <c r="I5634">
        <v>-61.109900000000003</v>
      </c>
      <c r="J5634">
        <v>-269.03109999999998</v>
      </c>
      <c r="K5634">
        <v>1.1078399999999999</v>
      </c>
      <c r="L5634">
        <v>-61.041260000000001</v>
      </c>
      <c r="M5634">
        <v>0.99891669999999999</v>
      </c>
      <c r="N5634">
        <v>-9.5827540000000006E-3</v>
      </c>
      <c r="O5634">
        <v>4.5535100000000002E-2</v>
      </c>
      <c r="P5634">
        <v>0.98795929999999998</v>
      </c>
      <c r="Q5634">
        <v>-1.3646729999999999E-2</v>
      </c>
      <c r="R5634">
        <v>0.1541101</v>
      </c>
      <c r="S5634">
        <v>3.068085</v>
      </c>
      <c r="T5634">
        <v>-0.29803099999999999</v>
      </c>
      <c r="U5634">
        <v>-0.22604369999999999</v>
      </c>
      <c r="V5634">
        <v>-0.1089741</v>
      </c>
      <c r="W5634">
        <v>-3.7673709999999998E-3</v>
      </c>
      <c r="X5634">
        <v>0.99403739999999996</v>
      </c>
      <c r="Y5634">
        <v>0.11803329999999999</v>
      </c>
      <c r="Z5634">
        <v>-1.0252290000000001E-2</v>
      </c>
      <c r="AA5634">
        <v>0.99295670000000003</v>
      </c>
      <c r="AB5634">
        <v>30</v>
      </c>
      <c r="AC5634">
        <v>0.68819999999999404</v>
      </c>
      <c r="AD5634">
        <v>-8.1862999999999797E-2</v>
      </c>
      <c r="AE5634">
        <v>-6.8640000000002005E-2</v>
      </c>
      <c r="AF5634">
        <v>9.8527099959452302E-2</v>
      </c>
      <c r="AG5634">
        <v>-8.1862999999999797E-2</v>
      </c>
      <c r="AH5634">
        <v>0.67490480772459804</v>
      </c>
      <c r="AI5634">
        <v>96.844094616235097</v>
      </c>
      <c r="AJ5634">
        <v>81.694253085234706</v>
      </c>
      <c r="AK5634">
        <v>0.68695388468600804</v>
      </c>
      <c r="AL5634">
        <v>90.215854979546194</v>
      </c>
      <c r="AM5634">
        <v>96.256225207058094</v>
      </c>
      <c r="AN5634">
        <v>0.99999995007690901</v>
      </c>
    </row>
    <row r="5635" spans="1:40" x14ac:dyDescent="0.25">
      <c r="A5635" t="str">
        <f>"20190305135939591"</f>
        <v>20190305135939591</v>
      </c>
      <c r="B5635" t="str">
        <f>"1551765579584871"</f>
        <v>1551765579584871</v>
      </c>
      <c r="C5635" t="s">
        <v>40</v>
      </c>
      <c r="D5635">
        <v>4.5507929999999996</v>
      </c>
      <c r="E5635">
        <v>0.5860592</v>
      </c>
      <c r="F5635" t="s">
        <v>41</v>
      </c>
      <c r="G5635">
        <v>-268.0772</v>
      </c>
      <c r="H5635">
        <v>1.015196</v>
      </c>
      <c r="I5635">
        <v>-61.11459</v>
      </c>
      <c r="J5635">
        <v>-268.87700000000001</v>
      </c>
      <c r="K5635">
        <v>1.1078159999999999</v>
      </c>
      <c r="L5635">
        <v>-61.035060000000001</v>
      </c>
      <c r="M5635">
        <v>0.99895630000000002</v>
      </c>
      <c r="N5635">
        <v>-9.3983590000000002E-3</v>
      </c>
      <c r="O5635">
        <v>4.469828E-2</v>
      </c>
      <c r="P5635">
        <v>0.98803600000000003</v>
      </c>
      <c r="Q5635">
        <v>-1.385933E-2</v>
      </c>
      <c r="R5635">
        <v>0.15359929999999999</v>
      </c>
      <c r="S5635">
        <v>3.0692439999999999</v>
      </c>
      <c r="T5635">
        <v>-0.29803279999999999</v>
      </c>
      <c r="U5635">
        <v>-0.2356567</v>
      </c>
      <c r="V5635">
        <v>-0.1092943</v>
      </c>
      <c r="W5635">
        <v>-4.1613880000000002E-3</v>
      </c>
      <c r="X5635">
        <v>0.99400069999999996</v>
      </c>
      <c r="Y5635">
        <v>0.120259</v>
      </c>
      <c r="Z5635">
        <v>-1.029004E-2</v>
      </c>
      <c r="AA5635">
        <v>0.9926893</v>
      </c>
      <c r="AB5635">
        <v>30</v>
      </c>
      <c r="AC5635">
        <v>0.79980000000000395</v>
      </c>
      <c r="AD5635">
        <v>-9.2619999999999897E-2</v>
      </c>
      <c r="AE5635">
        <v>-7.9530000000005402E-2</v>
      </c>
      <c r="AF5635">
        <v>0.113692024329894</v>
      </c>
      <c r="AG5635">
        <v>-9.2619999999999897E-2</v>
      </c>
      <c r="AH5635">
        <v>0.785021050990376</v>
      </c>
      <c r="AI5635">
        <v>96.660033307797505</v>
      </c>
      <c r="AJ5635">
        <v>81.759336753241598</v>
      </c>
      <c r="AK5635">
        <v>0.79860027003142398</v>
      </c>
      <c r="AL5635">
        <v>90.238430663107707</v>
      </c>
      <c r="AM5635">
        <v>96.2746913636107</v>
      </c>
      <c r="AN5635">
        <v>0.99999997638153204</v>
      </c>
    </row>
    <row r="5636" spans="1:40" x14ac:dyDescent="0.25">
      <c r="A5636" t="str">
        <f>"20190305135939602"</f>
        <v>20190305135939602</v>
      </c>
      <c r="B5636" t="str">
        <f>"1551765579594631"</f>
        <v>1551765579594631</v>
      </c>
      <c r="C5636" t="s">
        <v>40</v>
      </c>
      <c r="D5636">
        <v>4.5621280000000004</v>
      </c>
      <c r="E5636">
        <v>0.58647099999999996</v>
      </c>
      <c r="F5636" t="s">
        <v>41</v>
      </c>
      <c r="G5636">
        <v>-268.07100000000003</v>
      </c>
      <c r="H5636">
        <v>1.0294540000000001</v>
      </c>
      <c r="I5636">
        <v>-61.099170000000001</v>
      </c>
      <c r="J5636">
        <v>-268.73520000000002</v>
      </c>
      <c r="K5636">
        <v>1.1077939999999999</v>
      </c>
      <c r="L5636">
        <v>-61.029420000000002</v>
      </c>
      <c r="M5636">
        <v>0.99899210000000005</v>
      </c>
      <c r="N5636">
        <v>-9.2349700000000003E-3</v>
      </c>
      <c r="O5636">
        <v>4.3926149999999997E-2</v>
      </c>
      <c r="P5636">
        <v>0.98821800000000004</v>
      </c>
      <c r="Q5636">
        <v>-1.366039E-2</v>
      </c>
      <c r="R5636">
        <v>0.1524431</v>
      </c>
      <c r="S5636">
        <v>3.0700379999999998</v>
      </c>
      <c r="T5636">
        <v>-0.29849160000000002</v>
      </c>
      <c r="U5636">
        <v>-0.243866</v>
      </c>
      <c r="V5636">
        <v>-0.1089</v>
      </c>
      <c r="W5636">
        <v>-4.1244009999999998E-3</v>
      </c>
      <c r="X5636">
        <v>0.99404409999999999</v>
      </c>
      <c r="Y5636">
        <v>0.12210219999999999</v>
      </c>
      <c r="Z5636">
        <v>-1.0329629999999999E-2</v>
      </c>
      <c r="AA5636">
        <v>0.99246380000000001</v>
      </c>
      <c r="AB5636">
        <v>30</v>
      </c>
      <c r="AC5636">
        <v>0.66420000000004997</v>
      </c>
      <c r="AD5636">
        <v>-7.8339999999999799E-2</v>
      </c>
      <c r="AE5636">
        <v>-6.9749999999998993E-2</v>
      </c>
      <c r="AF5636">
        <v>9.75178550289095E-2</v>
      </c>
      <c r="AG5636">
        <v>-7.8339999999999799E-2</v>
      </c>
      <c r="AH5636">
        <v>0.65153006443559702</v>
      </c>
      <c r="AI5636">
        <v>96.781505077455705</v>
      </c>
      <c r="AJ5636">
        <v>81.487438662398503</v>
      </c>
      <c r="AK5636">
        <v>0.66342920685849505</v>
      </c>
      <c r="AL5636">
        <v>90.236311452884706</v>
      </c>
      <c r="AM5636">
        <v>96.251963004606196</v>
      </c>
      <c r="AN5636">
        <v>0.999999946714208</v>
      </c>
    </row>
    <row r="5637" spans="1:40" x14ac:dyDescent="0.25">
      <c r="A5637" t="str">
        <f>"20190305135939613"</f>
        <v>20190305135939613</v>
      </c>
      <c r="B5637" t="str">
        <f>"1551765579604391"</f>
        <v>1551765579604391</v>
      </c>
      <c r="C5637" t="s">
        <v>40</v>
      </c>
      <c r="D5637">
        <v>4.5640489999999998</v>
      </c>
      <c r="E5637">
        <v>0.58676830000000002</v>
      </c>
      <c r="F5637" t="s">
        <v>41</v>
      </c>
      <c r="G5637">
        <v>-267.80529999999999</v>
      </c>
      <c r="H5637">
        <v>1.016723</v>
      </c>
      <c r="I5637">
        <v>-61.105690000000003</v>
      </c>
      <c r="J5637">
        <v>-268.58730000000003</v>
      </c>
      <c r="K5637">
        <v>1.1077699999999999</v>
      </c>
      <c r="L5637">
        <v>-61.023679999999999</v>
      </c>
      <c r="M5637">
        <v>0.9990289</v>
      </c>
      <c r="N5637">
        <v>-9.0732989999999999E-3</v>
      </c>
      <c r="O5637">
        <v>4.3118209999999997E-2</v>
      </c>
      <c r="P5637">
        <v>0.98838680000000001</v>
      </c>
      <c r="Q5637">
        <v>-1.3050259999999999E-2</v>
      </c>
      <c r="R5637">
        <v>0.1513989</v>
      </c>
      <c r="S5637">
        <v>3.0703740000000002</v>
      </c>
      <c r="T5637">
        <v>-0.30055340000000003</v>
      </c>
      <c r="U5637">
        <v>-0.25097659999999999</v>
      </c>
      <c r="V5637">
        <v>-0.10865180000000001</v>
      </c>
      <c r="W5637">
        <v>-3.673801E-3</v>
      </c>
      <c r="X5637">
        <v>0.99407310000000004</v>
      </c>
      <c r="Y5637">
        <v>0.1235598</v>
      </c>
      <c r="Z5637">
        <v>-1.040103E-2</v>
      </c>
      <c r="AA5637">
        <v>0.99228260000000001</v>
      </c>
      <c r="AB5637">
        <v>30</v>
      </c>
      <c r="AC5637">
        <v>0.782000000000039</v>
      </c>
      <c r="AD5637">
        <v>-9.10470000000001E-2</v>
      </c>
      <c r="AE5637">
        <v>-8.2009999999996794E-2</v>
      </c>
      <c r="AF5637">
        <v>0.114123368520567</v>
      </c>
      <c r="AG5637">
        <v>-9.10470000000001E-2</v>
      </c>
      <c r="AH5637">
        <v>0.76744639121887703</v>
      </c>
      <c r="AI5637">
        <v>96.692819053836999</v>
      </c>
      <c r="AJ5637">
        <v>81.541794980875096</v>
      </c>
      <c r="AK5637">
        <v>0.78120910315123604</v>
      </c>
      <c r="AL5637">
        <v>90.210493761509298</v>
      </c>
      <c r="AM5637">
        <v>96.237645725039002</v>
      </c>
      <c r="AN5637">
        <v>1.00000001930031</v>
      </c>
    </row>
    <row r="5638" spans="1:40" x14ac:dyDescent="0.25">
      <c r="A5638" t="str">
        <f>"20190305135939624"</f>
        <v>20190305135939624</v>
      </c>
      <c r="B5638" t="str">
        <f>"1551765579615128"</f>
        <v>1551765579615128</v>
      </c>
      <c r="C5638" t="s">
        <v>40</v>
      </c>
      <c r="D5638">
        <v>4.5887339999999996</v>
      </c>
      <c r="E5638">
        <v>0.58671530000000005</v>
      </c>
      <c r="F5638" t="s">
        <v>41</v>
      </c>
      <c r="G5638">
        <v>-267.79919999999998</v>
      </c>
      <c r="H5638">
        <v>1.030948</v>
      </c>
      <c r="I5638">
        <v>-61.089759999999998</v>
      </c>
      <c r="J5638">
        <v>-268.43720000000002</v>
      </c>
      <c r="K5638">
        <v>1.1077520000000001</v>
      </c>
      <c r="L5638">
        <v>-61.017969999999998</v>
      </c>
      <c r="M5638">
        <v>0.9990656</v>
      </c>
      <c r="N5638">
        <v>-8.9179740000000004E-3</v>
      </c>
      <c r="O5638">
        <v>4.2294419999999999E-2</v>
      </c>
      <c r="P5638">
        <v>0.98858469999999998</v>
      </c>
      <c r="Q5638">
        <v>-1.2799110000000001E-2</v>
      </c>
      <c r="R5638">
        <v>0.15012249999999999</v>
      </c>
      <c r="S5638">
        <v>3.0705870000000002</v>
      </c>
      <c r="T5638">
        <v>-0.29920079999999999</v>
      </c>
      <c r="U5638">
        <v>-0.25640869999999999</v>
      </c>
      <c r="V5638">
        <v>-0.1081873</v>
      </c>
      <c r="W5638">
        <v>-3.5763610000000001E-3</v>
      </c>
      <c r="X5638">
        <v>0.99412409999999996</v>
      </c>
      <c r="Y5638">
        <v>0.1244857</v>
      </c>
      <c r="Z5638">
        <v>-1.0327329999999999E-2</v>
      </c>
      <c r="AA5638">
        <v>0.99216769999999999</v>
      </c>
      <c r="AB5638">
        <v>30</v>
      </c>
      <c r="AC5638">
        <v>0.63800000000003299</v>
      </c>
      <c r="AD5638">
        <v>-7.6804000000000094E-2</v>
      </c>
      <c r="AE5638">
        <v>-7.1790000000000007E-2</v>
      </c>
      <c r="AF5638">
        <v>9.7317971994611202E-2</v>
      </c>
      <c r="AG5638">
        <v>-7.6804000000000094E-2</v>
      </c>
      <c r="AH5638">
        <v>0.62544209257594996</v>
      </c>
      <c r="AI5638">
        <v>96.918416820418699</v>
      </c>
      <c r="AJ5638">
        <v>81.155772269674202</v>
      </c>
      <c r="AK5638">
        <v>0.63761073803295298</v>
      </c>
      <c r="AL5638">
        <v>90.204910827265806</v>
      </c>
      <c r="AM5638">
        <v>96.210871731297999</v>
      </c>
      <c r="AN5638">
        <v>1.0000000042200501</v>
      </c>
    </row>
    <row r="5639" spans="1:40" x14ac:dyDescent="0.25">
      <c r="A5639" t="str">
        <f>"20190305135939634"</f>
        <v>20190305135939634</v>
      </c>
      <c r="B5639" t="str">
        <f>"1551765579624888"</f>
        <v>1551765579624888</v>
      </c>
      <c r="C5639" t="s">
        <v>40</v>
      </c>
      <c r="D5639">
        <v>4.5641369999999997</v>
      </c>
      <c r="E5639">
        <v>0.58669729999999998</v>
      </c>
      <c r="F5639" t="s">
        <v>41</v>
      </c>
      <c r="G5639">
        <v>-267.53190000000001</v>
      </c>
      <c r="H5639">
        <v>1.0199530000000001</v>
      </c>
      <c r="I5639">
        <v>-61.094659999999998</v>
      </c>
      <c r="J5639">
        <v>-268.28890000000001</v>
      </c>
      <c r="K5639">
        <v>1.1077379999999999</v>
      </c>
      <c r="L5639">
        <v>-61.012450000000001</v>
      </c>
      <c r="M5639">
        <v>0.99910100000000002</v>
      </c>
      <c r="N5639">
        <v>-8.7705990000000005E-3</v>
      </c>
      <c r="O5639">
        <v>4.1477600000000003E-2</v>
      </c>
      <c r="P5639">
        <v>0.98880049999999997</v>
      </c>
      <c r="Q5639">
        <v>-1.246335E-2</v>
      </c>
      <c r="R5639">
        <v>0.14872279999999999</v>
      </c>
      <c r="S5639">
        <v>3.0702820000000002</v>
      </c>
      <c r="T5639">
        <v>-0.29766500000000001</v>
      </c>
      <c r="U5639">
        <v>-0.25964359999999997</v>
      </c>
      <c r="V5639">
        <v>-0.10759199999999999</v>
      </c>
      <c r="W5639">
        <v>-3.3867580000000001E-3</v>
      </c>
      <c r="X5639">
        <v>0.9941894</v>
      </c>
      <c r="Y5639">
        <v>0.12473099999999999</v>
      </c>
      <c r="Z5639">
        <v>-1.0214259999999999E-2</v>
      </c>
      <c r="AA5639">
        <v>0.99213799999999996</v>
      </c>
      <c r="AB5639">
        <v>30</v>
      </c>
      <c r="AC5639">
        <v>0.757000000000005</v>
      </c>
      <c r="AD5639">
        <v>-8.7784999999999697E-2</v>
      </c>
      <c r="AE5639">
        <v>-8.22099999999963E-2</v>
      </c>
      <c r="AF5639">
        <v>0.112049746151031</v>
      </c>
      <c r="AG5639">
        <v>-8.7784999999999697E-2</v>
      </c>
      <c r="AH5639">
        <v>0.74306247303818096</v>
      </c>
      <c r="AI5639">
        <v>96.663021988046097</v>
      </c>
      <c r="AJ5639">
        <v>81.424718876728207</v>
      </c>
      <c r="AK5639">
        <v>0.75657332141381195</v>
      </c>
      <c r="AL5639">
        <v>90.194047303638001</v>
      </c>
      <c r="AM5639">
        <v>96.176558779570797</v>
      </c>
      <c r="AN5639">
        <v>1.0000000358330501</v>
      </c>
    </row>
    <row r="5640" spans="1:40" x14ac:dyDescent="0.25">
      <c r="A5640" t="str">
        <f>"20190305135939647"</f>
        <v>20190305135939647</v>
      </c>
      <c r="B5640" t="str">
        <f>"1551765579644407"</f>
        <v>1551765579644407</v>
      </c>
      <c r="C5640" t="s">
        <v>40</v>
      </c>
      <c r="D5640">
        <v>4.5900439999999998</v>
      </c>
      <c r="E5640">
        <v>0.58676419999999996</v>
      </c>
      <c r="F5640" t="s">
        <v>41</v>
      </c>
      <c r="G5640">
        <v>-267.52530000000002</v>
      </c>
      <c r="H5640">
        <v>1.03521</v>
      </c>
      <c r="I5640">
        <v>-61.078090000000003</v>
      </c>
      <c r="J5640">
        <v>-268.13409999999999</v>
      </c>
      <c r="K5640">
        <v>1.10772</v>
      </c>
      <c r="L5640">
        <v>-61.006839999999997</v>
      </c>
      <c r="M5640">
        <v>0.99913739999999995</v>
      </c>
      <c r="N5640">
        <v>-8.6283619999999901E-3</v>
      </c>
      <c r="O5640">
        <v>4.0620450000000002E-2</v>
      </c>
      <c r="P5640">
        <v>0.9890196</v>
      </c>
      <c r="Q5640">
        <v>-1.167149E-2</v>
      </c>
      <c r="R5640">
        <v>0.1473225</v>
      </c>
      <c r="S5640">
        <v>3.0699160000000001</v>
      </c>
      <c r="T5640">
        <v>-0.29151579999999999</v>
      </c>
      <c r="U5640">
        <v>-0.26336670000000001</v>
      </c>
      <c r="V5640">
        <v>-0.10703509999999999</v>
      </c>
      <c r="W5640">
        <v>-2.735927E-3</v>
      </c>
      <c r="X5640">
        <v>0.99425149999999995</v>
      </c>
      <c r="Y5640">
        <v>0.1251178</v>
      </c>
      <c r="Z5640">
        <v>-9.9519159999999999E-3</v>
      </c>
      <c r="AA5640">
        <v>0.99209199999999997</v>
      </c>
      <c r="AB5640">
        <v>30</v>
      </c>
      <c r="AC5640">
        <v>0.60879999999997303</v>
      </c>
      <c r="AD5640">
        <v>-7.2510000000000005E-2</v>
      </c>
      <c r="AE5640">
        <v>-7.1249999999999106E-2</v>
      </c>
      <c r="AF5640">
        <v>9.4598045188336199E-2</v>
      </c>
      <c r="AG5640">
        <v>-7.2510000000000005E-2</v>
      </c>
      <c r="AH5640">
        <v>0.59704814845640997</v>
      </c>
      <c r="AI5640">
        <v>96.840016356012995</v>
      </c>
      <c r="AJ5640">
        <v>80.996732026644395</v>
      </c>
      <c r="AK5640">
        <v>0.60882918936979502</v>
      </c>
      <c r="AL5640">
        <v>90.156757262334196</v>
      </c>
      <c r="AM5640">
        <v>96.144453040930799</v>
      </c>
      <c r="AN5640">
        <v>1.0000000215903999</v>
      </c>
    </row>
    <row r="5641" spans="1:40" x14ac:dyDescent="0.25">
      <c r="A5641" t="str">
        <f>"20190305135939658"</f>
        <v>20190305135939658</v>
      </c>
      <c r="B5641" t="str">
        <f>"1551765579655144"</f>
        <v>1551765579655144</v>
      </c>
      <c r="C5641" t="s">
        <v>40</v>
      </c>
      <c r="D5641">
        <v>4.5861499999999999</v>
      </c>
      <c r="E5641">
        <v>0.58667860000000005</v>
      </c>
      <c r="F5641" t="s">
        <v>41</v>
      </c>
      <c r="G5641">
        <v>-267.25659999999999</v>
      </c>
      <c r="H5641">
        <v>1.0255209999999999</v>
      </c>
      <c r="I5641">
        <v>-61.083469999999998</v>
      </c>
      <c r="J5641">
        <v>-267.98020000000002</v>
      </c>
      <c r="K5641">
        <v>1.107707</v>
      </c>
      <c r="L5641">
        <v>-61.001309999999997</v>
      </c>
      <c r="M5641">
        <v>0.99917299999999998</v>
      </c>
      <c r="N5641">
        <v>-8.4904969999999996E-3</v>
      </c>
      <c r="O5641">
        <v>3.9766849999999999E-2</v>
      </c>
      <c r="P5641">
        <v>0.98920269999999999</v>
      </c>
      <c r="Q5641">
        <v>-1.143781E-2</v>
      </c>
      <c r="R5641">
        <v>0.14610699999999999</v>
      </c>
      <c r="S5641">
        <v>3.069855</v>
      </c>
      <c r="T5641">
        <v>-0.28759040000000002</v>
      </c>
      <c r="U5641">
        <v>-0.26806639999999998</v>
      </c>
      <c r="V5641">
        <v>-0.10666200000000001</v>
      </c>
      <c r="W5641">
        <v>-2.6385879999999999E-3</v>
      </c>
      <c r="X5641">
        <v>0.99429179999999995</v>
      </c>
      <c r="Y5641">
        <v>0.12579969999999999</v>
      </c>
      <c r="Z5641">
        <v>-9.7798620000000003E-3</v>
      </c>
      <c r="AA5641">
        <v>0.99200739999999998</v>
      </c>
      <c r="AB5641">
        <v>30</v>
      </c>
      <c r="AC5641">
        <v>0.72360000000003299</v>
      </c>
      <c r="AD5641">
        <v>-8.2185999999999995E-2</v>
      </c>
      <c r="AE5641">
        <v>-8.2160000000001704E-2</v>
      </c>
      <c r="AF5641">
        <v>0.109477026092341</v>
      </c>
      <c r="AG5641">
        <v>-8.2185999999999995E-2</v>
      </c>
      <c r="AH5641">
        <v>0.71070858594711595</v>
      </c>
      <c r="AI5641">
        <v>96.520129543202501</v>
      </c>
      <c r="AJ5641">
        <v>81.243029589337496</v>
      </c>
      <c r="AK5641">
        <v>0.723772375804004</v>
      </c>
      <c r="AL5641">
        <v>90.151180137144394</v>
      </c>
      <c r="AM5641">
        <v>96.122951569283799</v>
      </c>
      <c r="AN5641">
        <v>0.99999996396893598</v>
      </c>
    </row>
    <row r="5642" spans="1:40" x14ac:dyDescent="0.25">
      <c r="A5642" t="str">
        <f>"20190305135939669"</f>
        <v>20190305135939669</v>
      </c>
      <c r="B5642" t="str">
        <f>"1551765579664907"</f>
        <v>1551765579664907</v>
      </c>
      <c r="C5642" t="s">
        <v>40</v>
      </c>
      <c r="D5642">
        <v>4.6063839999999896</v>
      </c>
      <c r="E5642">
        <v>0.58662809999999999</v>
      </c>
      <c r="F5642" t="s">
        <v>41</v>
      </c>
      <c r="G5642">
        <v>-267.25069999999999</v>
      </c>
      <c r="H5642">
        <v>1.039407</v>
      </c>
      <c r="I5642">
        <v>-61.065800000000003</v>
      </c>
      <c r="J5642">
        <v>-267.82420000000002</v>
      </c>
      <c r="K5642">
        <v>1.107693</v>
      </c>
      <c r="L5642">
        <v>-60.9959699999999</v>
      </c>
      <c r="M5642">
        <v>0.99920819999999999</v>
      </c>
      <c r="N5642">
        <v>-8.3654490000000005E-3</v>
      </c>
      <c r="O5642">
        <v>3.8896890000000003E-2</v>
      </c>
      <c r="P5642">
        <v>0.98940810000000001</v>
      </c>
      <c r="Q5642">
        <v>-1.096134E-2</v>
      </c>
      <c r="R5642">
        <v>0.14474629999999999</v>
      </c>
      <c r="S5642">
        <v>3.0694889999999999</v>
      </c>
      <c r="T5642">
        <v>-0.28737629999999997</v>
      </c>
      <c r="U5642">
        <v>-0.27130130000000002</v>
      </c>
      <c r="V5642">
        <v>-0.10615910000000001</v>
      </c>
      <c r="W5642">
        <v>-2.286218E-3</v>
      </c>
      <c r="X5642">
        <v>0.99434650000000002</v>
      </c>
      <c r="Y5642">
        <v>0.1259873</v>
      </c>
      <c r="Z5642">
        <v>-9.7062099999999998E-3</v>
      </c>
      <c r="AA5642">
        <v>0.99198439999999999</v>
      </c>
      <c r="AB5642">
        <v>30</v>
      </c>
      <c r="AC5642">
        <v>0.57350000000002399</v>
      </c>
      <c r="AD5642">
        <v>-6.8285999999999999E-2</v>
      </c>
      <c r="AE5642">
        <v>-6.9830000000010203E-2</v>
      </c>
      <c r="AF5642">
        <v>9.0816565716832304E-2</v>
      </c>
      <c r="AG5642">
        <v>-6.8285999999999999E-2</v>
      </c>
      <c r="AH5642">
        <v>0.56249153435946497</v>
      </c>
      <c r="AI5642">
        <v>96.834140256436697</v>
      </c>
      <c r="AJ5642">
        <v>80.828507232739</v>
      </c>
      <c r="AK5642">
        <v>0.57385307582225697</v>
      </c>
      <c r="AL5642">
        <v>90.1309907602664</v>
      </c>
      <c r="AM5642">
        <v>96.093967531220002</v>
      </c>
      <c r="AN5642">
        <v>0.99999997168390098</v>
      </c>
    </row>
    <row r="5643" spans="1:40" x14ac:dyDescent="0.25">
      <c r="A5643" t="str">
        <f>"20190305135939681"</f>
        <v>20190305135939681</v>
      </c>
      <c r="B5643" t="str">
        <f>"1551765579674667"</f>
        <v>1551765579674667</v>
      </c>
      <c r="C5643" t="s">
        <v>40</v>
      </c>
      <c r="D5643">
        <v>4.61761</v>
      </c>
      <c r="E5643">
        <v>0.58669150000000003</v>
      </c>
      <c r="F5643" t="s">
        <v>41</v>
      </c>
      <c r="G5643">
        <v>-266.98129999999998</v>
      </c>
      <c r="H5643">
        <v>1.029112</v>
      </c>
      <c r="I5643">
        <v>-61.071629999999999</v>
      </c>
      <c r="J5643">
        <v>-267.66719999999998</v>
      </c>
      <c r="K5643">
        <v>1.107675</v>
      </c>
      <c r="L5643">
        <v>-60.990630000000003</v>
      </c>
      <c r="M5643">
        <v>0.99924299999999999</v>
      </c>
      <c r="N5643">
        <v>-8.242915E-3</v>
      </c>
      <c r="O5643">
        <v>3.8020060000000001E-2</v>
      </c>
      <c r="P5643">
        <v>0.98955280000000001</v>
      </c>
      <c r="Q5643">
        <v>-1.098858E-2</v>
      </c>
      <c r="R5643">
        <v>0.1437512</v>
      </c>
      <c r="S5643">
        <v>3.0691830000000002</v>
      </c>
      <c r="T5643">
        <v>-0.28604200000000002</v>
      </c>
      <c r="U5643">
        <v>-0.27529910000000002</v>
      </c>
      <c r="V5643">
        <v>-0.106032</v>
      </c>
      <c r="W5643">
        <v>-2.4341940000000002E-3</v>
      </c>
      <c r="X5643">
        <v>0.99435969999999996</v>
      </c>
      <c r="Y5643">
        <v>0.12641549999999999</v>
      </c>
      <c r="Z5643">
        <v>-9.6071639999999996E-3</v>
      </c>
      <c r="AA5643">
        <v>0.9919308</v>
      </c>
      <c r="AB5643">
        <v>30</v>
      </c>
      <c r="AC5643">
        <v>0.68590000000000295</v>
      </c>
      <c r="AD5643">
        <v>-7.8562999999999897E-2</v>
      </c>
      <c r="AE5643">
        <v>-8.1000000000003E-2</v>
      </c>
      <c r="AF5643">
        <v>0.10565323167471199</v>
      </c>
      <c r="AG5643">
        <v>-7.8562999999999897E-2</v>
      </c>
      <c r="AH5643">
        <v>0.67360851452036496</v>
      </c>
      <c r="AI5643">
        <v>96.572715548260504</v>
      </c>
      <c r="AJ5643">
        <v>81.085973681042702</v>
      </c>
      <c r="AK5643">
        <v>0.68635499646075504</v>
      </c>
      <c r="AL5643">
        <v>90.139469185797097</v>
      </c>
      <c r="AM5643">
        <v>96.086646078175207</v>
      </c>
      <c r="AN5643">
        <v>0.99999996165425897</v>
      </c>
    </row>
    <row r="5644" spans="1:40" x14ac:dyDescent="0.25">
      <c r="A5644" t="str">
        <f>"20190305135939692"</f>
        <v>20190305135939692</v>
      </c>
      <c r="B5644" t="str">
        <f>"1551765579684423"</f>
        <v>1551765579684423</v>
      </c>
      <c r="C5644" t="s">
        <v>40</v>
      </c>
      <c r="D5644">
        <v>4.6042529999999999</v>
      </c>
      <c r="E5644">
        <v>0.58655480000000004</v>
      </c>
      <c r="F5644" t="s">
        <v>41</v>
      </c>
      <c r="G5644">
        <v>-266.71109999999999</v>
      </c>
      <c r="H5644">
        <v>1.0189589999999999</v>
      </c>
      <c r="I5644">
        <v>-61.077710000000003</v>
      </c>
      <c r="J5644">
        <v>-267.51299999999998</v>
      </c>
      <c r="K5644">
        <v>1.1076600000000001</v>
      </c>
      <c r="L5644">
        <v>-60.985599999999998</v>
      </c>
      <c r="M5644">
        <v>0.99927630000000001</v>
      </c>
      <c r="N5644">
        <v>-8.1327259999999998E-3</v>
      </c>
      <c r="O5644">
        <v>3.7157339999999997E-2</v>
      </c>
      <c r="P5644">
        <v>0.98968970000000001</v>
      </c>
      <c r="Q5644">
        <v>-1.085096E-2</v>
      </c>
      <c r="R5644">
        <v>0.14281669999999999</v>
      </c>
      <c r="S5644">
        <v>3.0690309999999998</v>
      </c>
      <c r="T5644">
        <v>-0.28463820000000001</v>
      </c>
      <c r="U5644">
        <v>-0.27883909999999901</v>
      </c>
      <c r="V5644">
        <v>-0.1059514</v>
      </c>
      <c r="W5644">
        <v>-2.4049929999999998E-3</v>
      </c>
      <c r="X5644">
        <v>0.99436840000000004</v>
      </c>
      <c r="Y5644">
        <v>0.1267074</v>
      </c>
      <c r="Z5644">
        <v>-9.5004029999999993E-3</v>
      </c>
      <c r="AA5644">
        <v>0.99189470000000002</v>
      </c>
      <c r="AB5644">
        <v>31</v>
      </c>
      <c r="AC5644">
        <v>0.80189999999998895</v>
      </c>
      <c r="AD5644">
        <v>-8.8701000000000099E-2</v>
      </c>
      <c r="AE5644">
        <v>-9.2109999999998096E-2</v>
      </c>
      <c r="AF5644">
        <v>0.120390011634878</v>
      </c>
      <c r="AG5644">
        <v>-8.8701000000000099E-2</v>
      </c>
      <c r="AH5644">
        <v>0.78840274536678501</v>
      </c>
      <c r="AI5644">
        <v>96.346242373313203</v>
      </c>
      <c r="AJ5644">
        <v>81.317935367158299</v>
      </c>
      <c r="AK5644">
        <v>0.802459040203505</v>
      </c>
      <c r="AL5644">
        <v>90.137796081626803</v>
      </c>
      <c r="AM5644">
        <v>96.082001203975693</v>
      </c>
      <c r="AN5644">
        <v>0.99999999903592496</v>
      </c>
    </row>
    <row r="5645" spans="1:40" x14ac:dyDescent="0.25">
      <c r="A5645" t="str">
        <f>"20190305135939702"</f>
        <v>20190305135939702</v>
      </c>
      <c r="B5645" t="str">
        <f>"1551765579694184"</f>
        <v>1551765579694184</v>
      </c>
      <c r="C5645" t="s">
        <v>40</v>
      </c>
      <c r="D5645">
        <v>4.5780250000000002</v>
      </c>
      <c r="E5645">
        <v>0.58639090000000005</v>
      </c>
      <c r="F5645" t="s">
        <v>41</v>
      </c>
      <c r="G5645">
        <v>-266.70519999999999</v>
      </c>
      <c r="H5645">
        <v>1.032926</v>
      </c>
      <c r="I5645">
        <v>-61.059699999999999</v>
      </c>
      <c r="J5645">
        <v>-267.36180000000002</v>
      </c>
      <c r="K5645">
        <v>1.1076459999999999</v>
      </c>
      <c r="L5645">
        <v>-60.980710000000002</v>
      </c>
      <c r="M5645">
        <v>0.99930839999999999</v>
      </c>
      <c r="N5645">
        <v>-8.0302599999999991E-3</v>
      </c>
      <c r="O5645">
        <v>3.6310910000000002E-2</v>
      </c>
      <c r="P5645">
        <v>0.98984559999999999</v>
      </c>
      <c r="Q5645">
        <v>-1.09362E-2</v>
      </c>
      <c r="R5645">
        <v>0.14172660000000001</v>
      </c>
      <c r="S5645">
        <v>3.0686650000000002</v>
      </c>
      <c r="T5645">
        <v>-0.28378059999999899</v>
      </c>
      <c r="U5645">
        <v>-0.28073120000000001</v>
      </c>
      <c r="V5645">
        <v>-0.1056991</v>
      </c>
      <c r="W5645">
        <v>-2.5914699999999998E-3</v>
      </c>
      <c r="X5645">
        <v>0.99439480000000002</v>
      </c>
      <c r="Y5645">
        <v>0.12649289999999999</v>
      </c>
      <c r="Z5645">
        <v>-9.388736E-3</v>
      </c>
      <c r="AA5645">
        <v>0.99192309999999995</v>
      </c>
      <c r="AB5645">
        <v>31</v>
      </c>
      <c r="AC5645">
        <v>0.65660000000002505</v>
      </c>
      <c r="AD5645">
        <v>-7.4719999999999898E-2</v>
      </c>
      <c r="AE5645">
        <v>-7.8990000000004501E-2</v>
      </c>
      <c r="AF5645">
        <v>0.10148492777757399</v>
      </c>
      <c r="AG5645">
        <v>-7.4719999999999898E-2</v>
      </c>
      <c r="AH5645">
        <v>0.645064229473857</v>
      </c>
      <c r="AI5645">
        <v>96.527735151084599</v>
      </c>
      <c r="AJ5645">
        <v>81.059208511349894</v>
      </c>
      <c r="AK5645">
        <v>0.65725955992493601</v>
      </c>
      <c r="AL5645">
        <v>90.148480457423403</v>
      </c>
      <c r="AM5645">
        <v>96.067466533905403</v>
      </c>
      <c r="AN5645">
        <v>1.0000000168623</v>
      </c>
    </row>
    <row r="5646" spans="1:40" x14ac:dyDescent="0.25">
      <c r="A5646" t="str">
        <f>"20190305135939712"</f>
        <v>20190305135939712</v>
      </c>
      <c r="B5646" t="str">
        <f>"1551765579704919"</f>
        <v>1551765579704919</v>
      </c>
      <c r="C5646" t="s">
        <v>40</v>
      </c>
      <c r="D5646">
        <v>4.5938489999999996</v>
      </c>
      <c r="E5646">
        <v>0.58633769999999996</v>
      </c>
      <c r="F5646" t="s">
        <v>41</v>
      </c>
      <c r="G5646">
        <v>-266.43439999999998</v>
      </c>
      <c r="H5646">
        <v>1.022132</v>
      </c>
      <c r="I5646">
        <v>-61.066330000000001</v>
      </c>
      <c r="J5646">
        <v>-267.2183</v>
      </c>
      <c r="K5646">
        <v>1.1076349999999999</v>
      </c>
      <c r="L5646">
        <v>-60.976230000000001</v>
      </c>
      <c r="M5646">
        <v>0.99933799999999995</v>
      </c>
      <c r="N5646">
        <v>-7.9392330000000004E-3</v>
      </c>
      <c r="O5646">
        <v>3.5506780000000002E-2</v>
      </c>
      <c r="P5646">
        <v>0.98999239999999999</v>
      </c>
      <c r="Q5646">
        <v>-1.069786E-2</v>
      </c>
      <c r="R5646">
        <v>0.14071549999999999</v>
      </c>
      <c r="S5646">
        <v>3.068146</v>
      </c>
      <c r="T5646">
        <v>-0.28289699999999901</v>
      </c>
      <c r="U5646">
        <v>-0.2828369</v>
      </c>
      <c r="V5646">
        <v>-0.10548339999999901</v>
      </c>
      <c r="W5646">
        <v>-2.4429629999999998E-3</v>
      </c>
      <c r="X5646">
        <v>0.99441809999999997</v>
      </c>
      <c r="Y5646">
        <v>0.1263927</v>
      </c>
      <c r="Z5646">
        <v>-9.2865919999999998E-3</v>
      </c>
      <c r="AA5646">
        <v>0.99193679999999995</v>
      </c>
      <c r="AB5646">
        <v>31</v>
      </c>
      <c r="AC5646">
        <v>0.78390000000001603</v>
      </c>
      <c r="AD5646">
        <v>-8.5503000000000107E-2</v>
      </c>
      <c r="AE5646">
        <v>-9.0099999999999597E-2</v>
      </c>
      <c r="AF5646">
        <v>0.116509765751622</v>
      </c>
      <c r="AG5646">
        <v>-8.5503000000000107E-2</v>
      </c>
      <c r="AH5646">
        <v>0.77115155682916903</v>
      </c>
      <c r="AI5646">
        <v>96.256510980725395</v>
      </c>
      <c r="AJ5646">
        <v>81.408421947924694</v>
      </c>
      <c r="AK5646">
        <v>0.78457632651294595</v>
      </c>
      <c r="AL5646">
        <v>90.139971603499902</v>
      </c>
      <c r="AM5646">
        <v>96.055035921564794</v>
      </c>
      <c r="AN5646">
        <v>1.00000003667569</v>
      </c>
    </row>
    <row r="5647" spans="1:40" x14ac:dyDescent="0.25">
      <c r="A5647" t="str">
        <f>"20190305135939726"</f>
        <v>20190305135939726</v>
      </c>
      <c r="B5647" t="str">
        <f>"1551765579714679"</f>
        <v>1551765579714679</v>
      </c>
      <c r="C5647" t="s">
        <v>40</v>
      </c>
      <c r="D5647">
        <v>4.6226779999999996</v>
      </c>
      <c r="E5647">
        <v>0.58626919999999905</v>
      </c>
      <c r="F5647" t="s">
        <v>41</v>
      </c>
      <c r="G5647">
        <v>-266.42869999999999</v>
      </c>
      <c r="H5647">
        <v>1.035477</v>
      </c>
      <c r="I5647">
        <v>-61.049860000000002</v>
      </c>
      <c r="J5647">
        <v>-267.05160000000001</v>
      </c>
      <c r="K5647">
        <v>1.1076239999999999</v>
      </c>
      <c r="L5647">
        <v>-60.971159999999998</v>
      </c>
      <c r="M5647">
        <v>0.99937140000000002</v>
      </c>
      <c r="N5647">
        <v>-7.8429989999999998E-3</v>
      </c>
      <c r="O5647">
        <v>3.4573739999999999E-2</v>
      </c>
      <c r="P5647">
        <v>0.990116</v>
      </c>
      <c r="Q5647">
        <v>-1.0167870000000001E-2</v>
      </c>
      <c r="R5647">
        <v>0.13988249999999999</v>
      </c>
      <c r="S5647">
        <v>3.0678709999999998</v>
      </c>
      <c r="T5647">
        <v>-0.2803349</v>
      </c>
      <c r="U5647">
        <v>-0.28561399999999998</v>
      </c>
      <c r="V5647">
        <v>-0.1055736</v>
      </c>
      <c r="W5647">
        <v>-2.0069390000000001E-3</v>
      </c>
      <c r="X5647">
        <v>0.9944094</v>
      </c>
      <c r="Y5647">
        <v>0.12638099999999999</v>
      </c>
      <c r="Z5647">
        <v>-9.1243599999999998E-3</v>
      </c>
      <c r="AA5647">
        <v>0.99193980000000004</v>
      </c>
      <c r="AB5647">
        <v>31</v>
      </c>
      <c r="AC5647">
        <v>0.622900000000015</v>
      </c>
      <c r="AD5647">
        <v>-7.2146999999999906E-2</v>
      </c>
      <c r="AE5647">
        <v>-7.8699999999997702E-2</v>
      </c>
      <c r="AF5647">
        <v>9.88838783954476E-2</v>
      </c>
      <c r="AG5647">
        <v>-7.2146999999999906E-2</v>
      </c>
      <c r="AH5647">
        <v>0.61172896276597699</v>
      </c>
      <c r="AI5647">
        <v>96.640944126720498</v>
      </c>
      <c r="AJ5647">
        <v>80.817761059335695</v>
      </c>
      <c r="AK5647">
        <v>0.62385537979748495</v>
      </c>
      <c r="AL5647">
        <v>90.114989219243199</v>
      </c>
      <c r="AM5647">
        <v>96.060227759940304</v>
      </c>
      <c r="AN5647">
        <v>0.99999993381473196</v>
      </c>
    </row>
    <row r="5648" spans="1:40" x14ac:dyDescent="0.25">
      <c r="A5648" t="str">
        <f>"20190305135939737"</f>
        <v>20190305135939737</v>
      </c>
      <c r="B5648" t="str">
        <f>"1551765579724441"</f>
        <v>1551765579724441</v>
      </c>
      <c r="C5648" t="s">
        <v>40</v>
      </c>
      <c r="D5648">
        <v>4.6236269999999999</v>
      </c>
      <c r="E5648">
        <v>0.58619670000000001</v>
      </c>
      <c r="F5648" t="s">
        <v>41</v>
      </c>
      <c r="G5648">
        <v>-266.15640000000002</v>
      </c>
      <c r="H5648">
        <v>1.0263139999999999</v>
      </c>
      <c r="I5648">
        <v>-61.055340000000001</v>
      </c>
      <c r="J5648">
        <v>-266.89839999999998</v>
      </c>
      <c r="K5648">
        <v>1.107613</v>
      </c>
      <c r="L5648">
        <v>-60.966610000000003</v>
      </c>
      <c r="M5648">
        <v>0.9994014</v>
      </c>
      <c r="N5648">
        <v>-7.7597559999999996E-3</v>
      </c>
      <c r="O5648">
        <v>3.3716089999999997E-2</v>
      </c>
      <c r="P5648">
        <v>0.99021729999999997</v>
      </c>
      <c r="Q5648">
        <v>-9.7867400000000004E-3</v>
      </c>
      <c r="R5648">
        <v>0.1391907</v>
      </c>
      <c r="S5648">
        <v>3.0677189999999999</v>
      </c>
      <c r="T5648">
        <v>-0.27851179999999998</v>
      </c>
      <c r="U5648">
        <v>-0.28771970000000002</v>
      </c>
      <c r="V5648">
        <v>-0.10573059999999999</v>
      </c>
      <c r="W5648">
        <v>-1.70678E-3</v>
      </c>
      <c r="X5648">
        <v>0.99439330000000004</v>
      </c>
      <c r="Y5648">
        <v>0.1262219</v>
      </c>
      <c r="Z5648">
        <v>-8.9857410000000002E-3</v>
      </c>
      <c r="AA5648">
        <v>0.99196139999999999</v>
      </c>
      <c r="AB5648">
        <v>31</v>
      </c>
      <c r="AC5648">
        <v>0.74199999999996102</v>
      </c>
      <c r="AD5648">
        <v>-8.1298999999999996E-2</v>
      </c>
      <c r="AE5648">
        <v>-8.8730000000005305E-2</v>
      </c>
      <c r="AF5648">
        <v>0.112367682675396</v>
      </c>
      <c r="AG5648">
        <v>-8.1298999999999996E-2</v>
      </c>
      <c r="AH5648">
        <v>0.72994691505490905</v>
      </c>
      <c r="AI5648">
        <v>96.281823150504493</v>
      </c>
      <c r="AJ5648">
        <v>81.248611632504407</v>
      </c>
      <c r="AK5648">
        <v>0.74300640798650996</v>
      </c>
      <c r="AL5648">
        <v>90.097791342536993</v>
      </c>
      <c r="AM5648">
        <v>96.069270327505095</v>
      </c>
      <c r="AN5648">
        <v>0.99999995397960795</v>
      </c>
    </row>
    <row r="5649" spans="1:40" x14ac:dyDescent="0.25">
      <c r="A5649" t="str">
        <f>"20190305135939748"</f>
        <v>20190305135939748</v>
      </c>
      <c r="B5649" t="str">
        <f>"1551765579744937"</f>
        <v>1551765579744937</v>
      </c>
      <c r="C5649" t="s">
        <v>40</v>
      </c>
      <c r="D5649">
        <v>4.6174249999999999</v>
      </c>
      <c r="E5649">
        <v>0.58578059999999998</v>
      </c>
      <c r="F5649" t="s">
        <v>41</v>
      </c>
      <c r="G5649">
        <v>-266.15050000000002</v>
      </c>
      <c r="H5649">
        <v>1.0400689999999999</v>
      </c>
      <c r="I5649">
        <v>-61.037329999999997</v>
      </c>
      <c r="J5649">
        <v>-266.74259999999998</v>
      </c>
      <c r="K5649">
        <v>1.1075969999999999</v>
      </c>
      <c r="L5649">
        <v>-60.96219</v>
      </c>
      <c r="M5649">
        <v>0.99943099999999996</v>
      </c>
      <c r="N5649">
        <v>-7.6851840000000003E-3</v>
      </c>
      <c r="O5649">
        <v>3.2844079999999998E-2</v>
      </c>
      <c r="P5649">
        <v>0.99028329999999998</v>
      </c>
      <c r="Q5649">
        <v>-9.2243480000000003E-3</v>
      </c>
      <c r="R5649">
        <v>0.13875889999999999</v>
      </c>
      <c r="S5649">
        <v>3.0675659999999998</v>
      </c>
      <c r="T5649">
        <v>-0.27690019999999999</v>
      </c>
      <c r="U5649">
        <v>-0.28918460000000001</v>
      </c>
      <c r="V5649">
        <v>-0.1061631</v>
      </c>
      <c r="W5649">
        <v>-1.2159479999999999E-3</v>
      </c>
      <c r="X5649">
        <v>0.99434800000000001</v>
      </c>
      <c r="Y5649">
        <v>0.12584289999999901</v>
      </c>
      <c r="Z5649">
        <v>-8.8430739999999994E-3</v>
      </c>
      <c r="AA5649">
        <v>0.99201079999999997</v>
      </c>
      <c r="AB5649">
        <v>31</v>
      </c>
      <c r="AC5649">
        <v>0.59209999999995899</v>
      </c>
      <c r="AD5649">
        <v>-6.7527999999999797E-2</v>
      </c>
      <c r="AE5649">
        <v>-7.5140000000004606E-2</v>
      </c>
      <c r="AF5649">
        <v>9.3352025230440394E-2</v>
      </c>
      <c r="AG5649">
        <v>-6.7527999999999797E-2</v>
      </c>
      <c r="AH5649">
        <v>0.58186419603011597</v>
      </c>
      <c r="AI5649">
        <v>96.536965036004005</v>
      </c>
      <c r="AJ5649">
        <v>80.885361463913895</v>
      </c>
      <c r="AK5649">
        <v>0.59316150753432995</v>
      </c>
      <c r="AL5649">
        <v>90.069668704719504</v>
      </c>
      <c r="AM5649">
        <v>96.094186295685404</v>
      </c>
      <c r="AN5649">
        <v>1.00000001371757</v>
      </c>
    </row>
    <row r="5650" spans="1:40" x14ac:dyDescent="0.25">
      <c r="A5650" t="str">
        <f>"20190305135939759"</f>
        <v>20190305135939759</v>
      </c>
      <c r="B5650" t="str">
        <f>"1551765579754695"</f>
        <v>1551765579754695</v>
      </c>
      <c r="C5650" t="s">
        <v>40</v>
      </c>
      <c r="D5650">
        <v>4.6470010000000004</v>
      </c>
      <c r="E5650">
        <v>0.58553580000000005</v>
      </c>
      <c r="F5650" t="s">
        <v>41</v>
      </c>
      <c r="G5650">
        <v>-265.87799999999999</v>
      </c>
      <c r="H5650">
        <v>1.029725</v>
      </c>
      <c r="I5650">
        <v>-61.04325</v>
      </c>
      <c r="J5650">
        <v>-266.59469999999999</v>
      </c>
      <c r="K5650">
        <v>1.1075870000000001</v>
      </c>
      <c r="L5650">
        <v>-60.958010000000002</v>
      </c>
      <c r="M5650">
        <v>0.99945830000000002</v>
      </c>
      <c r="N5650">
        <v>-7.6163559999999899E-3</v>
      </c>
      <c r="O5650">
        <v>3.201727E-2</v>
      </c>
      <c r="P5650">
        <v>0.99034040000000001</v>
      </c>
      <c r="Q5650">
        <v>-9.3123389999999993E-3</v>
      </c>
      <c r="R5650">
        <v>0.13834340000000001</v>
      </c>
      <c r="S5650">
        <v>3.0671390000000001</v>
      </c>
      <c r="T5650">
        <v>-0.27621449999999997</v>
      </c>
      <c r="U5650">
        <v>-0.28738399999999997</v>
      </c>
      <c r="V5650">
        <v>-0.10656939999999999</v>
      </c>
      <c r="W5650">
        <v>-1.369945E-3</v>
      </c>
      <c r="X5650">
        <v>0.99430430000000003</v>
      </c>
      <c r="Y5650">
        <v>0.12446980000000001</v>
      </c>
      <c r="Z5650">
        <v>-8.686404E-3</v>
      </c>
      <c r="AA5650">
        <v>0.9921854</v>
      </c>
      <c r="AB5650">
        <v>31</v>
      </c>
      <c r="AC5650">
        <v>0.716700000000003</v>
      </c>
      <c r="AD5650">
        <v>-7.7862000000000098E-2</v>
      </c>
      <c r="AE5650">
        <v>-8.5240000000005894E-2</v>
      </c>
      <c r="AF5650">
        <v>0.10689964746698601</v>
      </c>
      <c r="AG5650">
        <v>-7.7862000000000098E-2</v>
      </c>
      <c r="AH5650">
        <v>0.705393973800721</v>
      </c>
      <c r="AI5650">
        <v>96.228312985253993</v>
      </c>
      <c r="AJ5650">
        <v>81.382623023391503</v>
      </c>
      <c r="AK5650">
        <v>0.71768425087007304</v>
      </c>
      <c r="AL5650">
        <v>90.078492092991993</v>
      </c>
      <c r="AM5650">
        <v>96.117599850461403</v>
      </c>
      <c r="AN5650">
        <v>0.99999997738207602</v>
      </c>
    </row>
    <row r="5651" spans="1:40" x14ac:dyDescent="0.25">
      <c r="A5651" t="str">
        <f>"20190305135939771"</f>
        <v>20190305135939771</v>
      </c>
      <c r="B5651" t="str">
        <f>"1551765579764455"</f>
        <v>1551765579764455</v>
      </c>
      <c r="C5651" t="s">
        <v>40</v>
      </c>
      <c r="D5651">
        <v>4.6305019999999999</v>
      </c>
      <c r="E5651">
        <v>0.58555500000000005</v>
      </c>
      <c r="F5651" t="s">
        <v>41</v>
      </c>
      <c r="G5651">
        <v>-265.60539999999997</v>
      </c>
      <c r="H5651">
        <v>1.0176590000000001</v>
      </c>
      <c r="I5651">
        <v>-61.050719999999998</v>
      </c>
      <c r="J5651">
        <v>-266.42219999999998</v>
      </c>
      <c r="K5651">
        <v>1.1075740000000001</v>
      </c>
      <c r="L5651">
        <v>-60.953400000000002</v>
      </c>
      <c r="M5651">
        <v>0.99948930000000002</v>
      </c>
      <c r="N5651">
        <v>-7.5485589999999998E-3</v>
      </c>
      <c r="O5651">
        <v>3.1053480000000001E-2</v>
      </c>
      <c r="P5651">
        <v>0.99041559999999995</v>
      </c>
      <c r="Q5651">
        <v>-9.5928390000000006E-3</v>
      </c>
      <c r="R5651">
        <v>0.13778599999999999</v>
      </c>
      <c r="S5651">
        <v>3.0667110000000002</v>
      </c>
      <c r="T5651">
        <v>-0.27869440000000001</v>
      </c>
      <c r="U5651">
        <v>-0.28692630000000002</v>
      </c>
      <c r="V5651">
        <v>-0.1069695</v>
      </c>
      <c r="W5651">
        <v>-1.715168E-3</v>
      </c>
      <c r="X5651">
        <v>0.99426079999999994</v>
      </c>
      <c r="Y5651">
        <v>0.1233757</v>
      </c>
      <c r="Z5651">
        <v>-8.6275120000000004E-3</v>
      </c>
      <c r="AA5651">
        <v>0.9923225</v>
      </c>
      <c r="AB5651">
        <v>31</v>
      </c>
      <c r="AC5651">
        <v>0.81679999999999997</v>
      </c>
      <c r="AD5651">
        <v>-8.9914999999999898E-2</v>
      </c>
      <c r="AE5651">
        <v>-9.7319999999996298E-2</v>
      </c>
      <c r="AF5651">
        <v>0.121190232344037</v>
      </c>
      <c r="AG5651">
        <v>-8.9914999999999898E-2</v>
      </c>
      <c r="AH5651">
        <v>0.80377993589178498</v>
      </c>
      <c r="AI5651">
        <v>96.312108664678703</v>
      </c>
      <c r="AJ5651">
        <v>81.425790434710393</v>
      </c>
      <c r="AK5651">
        <v>0.81782269776694505</v>
      </c>
      <c r="AL5651">
        <v>90.098271937991598</v>
      </c>
      <c r="AM5651">
        <v>96.140658990603299</v>
      </c>
      <c r="AN5651">
        <v>0.99999997707407795</v>
      </c>
    </row>
    <row r="5652" spans="1:40" x14ac:dyDescent="0.25">
      <c r="A5652" t="str">
        <f>"20190305135939782"</f>
        <v>20190305135939782</v>
      </c>
      <c r="B5652" t="str">
        <f>"1551765579774216"</f>
        <v>1551765579774216</v>
      </c>
      <c r="C5652" t="s">
        <v>40</v>
      </c>
      <c r="D5652">
        <v>4.6612929999999997</v>
      </c>
      <c r="E5652">
        <v>0.58550690000000005</v>
      </c>
      <c r="F5652" t="s">
        <v>41</v>
      </c>
      <c r="G5652">
        <v>-265.59899999999999</v>
      </c>
      <c r="H5652">
        <v>1.0325740000000001</v>
      </c>
      <c r="I5652">
        <v>-61.0310699999999</v>
      </c>
      <c r="J5652">
        <v>-266.26569999999998</v>
      </c>
      <c r="K5652">
        <v>1.107558</v>
      </c>
      <c r="L5652">
        <v>-60.949309999999997</v>
      </c>
      <c r="M5652">
        <v>0.99951650000000003</v>
      </c>
      <c r="N5652">
        <v>-7.4904799999999999E-3</v>
      </c>
      <c r="O5652">
        <v>3.0179040000000001E-2</v>
      </c>
      <c r="P5652">
        <v>0.99047960000000002</v>
      </c>
      <c r="Q5652">
        <v>-9.6290300000000002E-3</v>
      </c>
      <c r="R5652">
        <v>0.13732269999999999</v>
      </c>
      <c r="S5652">
        <v>3.0664980000000002</v>
      </c>
      <c r="T5652">
        <v>-0.27930830000000001</v>
      </c>
      <c r="U5652">
        <v>-0.28875729999999999</v>
      </c>
      <c r="V5652">
        <v>-0.10737480000000001</v>
      </c>
      <c r="W5652">
        <v>-1.806541E-3</v>
      </c>
      <c r="X5652">
        <v>0.99421700000000002</v>
      </c>
      <c r="Y5652">
        <v>0.1231029</v>
      </c>
      <c r="Z5652">
        <v>-8.558286E-3</v>
      </c>
      <c r="AA5652">
        <v>0.99235700000000004</v>
      </c>
      <c r="AB5652">
        <v>31</v>
      </c>
      <c r="AC5652">
        <v>0.66669999999999097</v>
      </c>
      <c r="AD5652">
        <v>-7.4984000000000106E-2</v>
      </c>
      <c r="AE5652">
        <v>-8.17599999999956E-2</v>
      </c>
      <c r="AF5652">
        <v>0.100590115509634</v>
      </c>
      <c r="AG5652">
        <v>-7.4984000000000106E-2</v>
      </c>
      <c r="AH5652">
        <v>0.65575665136645001</v>
      </c>
      <c r="AI5652">
        <v>96.448504911483397</v>
      </c>
      <c r="AJ5652">
        <v>81.279063333793403</v>
      </c>
      <c r="AK5652">
        <v>0.66765092481444299</v>
      </c>
      <c r="AL5652">
        <v>90.103507228305205</v>
      </c>
      <c r="AM5652">
        <v>96.164016213332403</v>
      </c>
      <c r="AN5652">
        <v>1.00000002717721</v>
      </c>
    </row>
    <row r="5653" spans="1:40" x14ac:dyDescent="0.25">
      <c r="A5653" t="str">
        <f>"20190305135939792"</f>
        <v>20190305135939792</v>
      </c>
      <c r="B5653" t="str">
        <f>"1551765579784952"</f>
        <v>1551765579784952</v>
      </c>
      <c r="C5653" t="s">
        <v>40</v>
      </c>
      <c r="D5653">
        <v>4.6035309999999896</v>
      </c>
      <c r="E5653">
        <v>0.58548789999999995</v>
      </c>
      <c r="F5653" t="s">
        <v>41</v>
      </c>
      <c r="G5653">
        <v>-265.3252</v>
      </c>
      <c r="H5653">
        <v>1.021641</v>
      </c>
      <c r="I5653">
        <v>-61.038269999999997</v>
      </c>
      <c r="J5653">
        <v>-266.10939999999999</v>
      </c>
      <c r="K5653">
        <v>1.1075459999999999</v>
      </c>
      <c r="L5653">
        <v>-60.945369999999997</v>
      </c>
      <c r="M5653">
        <v>0.99954279999999995</v>
      </c>
      <c r="N5653">
        <v>-7.4382959999999996E-3</v>
      </c>
      <c r="O5653">
        <v>2.930659E-2</v>
      </c>
      <c r="P5653">
        <v>0.99050830000000001</v>
      </c>
      <c r="Q5653">
        <v>-1.019951E-2</v>
      </c>
      <c r="R5653">
        <v>0.13707440000000001</v>
      </c>
      <c r="S5653">
        <v>3.0662539999999998</v>
      </c>
      <c r="T5653">
        <v>-0.28009139999999999</v>
      </c>
      <c r="U5653">
        <v>-0.28973389999999999</v>
      </c>
      <c r="V5653">
        <v>-0.1079957</v>
      </c>
      <c r="W5653">
        <v>-2.4257910000000001E-3</v>
      </c>
      <c r="X5653">
        <v>0.99414840000000004</v>
      </c>
      <c r="Y5653">
        <v>0.1225593</v>
      </c>
      <c r="Z5653">
        <v>-8.4807459999999904E-3</v>
      </c>
      <c r="AA5653">
        <v>0.992425</v>
      </c>
      <c r="AB5653">
        <v>31</v>
      </c>
      <c r="AC5653">
        <v>0.78419999999999801</v>
      </c>
      <c r="AD5653">
        <v>-8.5904999999999898E-2</v>
      </c>
      <c r="AE5653">
        <v>-9.2900000000000205E-2</v>
      </c>
      <c r="AF5653">
        <v>0.114488108245676</v>
      </c>
      <c r="AG5653">
        <v>-8.5904999999999898E-2</v>
      </c>
      <c r="AH5653">
        <v>0.77200460098583801</v>
      </c>
      <c r="AI5653">
        <v>96.281342480249407</v>
      </c>
      <c r="AJ5653">
        <v>81.564530193193505</v>
      </c>
      <c r="AK5653">
        <v>0.78516132093855495</v>
      </c>
      <c r="AL5653">
        <v>90.138987722807599</v>
      </c>
      <c r="AM5653">
        <v>96.199807633649101</v>
      </c>
      <c r="AN5653">
        <v>0.999999998451512</v>
      </c>
    </row>
    <row r="5654" spans="1:40" x14ac:dyDescent="0.25">
      <c r="A5654" t="str">
        <f>"20190305135939804"</f>
        <v>20190305135939804</v>
      </c>
      <c r="B5654" t="str">
        <f>"1551765579794712"</f>
        <v>1551765579794712</v>
      </c>
      <c r="C5654" t="s">
        <v>40</v>
      </c>
      <c r="D5654">
        <v>4.6370129999999996</v>
      </c>
      <c r="E5654">
        <v>0.5854935</v>
      </c>
      <c r="F5654" t="s">
        <v>41</v>
      </c>
      <c r="G5654">
        <v>-265.31939999999997</v>
      </c>
      <c r="H5654">
        <v>1.03491</v>
      </c>
      <c r="I5654">
        <v>-61.020240000000001</v>
      </c>
      <c r="J5654">
        <v>-265.95909999999998</v>
      </c>
      <c r="K5654">
        <v>1.1075349999999999</v>
      </c>
      <c r="L5654">
        <v>-60.941740000000003</v>
      </c>
      <c r="M5654">
        <v>0.99956739999999999</v>
      </c>
      <c r="N5654">
        <v>-7.3919440000000001E-3</v>
      </c>
      <c r="O5654">
        <v>2.8467860000000001E-2</v>
      </c>
      <c r="P5654">
        <v>0.99054549999999997</v>
      </c>
      <c r="Q5654">
        <v>-1.0543800000000001E-2</v>
      </c>
      <c r="R5654">
        <v>0.1367795</v>
      </c>
      <c r="S5654">
        <v>3.0660400000000001</v>
      </c>
      <c r="T5654">
        <v>-0.28191300000000002</v>
      </c>
      <c r="U5654">
        <v>-0.29025269999999997</v>
      </c>
      <c r="V5654">
        <v>-0.10853500000000001</v>
      </c>
      <c r="W5654">
        <v>-2.8133379999999999E-3</v>
      </c>
      <c r="X5654">
        <v>0.99408859999999999</v>
      </c>
      <c r="Y5654">
        <v>0.1218972</v>
      </c>
      <c r="Z5654">
        <v>-8.4297360000000002E-3</v>
      </c>
      <c r="AA5654">
        <v>0.99250689999999997</v>
      </c>
      <c r="AB5654">
        <v>31</v>
      </c>
      <c r="AC5654">
        <v>0.63970000000000404</v>
      </c>
      <c r="AD5654">
        <v>-7.2624999999999898E-2</v>
      </c>
      <c r="AE5654">
        <v>-7.8499999999998196E-2</v>
      </c>
      <c r="AF5654">
        <v>9.5467344884774194E-2</v>
      </c>
      <c r="AG5654">
        <v>-7.2624999999999898E-2</v>
      </c>
      <c r="AH5654">
        <v>0.62921627108619105</v>
      </c>
      <c r="AI5654">
        <v>96.510166582286004</v>
      </c>
      <c r="AJ5654">
        <v>81.372642531650499</v>
      </c>
      <c r="AK5654">
        <v>0.64054782831882195</v>
      </c>
      <c r="AL5654">
        <v>90.161192613977207</v>
      </c>
      <c r="AM5654">
        <v>96.230896677232096</v>
      </c>
      <c r="AN5654">
        <v>0.99999995287282994</v>
      </c>
    </row>
    <row r="5655" spans="1:40" x14ac:dyDescent="0.25">
      <c r="A5655" t="str">
        <f>"20190305135939816"</f>
        <v>20190305135939816</v>
      </c>
      <c r="B5655" t="str">
        <f>"1551765579804471"</f>
        <v>1551765579804471</v>
      </c>
      <c r="C5655" t="s">
        <v>40</v>
      </c>
      <c r="D5655">
        <v>4.6441309999999998</v>
      </c>
      <c r="E5655">
        <v>0.58548319999999998</v>
      </c>
      <c r="F5655" t="s">
        <v>41</v>
      </c>
      <c r="G5655">
        <v>-265.04520000000002</v>
      </c>
      <c r="H5655">
        <v>1.0230779999999999</v>
      </c>
      <c r="I5655">
        <v>-61.0287199999999</v>
      </c>
      <c r="J5655">
        <v>-265.79559999999998</v>
      </c>
      <c r="K5655">
        <v>1.1075159999999999</v>
      </c>
      <c r="L5655">
        <v>-60.937869999999997</v>
      </c>
      <c r="M5655">
        <v>0.99959339999999997</v>
      </c>
      <c r="N5655">
        <v>-7.3446029999999999E-3</v>
      </c>
      <c r="O5655">
        <v>2.7555389999999999E-2</v>
      </c>
      <c r="P5655">
        <v>0.99055539999999997</v>
      </c>
      <c r="Q5655">
        <v>-1.0698569999999999E-2</v>
      </c>
      <c r="R5655">
        <v>0.13669519999999999</v>
      </c>
      <c r="S5655">
        <v>3.0658259999999999</v>
      </c>
      <c r="T5655">
        <v>-0.28319</v>
      </c>
      <c r="U5655">
        <v>-0.29116819999999999</v>
      </c>
      <c r="V5655">
        <v>-0.10935880000000001</v>
      </c>
      <c r="W5655">
        <v>-3.0114479999999999E-3</v>
      </c>
      <c r="X5655">
        <v>0.99399780000000004</v>
      </c>
      <c r="Y5655">
        <v>0.12129180000000001</v>
      </c>
      <c r="Z5655">
        <v>-8.3582340000000008E-3</v>
      </c>
      <c r="AA5655">
        <v>0.99258170000000001</v>
      </c>
      <c r="AB5655">
        <v>31</v>
      </c>
      <c r="AC5655">
        <v>0.75039999999995599</v>
      </c>
      <c r="AD5655">
        <v>-8.4437999999999694E-2</v>
      </c>
      <c r="AE5655">
        <v>-9.0849999999996101E-2</v>
      </c>
      <c r="AF5655">
        <v>0.11011946856834599</v>
      </c>
      <c r="AG5655">
        <v>-8.4437999999999694E-2</v>
      </c>
      <c r="AH5655">
        <v>0.73839729994797598</v>
      </c>
      <c r="AI5655">
        <v>96.452859774466205</v>
      </c>
      <c r="AJ5655">
        <v>81.517818035828398</v>
      </c>
      <c r="AK5655">
        <v>0.751323263164556</v>
      </c>
      <c r="AL5655">
        <v>90.172543517763501</v>
      </c>
      <c r="AM5655">
        <v>96.278382979320696</v>
      </c>
      <c r="AN5655">
        <v>1.0000000211806599</v>
      </c>
    </row>
    <row r="5656" spans="1:40" x14ac:dyDescent="0.25">
      <c r="A5656" t="str">
        <f>"20190305135939827"</f>
        <v>20190305135939827</v>
      </c>
      <c r="B5656" t="str">
        <f>"1551765579824967"</f>
        <v>1551765579824967</v>
      </c>
      <c r="C5656" t="s">
        <v>40</v>
      </c>
      <c r="D5656">
        <v>4.6170710000000001</v>
      </c>
      <c r="E5656">
        <v>0.58545170000000002</v>
      </c>
      <c r="F5656" t="s">
        <v>41</v>
      </c>
      <c r="G5656">
        <v>-265.03890000000001</v>
      </c>
      <c r="H5656">
        <v>1.0374639999999999</v>
      </c>
      <c r="I5656">
        <v>-61.00996</v>
      </c>
      <c r="J5656">
        <v>-265.64069999999998</v>
      </c>
      <c r="K5656">
        <v>1.107504</v>
      </c>
      <c r="L5656">
        <v>-60.934420000000003</v>
      </c>
      <c r="M5656">
        <v>0.99961710000000004</v>
      </c>
      <c r="N5656">
        <v>-7.3048319999999998E-3</v>
      </c>
      <c r="O5656">
        <v>2.669152E-2</v>
      </c>
      <c r="P5656">
        <v>0.99055110000000002</v>
      </c>
      <c r="Q5656">
        <v>-1.108378E-2</v>
      </c>
      <c r="R5656">
        <v>0.13669589999999901</v>
      </c>
      <c r="S5656">
        <v>3.0657649999999999</v>
      </c>
      <c r="T5656">
        <v>-0.28371760000000001</v>
      </c>
      <c r="U5656">
        <v>-0.29132079999999999</v>
      </c>
      <c r="V5656">
        <v>-0.11021980000000001</v>
      </c>
      <c r="W5656">
        <v>-3.4325139999999998E-3</v>
      </c>
      <c r="X5656">
        <v>0.99390129999999999</v>
      </c>
      <c r="Y5656">
        <v>0.12048929999999999</v>
      </c>
      <c r="Z5656">
        <v>-8.2588409999999994E-3</v>
      </c>
      <c r="AA5656">
        <v>0.99268029999999996</v>
      </c>
      <c r="AB5656">
        <v>31</v>
      </c>
      <c r="AC5656">
        <v>0.60179999999996803</v>
      </c>
      <c r="AD5656">
        <v>-7.0040000000000102E-2</v>
      </c>
      <c r="AE5656">
        <v>-7.5540000000003701E-2</v>
      </c>
      <c r="AF5656">
        <v>9.0371352112794207E-2</v>
      </c>
      <c r="AG5656">
        <v>-7.0040000000000102E-2</v>
      </c>
      <c r="AH5656">
        <v>0.591679107309111</v>
      </c>
      <c r="AI5656">
        <v>96.674278842328505</v>
      </c>
      <c r="AJ5656">
        <v>81.3159228311074</v>
      </c>
      <c r="AK5656">
        <v>0.60262488241757906</v>
      </c>
      <c r="AL5656">
        <v>90.196668953425203</v>
      </c>
      <c r="AM5656">
        <v>96.328023719601305</v>
      </c>
      <c r="AN5656">
        <v>0.99999999030304498</v>
      </c>
    </row>
    <row r="5657" spans="1:40" x14ac:dyDescent="0.25">
      <c r="A5657" t="str">
        <f>"20190305135939838"</f>
        <v>20190305135939838</v>
      </c>
      <c r="B5657" t="str">
        <f>"1551765579834728"</f>
        <v>1551765579834728</v>
      </c>
      <c r="C5657" t="s">
        <v>40</v>
      </c>
      <c r="D5657">
        <v>4.6395939999999998</v>
      </c>
      <c r="E5657">
        <v>0.58547899999999997</v>
      </c>
      <c r="F5657" t="s">
        <v>41</v>
      </c>
      <c r="G5657">
        <v>-264.7636</v>
      </c>
      <c r="H5657">
        <v>1.0262420000000001</v>
      </c>
      <c r="I5657">
        <v>-61.017760000000003</v>
      </c>
      <c r="J5657">
        <v>-265.48090000000002</v>
      </c>
      <c r="K5657">
        <v>1.107491</v>
      </c>
      <c r="L5657">
        <v>-60.930909999999997</v>
      </c>
      <c r="M5657">
        <v>0.9996408</v>
      </c>
      <c r="N5657">
        <v>-7.2652280000000003E-3</v>
      </c>
      <c r="O5657">
        <v>2.5801009999999999E-2</v>
      </c>
      <c r="P5657">
        <v>0.99055859999999996</v>
      </c>
      <c r="Q5657">
        <v>-1.104684E-2</v>
      </c>
      <c r="R5657">
        <v>0.13664579999999901</v>
      </c>
      <c r="S5657">
        <v>3.0655209999999999</v>
      </c>
      <c r="T5657">
        <v>-0.28395809999999999</v>
      </c>
      <c r="U5657">
        <v>-0.290985099999999</v>
      </c>
      <c r="V5657">
        <v>-0.1110553</v>
      </c>
      <c r="W5657">
        <v>-3.431272E-3</v>
      </c>
      <c r="X5657">
        <v>0.99380829999999998</v>
      </c>
      <c r="Y5657">
        <v>0.1195113</v>
      </c>
      <c r="Z5657">
        <v>-8.1405450000000008E-3</v>
      </c>
      <c r="AA5657">
        <v>0.99279949999999995</v>
      </c>
      <c r="AB5657">
        <v>31</v>
      </c>
      <c r="AC5657">
        <v>0.71730000000002203</v>
      </c>
      <c r="AD5657">
        <v>-8.1248999999999905E-2</v>
      </c>
      <c r="AE5657">
        <v>-8.6849999999998304E-2</v>
      </c>
      <c r="AF5657">
        <v>0.104013402817123</v>
      </c>
      <c r="AG5657">
        <v>-8.1248999999999905E-2</v>
      </c>
      <c r="AH5657">
        <v>0.70589438970468998</v>
      </c>
      <c r="AI5657">
        <v>96.496359269559207</v>
      </c>
      <c r="AJ5657">
        <v>81.617795300912704</v>
      </c>
      <c r="AK5657">
        <v>0.71812747989695702</v>
      </c>
      <c r="AL5657">
        <v>90.196597790681096</v>
      </c>
      <c r="AM5657">
        <v>96.376190275512698</v>
      </c>
      <c r="AN5657">
        <v>0.99999999521725902</v>
      </c>
    </row>
    <row r="5658" spans="1:40" x14ac:dyDescent="0.25">
      <c r="A5658" t="str">
        <f>"20190305135939850"</f>
        <v>20190305135939850</v>
      </c>
      <c r="B5658" t="str">
        <f>"1551765579844487"</f>
        <v>1551765579844487</v>
      </c>
      <c r="C5658" t="s">
        <v>40</v>
      </c>
      <c r="D5658">
        <v>4.6624049999999997</v>
      </c>
      <c r="E5658">
        <v>0.58542159999999999</v>
      </c>
      <c r="F5658" t="s">
        <v>41</v>
      </c>
      <c r="G5658">
        <v>-264.48739999999998</v>
      </c>
      <c r="H5658">
        <v>1.0153239999999999</v>
      </c>
      <c r="I5658">
        <v>-61.025519999999901</v>
      </c>
      <c r="J5658">
        <v>-265.31670000000003</v>
      </c>
      <c r="K5658">
        <v>1.10748</v>
      </c>
      <c r="L5658">
        <v>-60.927549999999997</v>
      </c>
      <c r="M5658">
        <v>0.9996642</v>
      </c>
      <c r="N5658">
        <v>-7.2302379999999999E-3</v>
      </c>
      <c r="O5658">
        <v>2.4885440000000002E-2</v>
      </c>
      <c r="P5658">
        <v>0.99056630000000001</v>
      </c>
      <c r="Q5658">
        <v>-1.10747E-2</v>
      </c>
      <c r="R5658">
        <v>0.13658619999999999</v>
      </c>
      <c r="S5658">
        <v>3.065582</v>
      </c>
      <c r="T5658">
        <v>-0.28423549999999997</v>
      </c>
      <c r="U5658">
        <v>-0.29119869999999998</v>
      </c>
      <c r="V5658">
        <v>-0.1119059</v>
      </c>
      <c r="W5658">
        <v>-3.49022E-3</v>
      </c>
      <c r="X5658">
        <v>0.9937127</v>
      </c>
      <c r="Y5658">
        <v>0.1186748</v>
      </c>
      <c r="Z5658">
        <v>-8.0272360000000001E-3</v>
      </c>
      <c r="AA5658">
        <v>0.99290069999999997</v>
      </c>
      <c r="AB5658">
        <v>31</v>
      </c>
      <c r="AC5658">
        <v>0.829300000000046</v>
      </c>
      <c r="AD5658">
        <v>-9.2156000000000099E-2</v>
      </c>
      <c r="AE5658">
        <v>-9.7969999999996504E-2</v>
      </c>
      <c r="AF5658">
        <v>0.11715093344447</v>
      </c>
      <c r="AG5658">
        <v>-9.2156000000000099E-2</v>
      </c>
      <c r="AH5658">
        <v>0.81665913565744597</v>
      </c>
      <c r="AI5658">
        <v>96.373612835992901</v>
      </c>
      <c r="AJ5658">
        <v>81.836530416511593</v>
      </c>
      <c r="AK5658">
        <v>0.83015011497660995</v>
      </c>
      <c r="AL5658">
        <v>90.199975277355193</v>
      </c>
      <c r="AM5658">
        <v>96.425233203579296</v>
      </c>
      <c r="AN5658">
        <v>1.0000000211158699</v>
      </c>
    </row>
    <row r="5659" spans="1:40" x14ac:dyDescent="0.25">
      <c r="A5659" t="str">
        <f>"20190305135939861"</f>
        <v>20190305135939861</v>
      </c>
      <c r="B5659" t="str">
        <f>"1551765579854247"</f>
        <v>1551765579854247</v>
      </c>
      <c r="C5659" t="s">
        <v>40</v>
      </c>
      <c r="D5659">
        <v>4.673368</v>
      </c>
      <c r="E5659">
        <v>0.58534280000000005</v>
      </c>
      <c r="F5659" t="s">
        <v>41</v>
      </c>
      <c r="G5659">
        <v>-264.48099999999999</v>
      </c>
      <c r="H5659">
        <v>1.0299229999999999</v>
      </c>
      <c r="I5659">
        <v>-61.007100000000001</v>
      </c>
      <c r="J5659">
        <v>-265.16559999999998</v>
      </c>
      <c r="K5659">
        <v>1.1074679999999999</v>
      </c>
      <c r="L5659">
        <v>-60.924500000000002</v>
      </c>
      <c r="M5659">
        <v>0.99968500000000005</v>
      </c>
      <c r="N5659">
        <v>-7.1992330000000002E-3</v>
      </c>
      <c r="O5659">
        <v>2.4043709999999999E-2</v>
      </c>
      <c r="P5659">
        <v>0.99059509999999995</v>
      </c>
      <c r="Q5659">
        <v>-1.0854320000000001E-2</v>
      </c>
      <c r="R5659">
        <v>0.13639399999999999</v>
      </c>
      <c r="S5659">
        <v>3.0654910000000002</v>
      </c>
      <c r="T5659">
        <v>-0.2843077</v>
      </c>
      <c r="U5659">
        <v>-0.29092410000000002</v>
      </c>
      <c r="V5659">
        <v>-0.11254889999999999</v>
      </c>
      <c r="W5659">
        <v>-3.2976350000000001E-3</v>
      </c>
      <c r="X5659">
        <v>0.99364070000000004</v>
      </c>
      <c r="Y5659">
        <v>0.1177604</v>
      </c>
      <c r="Z5659">
        <v>-7.9111379999999999E-3</v>
      </c>
      <c r="AA5659">
        <v>0.99301050000000002</v>
      </c>
      <c r="AB5659">
        <v>31</v>
      </c>
      <c r="AC5659">
        <v>0.684599999999989</v>
      </c>
      <c r="AD5659">
        <v>-7.7545000000000197E-2</v>
      </c>
      <c r="AE5659">
        <v>-8.2599999999999299E-2</v>
      </c>
      <c r="AF5659">
        <v>9.7800078875675198E-2</v>
      </c>
      <c r="AG5659">
        <v>-7.7545000000000197E-2</v>
      </c>
      <c r="AH5659">
        <v>0.67389387567381198</v>
      </c>
      <c r="AI5659">
        <v>96.496688857756098</v>
      </c>
      <c r="AJ5659">
        <v>81.742495968992003</v>
      </c>
      <c r="AK5659">
        <v>0.68535468052954895</v>
      </c>
      <c r="AL5659">
        <v>90.188940913147604</v>
      </c>
      <c r="AM5659">
        <v>96.4623048329141</v>
      </c>
      <c r="AN5659">
        <v>0.99999998499214604</v>
      </c>
    </row>
    <row r="5660" spans="1:40" x14ac:dyDescent="0.25">
      <c r="A5660" t="str">
        <f>"20190305135939871"</f>
        <v>20190305135939871</v>
      </c>
      <c r="B5660" t="str">
        <f>"1551765579864984"</f>
        <v>1551765579864984</v>
      </c>
      <c r="C5660" t="s">
        <v>40</v>
      </c>
      <c r="D5660">
        <v>4.6596869999999999</v>
      </c>
      <c r="E5660">
        <v>0.58533109999999999</v>
      </c>
      <c r="F5660" t="s">
        <v>41</v>
      </c>
      <c r="G5660">
        <v>-264.20429999999999</v>
      </c>
      <c r="H5660">
        <v>1.0182370000000001</v>
      </c>
      <c r="I5660">
        <v>-61.015720000000002</v>
      </c>
      <c r="J5660">
        <v>-265.01249999999999</v>
      </c>
      <c r="K5660">
        <v>1.1074539999999999</v>
      </c>
      <c r="L5660">
        <v>-60.921599999999998</v>
      </c>
      <c r="M5660">
        <v>0.99970530000000002</v>
      </c>
      <c r="N5660">
        <v>-7.1712690000000001E-3</v>
      </c>
      <c r="O5660">
        <v>2.3191219999999999E-2</v>
      </c>
      <c r="P5660">
        <v>0.99058139999999995</v>
      </c>
      <c r="Q5660">
        <v>-1.0806990000000001E-2</v>
      </c>
      <c r="R5660">
        <v>0.13649890000000001</v>
      </c>
      <c r="S5660">
        <v>3.0653990000000002</v>
      </c>
      <c r="T5660">
        <v>-0.28458339999999999</v>
      </c>
      <c r="U5660">
        <v>-0.29086299999999998</v>
      </c>
      <c r="V5660">
        <v>-0.1135017</v>
      </c>
      <c r="W5660">
        <v>-3.2742399999999999E-3</v>
      </c>
      <c r="X5660">
        <v>0.99353239999999998</v>
      </c>
      <c r="Y5660">
        <v>0.1169027</v>
      </c>
      <c r="Z5660">
        <v>-7.8023179999999999E-3</v>
      </c>
      <c r="AA5660">
        <v>0.99311269999999996</v>
      </c>
      <c r="AB5660">
        <v>31</v>
      </c>
      <c r="AC5660">
        <v>0.80819999999999903</v>
      </c>
      <c r="AD5660">
        <v>-8.9217000000000102E-2</v>
      </c>
      <c r="AE5660">
        <v>-9.4119999999996595E-2</v>
      </c>
      <c r="AF5660">
        <v>0.1114977908928</v>
      </c>
      <c r="AG5660">
        <v>-8.9217000000000102E-2</v>
      </c>
      <c r="AH5660">
        <v>0.79622689636338695</v>
      </c>
      <c r="AI5660">
        <v>96.332036278388202</v>
      </c>
      <c r="AJ5660">
        <v>82.028552849718494</v>
      </c>
      <c r="AK5660">
        <v>0.80893059093808894</v>
      </c>
      <c r="AL5660">
        <v>90.187600469589299</v>
      </c>
      <c r="AM5660">
        <v>96.517248072179399</v>
      </c>
      <c r="AN5660">
        <v>0.99999999320011301</v>
      </c>
    </row>
    <row r="5661" spans="1:40" x14ac:dyDescent="0.25">
      <c r="A5661" t="str">
        <f>"20190305135939882"</f>
        <v>20190305135939882</v>
      </c>
      <c r="B5661" t="str">
        <f>"1551765579874743"</f>
        <v>1551765579874743</v>
      </c>
      <c r="C5661" t="s">
        <v>40</v>
      </c>
      <c r="D5661">
        <v>4.6220879999999998</v>
      </c>
      <c r="E5661">
        <v>0.58528639999999998</v>
      </c>
      <c r="F5661" t="s">
        <v>41</v>
      </c>
      <c r="G5661">
        <v>-264.19819999999999</v>
      </c>
      <c r="H5661">
        <v>1.0319959999999999</v>
      </c>
      <c r="I5661">
        <v>-60.998730000000002</v>
      </c>
      <c r="J5661">
        <v>-264.85919999999999</v>
      </c>
      <c r="K5661">
        <v>1.10744</v>
      </c>
      <c r="L5661">
        <v>-60.918790000000001</v>
      </c>
      <c r="M5661">
        <v>0.99972499999999997</v>
      </c>
      <c r="N5661">
        <v>-7.1448960000000004E-3</v>
      </c>
      <c r="O5661">
        <v>2.2336890000000002E-2</v>
      </c>
      <c r="P5661">
        <v>0.99056659999999996</v>
      </c>
      <c r="Q5661">
        <v>-1.089247E-2</v>
      </c>
      <c r="R5661">
        <v>0.1365992</v>
      </c>
      <c r="S5661">
        <v>3.0654599999999999</v>
      </c>
      <c r="T5661">
        <v>-0.28408309999999998</v>
      </c>
      <c r="U5661">
        <v>-0.29031370000000001</v>
      </c>
      <c r="V5661">
        <v>-0.1144515</v>
      </c>
      <c r="W5661">
        <v>-3.3821139999999999E-3</v>
      </c>
      <c r="X5661">
        <v>0.9934231</v>
      </c>
      <c r="Y5661">
        <v>0.11588569999999999</v>
      </c>
      <c r="Z5661">
        <v>-7.664723E-3</v>
      </c>
      <c r="AA5661">
        <v>0.99323300000000003</v>
      </c>
      <c r="AB5661">
        <v>31</v>
      </c>
      <c r="AC5661">
        <v>0.66100000000000103</v>
      </c>
      <c r="AD5661">
        <v>-7.5443999999999997E-2</v>
      </c>
      <c r="AE5661">
        <v>-7.9940000000000497E-2</v>
      </c>
      <c r="AF5661">
        <v>9.3484837153141404E-2</v>
      </c>
      <c r="AG5661">
        <v>-7.5443999999999997E-2</v>
      </c>
      <c r="AH5661">
        <v>0.65069496418672601</v>
      </c>
      <c r="AI5661">
        <v>96.546927122203201</v>
      </c>
      <c r="AJ5661">
        <v>81.824304887724196</v>
      </c>
      <c r="AK5661">
        <v>0.66169112759014204</v>
      </c>
      <c r="AL5661">
        <v>90.193781223576096</v>
      </c>
      <c r="AM5661">
        <v>96.572027050654299</v>
      </c>
      <c r="AN5661">
        <v>1.0000000200804799</v>
      </c>
    </row>
    <row r="5662" spans="1:40" x14ac:dyDescent="0.25">
      <c r="A5662" t="str">
        <f>"20190305135939893"</f>
        <v>20190305135939893</v>
      </c>
      <c r="B5662" t="str">
        <f>"1551765579884503"</f>
        <v>1551765579884503</v>
      </c>
      <c r="C5662" t="s">
        <v>40</v>
      </c>
      <c r="D5662">
        <v>4.9748029999999996</v>
      </c>
      <c r="E5662">
        <v>0.58528639999999998</v>
      </c>
      <c r="F5662" t="s">
        <v>41</v>
      </c>
      <c r="G5662">
        <v>-263.92079999999999</v>
      </c>
      <c r="H5662">
        <v>1.0202709999999999</v>
      </c>
      <c r="I5662">
        <v>-61.007660000000001</v>
      </c>
      <c r="J5662">
        <v>-264.70499999999998</v>
      </c>
      <c r="K5662">
        <v>1.107429</v>
      </c>
      <c r="L5662">
        <v>-60.916110000000003</v>
      </c>
      <c r="M5662">
        <v>0.99974410000000002</v>
      </c>
      <c r="N5662">
        <v>-7.1207469999999898E-3</v>
      </c>
      <c r="O5662">
        <v>2.1478130000000002E-2</v>
      </c>
      <c r="P5662">
        <v>0.99052269999999998</v>
      </c>
      <c r="Q5662">
        <v>-1.120758E-2</v>
      </c>
      <c r="R5662">
        <v>0.1368925</v>
      </c>
      <c r="S5662">
        <v>3.065369</v>
      </c>
      <c r="T5662">
        <v>-0.28460400000000002</v>
      </c>
      <c r="U5662">
        <v>-0.2895508</v>
      </c>
      <c r="V5662">
        <v>-0.11559999999999999</v>
      </c>
      <c r="W5662">
        <v>-3.7168570000000001E-3</v>
      </c>
      <c r="X5662">
        <v>0.99328890000000003</v>
      </c>
      <c r="Y5662">
        <v>0.1147963</v>
      </c>
      <c r="Z5662">
        <v>-7.5501040000000002E-3</v>
      </c>
      <c r="AA5662">
        <v>0.99336029999999997</v>
      </c>
      <c r="AB5662">
        <v>31</v>
      </c>
      <c r="AC5662">
        <v>0.78419999999999801</v>
      </c>
      <c r="AD5662">
        <v>-8.7157999999999999E-2</v>
      </c>
      <c r="AE5662">
        <v>-9.1549999999997994E-2</v>
      </c>
      <c r="AF5662">
        <v>0.107067665639122</v>
      </c>
      <c r="AG5662">
        <v>-8.7157999999999999E-2</v>
      </c>
      <c r="AH5662">
        <v>0.77263691683236002</v>
      </c>
      <c r="AI5662">
        <v>96.375677981378203</v>
      </c>
      <c r="AJ5662">
        <v>82.110518225648903</v>
      </c>
      <c r="AK5662">
        <v>0.78487438946727395</v>
      </c>
      <c r="AL5662">
        <v>90.212960708019594</v>
      </c>
      <c r="AM5662">
        <v>96.638279343593197</v>
      </c>
      <c r="AN5662">
        <v>1.00000000694458</v>
      </c>
    </row>
    <row r="5663" spans="1:40" x14ac:dyDescent="0.25">
      <c r="A5663" t="str">
        <f>"20190305135939928"</f>
        <v>20190305135939928</v>
      </c>
      <c r="B5663" t="str">
        <f>"1551765579914760"</f>
        <v>1551765579914760</v>
      </c>
      <c r="C5663" t="s">
        <v>40</v>
      </c>
      <c r="D5663">
        <v>4.661009</v>
      </c>
      <c r="E5663">
        <v>0.58528639999999998</v>
      </c>
      <c r="F5663" t="s">
        <v>41</v>
      </c>
      <c r="G5663">
        <v>-263.91480000000001</v>
      </c>
      <c r="H5663">
        <v>1.0337229999999999</v>
      </c>
      <c r="I5663">
        <v>-60.990729999999999</v>
      </c>
      <c r="J5663">
        <v>-264.2201</v>
      </c>
      <c r="K5663">
        <v>1.107391</v>
      </c>
      <c r="L5663">
        <v>-60.908540000000002</v>
      </c>
      <c r="M5663">
        <v>0.99979879999999999</v>
      </c>
      <c r="N5663">
        <v>-7.0566459999999998E-3</v>
      </c>
      <c r="O5663">
        <v>1.8779440000000001E-2</v>
      </c>
      <c r="P5663">
        <v>0.99027080000000001</v>
      </c>
      <c r="Q5663">
        <v>-1.272886E-2</v>
      </c>
      <c r="R5663">
        <v>0.13856979999999999</v>
      </c>
      <c r="S5663">
        <v>3.0653380000000001</v>
      </c>
      <c r="T5663">
        <v>-0.28577269999999999</v>
      </c>
      <c r="U5663">
        <v>-0.28860469999999999</v>
      </c>
      <c r="V5663">
        <v>-0.1199678</v>
      </c>
      <c r="W5663">
        <v>-5.286041E-3</v>
      </c>
      <c r="X5663">
        <v>0.99276370000000003</v>
      </c>
      <c r="Y5663">
        <v>0.1118305</v>
      </c>
      <c r="Z5663">
        <v>-7.1980000000000004E-3</v>
      </c>
      <c r="AA5663">
        <v>0.99370119999999895</v>
      </c>
      <c r="AB5663">
        <v>32</v>
      </c>
      <c r="AC5663">
        <v>0.30529999999998803</v>
      </c>
      <c r="AD5663">
        <v>-7.3667999999999997E-2</v>
      </c>
      <c r="AE5663">
        <v>-8.2190000000004204E-2</v>
      </c>
      <c r="AF5663">
        <v>8.33822172264123E-2</v>
      </c>
      <c r="AG5663">
        <v>-7.3667999999999997E-2</v>
      </c>
      <c r="AH5663">
        <v>0.28806375025833197</v>
      </c>
      <c r="AI5663">
        <v>103.801483849468</v>
      </c>
      <c r="AJ5663">
        <v>73.856516038576103</v>
      </c>
      <c r="AK5663">
        <v>0.30880461879072801</v>
      </c>
      <c r="AL5663">
        <v>90.302869253252098</v>
      </c>
      <c r="AM5663">
        <v>96.890341035063003</v>
      </c>
      <c r="AN5663">
        <v>0.99999998965199099</v>
      </c>
    </row>
    <row r="5664" spans="1:40" x14ac:dyDescent="0.25">
      <c r="A5664" t="str">
        <f>"20190305135939939"</f>
        <v>20190305135939939</v>
      </c>
      <c r="B5664" t="str">
        <f>"1551765579935257"</f>
        <v>1551765579935257</v>
      </c>
      <c r="C5664" t="s">
        <v>40</v>
      </c>
      <c r="D5664">
        <v>4.6236389999999998</v>
      </c>
      <c r="E5664">
        <v>0.46538499999999999</v>
      </c>
      <c r="F5664" t="s">
        <v>41</v>
      </c>
      <c r="G5664">
        <v>-263.35120000000001</v>
      </c>
      <c r="H5664">
        <v>1.024966</v>
      </c>
      <c r="I5664">
        <v>-60.989089999999997</v>
      </c>
      <c r="J5664">
        <v>-264.06380000000001</v>
      </c>
      <c r="K5664">
        <v>1.1073789999999999</v>
      </c>
      <c r="L5664">
        <v>-60.90634</v>
      </c>
      <c r="M5664">
        <v>0.99981489999999995</v>
      </c>
      <c r="N5664">
        <v>-7.0388279999999996E-3</v>
      </c>
      <c r="O5664">
        <v>1.7909919999999999E-2</v>
      </c>
      <c r="P5664">
        <v>0.99014650000000004</v>
      </c>
      <c r="Q5664">
        <v>-1.332974E-2</v>
      </c>
      <c r="R5664">
        <v>0.13940060000000001</v>
      </c>
      <c r="S5664">
        <v>3.065369</v>
      </c>
      <c r="T5664">
        <v>-0.29066399999999998</v>
      </c>
      <c r="U5664">
        <v>-0.2833252</v>
      </c>
      <c r="V5664">
        <v>-0.1216671</v>
      </c>
      <c r="W5664">
        <v>-5.8987029999999999E-3</v>
      </c>
      <c r="X5664">
        <v>0.99255340000000003</v>
      </c>
      <c r="Y5664">
        <v>0.1092641</v>
      </c>
      <c r="Z5664">
        <v>-7.1097230000000001E-3</v>
      </c>
      <c r="AA5664">
        <v>0.99398730000000002</v>
      </c>
      <c r="AB5664">
        <v>32</v>
      </c>
      <c r="AC5664">
        <v>0.712600000000009</v>
      </c>
      <c r="AD5664">
        <v>-8.2413E-2</v>
      </c>
      <c r="AE5664">
        <v>-8.2750000000004306E-2</v>
      </c>
      <c r="AF5664">
        <v>9.4255736831399498E-2</v>
      </c>
      <c r="AG5664">
        <v>-8.2413E-2</v>
      </c>
      <c r="AH5664">
        <v>0.70174256059603302</v>
      </c>
      <c r="AI5664">
        <v>96.639082669693593</v>
      </c>
      <c r="AJ5664">
        <v>82.350005826826404</v>
      </c>
      <c r="AK5664">
        <v>0.71282442988895101</v>
      </c>
      <c r="AL5664">
        <v>90.337972758331503</v>
      </c>
      <c r="AM5664">
        <v>96.988447865516704</v>
      </c>
      <c r="AN5664">
        <v>0.99999996488552501</v>
      </c>
    </row>
    <row r="5665" spans="1:40" x14ac:dyDescent="0.25">
      <c r="A5665" t="str">
        <f>"20190305135939949"</f>
        <v>20190305135939949</v>
      </c>
      <c r="B5665" t="str">
        <f>"1551765579945016"</f>
        <v>1551765579945016</v>
      </c>
      <c r="C5665" t="s">
        <v>40</v>
      </c>
      <c r="D5665">
        <v>4.5702619999999996</v>
      </c>
      <c r="E5665">
        <v>0.4678407</v>
      </c>
      <c r="F5665" t="s">
        <v>93</v>
      </c>
      <c r="G5665">
        <v>-243.00069999999999</v>
      </c>
      <c r="H5665" s="1">
        <v>-1.173852E-6</v>
      </c>
      <c r="I5665">
        <v>-56.00309</v>
      </c>
      <c r="J5665">
        <v>-263.90170000000001</v>
      </c>
      <c r="K5665">
        <v>1.1073679999999999</v>
      </c>
      <c r="L5665">
        <v>-60.904299999999999</v>
      </c>
      <c r="M5665">
        <v>0.99983069999999996</v>
      </c>
      <c r="N5665">
        <v>-7.0229749999999999E-3</v>
      </c>
      <c r="O5665">
        <v>1.7008909999999999E-2</v>
      </c>
      <c r="P5665">
        <v>0.99006830000000001</v>
      </c>
      <c r="Q5665">
        <v>-1.3935350000000001E-2</v>
      </c>
      <c r="R5665">
        <v>0.1398961</v>
      </c>
      <c r="S5665">
        <v>2.9317319999999998</v>
      </c>
      <c r="T5665">
        <v>-0.15413389999999999</v>
      </c>
      <c r="U5665">
        <v>0.68246459999999998</v>
      </c>
      <c r="V5665">
        <v>-0.1230604</v>
      </c>
      <c r="W5665">
        <v>-6.514939E-3</v>
      </c>
      <c r="X5665">
        <v>0.99237779999999998</v>
      </c>
      <c r="Y5665">
        <v>-0.20982809999999999</v>
      </c>
      <c r="Z5665">
        <v>5.4229869999999998E-3</v>
      </c>
      <c r="AA5665">
        <v>0.97772320000000001</v>
      </c>
      <c r="AB5665">
        <v>32</v>
      </c>
      <c r="AC5665">
        <v>20.901</v>
      </c>
      <c r="AD5665">
        <v>-1.107369173852</v>
      </c>
      <c r="AE5665">
        <v>4.9012099999999901</v>
      </c>
      <c r="AF5665">
        <v>-4.5329280029513104</v>
      </c>
      <c r="AG5665">
        <v>-1.107369173852</v>
      </c>
      <c r="AH5665">
        <v>20.925664743087399</v>
      </c>
      <c r="AI5665">
        <v>92.960679135588293</v>
      </c>
      <c r="AJ5665">
        <v>102.22259621751699</v>
      </c>
      <c r="AK5665">
        <v>21.439616314365999</v>
      </c>
      <c r="AL5665">
        <v>90.373281148311193</v>
      </c>
      <c r="AM5665">
        <v>97.068910857605204</v>
      </c>
      <c r="AN5665">
        <v>1.0000000022055799</v>
      </c>
    </row>
    <row r="5666" spans="1:40" x14ac:dyDescent="0.25">
      <c r="A5666" t="str">
        <f>"20190305135939961"</f>
        <v>20190305135939961</v>
      </c>
      <c r="B5666" t="str">
        <f>"1551765579954775"</f>
        <v>1551765579954775</v>
      </c>
      <c r="C5666" t="s">
        <v>40</v>
      </c>
      <c r="D5666">
        <v>4.5389530000000002</v>
      </c>
      <c r="E5666">
        <v>0.46948119999999999</v>
      </c>
      <c r="F5666" t="s">
        <v>93</v>
      </c>
      <c r="G5666">
        <v>-242.03579999999999</v>
      </c>
      <c r="H5666" s="1">
        <v>-8.6021430000000003E-7</v>
      </c>
      <c r="I5666">
        <v>-55.947760000000002</v>
      </c>
      <c r="J5666">
        <v>-263.73970000000003</v>
      </c>
      <c r="K5666">
        <v>1.1073569999999999</v>
      </c>
      <c r="L5666">
        <v>-60.90231</v>
      </c>
      <c r="M5666">
        <v>0.9998456</v>
      </c>
      <c r="N5666">
        <v>-7.0077730000000001E-3</v>
      </c>
      <c r="O5666">
        <v>1.610814E-2</v>
      </c>
      <c r="P5666">
        <v>0.98997489999999999</v>
      </c>
      <c r="Q5666">
        <v>-1.3987869999999999E-2</v>
      </c>
      <c r="R5666">
        <v>0.14054829999999999</v>
      </c>
      <c r="S5666">
        <v>2.934021</v>
      </c>
      <c r="T5666">
        <v>-0.148589</v>
      </c>
      <c r="U5666">
        <v>0.66506960000000004</v>
      </c>
      <c r="V5666">
        <v>-0.1246085</v>
      </c>
      <c r="W5666">
        <v>-6.5769579999999999E-3</v>
      </c>
      <c r="X5666">
        <v>0.99218419999999896</v>
      </c>
      <c r="Y5666">
        <v>-0.20505699999999999</v>
      </c>
      <c r="Z5666">
        <v>5.1590029999999997E-3</v>
      </c>
      <c r="AA5666">
        <v>0.97873650000000001</v>
      </c>
      <c r="AB5666">
        <v>32</v>
      </c>
      <c r="AC5666">
        <v>21.703900000000001</v>
      </c>
      <c r="AD5666">
        <v>-1.1073578602142999</v>
      </c>
      <c r="AE5666">
        <v>4.9545500000000002</v>
      </c>
      <c r="AF5666">
        <v>-4.5929251468383399</v>
      </c>
      <c r="AG5666">
        <v>-1.1073578602142999</v>
      </c>
      <c r="AH5666">
        <v>21.727136688794399</v>
      </c>
      <c r="AI5666">
        <v>92.854668120627295</v>
      </c>
      <c r="AJ5666">
        <v>101.93609999091299</v>
      </c>
      <c r="AK5666">
        <v>22.2348751183494</v>
      </c>
      <c r="AL5666">
        <v>90.376834648190197</v>
      </c>
      <c r="AM5666">
        <v>97.158303276343304</v>
      </c>
      <c r="AN5666">
        <v>1.00000001068921</v>
      </c>
    </row>
    <row r="5667" spans="1:40" x14ac:dyDescent="0.25">
      <c r="A5667" t="str">
        <f>"20190305135939972"</f>
        <v>20190305135939972</v>
      </c>
      <c r="B5667" t="str">
        <f>"1551765579964536"</f>
        <v>1551765579964536</v>
      </c>
      <c r="C5667" t="s">
        <v>40</v>
      </c>
      <c r="D5667">
        <v>4.5578450000000004</v>
      </c>
      <c r="E5667">
        <v>0.47078379999999997</v>
      </c>
      <c r="F5667" t="s">
        <v>93</v>
      </c>
      <c r="G5667">
        <v>-241.4965</v>
      </c>
      <c r="H5667" s="1">
        <v>-6.7755319999999898E-7</v>
      </c>
      <c r="I5667">
        <v>-55.944589999999998</v>
      </c>
      <c r="J5667">
        <v>-263.57530000000003</v>
      </c>
      <c r="K5667">
        <v>1.107345</v>
      </c>
      <c r="L5667">
        <v>-60.900480000000002</v>
      </c>
      <c r="M5667">
        <v>0.99986019999999998</v>
      </c>
      <c r="N5667">
        <v>-6.9940159999999996E-3</v>
      </c>
      <c r="O5667">
        <v>1.519443E-2</v>
      </c>
      <c r="P5667">
        <v>0.98989870000000002</v>
      </c>
      <c r="Q5667">
        <v>-1.3872509999999999E-2</v>
      </c>
      <c r="R5667">
        <v>0.14109669999999999</v>
      </c>
      <c r="S5667">
        <v>2.9354550000000001</v>
      </c>
      <c r="T5667">
        <v>-0.14613880000000001</v>
      </c>
      <c r="U5667">
        <v>0.65426640000000003</v>
      </c>
      <c r="V5667">
        <v>-0.1260637</v>
      </c>
      <c r="W5667">
        <v>-6.4698630000000002E-3</v>
      </c>
      <c r="X5667">
        <v>0.99200109999999997</v>
      </c>
      <c r="Y5667">
        <v>-0.20242979999999999</v>
      </c>
      <c r="Z5667">
        <v>5.050293E-3</v>
      </c>
      <c r="AA5667">
        <v>0.97928380000000004</v>
      </c>
      <c r="AB5667">
        <v>32</v>
      </c>
      <c r="AC5667">
        <v>22.078800000000001</v>
      </c>
      <c r="AD5667">
        <v>-1.1073456775532</v>
      </c>
      <c r="AE5667">
        <v>4.9558899999999904</v>
      </c>
      <c r="AF5667">
        <v>-4.6087978000672303</v>
      </c>
      <c r="AG5667">
        <v>-1.1073456775532</v>
      </c>
      <c r="AH5667">
        <v>22.098633229305399</v>
      </c>
      <c r="AI5667">
        <v>92.8083236580716</v>
      </c>
      <c r="AJ5667">
        <v>101.780503749106</v>
      </c>
      <c r="AK5667">
        <v>22.601257093685302</v>
      </c>
      <c r="AL5667">
        <v>90.370698411982005</v>
      </c>
      <c r="AM5667">
        <v>97.242339289634103</v>
      </c>
      <c r="AN5667">
        <v>1.0000000489930601</v>
      </c>
    </row>
    <row r="5668" spans="1:40" x14ac:dyDescent="0.25">
      <c r="A5668" t="str">
        <f>"20190305135939983"</f>
        <v>20190305135939983</v>
      </c>
      <c r="B5668" t="str">
        <f>"1551765579975272"</f>
        <v>1551765579975272</v>
      </c>
      <c r="C5668" t="s">
        <v>40</v>
      </c>
      <c r="D5668">
        <v>4.5364930000000001</v>
      </c>
      <c r="E5668">
        <v>0.47164859999999997</v>
      </c>
      <c r="F5668" t="s">
        <v>93</v>
      </c>
      <c r="G5668">
        <v>-241.3287</v>
      </c>
      <c r="H5668" s="1">
        <v>-6.0306959999999899E-7</v>
      </c>
      <c r="I5668">
        <v>-56.009929999999997</v>
      </c>
      <c r="J5668">
        <v>-263.42770000000002</v>
      </c>
      <c r="K5668">
        <v>1.1073329999999999</v>
      </c>
      <c r="L5668">
        <v>-60.898960000000002</v>
      </c>
      <c r="M5668">
        <v>0.99987239999999999</v>
      </c>
      <c r="N5668">
        <v>-6.9826200000000001E-3</v>
      </c>
      <c r="O5668">
        <v>1.437453E-2</v>
      </c>
      <c r="P5668">
        <v>0.98977680000000001</v>
      </c>
      <c r="Q5668">
        <v>-1.383026E-2</v>
      </c>
      <c r="R5668">
        <v>0.14195379999999999</v>
      </c>
      <c r="S5668">
        <v>2.9365230000000002</v>
      </c>
      <c r="T5668">
        <v>-0.1461684</v>
      </c>
      <c r="U5668">
        <v>0.64553830000000001</v>
      </c>
      <c r="V5668">
        <v>-0.12773570000000001</v>
      </c>
      <c r="W5668">
        <v>-6.4330289999999998E-3</v>
      </c>
      <c r="X5668">
        <v>0.99178739999999999</v>
      </c>
      <c r="Y5668">
        <v>-0.2003839</v>
      </c>
      <c r="Z5668">
        <v>5.026544E-3</v>
      </c>
      <c r="AA5668">
        <v>0.97970460000000004</v>
      </c>
      <c r="AB5668">
        <v>32</v>
      </c>
      <c r="AC5668">
        <v>22.099</v>
      </c>
      <c r="AD5668">
        <v>-1.1073336030695999</v>
      </c>
      <c r="AE5668">
        <v>4.8890299999999902</v>
      </c>
      <c r="AF5668">
        <v>-4.5599395278869901</v>
      </c>
      <c r="AG5668">
        <v>-1.1073336030695999</v>
      </c>
      <c r="AH5668">
        <v>22.1140626881351</v>
      </c>
      <c r="AI5668">
        <v>92.807648990119105</v>
      </c>
      <c r="AJ5668">
        <v>101.651141874533</v>
      </c>
      <c r="AK5668">
        <v>22.606437242105201</v>
      </c>
      <c r="AL5668">
        <v>90.368587946161099</v>
      </c>
      <c r="AM5668">
        <v>97.338919146462601</v>
      </c>
      <c r="AN5668">
        <v>1.0000000198576799</v>
      </c>
    </row>
    <row r="5669" spans="1:40" x14ac:dyDescent="0.25">
      <c r="A5669" t="str">
        <f>"20190305135939993"</f>
        <v>20190305135939993</v>
      </c>
      <c r="B5669" t="str">
        <f>"1551765579985032"</f>
        <v>1551765579985032</v>
      </c>
      <c r="C5669" t="s">
        <v>40</v>
      </c>
      <c r="D5669">
        <v>4.5480619999999998</v>
      </c>
      <c r="E5669">
        <v>0.47251389999999999</v>
      </c>
      <c r="F5669" t="s">
        <v>93</v>
      </c>
      <c r="G5669">
        <v>-240.93459999999999</v>
      </c>
      <c r="H5669" s="1">
        <v>-4.7505680000000001E-7</v>
      </c>
      <c r="I5669">
        <v>-55.987009999999998</v>
      </c>
      <c r="J5669">
        <v>-263.26900000000001</v>
      </c>
      <c r="K5669">
        <v>1.1073219999999999</v>
      </c>
      <c r="L5669">
        <v>-60.897399999999998</v>
      </c>
      <c r="M5669">
        <v>0.99988469999999996</v>
      </c>
      <c r="N5669">
        <v>-6.9714319999999996E-3</v>
      </c>
      <c r="O5669">
        <v>1.3493109999999999E-2</v>
      </c>
      <c r="P5669">
        <v>0.98965139999999996</v>
      </c>
      <c r="Q5669">
        <v>-1.3736780000000001E-2</v>
      </c>
      <c r="R5669">
        <v>0.14283280000000001</v>
      </c>
      <c r="S5669">
        <v>2.9369809999999998</v>
      </c>
      <c r="T5669">
        <v>-0.1445874</v>
      </c>
      <c r="U5669">
        <v>0.64135739999999997</v>
      </c>
      <c r="V5669">
        <v>-0.12949059999999901</v>
      </c>
      <c r="W5669">
        <v>-6.3444349999999998E-3</v>
      </c>
      <c r="X5669">
        <v>0.99156029999999995</v>
      </c>
      <c r="Y5669">
        <v>-0.19988980000000001</v>
      </c>
      <c r="Z5669">
        <v>5.0025540000000002E-3</v>
      </c>
      <c r="AA5669">
        <v>0.97980560000000005</v>
      </c>
      <c r="AB5669">
        <v>32</v>
      </c>
      <c r="AC5669">
        <v>22.334399999999999</v>
      </c>
      <c r="AD5669">
        <v>-1.10732247505679</v>
      </c>
      <c r="AE5669">
        <v>4.9103899999999996</v>
      </c>
      <c r="AF5669">
        <v>-4.59779439905956</v>
      </c>
      <c r="AG5669">
        <v>-1.10732247505679</v>
      </c>
      <c r="AH5669">
        <v>22.346228141225701</v>
      </c>
      <c r="AI5669">
        <v>92.778742827577503</v>
      </c>
      <c r="AJ5669">
        <v>101.626501480446</v>
      </c>
      <c r="AK5669">
        <v>22.841186233195</v>
      </c>
      <c r="AL5669">
        <v>90.363511806518204</v>
      </c>
      <c r="AM5669">
        <v>97.440308021612196</v>
      </c>
      <c r="AN5669">
        <v>0.99999994793995794</v>
      </c>
    </row>
    <row r="5670" spans="1:40" x14ac:dyDescent="0.25">
      <c r="A5670" t="str">
        <f>"20190305135940004"</f>
        <v>20190305135940004</v>
      </c>
      <c r="B5670" t="str">
        <f>"1551765579994792"</f>
        <v>1551765579994792</v>
      </c>
      <c r="C5670" t="s">
        <v>40</v>
      </c>
      <c r="D5670">
        <v>4.5014599999999998</v>
      </c>
      <c r="E5670">
        <v>0.47323589999999999</v>
      </c>
      <c r="F5670" t="s">
        <v>93</v>
      </c>
      <c r="G5670">
        <v>-240.4607</v>
      </c>
      <c r="H5670" s="1">
        <v>-3.2385840000000001E-7</v>
      </c>
      <c r="I5670">
        <v>-55.949080000000002</v>
      </c>
      <c r="J5670">
        <v>-263.11790000000002</v>
      </c>
      <c r="K5670">
        <v>1.1073109999999999</v>
      </c>
      <c r="L5670">
        <v>-60.896149999999999</v>
      </c>
      <c r="M5670">
        <v>0.9998958</v>
      </c>
      <c r="N5670">
        <v>-6.961844E-3</v>
      </c>
      <c r="O5670">
        <v>1.2653589999999999E-2</v>
      </c>
      <c r="P5670">
        <v>0.98952969999999896</v>
      </c>
      <c r="Q5670">
        <v>-1.398897E-2</v>
      </c>
      <c r="R5670">
        <v>0.1436501</v>
      </c>
      <c r="S5670">
        <v>2.937408</v>
      </c>
      <c r="T5670">
        <v>-0.14260819999999999</v>
      </c>
      <c r="U5670">
        <v>0.6372681</v>
      </c>
      <c r="V5670">
        <v>-0.1311427</v>
      </c>
      <c r="W5670">
        <v>-6.6002650000000001E-3</v>
      </c>
      <c r="X5670">
        <v>0.99134149999999999</v>
      </c>
      <c r="Y5670">
        <v>-0.1993867</v>
      </c>
      <c r="Z5670">
        <v>4.9645050000000001E-3</v>
      </c>
      <c r="AA5670">
        <v>0.97990829999999995</v>
      </c>
      <c r="AB5670">
        <v>32</v>
      </c>
      <c r="AC5670">
        <v>22.6572</v>
      </c>
      <c r="AD5670">
        <v>-1.1073113238584</v>
      </c>
      <c r="AE5670">
        <v>4.9470699999999903</v>
      </c>
      <c r="AF5670">
        <v>-4.6493723426312004</v>
      </c>
      <c r="AG5670">
        <v>-1.1073113238584</v>
      </c>
      <c r="AH5670">
        <v>22.666310555914201</v>
      </c>
      <c r="AI5670">
        <v>92.739875170133502</v>
      </c>
      <c r="AJ5670">
        <v>101.59186671549701</v>
      </c>
      <c r="AK5670">
        <v>23.164723951852199</v>
      </c>
      <c r="AL5670">
        <v>90.378170085115201</v>
      </c>
      <c r="AM5670">
        <v>97.535794879585495</v>
      </c>
      <c r="AN5670">
        <v>0.999999970441804</v>
      </c>
    </row>
    <row r="5671" spans="1:40" x14ac:dyDescent="0.25">
      <c r="A5671" t="str">
        <f>"20190305135940027"</f>
        <v>20190305135940027</v>
      </c>
      <c r="B5671" t="str">
        <f>"1551765580025047"</f>
        <v>1551765580025047</v>
      </c>
      <c r="C5671" t="s">
        <v>40</v>
      </c>
      <c r="D5671">
        <v>4.5370419999999996</v>
      </c>
      <c r="E5671">
        <v>0.47490179999999999</v>
      </c>
      <c r="F5671" t="s">
        <v>93</v>
      </c>
      <c r="G5671">
        <v>-240.27539999999999</v>
      </c>
      <c r="H5671" s="1">
        <v>-2.563276E-7</v>
      </c>
      <c r="I5671">
        <v>-55.965859999999999</v>
      </c>
      <c r="J5671">
        <v>-262.7944</v>
      </c>
      <c r="K5671">
        <v>1.107286</v>
      </c>
      <c r="L5671">
        <v>-60.893770000000004</v>
      </c>
      <c r="M5671">
        <v>0.99991699999999994</v>
      </c>
      <c r="N5671">
        <v>-6.9439360000000004E-3</v>
      </c>
      <c r="O5671">
        <v>1.085883E-2</v>
      </c>
      <c r="P5671">
        <v>0.98930899999999999</v>
      </c>
      <c r="Q5671">
        <v>-1.458011E-2</v>
      </c>
      <c r="R5671">
        <v>0.14510429999999999</v>
      </c>
      <c r="S5671">
        <v>2.9377140000000002</v>
      </c>
      <c r="T5671">
        <v>-0.14240839999999999</v>
      </c>
      <c r="U5671">
        <v>0.63406370000000001</v>
      </c>
      <c r="V5671">
        <v>-0.13438039999999901</v>
      </c>
      <c r="W5671">
        <v>-7.1974279999999996E-3</v>
      </c>
      <c r="X5671">
        <v>0.99090370000000005</v>
      </c>
      <c r="Y5671">
        <v>-0.20010159999999999</v>
      </c>
      <c r="Z5671">
        <v>5.0498260000000003E-3</v>
      </c>
      <c r="AA5671">
        <v>0.97976209999999997</v>
      </c>
      <c r="AB5671">
        <v>32</v>
      </c>
      <c r="AC5671">
        <v>22.518999999999998</v>
      </c>
      <c r="AD5671">
        <v>-1.1072862563276</v>
      </c>
      <c r="AE5671">
        <v>4.92790999999999</v>
      </c>
      <c r="AF5671">
        <v>-4.6723031000093798</v>
      </c>
      <c r="AG5671">
        <v>-1.1072862563276</v>
      </c>
      <c r="AH5671">
        <v>22.519225937929999</v>
      </c>
      <c r="AI5671">
        <v>92.756396361783203</v>
      </c>
      <c r="AJ5671">
        <v>101.72145675228801</v>
      </c>
      <c r="AK5671">
        <v>23.025464945476099</v>
      </c>
      <c r="AL5671">
        <v>90.412385800527602</v>
      </c>
      <c r="AM5671">
        <v>97.722994073401594</v>
      </c>
      <c r="AN5671">
        <v>1.00000001877383</v>
      </c>
    </row>
    <row r="5672" spans="1:40" x14ac:dyDescent="0.25">
      <c r="A5672" t="str">
        <f>"20190305135940038"</f>
        <v>20190305135940038</v>
      </c>
      <c r="B5672" t="str">
        <f>"1551765580034808"</f>
        <v>1551765580034808</v>
      </c>
      <c r="C5672" t="s">
        <v>40</v>
      </c>
      <c r="D5672">
        <v>4.5123049999999996</v>
      </c>
      <c r="E5672">
        <v>0.47523379999999998</v>
      </c>
      <c r="F5672" t="s">
        <v>93</v>
      </c>
      <c r="G5672">
        <v>-240.142</v>
      </c>
      <c r="H5672" s="1">
        <v>-1.82107E-7</v>
      </c>
      <c r="I5672">
        <v>-56.074179999999998</v>
      </c>
      <c r="J5672">
        <v>-262.6327</v>
      </c>
      <c r="K5672">
        <v>1.1072759999999999</v>
      </c>
      <c r="L5672">
        <v>-60.89273</v>
      </c>
      <c r="M5672">
        <v>0.99992639999999999</v>
      </c>
      <c r="N5672">
        <v>-6.9359440000000003E-3</v>
      </c>
      <c r="O5672">
        <v>9.9614209999999998E-3</v>
      </c>
      <c r="P5672">
        <v>0.98923930000000004</v>
      </c>
      <c r="Q5672">
        <v>-1.5222329999999999E-2</v>
      </c>
      <c r="R5672">
        <v>0.14551329999999901</v>
      </c>
      <c r="S5672">
        <v>2.938599</v>
      </c>
      <c r="T5672">
        <v>-0.14364299999999999</v>
      </c>
      <c r="U5672">
        <v>0.62521359999999904</v>
      </c>
      <c r="V5672">
        <v>-0.13568229999999901</v>
      </c>
      <c r="W5672">
        <v>-7.8425990000000004E-3</v>
      </c>
      <c r="X5672">
        <v>0.99072130000000003</v>
      </c>
      <c r="Y5672">
        <v>-0.1980963</v>
      </c>
      <c r="Z5672">
        <v>5.0675090000000004E-3</v>
      </c>
      <c r="AA5672">
        <v>0.98016950000000003</v>
      </c>
      <c r="AB5672">
        <v>32</v>
      </c>
      <c r="AC5672">
        <v>22.4907</v>
      </c>
      <c r="AD5672">
        <v>-1.1072761821070001</v>
      </c>
      <c r="AE5672">
        <v>4.8185500000000001</v>
      </c>
      <c r="AF5672">
        <v>-4.5836437230544096</v>
      </c>
      <c r="AG5672">
        <v>-1.1072761821070001</v>
      </c>
      <c r="AH5672">
        <v>22.485475257577601</v>
      </c>
      <c r="AI5672">
        <v>92.762477969067405</v>
      </c>
      <c r="AJ5672">
        <v>101.521829224984</v>
      </c>
      <c r="AK5672">
        <v>22.974604411882499</v>
      </c>
      <c r="AL5672">
        <v>90.449352454884007</v>
      </c>
      <c r="AM5672">
        <v>97.798317592979998</v>
      </c>
      <c r="AN5672">
        <v>0.99999994358302502</v>
      </c>
    </row>
    <row r="5673" spans="1:40" x14ac:dyDescent="0.25">
      <c r="A5673" t="str">
        <f>"20190305135940050"</f>
        <v>20190305135940050</v>
      </c>
      <c r="B5673" t="str">
        <f>"1551765580044567"</f>
        <v>1551765580044567</v>
      </c>
      <c r="C5673" t="s">
        <v>40</v>
      </c>
      <c r="D5673">
        <v>4.5565429999999996</v>
      </c>
      <c r="E5673">
        <v>0.47556809999999999</v>
      </c>
      <c r="F5673" t="s">
        <v>93</v>
      </c>
      <c r="G5673">
        <v>-240.37909999999999</v>
      </c>
      <c r="H5673" s="1">
        <v>-2.3734869999999999E-7</v>
      </c>
      <c r="I5673">
        <v>-56.169910000000002</v>
      </c>
      <c r="J5673">
        <v>-262.45580000000001</v>
      </c>
      <c r="K5673">
        <v>1.107259</v>
      </c>
      <c r="L5673">
        <v>-60.89188</v>
      </c>
      <c r="M5673">
        <v>0.99993569999999998</v>
      </c>
      <c r="N5673">
        <v>-6.9286E-3</v>
      </c>
      <c r="O5673">
        <v>8.9810919999999995E-3</v>
      </c>
      <c r="P5673">
        <v>0.98913859999999998</v>
      </c>
      <c r="Q5673">
        <v>-1.565155E-2</v>
      </c>
      <c r="R5673">
        <v>0.1461509</v>
      </c>
      <c r="S5673">
        <v>2.93866</v>
      </c>
      <c r="T5673">
        <v>-0.14621960000000001</v>
      </c>
      <c r="U5673">
        <v>0.62365719999999902</v>
      </c>
      <c r="V5673">
        <v>-0.13729349999999901</v>
      </c>
      <c r="W5673">
        <v>-8.2731100000000002E-3</v>
      </c>
      <c r="X5673">
        <v>0.99049589999999998</v>
      </c>
      <c r="Y5673">
        <v>-0.19854649999999999</v>
      </c>
      <c r="Z5673">
        <v>5.19806E-3</v>
      </c>
      <c r="AA5673">
        <v>0.98007770000000005</v>
      </c>
      <c r="AB5673">
        <v>32</v>
      </c>
      <c r="AC5673">
        <v>22.076699999999999</v>
      </c>
      <c r="AD5673">
        <v>-1.1072592373487</v>
      </c>
      <c r="AE5673">
        <v>4.7219700000000104</v>
      </c>
      <c r="AF5673">
        <v>-4.5126468107988504</v>
      </c>
      <c r="AG5673">
        <v>-1.1072592373487</v>
      </c>
      <c r="AH5673">
        <v>22.065141639015799</v>
      </c>
      <c r="AI5673">
        <v>92.814608723071998</v>
      </c>
      <c r="AJ5673">
        <v>101.558441904739</v>
      </c>
      <c r="AK5673">
        <v>22.5490682691666</v>
      </c>
      <c r="AL5673">
        <v>90.474019675533597</v>
      </c>
      <c r="AM5673">
        <v>97.891534354493501</v>
      </c>
      <c r="AN5673">
        <v>1.00000003870406</v>
      </c>
    </row>
    <row r="5674" spans="1:40" x14ac:dyDescent="0.25">
      <c r="A5674" t="str">
        <f>"20190305135940062"</f>
        <v>20190305135940062</v>
      </c>
      <c r="B5674" t="str">
        <f>"1551765580054328"</f>
        <v>1551765580054328</v>
      </c>
      <c r="C5674" t="s">
        <v>40</v>
      </c>
      <c r="D5674">
        <v>4.5504199999999999</v>
      </c>
      <c r="E5674">
        <v>0.47590260000000001</v>
      </c>
      <c r="F5674" t="s">
        <v>93</v>
      </c>
      <c r="G5674">
        <v>-240.4271</v>
      </c>
      <c r="H5674" s="1">
        <v>-2.396487E-7</v>
      </c>
      <c r="I5674">
        <v>-56.222670000000001</v>
      </c>
      <c r="J5674">
        <v>-262.28980000000001</v>
      </c>
      <c r="K5674">
        <v>1.107246</v>
      </c>
      <c r="L5674">
        <v>-60.891170000000002</v>
      </c>
      <c r="M5674">
        <v>0.99994360000000004</v>
      </c>
      <c r="N5674">
        <v>-6.9221589999999998E-3</v>
      </c>
      <c r="O5674">
        <v>8.0600080000000004E-3</v>
      </c>
      <c r="P5674">
        <v>0.98906620000000001</v>
      </c>
      <c r="Q5674">
        <v>-1.5839990000000002E-2</v>
      </c>
      <c r="R5674">
        <v>0.1466201</v>
      </c>
      <c r="S5674">
        <v>2.9386290000000002</v>
      </c>
      <c r="T5674">
        <v>-0.14770839999999999</v>
      </c>
      <c r="U5674">
        <v>0.62286379999999997</v>
      </c>
      <c r="V5674">
        <v>-0.1386761</v>
      </c>
      <c r="W5674">
        <v>-8.4626230000000007E-3</v>
      </c>
      <c r="X5674">
        <v>0.9903016</v>
      </c>
      <c r="Y5674">
        <v>-0.19919129999999999</v>
      </c>
      <c r="Z5674">
        <v>5.3003859999999998E-3</v>
      </c>
      <c r="AA5674">
        <v>0.97994630000000005</v>
      </c>
      <c r="AB5674">
        <v>32</v>
      </c>
      <c r="AC5674">
        <v>21.8627</v>
      </c>
      <c r="AD5674">
        <v>-1.1072462396486999</v>
      </c>
      <c r="AE5674">
        <v>4.6684999999999999</v>
      </c>
      <c r="AF5674">
        <v>-4.4811378980456302</v>
      </c>
      <c r="AG5674">
        <v>-1.1072462396486999</v>
      </c>
      <c r="AH5674">
        <v>21.846028272053299</v>
      </c>
      <c r="AI5674">
        <v>92.842419853495002</v>
      </c>
      <c r="AJ5674">
        <v>101.591927075161</v>
      </c>
      <c r="AK5674">
        <v>22.328357359194001</v>
      </c>
      <c r="AL5674">
        <v>90.484878384733506</v>
      </c>
      <c r="AM5674">
        <v>97.971532668839899</v>
      </c>
      <c r="AN5674">
        <v>0.99999996783090395</v>
      </c>
    </row>
    <row r="5675" spans="1:40" x14ac:dyDescent="0.25">
      <c r="A5675" t="str">
        <f>"20190305135940072"</f>
        <v>20190305135940072</v>
      </c>
      <c r="B5675" t="str">
        <f>"1551765580065064"</f>
        <v>1551765580065064</v>
      </c>
      <c r="C5675" t="s">
        <v>40</v>
      </c>
      <c r="D5675">
        <v>4.5746140000000004</v>
      </c>
      <c r="E5675">
        <v>0.47610999999999998</v>
      </c>
      <c r="F5675" t="s">
        <v>93</v>
      </c>
      <c r="G5675">
        <v>-240.3177</v>
      </c>
      <c r="H5675" s="1">
        <v>-1.9690579999999999E-7</v>
      </c>
      <c r="I5675">
        <v>-56.243380000000002</v>
      </c>
      <c r="J5675">
        <v>-262.12990000000002</v>
      </c>
      <c r="K5675">
        <v>1.1072340000000001</v>
      </c>
      <c r="L5675">
        <v>-60.890659999999997</v>
      </c>
      <c r="M5675">
        <v>0.99995049999999996</v>
      </c>
      <c r="N5675">
        <v>-6.9167999999999999E-3</v>
      </c>
      <c r="O5675">
        <v>7.174265E-3</v>
      </c>
      <c r="P5675">
        <v>0.98896050000000002</v>
      </c>
      <c r="Q5675">
        <v>-1.617416E-2</v>
      </c>
      <c r="R5675">
        <v>0.1472946</v>
      </c>
      <c r="S5675">
        <v>2.93866</v>
      </c>
      <c r="T5675">
        <v>-0.1480889</v>
      </c>
      <c r="U5675">
        <v>0.62161250000000001</v>
      </c>
      <c r="V5675">
        <v>-0.1402301</v>
      </c>
      <c r="W5675">
        <v>-8.7963929999999996E-3</v>
      </c>
      <c r="X5675">
        <v>0.99007990000000001</v>
      </c>
      <c r="Y5675">
        <v>-0.1996551</v>
      </c>
      <c r="Z5675">
        <v>5.3628499999999997E-3</v>
      </c>
      <c r="AA5675">
        <v>0.97985149999999999</v>
      </c>
      <c r="AB5675">
        <v>32</v>
      </c>
      <c r="AC5675">
        <v>21.812200000000001</v>
      </c>
      <c r="AD5675">
        <v>-1.1072341969057999</v>
      </c>
      <c r="AE5675">
        <v>4.6472799999999896</v>
      </c>
      <c r="AF5675">
        <v>-4.4796283188661503</v>
      </c>
      <c r="AG5675">
        <v>-1.1072341969057999</v>
      </c>
      <c r="AH5675">
        <v>21.791266856330498</v>
      </c>
      <c r="AI5675">
        <v>92.849270047911901</v>
      </c>
      <c r="AJ5675">
        <v>101.61645810001799</v>
      </c>
      <c r="AK5675">
        <v>22.274477516785701</v>
      </c>
      <c r="AL5675">
        <v>90.504002677046898</v>
      </c>
      <c r="AM5675">
        <v>98.061475054381404</v>
      </c>
      <c r="AN5675">
        <v>1.0000000329299099</v>
      </c>
    </row>
    <row r="5676" spans="1:40" x14ac:dyDescent="0.25">
      <c r="A5676" t="str">
        <f>"20190305135940083"</f>
        <v>20190305135940083</v>
      </c>
      <c r="B5676" t="str">
        <f>"1551765580074823"</f>
        <v>1551765580074823</v>
      </c>
      <c r="C5676" t="s">
        <v>40</v>
      </c>
      <c r="D5676">
        <v>4.620692</v>
      </c>
      <c r="E5676">
        <v>0.47655999999999998</v>
      </c>
      <c r="F5676" t="s">
        <v>93</v>
      </c>
      <c r="G5676">
        <v>-240.21430000000001</v>
      </c>
      <c r="H5676" s="1">
        <v>-1.59578899999999E-7</v>
      </c>
      <c r="I5676">
        <v>-56.251399999999997</v>
      </c>
      <c r="J5676">
        <v>-261.97820000000002</v>
      </c>
      <c r="K5676">
        <v>1.107221</v>
      </c>
      <c r="L5676">
        <v>-60.890320000000003</v>
      </c>
      <c r="M5676">
        <v>0.99995610000000001</v>
      </c>
      <c r="N5676">
        <v>-6.9122709999999898E-3</v>
      </c>
      <c r="O5676">
        <v>6.3334630000000001E-3</v>
      </c>
      <c r="P5676">
        <v>0.98887009999999997</v>
      </c>
      <c r="Q5676">
        <v>-1.6133049999999999E-2</v>
      </c>
      <c r="R5676">
        <v>0.147904799999999</v>
      </c>
      <c r="S5676">
        <v>2.9383849999999998</v>
      </c>
      <c r="T5676">
        <v>-0.148454799999999</v>
      </c>
      <c r="U5676">
        <v>0.62200929999999999</v>
      </c>
      <c r="V5676">
        <v>-0.1416732</v>
      </c>
      <c r="W5676">
        <v>-8.7543710000000004E-3</v>
      </c>
      <c r="X5676">
        <v>0.98987480000000005</v>
      </c>
      <c r="Y5676">
        <v>-0.20062070000000001</v>
      </c>
      <c r="Z5676">
        <v>5.4378300000000003E-3</v>
      </c>
      <c r="AA5676">
        <v>0.97965389999999997</v>
      </c>
      <c r="AB5676">
        <v>32</v>
      </c>
      <c r="AC5676">
        <v>21.7639</v>
      </c>
      <c r="AD5676">
        <v>-1.1072211595788899</v>
      </c>
      <c r="AE5676">
        <v>4.6389199999999899</v>
      </c>
      <c r="AF5676">
        <v>-4.4898672082608302</v>
      </c>
      <c r="AG5676">
        <v>-1.1072211595788899</v>
      </c>
      <c r="AH5676">
        <v>21.739025099468599</v>
      </c>
      <c r="AI5676">
        <v>92.855528502354602</v>
      </c>
      <c r="AJ5676">
        <v>101.669496793181</v>
      </c>
      <c r="AK5676">
        <v>22.2254371952356</v>
      </c>
      <c r="AL5676">
        <v>90.501594904072405</v>
      </c>
      <c r="AM5676">
        <v>98.144992715884797</v>
      </c>
      <c r="AN5676">
        <v>1.0000000271424401</v>
      </c>
    </row>
    <row r="5677" spans="1:40" x14ac:dyDescent="0.25">
      <c r="A5677" t="str">
        <f>"20190305135940094"</f>
        <v>20190305135940094</v>
      </c>
      <c r="B5677" t="str">
        <f>"1551765580084584"</f>
        <v>1551765580084584</v>
      </c>
      <c r="C5677" t="s">
        <v>40</v>
      </c>
      <c r="D5677">
        <v>4.5440290000000001</v>
      </c>
      <c r="E5677">
        <v>0.4767805</v>
      </c>
      <c r="F5677" t="s">
        <v>94</v>
      </c>
      <c r="G5677">
        <v>-239.85480000000001</v>
      </c>
      <c r="H5677" s="1">
        <v>-3.9534010000000004E-6</v>
      </c>
      <c r="I5677">
        <v>-56.219810000000003</v>
      </c>
      <c r="J5677">
        <v>-261.82060000000001</v>
      </c>
      <c r="K5677">
        <v>1.10721</v>
      </c>
      <c r="L5677">
        <v>-60.890050000000002</v>
      </c>
      <c r="M5677">
        <v>0.99996130000000005</v>
      </c>
      <c r="N5677">
        <v>-6.9080900000000004E-3</v>
      </c>
      <c r="O5677">
        <v>5.4600530000000003E-3</v>
      </c>
      <c r="P5677">
        <v>0.98880760000000001</v>
      </c>
      <c r="Q5677">
        <v>-1.6398860000000001E-2</v>
      </c>
      <c r="R5677">
        <v>0.14829189999999901</v>
      </c>
      <c r="S5677">
        <v>2.938599</v>
      </c>
      <c r="T5677">
        <v>-0.14706949999999999</v>
      </c>
      <c r="U5677">
        <v>0.6203613</v>
      </c>
      <c r="V5677">
        <v>-0.14292589999999999</v>
      </c>
      <c r="W5677">
        <v>-9.0194360000000005E-3</v>
      </c>
      <c r="X5677">
        <v>0.98969229999999997</v>
      </c>
      <c r="Y5677">
        <v>-0.2009396</v>
      </c>
      <c r="Z5677">
        <v>5.4397580000000003E-3</v>
      </c>
      <c r="AA5677">
        <v>0.97958849999999997</v>
      </c>
      <c r="AB5677">
        <v>32</v>
      </c>
      <c r="AC5677">
        <v>21.965800000000002</v>
      </c>
      <c r="AD5677">
        <v>-1.1072139534009999</v>
      </c>
      <c r="AE5677">
        <v>4.6702399999999997</v>
      </c>
      <c r="AF5677">
        <v>-4.5391987425356204</v>
      </c>
      <c r="AG5677">
        <v>-1.1072139534009999</v>
      </c>
      <c r="AH5677">
        <v>21.9376446321182</v>
      </c>
      <c r="AI5677">
        <v>92.829486736691095</v>
      </c>
      <c r="AJ5677">
        <v>101.69031016829901</v>
      </c>
      <c r="AK5677">
        <v>22.429678998326001</v>
      </c>
      <c r="AL5677">
        <v>90.516782620232306</v>
      </c>
      <c r="AM5677">
        <v>98.217527558280906</v>
      </c>
      <c r="AN5677">
        <v>1.0000000058979199</v>
      </c>
    </row>
    <row r="5678" spans="1:40" x14ac:dyDescent="0.25">
      <c r="A5678" t="str">
        <f>"20190305135940105"</f>
        <v>20190305135940105</v>
      </c>
      <c r="B5678" t="str">
        <f>"1551765580094344"</f>
        <v>1551765580094344</v>
      </c>
      <c r="C5678" t="s">
        <v>40</v>
      </c>
      <c r="D5678">
        <v>4.5493420000000002</v>
      </c>
      <c r="E5678">
        <v>0.47702</v>
      </c>
      <c r="F5678" t="s">
        <v>94</v>
      </c>
      <c r="G5678">
        <v>-239.7627</v>
      </c>
      <c r="H5678" s="1">
        <v>-3.9106829999999998E-6</v>
      </c>
      <c r="I5678">
        <v>-56.237909999999999</v>
      </c>
      <c r="J5678">
        <v>-261.66629999999998</v>
      </c>
      <c r="K5678">
        <v>1.1072010000000001</v>
      </c>
      <c r="L5678">
        <v>-60.889949999999999</v>
      </c>
      <c r="M5678">
        <v>0.99996569999999996</v>
      </c>
      <c r="N5678">
        <v>-6.9045240000000004E-3</v>
      </c>
      <c r="O5678">
        <v>4.6054759999999998E-3</v>
      </c>
      <c r="P5678">
        <v>0.98870210000000003</v>
      </c>
      <c r="Q5678">
        <v>-1.6629479999999999E-2</v>
      </c>
      <c r="R5678">
        <v>0.14897009999999999</v>
      </c>
      <c r="S5678">
        <v>2.9385680000000001</v>
      </c>
      <c r="T5678">
        <v>-0.14750360000000001</v>
      </c>
      <c r="U5678">
        <v>0.61975100000000005</v>
      </c>
      <c r="V5678">
        <v>-0.14445160000000001</v>
      </c>
      <c r="W5678">
        <v>-9.2479569999999994E-3</v>
      </c>
      <c r="X5678">
        <v>0.98946860000000003</v>
      </c>
      <c r="Y5678">
        <v>-0.2015807</v>
      </c>
      <c r="Z5678">
        <v>5.5080750000000003E-3</v>
      </c>
      <c r="AA5678">
        <v>0.9794564</v>
      </c>
      <c r="AB5678">
        <v>32</v>
      </c>
      <c r="AC5678">
        <v>21.903599999999901</v>
      </c>
      <c r="AD5678">
        <v>-1.107204910683</v>
      </c>
      <c r="AE5678">
        <v>4.6520400000000004</v>
      </c>
      <c r="AF5678">
        <v>-4.5400118249309802</v>
      </c>
      <c r="AG5678">
        <v>-1.107204910683</v>
      </c>
      <c r="AH5678">
        <v>21.871319548286099</v>
      </c>
      <c r="AI5678">
        <v>92.837655859544498</v>
      </c>
      <c r="AJ5678">
        <v>101.72682321614199</v>
      </c>
      <c r="AK5678">
        <v>22.364977730102801</v>
      </c>
      <c r="AL5678">
        <v>90.529876484860793</v>
      </c>
      <c r="AM5678">
        <v>98.305881971083394</v>
      </c>
      <c r="AN5678">
        <v>0.99999994991859498</v>
      </c>
    </row>
    <row r="5679" spans="1:40" x14ac:dyDescent="0.25">
      <c r="A5679" t="str">
        <f>"20190305135940115"</f>
        <v>20190305135940115</v>
      </c>
      <c r="B5679" t="str">
        <f>"1551765580105080"</f>
        <v>1551765580105080</v>
      </c>
      <c r="C5679" t="s">
        <v>40</v>
      </c>
      <c r="D5679">
        <v>4.7807969999999997</v>
      </c>
      <c r="E5679">
        <v>0.47733300000000001</v>
      </c>
      <c r="F5679" t="s">
        <v>94</v>
      </c>
      <c r="G5679">
        <v>-239.6799</v>
      </c>
      <c r="H5679" s="1">
        <v>-3.8727969999999997E-6</v>
      </c>
      <c r="I5679">
        <v>-56.251440000000002</v>
      </c>
      <c r="J5679">
        <v>-261.50380000000001</v>
      </c>
      <c r="K5679">
        <v>1.107189</v>
      </c>
      <c r="L5679">
        <v>-60.889919999999996</v>
      </c>
      <c r="M5679">
        <v>0.99996940000000001</v>
      </c>
      <c r="N5679">
        <v>-6.9010629999999998E-3</v>
      </c>
      <c r="O5679">
        <v>3.7058949999999998E-3</v>
      </c>
      <c r="P5679">
        <v>0.98863920000000005</v>
      </c>
      <c r="Q5679">
        <v>-1.6438029999999999E-2</v>
      </c>
      <c r="R5679">
        <v>0.14940709999999999</v>
      </c>
      <c r="S5679">
        <v>2.9383539999999999</v>
      </c>
      <c r="T5679">
        <v>-0.14797189999999999</v>
      </c>
      <c r="U5679">
        <v>0.6199036</v>
      </c>
      <c r="V5679">
        <v>-0.14577760000000001</v>
      </c>
      <c r="W5679">
        <v>-9.054744E-3</v>
      </c>
      <c r="X5679">
        <v>0.98927589999999999</v>
      </c>
      <c r="Y5679">
        <v>-0.20252110000000001</v>
      </c>
      <c r="Z5679">
        <v>5.5884810000000002E-3</v>
      </c>
      <c r="AA5679">
        <v>0.97926190000000002</v>
      </c>
      <c r="AB5679">
        <v>32</v>
      </c>
      <c r="AC5679">
        <v>21.823899999999998</v>
      </c>
      <c r="AD5679">
        <v>-1.107192872797</v>
      </c>
      <c r="AE5679">
        <v>4.6384799999999897</v>
      </c>
      <c r="AF5679">
        <v>-4.5463732608223602</v>
      </c>
      <c r="AG5679">
        <v>-1.107192872797</v>
      </c>
      <c r="AH5679">
        <v>21.787286954751</v>
      </c>
      <c r="AI5679">
        <v>92.847931891159803</v>
      </c>
      <c r="AJ5679">
        <v>101.786825505455</v>
      </c>
      <c r="AK5679">
        <v>22.284103274149398</v>
      </c>
      <c r="AL5679">
        <v>90.518805730343104</v>
      </c>
      <c r="AM5679">
        <v>98.382657396158095</v>
      </c>
      <c r="AN5679">
        <v>0.99999995168573597</v>
      </c>
    </row>
    <row r="5680" spans="1:40" x14ac:dyDescent="0.25">
      <c r="A5680" t="str">
        <f>"20190305135940128"</f>
        <v>20190305135940128</v>
      </c>
      <c r="B5680" t="str">
        <f>"1551765580124599"</f>
        <v>1551765580124599</v>
      </c>
      <c r="C5680" t="s">
        <v>40</v>
      </c>
      <c r="D5680">
        <v>4.5602720000000003</v>
      </c>
      <c r="E5680">
        <v>0.47781319999999999</v>
      </c>
      <c r="F5680" t="s">
        <v>94</v>
      </c>
      <c r="G5680">
        <v>-239.25049999999999</v>
      </c>
      <c r="H5680" s="1">
        <v>-3.6970489999999998E-6</v>
      </c>
      <c r="I5680">
        <v>-56.203589999999998</v>
      </c>
      <c r="J5680">
        <v>-261.3356</v>
      </c>
      <c r="K5680">
        <v>1.1071799999999901</v>
      </c>
      <c r="L5680">
        <v>-60.890169999999998</v>
      </c>
      <c r="M5680">
        <v>0.99997250000000004</v>
      </c>
      <c r="N5680">
        <v>-6.8981659999999998E-3</v>
      </c>
      <c r="O5680">
        <v>2.7744190000000002E-3</v>
      </c>
      <c r="P5680">
        <v>0.98859160000000001</v>
      </c>
      <c r="Q5680">
        <v>-1.6731240000000001E-2</v>
      </c>
      <c r="R5680">
        <v>0.14968979999999901</v>
      </c>
      <c r="S5680">
        <v>2.9384769999999998</v>
      </c>
      <c r="T5680">
        <v>-0.14620079999999999</v>
      </c>
      <c r="U5680">
        <v>0.61880489999999999</v>
      </c>
      <c r="V5680">
        <v>-0.14698320000000001</v>
      </c>
      <c r="W5680">
        <v>-9.345908E-3</v>
      </c>
      <c r="X5680">
        <v>0.9890949</v>
      </c>
      <c r="Y5680">
        <v>-0.20307900000000001</v>
      </c>
      <c r="Z5680">
        <v>5.5851900000000003E-3</v>
      </c>
      <c r="AA5680">
        <v>0.97914639999999997</v>
      </c>
      <c r="AB5680">
        <v>32</v>
      </c>
      <c r="AC5680">
        <v>22.085100000000001</v>
      </c>
      <c r="AD5680">
        <v>-1.1071836970490001</v>
      </c>
      <c r="AE5680">
        <v>4.6865799999999904</v>
      </c>
      <c r="AF5680">
        <v>-4.6141901589224297</v>
      </c>
      <c r="AG5680">
        <v>-1.1071836970490001</v>
      </c>
      <c r="AH5680">
        <v>22.045000068118998</v>
      </c>
      <c r="AI5680">
        <v>92.814310872410701</v>
      </c>
      <c r="AJ5680">
        <v>101.821788074583</v>
      </c>
      <c r="AK5680">
        <v>22.549914291745601</v>
      </c>
      <c r="AL5680">
        <v>90.535488845430194</v>
      </c>
      <c r="AM5680">
        <v>98.452510134535203</v>
      </c>
      <c r="AN5680">
        <v>1.0000000641422899</v>
      </c>
    </row>
    <row r="5681" spans="1:40" x14ac:dyDescent="0.25">
      <c r="A5681" t="str">
        <f>"20190305135940140"</f>
        <v>20190305135940140</v>
      </c>
      <c r="B5681" t="str">
        <f>"1551765580134360"</f>
        <v>1551765580134360</v>
      </c>
      <c r="C5681" t="s">
        <v>40</v>
      </c>
      <c r="D5681">
        <v>4.5199160000000003</v>
      </c>
      <c r="E5681">
        <v>0.47788330000000001</v>
      </c>
      <c r="F5681" t="s">
        <v>94</v>
      </c>
      <c r="G5681">
        <v>-238.84049999999999</v>
      </c>
      <c r="H5681" s="1">
        <v>-3.526298E-6</v>
      </c>
      <c r="I5681">
        <v>-56.174639999999997</v>
      </c>
      <c r="J5681">
        <v>-261.16460000000001</v>
      </c>
      <c r="K5681">
        <v>1.1071709999999999</v>
      </c>
      <c r="L5681">
        <v>-60.890469999999901</v>
      </c>
      <c r="M5681">
        <v>0.99997460000000005</v>
      </c>
      <c r="N5681">
        <v>-6.8954200000000002E-3</v>
      </c>
      <c r="O5681">
        <v>1.8280410000000001E-3</v>
      </c>
      <c r="P5681">
        <v>0.98849699999999996</v>
      </c>
      <c r="Q5681">
        <v>-1.6842199999999901E-2</v>
      </c>
      <c r="R5681">
        <v>0.15030070000000001</v>
      </c>
      <c r="S5681">
        <v>2.938904</v>
      </c>
      <c r="T5681">
        <v>-0.14464959999999999</v>
      </c>
      <c r="U5681">
        <v>0.61605829999999995</v>
      </c>
      <c r="V5681">
        <v>-0.14853079999999999</v>
      </c>
      <c r="W5681">
        <v>-9.4536570000000007E-3</v>
      </c>
      <c r="X5681">
        <v>0.98886260000000004</v>
      </c>
      <c r="Y5681">
        <v>-0.20310510000000001</v>
      </c>
      <c r="Z5681">
        <v>5.573438E-3</v>
      </c>
      <c r="AA5681">
        <v>0.97914109999999999</v>
      </c>
      <c r="AB5681">
        <v>33</v>
      </c>
      <c r="AC5681">
        <v>22.324100000000001</v>
      </c>
      <c r="AD5681">
        <v>-1.107174526298</v>
      </c>
      <c r="AE5681">
        <v>4.7158299999999898</v>
      </c>
      <c r="AF5681">
        <v>-4.6640296773388803</v>
      </c>
      <c r="AG5681">
        <v>-1.107174526298</v>
      </c>
      <c r="AH5681">
        <v>22.280221762737501</v>
      </c>
      <c r="AI5681">
        <v>92.784607832846007</v>
      </c>
      <c r="AJ5681">
        <v>101.823280521296</v>
      </c>
      <c r="AK5681">
        <v>22.790069988035199</v>
      </c>
      <c r="AL5681">
        <v>90.541662712270295</v>
      </c>
      <c r="AM5681">
        <v>98.5421783890516</v>
      </c>
      <c r="AN5681">
        <v>1.0000000059290299</v>
      </c>
    </row>
    <row r="5682" spans="1:40" x14ac:dyDescent="0.25">
      <c r="A5682" t="str">
        <f>"20190305135940150"</f>
        <v>20190305135940150</v>
      </c>
      <c r="B5682" t="str">
        <f>"1551765580145097"</f>
        <v>1551765580145097</v>
      </c>
      <c r="C5682" t="s">
        <v>40</v>
      </c>
      <c r="D5682">
        <v>4.5558579999999997</v>
      </c>
      <c r="E5682">
        <v>0.47805170000000002</v>
      </c>
      <c r="F5682" t="s">
        <v>94</v>
      </c>
      <c r="G5682">
        <v>-238.56649999999999</v>
      </c>
      <c r="H5682" s="1">
        <v>-3.4144400000000001E-6</v>
      </c>
      <c r="I5682">
        <v>-56.142479999999999</v>
      </c>
      <c r="J5682">
        <v>-260.99340000000001</v>
      </c>
      <c r="K5682">
        <v>1.1071569999999999</v>
      </c>
      <c r="L5682">
        <v>-60.890990000000002</v>
      </c>
      <c r="M5682">
        <v>0.99997590000000003</v>
      </c>
      <c r="N5682">
        <v>-6.8932569999999999E-3</v>
      </c>
      <c r="O5682">
        <v>8.8100389999999998E-4</v>
      </c>
      <c r="P5682">
        <v>0.98841710000000005</v>
      </c>
      <c r="Q5682">
        <v>-1.7044429999999999E-2</v>
      </c>
      <c r="R5682">
        <v>0.15080170000000001</v>
      </c>
      <c r="S5682">
        <v>2.9385680000000001</v>
      </c>
      <c r="T5682">
        <v>-0.14397219999999999</v>
      </c>
      <c r="U5682">
        <v>0.61740109999999904</v>
      </c>
      <c r="V5682">
        <v>-0.1499685</v>
      </c>
      <c r="W5682">
        <v>-9.6524090000000007E-3</v>
      </c>
      <c r="X5682">
        <v>0.98864359999999996</v>
      </c>
      <c r="Y5682">
        <v>-0.20448279999999999</v>
      </c>
      <c r="Z5682">
        <v>5.6284380000000004E-3</v>
      </c>
      <c r="AA5682">
        <v>0.97885390000000005</v>
      </c>
      <c r="AB5682">
        <v>33</v>
      </c>
      <c r="AC5682">
        <v>22.4269</v>
      </c>
      <c r="AD5682">
        <v>-1.10716041444</v>
      </c>
      <c r="AE5682">
        <v>4.7485099999999898</v>
      </c>
      <c r="AF5682">
        <v>-4.7177449819994797</v>
      </c>
      <c r="AG5682">
        <v>-1.10716041444</v>
      </c>
      <c r="AH5682">
        <v>22.3788743239874</v>
      </c>
      <c r="AI5682">
        <v>92.771493704361006</v>
      </c>
      <c r="AJ5682">
        <v>101.904354798292</v>
      </c>
      <c r="AK5682">
        <v>22.897531262284701</v>
      </c>
      <c r="AL5682">
        <v>90.553050916950696</v>
      </c>
      <c r="AM5682">
        <v>98.625506467583605</v>
      </c>
      <c r="AN5682">
        <v>0.99999994390635405</v>
      </c>
    </row>
    <row r="5683" spans="1:40" x14ac:dyDescent="0.25">
      <c r="A5683" t="str">
        <f>"20190305135940162"</f>
        <v>20190305135940162</v>
      </c>
      <c r="B5683" t="str">
        <f>"1551765580154855"</f>
        <v>1551765580154855</v>
      </c>
      <c r="C5683" t="s">
        <v>40</v>
      </c>
      <c r="D5683">
        <v>4.5741389999999997</v>
      </c>
      <c r="E5683">
        <v>0.4782575</v>
      </c>
      <c r="F5683" t="s">
        <v>94</v>
      </c>
      <c r="G5683">
        <v>-238.3775</v>
      </c>
      <c r="H5683" s="1">
        <v>-3.3342389999999998E-6</v>
      </c>
      <c r="I5683">
        <v>-56.137599999999999</v>
      </c>
      <c r="J5683">
        <v>-260.83150000000001</v>
      </c>
      <c r="K5683">
        <v>1.107148</v>
      </c>
      <c r="L5683">
        <v>-60.891599999999997</v>
      </c>
      <c r="M5683">
        <v>0.99997630000000004</v>
      </c>
      <c r="N5683">
        <v>-6.8914759999999997E-3</v>
      </c>
      <c r="O5683" s="1">
        <v>-1.4713E-5</v>
      </c>
      <c r="P5683">
        <v>0.98838280000000001</v>
      </c>
      <c r="Q5683">
        <v>-1.7439630000000001E-2</v>
      </c>
      <c r="R5683">
        <v>0.15098200000000001</v>
      </c>
      <c r="S5683">
        <v>2.9384160000000001</v>
      </c>
      <c r="T5683">
        <v>-0.14384959999999999</v>
      </c>
      <c r="U5683">
        <v>0.61758419999999903</v>
      </c>
      <c r="V5683">
        <v>-0.15103659999999999</v>
      </c>
      <c r="W5683">
        <v>-1.0044880000000001E-2</v>
      </c>
      <c r="X5683">
        <v>0.9884771</v>
      </c>
      <c r="Y5683">
        <v>-0.20542659999999999</v>
      </c>
      <c r="Z5683">
        <v>5.6876729999999999E-3</v>
      </c>
      <c r="AA5683">
        <v>0.97865599999999997</v>
      </c>
      <c r="AB5683">
        <v>33</v>
      </c>
      <c r="AC5683">
        <v>22.454000000000001</v>
      </c>
      <c r="AD5683">
        <v>-1.107151334239</v>
      </c>
      <c r="AE5683">
        <v>4.7539999999999898</v>
      </c>
      <c r="AF5683">
        <v>-4.7432930821518697</v>
      </c>
      <c r="AG5683">
        <v>-1.107151334239</v>
      </c>
      <c r="AH5683">
        <v>22.401802718468801</v>
      </c>
      <c r="AI5683">
        <v>92.768121886501106</v>
      </c>
      <c r="AJ5683">
        <v>101.95507125179699</v>
      </c>
      <c r="AK5683">
        <v>22.925212722618198</v>
      </c>
      <c r="AL5683">
        <v>90.575538928348905</v>
      </c>
      <c r="AM5683">
        <v>98.687445794500107</v>
      </c>
      <c r="AN5683">
        <v>0.999999965689091</v>
      </c>
    </row>
    <row r="5684" spans="1:40" x14ac:dyDescent="0.25">
      <c r="A5684" t="str">
        <f>"20190305135940173"</f>
        <v>20190305135940173</v>
      </c>
      <c r="B5684" t="str">
        <f>"1551765580164615"</f>
        <v>1551765580164615</v>
      </c>
      <c r="C5684" t="s">
        <v>40</v>
      </c>
      <c r="D5684">
        <v>4.546951</v>
      </c>
      <c r="E5684">
        <v>0.47845349999999998</v>
      </c>
      <c r="F5684" t="s">
        <v>94</v>
      </c>
      <c r="G5684">
        <v>-238.23990000000001</v>
      </c>
      <c r="H5684" s="1">
        <v>-3.2727769999999998E-6</v>
      </c>
      <c r="I5684">
        <v>-56.151310000000002</v>
      </c>
      <c r="J5684">
        <v>-260.66469999999998</v>
      </c>
      <c r="K5684">
        <v>1.107138</v>
      </c>
      <c r="L5684">
        <v>-60.892429999999997</v>
      </c>
      <c r="M5684">
        <v>0.99997599999999998</v>
      </c>
      <c r="N5684">
        <v>-6.8901329999999997E-3</v>
      </c>
      <c r="O5684">
        <v>-9.3683899999999997E-4</v>
      </c>
      <c r="P5684">
        <v>0.98833550000000003</v>
      </c>
      <c r="Q5684">
        <v>-1.767587E-2</v>
      </c>
      <c r="R5684">
        <v>0.1512636</v>
      </c>
      <c r="S5684">
        <v>2.9385680000000001</v>
      </c>
      <c r="T5684">
        <v>-0.14401079999999999</v>
      </c>
      <c r="U5684">
        <v>0.61657709999999999</v>
      </c>
      <c r="V5684">
        <v>-0.15223</v>
      </c>
      <c r="W5684">
        <v>-1.027752E-2</v>
      </c>
      <c r="X5684">
        <v>0.9882917</v>
      </c>
      <c r="Y5684">
        <v>-0.2059954</v>
      </c>
      <c r="Z5684">
        <v>5.747154E-3</v>
      </c>
      <c r="AA5684">
        <v>0.97853610000000002</v>
      </c>
      <c r="AB5684">
        <v>33</v>
      </c>
      <c r="AC5684">
        <v>22.424799999999902</v>
      </c>
      <c r="AD5684">
        <v>-1.107141272777</v>
      </c>
      <c r="AE5684">
        <v>4.7411199999999996</v>
      </c>
      <c r="AF5684">
        <v>-4.7510415714224701</v>
      </c>
      <c r="AG5684">
        <v>-1.107141272777</v>
      </c>
      <c r="AH5684">
        <v>22.368158342193901</v>
      </c>
      <c r="AI5684">
        <v>92.771880365883604</v>
      </c>
      <c r="AJ5684">
        <v>101.99152681936</v>
      </c>
      <c r="AK5684">
        <v>22.893943859298901</v>
      </c>
      <c r="AL5684">
        <v>90.588868862042901</v>
      </c>
      <c r="AM5684">
        <v>98.756646248140996</v>
      </c>
      <c r="AN5684">
        <v>1.0000000423031099</v>
      </c>
    </row>
    <row r="5685" spans="1:40" x14ac:dyDescent="0.25">
      <c r="A5685" t="str">
        <f>"20190305135940184"</f>
        <v>20190305135940184</v>
      </c>
      <c r="B5685" t="str">
        <f>"1551765580174377"</f>
        <v>1551765580174377</v>
      </c>
      <c r="C5685" t="s">
        <v>40</v>
      </c>
      <c r="D5685">
        <v>4.5343059999999999</v>
      </c>
      <c r="E5685">
        <v>0.47860059999999899</v>
      </c>
      <c r="F5685" t="s">
        <v>94</v>
      </c>
      <c r="G5685">
        <v>-238.05109999999999</v>
      </c>
      <c r="H5685" s="1">
        <v>-3.191522E-6</v>
      </c>
      <c r="I5685">
        <v>-56.152929999999998</v>
      </c>
      <c r="J5685">
        <v>-260.51459999999997</v>
      </c>
      <c r="K5685">
        <v>1.1071310000000001</v>
      </c>
      <c r="L5685">
        <v>-60.893250000000002</v>
      </c>
      <c r="M5685">
        <v>0.9999749</v>
      </c>
      <c r="N5685">
        <v>-6.8892290000000002E-3</v>
      </c>
      <c r="O5685">
        <v>-1.7668130000000001E-3</v>
      </c>
      <c r="P5685">
        <v>0.98829310000000004</v>
      </c>
      <c r="Q5685">
        <v>-1.7739910000000001E-2</v>
      </c>
      <c r="R5685">
        <v>0.15153349999999999</v>
      </c>
      <c r="S5685">
        <v>2.9385680000000001</v>
      </c>
      <c r="T5685">
        <v>-0.14386959999999999</v>
      </c>
      <c r="U5685">
        <v>0.61587519999999996</v>
      </c>
      <c r="V5685">
        <v>-0.15332079999999901</v>
      </c>
      <c r="W5685">
        <v>-1.033795E-2</v>
      </c>
      <c r="X5685">
        <v>0.98812239999999996</v>
      </c>
      <c r="Y5685">
        <v>-0.20658270000000001</v>
      </c>
      <c r="Z5685">
        <v>5.7930169999999897E-3</v>
      </c>
      <c r="AA5685">
        <v>0.97841199999999995</v>
      </c>
      <c r="AB5685">
        <v>33</v>
      </c>
      <c r="AC5685">
        <v>22.4634999999999</v>
      </c>
      <c r="AD5685">
        <v>-1.1071341915220001</v>
      </c>
      <c r="AE5685">
        <v>4.7403199999999899</v>
      </c>
      <c r="AF5685">
        <v>-4.7689120275850296</v>
      </c>
      <c r="AG5685">
        <v>-1.1071341915220001</v>
      </c>
      <c r="AH5685">
        <v>22.402990356808601</v>
      </c>
      <c r="AI5685">
        <v>92.767296937985904</v>
      </c>
      <c r="AJ5685">
        <v>102.017150636835</v>
      </c>
      <c r="AK5685">
        <v>22.9316864833824</v>
      </c>
      <c r="AL5685">
        <v>90.592331449442696</v>
      </c>
      <c r="AM5685">
        <v>98.819896123955601</v>
      </c>
      <c r="AN5685">
        <v>1.0000000091523</v>
      </c>
    </row>
    <row r="5686" spans="1:40" x14ac:dyDescent="0.25">
      <c r="A5686" t="str">
        <f>"20190305135940193"</f>
        <v>20190305135940193</v>
      </c>
      <c r="B5686" t="str">
        <f>"1551765580185112"</f>
        <v>1551765580185112</v>
      </c>
      <c r="C5686" t="s">
        <v>40</v>
      </c>
      <c r="D5686">
        <v>4.5433949999999896</v>
      </c>
      <c r="E5686">
        <v>0.47880790000000001</v>
      </c>
      <c r="F5686" t="s">
        <v>94</v>
      </c>
      <c r="G5686">
        <v>-237.82939999999999</v>
      </c>
      <c r="H5686" s="1">
        <v>-3.098459E-6</v>
      </c>
      <c r="I5686">
        <v>-56.14134</v>
      </c>
      <c r="J5686">
        <v>-260.3526</v>
      </c>
      <c r="K5686">
        <v>1.107121</v>
      </c>
      <c r="L5686">
        <v>-60.894319999999901</v>
      </c>
      <c r="M5686">
        <v>0.9999728</v>
      </c>
      <c r="N5686">
        <v>-6.8885309999999998E-3</v>
      </c>
      <c r="O5686">
        <v>-2.6622379999999999E-3</v>
      </c>
      <c r="P5686">
        <v>0.98827849999999995</v>
      </c>
      <c r="Q5686">
        <v>-1.8135370000000001E-2</v>
      </c>
      <c r="R5686">
        <v>0.151580399999999</v>
      </c>
      <c r="S5686">
        <v>2.9385680000000001</v>
      </c>
      <c r="T5686">
        <v>-0.14341470000000001</v>
      </c>
      <c r="U5686">
        <v>0.61553959999999996</v>
      </c>
      <c r="V5686">
        <v>-0.15425349999999999</v>
      </c>
      <c r="W5686">
        <v>-1.072995E-2</v>
      </c>
      <c r="X5686">
        <v>0.98797299999999999</v>
      </c>
      <c r="Y5686">
        <v>-0.20735139999999999</v>
      </c>
      <c r="Z5686">
        <v>5.8352719999999999E-3</v>
      </c>
      <c r="AA5686">
        <v>0.97824909999999998</v>
      </c>
      <c r="AB5686">
        <v>33</v>
      </c>
      <c r="AC5686">
        <v>22.523199999999999</v>
      </c>
      <c r="AD5686">
        <v>-1.1071240984590001</v>
      </c>
      <c r="AE5686">
        <v>4.7529799999999902</v>
      </c>
      <c r="AF5686">
        <v>-4.8018191888391604</v>
      </c>
      <c r="AG5686">
        <v>-1.1071240984590001</v>
      </c>
      <c r="AH5686">
        <v>22.458515576151001</v>
      </c>
      <c r="AI5686">
        <v>92.759912672315295</v>
      </c>
      <c r="AJ5686">
        <v>102.068606848969</v>
      </c>
      <c r="AK5686">
        <v>22.992783937051001</v>
      </c>
      <c r="AL5686">
        <v>90.614792670531003</v>
      </c>
      <c r="AM5686">
        <v>98.8740196031697</v>
      </c>
      <c r="AN5686">
        <v>0.99999996140912495</v>
      </c>
    </row>
    <row r="5687" spans="1:40" x14ac:dyDescent="0.25">
      <c r="A5687" t="str">
        <f>"20190305135940205"</f>
        <v>20190305135940205</v>
      </c>
      <c r="B5687" t="str">
        <f>"1551765580194872"</f>
        <v>1551765580194872</v>
      </c>
      <c r="C5687" t="s">
        <v>40</v>
      </c>
      <c r="D5687">
        <v>4.5423770000000001</v>
      </c>
      <c r="E5687">
        <v>0.47895769999999999</v>
      </c>
      <c r="F5687" t="s">
        <v>94</v>
      </c>
      <c r="G5687">
        <v>-237.7415</v>
      </c>
      <c r="H5687" s="1">
        <v>-3.0557970000000002E-6</v>
      </c>
      <c r="I5687">
        <v>-56.169260000000001</v>
      </c>
      <c r="J5687">
        <v>-260.18979999999999</v>
      </c>
      <c r="K5687">
        <v>1.107113</v>
      </c>
      <c r="L5687">
        <v>-60.895539999999997</v>
      </c>
      <c r="M5687">
        <v>0.99997000000000003</v>
      </c>
      <c r="N5687">
        <v>-6.888173E-3</v>
      </c>
      <c r="O5687">
        <v>-3.5614800000000001E-3</v>
      </c>
      <c r="P5687">
        <v>0.98825540000000001</v>
      </c>
      <c r="Q5687">
        <v>-1.824605E-2</v>
      </c>
      <c r="R5687">
        <v>0.15171809999999999</v>
      </c>
      <c r="S5687">
        <v>2.9387509999999999</v>
      </c>
      <c r="T5687">
        <v>-0.1438924</v>
      </c>
      <c r="U5687">
        <v>0.61410520000000002</v>
      </c>
      <c r="V5687">
        <v>-0.15528069999999999</v>
      </c>
      <c r="W5687">
        <v>-1.083653E-2</v>
      </c>
      <c r="X5687">
        <v>0.98781099999999999</v>
      </c>
      <c r="Y5687">
        <v>-0.20775840000000001</v>
      </c>
      <c r="Z5687">
        <v>5.9008999999999997E-3</v>
      </c>
      <c r="AA5687">
        <v>0.97816230000000004</v>
      </c>
      <c r="AB5687">
        <v>33</v>
      </c>
      <c r="AC5687">
        <v>22.4482999999999</v>
      </c>
      <c r="AD5687">
        <v>-1.1071160557969999</v>
      </c>
      <c r="AE5687">
        <v>4.7262800000000098</v>
      </c>
      <c r="AF5687">
        <v>-4.7950331146138998</v>
      </c>
      <c r="AG5687">
        <v>-1.1071160557969999</v>
      </c>
      <c r="AH5687">
        <v>22.3792019246923</v>
      </c>
      <c r="AI5687">
        <v>92.7694014995554</v>
      </c>
      <c r="AJ5687">
        <v>102.093508301447</v>
      </c>
      <c r="AK5687">
        <v>22.913898125753299</v>
      </c>
      <c r="AL5687">
        <v>90.620899555657601</v>
      </c>
      <c r="AM5687">
        <v>98.9336046949402</v>
      </c>
      <c r="AN5687">
        <v>1.0000000489479599</v>
      </c>
    </row>
    <row r="5688" spans="1:40" x14ac:dyDescent="0.25">
      <c r="A5688" t="str">
        <f>"20190305135940217"</f>
        <v>20190305135940217</v>
      </c>
      <c r="B5688" t="str">
        <f>"1551765580214392"</f>
        <v>1551765580214392</v>
      </c>
      <c r="C5688" t="s">
        <v>40</v>
      </c>
      <c r="D5688">
        <v>4.4629750000000001</v>
      </c>
      <c r="E5688">
        <v>0.47924290000000003</v>
      </c>
      <c r="F5688" t="s">
        <v>94</v>
      </c>
      <c r="G5688">
        <v>-237.5635</v>
      </c>
      <c r="H5688" s="1">
        <v>-2.9787649999999998E-6</v>
      </c>
      <c r="I5688">
        <v>-56.173090000000002</v>
      </c>
      <c r="J5688">
        <v>-260.02019999999999</v>
      </c>
      <c r="K5688">
        <v>1.1070979999999999</v>
      </c>
      <c r="L5688">
        <v>-60.896880000000003</v>
      </c>
      <c r="M5688">
        <v>0.99996629999999997</v>
      </c>
      <c r="N5688">
        <v>-6.8879529999999996E-3</v>
      </c>
      <c r="O5688">
        <v>-4.4982750000000004E-3</v>
      </c>
      <c r="P5688">
        <v>0.9882725</v>
      </c>
      <c r="Q5688">
        <v>-1.8315729999999999E-2</v>
      </c>
      <c r="R5688">
        <v>0.15159819999999999</v>
      </c>
      <c r="S5688">
        <v>2.9388429999999999</v>
      </c>
      <c r="T5688">
        <v>-0.14379929999999999</v>
      </c>
      <c r="U5688">
        <v>0.61337280000000005</v>
      </c>
      <c r="V5688">
        <v>-0.156086</v>
      </c>
      <c r="W5688">
        <v>-1.0902510000000001E-2</v>
      </c>
      <c r="X5688">
        <v>0.98768330000000004</v>
      </c>
      <c r="Y5688">
        <v>-0.2084336</v>
      </c>
      <c r="Z5688">
        <v>5.9551049999999996E-3</v>
      </c>
      <c r="AA5688">
        <v>0.97801839999999995</v>
      </c>
      <c r="AB5688">
        <v>33</v>
      </c>
      <c r="AC5688">
        <v>22.456699999999898</v>
      </c>
      <c r="AD5688">
        <v>-1.1071009787649999</v>
      </c>
      <c r="AE5688">
        <v>4.7237900000000002</v>
      </c>
      <c r="AF5688">
        <v>-4.8135577171461899</v>
      </c>
      <c r="AG5688">
        <v>-1.1071009787649999</v>
      </c>
      <c r="AH5688">
        <v>22.3831279175471</v>
      </c>
      <c r="AI5688">
        <v>92.768430707242004</v>
      </c>
      <c r="AJ5688">
        <v>102.136779977868</v>
      </c>
      <c r="AK5688">
        <v>22.921614817607299</v>
      </c>
      <c r="AL5688">
        <v>90.624680183292099</v>
      </c>
      <c r="AM5688">
        <v>98.980324242541698</v>
      </c>
      <c r="AN5688">
        <v>1.0000000026095901</v>
      </c>
    </row>
    <row r="5689" spans="1:40" x14ac:dyDescent="0.25">
      <c r="A5689" t="str">
        <f>"20190305135940228"</f>
        <v>20190305135940228</v>
      </c>
      <c r="B5689" t="str">
        <f>"1551765580225128"</f>
        <v>1551765580225128</v>
      </c>
      <c r="C5689" t="s">
        <v>40</v>
      </c>
      <c r="D5689">
        <v>4.4949149999999998</v>
      </c>
      <c r="E5689">
        <v>0.47939349999999997</v>
      </c>
      <c r="F5689" t="s">
        <v>94</v>
      </c>
      <c r="G5689">
        <v>-237.34630000000001</v>
      </c>
      <c r="H5689" s="1">
        <v>-2.883392E-6</v>
      </c>
      <c r="I5689">
        <v>-56.185319999999997</v>
      </c>
      <c r="J5689">
        <v>-259.86309999999997</v>
      </c>
      <c r="K5689">
        <v>1.1070899999999999</v>
      </c>
      <c r="L5689">
        <v>-60.898409999999998</v>
      </c>
      <c r="M5689">
        <v>0.99996189999999996</v>
      </c>
      <c r="N5689">
        <v>-6.8881069999999897E-3</v>
      </c>
      <c r="O5689">
        <v>-5.3654499999999999E-3</v>
      </c>
      <c r="P5689">
        <v>0.98826820000000004</v>
      </c>
      <c r="Q5689">
        <v>-1.8513470000000001E-2</v>
      </c>
      <c r="R5689">
        <v>0.1516024</v>
      </c>
      <c r="S5689">
        <v>2.939209</v>
      </c>
      <c r="T5689">
        <v>-0.14351269999999999</v>
      </c>
      <c r="U5689">
        <v>0.61074830000000002</v>
      </c>
      <c r="V5689">
        <v>-0.1569479</v>
      </c>
      <c r="W5689">
        <v>-1.1096129999999999E-2</v>
      </c>
      <c r="X5689">
        <v>0.98754450000000005</v>
      </c>
      <c r="Y5689">
        <v>-0.20842069999999999</v>
      </c>
      <c r="Z5689">
        <v>5.9800299999999999E-3</v>
      </c>
      <c r="AA5689">
        <v>0.97802100000000003</v>
      </c>
      <c r="AB5689">
        <v>33</v>
      </c>
      <c r="AC5689">
        <v>22.5167999999999</v>
      </c>
      <c r="AD5689">
        <v>-1.107092883392</v>
      </c>
      <c r="AE5689">
        <v>4.7130900000000002</v>
      </c>
      <c r="AF5689">
        <v>-4.82266864530171</v>
      </c>
      <c r="AG5689">
        <v>-1.107092883392</v>
      </c>
      <c r="AH5689">
        <v>22.4392189464346</v>
      </c>
      <c r="AI5689">
        <v>92.761575588378705</v>
      </c>
      <c r="AJ5689">
        <v>102.129576345743</v>
      </c>
      <c r="AK5689">
        <v>22.9783013828451</v>
      </c>
      <c r="AL5689">
        <v>90.635774494508098</v>
      </c>
      <c r="AM5689">
        <v>99.030346595406201</v>
      </c>
      <c r="AN5689">
        <v>0.999999953447817</v>
      </c>
    </row>
    <row r="5690" spans="1:40" x14ac:dyDescent="0.25">
      <c r="A5690" t="str">
        <f>"20190305135940239"</f>
        <v>20190305135940239</v>
      </c>
      <c r="B5690" t="str">
        <f>"1551765580234891"</f>
        <v>1551765580234891</v>
      </c>
      <c r="C5690" t="s">
        <v>40</v>
      </c>
      <c r="D5690">
        <v>4.4562470000000003</v>
      </c>
      <c r="E5690">
        <v>0.47956100000000002</v>
      </c>
      <c r="F5690" t="s">
        <v>94</v>
      </c>
      <c r="G5690">
        <v>-237.18289999999999</v>
      </c>
      <c r="H5690" s="1">
        <v>-2.8117920000000001E-6</v>
      </c>
      <c r="I5690">
        <v>-56.193840000000002</v>
      </c>
      <c r="J5690">
        <v>-259.69260000000003</v>
      </c>
      <c r="K5690">
        <v>1.1070789999999999</v>
      </c>
      <c r="L5690">
        <v>-60.90005</v>
      </c>
      <c r="M5690">
        <v>0.99995639999999997</v>
      </c>
      <c r="N5690">
        <v>-6.8883369999999996E-3</v>
      </c>
      <c r="O5690">
        <v>-6.3071359999999996E-3</v>
      </c>
      <c r="P5690">
        <v>0.98829219999999895</v>
      </c>
      <c r="Q5690">
        <v>-1.8525630000000001E-2</v>
      </c>
      <c r="R5690">
        <v>0.15144549999999901</v>
      </c>
      <c r="S5690">
        <v>2.9393919999999998</v>
      </c>
      <c r="T5690">
        <v>-0.14348089999999999</v>
      </c>
      <c r="U5690">
        <v>0.60971070000000005</v>
      </c>
      <c r="V5690">
        <v>-0.1577211</v>
      </c>
      <c r="W5690">
        <v>-1.110419E-2</v>
      </c>
      <c r="X5690">
        <v>0.98742129999999995</v>
      </c>
      <c r="Y5690">
        <v>-0.20899709999999999</v>
      </c>
      <c r="Z5690">
        <v>6.0336929999999997E-3</v>
      </c>
      <c r="AA5690">
        <v>0.97789760000000003</v>
      </c>
      <c r="AB5690">
        <v>33</v>
      </c>
      <c r="AC5690">
        <v>22.509699999999999</v>
      </c>
      <c r="AD5690">
        <v>-1.1070818117919901</v>
      </c>
      <c r="AE5690">
        <v>4.7062099999999898</v>
      </c>
      <c r="AF5690">
        <v>-4.8368815174978499</v>
      </c>
      <c r="AG5690">
        <v>-1.1070818117919901</v>
      </c>
      <c r="AH5690">
        <v>22.4275905723958</v>
      </c>
      <c r="AI5690">
        <v>92.762554683621204</v>
      </c>
      <c r="AJ5690">
        <v>102.170379369618</v>
      </c>
      <c r="AK5690">
        <v>22.969934084261801</v>
      </c>
      <c r="AL5690">
        <v>90.636236274404098</v>
      </c>
      <c r="AM5690">
        <v>99.0752093026843</v>
      </c>
      <c r="AN5690">
        <v>1.0000000360572201</v>
      </c>
    </row>
    <row r="5691" spans="1:40" x14ac:dyDescent="0.25">
      <c r="A5691" t="str">
        <f>"20190305135940250"</f>
        <v>20190305135940250</v>
      </c>
      <c r="B5691" t="str">
        <f>"1551765580244647"</f>
        <v>1551765580244647</v>
      </c>
      <c r="C5691" t="s">
        <v>40</v>
      </c>
      <c r="D5691">
        <v>4.4742249999999997</v>
      </c>
      <c r="E5691">
        <v>0.4797228</v>
      </c>
      <c r="F5691" t="s">
        <v>94</v>
      </c>
      <c r="G5691">
        <v>-236.93219999999999</v>
      </c>
      <c r="H5691" s="1">
        <v>-2.7044680000000001E-6</v>
      </c>
      <c r="I5691">
        <v>-56.192570000000003</v>
      </c>
      <c r="J5691">
        <v>-259.51920000000001</v>
      </c>
      <c r="K5691">
        <v>1.1070709999999999</v>
      </c>
      <c r="L5691">
        <v>-60.902009999999997</v>
      </c>
      <c r="M5691">
        <v>0.99994989999999995</v>
      </c>
      <c r="N5691">
        <v>-6.8888650000000001E-3</v>
      </c>
      <c r="O5691">
        <v>-7.263846E-3</v>
      </c>
      <c r="P5691">
        <v>0.98828559999999999</v>
      </c>
      <c r="Q5691">
        <v>-1.8915439999999999E-2</v>
      </c>
      <c r="R5691">
        <v>0.15143989999999999</v>
      </c>
      <c r="S5691">
        <v>2.9396969999999998</v>
      </c>
      <c r="T5691">
        <v>-0.1429887</v>
      </c>
      <c r="U5691">
        <v>0.60800169999999998</v>
      </c>
      <c r="V5691">
        <v>-0.15866150000000001</v>
      </c>
      <c r="W5691">
        <v>-1.148913E-2</v>
      </c>
      <c r="X5691">
        <v>0.98726619999999998</v>
      </c>
      <c r="Y5691">
        <v>-0.2093679</v>
      </c>
      <c r="Z5691">
        <v>6.0648680000000002E-3</v>
      </c>
      <c r="AA5691">
        <v>0.97781810000000002</v>
      </c>
      <c r="AB5691">
        <v>33</v>
      </c>
      <c r="AC5691">
        <v>22.587</v>
      </c>
      <c r="AD5691">
        <v>-1.1070737044679999</v>
      </c>
      <c r="AE5691">
        <v>4.7094399999999998</v>
      </c>
      <c r="AF5691">
        <v>-4.8621940873773299</v>
      </c>
      <c r="AG5691">
        <v>-1.1070737044679999</v>
      </c>
      <c r="AH5691">
        <v>22.500392830467199</v>
      </c>
      <c r="AI5691">
        <v>92.753367567513806</v>
      </c>
      <c r="AJ5691">
        <v>102.193764713782</v>
      </c>
      <c r="AK5691">
        <v>23.046349408437599</v>
      </c>
      <c r="AL5691">
        <v>90.658293135251299</v>
      </c>
      <c r="AM5691">
        <v>99.129821078862605</v>
      </c>
      <c r="AN5691">
        <v>1.00000001067642</v>
      </c>
    </row>
    <row r="5692" spans="1:40" x14ac:dyDescent="0.25">
      <c r="A5692" t="str">
        <f>"20190305135940262"</f>
        <v>20190305135940262</v>
      </c>
      <c r="B5692" t="str">
        <f>"1551765580254408"</f>
        <v>1551765580254408</v>
      </c>
      <c r="C5692" t="s">
        <v>40</v>
      </c>
      <c r="D5692">
        <v>4.4529439999999996</v>
      </c>
      <c r="E5692">
        <v>0.47986459999999997</v>
      </c>
      <c r="F5692" t="s">
        <v>94</v>
      </c>
      <c r="G5692">
        <v>-236.8552</v>
      </c>
      <c r="H5692" s="1">
        <v>-2.6657440000000001E-6</v>
      </c>
      <c r="I5692">
        <v>-56.224589999999999</v>
      </c>
      <c r="J5692">
        <v>-259.3494</v>
      </c>
      <c r="K5692">
        <v>1.1070599999999999</v>
      </c>
      <c r="L5692">
        <v>-60.904049999999998</v>
      </c>
      <c r="M5692">
        <v>0.99994269999999996</v>
      </c>
      <c r="N5692">
        <v>-6.8895429999999997E-3</v>
      </c>
      <c r="O5692">
        <v>-8.2010039999999996E-3</v>
      </c>
      <c r="P5692">
        <v>0.98826130000000001</v>
      </c>
      <c r="Q5692">
        <v>-1.9531099999999999E-2</v>
      </c>
      <c r="R5692">
        <v>0.15151919999999999</v>
      </c>
      <c r="S5692">
        <v>2.9398499999999999</v>
      </c>
      <c r="T5692">
        <v>-0.14360329999999999</v>
      </c>
      <c r="U5692">
        <v>0.60672000000000004</v>
      </c>
      <c r="V5692">
        <v>-0.15966820000000001</v>
      </c>
      <c r="W5692">
        <v>-1.209963E-2</v>
      </c>
      <c r="X5692">
        <v>0.98709659999999999</v>
      </c>
      <c r="Y5692">
        <v>-0.20986160000000001</v>
      </c>
      <c r="Z5692">
        <v>6.1405390000000004E-3</v>
      </c>
      <c r="AA5692">
        <v>0.97771180000000002</v>
      </c>
      <c r="AB5692">
        <v>33</v>
      </c>
      <c r="AC5692">
        <v>22.494199999999999</v>
      </c>
      <c r="AD5692">
        <v>-1.1070626657439999</v>
      </c>
      <c r="AE5692">
        <v>4.67945999999999</v>
      </c>
      <c r="AF5692">
        <v>-4.85251598815944</v>
      </c>
      <c r="AG5692">
        <v>-1.1070626657439999</v>
      </c>
      <c r="AH5692">
        <v>22.403053420797701</v>
      </c>
      <c r="AI5692">
        <v>92.764995421521306</v>
      </c>
      <c r="AJ5692">
        <v>102.221509889196</v>
      </c>
      <c r="AK5692">
        <v>22.949276714884601</v>
      </c>
      <c r="AL5692">
        <v>90.693274637999707</v>
      </c>
      <c r="AM5692">
        <v>99.188316181537004</v>
      </c>
      <c r="AN5692">
        <v>1.00000001643446</v>
      </c>
    </row>
    <row r="5693" spans="1:40" x14ac:dyDescent="0.25">
      <c r="A5693" t="str">
        <f>"20190305135940272"</f>
        <v>20190305135940272</v>
      </c>
      <c r="B5693" t="str">
        <f>"1551765580264169"</f>
        <v>1551765580264169</v>
      </c>
      <c r="C5693" t="s">
        <v>40</v>
      </c>
      <c r="D5693">
        <v>4.4259029999999999</v>
      </c>
      <c r="E5693">
        <v>0.48000379999999998</v>
      </c>
      <c r="F5693" t="s">
        <v>94</v>
      </c>
      <c r="G5693">
        <v>-236.91229999999999</v>
      </c>
      <c r="H5693" s="1">
        <v>-2.680553E-6</v>
      </c>
      <c r="I5693">
        <v>-56.279350000000001</v>
      </c>
      <c r="J5693">
        <v>-259.18459999999999</v>
      </c>
      <c r="K5693">
        <v>1.107048</v>
      </c>
      <c r="L5693">
        <v>-60.906190000000002</v>
      </c>
      <c r="M5693">
        <v>0.99993469999999995</v>
      </c>
      <c r="N5693">
        <v>-6.8904650000000001E-3</v>
      </c>
      <c r="O5693">
        <v>-9.1099089999999994E-3</v>
      </c>
      <c r="P5693">
        <v>0.98825419999999997</v>
      </c>
      <c r="Q5693">
        <v>-2.02005E-2</v>
      </c>
      <c r="R5693">
        <v>0.15147849999999999</v>
      </c>
      <c r="S5693">
        <v>2.93988</v>
      </c>
      <c r="T5693">
        <v>-0.1450562</v>
      </c>
      <c r="U5693">
        <v>0.60595699999999997</v>
      </c>
      <c r="V5693">
        <v>-0.1605277</v>
      </c>
      <c r="W5693">
        <v>-1.276413E-2</v>
      </c>
      <c r="X5693">
        <v>0.98694879999999996</v>
      </c>
      <c r="Y5693">
        <v>-0.21049770000000001</v>
      </c>
      <c r="Z5693">
        <v>6.2518560000000001E-3</v>
      </c>
      <c r="AA5693">
        <v>0.97757430000000001</v>
      </c>
      <c r="AB5693">
        <v>33</v>
      </c>
      <c r="AC5693">
        <v>22.272300000000001</v>
      </c>
      <c r="AD5693">
        <v>-1.107050680553</v>
      </c>
      <c r="AE5693">
        <v>4.6268399999999996</v>
      </c>
      <c r="AF5693">
        <v>-4.8181401506833499</v>
      </c>
      <c r="AG5693">
        <v>-1.107050680553</v>
      </c>
      <c r="AH5693">
        <v>22.1767012695495</v>
      </c>
      <c r="AI5693">
        <v>92.792760685233702</v>
      </c>
      <c r="AJ5693">
        <v>102.257663936569</v>
      </c>
      <c r="AK5693">
        <v>22.721050039991098</v>
      </c>
      <c r="AL5693">
        <v>90.731350638302899</v>
      </c>
      <c r="AM5693">
        <v>99.238286321594501</v>
      </c>
      <c r="AN5693">
        <v>0.99999999965169295</v>
      </c>
    </row>
    <row r="5694" spans="1:40" x14ac:dyDescent="0.25">
      <c r="A5694" t="str">
        <f>"20190305135940284"</f>
        <v>20190305135940284</v>
      </c>
      <c r="B5694" t="str">
        <f>"1551765580274904"</f>
        <v>1551765580274904</v>
      </c>
      <c r="C5694" t="s">
        <v>40</v>
      </c>
      <c r="D5694">
        <v>4.4347110000000001</v>
      </c>
      <c r="E5694">
        <v>0.4801395</v>
      </c>
      <c r="F5694" t="s">
        <v>94</v>
      </c>
      <c r="G5694">
        <v>-237.00720000000001</v>
      </c>
      <c r="H5694" s="1">
        <v>-2.7096829999999998E-6</v>
      </c>
      <c r="I5694">
        <v>-56.344589999999997</v>
      </c>
      <c r="J5694">
        <v>-259.02809999999999</v>
      </c>
      <c r="K5694">
        <v>1.107038</v>
      </c>
      <c r="L5694">
        <v>-60.908329999999999</v>
      </c>
      <c r="M5694">
        <v>0.99992650000000005</v>
      </c>
      <c r="N5694">
        <v>-6.891487E-3</v>
      </c>
      <c r="O5694">
        <v>-9.9724389999999996E-3</v>
      </c>
      <c r="P5694">
        <v>0.98821219999999999</v>
      </c>
      <c r="Q5694">
        <v>-2.063417E-2</v>
      </c>
      <c r="R5694">
        <v>0.15169340000000001</v>
      </c>
      <c r="S5694">
        <v>2.939972</v>
      </c>
      <c r="T5694">
        <v>-0.14675769999999999</v>
      </c>
      <c r="U5694">
        <v>0.60470579999999996</v>
      </c>
      <c r="V5694">
        <v>-0.16159499999999999</v>
      </c>
      <c r="W5694">
        <v>-1.3192239999999999E-2</v>
      </c>
      <c r="X5694">
        <v>0.98676900000000001</v>
      </c>
      <c r="Y5694">
        <v>-0.2109279</v>
      </c>
      <c r="Z5694">
        <v>6.3662279999999998E-3</v>
      </c>
      <c r="AA5694">
        <v>0.97748089999999999</v>
      </c>
      <c r="AB5694">
        <v>33</v>
      </c>
      <c r="AC5694">
        <v>22.020899999999902</v>
      </c>
      <c r="AD5694">
        <v>-1.1070407096829999</v>
      </c>
      <c r="AE5694">
        <v>4.5637400000000001</v>
      </c>
      <c r="AF5694">
        <v>-4.7715578111083499</v>
      </c>
      <c r="AG5694">
        <v>-1.1070407096829999</v>
      </c>
      <c r="AH5694">
        <v>21.9211723671188</v>
      </c>
      <c r="AI5694">
        <v>92.824998562183197</v>
      </c>
      <c r="AJ5694">
        <v>102.27996101098999</v>
      </c>
      <c r="AK5694">
        <v>22.4617697661288</v>
      </c>
      <c r="AL5694">
        <v>90.755881585822607</v>
      </c>
      <c r="AM5694">
        <v>99.300304183769597</v>
      </c>
      <c r="AN5694">
        <v>1.0000000192911001</v>
      </c>
    </row>
    <row r="5695" spans="1:40" x14ac:dyDescent="0.25">
      <c r="A5695" t="str">
        <f>"20190305135940294"</f>
        <v>20190305135940294</v>
      </c>
      <c r="B5695" t="str">
        <f>"1551765580284664"</f>
        <v>1551765580284664</v>
      </c>
      <c r="C5695" t="s">
        <v>40</v>
      </c>
      <c r="D5695">
        <v>4.4373329999999997</v>
      </c>
      <c r="E5695">
        <v>0.48025899999999999</v>
      </c>
      <c r="F5695" t="s">
        <v>94</v>
      </c>
      <c r="G5695">
        <v>-236.93860000000001</v>
      </c>
      <c r="H5695" s="1">
        <v>-2.6761480000000001E-6</v>
      </c>
      <c r="I5695">
        <v>-56.367730000000002</v>
      </c>
      <c r="J5695">
        <v>-258.86750000000001</v>
      </c>
      <c r="K5695">
        <v>1.1070279999999999</v>
      </c>
      <c r="L5695">
        <v>-60.910640000000001</v>
      </c>
      <c r="M5695">
        <v>0.99991739999999996</v>
      </c>
      <c r="N5695">
        <v>-6.8926609999999996E-3</v>
      </c>
      <c r="O5695">
        <v>-1.0858339999999999E-2</v>
      </c>
      <c r="P5695">
        <v>0.98818450000000002</v>
      </c>
      <c r="Q5695">
        <v>-2.1151779999999998E-2</v>
      </c>
      <c r="R5695">
        <v>0.1518031</v>
      </c>
      <c r="S5695">
        <v>2.9399410000000001</v>
      </c>
      <c r="T5695">
        <v>-0.14733840000000001</v>
      </c>
      <c r="U5695">
        <v>0.60430909999999904</v>
      </c>
      <c r="V5695">
        <v>-0.16258</v>
      </c>
      <c r="W5695">
        <v>-1.3704320000000001E-2</v>
      </c>
      <c r="X5695">
        <v>0.98660020000000004</v>
      </c>
      <c r="Y5695">
        <v>-0.2116653</v>
      </c>
      <c r="Z5695">
        <v>6.4477319999999899E-3</v>
      </c>
      <c r="AA5695">
        <v>0.977321</v>
      </c>
      <c r="AB5695">
        <v>33</v>
      </c>
      <c r="AC5695">
        <v>21.928899999999999</v>
      </c>
      <c r="AD5695">
        <v>-1.107030676148</v>
      </c>
      <c r="AE5695">
        <v>4.5429099999999902</v>
      </c>
      <c r="AF5695">
        <v>-4.7691053147839897</v>
      </c>
      <c r="AG5695">
        <v>-1.107030676148</v>
      </c>
      <c r="AH5695">
        <v>21.8249454086375</v>
      </c>
      <c r="AI5695">
        <v>92.836908417847397</v>
      </c>
      <c r="AJ5695">
        <v>102.32630559033601</v>
      </c>
      <c r="AK5695">
        <v>22.367345048338699</v>
      </c>
      <c r="AL5695">
        <v>90.785224269394504</v>
      </c>
      <c r="AM5695">
        <v>99.357567055810605</v>
      </c>
      <c r="AN5695">
        <v>1.0000000097133499</v>
      </c>
    </row>
    <row r="5696" spans="1:40" x14ac:dyDescent="0.25">
      <c r="A5696" t="str">
        <f>"20190305135940306"</f>
        <v>20190305135940306</v>
      </c>
      <c r="B5696" t="str">
        <f>"1551765580294425"</f>
        <v>1551765580294425</v>
      </c>
      <c r="C5696" t="s">
        <v>40</v>
      </c>
      <c r="D5696">
        <v>4.4262790000000001</v>
      </c>
      <c r="E5696">
        <v>0.48039880000000001</v>
      </c>
      <c r="F5696" t="s">
        <v>94</v>
      </c>
      <c r="G5696">
        <v>-236.9186</v>
      </c>
      <c r="H5696" s="1">
        <v>-2.6614110000000001E-6</v>
      </c>
      <c r="I5696">
        <v>-56.402320000000003</v>
      </c>
      <c r="J5696">
        <v>-258.6995</v>
      </c>
      <c r="K5696">
        <v>1.107019</v>
      </c>
      <c r="L5696">
        <v>-60.9133</v>
      </c>
      <c r="M5696">
        <v>0.99990690000000004</v>
      </c>
      <c r="N5696">
        <v>-6.8940570000000003E-3</v>
      </c>
      <c r="O5696">
        <v>-1.178417E-2</v>
      </c>
      <c r="P5696">
        <v>0.98819140000000005</v>
      </c>
      <c r="Q5696">
        <v>-2.1668799999999998E-2</v>
      </c>
      <c r="R5696">
        <v>0.15168579999999901</v>
      </c>
      <c r="S5696">
        <v>2.9399109999999999</v>
      </c>
      <c r="T5696">
        <v>-0.14827939999999901</v>
      </c>
      <c r="U5696">
        <v>0.60385129999999998</v>
      </c>
      <c r="V5696">
        <v>-0.16337860000000001</v>
      </c>
      <c r="W5696">
        <v>-1.4216039999999999E-2</v>
      </c>
      <c r="X5696">
        <v>0.98646100000000003</v>
      </c>
      <c r="Y5696">
        <v>-0.21242050000000001</v>
      </c>
      <c r="Z5696">
        <v>6.546278E-3</v>
      </c>
      <c r="AA5696">
        <v>0.97715640000000004</v>
      </c>
      <c r="AB5696">
        <v>33</v>
      </c>
      <c r="AC5696">
        <v>21.780899999999999</v>
      </c>
      <c r="AD5696">
        <v>-1.107021661411</v>
      </c>
      <c r="AE5696">
        <v>4.51098</v>
      </c>
      <c r="AF5696">
        <v>-4.75556327788685</v>
      </c>
      <c r="AG5696">
        <v>-1.107021661411</v>
      </c>
      <c r="AH5696">
        <v>21.6725459034338</v>
      </c>
      <c r="AI5696">
        <v>92.856257861548002</v>
      </c>
      <c r="AJ5696">
        <v>102.376154271011</v>
      </c>
      <c r="AK5696">
        <v>22.215762984540099</v>
      </c>
      <c r="AL5696">
        <v>90.814546544369705</v>
      </c>
      <c r="AM5696">
        <v>99.404016067901296</v>
      </c>
      <c r="AN5696">
        <v>0.99999998362611997</v>
      </c>
    </row>
    <row r="5697" spans="1:40" x14ac:dyDescent="0.25">
      <c r="A5697" t="str">
        <f>"20190305135940316"</f>
        <v>20190305135940316</v>
      </c>
      <c r="B5697" t="str">
        <f>"1551765580304185"</f>
        <v>1551765580304185</v>
      </c>
      <c r="C5697" t="s">
        <v>40</v>
      </c>
      <c r="D5697">
        <v>4.4255079999999998</v>
      </c>
      <c r="E5697">
        <v>0.48051519999999998</v>
      </c>
      <c r="F5697" t="s">
        <v>94</v>
      </c>
      <c r="G5697">
        <v>-236.90799999999999</v>
      </c>
      <c r="H5697" s="1">
        <v>-2.6486259999999998E-6</v>
      </c>
      <c r="I5697">
        <v>-56.448909999999998</v>
      </c>
      <c r="J5697">
        <v>-258.53280000000001</v>
      </c>
      <c r="K5697">
        <v>1.107008</v>
      </c>
      <c r="L5697">
        <v>-60.915990000000001</v>
      </c>
      <c r="M5697">
        <v>0.9998956</v>
      </c>
      <c r="N5697">
        <v>-6.8955140000000002E-3</v>
      </c>
      <c r="O5697">
        <v>-1.2702740000000001E-2</v>
      </c>
      <c r="P5697">
        <v>0.98821000000000003</v>
      </c>
      <c r="Q5697">
        <v>-2.195857E-2</v>
      </c>
      <c r="R5697">
        <v>0.15152199999999999</v>
      </c>
      <c r="S5697">
        <v>2.9400940000000002</v>
      </c>
      <c r="T5697">
        <v>-0.14935899999999999</v>
      </c>
      <c r="U5697">
        <v>0.60232540000000001</v>
      </c>
      <c r="V5697">
        <v>-0.1641225</v>
      </c>
      <c r="W5697">
        <v>-1.4500570000000001E-2</v>
      </c>
      <c r="X5697">
        <v>0.98633340000000003</v>
      </c>
      <c r="Y5697">
        <v>-0.2128138</v>
      </c>
      <c r="Z5697">
        <v>6.6402989999999997E-3</v>
      </c>
      <c r="AA5697">
        <v>0.9770702</v>
      </c>
      <c r="AB5697">
        <v>33</v>
      </c>
      <c r="AC5697">
        <v>21.6248</v>
      </c>
      <c r="AD5697">
        <v>-1.1070106486260001</v>
      </c>
      <c r="AE5697">
        <v>4.4670800000000002</v>
      </c>
      <c r="AF5697">
        <v>-4.7295333545124896</v>
      </c>
      <c r="AG5697">
        <v>-1.1070106486260001</v>
      </c>
      <c r="AH5697">
        <v>21.5122420284785</v>
      </c>
      <c r="AI5697">
        <v>92.877221895809996</v>
      </c>
      <c r="AJ5697">
        <v>102.399390746073</v>
      </c>
      <c r="AK5697">
        <v>22.053809544372498</v>
      </c>
      <c r="AL5697">
        <v>90.830850564370607</v>
      </c>
      <c r="AM5697">
        <v>99.447264706989998</v>
      </c>
      <c r="AN5697">
        <v>1.00000001874606</v>
      </c>
    </row>
    <row r="5698" spans="1:40" x14ac:dyDescent="0.25">
      <c r="A5698" t="str">
        <f>"20190305135940329"</f>
        <v>20190305135940329</v>
      </c>
      <c r="B5698" t="str">
        <f>"1551765580324680"</f>
        <v>1551765580324680</v>
      </c>
      <c r="C5698" t="s">
        <v>40</v>
      </c>
      <c r="D5698">
        <v>4.4201220000000001</v>
      </c>
      <c r="E5698">
        <v>0.48078589999999999</v>
      </c>
      <c r="F5698" t="s">
        <v>94</v>
      </c>
      <c r="G5698">
        <v>-236.79409999999999</v>
      </c>
      <c r="H5698" s="1">
        <v>-2.5955910000000002E-6</v>
      </c>
      <c r="I5698">
        <v>-56.472430000000003</v>
      </c>
      <c r="J5698">
        <v>-258.35250000000002</v>
      </c>
      <c r="K5698">
        <v>1.1069979999999999</v>
      </c>
      <c r="L5698">
        <v>-60.91919</v>
      </c>
      <c r="M5698">
        <v>0.99988259999999995</v>
      </c>
      <c r="N5698">
        <v>-6.8973100000000002E-3</v>
      </c>
      <c r="O5698">
        <v>-1.369546E-2</v>
      </c>
      <c r="P5698">
        <v>0.98825960000000002</v>
      </c>
      <c r="Q5698">
        <v>-2.20039E-2</v>
      </c>
      <c r="R5698">
        <v>0.151192299999999</v>
      </c>
      <c r="S5698">
        <v>2.9403079999999999</v>
      </c>
      <c r="T5698">
        <v>-0.149731</v>
      </c>
      <c r="U5698">
        <v>0.60101319999999903</v>
      </c>
      <c r="V5698">
        <v>-0.1647728</v>
      </c>
      <c r="W5698">
        <v>-1.454042E-2</v>
      </c>
      <c r="X5698">
        <v>0.9862244</v>
      </c>
      <c r="Y5698">
        <v>-0.21334810000000001</v>
      </c>
      <c r="Z5698">
        <v>6.7137489999999998E-3</v>
      </c>
      <c r="AA5698">
        <v>0.97695310000000002</v>
      </c>
      <c r="AB5698">
        <v>33</v>
      </c>
      <c r="AC5698">
        <v>21.558399999999999</v>
      </c>
      <c r="AD5698">
        <v>-1.1070005955909901</v>
      </c>
      <c r="AE5698">
        <v>4.4467599999999896</v>
      </c>
      <c r="AF5698">
        <v>-4.7296403295009704</v>
      </c>
      <c r="AG5698">
        <v>-1.1070005955909901</v>
      </c>
      <c r="AH5698">
        <v>21.4412488771646</v>
      </c>
      <c r="AI5698">
        <v>92.8862626805807</v>
      </c>
      <c r="AJ5698">
        <v>102.439442448785</v>
      </c>
      <c r="AK5698">
        <v>21.984587814594001</v>
      </c>
      <c r="AL5698">
        <v>90.833134029762306</v>
      </c>
      <c r="AM5698">
        <v>99.485047894041202</v>
      </c>
      <c r="AN5698">
        <v>1.0000000332944801</v>
      </c>
    </row>
    <row r="5699" spans="1:40" x14ac:dyDescent="0.25">
      <c r="A5699" t="str">
        <f>"20190305135940341"</f>
        <v>20190305135940341</v>
      </c>
      <c r="B5699" t="str">
        <f>"1551765580334440"</f>
        <v>1551765580334440</v>
      </c>
      <c r="C5699" t="s">
        <v>40</v>
      </c>
      <c r="D5699">
        <v>4.3954250000000004</v>
      </c>
      <c r="E5699">
        <v>0.48078589999999999</v>
      </c>
      <c r="F5699" t="s">
        <v>94</v>
      </c>
      <c r="G5699">
        <v>-236.46860000000001</v>
      </c>
      <c r="H5699" s="1">
        <v>-2.4563679999999999E-6</v>
      </c>
      <c r="I5699">
        <v>-56.469940000000001</v>
      </c>
      <c r="J5699">
        <v>-258.1773</v>
      </c>
      <c r="K5699">
        <v>1.106989</v>
      </c>
      <c r="L5699">
        <v>-60.922359999999998</v>
      </c>
      <c r="M5699">
        <v>0.99986889999999995</v>
      </c>
      <c r="N5699">
        <v>-6.8990960000000004E-3</v>
      </c>
      <c r="O5699">
        <v>-1.466052E-2</v>
      </c>
      <c r="P5699">
        <v>0.988317</v>
      </c>
      <c r="Q5699">
        <v>-2.2271300000000001E-2</v>
      </c>
      <c r="R5699">
        <v>0.1507771</v>
      </c>
      <c r="S5699">
        <v>2.9408569999999998</v>
      </c>
      <c r="T5699">
        <v>-0.14876329999999999</v>
      </c>
      <c r="U5699">
        <v>0.5979004</v>
      </c>
      <c r="V5699">
        <v>-0.1653115</v>
      </c>
      <c r="W5699">
        <v>-1.480274E-2</v>
      </c>
      <c r="X5699">
        <v>0.98613030000000002</v>
      </c>
      <c r="Y5699">
        <v>-0.2132655</v>
      </c>
      <c r="Z5699">
        <v>6.7135930000000003E-3</v>
      </c>
      <c r="AA5699">
        <v>0.97697120000000004</v>
      </c>
      <c r="AB5699">
        <v>33</v>
      </c>
      <c r="AC5699">
        <v>21.7087</v>
      </c>
      <c r="AD5699">
        <v>-1.1069914563679999</v>
      </c>
      <c r="AE5699">
        <v>4.4524199999999903</v>
      </c>
      <c r="AF5699">
        <v>-4.7583362571472696</v>
      </c>
      <c r="AG5699">
        <v>-1.1069914563679999</v>
      </c>
      <c r="AH5699">
        <v>21.587223502094101</v>
      </c>
      <c r="AI5699">
        <v>92.866852257463407</v>
      </c>
      <c r="AJ5699">
        <v>102.430573431639</v>
      </c>
      <c r="AK5699">
        <v>22.133129298631001</v>
      </c>
      <c r="AL5699">
        <v>90.848165512066103</v>
      </c>
      <c r="AM5699">
        <v>99.516383067683407</v>
      </c>
      <c r="AN5699">
        <v>0.99999999086092295</v>
      </c>
    </row>
    <row r="5700" spans="1:40" x14ac:dyDescent="0.25">
      <c r="A5700" t="str">
        <f>"20190305135940352"</f>
        <v>20190305135940352</v>
      </c>
      <c r="B5700" t="str">
        <f>"1551765580344199"</f>
        <v>1551765580344199</v>
      </c>
      <c r="C5700" t="s">
        <v>40</v>
      </c>
      <c r="D5700">
        <v>4.3945689999999997</v>
      </c>
      <c r="E5700">
        <v>0.48104520000000001</v>
      </c>
      <c r="F5700" t="s">
        <v>94</v>
      </c>
      <c r="G5700">
        <v>-236.4186</v>
      </c>
      <c r="H5700" s="1">
        <v>-2.428213E-6</v>
      </c>
      <c r="I5700">
        <v>-56.507910000000003</v>
      </c>
      <c r="J5700">
        <v>-258.00420000000003</v>
      </c>
      <c r="K5700">
        <v>1.106978</v>
      </c>
      <c r="L5700">
        <v>-60.925719999999998</v>
      </c>
      <c r="M5700">
        <v>0.99985440000000003</v>
      </c>
      <c r="N5700">
        <v>-6.9009479999999996E-3</v>
      </c>
      <c r="O5700">
        <v>-1.5613180000000001E-2</v>
      </c>
      <c r="P5700">
        <v>0.98836380000000001</v>
      </c>
      <c r="Q5700">
        <v>-2.2796719999999999E-2</v>
      </c>
      <c r="R5700">
        <v>0.1503911</v>
      </c>
      <c r="S5700">
        <v>2.941055</v>
      </c>
      <c r="T5700">
        <v>-0.1496286</v>
      </c>
      <c r="U5700">
        <v>0.59667969999999904</v>
      </c>
      <c r="V5700">
        <v>-0.1658683</v>
      </c>
      <c r="W5700">
        <v>-1.532304E-2</v>
      </c>
      <c r="X5700">
        <v>0.98602889999999999</v>
      </c>
      <c r="Y5700">
        <v>-0.2137889</v>
      </c>
      <c r="Z5700">
        <v>6.8053250000000001E-3</v>
      </c>
      <c r="AA5700">
        <v>0.97685619999999995</v>
      </c>
      <c r="AB5700">
        <v>33</v>
      </c>
      <c r="AC5700">
        <v>21.585599999999999</v>
      </c>
      <c r="AD5700">
        <v>-1.106980428213</v>
      </c>
      <c r="AE5700">
        <v>4.4178100000000002</v>
      </c>
      <c r="AF5700">
        <v>-4.7423285425516699</v>
      </c>
      <c r="AG5700">
        <v>-1.106980428213</v>
      </c>
      <c r="AH5700">
        <v>21.4598212885418</v>
      </c>
      <c r="AI5700">
        <v>92.883473906222704</v>
      </c>
      <c r="AJ5700">
        <v>102.461314515921</v>
      </c>
      <c r="AK5700">
        <v>22.0054314979302</v>
      </c>
      <c r="AL5700">
        <v>90.877979846043701</v>
      </c>
      <c r="AM5700">
        <v>99.548810668404599</v>
      </c>
      <c r="AN5700">
        <v>1.00000004006747</v>
      </c>
    </row>
    <row r="5701" spans="1:40" x14ac:dyDescent="0.25">
      <c r="A5701" t="str">
        <f>"20190305135940363"</f>
        <v>20190305135940363</v>
      </c>
      <c r="B5701" t="str">
        <f>"1551765580354936"</f>
        <v>1551765580354936</v>
      </c>
      <c r="C5701" t="s">
        <v>40</v>
      </c>
      <c r="D5701">
        <v>4.4210129999999896</v>
      </c>
      <c r="E5701">
        <v>0.4811626</v>
      </c>
      <c r="F5701" t="s">
        <v>94</v>
      </c>
      <c r="G5701">
        <v>-236.25620000000001</v>
      </c>
      <c r="H5701" s="1">
        <v>-2.353378E-6</v>
      </c>
      <c r="I5701">
        <v>-56.536960000000001</v>
      </c>
      <c r="J5701">
        <v>-257.83980000000003</v>
      </c>
      <c r="K5701">
        <v>1.1069709999999999</v>
      </c>
      <c r="L5701">
        <v>-60.929049999999997</v>
      </c>
      <c r="M5701">
        <v>0.99983979999999995</v>
      </c>
      <c r="N5701">
        <v>-6.9027569999999998E-3</v>
      </c>
      <c r="O5701">
        <v>-1.6517799999999999E-2</v>
      </c>
      <c r="P5701">
        <v>0.98843159999999997</v>
      </c>
      <c r="Q5701">
        <v>-2.3207479999999999E-2</v>
      </c>
      <c r="R5701">
        <v>0.1498815</v>
      </c>
      <c r="S5701">
        <v>2.9415439999999999</v>
      </c>
      <c r="T5701">
        <v>-0.1497259</v>
      </c>
      <c r="U5701">
        <v>0.59359740000000005</v>
      </c>
      <c r="V5701">
        <v>-0.16625329999999999</v>
      </c>
      <c r="W5701">
        <v>-1.5729259999999998E-2</v>
      </c>
      <c r="X5701">
        <v>0.98595759999999999</v>
      </c>
      <c r="Y5701">
        <v>-0.2136567</v>
      </c>
      <c r="Z5701">
        <v>6.844663E-3</v>
      </c>
      <c r="AA5701">
        <v>0.9768848</v>
      </c>
      <c r="AB5701">
        <v>33</v>
      </c>
      <c r="AC5701">
        <v>21.583600000000001</v>
      </c>
      <c r="AD5701">
        <v>-1.106973353378</v>
      </c>
      <c r="AE5701">
        <v>4.3920899999999898</v>
      </c>
      <c r="AF5701">
        <v>-4.7360503398451801</v>
      </c>
      <c r="AG5701">
        <v>-1.106973353378</v>
      </c>
      <c r="AH5701">
        <v>21.453916773590201</v>
      </c>
      <c r="AI5701">
        <v>92.884388323695902</v>
      </c>
      <c r="AJ5701">
        <v>102.44865018701201</v>
      </c>
      <c r="AK5701">
        <v>21.998320566688101</v>
      </c>
      <c r="AL5701">
        <v>90.901257397517597</v>
      </c>
      <c r="AM5701">
        <v>99.571244369099603</v>
      </c>
      <c r="AN5701">
        <v>0.99999997918939798</v>
      </c>
    </row>
    <row r="5702" spans="1:40" x14ac:dyDescent="0.25">
      <c r="A5702" t="str">
        <f>"20190305135940375"</f>
        <v>20190305135940375</v>
      </c>
      <c r="B5702" t="str">
        <f>"1551765580364696"</f>
        <v>1551765580364696</v>
      </c>
      <c r="C5702" t="s">
        <v>40</v>
      </c>
      <c r="D5702">
        <v>4.4075730000000002</v>
      </c>
      <c r="E5702">
        <v>0.48126269999999999</v>
      </c>
      <c r="F5702" t="s">
        <v>94</v>
      </c>
      <c r="G5702">
        <v>-236.16810000000001</v>
      </c>
      <c r="H5702" s="1">
        <v>-2.3090619999999998E-6</v>
      </c>
      <c r="I5702">
        <v>-56.573810000000002</v>
      </c>
      <c r="J5702">
        <v>-257.65339999999998</v>
      </c>
      <c r="K5702">
        <v>1.1069610000000001</v>
      </c>
      <c r="L5702">
        <v>-60.932980000000001</v>
      </c>
      <c r="M5702">
        <v>0.9998224</v>
      </c>
      <c r="N5702">
        <v>-6.9048819999999898E-3</v>
      </c>
      <c r="O5702">
        <v>-1.7543429999999999E-2</v>
      </c>
      <c r="P5702">
        <v>0.98853029999999997</v>
      </c>
      <c r="Q5702">
        <v>-2.3463149999999999E-2</v>
      </c>
      <c r="R5702">
        <v>0.14918960000000001</v>
      </c>
      <c r="S5702">
        <v>2.9419400000000002</v>
      </c>
      <c r="T5702">
        <v>-0.1502724</v>
      </c>
      <c r="U5702">
        <v>0.59121699999999999</v>
      </c>
      <c r="V5702">
        <v>-0.16657559999999999</v>
      </c>
      <c r="W5702">
        <v>-1.5980049999999999E-2</v>
      </c>
      <c r="X5702">
        <v>0.98589919999999998</v>
      </c>
      <c r="Y5702">
        <v>-0.21387010000000001</v>
      </c>
      <c r="Z5702">
        <v>6.9181140000000004E-3</v>
      </c>
      <c r="AA5702">
        <v>0.97683759999999997</v>
      </c>
      <c r="AB5702">
        <v>34</v>
      </c>
      <c r="AC5702">
        <v>21.485299999999899</v>
      </c>
      <c r="AD5702">
        <v>-1.1069633090619999</v>
      </c>
      <c r="AE5702">
        <v>4.3591700000000104</v>
      </c>
      <c r="AF5702">
        <v>-4.7233913505127898</v>
      </c>
      <c r="AG5702">
        <v>-1.1069633090619999</v>
      </c>
      <c r="AH5702">
        <v>21.351080966950601</v>
      </c>
      <c r="AI5702">
        <v>92.897944152511897</v>
      </c>
      <c r="AJ5702">
        <v>102.47434445220399</v>
      </c>
      <c r="AK5702">
        <v>21.895306622082</v>
      </c>
      <c r="AL5702">
        <v>90.915628382196999</v>
      </c>
      <c r="AM5702">
        <v>99.590012500141896</v>
      </c>
      <c r="AN5702">
        <v>1.0000000125370001</v>
      </c>
    </row>
    <row r="5703" spans="1:40" x14ac:dyDescent="0.25">
      <c r="A5703" t="str">
        <f>"20190305135940384"</f>
        <v>20190305135940384</v>
      </c>
      <c r="B5703" t="str">
        <f>"1551765580374456"</f>
        <v>1551765580374456</v>
      </c>
      <c r="C5703" t="s">
        <v>40</v>
      </c>
      <c r="D5703">
        <v>4.4193579999999999</v>
      </c>
      <c r="E5703">
        <v>0.48136489999999998</v>
      </c>
      <c r="F5703" t="s">
        <v>94</v>
      </c>
      <c r="G5703">
        <v>-235.99299999999999</v>
      </c>
      <c r="H5703" s="1">
        <v>-2.2291E-6</v>
      </c>
      <c r="I5703">
        <v>-56.601140000000001</v>
      </c>
      <c r="J5703">
        <v>-257.51519999999999</v>
      </c>
      <c r="K5703">
        <v>1.106949</v>
      </c>
      <c r="L5703">
        <v>-60.936070000000001</v>
      </c>
      <c r="M5703">
        <v>0.99980869999999999</v>
      </c>
      <c r="N5703">
        <v>-6.9081840000000004E-3</v>
      </c>
      <c r="O5703">
        <v>-1.830321E-2</v>
      </c>
      <c r="P5703">
        <v>0.98860519999999996</v>
      </c>
      <c r="Q5703">
        <v>-2.3918700000000001E-2</v>
      </c>
      <c r="R5703">
        <v>0.14861949999999999</v>
      </c>
      <c r="S5703">
        <v>2.9423979999999998</v>
      </c>
      <c r="T5703">
        <v>-0.1503727</v>
      </c>
      <c r="U5703">
        <v>0.58843990000000002</v>
      </c>
      <c r="V5703">
        <v>-0.16675770000000001</v>
      </c>
      <c r="W5703">
        <v>-1.6430440000000001E-2</v>
      </c>
      <c r="X5703">
        <v>0.98586099999999999</v>
      </c>
      <c r="Y5703">
        <v>-0.21369579999999999</v>
      </c>
      <c r="Z5703">
        <v>6.9503940000000004E-3</v>
      </c>
      <c r="AA5703">
        <v>0.97687550000000001</v>
      </c>
      <c r="AB5703">
        <v>34</v>
      </c>
      <c r="AC5703">
        <v>21.522200000000002</v>
      </c>
      <c r="AD5703">
        <v>-1.1069512291000001</v>
      </c>
      <c r="AE5703">
        <v>4.3349299999999902</v>
      </c>
      <c r="AF5703">
        <v>-4.7161490189982302</v>
      </c>
      <c r="AG5703">
        <v>-1.1069512291000001</v>
      </c>
      <c r="AH5703">
        <v>21.3848844047873</v>
      </c>
      <c r="AI5703">
        <v>92.893758365757193</v>
      </c>
      <c r="AJ5703">
        <v>102.436739046448</v>
      </c>
      <c r="AK5703">
        <v>21.926711645824099</v>
      </c>
      <c r="AL5703">
        <v>90.941437228522005</v>
      </c>
      <c r="AM5703">
        <v>99.600666322101802</v>
      </c>
      <c r="AN5703">
        <v>1.0000000005944401</v>
      </c>
    </row>
    <row r="5704" spans="1:40" x14ac:dyDescent="0.25">
      <c r="A5704" t="str">
        <f>"20190305135940394"</f>
        <v>20190305135940394</v>
      </c>
      <c r="B5704" t="str">
        <f>"1551765580384216"</f>
        <v>1551765580384216</v>
      </c>
      <c r="C5704" t="s">
        <v>40</v>
      </c>
      <c r="D5704">
        <v>4.3949339999999903</v>
      </c>
      <c r="E5704">
        <v>0.48144439999999999</v>
      </c>
      <c r="F5704" t="s">
        <v>94</v>
      </c>
      <c r="G5704">
        <v>-235.9391</v>
      </c>
      <c r="H5704" s="1">
        <v>-2.1990500000000001E-6</v>
      </c>
      <c r="I5704">
        <v>-56.640059999999998</v>
      </c>
      <c r="J5704">
        <v>-257.35649999999998</v>
      </c>
      <c r="K5704">
        <v>1.106941</v>
      </c>
      <c r="L5704">
        <v>-60.939700000000002</v>
      </c>
      <c r="M5704">
        <v>0.99979229999999997</v>
      </c>
      <c r="N5704">
        <v>-6.9127669999999898E-3</v>
      </c>
      <c r="O5704">
        <v>-1.917601E-2</v>
      </c>
      <c r="P5704">
        <v>0.98867090000000002</v>
      </c>
      <c r="Q5704">
        <v>-2.41059E-2</v>
      </c>
      <c r="R5704">
        <v>0.1481519</v>
      </c>
      <c r="S5704">
        <v>2.942841</v>
      </c>
      <c r="T5704">
        <v>-0.1509808</v>
      </c>
      <c r="U5704">
        <v>0.5859375</v>
      </c>
      <c r="V5704">
        <v>-0.16715350000000001</v>
      </c>
      <c r="W5704">
        <v>-1.661033E-2</v>
      </c>
      <c r="X5704">
        <v>0.98579099999999997</v>
      </c>
      <c r="Y5704">
        <v>-0.21371809999999999</v>
      </c>
      <c r="Z5704">
        <v>7.0149119999999999E-3</v>
      </c>
      <c r="AA5704">
        <v>0.97687020000000002</v>
      </c>
      <c r="AB5704">
        <v>34</v>
      </c>
      <c r="AC5704">
        <v>21.417399999999901</v>
      </c>
      <c r="AD5704">
        <v>-1.10694319905</v>
      </c>
      <c r="AE5704">
        <v>4.2996400000000001</v>
      </c>
      <c r="AF5704">
        <v>-4.6974972852253396</v>
      </c>
      <c r="AG5704">
        <v>-1.10694319905</v>
      </c>
      <c r="AH5704">
        <v>21.276376724350602</v>
      </c>
      <c r="AI5704">
        <v>92.908318389884499</v>
      </c>
      <c r="AJ5704">
        <v>102.450292856126</v>
      </c>
      <c r="AK5704">
        <v>21.816874444042401</v>
      </c>
      <c r="AL5704">
        <v>90.951745530207006</v>
      </c>
      <c r="AM5704">
        <v>99.623698453675004</v>
      </c>
      <c r="AN5704">
        <v>1.0000000456529701</v>
      </c>
    </row>
    <row r="5705" spans="1:40" x14ac:dyDescent="0.25">
      <c r="A5705" t="str">
        <f>"20190305135940406"</f>
        <v>20190305135940406</v>
      </c>
      <c r="B5705" t="str">
        <f>"1551765580394953"</f>
        <v>1551765580394953</v>
      </c>
      <c r="C5705" t="s">
        <v>40</v>
      </c>
      <c r="D5705">
        <v>4.4162670000000004</v>
      </c>
      <c r="E5705">
        <v>0.48153899999999999</v>
      </c>
      <c r="F5705" t="s">
        <v>94</v>
      </c>
      <c r="G5705">
        <v>-235.78110000000001</v>
      </c>
      <c r="H5705" s="1">
        <v>-2.1279789999999998E-6</v>
      </c>
      <c r="I5705">
        <v>-56.6586</v>
      </c>
      <c r="J5705">
        <v>-257.1832</v>
      </c>
      <c r="K5705">
        <v>1.1069370000000001</v>
      </c>
      <c r="L5705">
        <v>-60.943849999999998</v>
      </c>
      <c r="M5705">
        <v>0.99977360000000004</v>
      </c>
      <c r="N5705">
        <v>-6.9187729999999996E-3</v>
      </c>
      <c r="O5705">
        <v>-2.0128460000000001E-2</v>
      </c>
      <c r="P5705">
        <v>0.98880210000000002</v>
      </c>
      <c r="Q5705">
        <v>-2.4169309999999999E-2</v>
      </c>
      <c r="R5705">
        <v>0.14726330000000001</v>
      </c>
      <c r="S5705">
        <v>2.943146</v>
      </c>
      <c r="T5705">
        <v>-0.15100050000000001</v>
      </c>
      <c r="U5705">
        <v>0.58398439999999996</v>
      </c>
      <c r="V5705">
        <v>-0.16720689999999999</v>
      </c>
      <c r="W5705">
        <v>-1.6665849999999999E-2</v>
      </c>
      <c r="X5705">
        <v>0.98578100000000002</v>
      </c>
      <c r="Y5705">
        <v>-0.21400420000000001</v>
      </c>
      <c r="Z5705">
        <v>7.0661309999999998E-3</v>
      </c>
      <c r="AA5705">
        <v>0.97680719999999999</v>
      </c>
      <c r="AB5705">
        <v>34</v>
      </c>
      <c r="AC5705">
        <v>21.402099999999901</v>
      </c>
      <c r="AD5705">
        <v>-1.106939127979</v>
      </c>
      <c r="AE5705">
        <v>4.2852499999999898</v>
      </c>
      <c r="AF5705">
        <v>-4.7030872049174501</v>
      </c>
      <c r="AG5705">
        <v>-1.106939127979</v>
      </c>
      <c r="AH5705">
        <v>21.256834578481101</v>
      </c>
      <c r="AI5705">
        <v>92.910691512515797</v>
      </c>
      <c r="AJ5705">
        <v>102.47574619881</v>
      </c>
      <c r="AK5705">
        <v>21.799021991525599</v>
      </c>
      <c r="AL5705">
        <v>90.954927038522001</v>
      </c>
      <c r="AM5705">
        <v>99.626811207853706</v>
      </c>
      <c r="AN5705">
        <v>1.00000003896241</v>
      </c>
    </row>
    <row r="5706" spans="1:40" x14ac:dyDescent="0.25">
      <c r="A5706" t="str">
        <f>"20190305135940417"</f>
        <v>20190305135940417</v>
      </c>
      <c r="B5706" t="str">
        <f>"1551765580414472"</f>
        <v>1551765580414472</v>
      </c>
      <c r="C5706" t="s">
        <v>40</v>
      </c>
      <c r="D5706">
        <v>4.3897430000000002</v>
      </c>
      <c r="E5706">
        <v>0.4816898</v>
      </c>
      <c r="F5706" t="s">
        <v>94</v>
      </c>
      <c r="G5706">
        <v>-235.54060000000001</v>
      </c>
      <c r="H5706" s="1">
        <v>-2.0219859999999999E-6</v>
      </c>
      <c r="I5706">
        <v>-56.674630000000001</v>
      </c>
      <c r="J5706">
        <v>-257.01749999999998</v>
      </c>
      <c r="K5706">
        <v>1.1069329999999999</v>
      </c>
      <c r="L5706">
        <v>-60.947879999999998</v>
      </c>
      <c r="M5706">
        <v>0.9997547</v>
      </c>
      <c r="N5706">
        <v>-6.9248490000000003E-3</v>
      </c>
      <c r="O5706">
        <v>-2.1039180000000001E-2</v>
      </c>
      <c r="P5706">
        <v>0.9889175</v>
      </c>
      <c r="Q5706">
        <v>-2.3936450000000001E-2</v>
      </c>
      <c r="R5706">
        <v>0.14652419999999999</v>
      </c>
      <c r="S5706">
        <v>2.9438170000000001</v>
      </c>
      <c r="T5706">
        <v>-0.15056549999999999</v>
      </c>
      <c r="U5706">
        <v>0.58068850000000005</v>
      </c>
      <c r="V5706">
        <v>-0.16736699999999999</v>
      </c>
      <c r="W5706">
        <v>-1.6424749999999998E-2</v>
      </c>
      <c r="X5706">
        <v>0.98575780000000002</v>
      </c>
      <c r="Y5706">
        <v>-0.2138002</v>
      </c>
      <c r="Z5706">
        <v>7.0812719999999996E-3</v>
      </c>
      <c r="AA5706">
        <v>0.97685180000000005</v>
      </c>
      <c r="AB5706">
        <v>34</v>
      </c>
      <c r="AC5706">
        <v>21.476899999999901</v>
      </c>
      <c r="AD5706">
        <v>-1.1069350219859999</v>
      </c>
      <c r="AE5706">
        <v>4.2732499999999902</v>
      </c>
      <c r="AF5706">
        <v>-4.7121304261754098</v>
      </c>
      <c r="AG5706">
        <v>-1.1069350219859999</v>
      </c>
      <c r="AH5706">
        <v>21.327739609399099</v>
      </c>
      <c r="AI5706">
        <v>92.901210795910501</v>
      </c>
      <c r="AJ5706">
        <v>102.45872786922401</v>
      </c>
      <c r="AK5706">
        <v>21.870115572225899</v>
      </c>
      <c r="AL5706">
        <v>90.941111207221795</v>
      </c>
      <c r="AM5706">
        <v>99.636078629375405</v>
      </c>
      <c r="AN5706">
        <v>0.99999996268119995</v>
      </c>
    </row>
    <row r="5707" spans="1:40" x14ac:dyDescent="0.25">
      <c r="A5707" t="str">
        <f>"20190305135940429"</f>
        <v>20190305135940429</v>
      </c>
      <c r="B5707" t="str">
        <f>"1551765580424235"</f>
        <v>1551765580424235</v>
      </c>
      <c r="C5707" t="s">
        <v>40</v>
      </c>
      <c r="D5707">
        <v>4.4097400000000002</v>
      </c>
      <c r="E5707">
        <v>0.4817671</v>
      </c>
      <c r="F5707" t="s">
        <v>94</v>
      </c>
      <c r="G5707">
        <v>-235.0214</v>
      </c>
      <c r="H5707" s="1">
        <v>-1.8062960000000001E-6</v>
      </c>
      <c r="I5707">
        <v>-56.63476</v>
      </c>
      <c r="J5707">
        <v>-256.84199999999998</v>
      </c>
      <c r="K5707">
        <v>1.1069279999999999</v>
      </c>
      <c r="L5707">
        <v>-60.952419999999996</v>
      </c>
      <c r="M5707">
        <v>0.99973400000000001</v>
      </c>
      <c r="N5707">
        <v>-6.9312499999999999E-3</v>
      </c>
      <c r="O5707">
        <v>-2.2003430000000001E-2</v>
      </c>
      <c r="P5707">
        <v>0.98904950000000003</v>
      </c>
      <c r="Q5707">
        <v>-2.3435839999999999E-2</v>
      </c>
      <c r="R5707">
        <v>0.1457126</v>
      </c>
      <c r="S5707">
        <v>2.9444889999999999</v>
      </c>
      <c r="T5707">
        <v>-0.148178799999999</v>
      </c>
      <c r="U5707">
        <v>0.57736209999999999</v>
      </c>
      <c r="V5707">
        <v>-0.1675075</v>
      </c>
      <c r="W5707">
        <v>-1.5915510000000001E-2</v>
      </c>
      <c r="X5707">
        <v>0.98574229999999996</v>
      </c>
      <c r="Y5707">
        <v>-0.21364669999999999</v>
      </c>
      <c r="Z5707">
        <v>7.0155269999999997E-3</v>
      </c>
      <c r="AA5707">
        <v>0.97688580000000003</v>
      </c>
      <c r="AB5707">
        <v>34</v>
      </c>
      <c r="AC5707">
        <v>21.820599999999899</v>
      </c>
      <c r="AD5707">
        <v>-1.106929806296</v>
      </c>
      <c r="AE5707">
        <v>4.3176599999999903</v>
      </c>
      <c r="AF5707">
        <v>-4.7849046222399698</v>
      </c>
      <c r="AG5707">
        <v>-1.106929806296</v>
      </c>
      <c r="AH5707">
        <v>21.6666551623278</v>
      </c>
      <c r="AI5707">
        <v>92.855949934603203</v>
      </c>
      <c r="AJ5707">
        <v>102.453419112695</v>
      </c>
      <c r="AK5707">
        <v>22.2163127400392</v>
      </c>
      <c r="AL5707">
        <v>90.911930077435599</v>
      </c>
      <c r="AM5707">
        <v>99.644164787303296</v>
      </c>
      <c r="AN5707">
        <v>0.99999997401204899</v>
      </c>
    </row>
    <row r="5708" spans="1:40" x14ac:dyDescent="0.25">
      <c r="A5708" t="str">
        <f>"20190305135940441"</f>
        <v>20190305135940441</v>
      </c>
      <c r="B5708" t="str">
        <f>"1551765580434971"</f>
        <v>1551765580434971</v>
      </c>
      <c r="C5708" t="s">
        <v>40</v>
      </c>
      <c r="D5708">
        <v>4.4075810000000004</v>
      </c>
      <c r="E5708">
        <v>0.48184440000000001</v>
      </c>
      <c r="F5708" t="s">
        <v>94</v>
      </c>
      <c r="G5708">
        <v>-234.4547</v>
      </c>
      <c r="H5708" s="1">
        <v>-1.571979E-6</v>
      </c>
      <c r="I5708">
        <v>-56.585329999999999</v>
      </c>
      <c r="J5708">
        <v>-256.65640000000002</v>
      </c>
      <c r="K5708">
        <v>1.106924</v>
      </c>
      <c r="L5708">
        <v>-60.957340000000002</v>
      </c>
      <c r="M5708">
        <v>0.99971100000000002</v>
      </c>
      <c r="N5708">
        <v>-6.9379519999999998E-3</v>
      </c>
      <c r="O5708">
        <v>-2.3022770000000001E-2</v>
      </c>
      <c r="P5708">
        <v>0.98919219999999997</v>
      </c>
      <c r="Q5708">
        <v>-2.3140770000000001E-2</v>
      </c>
      <c r="R5708">
        <v>0.14478820000000001</v>
      </c>
      <c r="S5708">
        <v>2.9450989999999999</v>
      </c>
      <c r="T5708">
        <v>-0.14561939999999901</v>
      </c>
      <c r="U5708">
        <v>0.57449340000000004</v>
      </c>
      <c r="V5708">
        <v>-0.16758999999999999</v>
      </c>
      <c r="W5708">
        <v>-1.561159E-2</v>
      </c>
      <c r="X5708">
        <v>0.98573319999999998</v>
      </c>
      <c r="Y5708">
        <v>-0.21369740000000001</v>
      </c>
      <c r="Z5708">
        <v>6.9489349999999998E-3</v>
      </c>
      <c r="AA5708">
        <v>0.97687520000000005</v>
      </c>
      <c r="AB5708">
        <v>34</v>
      </c>
      <c r="AC5708">
        <v>22.201699999999999</v>
      </c>
      <c r="AD5708">
        <v>-1.1069255719789901</v>
      </c>
      <c r="AE5708">
        <v>4.3720099999999897</v>
      </c>
      <c r="AF5708">
        <v>-4.8703532480925604</v>
      </c>
      <c r="AG5708">
        <v>-1.1069255719789901</v>
      </c>
      <c r="AH5708">
        <v>22.0424094289496</v>
      </c>
      <c r="AI5708">
        <v>92.807266686289907</v>
      </c>
      <c r="AJ5708">
        <v>102.459531734785</v>
      </c>
      <c r="AK5708">
        <v>22.601182234930899</v>
      </c>
      <c r="AL5708">
        <v>90.894514524491299</v>
      </c>
      <c r="AM5708">
        <v>99.648912811270705</v>
      </c>
      <c r="AN5708">
        <v>1.00000003571228</v>
      </c>
    </row>
    <row r="5709" spans="1:40" x14ac:dyDescent="0.25">
      <c r="A5709" t="str">
        <f>"20190305135940451"</f>
        <v>20190305135940451</v>
      </c>
      <c r="B5709" t="str">
        <f>"1551765580444728"</f>
        <v>1551765580444728</v>
      </c>
      <c r="C5709" t="s">
        <v>40</v>
      </c>
      <c r="D5709">
        <v>4.4007050000000003</v>
      </c>
      <c r="E5709">
        <v>0.48191679999999998</v>
      </c>
      <c r="F5709" t="s">
        <v>94</v>
      </c>
      <c r="G5709">
        <v>-233.97739999999999</v>
      </c>
      <c r="H5709" s="1">
        <v>-1.371781E-6</v>
      </c>
      <c r="I5709">
        <v>-56.559579999999997</v>
      </c>
      <c r="J5709">
        <v>-256.4907</v>
      </c>
      <c r="K5709">
        <v>1.106919</v>
      </c>
      <c r="L5709">
        <v>-60.961979999999997</v>
      </c>
      <c r="M5709">
        <v>0.99968950000000001</v>
      </c>
      <c r="N5709">
        <v>-6.9437800000000001E-3</v>
      </c>
      <c r="O5709">
        <v>-2.393265E-2</v>
      </c>
      <c r="P5709">
        <v>0.98935569999999895</v>
      </c>
      <c r="Q5709">
        <v>-2.2741870000000001E-2</v>
      </c>
      <c r="R5709">
        <v>0.14372979999999999</v>
      </c>
      <c r="S5709">
        <v>2.9458310000000001</v>
      </c>
      <c r="T5709">
        <v>-0.143781399999999</v>
      </c>
      <c r="U5709">
        <v>0.57122799999999996</v>
      </c>
      <c r="V5709">
        <v>-0.16743179999999999</v>
      </c>
      <c r="W5709">
        <v>-1.5205629999999999E-2</v>
      </c>
      <c r="X5709">
        <v>0.98576640000000004</v>
      </c>
      <c r="Y5709">
        <v>-0.21350440000000001</v>
      </c>
      <c r="Z5709">
        <v>6.900705E-3</v>
      </c>
      <c r="AA5709">
        <v>0.9769177</v>
      </c>
      <c r="AB5709">
        <v>34</v>
      </c>
      <c r="AC5709">
        <v>22.513300000000001</v>
      </c>
      <c r="AD5709">
        <v>-1.1069203717809999</v>
      </c>
      <c r="AE5709">
        <v>4.4024000000000001</v>
      </c>
      <c r="AF5709">
        <v>-4.9284794057660202</v>
      </c>
      <c r="AG5709">
        <v>-1.1069203717809999</v>
      </c>
      <c r="AH5709">
        <v>22.349449215892601</v>
      </c>
      <c r="AI5709">
        <v>92.769000465642307</v>
      </c>
      <c r="AJ5709">
        <v>102.435782110784</v>
      </c>
      <c r="AK5709">
        <v>22.913163513934201</v>
      </c>
      <c r="AL5709">
        <v>90.871251993716797</v>
      </c>
      <c r="AM5709">
        <v>99.639656945339098</v>
      </c>
      <c r="AN5709">
        <v>1.0000000071019399</v>
      </c>
    </row>
    <row r="5710" spans="1:40" x14ac:dyDescent="0.25">
      <c r="A5710" t="str">
        <f>"20190305135940463"</f>
        <v>20190305135940463</v>
      </c>
      <c r="B5710" t="str">
        <f>"1551765580454488"</f>
        <v>1551765580454488</v>
      </c>
      <c r="C5710" t="s">
        <v>40</v>
      </c>
      <c r="D5710">
        <v>4.4142010000000003</v>
      </c>
      <c r="E5710">
        <v>0.48197869999999998</v>
      </c>
      <c r="F5710" t="s">
        <v>94</v>
      </c>
      <c r="G5710">
        <v>-233.47810000000001</v>
      </c>
      <c r="H5710" s="1">
        <v>-1.196373E-6</v>
      </c>
      <c r="I5710">
        <v>-56.529040000000002</v>
      </c>
      <c r="J5710">
        <v>-256.32600000000002</v>
      </c>
      <c r="K5710">
        <v>1.1069150000000001</v>
      </c>
      <c r="L5710">
        <v>-60.966639999999998</v>
      </c>
      <c r="M5710">
        <v>0.99966739999999998</v>
      </c>
      <c r="N5710">
        <v>-6.9496339999999997E-3</v>
      </c>
      <c r="O5710">
        <v>-2.48367E-2</v>
      </c>
      <c r="P5710">
        <v>0.98948009999999997</v>
      </c>
      <c r="Q5710">
        <v>-2.2485769999999999E-2</v>
      </c>
      <c r="R5710">
        <v>0.14291129999999999</v>
      </c>
      <c r="S5710">
        <v>2.9465940000000002</v>
      </c>
      <c r="T5710">
        <v>-0.14173279999999999</v>
      </c>
      <c r="U5710">
        <v>0.5675964</v>
      </c>
      <c r="V5710">
        <v>-0.16750670000000001</v>
      </c>
      <c r="W5710">
        <v>-1.494178E-2</v>
      </c>
      <c r="X5710">
        <v>0.98575769999999996</v>
      </c>
      <c r="Y5710">
        <v>-0.21318770000000001</v>
      </c>
      <c r="Z5710">
        <v>6.8385440000000002E-3</v>
      </c>
      <c r="AA5710">
        <v>0.97698739999999995</v>
      </c>
      <c r="AB5710">
        <v>34</v>
      </c>
      <c r="AC5710">
        <v>22.8478999999999</v>
      </c>
      <c r="AD5710">
        <v>-1.1069161963730001</v>
      </c>
      <c r="AE5710">
        <v>4.4375999999999998</v>
      </c>
      <c r="AF5710">
        <v>-4.9924192632942699</v>
      </c>
      <c r="AG5710">
        <v>-1.1069161963730001</v>
      </c>
      <c r="AH5710">
        <v>22.679337293328601</v>
      </c>
      <c r="AI5710">
        <v>92.728996639448496</v>
      </c>
      <c r="AJ5710">
        <v>102.41456327100001</v>
      </c>
      <c r="AK5710">
        <v>23.248695740425301</v>
      </c>
      <c r="AL5710">
        <v>90.856132793049994</v>
      </c>
      <c r="AM5710">
        <v>99.643971757122799</v>
      </c>
      <c r="AN5710">
        <v>0.99999999722187405</v>
      </c>
    </row>
    <row r="5711" spans="1:40" x14ac:dyDescent="0.25">
      <c r="A5711" t="str">
        <f>"20190305135940473"</f>
        <v>20190305135940473</v>
      </c>
      <c r="B5711" t="str">
        <f>"1551765580464250"</f>
        <v>1551765580464250</v>
      </c>
      <c r="C5711" t="s">
        <v>40</v>
      </c>
      <c r="D5711">
        <v>4.4020979999999996</v>
      </c>
      <c r="E5711">
        <v>0.48202420000000001</v>
      </c>
      <c r="F5711" t="s">
        <v>94</v>
      </c>
      <c r="G5711">
        <v>-233.05879999999999</v>
      </c>
      <c r="H5711" s="1">
        <v>-1.0593259999999901E-6</v>
      </c>
      <c r="I5711">
        <v>-56.507899999999999</v>
      </c>
      <c r="J5711">
        <v>-256.16059999999999</v>
      </c>
      <c r="K5711">
        <v>1.1069089999999999</v>
      </c>
      <c r="L5711">
        <v>-60.971499999999999</v>
      </c>
      <c r="M5711">
        <v>0.99964450000000005</v>
      </c>
      <c r="N5711">
        <v>-6.9556030000000003E-3</v>
      </c>
      <c r="O5711">
        <v>-2.574444E-2</v>
      </c>
      <c r="P5711">
        <v>0.98958360000000001</v>
      </c>
      <c r="Q5711">
        <v>-2.2636139999999999E-2</v>
      </c>
      <c r="R5711">
        <v>0.1421694</v>
      </c>
      <c r="S5711">
        <v>2.9471440000000002</v>
      </c>
      <c r="T5711">
        <v>-0.14020739999999901</v>
      </c>
      <c r="U5711">
        <v>0.56475830000000005</v>
      </c>
      <c r="V5711">
        <v>-0.1676629</v>
      </c>
      <c r="W5711">
        <v>-1.508411E-2</v>
      </c>
      <c r="X5711">
        <v>0.98572899999999997</v>
      </c>
      <c r="Y5711">
        <v>-0.21313889999999999</v>
      </c>
      <c r="Z5711">
        <v>6.8062940000000001E-3</v>
      </c>
      <c r="AA5711">
        <v>0.97699820000000004</v>
      </c>
      <c r="AB5711">
        <v>34</v>
      </c>
      <c r="AC5711">
        <v>23.101800000000001</v>
      </c>
      <c r="AD5711">
        <v>-1.106910059326</v>
      </c>
      <c r="AE5711">
        <v>4.4635999999999996</v>
      </c>
      <c r="AF5711">
        <v>-5.0457106770626803</v>
      </c>
      <c r="AG5711">
        <v>-1.106910059326</v>
      </c>
      <c r="AH5711">
        <v>22.928482360033598</v>
      </c>
      <c r="AI5711">
        <v>92.699410349709396</v>
      </c>
      <c r="AJ5711">
        <v>102.410861626387</v>
      </c>
      <c r="AK5711">
        <v>23.503185942557501</v>
      </c>
      <c r="AL5711">
        <v>90.864288600919906</v>
      </c>
      <c r="AM5711">
        <v>99.653071392018802</v>
      </c>
      <c r="AN5711">
        <v>1.00000001992595</v>
      </c>
    </row>
    <row r="5712" spans="1:40" x14ac:dyDescent="0.25">
      <c r="A5712" t="str">
        <f>"20190305135940484"</f>
        <v>20190305135940484</v>
      </c>
      <c r="B5712" t="str">
        <f>"1551765580474984"</f>
        <v>1551765580474984</v>
      </c>
      <c r="C5712" t="s">
        <v>40</v>
      </c>
      <c r="D5712">
        <v>4.4183009999999996</v>
      </c>
      <c r="E5712">
        <v>0.4820701</v>
      </c>
      <c r="F5712" t="s">
        <v>94</v>
      </c>
      <c r="G5712">
        <v>-232.85429999999999</v>
      </c>
      <c r="H5712" s="1">
        <v>-9.848545E-7</v>
      </c>
      <c r="I5712">
        <v>-56.526229999999998</v>
      </c>
      <c r="J5712">
        <v>-255.9923</v>
      </c>
      <c r="K5712">
        <v>1.1069</v>
      </c>
      <c r="L5712">
        <v>-60.976619999999997</v>
      </c>
      <c r="M5712">
        <v>0.99962010000000001</v>
      </c>
      <c r="N5712">
        <v>-6.9630930000000001E-3</v>
      </c>
      <c r="O5712">
        <v>-2.6667929999999999E-2</v>
      </c>
      <c r="P5712">
        <v>0.98965910000000001</v>
      </c>
      <c r="Q5712">
        <v>-2.2929600000000001E-2</v>
      </c>
      <c r="R5712">
        <v>0.14159559999999999</v>
      </c>
      <c r="S5712">
        <v>2.9476010000000001</v>
      </c>
      <c r="T5712">
        <v>-0.13999320000000001</v>
      </c>
      <c r="U5712">
        <v>0.56219479999999999</v>
      </c>
      <c r="V5712">
        <v>-0.1680034</v>
      </c>
      <c r="W5712">
        <v>-1.5367459999999999E-2</v>
      </c>
      <c r="X5712">
        <v>0.98566659999999995</v>
      </c>
      <c r="Y5712">
        <v>-0.21319370000000001</v>
      </c>
      <c r="Z5712">
        <v>6.8354720000000004E-3</v>
      </c>
      <c r="AA5712">
        <v>0.97698609999999997</v>
      </c>
      <c r="AB5712">
        <v>34</v>
      </c>
      <c r="AC5712">
        <v>23.138000000000002</v>
      </c>
      <c r="AD5712">
        <v>-1.1069009848544999</v>
      </c>
      <c r="AE5712">
        <v>4.4503899999999899</v>
      </c>
      <c r="AF5712">
        <v>-5.0547092461599004</v>
      </c>
      <c r="AG5712">
        <v>-1.1069009848544999</v>
      </c>
      <c r="AH5712">
        <v>22.9604128491832</v>
      </c>
      <c r="AI5712">
        <v>92.695591291400703</v>
      </c>
      <c r="AJ5712">
        <v>102.415554841258</v>
      </c>
      <c r="AK5712">
        <v>23.536267196784198</v>
      </c>
      <c r="AL5712">
        <v>90.880525282531593</v>
      </c>
      <c r="AM5712">
        <v>99.672906225982103</v>
      </c>
      <c r="AN5712">
        <v>0.99999997379698502</v>
      </c>
    </row>
    <row r="5713" spans="1:40" x14ac:dyDescent="0.25">
      <c r="A5713" t="str">
        <f>"20190305135940495"</f>
        <v>20190305135940495</v>
      </c>
      <c r="B5713" t="str">
        <f>"1551765580484744"</f>
        <v>1551765580484744</v>
      </c>
      <c r="C5713" t="s">
        <v>40</v>
      </c>
      <c r="D5713">
        <v>4.5639089999999998</v>
      </c>
      <c r="E5713">
        <v>0.4820701</v>
      </c>
      <c r="F5713" t="s">
        <v>94</v>
      </c>
      <c r="G5713">
        <v>-232.71770000000001</v>
      </c>
      <c r="H5713" s="1">
        <v>-9.3109430000000004E-7</v>
      </c>
      <c r="I5713">
        <v>-56.553609999999999</v>
      </c>
      <c r="J5713">
        <v>-255.82470000000001</v>
      </c>
      <c r="K5713">
        <v>1.106895</v>
      </c>
      <c r="L5713">
        <v>-60.981810000000003</v>
      </c>
      <c r="M5713">
        <v>0.99959520000000002</v>
      </c>
      <c r="N5713">
        <v>-6.9714629999999998E-3</v>
      </c>
      <c r="O5713">
        <v>-2.7587250000000001E-2</v>
      </c>
      <c r="P5713">
        <v>0.98974949999999995</v>
      </c>
      <c r="Q5713">
        <v>-2.3506539999999999E-2</v>
      </c>
      <c r="R5713">
        <v>0.14086760000000001</v>
      </c>
      <c r="S5713">
        <v>2.9479519999999999</v>
      </c>
      <c r="T5713">
        <v>-0.14019999999999999</v>
      </c>
      <c r="U5713">
        <v>0.56021119999999902</v>
      </c>
      <c r="V5713">
        <v>-0.16818749999999999</v>
      </c>
      <c r="W5713">
        <v>-1.5933929999999999E-2</v>
      </c>
      <c r="X5713">
        <v>0.98562620000000001</v>
      </c>
      <c r="Y5713">
        <v>-0.2134345</v>
      </c>
      <c r="Z5713">
        <v>6.8885300000000003E-3</v>
      </c>
      <c r="AA5713">
        <v>0.9769331</v>
      </c>
      <c r="AB5713">
        <v>34</v>
      </c>
      <c r="AC5713">
        <v>23.106999999999999</v>
      </c>
      <c r="AD5713">
        <v>-1.1068959310943001</v>
      </c>
      <c r="AE5713">
        <v>4.4281999999999897</v>
      </c>
      <c r="AF5713">
        <v>-5.0528045998743796</v>
      </c>
      <c r="AG5713">
        <v>-1.1068959310943001</v>
      </c>
      <c r="AH5713">
        <v>22.9252970431241</v>
      </c>
      <c r="AI5713">
        <v>92.699557932836399</v>
      </c>
      <c r="AJ5713">
        <v>102.429441738273</v>
      </c>
      <c r="AK5713">
        <v>23.5016020186339</v>
      </c>
      <c r="AL5713">
        <v>90.912985607154397</v>
      </c>
      <c r="AM5713">
        <v>99.683694718040499</v>
      </c>
      <c r="AN5713">
        <v>0.99999996570396599</v>
      </c>
    </row>
    <row r="5714" spans="1:40" x14ac:dyDescent="0.25">
      <c r="A5714" t="str">
        <f>"20190305135940507"</f>
        <v>20190305135940507</v>
      </c>
      <c r="B5714" t="str">
        <f>"1551765580504264"</f>
        <v>1551765580504264</v>
      </c>
      <c r="C5714" t="s">
        <v>40</v>
      </c>
      <c r="D5714">
        <v>4.6808610000000002</v>
      </c>
      <c r="E5714">
        <v>0.52064759999999999</v>
      </c>
      <c r="F5714" t="s">
        <v>94</v>
      </c>
      <c r="G5714">
        <v>-232.83619999999999</v>
      </c>
      <c r="H5714" s="1">
        <v>-9.5080049999999998E-7</v>
      </c>
      <c r="I5714">
        <v>-56.6310199999999</v>
      </c>
      <c r="J5714">
        <v>-255.6533</v>
      </c>
      <c r="K5714">
        <v>1.106887</v>
      </c>
      <c r="L5714">
        <v>-60.987369999999999</v>
      </c>
      <c r="M5714">
        <v>0.99956869999999998</v>
      </c>
      <c r="N5714">
        <v>-6.9809779999999997E-3</v>
      </c>
      <c r="O5714">
        <v>-2.8526960000000001E-2</v>
      </c>
      <c r="P5714">
        <v>0.98985789999999996</v>
      </c>
      <c r="Q5714">
        <v>-2.377866E-2</v>
      </c>
      <c r="R5714">
        <v>0.14005689999999901</v>
      </c>
      <c r="S5714">
        <v>2.9482879999999998</v>
      </c>
      <c r="T5714">
        <v>-0.1419599</v>
      </c>
      <c r="U5714">
        <v>0.55798340000000002</v>
      </c>
      <c r="V5714">
        <v>-0.1683076</v>
      </c>
      <c r="W5714">
        <v>-1.619458E-2</v>
      </c>
      <c r="X5714">
        <v>0.98560150000000002</v>
      </c>
      <c r="Y5714">
        <v>-0.21361189999999999</v>
      </c>
      <c r="Z5714">
        <v>7.0115459999999996E-3</v>
      </c>
      <c r="AA5714">
        <v>0.97689340000000002</v>
      </c>
      <c r="AB5714">
        <v>34</v>
      </c>
      <c r="AC5714">
        <v>22.8171</v>
      </c>
      <c r="AD5714">
        <v>-1.1068879508005001</v>
      </c>
      <c r="AE5714">
        <v>4.3563499999999999</v>
      </c>
      <c r="AF5714">
        <v>-4.9941556685860098</v>
      </c>
      <c r="AG5714">
        <v>-1.1068879508005001</v>
      </c>
      <c r="AH5714">
        <v>22.632148938635801</v>
      </c>
      <c r="AI5714">
        <v>92.734300906054898</v>
      </c>
      <c r="AJ5714">
        <v>102.443834670767</v>
      </c>
      <c r="AK5714">
        <v>23.203037675233201</v>
      </c>
      <c r="AL5714">
        <v>90.927921634479503</v>
      </c>
      <c r="AM5714">
        <v>99.690716864164301</v>
      </c>
      <c r="AN5714">
        <v>1.00000001472069</v>
      </c>
    </row>
    <row r="5715" spans="1:40" x14ac:dyDescent="0.25">
      <c r="A5715" t="str">
        <f>"20190305135940518"</f>
        <v>20190305135940518</v>
      </c>
      <c r="B5715" t="str">
        <f>"1551765580515000"</f>
        <v>1551765580515000</v>
      </c>
      <c r="C5715" t="s">
        <v>40</v>
      </c>
      <c r="D5715">
        <v>4.6155499999999998</v>
      </c>
      <c r="E5715">
        <v>0.53015290000000004</v>
      </c>
      <c r="F5715" t="s">
        <v>95</v>
      </c>
      <c r="G5715">
        <v>-217.56899999999999</v>
      </c>
      <c r="H5715" s="1">
        <v>-2.684534E-6</v>
      </c>
      <c r="I5715">
        <v>-57.742829999999998</v>
      </c>
      <c r="J5715">
        <v>-255.4753</v>
      </c>
      <c r="K5715">
        <v>1.106878</v>
      </c>
      <c r="L5715">
        <v>-60.993229999999997</v>
      </c>
      <c r="M5715">
        <v>0.99954030000000005</v>
      </c>
      <c r="N5715">
        <v>-6.9911010000000004E-3</v>
      </c>
      <c r="O5715">
        <v>-2.9502199999999999E-2</v>
      </c>
      <c r="P5715">
        <v>0.98995730000000004</v>
      </c>
      <c r="Q5715">
        <v>-2.393439E-2</v>
      </c>
      <c r="R5715">
        <v>0.13932629999999999</v>
      </c>
      <c r="S5715">
        <v>2.9925839999999999</v>
      </c>
      <c r="T5715">
        <v>-8.6977009999999993E-2</v>
      </c>
      <c r="U5715">
        <v>0.2549438</v>
      </c>
      <c r="V5715">
        <v>-0.16854269999999999</v>
      </c>
      <c r="W5715">
        <v>-1.6337790000000001E-2</v>
      </c>
      <c r="X5715">
        <v>0.98555890000000002</v>
      </c>
      <c r="Y5715">
        <v>-0.1141773</v>
      </c>
      <c r="Z5715">
        <v>2.7059250000000001E-3</v>
      </c>
      <c r="AA5715">
        <v>0.99345669999999997</v>
      </c>
      <c r="AB5715">
        <v>34</v>
      </c>
      <c r="AC5715">
        <v>37.906299999999902</v>
      </c>
      <c r="AD5715">
        <v>-1.106880684534</v>
      </c>
      <c r="AE5715">
        <v>3.2503999999999902</v>
      </c>
      <c r="AF5715">
        <v>-4.3636380516964897</v>
      </c>
      <c r="AG5715">
        <v>-1.106880684534</v>
      </c>
      <c r="AH5715">
        <v>37.761939578638199</v>
      </c>
      <c r="AI5715">
        <v>91.667884628351302</v>
      </c>
      <c r="AJ5715">
        <v>96.591664054522198</v>
      </c>
      <c r="AK5715">
        <v>38.029338708906401</v>
      </c>
      <c r="AL5715">
        <v>90.936128104373097</v>
      </c>
      <c r="AM5715">
        <v>99.704407578955596</v>
      </c>
      <c r="AN5715">
        <v>0.99999995523729102</v>
      </c>
    </row>
    <row r="5716" spans="1:40" x14ac:dyDescent="0.25">
      <c r="A5716" t="str">
        <f>"20190305135940530"</f>
        <v>20190305135940530</v>
      </c>
      <c r="B5716" t="str">
        <f>"1551765580524764"</f>
        <v>1551765580524764</v>
      </c>
      <c r="C5716" t="s">
        <v>40</v>
      </c>
      <c r="D5716">
        <v>4.6648269999999998</v>
      </c>
      <c r="E5716">
        <v>0.53703809999999996</v>
      </c>
      <c r="F5716" t="s">
        <v>95</v>
      </c>
      <c r="G5716">
        <v>-215.05850000000001</v>
      </c>
      <c r="H5716" s="1">
        <v>-1.4554850000000001E-6</v>
      </c>
      <c r="I5716">
        <v>-58.600160000000002</v>
      </c>
      <c r="J5716">
        <v>-255.28800000000001</v>
      </c>
      <c r="K5716">
        <v>1.106873</v>
      </c>
      <c r="L5716">
        <v>-60.999659999999999</v>
      </c>
      <c r="M5716">
        <v>0.99950930000000004</v>
      </c>
      <c r="N5716">
        <v>-7.0014159999999999E-3</v>
      </c>
      <c r="O5716">
        <v>-3.052918E-2</v>
      </c>
      <c r="P5716">
        <v>0.99008719999999995</v>
      </c>
      <c r="Q5716">
        <v>-2.402611E-2</v>
      </c>
      <c r="R5716">
        <v>0.1383839</v>
      </c>
      <c r="S5716">
        <v>3.003403</v>
      </c>
      <c r="T5716">
        <v>-8.2252980000000003E-2</v>
      </c>
      <c r="U5716">
        <v>0.17782590000000001</v>
      </c>
      <c r="V5716">
        <v>-0.16861760000000001</v>
      </c>
      <c r="W5716">
        <v>-1.6417210000000002E-2</v>
      </c>
      <c r="X5716">
        <v>0.9855448</v>
      </c>
      <c r="Y5716">
        <v>-8.9505299999999996E-2</v>
      </c>
      <c r="Z5716">
        <v>2.1597890000000001E-3</v>
      </c>
      <c r="AA5716">
        <v>0.99598399999999998</v>
      </c>
      <c r="AB5716">
        <v>34</v>
      </c>
      <c r="AC5716">
        <v>40.229499999999902</v>
      </c>
      <c r="AD5716">
        <v>-1.1068744554850001</v>
      </c>
      <c r="AE5716">
        <v>2.3995000000000002</v>
      </c>
      <c r="AF5716">
        <v>-3.6238516934662299</v>
      </c>
      <c r="AG5716">
        <v>-1.1068744554850001</v>
      </c>
      <c r="AH5716">
        <v>40.107236218311499</v>
      </c>
      <c r="AI5716">
        <v>91.574430046363801</v>
      </c>
      <c r="AJ5716">
        <v>95.162887160392799</v>
      </c>
      <c r="AK5716">
        <v>40.285827150846501</v>
      </c>
      <c r="AL5716">
        <v>90.940679116541205</v>
      </c>
      <c r="AM5716">
        <v>99.708774391744001</v>
      </c>
      <c r="AN5716">
        <v>0.99999998631049203</v>
      </c>
    </row>
    <row r="5717" spans="1:40" x14ac:dyDescent="0.25">
      <c r="A5717" t="str">
        <f>"20190305135940542"</f>
        <v>20190305135940542</v>
      </c>
      <c r="B5717" t="str">
        <f>"1551765580534520"</f>
        <v>1551765580534520</v>
      </c>
      <c r="C5717" t="s">
        <v>40</v>
      </c>
      <c r="D5717">
        <v>4.6104129999999897</v>
      </c>
      <c r="E5717">
        <v>0.541273</v>
      </c>
      <c r="F5717" t="s">
        <v>95</v>
      </c>
      <c r="G5717">
        <v>-213.3974</v>
      </c>
      <c r="H5717" s="1">
        <v>-6.1495630000000002E-7</v>
      </c>
      <c r="I5717">
        <v>-59.321390000000001</v>
      </c>
      <c r="J5717">
        <v>-255.11580000000001</v>
      </c>
      <c r="K5717">
        <v>1.106868</v>
      </c>
      <c r="L5717">
        <v>-61.005710000000001</v>
      </c>
      <c r="M5717">
        <v>0.99948009999999998</v>
      </c>
      <c r="N5717">
        <v>-7.0116319999999899E-3</v>
      </c>
      <c r="O5717">
        <v>-3.1472840000000002E-2</v>
      </c>
      <c r="P5717">
        <v>0.99019919999999995</v>
      </c>
      <c r="Q5717">
        <v>-2.3939620000000002E-2</v>
      </c>
      <c r="R5717">
        <v>0.1375951</v>
      </c>
      <c r="S5717">
        <v>3.0112610000000002</v>
      </c>
      <c r="T5717">
        <v>-7.9566479999999995E-2</v>
      </c>
      <c r="U5717">
        <v>0.12063599999999999</v>
      </c>
      <c r="V5717">
        <v>-0.1687622</v>
      </c>
      <c r="W5717">
        <v>-1.631842E-2</v>
      </c>
      <c r="X5717">
        <v>0.98552169999999895</v>
      </c>
      <c r="Y5717">
        <v>-7.1420620000000004E-2</v>
      </c>
      <c r="Z5717">
        <v>1.8041769999999999E-3</v>
      </c>
      <c r="AA5717">
        <v>0.99744460000000001</v>
      </c>
      <c r="AB5717">
        <v>34</v>
      </c>
      <c r="AC5717">
        <v>41.718400000000003</v>
      </c>
      <c r="AD5717">
        <v>-1.1068686149563001</v>
      </c>
      <c r="AE5717">
        <v>1.68431999999999</v>
      </c>
      <c r="AF5717">
        <v>-2.99440979046808</v>
      </c>
      <c r="AG5717">
        <v>-1.1068686149563001</v>
      </c>
      <c r="AH5717">
        <v>41.615473166351698</v>
      </c>
      <c r="AI5717">
        <v>91.519639788352407</v>
      </c>
      <c r="AJ5717">
        <v>94.115581425919899</v>
      </c>
      <c r="AK5717">
        <v>41.737743769678801</v>
      </c>
      <c r="AL5717">
        <v>90.935018098914</v>
      </c>
      <c r="AM5717">
        <v>99.717165019534704</v>
      </c>
      <c r="AN5717">
        <v>0.99999999607551204</v>
      </c>
    </row>
    <row r="5718" spans="1:40" x14ac:dyDescent="0.25">
      <c r="A5718" t="str">
        <f>"20190305135940553"</f>
        <v>20190305135940553</v>
      </c>
      <c r="B5718" t="str">
        <f>"1551765580544280"</f>
        <v>1551765580544280</v>
      </c>
      <c r="C5718" t="s">
        <v>40</v>
      </c>
      <c r="D5718">
        <v>4.5993740000000001</v>
      </c>
      <c r="E5718">
        <v>0.54391080000000003</v>
      </c>
      <c r="F5718" t="s">
        <v>95</v>
      </c>
      <c r="G5718">
        <v>-216.4648</v>
      </c>
      <c r="H5718" s="1">
        <v>-1.8230529999999999E-6</v>
      </c>
      <c r="I5718">
        <v>-59.928939999999997</v>
      </c>
      <c r="J5718">
        <v>-254.94659999999999</v>
      </c>
      <c r="K5718">
        <v>1.1068610000000001</v>
      </c>
      <c r="L5718">
        <v>-61.011780000000002</v>
      </c>
      <c r="M5718">
        <v>0.99945039999999996</v>
      </c>
      <c r="N5718">
        <v>-7.0230969999999998E-3</v>
      </c>
      <c r="O5718">
        <v>-3.2399329999999997E-2</v>
      </c>
      <c r="P5718">
        <v>0.99027659999999995</v>
      </c>
      <c r="Q5718">
        <v>-2.3847299999999998E-2</v>
      </c>
      <c r="R5718">
        <v>0.13705400000000001</v>
      </c>
      <c r="S5718">
        <v>3.01593</v>
      </c>
      <c r="T5718">
        <v>-8.6368799999999996E-2</v>
      </c>
      <c r="U5718">
        <v>8.4014889999999995E-2</v>
      </c>
      <c r="V5718">
        <v>-0.1691375</v>
      </c>
      <c r="W5718">
        <v>-1.6211900000000001E-2</v>
      </c>
      <c r="X5718">
        <v>0.98545910000000003</v>
      </c>
      <c r="Y5718">
        <v>-6.0180919999999999E-2</v>
      </c>
      <c r="Z5718">
        <v>1.7727769999999999E-3</v>
      </c>
      <c r="AA5718">
        <v>0.99818589999999996</v>
      </c>
      <c r="AB5718">
        <v>34</v>
      </c>
      <c r="AC5718">
        <v>38.4817999999999</v>
      </c>
      <c r="AD5718">
        <v>-1.106862823053</v>
      </c>
      <c r="AE5718">
        <v>1.08283999999999</v>
      </c>
      <c r="AF5718">
        <v>-2.3271628830036701</v>
      </c>
      <c r="AG5718">
        <v>-1.106862823053</v>
      </c>
      <c r="AH5718">
        <v>38.394772183684502</v>
      </c>
      <c r="AI5718">
        <v>91.648269520058093</v>
      </c>
      <c r="AJ5718">
        <v>93.468537020174495</v>
      </c>
      <c r="AK5718">
        <v>38.481155952363402</v>
      </c>
      <c r="AL5718">
        <v>90.928914161133704</v>
      </c>
      <c r="AM5718">
        <v>99.738967868414505</v>
      </c>
      <c r="AN5718">
        <v>0.99999997869033397</v>
      </c>
    </row>
    <row r="5719" spans="1:40" x14ac:dyDescent="0.25">
      <c r="A5719" t="str">
        <f>"20190305135940565"</f>
        <v>20190305135940565</v>
      </c>
      <c r="B5719" t="str">
        <f>"1551765580555016"</f>
        <v>1551765580555016</v>
      </c>
      <c r="C5719" t="s">
        <v>40</v>
      </c>
      <c r="D5719">
        <v>4.5552510000000002</v>
      </c>
      <c r="E5719">
        <v>0.54568899999999998</v>
      </c>
      <c r="F5719" t="s">
        <v>95</v>
      </c>
      <c r="G5719">
        <v>-218.65979999999999</v>
      </c>
      <c r="H5719" s="1">
        <v>-2.702263E-6</v>
      </c>
      <c r="I5719">
        <v>-60.281010000000002</v>
      </c>
      <c r="J5719">
        <v>-254.76009999999999</v>
      </c>
      <c r="K5719">
        <v>1.106857</v>
      </c>
      <c r="L5719">
        <v>-61.018709999999999</v>
      </c>
      <c r="M5719">
        <v>0.99941659999999999</v>
      </c>
      <c r="N5719">
        <v>-7.0362890000000003E-3</v>
      </c>
      <c r="O5719">
        <v>-3.3420360000000003E-2</v>
      </c>
      <c r="P5719">
        <v>0.9903942</v>
      </c>
      <c r="Q5719">
        <v>-2.356747E-2</v>
      </c>
      <c r="R5719">
        <v>0.13625110000000001</v>
      </c>
      <c r="S5719">
        <v>3.0188449999999998</v>
      </c>
      <c r="T5719">
        <v>-9.2084289999999999E-2</v>
      </c>
      <c r="U5719">
        <v>6.0791020000000001E-2</v>
      </c>
      <c r="V5719">
        <v>-0.16934449999999901</v>
      </c>
      <c r="W5719">
        <v>-1.591646E-2</v>
      </c>
      <c r="X5719">
        <v>0.98542839999999998</v>
      </c>
      <c r="Y5719">
        <v>-5.3496469999999997E-2</v>
      </c>
      <c r="Z5719">
        <v>1.7878410000000001E-3</v>
      </c>
      <c r="AA5719">
        <v>0.99856639999999997</v>
      </c>
      <c r="AB5719">
        <v>34</v>
      </c>
      <c r="AC5719">
        <v>36.100299999999997</v>
      </c>
      <c r="AD5719">
        <v>-1.106859702263</v>
      </c>
      <c r="AE5719">
        <v>0.73770000000000302</v>
      </c>
      <c r="AF5719">
        <v>-1.94197794850332</v>
      </c>
      <c r="AG5719">
        <v>-1.106859702263</v>
      </c>
      <c r="AH5719">
        <v>36.0216289975384</v>
      </c>
      <c r="AI5719">
        <v>91.757459863269901</v>
      </c>
      <c r="AJ5719">
        <v>93.085910710438299</v>
      </c>
      <c r="AK5719">
        <v>36.090915372005597</v>
      </c>
      <c r="AL5719">
        <v>90.911984480262603</v>
      </c>
      <c r="AM5719">
        <v>99.75095624011</v>
      </c>
      <c r="AN5719">
        <v>1.0000000124528701</v>
      </c>
    </row>
    <row r="5720" spans="1:40" x14ac:dyDescent="0.25">
      <c r="A5720" t="str">
        <f>"20190305135940579"</f>
        <v>20190305135940579</v>
      </c>
      <c r="B5720" t="str">
        <f>"1551765580574536"</f>
        <v>1551765580574536</v>
      </c>
      <c r="C5720" t="s">
        <v>40</v>
      </c>
      <c r="D5720">
        <v>4.5535699999999997</v>
      </c>
      <c r="E5720">
        <v>0.54793780000000003</v>
      </c>
      <c r="F5720" t="s">
        <v>96</v>
      </c>
      <c r="G5720">
        <v>-220.0463</v>
      </c>
      <c r="H5720" s="1">
        <v>8.3279759999999997E-7</v>
      </c>
      <c r="I5720">
        <v>-60.515450000000001</v>
      </c>
      <c r="J5720">
        <v>-254.55359999999999</v>
      </c>
      <c r="K5720">
        <v>1.1068530000000001</v>
      </c>
      <c r="L5720">
        <v>-61.026519999999998</v>
      </c>
      <c r="M5720">
        <v>0.99937810000000005</v>
      </c>
      <c r="N5720">
        <v>-7.0514089999999998E-3</v>
      </c>
      <c r="O5720">
        <v>-3.4551329999999998E-2</v>
      </c>
      <c r="P5720">
        <v>0.99050139999999998</v>
      </c>
      <c r="Q5720">
        <v>-2.334147E-2</v>
      </c>
      <c r="R5720">
        <v>0.13550809999999999</v>
      </c>
      <c r="S5720">
        <v>3.0207820000000001</v>
      </c>
      <c r="T5720">
        <v>-9.6318009999999996E-2</v>
      </c>
      <c r="U5720">
        <v>4.379272E-2</v>
      </c>
      <c r="V5720">
        <v>-0.16971919999999999</v>
      </c>
      <c r="W5720">
        <v>-1.567226E-2</v>
      </c>
      <c r="X5720">
        <v>0.98536780000000002</v>
      </c>
      <c r="Y5720">
        <v>-4.899448E-2</v>
      </c>
      <c r="Z5720">
        <v>1.8113039999999999E-3</v>
      </c>
      <c r="AA5720">
        <v>0.99879739999999995</v>
      </c>
      <c r="AB5720">
        <v>34</v>
      </c>
      <c r="AC5720">
        <v>34.507299999999901</v>
      </c>
      <c r="AD5720">
        <v>-1.1068521672023901</v>
      </c>
      <c r="AE5720">
        <v>0.51106999999999603</v>
      </c>
      <c r="AF5720">
        <v>-1.7013174902530099</v>
      </c>
      <c r="AG5720">
        <v>-1.1068521672023901</v>
      </c>
      <c r="AH5720">
        <v>34.433617245785598</v>
      </c>
      <c r="AI5720">
        <v>91.838869873683805</v>
      </c>
      <c r="AJ5720">
        <v>92.828605120385703</v>
      </c>
      <c r="AK5720">
        <v>34.493384866550002</v>
      </c>
      <c r="AL5720">
        <v>90.897991149107</v>
      </c>
      <c r="AM5720">
        <v>99.772705547092997</v>
      </c>
      <c r="AN5720">
        <v>0.99999996392949297</v>
      </c>
    </row>
    <row r="5721" spans="1:40" x14ac:dyDescent="0.25">
      <c r="A5721" t="str">
        <f>"20190305135940589"</f>
        <v>20190305135940589</v>
      </c>
      <c r="B5721" t="str">
        <f>"1551765580584296"</f>
        <v>1551765580584296</v>
      </c>
      <c r="C5721" t="s">
        <v>40</v>
      </c>
      <c r="D5721">
        <v>4.538151</v>
      </c>
      <c r="E5721">
        <v>0.54914149999999995</v>
      </c>
      <c r="F5721" t="s">
        <v>96</v>
      </c>
      <c r="G5721">
        <v>-221.3372</v>
      </c>
      <c r="H5721" s="1">
        <v>2.2214060000000001E-7</v>
      </c>
      <c r="I5721">
        <v>-60.771019999999901</v>
      </c>
      <c r="J5721">
        <v>-254.3818</v>
      </c>
      <c r="K5721">
        <v>1.106851</v>
      </c>
      <c r="L5721">
        <v>-61.033290000000001</v>
      </c>
      <c r="M5721">
        <v>0.99934509999999999</v>
      </c>
      <c r="N5721">
        <v>-7.0661459999999997E-3</v>
      </c>
      <c r="O5721">
        <v>-3.5491670000000003E-2</v>
      </c>
      <c r="P5721">
        <v>0.99061049999999995</v>
      </c>
      <c r="Q5721">
        <v>-2.290143E-2</v>
      </c>
      <c r="R5721">
        <v>0.13478370000000001</v>
      </c>
      <c r="S5721">
        <v>3.0232239999999999</v>
      </c>
      <c r="T5721">
        <v>-0.1007415</v>
      </c>
      <c r="U5721">
        <v>2.325439E-2</v>
      </c>
      <c r="V5721">
        <v>-0.16992479999999999</v>
      </c>
      <c r="W5721">
        <v>-1.521522E-2</v>
      </c>
      <c r="X5721">
        <v>0.98533959999999998</v>
      </c>
      <c r="Y5721">
        <v>-4.3137109999999999E-2</v>
      </c>
      <c r="Z5721">
        <v>1.8023869999999999E-3</v>
      </c>
      <c r="AA5721">
        <v>0.9990675</v>
      </c>
      <c r="AB5721">
        <v>35</v>
      </c>
      <c r="AC5721">
        <v>33.044600000000003</v>
      </c>
      <c r="AD5721">
        <v>-1.1068507778593999</v>
      </c>
      <c r="AE5721">
        <v>0.262270000000008</v>
      </c>
      <c r="AF5721">
        <v>-1.43333390436832</v>
      </c>
      <c r="AG5721">
        <v>-1.1068507778593999</v>
      </c>
      <c r="AH5721">
        <v>32.977474259315301</v>
      </c>
      <c r="AI5721">
        <v>91.920533075481998</v>
      </c>
      <c r="AJ5721">
        <v>92.488739045793295</v>
      </c>
      <c r="AK5721">
        <v>33.027161144271297</v>
      </c>
      <c r="AL5721">
        <v>90.871801500401702</v>
      </c>
      <c r="AM5721">
        <v>99.784590249473297</v>
      </c>
      <c r="AN5721">
        <v>1.0000000339514199</v>
      </c>
    </row>
    <row r="5722" spans="1:40" x14ac:dyDescent="0.25">
      <c r="A5722" t="str">
        <f>"20190305135940597"</f>
        <v>20190305135940597</v>
      </c>
      <c r="B5722" t="str">
        <f>"1551765580595032"</f>
        <v>1551765580595032</v>
      </c>
      <c r="C5722" t="s">
        <v>40</v>
      </c>
      <c r="D5722">
        <v>4.5331630000000001</v>
      </c>
      <c r="E5722">
        <v>0.54995039999999995</v>
      </c>
      <c r="F5722" t="s">
        <v>95</v>
      </c>
      <c r="G5722">
        <v>-218.9896</v>
      </c>
      <c r="H5722" s="1">
        <v>-2.961219E-6</v>
      </c>
      <c r="I5722">
        <v>-60.893610000000002</v>
      </c>
      <c r="J5722">
        <v>-254.2501</v>
      </c>
      <c r="K5722">
        <v>1.1068519999999999</v>
      </c>
      <c r="L5722">
        <v>-61.03848</v>
      </c>
      <c r="M5722">
        <v>0.99931899999999996</v>
      </c>
      <c r="N5722">
        <v>-7.0774310000000003E-3</v>
      </c>
      <c r="O5722">
        <v>-3.621191E-2</v>
      </c>
      <c r="P5722">
        <v>0.99068449999999997</v>
      </c>
      <c r="Q5722">
        <v>-2.283352E-2</v>
      </c>
      <c r="R5722">
        <v>0.13424949999999999</v>
      </c>
      <c r="S5722">
        <v>3.0246119999999999</v>
      </c>
      <c r="T5722">
        <v>-9.4591620000000001E-2</v>
      </c>
      <c r="U5722">
        <v>1.1932369999999999E-2</v>
      </c>
      <c r="V5722">
        <v>-0.17010310000000001</v>
      </c>
      <c r="W5722">
        <v>-1.513425E-2</v>
      </c>
      <c r="X5722">
        <v>0.98531000000000002</v>
      </c>
      <c r="Y5722">
        <v>-4.0120370000000002E-2</v>
      </c>
      <c r="Z5722">
        <v>1.64499E-3</v>
      </c>
      <c r="AA5722">
        <v>0.99919349999999996</v>
      </c>
      <c r="AB5722">
        <v>35</v>
      </c>
      <c r="AC5722">
        <v>35.2605</v>
      </c>
      <c r="AD5722">
        <v>-1.106854961219</v>
      </c>
      <c r="AE5722">
        <v>0.14487000000001099</v>
      </c>
      <c r="AF5722">
        <v>-1.4202576318840301</v>
      </c>
      <c r="AG5722">
        <v>-1.106854961219</v>
      </c>
      <c r="AH5722">
        <v>35.197444180765899</v>
      </c>
      <c r="AI5722">
        <v>91.7997247043741</v>
      </c>
      <c r="AJ5722">
        <v>92.310697491977606</v>
      </c>
      <c r="AK5722">
        <v>35.243472253797997</v>
      </c>
      <c r="AL5722">
        <v>90.867161797147503</v>
      </c>
      <c r="AM5722">
        <v>99.794946888580498</v>
      </c>
      <c r="AN5722">
        <v>0.99999995312633505</v>
      </c>
    </row>
    <row r="5723" spans="1:40" x14ac:dyDescent="0.25">
      <c r="A5723" t="str">
        <f>"20190305135940607"</f>
        <v>20190305135940607</v>
      </c>
      <c r="B5723" t="str">
        <f>"1551765580604793"</f>
        <v>1551765580604793</v>
      </c>
      <c r="C5723" t="s">
        <v>40</v>
      </c>
      <c r="D5723">
        <v>4.5188470000000001</v>
      </c>
      <c r="E5723">
        <v>0.5506643</v>
      </c>
      <c r="F5723" t="s">
        <v>95</v>
      </c>
      <c r="G5723">
        <v>-217.81809999999999</v>
      </c>
      <c r="H5723" s="1">
        <v>-2.4839640000000001E-6</v>
      </c>
      <c r="I5723">
        <v>-60.988799999999998</v>
      </c>
      <c r="J5723">
        <v>-254.1011</v>
      </c>
      <c r="K5723">
        <v>1.1068499999999999</v>
      </c>
      <c r="L5723">
        <v>-61.044649999999997</v>
      </c>
      <c r="M5723">
        <v>0.99928919999999999</v>
      </c>
      <c r="N5723">
        <v>-7.0906789999999999E-3</v>
      </c>
      <c r="O5723">
        <v>-3.7027060000000001E-2</v>
      </c>
      <c r="P5723">
        <v>0.99075349999999995</v>
      </c>
      <c r="Q5723">
        <v>-2.2471689999999999E-2</v>
      </c>
      <c r="R5723">
        <v>0.13380129999999901</v>
      </c>
      <c r="S5723">
        <v>3.0255130000000001</v>
      </c>
      <c r="T5723">
        <v>-9.1919059999999997E-2</v>
      </c>
      <c r="U5723">
        <v>4.1198729999999996E-3</v>
      </c>
      <c r="V5723">
        <v>-0.17046020000000001</v>
      </c>
      <c r="W5723">
        <v>-1.4756689999999999E-2</v>
      </c>
      <c r="X5723">
        <v>0.98525399999999996</v>
      </c>
      <c r="Y5723">
        <v>-3.8356870000000001E-2</v>
      </c>
      <c r="Z5723">
        <v>1.5804979999999901E-3</v>
      </c>
      <c r="AA5723">
        <v>0.99926289999999995</v>
      </c>
      <c r="AB5723">
        <v>35</v>
      </c>
      <c r="AC5723">
        <v>36.283000000000001</v>
      </c>
      <c r="AD5723">
        <v>-1.1068524839639999</v>
      </c>
      <c r="AE5723">
        <v>5.5849999999999497E-2</v>
      </c>
      <c r="AF5723">
        <v>-1.3979971635539199</v>
      </c>
      <c r="AG5723">
        <v>-1.1068524839639999</v>
      </c>
      <c r="AH5723">
        <v>36.2223409436697</v>
      </c>
      <c r="AI5723">
        <v>91.748951356873306</v>
      </c>
      <c r="AJ5723">
        <v>92.210227158140597</v>
      </c>
      <c r="AK5723">
        <v>36.2662033018347</v>
      </c>
      <c r="AL5723">
        <v>90.845526794405998</v>
      </c>
      <c r="AM5723">
        <v>99.815657065256403</v>
      </c>
      <c r="AN5723">
        <v>0.99999994209989596</v>
      </c>
    </row>
    <row r="5724" spans="1:40" x14ac:dyDescent="0.25">
      <c r="A5724" t="str">
        <f>"20190305135940619"</f>
        <v>20190305135940619</v>
      </c>
      <c r="B5724" t="str">
        <f>"1551765580614552"</f>
        <v>1551765580614552</v>
      </c>
      <c r="C5724" t="s">
        <v>40</v>
      </c>
      <c r="D5724">
        <v>4.5429919999999999</v>
      </c>
      <c r="E5724">
        <v>0.55131669999999999</v>
      </c>
      <c r="F5724" t="s">
        <v>95</v>
      </c>
      <c r="G5724">
        <v>-215.81100000000001</v>
      </c>
      <c r="H5724" s="1">
        <v>-1.6465029999999999E-6</v>
      </c>
      <c r="I5724">
        <v>-61.07741</v>
      </c>
      <c r="J5724">
        <v>-253.9186</v>
      </c>
      <c r="K5724">
        <v>1.106854</v>
      </c>
      <c r="L5724">
        <v>-61.052149999999997</v>
      </c>
      <c r="M5724">
        <v>0.99925160000000002</v>
      </c>
      <c r="N5724">
        <v>-7.107365E-3</v>
      </c>
      <c r="O5724">
        <v>-3.802523E-2</v>
      </c>
      <c r="P5724">
        <v>0.99085789999999996</v>
      </c>
      <c r="Q5724">
        <v>-2.236175E-2</v>
      </c>
      <c r="R5724">
        <v>0.13304469999999999</v>
      </c>
      <c r="S5724">
        <v>3.0263979999999999</v>
      </c>
      <c r="T5724">
        <v>-8.7484000000000006E-2</v>
      </c>
      <c r="U5724">
        <v>-2.5939940000000001E-3</v>
      </c>
      <c r="V5724">
        <v>-0.17069119999999999</v>
      </c>
      <c r="W5724">
        <v>-1.46277E-2</v>
      </c>
      <c r="X5724">
        <v>0.98521599999999998</v>
      </c>
      <c r="Y5724">
        <v>-3.7141319999999999E-2</v>
      </c>
      <c r="Z5724">
        <v>1.497225E-3</v>
      </c>
      <c r="AA5724">
        <v>0.99930890000000006</v>
      </c>
      <c r="AB5724">
        <v>35</v>
      </c>
      <c r="AC5724">
        <v>38.107599999999998</v>
      </c>
      <c r="AD5724">
        <v>-1.1068556465029999</v>
      </c>
      <c r="AE5724">
        <v>-2.5260000000002902E-2</v>
      </c>
      <c r="AF5724">
        <v>-1.42264478102285</v>
      </c>
      <c r="AG5724">
        <v>-1.1068556465029999</v>
      </c>
      <c r="AH5724">
        <v>38.048899275021697</v>
      </c>
      <c r="AI5724">
        <v>91.665121267123794</v>
      </c>
      <c r="AJ5724">
        <v>92.141286359503596</v>
      </c>
      <c r="AK5724">
        <v>38.091571031343797</v>
      </c>
      <c r="AL5724">
        <v>90.838135355815993</v>
      </c>
      <c r="AM5724">
        <v>99.829071251323299</v>
      </c>
      <c r="AN5724">
        <v>1.00000001101036</v>
      </c>
    </row>
    <row r="5725" spans="1:40" x14ac:dyDescent="0.25">
      <c r="A5725" t="str">
        <f>"20190305135940631"</f>
        <v>20190305135940631</v>
      </c>
      <c r="B5725" t="str">
        <f>"1551765580624312"</f>
        <v>1551765580624312</v>
      </c>
      <c r="C5725" t="s">
        <v>40</v>
      </c>
      <c r="D5725">
        <v>4.547447</v>
      </c>
      <c r="E5725">
        <v>0.55175269999999899</v>
      </c>
      <c r="F5725" t="s">
        <v>95</v>
      </c>
      <c r="G5725">
        <v>-214.91290000000001</v>
      </c>
      <c r="H5725" s="1">
        <v>-1.2887339999999999E-6</v>
      </c>
      <c r="I5725">
        <v>-61.180689999999998</v>
      </c>
      <c r="J5725">
        <v>-253.74160000000001</v>
      </c>
      <c r="K5725">
        <v>1.1068530000000001</v>
      </c>
      <c r="L5725">
        <v>-61.059750000000001</v>
      </c>
      <c r="M5725">
        <v>0.99921409999999999</v>
      </c>
      <c r="N5725">
        <v>-7.1277919999999896E-3</v>
      </c>
      <c r="O5725">
        <v>-3.8992550000000001E-2</v>
      </c>
      <c r="P5725">
        <v>0.99096209999999996</v>
      </c>
      <c r="Q5725">
        <v>-2.2215289999999999E-2</v>
      </c>
      <c r="R5725">
        <v>0.13228879999999901</v>
      </c>
      <c r="S5725">
        <v>3.0270839999999999</v>
      </c>
      <c r="T5725">
        <v>-8.5899000000000003E-2</v>
      </c>
      <c r="U5725">
        <v>-9.9792479999999996E-3</v>
      </c>
      <c r="V5725">
        <v>-0.17089309999999999</v>
      </c>
      <c r="W5725">
        <v>-1.445861E-2</v>
      </c>
      <c r="X5725">
        <v>0.98518349999999999</v>
      </c>
      <c r="Y5725">
        <v>-3.567244E-2</v>
      </c>
      <c r="Z5725">
        <v>1.4612799999999999E-3</v>
      </c>
      <c r="AA5725">
        <v>0.99936250000000004</v>
      </c>
      <c r="AB5725">
        <v>35</v>
      </c>
      <c r="AC5725">
        <v>38.828699999999998</v>
      </c>
      <c r="AD5725">
        <v>-1.106854288734</v>
      </c>
      <c r="AE5725">
        <v>-0.120940000000004</v>
      </c>
      <c r="AF5725">
        <v>-1.39208923915072</v>
      </c>
      <c r="AG5725">
        <v>-1.106854288734</v>
      </c>
      <c r="AH5725">
        <v>38.772379192299198</v>
      </c>
      <c r="AI5725">
        <v>91.634154458321504</v>
      </c>
      <c r="AJ5725">
        <v>92.056272862643098</v>
      </c>
      <c r="AK5725">
        <v>38.8131476061615</v>
      </c>
      <c r="AL5725">
        <v>90.828446183842402</v>
      </c>
      <c r="AM5725">
        <v>99.840788572008094</v>
      </c>
      <c r="AN5725">
        <v>1.0000000158514899</v>
      </c>
    </row>
    <row r="5726" spans="1:40" x14ac:dyDescent="0.25">
      <c r="A5726" t="str">
        <f>"20190305135940641"</f>
        <v>20190305135940641</v>
      </c>
      <c r="B5726" t="str">
        <f>"1551765580635048"</f>
        <v>1551765580635048</v>
      </c>
      <c r="C5726" t="s">
        <v>40</v>
      </c>
      <c r="D5726">
        <v>4.5147729999999999</v>
      </c>
      <c r="E5726">
        <v>0.55202390000000001</v>
      </c>
      <c r="F5726" t="s">
        <v>95</v>
      </c>
      <c r="G5726">
        <v>-218.5164</v>
      </c>
      <c r="H5726" s="1">
        <v>-2.8538859999999999E-6</v>
      </c>
      <c r="I5726">
        <v>-61.253210000000003</v>
      </c>
      <c r="J5726">
        <v>-253.56319999999999</v>
      </c>
      <c r="K5726">
        <v>1.106851</v>
      </c>
      <c r="L5726">
        <v>-61.067500000000003</v>
      </c>
      <c r="M5726">
        <v>0.99917540000000005</v>
      </c>
      <c r="N5726">
        <v>-7.1490030000000001E-3</v>
      </c>
      <c r="O5726">
        <v>-3.9967379999999997E-2</v>
      </c>
      <c r="P5726">
        <v>0.99108090000000004</v>
      </c>
      <c r="Q5726">
        <v>-2.230379E-2</v>
      </c>
      <c r="R5726">
        <v>0.13138279999999999</v>
      </c>
      <c r="S5726">
        <v>3.0274510000000001</v>
      </c>
      <c r="T5726">
        <v>-9.5129249999999999E-2</v>
      </c>
      <c r="U5726">
        <v>-1.663208E-2</v>
      </c>
      <c r="V5726">
        <v>-0.17095450000000001</v>
      </c>
      <c r="W5726">
        <v>-1.452415E-2</v>
      </c>
      <c r="X5726">
        <v>0.98517189999999999</v>
      </c>
      <c r="Y5726">
        <v>-3.444589E-2</v>
      </c>
      <c r="Z5726">
        <v>1.6337329999999901E-3</v>
      </c>
      <c r="AA5726">
        <v>0.99940519999999999</v>
      </c>
      <c r="AB5726">
        <v>35</v>
      </c>
      <c r="AC5726">
        <v>35.046799999999898</v>
      </c>
      <c r="AD5726">
        <v>-1.106853853886</v>
      </c>
      <c r="AE5726">
        <v>-0.18570999999999299</v>
      </c>
      <c r="AF5726">
        <v>-1.2139921339744499</v>
      </c>
      <c r="AG5726">
        <v>-1.106853853886</v>
      </c>
      <c r="AH5726">
        <v>34.991317660320902</v>
      </c>
      <c r="AI5726">
        <v>91.810701175823596</v>
      </c>
      <c r="AJ5726">
        <v>91.987028281469406</v>
      </c>
      <c r="AK5726">
        <v>35.029861746240201</v>
      </c>
      <c r="AL5726">
        <v>90.832201729857601</v>
      </c>
      <c r="AM5726">
        <v>99.844368741532094</v>
      </c>
      <c r="AN5726">
        <v>1.0000000322765401</v>
      </c>
    </row>
    <row r="5727" spans="1:40" x14ac:dyDescent="0.25">
      <c r="A5727" t="str">
        <f>"20190305135940652"</f>
        <v>20190305135940652</v>
      </c>
      <c r="B5727" t="str">
        <f>"1551765580644808"</f>
        <v>1551765580644808</v>
      </c>
      <c r="C5727" t="s">
        <v>40</v>
      </c>
      <c r="D5727">
        <v>4.4858799999999999</v>
      </c>
      <c r="E5727">
        <v>0.55236619999999903</v>
      </c>
      <c r="F5727" t="s">
        <v>96</v>
      </c>
      <c r="G5727">
        <v>-221.78579999999999</v>
      </c>
      <c r="H5727" s="1">
        <v>-8.8922210000000001E-8</v>
      </c>
      <c r="I5727">
        <v>-61.30453</v>
      </c>
      <c r="J5727">
        <v>-253.39420000000001</v>
      </c>
      <c r="K5727">
        <v>1.106846</v>
      </c>
      <c r="L5727">
        <v>-61.075040000000001</v>
      </c>
      <c r="M5727">
        <v>0.99913790000000002</v>
      </c>
      <c r="N5727">
        <v>-7.1702320000000003E-3</v>
      </c>
      <c r="O5727">
        <v>-4.0890820000000001E-2</v>
      </c>
      <c r="P5727">
        <v>0.99117999999999995</v>
      </c>
      <c r="Q5727">
        <v>-2.240143E-2</v>
      </c>
      <c r="R5727">
        <v>0.13061539999999999</v>
      </c>
      <c r="S5727">
        <v>3.0276339999999999</v>
      </c>
      <c r="T5727">
        <v>-0.1054566</v>
      </c>
      <c r="U5727">
        <v>-2.2583010000000001E-2</v>
      </c>
      <c r="V5727">
        <v>-0.17110229999999901</v>
      </c>
      <c r="W5727">
        <v>-1.4598679999999999E-2</v>
      </c>
      <c r="X5727">
        <v>0.9851451</v>
      </c>
      <c r="Y5727">
        <v>-3.3398169999999998E-2</v>
      </c>
      <c r="Z5727">
        <v>1.8315320000000001E-3</v>
      </c>
      <c r="AA5727">
        <v>0.99944040000000001</v>
      </c>
      <c r="AB5727">
        <v>35</v>
      </c>
      <c r="AC5727">
        <v>31.6084</v>
      </c>
      <c r="AD5727">
        <v>-1.1068460889222</v>
      </c>
      <c r="AE5727">
        <v>-0.229490000000005</v>
      </c>
      <c r="AF5727">
        <v>-1.06192647229236</v>
      </c>
      <c r="AG5727">
        <v>-1.1068460889222</v>
      </c>
      <c r="AH5727">
        <v>31.552657749105201</v>
      </c>
      <c r="AI5727">
        <v>92.007937776334003</v>
      </c>
      <c r="AJ5727">
        <v>91.927601419755504</v>
      </c>
      <c r="AK5727">
        <v>31.589919390990602</v>
      </c>
      <c r="AL5727">
        <v>90.836472469575796</v>
      </c>
      <c r="AM5727">
        <v>99.852975818760697</v>
      </c>
      <c r="AN5727">
        <v>0.99999999328852096</v>
      </c>
    </row>
    <row r="5728" spans="1:40" x14ac:dyDescent="0.25">
      <c r="A5728" t="str">
        <f>"20190305135940663"</f>
        <v>20190305135940663</v>
      </c>
      <c r="B5728" t="str">
        <f>"1551765580654568"</f>
        <v>1551765580654568</v>
      </c>
      <c r="C5728" t="s">
        <v>40</v>
      </c>
      <c r="D5728">
        <v>4.5399750000000001</v>
      </c>
      <c r="E5728">
        <v>0.55249289999999995</v>
      </c>
      <c r="F5728" t="s">
        <v>96</v>
      </c>
      <c r="G5728">
        <v>-223.2782</v>
      </c>
      <c r="H5728" s="1">
        <v>-7.4026159999999997E-7</v>
      </c>
      <c r="I5728">
        <v>-61.354599999999998</v>
      </c>
      <c r="J5728">
        <v>-253.22460000000001</v>
      </c>
      <c r="K5728">
        <v>1.1068450000000001</v>
      </c>
      <c r="L5728">
        <v>-61.08276</v>
      </c>
      <c r="M5728">
        <v>0.99909939999999997</v>
      </c>
      <c r="N5728">
        <v>-7.1990040000000002E-3</v>
      </c>
      <c r="O5728">
        <v>-4.1816569999999997E-2</v>
      </c>
      <c r="P5728">
        <v>0.99126999999999998</v>
      </c>
      <c r="Q5728">
        <v>-2.2380029999999999E-2</v>
      </c>
      <c r="R5728">
        <v>0.12993399999999999</v>
      </c>
      <c r="S5728">
        <v>3.0278779999999998</v>
      </c>
      <c r="T5728">
        <v>-0.1112826</v>
      </c>
      <c r="U5728">
        <v>-2.810669E-2</v>
      </c>
      <c r="V5728">
        <v>-0.171337299999999</v>
      </c>
      <c r="W5728">
        <v>-1.45465E-2</v>
      </c>
      <c r="X5728">
        <v>0.98510500000000001</v>
      </c>
      <c r="Y5728">
        <v>-3.249726E-2</v>
      </c>
      <c r="Z5728">
        <v>1.9488660000000001E-3</v>
      </c>
      <c r="AA5728">
        <v>0.99946990000000002</v>
      </c>
      <c r="AB5728">
        <v>35</v>
      </c>
      <c r="AC5728">
        <v>29.946400000000001</v>
      </c>
      <c r="AD5728">
        <v>-1.1068457402616001</v>
      </c>
      <c r="AE5728">
        <v>-0.27183999999999697</v>
      </c>
      <c r="AF5728">
        <v>-0.97934814824193805</v>
      </c>
      <c r="AG5728">
        <v>-1.1068457402616001</v>
      </c>
      <c r="AH5728">
        <v>29.890741769135399</v>
      </c>
      <c r="AI5728">
        <v>92.119541307137396</v>
      </c>
      <c r="AJ5728">
        <v>91.876582724252003</v>
      </c>
      <c r="AK5728">
        <v>29.927256369358901</v>
      </c>
      <c r="AL5728">
        <v>90.833482481005305</v>
      </c>
      <c r="AM5728">
        <v>99.866636332600095</v>
      </c>
      <c r="AN5728">
        <v>0.99999996602926899</v>
      </c>
    </row>
    <row r="5729" spans="1:40" x14ac:dyDescent="0.25">
      <c r="A5729" t="str">
        <f>"20190305135940674"</f>
        <v>20190305135940674</v>
      </c>
      <c r="B5729" t="str">
        <f>"1551765580664329"</f>
        <v>1551765580664329</v>
      </c>
      <c r="C5729" t="s">
        <v>40</v>
      </c>
      <c r="D5729">
        <v>4.5129020000000004</v>
      </c>
      <c r="E5729">
        <v>0.55263600000000002</v>
      </c>
      <c r="F5729" t="s">
        <v>96</v>
      </c>
      <c r="G5729">
        <v>-225.09729999999999</v>
      </c>
      <c r="H5729" s="1">
        <v>-1.5262209999999901E-6</v>
      </c>
      <c r="I5729">
        <v>-61.379570000000001</v>
      </c>
      <c r="J5729">
        <v>-253.06110000000001</v>
      </c>
      <c r="K5729">
        <v>1.106846</v>
      </c>
      <c r="L5729">
        <v>-61.090330000000002</v>
      </c>
      <c r="M5729">
        <v>0.99906150000000005</v>
      </c>
      <c r="N5729">
        <v>-7.2333240000000002E-3</v>
      </c>
      <c r="O5729">
        <v>-4.2707309999999998E-2</v>
      </c>
      <c r="P5729">
        <v>0.99144370000000004</v>
      </c>
      <c r="Q5729">
        <v>-2.2525590000000002E-2</v>
      </c>
      <c r="R5729">
        <v>0.12857660000000001</v>
      </c>
      <c r="S5729">
        <v>3.0279389999999999</v>
      </c>
      <c r="T5729">
        <v>-0.11915340000000001</v>
      </c>
      <c r="U5729">
        <v>-3.1951899999999998E-2</v>
      </c>
      <c r="V5729">
        <v>-0.170867299999999</v>
      </c>
      <c r="W5729">
        <v>-1.465812E-2</v>
      </c>
      <c r="X5729">
        <v>0.98518499999999998</v>
      </c>
      <c r="Y5729">
        <v>-3.2112479999999999E-2</v>
      </c>
      <c r="Z5729">
        <v>2.1182829999999999E-3</v>
      </c>
      <c r="AA5729">
        <v>0.99948199999999998</v>
      </c>
      <c r="AB5729">
        <v>35</v>
      </c>
      <c r="AC5729">
        <v>27.963799999999999</v>
      </c>
      <c r="AD5729">
        <v>-1.106847526221</v>
      </c>
      <c r="AE5729">
        <v>-0.289239999999992</v>
      </c>
      <c r="AF5729">
        <v>-0.90389778170846402</v>
      </c>
      <c r="AG5729">
        <v>-1.106847526221</v>
      </c>
      <c r="AH5729">
        <v>27.906921392705598</v>
      </c>
      <c r="AI5729">
        <v>92.270092112485102</v>
      </c>
      <c r="AJ5729">
        <v>91.855146540737294</v>
      </c>
      <c r="AK5729">
        <v>27.943485900379901</v>
      </c>
      <c r="AL5729">
        <v>90.839878498398093</v>
      </c>
      <c r="AM5729">
        <v>99.839317244078799</v>
      </c>
      <c r="AN5729">
        <v>0.99999998945811197</v>
      </c>
    </row>
    <row r="5730" spans="1:40" x14ac:dyDescent="0.25">
      <c r="A5730" t="str">
        <f>"20190305135940686"</f>
        <v>20190305135940686</v>
      </c>
      <c r="B5730" t="str">
        <f>"1551765580675064"</f>
        <v>1551765580675064</v>
      </c>
      <c r="C5730" t="s">
        <v>40</v>
      </c>
      <c r="D5730">
        <v>4.5292690000000002</v>
      </c>
      <c r="E5730">
        <v>0.55283450000000001</v>
      </c>
      <c r="F5730" t="s">
        <v>96</v>
      </c>
      <c r="G5730">
        <v>-226.57040000000001</v>
      </c>
      <c r="H5730" s="1">
        <v>-2.1674939999999998E-6</v>
      </c>
      <c r="I5730">
        <v>-61.421410000000002</v>
      </c>
      <c r="J5730">
        <v>-252.87970000000001</v>
      </c>
      <c r="K5730">
        <v>1.1068559999999901</v>
      </c>
      <c r="L5730">
        <v>-61.098909999999997</v>
      </c>
      <c r="M5730">
        <v>0.99901850000000003</v>
      </c>
      <c r="N5730">
        <v>-7.2925359999999996E-3</v>
      </c>
      <c r="O5730">
        <v>-4.3692469999999997E-2</v>
      </c>
      <c r="P5730">
        <v>0.99161889999999997</v>
      </c>
      <c r="Q5730">
        <v>-2.2461129999999999E-2</v>
      </c>
      <c r="R5730">
        <v>0.12723039999999999</v>
      </c>
      <c r="S5730">
        <v>3.027908</v>
      </c>
      <c r="T5730">
        <v>-0.12651370000000001</v>
      </c>
      <c r="U5730">
        <v>-3.7841800000000002E-2</v>
      </c>
      <c r="V5730">
        <v>-0.17050109999999999</v>
      </c>
      <c r="W5730">
        <v>-1.453489E-2</v>
      </c>
      <c r="X5730">
        <v>0.98525030000000002</v>
      </c>
      <c r="Y5730">
        <v>-3.1147600000000001E-2</v>
      </c>
      <c r="Z5730">
        <v>2.269592E-3</v>
      </c>
      <c r="AA5730">
        <v>0.99951219999999996</v>
      </c>
      <c r="AB5730">
        <v>35</v>
      </c>
      <c r="AC5730">
        <v>26.3093</v>
      </c>
      <c r="AD5730">
        <v>-1.1068581674939999</v>
      </c>
      <c r="AE5730">
        <v>-0.32249999999999801</v>
      </c>
      <c r="AF5730">
        <v>-0.82589517368555798</v>
      </c>
      <c r="AG5730">
        <v>-1.1068581674939999</v>
      </c>
      <c r="AH5730">
        <v>26.2518073464182</v>
      </c>
      <c r="AI5730">
        <v>92.413146450283605</v>
      </c>
      <c r="AJ5730">
        <v>91.801959935237093</v>
      </c>
      <c r="AK5730">
        <v>26.288108087009999</v>
      </c>
      <c r="AL5730">
        <v>90.832817160957205</v>
      </c>
      <c r="AM5730">
        <v>99.818002546725893</v>
      </c>
      <c r="AN5730">
        <v>1.0000000208893001</v>
      </c>
    </row>
    <row r="5731" spans="1:40" x14ac:dyDescent="0.25">
      <c r="A5731" t="str">
        <f>"20190305135940696"</f>
        <v>20190305135940696</v>
      </c>
      <c r="B5731" t="str">
        <f>"1551765580684825"</f>
        <v>1551765580684825</v>
      </c>
      <c r="C5731" t="s">
        <v>40</v>
      </c>
      <c r="D5731">
        <v>4.5247039999999998</v>
      </c>
      <c r="E5731">
        <v>0.55302569999999995</v>
      </c>
      <c r="F5731" t="s">
        <v>96</v>
      </c>
      <c r="G5731">
        <v>-227.7004</v>
      </c>
      <c r="H5731" s="1">
        <v>-2.6622440000000001E-6</v>
      </c>
      <c r="I5731">
        <v>-61.466369999999998</v>
      </c>
      <c r="J5731">
        <v>-252.70769999999999</v>
      </c>
      <c r="K5731">
        <v>1.106867</v>
      </c>
      <c r="L5731">
        <v>-61.10718</v>
      </c>
      <c r="M5731">
        <v>0.9989768</v>
      </c>
      <c r="N5731">
        <v>-7.3587130000000002E-3</v>
      </c>
      <c r="O5731">
        <v>-4.4625579999999998E-2</v>
      </c>
      <c r="P5731">
        <v>0.99181339999999996</v>
      </c>
      <c r="Q5731">
        <v>-2.2292820000000001E-2</v>
      </c>
      <c r="R5731">
        <v>0.1257366</v>
      </c>
      <c r="S5731">
        <v>3.028</v>
      </c>
      <c r="T5731">
        <v>-0.1331078</v>
      </c>
      <c r="U5731">
        <v>-4.4189449999999998E-2</v>
      </c>
      <c r="V5731">
        <v>-0.16993699999999901</v>
      </c>
      <c r="W5731">
        <v>-1.430172E-2</v>
      </c>
      <c r="X5731">
        <v>0.98535110000000004</v>
      </c>
      <c r="Y5731">
        <v>-2.9980880000000001E-2</v>
      </c>
      <c r="Z5731">
        <v>2.4006370000000002E-3</v>
      </c>
      <c r="AA5731">
        <v>0.99954759999999998</v>
      </c>
      <c r="AB5731">
        <v>35</v>
      </c>
      <c r="AC5731">
        <v>25.007299999999901</v>
      </c>
      <c r="AD5731">
        <v>-1.106869662244</v>
      </c>
      <c r="AE5731">
        <v>-0.35918999999999102</v>
      </c>
      <c r="AF5731">
        <v>-0.75568303714266505</v>
      </c>
      <c r="AG5731">
        <v>-1.106869662244</v>
      </c>
      <c r="AH5731">
        <v>24.949546557712299</v>
      </c>
      <c r="AI5731">
        <v>92.5390597474765</v>
      </c>
      <c r="AJ5731">
        <v>91.734869835987894</v>
      </c>
      <c r="AK5731">
        <v>24.985517619958799</v>
      </c>
      <c r="AL5731">
        <v>90.819456168016899</v>
      </c>
      <c r="AM5731">
        <v>99.785167172326297</v>
      </c>
      <c r="AN5731">
        <v>0.99999995671758302</v>
      </c>
    </row>
    <row r="5732" spans="1:40" x14ac:dyDescent="0.25">
      <c r="A5732" t="str">
        <f>"20190305135940709"</f>
        <v>20190305135940709</v>
      </c>
      <c r="B5732" t="str">
        <f>"1551765580704345"</f>
        <v>1551765580704345</v>
      </c>
      <c r="C5732" t="s">
        <v>40</v>
      </c>
      <c r="D5732">
        <v>4.5383559999999896</v>
      </c>
      <c r="E5732">
        <v>0.55320689999999995</v>
      </c>
      <c r="F5732" t="s">
        <v>96</v>
      </c>
      <c r="G5732">
        <v>-228.22790000000001</v>
      </c>
      <c r="H5732" s="1">
        <v>-2.8996269999999998E-6</v>
      </c>
      <c r="I5732">
        <v>-61.516219999999997</v>
      </c>
      <c r="J5732">
        <v>-252.524</v>
      </c>
      <c r="K5732">
        <v>1.106889</v>
      </c>
      <c r="L5732">
        <v>-61.116269999999901</v>
      </c>
      <c r="M5732">
        <v>0.99893120000000002</v>
      </c>
      <c r="N5732">
        <v>-7.4668219999999997E-3</v>
      </c>
      <c r="O5732">
        <v>-4.5615059999999999E-2</v>
      </c>
      <c r="P5732">
        <v>0.99198430000000004</v>
      </c>
      <c r="Q5732">
        <v>-2.2448160000000002E-2</v>
      </c>
      <c r="R5732">
        <v>0.12435069999999999</v>
      </c>
      <c r="S5732">
        <v>3.0281220000000002</v>
      </c>
      <c r="T5732">
        <v>-0.1369187</v>
      </c>
      <c r="U5732">
        <v>-5.059814E-2</v>
      </c>
      <c r="V5732">
        <v>-0.16953650000000001</v>
      </c>
      <c r="W5732">
        <v>-1.4350899999999899E-2</v>
      </c>
      <c r="X5732">
        <v>0.98541939999999995</v>
      </c>
      <c r="Y5732">
        <v>-2.8853489999999999E-2</v>
      </c>
      <c r="Z5732">
        <v>2.4797619999999999E-3</v>
      </c>
      <c r="AA5732">
        <v>0.99958060000000004</v>
      </c>
      <c r="AB5732">
        <v>35</v>
      </c>
      <c r="AC5732">
        <v>24.296099999999999</v>
      </c>
      <c r="AD5732">
        <v>-1.1068918996269901</v>
      </c>
      <c r="AE5732">
        <v>-0.39995000000000303</v>
      </c>
      <c r="AF5732">
        <v>-0.70729762601357005</v>
      </c>
      <c r="AG5732">
        <v>-1.1068918996269901</v>
      </c>
      <c r="AH5732">
        <v>24.238757225483699</v>
      </c>
      <c r="AI5732">
        <v>92.613552972972897</v>
      </c>
      <c r="AJ5732">
        <v>91.671441813525206</v>
      </c>
      <c r="AK5732">
        <v>24.274324531182401</v>
      </c>
      <c r="AL5732">
        <v>90.822274241739507</v>
      </c>
      <c r="AM5732">
        <v>99.7618865653603</v>
      </c>
      <c r="AN5732">
        <v>0.99999998352970898</v>
      </c>
    </row>
    <row r="5733" spans="1:40" x14ac:dyDescent="0.25">
      <c r="A5733" t="str">
        <f>"20190305135940719"</f>
        <v>20190305135940719</v>
      </c>
      <c r="B5733" t="str">
        <f>"1551765580715084"</f>
        <v>1551765580715084</v>
      </c>
      <c r="C5733" t="s">
        <v>40</v>
      </c>
      <c r="D5733">
        <v>4.4693559999999897</v>
      </c>
      <c r="E5733">
        <v>0.5531431</v>
      </c>
      <c r="F5733" t="s">
        <v>96</v>
      </c>
      <c r="G5733">
        <v>-229.9401</v>
      </c>
      <c r="H5733" s="1">
        <v>-3.5464449999999998E-6</v>
      </c>
      <c r="I5733">
        <v>-61.543719999999901</v>
      </c>
      <c r="J5733">
        <v>-252.34540000000001</v>
      </c>
      <c r="K5733">
        <v>1.1069070000000001</v>
      </c>
      <c r="L5733">
        <v>-61.125210000000003</v>
      </c>
      <c r="M5733">
        <v>0.99888600000000005</v>
      </c>
      <c r="N5733">
        <v>-7.5836380000000002E-3</v>
      </c>
      <c r="O5733">
        <v>-4.6574669999999999E-2</v>
      </c>
      <c r="P5733">
        <v>0.99217520000000003</v>
      </c>
      <c r="Q5733">
        <v>-2.2399860000000001E-2</v>
      </c>
      <c r="R5733">
        <v>0.1228273</v>
      </c>
      <c r="S5733">
        <v>3.0280459999999998</v>
      </c>
      <c r="T5733">
        <v>-0.148412299999999</v>
      </c>
      <c r="U5733">
        <v>-5.7312009999999997E-2</v>
      </c>
      <c r="V5733">
        <v>-0.16896929999999999</v>
      </c>
      <c r="W5733">
        <v>-1.41885E-2</v>
      </c>
      <c r="X5733">
        <v>0.98551920000000004</v>
      </c>
      <c r="Y5733">
        <v>-2.758642E-2</v>
      </c>
      <c r="Z5733">
        <v>2.707428E-3</v>
      </c>
      <c r="AA5733">
        <v>0.9996157</v>
      </c>
      <c r="AB5733">
        <v>35</v>
      </c>
      <c r="AC5733">
        <v>22.4053</v>
      </c>
      <c r="AD5733">
        <v>-1.10691054644499</v>
      </c>
      <c r="AE5733">
        <v>-0.418509999999997</v>
      </c>
      <c r="AF5733">
        <v>-0.62397124815203397</v>
      </c>
      <c r="AG5733">
        <v>-1.10691054644499</v>
      </c>
      <c r="AH5733">
        <v>22.345955250508901</v>
      </c>
      <c r="AI5733">
        <v>92.834734745844997</v>
      </c>
      <c r="AJ5733">
        <v>91.599467610842098</v>
      </c>
      <c r="AK5733">
        <v>22.382053237674501</v>
      </c>
      <c r="AL5733">
        <v>90.812968433320194</v>
      </c>
      <c r="AM5733">
        <v>99.728886090367993</v>
      </c>
      <c r="AN5733">
        <v>1.0000000157216899</v>
      </c>
    </row>
    <row r="5734" spans="1:40" x14ac:dyDescent="0.25">
      <c r="A5734" t="str">
        <f>"20190305135940730"</f>
        <v>20190305135940730</v>
      </c>
      <c r="B5734" t="str">
        <f>"1551765580724840"</f>
        <v>1551765580724840</v>
      </c>
      <c r="C5734" t="s">
        <v>40</v>
      </c>
      <c r="D5734">
        <v>4.4906990000000002</v>
      </c>
      <c r="E5734">
        <v>0.55313909999999999</v>
      </c>
      <c r="F5734" t="s">
        <v>94</v>
      </c>
      <c r="G5734">
        <v>-230.4281</v>
      </c>
      <c r="H5734" s="1">
        <v>5.1268889999999995E-7</v>
      </c>
      <c r="I5734">
        <v>-61.573140000000002</v>
      </c>
      <c r="J5734">
        <v>-252.1722</v>
      </c>
      <c r="K5734">
        <v>1.106938</v>
      </c>
      <c r="L5734">
        <v>-61.13409</v>
      </c>
      <c r="M5734">
        <v>0.99884139999999999</v>
      </c>
      <c r="N5734">
        <v>-7.7329290000000004E-3</v>
      </c>
      <c r="O5734">
        <v>-4.7497860000000003E-2</v>
      </c>
      <c r="P5734">
        <v>0.99235669999999998</v>
      </c>
      <c r="Q5734">
        <v>-2.240257E-2</v>
      </c>
      <c r="R5734">
        <v>0.1213516</v>
      </c>
      <c r="S5734">
        <v>3.0278320000000001</v>
      </c>
      <c r="T5734">
        <v>-0.15291740000000001</v>
      </c>
      <c r="U5734">
        <v>-6.1889649999999997E-2</v>
      </c>
      <c r="V5734">
        <v>-0.1684137</v>
      </c>
      <c r="W5734">
        <v>-1.40456E-2</v>
      </c>
      <c r="X5734">
        <v>0.9856163</v>
      </c>
      <c r="Y5734">
        <v>-2.699344E-2</v>
      </c>
      <c r="Z5734">
        <v>2.8144580000000002E-3</v>
      </c>
      <c r="AA5734">
        <v>0.99963159999999895</v>
      </c>
      <c r="AB5734">
        <v>35</v>
      </c>
      <c r="AC5734">
        <v>21.7441</v>
      </c>
      <c r="AD5734">
        <v>-1.1069374873111</v>
      </c>
      <c r="AE5734">
        <v>-0.439050000000001</v>
      </c>
      <c r="AF5734">
        <v>-0.59273917293573597</v>
      </c>
      <c r="AG5734">
        <v>-1.1069374873111</v>
      </c>
      <c r="AH5734">
        <v>21.684238021179599</v>
      </c>
      <c r="AI5734">
        <v>92.921210365867296</v>
      </c>
      <c r="AJ5734">
        <v>91.5657916138085</v>
      </c>
      <c r="AK5734">
        <v>21.720562352000002</v>
      </c>
      <c r="AL5734">
        <v>90.804780085740404</v>
      </c>
      <c r="AM5734">
        <v>99.696567039936696</v>
      </c>
      <c r="AN5734">
        <v>0.99999997202636903</v>
      </c>
    </row>
    <row r="5735" spans="1:40" x14ac:dyDescent="0.25">
      <c r="A5735" t="str">
        <f>"20190305135940742"</f>
        <v>20190305135940742</v>
      </c>
      <c r="B5735" t="str">
        <f>"1551765580734600"</f>
        <v>1551765580734600</v>
      </c>
      <c r="C5735" t="s">
        <v>40</v>
      </c>
      <c r="D5735">
        <v>4.4891019999999999</v>
      </c>
      <c r="E5735">
        <v>0.55311759999999999</v>
      </c>
      <c r="F5735" t="s">
        <v>94</v>
      </c>
      <c r="G5735">
        <v>-230.76949999999999</v>
      </c>
      <c r="H5735" s="1">
        <v>3.5770780000000001E-7</v>
      </c>
      <c r="I5735">
        <v>-61.605179999999997</v>
      </c>
      <c r="J5735">
        <v>-251.99449999999999</v>
      </c>
      <c r="K5735">
        <v>1.10697</v>
      </c>
      <c r="L5735">
        <v>-61.143369999999997</v>
      </c>
      <c r="M5735">
        <v>0.99879490000000004</v>
      </c>
      <c r="N5735">
        <v>-7.8994069999999902E-3</v>
      </c>
      <c r="O5735">
        <v>-4.8441659999999997E-2</v>
      </c>
      <c r="P5735">
        <v>0.99254229999999999</v>
      </c>
      <c r="Q5735">
        <v>-2.2816599999999999E-2</v>
      </c>
      <c r="R5735">
        <v>0.1197468</v>
      </c>
      <c r="S5735">
        <v>3.0277099999999999</v>
      </c>
      <c r="T5735">
        <v>-0.156591799999999</v>
      </c>
      <c r="U5735">
        <v>-6.6650390000000004E-2</v>
      </c>
      <c r="V5735">
        <v>-0.16775219999999999</v>
      </c>
      <c r="W5735">
        <v>-1.429762E-2</v>
      </c>
      <c r="X5735">
        <v>0.98572550000000003</v>
      </c>
      <c r="Y5735">
        <v>-2.6362150000000001E-2</v>
      </c>
      <c r="Z5735">
        <v>2.9051670000000002E-3</v>
      </c>
      <c r="AA5735">
        <v>0.99964819999999999</v>
      </c>
      <c r="AB5735">
        <v>35</v>
      </c>
      <c r="AC5735">
        <v>21.224999999999898</v>
      </c>
      <c r="AD5735">
        <v>-1.1069696422922</v>
      </c>
      <c r="AE5735">
        <v>-0.46181000000000599</v>
      </c>
      <c r="AF5735">
        <v>-0.56540119081184503</v>
      </c>
      <c r="AG5735">
        <v>-1.1069696422922</v>
      </c>
      <c r="AH5735">
        <v>21.1649098706297</v>
      </c>
      <c r="AI5735">
        <v>92.992896884669804</v>
      </c>
      <c r="AJ5735">
        <v>91.530240350151999</v>
      </c>
      <c r="AK5735">
        <v>21.201378967590902</v>
      </c>
      <c r="AL5735">
        <v>90.8192212024274</v>
      </c>
      <c r="AM5735">
        <v>99.6581496064086</v>
      </c>
      <c r="AN5735">
        <v>0.99999999194637701</v>
      </c>
    </row>
    <row r="5736" spans="1:40" x14ac:dyDescent="0.25">
      <c r="A5736" t="str">
        <f>"20190305135940754"</f>
        <v>20190305135940754</v>
      </c>
      <c r="B5736" t="str">
        <f>"1551765580744360"</f>
        <v>1551765580744360</v>
      </c>
      <c r="C5736" t="s">
        <v>40</v>
      </c>
      <c r="D5736">
        <v>4.4830449999999997</v>
      </c>
      <c r="E5736">
        <v>0.55316639999999995</v>
      </c>
      <c r="F5736" t="s">
        <v>94</v>
      </c>
      <c r="G5736">
        <v>-231.2629</v>
      </c>
      <c r="H5736" s="1">
        <v>1.3828509999999999E-7</v>
      </c>
      <c r="I5736">
        <v>-61.634410000000003</v>
      </c>
      <c r="J5736">
        <v>-251.8159</v>
      </c>
      <c r="K5736">
        <v>1.1070059999999999</v>
      </c>
      <c r="L5736">
        <v>-61.152859999999997</v>
      </c>
      <c r="M5736">
        <v>0.99874719999999995</v>
      </c>
      <c r="N5736">
        <v>-8.0885060000000005E-3</v>
      </c>
      <c r="O5736">
        <v>-4.9383799999999999E-2</v>
      </c>
      <c r="P5736">
        <v>0.99272839999999996</v>
      </c>
      <c r="Q5736">
        <v>-2.3258419999999998E-2</v>
      </c>
      <c r="R5736">
        <v>0.11810759999999999</v>
      </c>
      <c r="S5736">
        <v>3.027466</v>
      </c>
      <c r="T5736">
        <v>-0.1616523</v>
      </c>
      <c r="U5736">
        <v>-7.1716310000000005E-2</v>
      </c>
      <c r="V5736">
        <v>-0.16705500000000001</v>
      </c>
      <c r="W5736">
        <v>-1.455554E-2</v>
      </c>
      <c r="X5736">
        <v>0.9858401</v>
      </c>
      <c r="Y5736">
        <v>-2.562598E-2</v>
      </c>
      <c r="Z5736">
        <v>3.021405E-3</v>
      </c>
      <c r="AA5736">
        <v>0.99966699999999997</v>
      </c>
      <c r="AB5736">
        <v>35</v>
      </c>
      <c r="AC5736">
        <v>20.553000000000001</v>
      </c>
      <c r="AD5736">
        <v>-1.1070058617148999</v>
      </c>
      <c r="AE5736">
        <v>-0.48154999999999798</v>
      </c>
      <c r="AF5736">
        <v>-0.53251198102664199</v>
      </c>
      <c r="AG5736">
        <v>-1.1070058617148999</v>
      </c>
      <c r="AH5736">
        <v>20.492286957845799</v>
      </c>
      <c r="AI5736">
        <v>93.091106024583496</v>
      </c>
      <c r="AJ5736">
        <v>91.488551484699101</v>
      </c>
      <c r="AK5736">
        <v>20.529073426497</v>
      </c>
      <c r="AL5736">
        <v>90.834000486593197</v>
      </c>
      <c r="AM5736">
        <v>99.617663297964</v>
      </c>
      <c r="AN5736">
        <v>0.99999996976884997</v>
      </c>
    </row>
    <row r="5737" spans="1:40" x14ac:dyDescent="0.25">
      <c r="A5737" t="str">
        <f>"20190305135940764"</f>
        <v>20190305135940764</v>
      </c>
      <c r="B5737" t="str">
        <f>"1551765580755096"</f>
        <v>1551765580755096</v>
      </c>
      <c r="C5737" t="s">
        <v>40</v>
      </c>
      <c r="D5737">
        <v>4.504302</v>
      </c>
      <c r="E5737">
        <v>0.55317550000000004</v>
      </c>
      <c r="F5737" t="s">
        <v>94</v>
      </c>
      <c r="G5737">
        <v>-231.74430000000001</v>
      </c>
      <c r="H5737" s="1">
        <v>-7.6784320000000004E-8</v>
      </c>
      <c r="I5737">
        <v>-61.666530000000002</v>
      </c>
      <c r="J5737">
        <v>-251.64519999999999</v>
      </c>
      <c r="K5737">
        <v>1.1070489999999999</v>
      </c>
      <c r="L5737">
        <v>-61.162080000000003</v>
      </c>
      <c r="M5737">
        <v>0.99870099999999995</v>
      </c>
      <c r="N5737">
        <v>-8.3017709999999995E-3</v>
      </c>
      <c r="O5737">
        <v>-5.0273869999999998E-2</v>
      </c>
      <c r="P5737">
        <v>0.99286350000000001</v>
      </c>
      <c r="Q5737">
        <v>-2.3917020000000001E-2</v>
      </c>
      <c r="R5737">
        <v>0.1168336</v>
      </c>
      <c r="S5737">
        <v>3.027298</v>
      </c>
      <c r="T5737">
        <v>-0.16696359999999999</v>
      </c>
      <c r="U5737">
        <v>-7.7484129999999998E-2</v>
      </c>
      <c r="V5737">
        <v>-0.16666979999999901</v>
      </c>
      <c r="W5737">
        <v>-1.500638E-2</v>
      </c>
      <c r="X5737">
        <v>0.98589859999999896</v>
      </c>
      <c r="Y5737">
        <v>-2.460671E-2</v>
      </c>
      <c r="Z5737">
        <v>3.1318119999999999E-3</v>
      </c>
      <c r="AA5737">
        <v>0.99969229999999998</v>
      </c>
      <c r="AB5737">
        <v>35</v>
      </c>
      <c r="AC5737">
        <v>19.900899999999901</v>
      </c>
      <c r="AD5737">
        <v>-1.10704907678432</v>
      </c>
      <c r="AE5737">
        <v>-0.50444999999999796</v>
      </c>
      <c r="AF5737">
        <v>-0.49518627765344903</v>
      </c>
      <c r="AG5737">
        <v>-1.10704907678432</v>
      </c>
      <c r="AH5737">
        <v>19.839740150666501</v>
      </c>
      <c r="AI5737">
        <v>93.192775935431001</v>
      </c>
      <c r="AJ5737">
        <v>91.429766425437407</v>
      </c>
      <c r="AK5737">
        <v>19.8767717789875</v>
      </c>
      <c r="AL5737">
        <v>90.859834485904202</v>
      </c>
      <c r="AM5737">
        <v>99.595340663307994</v>
      </c>
      <c r="AN5737">
        <v>1.0000000315773501</v>
      </c>
    </row>
    <row r="5738" spans="1:40" x14ac:dyDescent="0.25">
      <c r="A5738" t="str">
        <f>"20190305135940775"</f>
        <v>20190305135940775</v>
      </c>
      <c r="B5738" t="str">
        <f>"1551765580764856"</f>
        <v>1551765580764856</v>
      </c>
      <c r="C5738" t="s">
        <v>40</v>
      </c>
      <c r="D5738">
        <v>4.5276310000000004</v>
      </c>
      <c r="E5738">
        <v>0.5530931</v>
      </c>
      <c r="F5738" t="s">
        <v>94</v>
      </c>
      <c r="G5738">
        <v>-232.2372</v>
      </c>
      <c r="H5738" s="1">
        <v>-2.9341770000000001E-7</v>
      </c>
      <c r="I5738">
        <v>-61.6860199999999</v>
      </c>
      <c r="J5738">
        <v>-251.46799999999999</v>
      </c>
      <c r="K5738">
        <v>1.1070990000000001</v>
      </c>
      <c r="L5738">
        <v>-61.171779999999998</v>
      </c>
      <c r="M5738">
        <v>0.99865250000000005</v>
      </c>
      <c r="N5738">
        <v>-8.5448809999999903E-3</v>
      </c>
      <c r="O5738">
        <v>-5.1190329999999999E-2</v>
      </c>
      <c r="P5738">
        <v>0.99305690000000002</v>
      </c>
      <c r="Q5738">
        <v>-2.4457400000000001E-2</v>
      </c>
      <c r="R5738">
        <v>0.1150654</v>
      </c>
      <c r="S5738">
        <v>3.026993</v>
      </c>
      <c r="T5738">
        <v>-0.17266199999999901</v>
      </c>
      <c r="U5738">
        <v>-8.1726069999999998E-2</v>
      </c>
      <c r="V5738">
        <v>-0.16581949999999901</v>
      </c>
      <c r="W5738">
        <v>-1.531151E-2</v>
      </c>
      <c r="X5738">
        <v>0.98603730000000001</v>
      </c>
      <c r="Y5738">
        <v>-2.411462E-2</v>
      </c>
      <c r="Z5738">
        <v>3.268534E-3</v>
      </c>
      <c r="AA5738">
        <v>0.99970389999999998</v>
      </c>
      <c r="AB5738">
        <v>35</v>
      </c>
      <c r="AC5738">
        <v>19.230799999999899</v>
      </c>
      <c r="AD5738">
        <v>-1.1070992934177</v>
      </c>
      <c r="AE5738">
        <v>-0.51423999999998604</v>
      </c>
      <c r="AF5738">
        <v>-0.46934666593193097</v>
      </c>
      <c r="AG5738">
        <v>-1.1070992934177</v>
      </c>
      <c r="AH5738">
        <v>19.1684274655446</v>
      </c>
      <c r="AI5738">
        <v>93.304537238703602</v>
      </c>
      <c r="AJ5738">
        <v>91.402629971560799</v>
      </c>
      <c r="AK5738">
        <v>19.206107534848201</v>
      </c>
      <c r="AL5738">
        <v>90.877319136914394</v>
      </c>
      <c r="AM5738">
        <v>99.545973202725307</v>
      </c>
      <c r="AN5738">
        <v>1.0000000529549999</v>
      </c>
    </row>
    <row r="5739" spans="1:40" x14ac:dyDescent="0.25">
      <c r="A5739" t="str">
        <f>"20190305135940787"</f>
        <v>20190305135940787</v>
      </c>
      <c r="B5739" t="str">
        <f>"1551765580774616"</f>
        <v>1551765580774616</v>
      </c>
      <c r="C5739" t="s">
        <v>40</v>
      </c>
      <c r="D5739">
        <v>4.4977650000000002</v>
      </c>
      <c r="E5739">
        <v>0.55303809999999998</v>
      </c>
      <c r="F5739" t="s">
        <v>94</v>
      </c>
      <c r="G5739">
        <v>-232.63910000000001</v>
      </c>
      <c r="H5739" s="1">
        <v>-4.7266759999999999E-7</v>
      </c>
      <c r="I5739">
        <v>-61.711649999999999</v>
      </c>
      <c r="J5739">
        <v>-251.31030000000001</v>
      </c>
      <c r="K5739">
        <v>1.1071530000000001</v>
      </c>
      <c r="L5739">
        <v>-61.180630000000001</v>
      </c>
      <c r="M5739">
        <v>0.99860879999999996</v>
      </c>
      <c r="N5739">
        <v>-8.7819300000000003E-3</v>
      </c>
      <c r="O5739">
        <v>-5.1995149999999997E-2</v>
      </c>
      <c r="P5739">
        <v>0.99321420000000005</v>
      </c>
      <c r="Q5739">
        <v>-2.4607649999999998E-2</v>
      </c>
      <c r="R5739">
        <v>0.1136668</v>
      </c>
      <c r="S5739">
        <v>3.026688</v>
      </c>
      <c r="T5739">
        <v>-0.17796310000000001</v>
      </c>
      <c r="U5739">
        <v>-8.6791989999999999E-2</v>
      </c>
      <c r="V5739">
        <v>-0.16522490000000001</v>
      </c>
      <c r="W5739">
        <v>-1.523293E-2</v>
      </c>
      <c r="X5739">
        <v>0.98613830000000002</v>
      </c>
      <c r="Y5739">
        <v>-2.3239849999999999E-2</v>
      </c>
      <c r="Z5739">
        <v>3.3805749999999998E-3</v>
      </c>
      <c r="AA5739">
        <v>0.99972419999999995</v>
      </c>
      <c r="AB5739">
        <v>35</v>
      </c>
      <c r="AC5739">
        <v>18.671199999999999</v>
      </c>
      <c r="AD5739">
        <v>-1.1071534726676</v>
      </c>
      <c r="AE5739">
        <v>-0.53101999999999006</v>
      </c>
      <c r="AF5739">
        <v>-0.439005180283915</v>
      </c>
      <c r="AG5739">
        <v>-1.1071534726676</v>
      </c>
      <c r="AH5739">
        <v>18.608176914597401</v>
      </c>
      <c r="AI5739">
        <v>93.404038010064795</v>
      </c>
      <c r="AJ5739">
        <v>91.3514746267454</v>
      </c>
      <c r="AK5739">
        <v>18.646253308515099</v>
      </c>
      <c r="AL5739">
        <v>90.872816331226304</v>
      </c>
      <c r="AM5739">
        <v>99.511413177818895</v>
      </c>
      <c r="AN5739">
        <v>1.0000000282316399</v>
      </c>
    </row>
    <row r="5740" spans="1:40" x14ac:dyDescent="0.25">
      <c r="A5740" t="str">
        <f>"20190305135940797"</f>
        <v>20190305135940797</v>
      </c>
      <c r="B5740" t="str">
        <f>"1551765580795113"</f>
        <v>1551765580795113</v>
      </c>
      <c r="C5740" t="s">
        <v>40</v>
      </c>
      <c r="D5740">
        <v>4.468769</v>
      </c>
      <c r="E5740">
        <v>0.55297969999999996</v>
      </c>
      <c r="F5740" t="s">
        <v>94</v>
      </c>
      <c r="G5740">
        <v>-232.8998</v>
      </c>
      <c r="H5740" s="1">
        <v>-5.9026650000000001E-7</v>
      </c>
      <c r="I5740">
        <v>-61.733249999999998</v>
      </c>
      <c r="J5740">
        <v>-251.1354</v>
      </c>
      <c r="K5740">
        <v>1.1072120000000001</v>
      </c>
      <c r="L5740">
        <v>-61.190460000000002</v>
      </c>
      <c r="M5740">
        <v>0.99855970000000005</v>
      </c>
      <c r="N5740">
        <v>-9.0508450000000001E-3</v>
      </c>
      <c r="O5740">
        <v>-5.2885389999999997E-2</v>
      </c>
      <c r="P5740">
        <v>0.99337509999999996</v>
      </c>
      <c r="Q5740">
        <v>-2.4559640000000001E-2</v>
      </c>
      <c r="R5740">
        <v>0.112263</v>
      </c>
      <c r="S5740">
        <v>3.0263520000000002</v>
      </c>
      <c r="T5740">
        <v>-0.18199589999999999</v>
      </c>
      <c r="U5740">
        <v>-9.0850829999999994E-2</v>
      </c>
      <c r="V5740">
        <v>-0.16470879999999999</v>
      </c>
      <c r="W5740">
        <v>-1.492509E-2</v>
      </c>
      <c r="X5740">
        <v>0.98622929999999998</v>
      </c>
      <c r="Y5740">
        <v>-2.2783250000000001E-2</v>
      </c>
      <c r="Z5740">
        <v>3.4841130000000001E-3</v>
      </c>
      <c r="AA5740">
        <v>0.99973429999999996</v>
      </c>
      <c r="AB5740">
        <v>35</v>
      </c>
      <c r="AC5740">
        <v>18.235600000000002</v>
      </c>
      <c r="AD5740">
        <v>-1.1072125902665</v>
      </c>
      <c r="AE5740">
        <v>-0.54279000000000299</v>
      </c>
      <c r="AF5740">
        <v>-0.42085570712402398</v>
      </c>
      <c r="AG5740">
        <v>-1.1072125902665</v>
      </c>
      <c r="AH5740">
        <v>18.171853220105199</v>
      </c>
      <c r="AI5740">
        <v>93.485793861079699</v>
      </c>
      <c r="AJ5740">
        <v>91.326719165796902</v>
      </c>
      <c r="AK5740">
        <v>18.210417038039299</v>
      </c>
      <c r="AL5740">
        <v>90.855176426323197</v>
      </c>
      <c r="AM5740">
        <v>99.481384423234999</v>
      </c>
      <c r="AN5740">
        <v>0.99999998964371895</v>
      </c>
    </row>
    <row r="5741" spans="1:40" x14ac:dyDescent="0.25">
      <c r="A5741" t="str">
        <f>"20190305135940808"</f>
        <v>20190305135940808</v>
      </c>
      <c r="B5741" t="str">
        <f>"1551765580804872"</f>
        <v>1551765580804872</v>
      </c>
      <c r="C5741" t="s">
        <v>40</v>
      </c>
      <c r="D5741">
        <v>4.4442579999999996</v>
      </c>
      <c r="E5741">
        <v>0.55288419999999905</v>
      </c>
      <c r="F5741" t="s">
        <v>94</v>
      </c>
      <c r="G5741">
        <v>-233.21950000000001</v>
      </c>
      <c r="H5741" s="1">
        <v>-7.3271029999999998E-7</v>
      </c>
      <c r="I5741">
        <v>-61.7532</v>
      </c>
      <c r="J5741">
        <v>-250.95949999999999</v>
      </c>
      <c r="K5741">
        <v>1.1072679999999999</v>
      </c>
      <c r="L5741">
        <v>-61.200650000000003</v>
      </c>
      <c r="M5741">
        <v>0.99851009999999996</v>
      </c>
      <c r="N5741">
        <v>-9.3142280000000008E-3</v>
      </c>
      <c r="O5741">
        <v>-5.3770100000000001E-2</v>
      </c>
      <c r="P5741">
        <v>0.99355389999999999</v>
      </c>
      <c r="Q5741">
        <v>-2.4386660000000001E-2</v>
      </c>
      <c r="R5741">
        <v>0.1107076</v>
      </c>
      <c r="S5741">
        <v>3.026138</v>
      </c>
      <c r="T5741">
        <v>-0.18701719999999999</v>
      </c>
      <c r="U5741">
        <v>-9.5062259999999996E-2</v>
      </c>
      <c r="V5741">
        <v>-0.1640364</v>
      </c>
      <c r="W5741">
        <v>-1.449919E-2</v>
      </c>
      <c r="X5741">
        <v>0.98634770000000005</v>
      </c>
      <c r="Y5741">
        <v>-2.2270470000000001E-2</v>
      </c>
      <c r="Z5741">
        <v>3.6077399999999999E-3</v>
      </c>
      <c r="AA5741">
        <v>0.99974549999999995</v>
      </c>
      <c r="AB5741">
        <v>35</v>
      </c>
      <c r="AC5741">
        <v>17.739999999999899</v>
      </c>
      <c r="AD5741">
        <v>-1.1072687327102999</v>
      </c>
      <c r="AE5741">
        <v>-0.55254999999999599</v>
      </c>
      <c r="AF5741">
        <v>-0.40061298045649402</v>
      </c>
      <c r="AG5741">
        <v>-1.1072687327102999</v>
      </c>
      <c r="AH5741">
        <v>17.6752531572286</v>
      </c>
      <c r="AI5741">
        <v>93.583699954728701</v>
      </c>
      <c r="AJ5741">
        <v>91.298397455994106</v>
      </c>
      <c r="AK5741">
        <v>17.7144322228704</v>
      </c>
      <c r="AL5741">
        <v>90.830771523260395</v>
      </c>
      <c r="AM5741">
        <v>99.442263438027595</v>
      </c>
      <c r="AN5741">
        <v>0.999999976165452</v>
      </c>
    </row>
    <row r="5742" spans="1:40" x14ac:dyDescent="0.25">
      <c r="A5742" t="str">
        <f>"20190305135940820"</f>
        <v>20190305135940820</v>
      </c>
      <c r="B5742" t="str">
        <f>"1551765580814632"</f>
        <v>1551765580814632</v>
      </c>
      <c r="C5742" t="s">
        <v>40</v>
      </c>
      <c r="D5742">
        <v>4.4913379999999998</v>
      </c>
      <c r="E5742">
        <v>0.55278559999999999</v>
      </c>
      <c r="F5742" t="s">
        <v>94</v>
      </c>
      <c r="G5742">
        <v>-233.23949999999999</v>
      </c>
      <c r="H5742" s="1">
        <v>-7.4883989999999898E-7</v>
      </c>
      <c r="I5742">
        <v>-61.781590000000001</v>
      </c>
      <c r="J5742">
        <v>-250.77959999999999</v>
      </c>
      <c r="K5742">
        <v>1.1073219999999999</v>
      </c>
      <c r="L5742">
        <v>-61.211150000000004</v>
      </c>
      <c r="M5742">
        <v>0.99845859999999997</v>
      </c>
      <c r="N5742">
        <v>-9.5802249999999995E-3</v>
      </c>
      <c r="O5742">
        <v>-5.4671640000000001E-2</v>
      </c>
      <c r="P5742">
        <v>0.99371549999999997</v>
      </c>
      <c r="Q5742">
        <v>-2.4065590000000001E-2</v>
      </c>
      <c r="R5742">
        <v>0.10931920000000001</v>
      </c>
      <c r="S5742">
        <v>3.0258940000000001</v>
      </c>
      <c r="T5742">
        <v>-0.1890783</v>
      </c>
      <c r="U5742">
        <v>-9.9212649999999999E-2</v>
      </c>
      <c r="V5742">
        <v>-0.1635472</v>
      </c>
      <c r="W5742">
        <v>-1.3922260000000001E-2</v>
      </c>
      <c r="X5742">
        <v>0.98643729999999996</v>
      </c>
      <c r="Y5742">
        <v>-2.179832E-2</v>
      </c>
      <c r="Z5742">
        <v>3.671222E-3</v>
      </c>
      <c r="AA5742">
        <v>0.99975559999999997</v>
      </c>
      <c r="AB5742">
        <v>35</v>
      </c>
      <c r="AC5742">
        <v>17.540099999999899</v>
      </c>
      <c r="AD5742">
        <v>-1.1073227488399</v>
      </c>
      <c r="AE5742">
        <v>-0.57043999999999695</v>
      </c>
      <c r="AF5742">
        <v>-0.38785892825013601</v>
      </c>
      <c r="AG5742">
        <v>-1.1073227488399</v>
      </c>
      <c r="AH5742">
        <v>17.475477554112199</v>
      </c>
      <c r="AI5742">
        <v>93.624773879144797</v>
      </c>
      <c r="AJ5742">
        <v>91.2714406070953</v>
      </c>
      <c r="AK5742">
        <v>17.514819838142799</v>
      </c>
      <c r="AL5742">
        <v>90.797712485668995</v>
      </c>
      <c r="AM5742">
        <v>99.413769132733705</v>
      </c>
      <c r="AN5742">
        <v>1.00000003139131</v>
      </c>
    </row>
    <row r="5743" spans="1:40" x14ac:dyDescent="0.25">
      <c r="A5743" t="str">
        <f>"20190305135940832"</f>
        <v>20190305135940832</v>
      </c>
      <c r="B5743" t="str">
        <f>"1551765580824392"</f>
        <v>1551765580824392</v>
      </c>
      <c r="C5743" t="s">
        <v>40</v>
      </c>
      <c r="D5743">
        <v>4.4903519999999997</v>
      </c>
      <c r="E5743">
        <v>0.55274969999999901</v>
      </c>
      <c r="F5743" t="s">
        <v>94</v>
      </c>
      <c r="G5743">
        <v>-233.2122</v>
      </c>
      <c r="H5743" s="1">
        <v>-7.4407579999999999E-7</v>
      </c>
      <c r="I5743">
        <v>-61.807690000000001</v>
      </c>
      <c r="J5743">
        <v>-250.5934</v>
      </c>
      <c r="K5743">
        <v>1.107372</v>
      </c>
      <c r="L5743">
        <v>-61.222230000000003</v>
      </c>
      <c r="M5743">
        <v>0.99840530000000005</v>
      </c>
      <c r="N5743">
        <v>-9.8409940000000005E-3</v>
      </c>
      <c r="O5743">
        <v>-5.5590670000000002E-2</v>
      </c>
      <c r="P5743">
        <v>0.99388359999999998</v>
      </c>
      <c r="Q5743">
        <v>-2.3594960000000002E-2</v>
      </c>
      <c r="R5743">
        <v>0.1078837</v>
      </c>
      <c r="S5743">
        <v>3.025665</v>
      </c>
      <c r="T5743">
        <v>-0.19071640000000001</v>
      </c>
      <c r="U5743">
        <v>-0.1027527</v>
      </c>
      <c r="V5743">
        <v>-0.16302710000000001</v>
      </c>
      <c r="W5743">
        <v>-1.320148E-2</v>
      </c>
      <c r="X5743">
        <v>0.98653329999999995</v>
      </c>
      <c r="Y5743">
        <v>-2.1545310000000002E-2</v>
      </c>
      <c r="Z5743">
        <v>3.7349050000000002E-3</v>
      </c>
      <c r="AA5743">
        <v>0.99976089999999995</v>
      </c>
      <c r="AB5743">
        <v>35</v>
      </c>
      <c r="AC5743">
        <v>17.3812</v>
      </c>
      <c r="AD5743">
        <v>-1.1073727440758001</v>
      </c>
      <c r="AE5743">
        <v>-0.58545999999999698</v>
      </c>
      <c r="AF5743">
        <v>-0.380183164789135</v>
      </c>
      <c r="AG5743">
        <v>-1.1073727440758001</v>
      </c>
      <c r="AH5743">
        <v>17.3166574236953</v>
      </c>
      <c r="AI5743">
        <v>93.658112724910694</v>
      </c>
      <c r="AJ5743">
        <v>91.2577133908391</v>
      </c>
      <c r="AK5743">
        <v>17.3561930722936</v>
      </c>
      <c r="AL5743">
        <v>90.756411034393594</v>
      </c>
      <c r="AM5743">
        <v>99.383468609392693</v>
      </c>
      <c r="AN5743">
        <v>1.00000003320874</v>
      </c>
    </row>
    <row r="5744" spans="1:40" x14ac:dyDescent="0.25">
      <c r="A5744" t="str">
        <f>"20190305135940842"</f>
        <v>20190305135940842</v>
      </c>
      <c r="B5744" t="str">
        <f>"1551765580834152"</f>
        <v>1551765580834152</v>
      </c>
      <c r="C5744" t="s">
        <v>40</v>
      </c>
      <c r="D5744">
        <v>4.508508</v>
      </c>
      <c r="E5744">
        <v>0.55268989999999996</v>
      </c>
      <c r="F5744" t="s">
        <v>94</v>
      </c>
      <c r="G5744">
        <v>-233.01830000000001</v>
      </c>
      <c r="H5744" s="1">
        <v>-6.702663E-7</v>
      </c>
      <c r="I5744">
        <v>-61.842979999999997</v>
      </c>
      <c r="J5744">
        <v>-250.42259999999999</v>
      </c>
      <c r="K5744">
        <v>1.107416</v>
      </c>
      <c r="L5744">
        <v>-61.232509999999998</v>
      </c>
      <c r="M5744">
        <v>0.99835600000000002</v>
      </c>
      <c r="N5744">
        <v>-1.007364E-2</v>
      </c>
      <c r="O5744">
        <v>-5.6425870000000003E-2</v>
      </c>
      <c r="P5744">
        <v>0.9940658</v>
      </c>
      <c r="Q5744">
        <v>-2.3115340000000002E-2</v>
      </c>
      <c r="R5744">
        <v>0.1062973</v>
      </c>
      <c r="S5744">
        <v>3.025528</v>
      </c>
      <c r="T5744">
        <v>-0.1906321</v>
      </c>
      <c r="U5744">
        <v>-0.1068726</v>
      </c>
      <c r="V5744">
        <v>-0.16227539999999999</v>
      </c>
      <c r="W5744">
        <v>-1.249952E-2</v>
      </c>
      <c r="X5744">
        <v>0.9866663</v>
      </c>
      <c r="Y5744">
        <v>-2.1021189999999999E-2</v>
      </c>
      <c r="Z5744">
        <v>3.7476279999999998E-3</v>
      </c>
      <c r="AA5744">
        <v>0.99977199999999999</v>
      </c>
      <c r="AB5744">
        <v>35</v>
      </c>
      <c r="AC5744">
        <v>17.4042999999999</v>
      </c>
      <c r="AD5744">
        <v>-1.1074166702663</v>
      </c>
      <c r="AE5744">
        <v>-0.61047000000000595</v>
      </c>
      <c r="AF5744">
        <v>-0.371104654598368</v>
      </c>
      <c r="AG5744">
        <v>-1.1074166702663</v>
      </c>
      <c r="AH5744">
        <v>17.340895806702498</v>
      </c>
      <c r="AI5744">
        <v>93.653201684344907</v>
      </c>
      <c r="AJ5744">
        <v>91.2259738829068</v>
      </c>
      <c r="AK5744">
        <v>17.380182902523199</v>
      </c>
      <c r="AL5744">
        <v>90.716188416781407</v>
      </c>
      <c r="AM5744">
        <v>99.339729818203296</v>
      </c>
      <c r="AN5744">
        <v>0.99999996550053905</v>
      </c>
    </row>
    <row r="5745" spans="1:40" x14ac:dyDescent="0.25">
      <c r="A5745" t="str">
        <f>"20190305135940853"</f>
        <v>20190305135940853</v>
      </c>
      <c r="B5745" t="str">
        <f>"1551765580844890"</f>
        <v>1551765580844890</v>
      </c>
      <c r="C5745" t="s">
        <v>40</v>
      </c>
      <c r="D5745">
        <v>4.5190159999999997</v>
      </c>
      <c r="E5745">
        <v>0.55261059999999995</v>
      </c>
      <c r="F5745" t="s">
        <v>94</v>
      </c>
      <c r="G5745">
        <v>-232.85589999999999</v>
      </c>
      <c r="H5745" s="1">
        <v>-6.1017730000000003E-7</v>
      </c>
      <c r="I5745">
        <v>-61.8788699999999</v>
      </c>
      <c r="J5745">
        <v>-250.2568</v>
      </c>
      <c r="K5745">
        <v>1.1074569999999999</v>
      </c>
      <c r="L5745">
        <v>-61.242609999999999</v>
      </c>
      <c r="M5745">
        <v>0.99830810000000003</v>
      </c>
      <c r="N5745">
        <v>-1.029177E-2</v>
      </c>
      <c r="O5745">
        <v>-5.7227840000000002E-2</v>
      </c>
      <c r="P5745">
        <v>0.99420540000000002</v>
      </c>
      <c r="Q5745">
        <v>-2.266787E-2</v>
      </c>
      <c r="R5745">
        <v>0.1050808</v>
      </c>
      <c r="S5745">
        <v>3.0253749999999999</v>
      </c>
      <c r="T5745">
        <v>-0.1907219</v>
      </c>
      <c r="U5745">
        <v>-0.1113281</v>
      </c>
      <c r="V5745">
        <v>-0.16185840000000001</v>
      </c>
      <c r="W5745">
        <v>-1.1843070000000001E-2</v>
      </c>
      <c r="X5745">
        <v>0.98674289999999998</v>
      </c>
      <c r="Y5745">
        <v>-2.0352990000000001E-2</v>
      </c>
      <c r="Z5745">
        <v>3.757341E-3</v>
      </c>
      <c r="AA5745">
        <v>0.99978579999999995</v>
      </c>
      <c r="AB5745">
        <v>35</v>
      </c>
      <c r="AC5745">
        <v>17.4009</v>
      </c>
      <c r="AD5745">
        <v>-1.1074576101772999</v>
      </c>
      <c r="AE5745">
        <v>-0.63625999999999205</v>
      </c>
      <c r="AF5745">
        <v>-0.35919851029689798</v>
      </c>
      <c r="AG5745">
        <v>-1.1074576101772999</v>
      </c>
      <c r="AH5745">
        <v>17.3386563197264</v>
      </c>
      <c r="AI5745">
        <v>93.653859423403702</v>
      </c>
      <c r="AJ5745">
        <v>91.186805642834003</v>
      </c>
      <c r="AK5745">
        <v>17.3777009095487</v>
      </c>
      <c r="AL5745">
        <v>90.678573807452096</v>
      </c>
      <c r="AM5745">
        <v>99.315440244912807</v>
      </c>
      <c r="AN5745">
        <v>0.99999997532899698</v>
      </c>
    </row>
    <row r="5746" spans="1:40" x14ac:dyDescent="0.25">
      <c r="A5746" t="str">
        <f>"20190305135940864"</f>
        <v>20190305135940864</v>
      </c>
      <c r="B5746" t="str">
        <f>"1551765580854649"</f>
        <v>1551765580854649</v>
      </c>
      <c r="C5746" t="s">
        <v>40</v>
      </c>
      <c r="D5746">
        <v>4.4755960000000004</v>
      </c>
      <c r="E5746">
        <v>0.552490699999999</v>
      </c>
      <c r="F5746" t="s">
        <v>94</v>
      </c>
      <c r="G5746">
        <v>-232.7517</v>
      </c>
      <c r="H5746" s="1">
        <v>-5.7234130000000001E-7</v>
      </c>
      <c r="I5746">
        <v>-61.90475</v>
      </c>
      <c r="J5746">
        <v>-250.09309999999999</v>
      </c>
      <c r="K5746">
        <v>1.107494</v>
      </c>
      <c r="L5746">
        <v>-61.252749999999999</v>
      </c>
      <c r="M5746">
        <v>0.99826090000000001</v>
      </c>
      <c r="N5746">
        <v>-1.0498499999999999E-2</v>
      </c>
      <c r="O5746">
        <v>-5.8010060000000002E-2</v>
      </c>
      <c r="P5746">
        <v>0.99436049999999998</v>
      </c>
      <c r="Q5746">
        <v>-2.2533859999999999E-2</v>
      </c>
      <c r="R5746">
        <v>0.103631399999999</v>
      </c>
      <c r="S5746">
        <v>3.0252379999999999</v>
      </c>
      <c r="T5746">
        <v>-0.19139110000000001</v>
      </c>
      <c r="U5746">
        <v>-0.114440899999999</v>
      </c>
      <c r="V5746">
        <v>-0.16119129999999901</v>
      </c>
      <c r="W5746">
        <v>-1.151227E-2</v>
      </c>
      <c r="X5746">
        <v>0.98685599999999996</v>
      </c>
      <c r="Y5746">
        <v>-2.0106559999999999E-2</v>
      </c>
      <c r="Z5746">
        <v>3.7946049999999999E-3</v>
      </c>
      <c r="AA5746">
        <v>0.99979070000000003</v>
      </c>
      <c r="AB5746">
        <v>35</v>
      </c>
      <c r="AC5746">
        <v>17.341399999999901</v>
      </c>
      <c r="AD5746">
        <v>-1.1074945723413001</v>
      </c>
      <c r="AE5746">
        <v>-0.65200000000000102</v>
      </c>
      <c r="AF5746">
        <v>-0.353688551457295</v>
      </c>
      <c r="AG5746">
        <v>-1.1074945723413001</v>
      </c>
      <c r="AH5746">
        <v>17.279640610717099</v>
      </c>
      <c r="AI5746">
        <v>93.666445292851904</v>
      </c>
      <c r="AJ5746">
        <v>91.172595679078498</v>
      </c>
      <c r="AK5746">
        <v>17.318707210838301</v>
      </c>
      <c r="AL5746">
        <v>90.659619076638904</v>
      </c>
      <c r="AM5746">
        <v>99.276670783125397</v>
      </c>
      <c r="AN5746">
        <v>0.99999996614611997</v>
      </c>
    </row>
    <row r="5747" spans="1:40" x14ac:dyDescent="0.25">
      <c r="A5747" t="str">
        <f>"20190305135940875"</f>
        <v>20190305135940875</v>
      </c>
      <c r="B5747" t="str">
        <f>"1551765580864409"</f>
        <v>1551765580864409</v>
      </c>
      <c r="C5747" t="s">
        <v>40</v>
      </c>
      <c r="D5747">
        <v>4.5032750000000004</v>
      </c>
      <c r="E5747">
        <v>0.55239649999999996</v>
      </c>
      <c r="F5747" t="s">
        <v>94</v>
      </c>
      <c r="G5747">
        <v>-232.7182</v>
      </c>
      <c r="H5747" s="1">
        <v>-5.6478359999999999E-7</v>
      </c>
      <c r="I5747">
        <v>-61.930349999999997</v>
      </c>
      <c r="J5747">
        <v>-249.91839999999999</v>
      </c>
      <c r="K5747">
        <v>1.107531</v>
      </c>
      <c r="L5747">
        <v>-61.263669999999998</v>
      </c>
      <c r="M5747">
        <v>0.99821020000000005</v>
      </c>
      <c r="N5747">
        <v>-1.0712330000000001E-2</v>
      </c>
      <c r="O5747">
        <v>-5.8836649999999997E-2</v>
      </c>
      <c r="P5747">
        <v>0.99447949999999996</v>
      </c>
      <c r="Q5747">
        <v>-2.2967930000000001E-2</v>
      </c>
      <c r="R5747">
        <v>0.10238559999999999</v>
      </c>
      <c r="S5747">
        <v>3.0249480000000002</v>
      </c>
      <c r="T5747">
        <v>-0.1928135</v>
      </c>
      <c r="U5747">
        <v>-0.117981</v>
      </c>
      <c r="V5747">
        <v>-0.16077249999999901</v>
      </c>
      <c r="W5747">
        <v>-1.174269E-2</v>
      </c>
      <c r="X5747">
        <v>0.98692159999999995</v>
      </c>
      <c r="Y5747">
        <v>-1.9760730000000001E-2</v>
      </c>
      <c r="Z5747">
        <v>3.847334E-3</v>
      </c>
      <c r="AA5747">
        <v>0.9997973</v>
      </c>
      <c r="AB5747">
        <v>35</v>
      </c>
      <c r="AC5747">
        <v>17.200199999999899</v>
      </c>
      <c r="AD5747">
        <v>-1.1075315647835999</v>
      </c>
      <c r="AE5747">
        <v>-0.66667999999999905</v>
      </c>
      <c r="AF5747">
        <v>-0.34510651836712702</v>
      </c>
      <c r="AG5747">
        <v>-1.1075315647835999</v>
      </c>
      <c r="AH5747">
        <v>17.1386738754302</v>
      </c>
      <c r="AI5747">
        <v>93.696666771482995</v>
      </c>
      <c r="AJ5747">
        <v>91.153559216305197</v>
      </c>
      <c r="AK5747">
        <v>17.177888894866101</v>
      </c>
      <c r="AL5747">
        <v>90.672822063245604</v>
      </c>
      <c r="AM5747">
        <v>99.252381566471897</v>
      </c>
      <c r="AN5747">
        <v>0.99999996603562202</v>
      </c>
    </row>
    <row r="5748" spans="1:40" x14ac:dyDescent="0.25">
      <c r="A5748" t="str">
        <f>"20190305135940886"</f>
        <v>20190305135940886</v>
      </c>
      <c r="B5748" t="str">
        <f>"1551765580875145"</f>
        <v>1551765580875145</v>
      </c>
      <c r="C5748" t="s">
        <v>40</v>
      </c>
      <c r="D5748">
        <v>4.4313940000000001</v>
      </c>
      <c r="E5748">
        <v>0.55235829999999997</v>
      </c>
      <c r="F5748" t="s">
        <v>94</v>
      </c>
      <c r="G5748">
        <v>-232.82220000000001</v>
      </c>
      <c r="H5748" s="1">
        <v>-6.1422739999999995E-7</v>
      </c>
      <c r="I5748">
        <v>-61.948419999999999</v>
      </c>
      <c r="J5748">
        <v>-249.7449</v>
      </c>
      <c r="K5748">
        <v>1.107564</v>
      </c>
      <c r="L5748">
        <v>-61.27469</v>
      </c>
      <c r="M5748">
        <v>0.99816009999999999</v>
      </c>
      <c r="N5748">
        <v>-1.0911219999999999E-2</v>
      </c>
      <c r="O5748">
        <v>-5.9643090000000003E-2</v>
      </c>
      <c r="P5748">
        <v>0.99459489999999995</v>
      </c>
      <c r="Q5748">
        <v>-2.3101409999999999E-2</v>
      </c>
      <c r="R5748">
        <v>0.1012301</v>
      </c>
      <c r="S5748">
        <v>3.024597</v>
      </c>
      <c r="T5748">
        <v>-0.19594110000000001</v>
      </c>
      <c r="U5748">
        <v>-0.12115480000000001</v>
      </c>
      <c r="V5748">
        <v>-0.1604225</v>
      </c>
      <c r="W5748">
        <v>-1.1687919999999999E-2</v>
      </c>
      <c r="X5748">
        <v>0.98697919999999995</v>
      </c>
      <c r="Y5748">
        <v>-1.9511859999999999E-2</v>
      </c>
      <c r="Z5748">
        <v>3.9426409999999898E-3</v>
      </c>
      <c r="AA5748">
        <v>0.99980190000000002</v>
      </c>
      <c r="AB5748">
        <v>35</v>
      </c>
      <c r="AC5748">
        <v>16.922699999999899</v>
      </c>
      <c r="AD5748">
        <v>-1.1075646142274</v>
      </c>
      <c r="AE5748">
        <v>-0.67372999999999805</v>
      </c>
      <c r="AF5748">
        <v>-0.335417291389974</v>
      </c>
      <c r="AG5748">
        <v>-1.1075646142274</v>
      </c>
      <c r="AH5748">
        <v>16.860647478103601</v>
      </c>
      <c r="AI5748">
        <v>93.757580340686701</v>
      </c>
      <c r="AJ5748">
        <v>91.139663267181504</v>
      </c>
      <c r="AK5748">
        <v>16.900314716446299</v>
      </c>
      <c r="AL5748">
        <v>90.669683759550594</v>
      </c>
      <c r="AM5748">
        <v>99.232056932904001</v>
      </c>
      <c r="AN5748">
        <v>0.99999996360640697</v>
      </c>
    </row>
    <row r="5749" spans="1:40" x14ac:dyDescent="0.25">
      <c r="A5749" t="str">
        <f>"20190305135940897"</f>
        <v>20190305135940897</v>
      </c>
      <c r="B5749" t="str">
        <f>"1551765580894665"</f>
        <v>1551765580894665</v>
      </c>
      <c r="C5749" t="s">
        <v>40</v>
      </c>
      <c r="D5749">
        <v>4.4721159999999998</v>
      </c>
      <c r="E5749">
        <v>0.5521469</v>
      </c>
      <c r="F5749" t="s">
        <v>94</v>
      </c>
      <c r="G5749">
        <v>-232.70679999999999</v>
      </c>
      <c r="H5749" s="1">
        <v>-5.7188719999999897E-7</v>
      </c>
      <c r="I5749">
        <v>-61.975380000000001</v>
      </c>
      <c r="J5749">
        <v>-249.5675</v>
      </c>
      <c r="K5749">
        <v>1.1075980000000001</v>
      </c>
      <c r="L5749">
        <v>-61.28604</v>
      </c>
      <c r="M5749">
        <v>0.99810860000000001</v>
      </c>
      <c r="N5749">
        <v>-1.111035E-2</v>
      </c>
      <c r="O5749">
        <v>-6.0463570000000001E-2</v>
      </c>
      <c r="P5749">
        <v>0.99467879999999997</v>
      </c>
      <c r="Q5749">
        <v>-2.357975E-2</v>
      </c>
      <c r="R5749">
        <v>0.1002909</v>
      </c>
      <c r="S5749">
        <v>3.0243989999999998</v>
      </c>
      <c r="T5749">
        <v>-0.19660140000000001</v>
      </c>
      <c r="U5749">
        <v>-0.1243896</v>
      </c>
      <c r="V5749">
        <v>-0.160302</v>
      </c>
      <c r="W5749">
        <v>-1.197778E-2</v>
      </c>
      <c r="X5749">
        <v>0.98699530000000002</v>
      </c>
      <c r="Y5749">
        <v>-1.9262540000000002E-2</v>
      </c>
      <c r="Z5749">
        <v>3.9825360000000001E-3</v>
      </c>
      <c r="AA5749">
        <v>0.99980650000000004</v>
      </c>
      <c r="AB5749">
        <v>35</v>
      </c>
      <c r="AC5749">
        <v>16.860700000000001</v>
      </c>
      <c r="AD5749">
        <v>-1.1075985718871999</v>
      </c>
      <c r="AE5749">
        <v>-0.68934000000000095</v>
      </c>
      <c r="AF5749">
        <v>-0.33002060971804897</v>
      </c>
      <c r="AG5749">
        <v>-1.1075985718871999</v>
      </c>
      <c r="AH5749">
        <v>16.799157598975601</v>
      </c>
      <c r="AI5749">
        <v>93.771428330882003</v>
      </c>
      <c r="AJ5749">
        <v>91.125434776079402</v>
      </c>
      <c r="AK5749">
        <v>16.838865289398399</v>
      </c>
      <c r="AL5749">
        <v>90.686292679919205</v>
      </c>
      <c r="AM5749">
        <v>99.225093729593794</v>
      </c>
      <c r="AN5749">
        <v>0.99999996031990801</v>
      </c>
    </row>
    <row r="5750" spans="1:40" x14ac:dyDescent="0.25">
      <c r="A5750" t="str">
        <f>"20190305135940910"</f>
        <v>20190305135940910</v>
      </c>
      <c r="B5750" t="str">
        <f>"1551765580904424"</f>
        <v>1551765580904424</v>
      </c>
      <c r="C5750" t="s">
        <v>40</v>
      </c>
      <c r="D5750">
        <v>4.498507</v>
      </c>
      <c r="E5750">
        <v>0.55213159999999994</v>
      </c>
      <c r="F5750" t="s">
        <v>94</v>
      </c>
      <c r="G5750">
        <v>-232.93450000000001</v>
      </c>
      <c r="H5750" s="1">
        <v>-6.7018879999999998E-7</v>
      </c>
      <c r="I5750">
        <v>-61.977719999999998</v>
      </c>
      <c r="J5750">
        <v>-249.38929999999999</v>
      </c>
      <c r="K5750">
        <v>1.1076330000000001</v>
      </c>
      <c r="L5750">
        <v>-61.297669999999997</v>
      </c>
      <c r="M5750">
        <v>0.99805750000000004</v>
      </c>
      <c r="N5750">
        <v>-1.129204E-2</v>
      </c>
      <c r="O5750">
        <v>-6.126765E-2</v>
      </c>
      <c r="P5750">
        <v>0.99475910000000001</v>
      </c>
      <c r="Q5750">
        <v>-2.3713749999999999E-2</v>
      </c>
      <c r="R5750">
        <v>9.9458920000000006E-2</v>
      </c>
      <c r="S5750">
        <v>3.023987</v>
      </c>
      <c r="T5750">
        <v>-0.20136899999999999</v>
      </c>
      <c r="U5750">
        <v>-0.12576289999999901</v>
      </c>
      <c r="V5750">
        <v>-0.16027049999999901</v>
      </c>
      <c r="W5750">
        <v>-1.194168E-2</v>
      </c>
      <c r="X5750">
        <v>0.98700089999999996</v>
      </c>
      <c r="Y5750">
        <v>-1.9600309999999999E-2</v>
      </c>
      <c r="Z5750">
        <v>4.1413520000000001E-3</v>
      </c>
      <c r="AA5750">
        <v>0.99979929999999995</v>
      </c>
      <c r="AB5750">
        <v>35</v>
      </c>
      <c r="AC5750">
        <v>16.454799999999899</v>
      </c>
      <c r="AD5750">
        <v>-1.1076336701888001</v>
      </c>
      <c r="AE5750">
        <v>-0.68005000000000104</v>
      </c>
      <c r="AF5750">
        <v>-0.32795545017026501</v>
      </c>
      <c r="AG5750">
        <v>-1.1076336701888001</v>
      </c>
      <c r="AH5750">
        <v>16.3914062969287</v>
      </c>
      <c r="AI5750">
        <v>93.8650595740082</v>
      </c>
      <c r="AJ5750">
        <v>91.146207719044398</v>
      </c>
      <c r="AK5750">
        <v>16.4320603551601</v>
      </c>
      <c r="AL5750">
        <v>90.684224122487905</v>
      </c>
      <c r="AM5750">
        <v>99.223260687475701</v>
      </c>
      <c r="AN5750">
        <v>1.0000000067461401</v>
      </c>
    </row>
    <row r="5751" spans="1:40" x14ac:dyDescent="0.25">
      <c r="A5751" t="str">
        <f>"20190305135940921"</f>
        <v>20190305135940921</v>
      </c>
      <c r="B5751" t="str">
        <f>"1551765580914185"</f>
        <v>1551765580914185</v>
      </c>
      <c r="C5751" t="s">
        <v>40</v>
      </c>
      <c r="D5751">
        <v>4.4625159999999999</v>
      </c>
      <c r="E5751">
        <v>0.55198440000000004</v>
      </c>
      <c r="F5751" t="s">
        <v>94</v>
      </c>
      <c r="G5751">
        <v>-232.61150000000001</v>
      </c>
      <c r="H5751" s="1">
        <v>-5.3960419999999902E-7</v>
      </c>
      <c r="I5751">
        <v>-62.007759999999998</v>
      </c>
      <c r="J5751">
        <v>-249.21260000000001</v>
      </c>
      <c r="K5751">
        <v>1.1076699999999999</v>
      </c>
      <c r="L5751">
        <v>-61.309269999999998</v>
      </c>
      <c r="M5751">
        <v>0.99800679999999997</v>
      </c>
      <c r="N5751">
        <v>-1.1467689999999999E-2</v>
      </c>
      <c r="O5751">
        <v>-6.2059290000000003E-2</v>
      </c>
      <c r="P5751">
        <v>0.99482950000000003</v>
      </c>
      <c r="Q5751">
        <v>-2.3934589999999999E-2</v>
      </c>
      <c r="R5751">
        <v>9.8700780000000002E-2</v>
      </c>
      <c r="S5751">
        <v>3.0238339999999999</v>
      </c>
      <c r="T5751">
        <v>-0.19962740000000001</v>
      </c>
      <c r="U5751">
        <v>-0.12799070000000001</v>
      </c>
      <c r="V5751">
        <v>-0.16030050000000001</v>
      </c>
      <c r="W5751">
        <v>-1.19985E-2</v>
      </c>
      <c r="X5751">
        <v>0.98699530000000002</v>
      </c>
      <c r="Y5751">
        <v>-1.965795E-2</v>
      </c>
      <c r="Z5751">
        <v>4.1369199999999997E-3</v>
      </c>
      <c r="AA5751">
        <v>0.99979819999999997</v>
      </c>
      <c r="AB5751">
        <v>35</v>
      </c>
      <c r="AC5751">
        <v>16.601099999999999</v>
      </c>
      <c r="AD5751">
        <v>-1.1076705396041999</v>
      </c>
      <c r="AE5751">
        <v>-0.69848999999999895</v>
      </c>
      <c r="AF5751">
        <v>-0.331702441644466</v>
      </c>
      <c r="AG5751">
        <v>-1.1076705396041999</v>
      </c>
      <c r="AH5751">
        <v>16.538947252607599</v>
      </c>
      <c r="AI5751">
        <v>93.830806648364401</v>
      </c>
      <c r="AJ5751">
        <v>91.148960819322795</v>
      </c>
      <c r="AK5751">
        <v>16.579316534725901</v>
      </c>
      <c r="AL5751">
        <v>90.687479928373804</v>
      </c>
      <c r="AM5751">
        <v>99.225008891397493</v>
      </c>
      <c r="AN5751">
        <v>0.99999996826229398</v>
      </c>
    </row>
    <row r="5752" spans="1:40" x14ac:dyDescent="0.25">
      <c r="A5752" t="str">
        <f>"20190305135940931"</f>
        <v>20190305135940931</v>
      </c>
      <c r="B5752" t="str">
        <f>"1551765580924920"</f>
        <v>1551765580924920</v>
      </c>
      <c r="C5752" t="s">
        <v>40</v>
      </c>
      <c r="D5752">
        <v>4.4636899999999997</v>
      </c>
      <c r="E5752">
        <v>0.55182529999999996</v>
      </c>
      <c r="F5752" t="s">
        <v>94</v>
      </c>
      <c r="G5752">
        <v>-232.61089999999999</v>
      </c>
      <c r="H5752" s="1">
        <v>-5.4215709999999999E-7</v>
      </c>
      <c r="I5752">
        <v>-62.018340000000002</v>
      </c>
      <c r="J5752">
        <v>-249.03380000000001</v>
      </c>
      <c r="K5752">
        <v>1.10771</v>
      </c>
      <c r="L5752">
        <v>-61.32114</v>
      </c>
      <c r="M5752">
        <v>0.9979557</v>
      </c>
      <c r="N5752">
        <v>-1.1631819999999999E-2</v>
      </c>
      <c r="O5752">
        <v>-6.2843399999999994E-2</v>
      </c>
      <c r="P5752">
        <v>0.99489369999999999</v>
      </c>
      <c r="Q5752">
        <v>-2.348099E-2</v>
      </c>
      <c r="R5752">
        <v>9.8160739999999996E-2</v>
      </c>
      <c r="S5752">
        <v>3.0235439999999998</v>
      </c>
      <c r="T5752">
        <v>-0.2017312</v>
      </c>
      <c r="U5752">
        <v>-0.1291504</v>
      </c>
      <c r="V5752">
        <v>-0.16053789999999901</v>
      </c>
      <c r="W5752">
        <v>-1.1392879999999999E-2</v>
      </c>
      <c r="X5752">
        <v>0.98696390000000001</v>
      </c>
      <c r="Y5752">
        <v>-2.0051670000000001E-2</v>
      </c>
      <c r="Z5752">
        <v>4.2369790000000001E-3</v>
      </c>
      <c r="AA5752">
        <v>0.99978999999999996</v>
      </c>
      <c r="AB5752">
        <v>35</v>
      </c>
      <c r="AC5752">
        <v>16.422899999999998</v>
      </c>
      <c r="AD5752">
        <v>-1.1077105421571001</v>
      </c>
      <c r="AE5752">
        <v>-0.69720000000000204</v>
      </c>
      <c r="AF5752">
        <v>-0.33479849582132598</v>
      </c>
      <c r="AG5752">
        <v>-1.1077105421571001</v>
      </c>
      <c r="AH5752">
        <v>16.359957602522101</v>
      </c>
      <c r="AI5752">
        <v>93.872699049886293</v>
      </c>
      <c r="AJ5752">
        <v>91.172366339735305</v>
      </c>
      <c r="AK5752">
        <v>16.4008330713513</v>
      </c>
      <c r="AL5752">
        <v>90.652778077238196</v>
      </c>
      <c r="AM5752">
        <v>99.238724292163099</v>
      </c>
      <c r="AN5752">
        <v>0.99999997747715696</v>
      </c>
    </row>
    <row r="5753" spans="1:40" x14ac:dyDescent="0.25">
      <c r="A5753" t="str">
        <f>"20190305135940943"</f>
        <v>20190305135940943</v>
      </c>
      <c r="B5753" t="str">
        <f>"1551765580934681"</f>
        <v>1551765580934681</v>
      </c>
      <c r="C5753" t="s">
        <v>40</v>
      </c>
      <c r="D5753">
        <v>4.5162490000000002</v>
      </c>
      <c r="E5753">
        <v>0.5517299</v>
      </c>
      <c r="F5753" t="s">
        <v>94</v>
      </c>
      <c r="G5753">
        <v>-232.48349999999999</v>
      </c>
      <c r="H5753" s="1">
        <v>-4.9075359999999995E-7</v>
      </c>
      <c r="I5753">
        <v>-62.030560000000001</v>
      </c>
      <c r="J5753">
        <v>-248.8646</v>
      </c>
      <c r="K5753">
        <v>1.107748</v>
      </c>
      <c r="L5753">
        <v>-61.33249</v>
      </c>
      <c r="M5753">
        <v>0.99790760000000001</v>
      </c>
      <c r="N5753">
        <v>-1.1779639999999999E-2</v>
      </c>
      <c r="O5753">
        <v>-6.3575549999999995E-2</v>
      </c>
      <c r="P5753">
        <v>0.9949749</v>
      </c>
      <c r="Q5753">
        <v>-2.2824810000000001E-2</v>
      </c>
      <c r="R5753">
        <v>9.7488459999999999E-2</v>
      </c>
      <c r="S5753">
        <v>3.0234220000000001</v>
      </c>
      <c r="T5753">
        <v>-0.2023567</v>
      </c>
      <c r="U5753">
        <v>-0.12960819999999901</v>
      </c>
      <c r="V5753">
        <v>-0.16059200000000001</v>
      </c>
      <c r="W5753">
        <v>-1.060081E-2</v>
      </c>
      <c r="X5753">
        <v>0.98696390000000001</v>
      </c>
      <c r="Y5753">
        <v>-2.0629249999999998E-2</v>
      </c>
      <c r="Z5753">
        <v>4.3072600000000003E-3</v>
      </c>
      <c r="AA5753">
        <v>0.9997779</v>
      </c>
      <c r="AB5753">
        <v>35</v>
      </c>
      <c r="AC5753">
        <v>16.3811</v>
      </c>
      <c r="AD5753">
        <v>-1.1077484907535999</v>
      </c>
      <c r="AE5753">
        <v>-0.69806999999999397</v>
      </c>
      <c r="AF5753">
        <v>-0.34328499923912598</v>
      </c>
      <c r="AG5753">
        <v>-1.1077484907535999</v>
      </c>
      <c r="AH5753">
        <v>16.317854735915699</v>
      </c>
      <c r="AI5753">
        <v>93.882747366397496</v>
      </c>
      <c r="AJ5753">
        <v>91.205175625133293</v>
      </c>
      <c r="AK5753">
        <v>16.359013860618798</v>
      </c>
      <c r="AL5753">
        <v>90.607393077048698</v>
      </c>
      <c r="AM5753">
        <v>99.241783956512705</v>
      </c>
      <c r="AN5753">
        <v>0.999999953769932</v>
      </c>
    </row>
    <row r="5754" spans="1:40" x14ac:dyDescent="0.25">
      <c r="A5754" t="str">
        <f>"20190305135940954"</f>
        <v>20190305135940954</v>
      </c>
      <c r="B5754" t="str">
        <f>"1551765580944440"</f>
        <v>1551765580944440</v>
      </c>
      <c r="C5754" t="s">
        <v>40</v>
      </c>
      <c r="D5754">
        <v>4.5157119999999997</v>
      </c>
      <c r="E5754">
        <v>0.55154840000000005</v>
      </c>
      <c r="F5754" t="s">
        <v>94</v>
      </c>
      <c r="G5754">
        <v>-232.2877</v>
      </c>
      <c r="H5754" s="1">
        <v>-4.1199389999999998E-7</v>
      </c>
      <c r="I5754">
        <v>-62.050260000000002</v>
      </c>
      <c r="J5754">
        <v>-248.6902</v>
      </c>
      <c r="K5754">
        <v>1.107788</v>
      </c>
      <c r="L5754">
        <v>-61.344329999999999</v>
      </c>
      <c r="M5754">
        <v>0.99785820000000003</v>
      </c>
      <c r="N5754">
        <v>-1.192326E-2</v>
      </c>
      <c r="O5754">
        <v>-6.431837E-2</v>
      </c>
      <c r="P5754">
        <v>0.99505750000000004</v>
      </c>
      <c r="Q5754">
        <v>-2.236811E-2</v>
      </c>
      <c r="R5754">
        <v>9.6749829999999995E-2</v>
      </c>
      <c r="S5754">
        <v>3.023361</v>
      </c>
      <c r="T5754">
        <v>-0.20203479999999999</v>
      </c>
      <c r="U5754">
        <v>-0.13092039999999999</v>
      </c>
      <c r="V5754">
        <v>-0.1605925</v>
      </c>
      <c r="W5754">
        <v>-1.001312E-2</v>
      </c>
      <c r="X5754">
        <v>0.98697000000000001</v>
      </c>
      <c r="Y5754">
        <v>-2.093861E-2</v>
      </c>
      <c r="Z5754">
        <v>4.3445799999999998E-3</v>
      </c>
      <c r="AA5754">
        <v>0.99977130000000003</v>
      </c>
      <c r="AB5754">
        <v>35</v>
      </c>
      <c r="AC5754">
        <v>16.4025</v>
      </c>
      <c r="AD5754">
        <v>-1.1077884119938901</v>
      </c>
      <c r="AE5754">
        <v>-0.70592999999998796</v>
      </c>
      <c r="AF5754">
        <v>-0.34899997715491299</v>
      </c>
      <c r="AG5754">
        <v>-1.1077884119938901</v>
      </c>
      <c r="AH5754">
        <v>16.339547511448998</v>
      </c>
      <c r="AI5754">
        <v>93.877721226796098</v>
      </c>
      <c r="AJ5754">
        <v>91.223607060817102</v>
      </c>
      <c r="AK5754">
        <v>16.380775593014601</v>
      </c>
      <c r="AL5754">
        <v>90.573719104692103</v>
      </c>
      <c r="AM5754">
        <v>99.241756100395307</v>
      </c>
      <c r="AN5754">
        <v>0.99999999726419198</v>
      </c>
    </row>
    <row r="5755" spans="1:40" x14ac:dyDescent="0.25">
      <c r="A5755" t="str">
        <f>"20190305135940965"</f>
        <v>20190305135940965</v>
      </c>
      <c r="B5755" t="str">
        <f>"1551765580955178"</f>
        <v>1551765580955178</v>
      </c>
      <c r="C5755" t="s">
        <v>40</v>
      </c>
      <c r="D5755">
        <v>4.5000939999999998</v>
      </c>
      <c r="E5755">
        <v>0.55141379999999995</v>
      </c>
      <c r="F5755" t="s">
        <v>94</v>
      </c>
      <c r="G5755">
        <v>-232.1481</v>
      </c>
      <c r="H5755" s="1">
        <v>-3.5616819999999997E-7</v>
      </c>
      <c r="I5755">
        <v>-62.065480000000001</v>
      </c>
      <c r="J5755">
        <v>-248.51859999999999</v>
      </c>
      <c r="K5755">
        <v>1.1078220000000001</v>
      </c>
      <c r="L5755">
        <v>-61.356110000000001</v>
      </c>
      <c r="M5755">
        <v>0.99781030000000004</v>
      </c>
      <c r="N5755">
        <v>-1.2054260000000001E-2</v>
      </c>
      <c r="O5755">
        <v>-6.5033439999999998E-2</v>
      </c>
      <c r="P5755">
        <v>0.99512279999999997</v>
      </c>
      <c r="Q5755">
        <v>-2.1543699999999999E-2</v>
      </c>
      <c r="R5755">
        <v>9.6263520000000005E-2</v>
      </c>
      <c r="S5755">
        <v>3.0231629999999998</v>
      </c>
      <c r="T5755">
        <v>-0.202454</v>
      </c>
      <c r="U5755">
        <v>-0.13180539999999999</v>
      </c>
      <c r="V5755">
        <v>-0.16081419999999999</v>
      </c>
      <c r="W5755">
        <v>-9.0697759999999999E-3</v>
      </c>
      <c r="X5755">
        <v>0.98694300000000001</v>
      </c>
      <c r="Y5755">
        <v>-2.135768E-2</v>
      </c>
      <c r="Z5755">
        <v>4.4037579999999998E-3</v>
      </c>
      <c r="AA5755">
        <v>0.99976220000000005</v>
      </c>
      <c r="AB5755">
        <v>35</v>
      </c>
      <c r="AC5755">
        <v>16.3704999999999</v>
      </c>
      <c r="AD5755">
        <v>-1.1078223561681999</v>
      </c>
      <c r="AE5755">
        <v>-0.70937000000000605</v>
      </c>
      <c r="AF5755">
        <v>-0.35521550031802201</v>
      </c>
      <c r="AG5755">
        <v>-1.1078223561681999</v>
      </c>
      <c r="AH5755">
        <v>16.307436477094999</v>
      </c>
      <c r="AI5755">
        <v>93.885416841327995</v>
      </c>
      <c r="AJ5755">
        <v>91.247843647505505</v>
      </c>
      <c r="AK5755">
        <v>16.348881701174001</v>
      </c>
      <c r="AL5755">
        <v>90.5196670230129</v>
      </c>
      <c r="AM5755">
        <v>99.254542663195295</v>
      </c>
      <c r="AN5755">
        <v>0.99999997650366401</v>
      </c>
    </row>
    <row r="5756" spans="1:40" x14ac:dyDescent="0.25">
      <c r="A5756" t="str">
        <f>"20190305135940977"</f>
        <v>20190305135940977</v>
      </c>
      <c r="B5756" t="str">
        <f>"1551765580974696"</f>
        <v>1551765580974696</v>
      </c>
      <c r="C5756" t="s">
        <v>40</v>
      </c>
      <c r="D5756">
        <v>4.5123889999999998</v>
      </c>
      <c r="E5756">
        <v>0.55113710000000005</v>
      </c>
      <c r="F5756" t="s">
        <v>94</v>
      </c>
      <c r="G5756">
        <v>-231.89580000000001</v>
      </c>
      <c r="H5756" s="1">
        <v>-2.5246270000000003E-7</v>
      </c>
      <c r="I5756">
        <v>-62.082470000000001</v>
      </c>
      <c r="J5756">
        <v>-248.32579999999999</v>
      </c>
      <c r="K5756">
        <v>1.1078619999999999</v>
      </c>
      <c r="L5756">
        <v>-61.369419999999998</v>
      </c>
      <c r="M5756">
        <v>0.99775659999999999</v>
      </c>
      <c r="N5756">
        <v>-1.219583E-2</v>
      </c>
      <c r="O5756">
        <v>-6.5827789999999997E-2</v>
      </c>
      <c r="P5756">
        <v>0.99522109999999997</v>
      </c>
      <c r="Q5756">
        <v>-2.118811E-2</v>
      </c>
      <c r="R5756">
        <v>9.5321669999999997E-2</v>
      </c>
      <c r="S5756">
        <v>3.0231020000000002</v>
      </c>
      <c r="T5756">
        <v>-0.20147380000000001</v>
      </c>
      <c r="U5756">
        <v>-0.13211059999999999</v>
      </c>
      <c r="V5756">
        <v>-0.16066429999999901</v>
      </c>
      <c r="W5756">
        <v>-8.5869750000000002E-3</v>
      </c>
      <c r="X5756">
        <v>0.98697170000000001</v>
      </c>
      <c r="Y5756">
        <v>-2.2051169999999998E-2</v>
      </c>
      <c r="Z5756">
        <v>4.4420559999999998E-3</v>
      </c>
      <c r="AA5756">
        <v>0.99974700000000005</v>
      </c>
      <c r="AB5756">
        <v>35</v>
      </c>
      <c r="AC5756">
        <v>16.4299999999999</v>
      </c>
      <c r="AD5756">
        <v>-1.1078622524627</v>
      </c>
      <c r="AE5756">
        <v>-0.71304999999999497</v>
      </c>
      <c r="AF5756">
        <v>-0.36845561524058601</v>
      </c>
      <c r="AG5756">
        <v>-1.1078622524627</v>
      </c>
      <c r="AH5756">
        <v>16.3670239356499</v>
      </c>
      <c r="AI5756">
        <v>93.871390942488503</v>
      </c>
      <c r="AJ5756">
        <v>91.289628863587197</v>
      </c>
      <c r="AK5756">
        <v>16.408613311945899</v>
      </c>
      <c r="AL5756">
        <v>90.492003499869</v>
      </c>
      <c r="AM5756">
        <v>99.245801044050097</v>
      </c>
      <c r="AN5756">
        <v>0.99999994501751299</v>
      </c>
    </row>
    <row r="5757" spans="1:40" x14ac:dyDescent="0.25">
      <c r="A5757" t="str">
        <f>"20190305135940988"</f>
        <v>20190305135940988</v>
      </c>
      <c r="B5757" t="str">
        <f>"1551765580984458"</f>
        <v>1551765580984458</v>
      </c>
      <c r="C5757" t="s">
        <v>40</v>
      </c>
      <c r="D5757">
        <v>4.5057269999999896</v>
      </c>
      <c r="E5757">
        <v>0.55102039999999997</v>
      </c>
      <c r="F5757" t="s">
        <v>94</v>
      </c>
      <c r="G5757">
        <v>-231.8279</v>
      </c>
      <c r="H5757" s="1">
        <v>-2.2658000000000001E-7</v>
      </c>
      <c r="I5757">
        <v>-62.094720000000002</v>
      </c>
      <c r="J5757">
        <v>-248.1738</v>
      </c>
      <c r="K5757">
        <v>1.107893</v>
      </c>
      <c r="L5757">
        <v>-61.380070000000003</v>
      </c>
      <c r="M5757">
        <v>0.99771540000000003</v>
      </c>
      <c r="N5757">
        <v>-1.2295199999999999E-2</v>
      </c>
      <c r="O5757">
        <v>-6.64299E-2</v>
      </c>
      <c r="P5757">
        <v>0.99527140000000003</v>
      </c>
      <c r="Q5757">
        <v>-2.0458190000000001E-2</v>
      </c>
      <c r="R5757">
        <v>9.4955150000000002E-2</v>
      </c>
      <c r="S5757">
        <v>3.0228269999999999</v>
      </c>
      <c r="T5757">
        <v>-0.2029879</v>
      </c>
      <c r="U5757">
        <v>-0.1329041</v>
      </c>
      <c r="V5757">
        <v>-0.16089410000000001</v>
      </c>
      <c r="W5757">
        <v>-7.76859199999999E-3</v>
      </c>
      <c r="X5757">
        <v>0.98694110000000002</v>
      </c>
      <c r="Y5757">
        <v>-2.2384580000000001E-2</v>
      </c>
      <c r="Z5757">
        <v>4.5214640000000002E-3</v>
      </c>
      <c r="AA5757">
        <v>0.99973920000000005</v>
      </c>
      <c r="AB5757">
        <v>35</v>
      </c>
      <c r="AC5757">
        <v>16.3459</v>
      </c>
      <c r="AD5757">
        <v>-1.1078932265799999</v>
      </c>
      <c r="AE5757">
        <v>-0.71464999999999801</v>
      </c>
      <c r="AF5757">
        <v>-0.371165522540713</v>
      </c>
      <c r="AG5757">
        <v>-1.1078932265799999</v>
      </c>
      <c r="AH5757">
        <v>16.282608322574799</v>
      </c>
      <c r="AI5757">
        <v>93.891483880560003</v>
      </c>
      <c r="AJ5757">
        <v>91.305843339477093</v>
      </c>
      <c r="AK5757">
        <v>16.324476256009198</v>
      </c>
      <c r="AL5757">
        <v>90.445112012196006</v>
      </c>
      <c r="AM5757">
        <v>99.259078652023106</v>
      </c>
      <c r="AN5757">
        <v>0.99999999865284095</v>
      </c>
    </row>
    <row r="5758" spans="1:40" x14ac:dyDescent="0.25">
      <c r="A5758" t="str">
        <f>"20190305135940999"</f>
        <v>20190305135940999</v>
      </c>
      <c r="B5758" t="str">
        <f>"1551765580994220"</f>
        <v>1551765580994220</v>
      </c>
      <c r="C5758" t="s">
        <v>40</v>
      </c>
      <c r="D5758">
        <v>4.5767530000000001</v>
      </c>
      <c r="E5758">
        <v>0.55090950000000005</v>
      </c>
      <c r="F5758" t="s">
        <v>94</v>
      </c>
      <c r="G5758">
        <v>-231.59630000000001</v>
      </c>
      <c r="H5758" s="1">
        <v>-1.312384E-7</v>
      </c>
      <c r="I5758">
        <v>-62.109699999999997</v>
      </c>
      <c r="J5758">
        <v>-248.00569999999999</v>
      </c>
      <c r="K5758">
        <v>1.1079289999999999</v>
      </c>
      <c r="L5758">
        <v>-61.391849999999998</v>
      </c>
      <c r="M5758">
        <v>0.99766960000000005</v>
      </c>
      <c r="N5758">
        <v>-1.240425E-2</v>
      </c>
      <c r="O5758">
        <v>-6.7093529999999998E-2</v>
      </c>
      <c r="P5758">
        <v>0.99531959999999997</v>
      </c>
      <c r="Q5758">
        <v>-2.038562E-2</v>
      </c>
      <c r="R5758">
        <v>9.446396E-2</v>
      </c>
      <c r="S5758">
        <v>3.0227970000000002</v>
      </c>
      <c r="T5758">
        <v>-0.2020178</v>
      </c>
      <c r="U5758">
        <v>-0.1330566</v>
      </c>
      <c r="V5758">
        <v>-0.16106229999999999</v>
      </c>
      <c r="W5758">
        <v>-7.599349E-3</v>
      </c>
      <c r="X5758">
        <v>0.98691499999999999</v>
      </c>
      <c r="Y5758">
        <v>-2.2998250000000001E-2</v>
      </c>
      <c r="Z5758">
        <v>4.5509039999999997E-3</v>
      </c>
      <c r="AA5758">
        <v>0.99972519999999998</v>
      </c>
      <c r="AB5758">
        <v>35</v>
      </c>
      <c r="AC5758">
        <v>16.409399999999899</v>
      </c>
      <c r="AD5758">
        <v>-1.1079291312383901</v>
      </c>
      <c r="AE5758">
        <v>-0.71784999999999799</v>
      </c>
      <c r="AF5758">
        <v>-0.38307407335441701</v>
      </c>
      <c r="AG5758">
        <v>-1.1079291312383901</v>
      </c>
      <c r="AH5758">
        <v>16.3462109246009</v>
      </c>
      <c r="AI5758">
        <v>93.876456606278794</v>
      </c>
      <c r="AJ5758">
        <v>91.3424830388944</v>
      </c>
      <c r="AK5758">
        <v>16.388192831946601</v>
      </c>
      <c r="AL5758">
        <v>90.435414808765003</v>
      </c>
      <c r="AM5758">
        <v>99.268831131582203</v>
      </c>
      <c r="AN5758">
        <v>1.0000000159057501</v>
      </c>
    </row>
    <row r="5759" spans="1:40" x14ac:dyDescent="0.25">
      <c r="A5759" t="str">
        <f>"20190305135941010"</f>
        <v>20190305135941010</v>
      </c>
      <c r="B5759" t="str">
        <f>"1551765581004952"</f>
        <v>1551765581004952</v>
      </c>
      <c r="C5759" t="s">
        <v>40</v>
      </c>
      <c r="D5759">
        <v>4.5491780000000004</v>
      </c>
      <c r="E5759">
        <v>0.55090950000000005</v>
      </c>
      <c r="F5759" t="s">
        <v>94</v>
      </c>
      <c r="G5759">
        <v>-231.2971</v>
      </c>
      <c r="H5759" s="1">
        <v>-8.2064839999999996E-9</v>
      </c>
      <c r="I5759">
        <v>-62.129829999999998</v>
      </c>
      <c r="J5759">
        <v>-247.82480000000001</v>
      </c>
      <c r="K5759">
        <v>1.107969</v>
      </c>
      <c r="L5759">
        <v>-61.404719999999998</v>
      </c>
      <c r="M5759">
        <v>0.99762209999999996</v>
      </c>
      <c r="N5759">
        <v>-1.250889E-2</v>
      </c>
      <c r="O5759">
        <v>-6.7777920000000005E-2</v>
      </c>
      <c r="P5759">
        <v>0.99534469999999997</v>
      </c>
      <c r="Q5759">
        <v>-1.9973009999999999E-2</v>
      </c>
      <c r="R5759">
        <v>9.4287949999999995E-2</v>
      </c>
      <c r="S5759">
        <v>3.022659</v>
      </c>
      <c r="T5759">
        <v>-0.20042860000000001</v>
      </c>
      <c r="U5759">
        <v>-0.13351440000000001</v>
      </c>
      <c r="V5759">
        <v>-0.16156309999999999</v>
      </c>
      <c r="W5759">
        <v>-7.095456E-3</v>
      </c>
      <c r="X5759">
        <v>0.98683690000000002</v>
      </c>
      <c r="Y5759">
        <v>-2.3531730000000001E-2</v>
      </c>
      <c r="Z5759">
        <v>4.5617890000000001E-3</v>
      </c>
      <c r="AA5759">
        <v>0.99971270000000001</v>
      </c>
      <c r="AB5759">
        <v>35</v>
      </c>
      <c r="AC5759">
        <v>16.527699999999999</v>
      </c>
      <c r="AD5759">
        <v>-1.1079690082064799</v>
      </c>
      <c r="AE5759">
        <v>-0.72511000000000703</v>
      </c>
      <c r="AF5759">
        <v>-0.39508628709268601</v>
      </c>
      <c r="AG5759">
        <v>-1.1079690082064799</v>
      </c>
      <c r="AH5759">
        <v>16.4649867381432</v>
      </c>
      <c r="AI5759">
        <v>93.848663928674796</v>
      </c>
      <c r="AJ5759">
        <v>91.374579524865993</v>
      </c>
      <c r="AK5759">
        <v>16.506952377244701</v>
      </c>
      <c r="AL5759">
        <v>90.406543084085399</v>
      </c>
      <c r="AM5759">
        <v>99.297871691857296</v>
      </c>
      <c r="AN5759">
        <v>1.0000000239895299</v>
      </c>
    </row>
    <row r="5760" spans="1:40" x14ac:dyDescent="0.25">
      <c r="A5760" t="str">
        <f>"20190305135941021"</f>
        <v>20190305135941021</v>
      </c>
      <c r="B5760" t="str">
        <f>"1551765581014713"</f>
        <v>1551765581014713</v>
      </c>
      <c r="C5760" t="s">
        <v>40</v>
      </c>
      <c r="D5760">
        <v>4.5932810000000002</v>
      </c>
      <c r="E5760">
        <v>0.5188429</v>
      </c>
      <c r="F5760" t="s">
        <v>94</v>
      </c>
      <c r="G5760">
        <v>-231.0163</v>
      </c>
      <c r="H5760" s="1">
        <v>1.069001E-7</v>
      </c>
      <c r="I5760">
        <v>-62.149990000000003</v>
      </c>
      <c r="J5760">
        <v>-247.65100000000001</v>
      </c>
      <c r="K5760">
        <v>1.1080000000000001</v>
      </c>
      <c r="L5760">
        <v>-61.417140000000003</v>
      </c>
      <c r="M5760">
        <v>0.99757669999999998</v>
      </c>
      <c r="N5760">
        <v>-1.2605699999999999E-2</v>
      </c>
      <c r="O5760">
        <v>-6.8426039999999994E-2</v>
      </c>
      <c r="P5760">
        <v>0.99535600000000002</v>
      </c>
      <c r="Q5760">
        <v>-1.9702620000000001E-2</v>
      </c>
      <c r="R5760">
        <v>9.4226859999999996E-2</v>
      </c>
      <c r="S5760">
        <v>3.0227200000000001</v>
      </c>
      <c r="T5760">
        <v>-0.1992487</v>
      </c>
      <c r="U5760">
        <v>-0.13403319999999999</v>
      </c>
      <c r="V5760">
        <v>-0.16214229999999999</v>
      </c>
      <c r="W5760">
        <v>-6.7410119999999898E-3</v>
      </c>
      <c r="X5760">
        <v>0.98674430000000002</v>
      </c>
      <c r="Y5760">
        <v>-2.4011149999999998E-2</v>
      </c>
      <c r="Z5760">
        <v>4.5784889999999998E-3</v>
      </c>
      <c r="AA5760">
        <v>0.99970119999999896</v>
      </c>
      <c r="AB5760">
        <v>35</v>
      </c>
      <c r="AC5760">
        <v>16.634699999999899</v>
      </c>
      <c r="AD5760">
        <v>-1.10799989309989</v>
      </c>
      <c r="AE5760">
        <v>-0.732849999999999</v>
      </c>
      <c r="AF5760">
        <v>-0.40540970331474002</v>
      </c>
      <c r="AG5760">
        <v>-1.10799989309989</v>
      </c>
      <c r="AH5760">
        <v>16.5724723919509</v>
      </c>
      <c r="AI5760">
        <v>93.823839708468796</v>
      </c>
      <c r="AJ5760">
        <v>91.401337868430801</v>
      </c>
      <c r="AK5760">
        <v>16.614417292599398</v>
      </c>
      <c r="AL5760">
        <v>90.386234485568394</v>
      </c>
      <c r="AM5760">
        <v>99.331479380613601</v>
      </c>
      <c r="AN5760">
        <v>0.99999994013728</v>
      </c>
    </row>
    <row r="5761" spans="1:40" x14ac:dyDescent="0.25">
      <c r="A5761" t="str">
        <f>"20190305135941033"</f>
        <v>20190305135941033</v>
      </c>
      <c r="B5761" t="str">
        <f>"1551765581024473"</f>
        <v>1551765581024473</v>
      </c>
      <c r="C5761" t="s">
        <v>40</v>
      </c>
      <c r="D5761">
        <v>4.6196859999999997</v>
      </c>
      <c r="E5761">
        <v>0.51479019999999998</v>
      </c>
      <c r="F5761" t="s">
        <v>94</v>
      </c>
      <c r="G5761">
        <v>-231.17910000000001</v>
      </c>
      <c r="H5761" s="1">
        <v>4.0870899999999998E-7</v>
      </c>
      <c r="I5761">
        <v>-60.753059999999998</v>
      </c>
      <c r="J5761">
        <v>-247.47640000000001</v>
      </c>
      <c r="K5761">
        <v>1.108039</v>
      </c>
      <c r="L5761">
        <v>-61.429749999999999</v>
      </c>
      <c r="M5761">
        <v>0.99753199999999997</v>
      </c>
      <c r="N5761">
        <v>-1.269496E-2</v>
      </c>
      <c r="O5761">
        <v>-6.9058120000000001E-2</v>
      </c>
      <c r="P5761">
        <v>0.99535180000000001</v>
      </c>
      <c r="Q5761">
        <v>-1.928525E-2</v>
      </c>
      <c r="R5761">
        <v>9.4356700000000002E-2</v>
      </c>
      <c r="S5761">
        <v>2.9985659999999998</v>
      </c>
      <c r="T5761">
        <v>-0.2017022</v>
      </c>
      <c r="U5761">
        <v>0.1208801</v>
      </c>
      <c r="V5761">
        <v>-0.1628946</v>
      </c>
      <c r="W5761">
        <v>-6.246939E-3</v>
      </c>
      <c r="X5761">
        <v>0.98662369999999999</v>
      </c>
      <c r="Y5761">
        <v>-0.1087969</v>
      </c>
      <c r="Z5761">
        <v>8.1066000000000003E-3</v>
      </c>
      <c r="AA5761">
        <v>0.994031</v>
      </c>
      <c r="AB5761">
        <v>35</v>
      </c>
      <c r="AC5761">
        <v>16.2973</v>
      </c>
      <c r="AD5761">
        <v>-1.108038591291</v>
      </c>
      <c r="AE5761">
        <v>0.67669000000000001</v>
      </c>
      <c r="AF5761">
        <v>-1.79235475120835</v>
      </c>
      <c r="AG5761">
        <v>-1.108038591291</v>
      </c>
      <c r="AH5761">
        <v>16.1371854624756</v>
      </c>
      <c r="AI5761">
        <v>93.904041534900998</v>
      </c>
      <c r="AJ5761">
        <v>96.3378564166605</v>
      </c>
      <c r="AK5761">
        <v>16.274183227563299</v>
      </c>
      <c r="AL5761">
        <v>90.357925567500004</v>
      </c>
      <c r="AM5761">
        <v>99.375133859808699</v>
      </c>
      <c r="AN5761">
        <v>1.00000000017885</v>
      </c>
    </row>
    <row r="5762" spans="1:40" x14ac:dyDescent="0.25">
      <c r="A5762" t="str">
        <f>"20190305135941044"</f>
        <v>20190305135941044</v>
      </c>
      <c r="B5762" t="str">
        <f>"1551765581034233"</f>
        <v>1551765581034233</v>
      </c>
      <c r="C5762" t="s">
        <v>40</v>
      </c>
      <c r="D5762">
        <v>4.5992620000000004</v>
      </c>
      <c r="E5762">
        <v>0.51228949999999995</v>
      </c>
      <c r="F5762" t="s">
        <v>94</v>
      </c>
      <c r="G5762">
        <v>-230.54650000000001</v>
      </c>
      <c r="H5762" s="1">
        <v>7.3163299999999997E-7</v>
      </c>
      <c r="I5762">
        <v>-60.559399999999997</v>
      </c>
      <c r="J5762">
        <v>-247.30430000000001</v>
      </c>
      <c r="K5762">
        <v>1.1080760000000001</v>
      </c>
      <c r="L5762">
        <v>-61.442259999999997</v>
      </c>
      <c r="M5762">
        <v>0.99748859999999995</v>
      </c>
      <c r="N5762">
        <v>-1.277736E-2</v>
      </c>
      <c r="O5762">
        <v>-6.9666329999999999E-2</v>
      </c>
      <c r="P5762">
        <v>0.99535200000000001</v>
      </c>
      <c r="Q5762">
        <v>-1.8671589999999998E-2</v>
      </c>
      <c r="R5762">
        <v>9.4476389999999993E-2</v>
      </c>
      <c r="S5762">
        <v>2.9956360000000002</v>
      </c>
      <c r="T5762">
        <v>-0.19606029999999999</v>
      </c>
      <c r="U5762">
        <v>0.15399170000000001</v>
      </c>
      <c r="V5762">
        <v>-0.1636127</v>
      </c>
      <c r="W5762">
        <v>-5.5632049999999999E-3</v>
      </c>
      <c r="X5762">
        <v>0.98650899999999997</v>
      </c>
      <c r="Y5762">
        <v>-0.1203893</v>
      </c>
      <c r="Z5762">
        <v>8.3654909999999992E-3</v>
      </c>
      <c r="AA5762">
        <v>0.99269149999999995</v>
      </c>
      <c r="AB5762">
        <v>35</v>
      </c>
      <c r="AC5762">
        <v>16.7578</v>
      </c>
      <c r="AD5762">
        <v>-1.1080752683670001</v>
      </c>
      <c r="AE5762">
        <v>0.88285999999999998</v>
      </c>
      <c r="AF5762">
        <v>-2.03937229247328</v>
      </c>
      <c r="AG5762">
        <v>-1.1080752683670001</v>
      </c>
      <c r="AH5762">
        <v>16.583261722733599</v>
      </c>
      <c r="AI5762">
        <v>93.794259157091503</v>
      </c>
      <c r="AJ5762">
        <v>97.010904533841497</v>
      </c>
      <c r="AK5762">
        <v>16.744892938217099</v>
      </c>
      <c r="AL5762">
        <v>90.318749799794105</v>
      </c>
      <c r="AM5762">
        <v>99.416799578129499</v>
      </c>
      <c r="AN5762">
        <v>1.0000000359660799</v>
      </c>
    </row>
    <row r="5763" spans="1:40" x14ac:dyDescent="0.25">
      <c r="A5763" t="str">
        <f>"20190305135941054"</f>
        <v>20190305135941054</v>
      </c>
      <c r="B5763" t="str">
        <f>"1551765581044970"</f>
        <v>1551765581044970</v>
      </c>
      <c r="C5763" t="s">
        <v>40</v>
      </c>
      <c r="D5763">
        <v>4.665597</v>
      </c>
      <c r="E5763">
        <v>0.51161469999999998</v>
      </c>
      <c r="F5763" t="s">
        <v>94</v>
      </c>
      <c r="G5763">
        <v>-230.13159999999999</v>
      </c>
      <c r="H5763" s="1">
        <v>9.4071669999999996E-7</v>
      </c>
      <c r="I5763">
        <v>-60.442489999999999</v>
      </c>
      <c r="J5763">
        <v>-247.1319</v>
      </c>
      <c r="K5763">
        <v>1.108117</v>
      </c>
      <c r="L5763">
        <v>-61.454859999999996</v>
      </c>
      <c r="M5763">
        <v>0.99744569999999999</v>
      </c>
      <c r="N5763">
        <v>-1.2855139999999999E-2</v>
      </c>
      <c r="O5763">
        <v>-7.0263060000000002E-2</v>
      </c>
      <c r="P5763">
        <v>0.99534290000000003</v>
      </c>
      <c r="Q5763">
        <v>-1.81733E-2</v>
      </c>
      <c r="R5763">
        <v>9.4670989999999997E-2</v>
      </c>
      <c r="S5763">
        <v>2.9938199999999999</v>
      </c>
      <c r="T5763">
        <v>-0.19317809999999999</v>
      </c>
      <c r="U5763">
        <v>0.17428589999999999</v>
      </c>
      <c r="V5763">
        <v>-0.1643945</v>
      </c>
      <c r="W5763">
        <v>-4.999435E-3</v>
      </c>
      <c r="X5763">
        <v>0.98638199999999998</v>
      </c>
      <c r="Y5763">
        <v>-0.1277121</v>
      </c>
      <c r="Z5763">
        <v>8.558108E-3</v>
      </c>
      <c r="AA5763">
        <v>0.99177439999999994</v>
      </c>
      <c r="AB5763">
        <v>35</v>
      </c>
      <c r="AC5763">
        <v>17.000299999999999</v>
      </c>
      <c r="AD5763">
        <v>-1.1081160592832999</v>
      </c>
      <c r="AE5763">
        <v>1.01236999999999</v>
      </c>
      <c r="AF5763">
        <v>-2.19516560398309</v>
      </c>
      <c r="AG5763">
        <v>-1.1081160592832999</v>
      </c>
      <c r="AH5763">
        <v>16.815945023906401</v>
      </c>
      <c r="AI5763">
        <v>93.738526357806805</v>
      </c>
      <c r="AJ5763">
        <v>97.437376227479902</v>
      </c>
      <c r="AK5763">
        <v>16.994783913801101</v>
      </c>
      <c r="AL5763">
        <v>90.286447719307404</v>
      </c>
      <c r="AM5763">
        <v>99.462180915737605</v>
      </c>
      <c r="AN5763">
        <v>0.999999997952284</v>
      </c>
    </row>
    <row r="5764" spans="1:40" x14ac:dyDescent="0.25">
      <c r="A5764" t="str">
        <f>"20190305135941066"</f>
        <v>20190305135941066</v>
      </c>
      <c r="B5764" t="str">
        <f>"1551765581054729"</f>
        <v>1551765581054729</v>
      </c>
      <c r="C5764" t="s">
        <v>40</v>
      </c>
      <c r="D5764">
        <v>4.5420970000000001</v>
      </c>
      <c r="E5764">
        <v>0.51145119999999999</v>
      </c>
      <c r="F5764" t="s">
        <v>96</v>
      </c>
      <c r="G5764">
        <v>-229.02359999999999</v>
      </c>
      <c r="H5764" s="1">
        <v>-2.9943619999999999E-6</v>
      </c>
      <c r="I5764">
        <v>-60.359940000000002</v>
      </c>
      <c r="J5764">
        <v>-246.96680000000001</v>
      </c>
      <c r="K5764">
        <v>1.1081529999999999</v>
      </c>
      <c r="L5764">
        <v>-61.4670699999999</v>
      </c>
      <c r="M5764">
        <v>0.99740569999999895</v>
      </c>
      <c r="N5764">
        <v>-1.2922990000000001E-2</v>
      </c>
      <c r="O5764">
        <v>-7.0816249999999997E-2</v>
      </c>
      <c r="P5764">
        <v>0.99533329999999998</v>
      </c>
      <c r="Q5764">
        <v>-1.785459E-2</v>
      </c>
      <c r="R5764">
        <v>9.4832059999999996E-2</v>
      </c>
      <c r="S5764">
        <v>2.9934539999999998</v>
      </c>
      <c r="T5764">
        <v>-0.18318139999999999</v>
      </c>
      <c r="U5764">
        <v>0.18099979999999999</v>
      </c>
      <c r="V5764">
        <v>-0.16509979999999999</v>
      </c>
      <c r="W5764">
        <v>-4.6243350000000003E-3</v>
      </c>
      <c r="X5764">
        <v>0.98626599999999998</v>
      </c>
      <c r="Y5764">
        <v>-0.1305193</v>
      </c>
      <c r="Z5764">
        <v>8.2426029999999994E-3</v>
      </c>
      <c r="AA5764">
        <v>0.9914115</v>
      </c>
      <c r="AB5764">
        <v>35</v>
      </c>
      <c r="AC5764">
        <v>17.943200000000001</v>
      </c>
      <c r="AD5764">
        <v>-1.1081559943619901</v>
      </c>
      <c r="AE5764">
        <v>1.10712999999999</v>
      </c>
      <c r="AF5764">
        <v>-2.36613550068722</v>
      </c>
      <c r="AG5764">
        <v>-1.1081559943619901</v>
      </c>
      <c r="AH5764">
        <v>17.7522808155165</v>
      </c>
      <c r="AI5764">
        <v>93.540725273414395</v>
      </c>
      <c r="AJ5764">
        <v>97.591994578637895</v>
      </c>
      <c r="AK5764">
        <v>17.943524767124501</v>
      </c>
      <c r="AL5764">
        <v>90.2649558293501</v>
      </c>
      <c r="AM5764">
        <v>99.503134887082695</v>
      </c>
      <c r="AN5764">
        <v>0.999999975595115</v>
      </c>
    </row>
    <row r="5765" spans="1:40" x14ac:dyDescent="0.25">
      <c r="A5765" t="str">
        <f>"20190305135941077"</f>
        <v>20190305135941077</v>
      </c>
      <c r="B5765" t="str">
        <f>"1551765581064448"</f>
        <v>1551765581064448</v>
      </c>
      <c r="C5765" t="s">
        <v>40</v>
      </c>
      <c r="D5765">
        <v>5.002542</v>
      </c>
      <c r="E5765">
        <v>0.51143959999999999</v>
      </c>
      <c r="F5765" t="s">
        <v>96</v>
      </c>
      <c r="G5765">
        <v>-228.2355</v>
      </c>
      <c r="H5765" s="1">
        <v>-2.6649140000000001E-6</v>
      </c>
      <c r="I5765">
        <v>-60.320920000000001</v>
      </c>
      <c r="J5765">
        <v>-246.79429999999999</v>
      </c>
      <c r="K5765">
        <v>1.108188</v>
      </c>
      <c r="L5765">
        <v>-61.47983</v>
      </c>
      <c r="M5765">
        <v>0.99736409999999998</v>
      </c>
      <c r="N5765">
        <v>-1.299146E-2</v>
      </c>
      <c r="O5765">
        <v>-7.1387430000000002E-2</v>
      </c>
      <c r="P5765">
        <v>0.99533309999999997</v>
      </c>
      <c r="Q5765">
        <v>-1.6890579999999999E-2</v>
      </c>
      <c r="R5765">
        <v>9.5009109999999994E-2</v>
      </c>
      <c r="S5765">
        <v>2.993439</v>
      </c>
      <c r="T5765">
        <v>-0.17709369999999999</v>
      </c>
      <c r="U5765">
        <v>0.18316650000000001</v>
      </c>
      <c r="V5765">
        <v>-0.16583789999999901</v>
      </c>
      <c r="W5765">
        <v>-3.603686E-3</v>
      </c>
      <c r="X5765">
        <v>0.98614650000000004</v>
      </c>
      <c r="Y5765">
        <v>-0.1318233</v>
      </c>
      <c r="Z5765">
        <v>8.0396249999999999E-3</v>
      </c>
      <c r="AA5765">
        <v>0.99124060000000003</v>
      </c>
      <c r="AB5765">
        <v>35</v>
      </c>
      <c r="AC5765">
        <v>18.558799999999898</v>
      </c>
      <c r="AD5765">
        <v>-1.1081906649140001</v>
      </c>
      <c r="AE5765">
        <v>1.1589100000000101</v>
      </c>
      <c r="AF5765">
        <v>-2.4721491369846</v>
      </c>
      <c r="AG5765">
        <v>-1.1081906649140001</v>
      </c>
      <c r="AH5765">
        <v>18.3634816727605</v>
      </c>
      <c r="AI5765">
        <v>93.4226687177419</v>
      </c>
      <c r="AJ5765">
        <v>97.667239394300296</v>
      </c>
      <c r="AK5765">
        <v>18.5622484373825</v>
      </c>
      <c r="AL5765">
        <v>90.206476433513004</v>
      </c>
      <c r="AM5765">
        <v>99.545975242530801</v>
      </c>
      <c r="AN5765">
        <v>1.00000005754572</v>
      </c>
    </row>
    <row r="5766" spans="1:40" x14ac:dyDescent="0.25">
      <c r="A5766" t="str">
        <f>"20190305135941088"</f>
        <v>20190305135941088</v>
      </c>
      <c r="B5766" t="str">
        <f>"1551765581074208"</f>
        <v>1551765581074208</v>
      </c>
      <c r="C5766" t="s">
        <v>40</v>
      </c>
      <c r="D5766">
        <v>4.4885120000000001</v>
      </c>
      <c r="E5766">
        <v>0.51138790000000001</v>
      </c>
      <c r="F5766" t="s">
        <v>96</v>
      </c>
      <c r="G5766">
        <v>-227.49549999999999</v>
      </c>
      <c r="H5766" s="1">
        <v>-2.3535629999999998E-6</v>
      </c>
      <c r="I5766">
        <v>-60.293300000000002</v>
      </c>
      <c r="J5766">
        <v>-246.626</v>
      </c>
      <c r="K5766">
        <v>1.1082240000000001</v>
      </c>
      <c r="L5766">
        <v>-61.492400000000004</v>
      </c>
      <c r="M5766">
        <v>0.99732460000000001</v>
      </c>
      <c r="N5766">
        <v>-1.3050859999999999E-2</v>
      </c>
      <c r="O5766">
        <v>-7.1925699999999995E-2</v>
      </c>
      <c r="P5766">
        <v>0.99530099999999999</v>
      </c>
      <c r="Q5766">
        <v>-1.6098589999999999E-2</v>
      </c>
      <c r="R5766">
        <v>9.5482170000000005E-2</v>
      </c>
      <c r="S5766">
        <v>2.993576</v>
      </c>
      <c r="T5766">
        <v>-0.1718992</v>
      </c>
      <c r="U5766">
        <v>0.18405150000000001</v>
      </c>
      <c r="V5766">
        <v>-0.16683700000000001</v>
      </c>
      <c r="W5766">
        <v>-2.7626949999999999E-3</v>
      </c>
      <c r="X5766">
        <v>0.98598059999999998</v>
      </c>
      <c r="Y5766">
        <v>-0.13266549999999999</v>
      </c>
      <c r="Z5766">
        <v>7.85486E-3</v>
      </c>
      <c r="AA5766">
        <v>0.99112979999999995</v>
      </c>
      <c r="AB5766">
        <v>35</v>
      </c>
      <c r="AC5766">
        <v>19.130499999999898</v>
      </c>
      <c r="AD5766">
        <v>-1.1082263535629999</v>
      </c>
      <c r="AE5766">
        <v>1.1991000000000001</v>
      </c>
      <c r="AF5766">
        <v>-2.5635164549916301</v>
      </c>
      <c r="AG5766">
        <v>-1.1082263535629999</v>
      </c>
      <c r="AH5766">
        <v>18.931407363424999</v>
      </c>
      <c r="AI5766">
        <v>93.319985590381407</v>
      </c>
      <c r="AJ5766">
        <v>97.711560662170896</v>
      </c>
      <c r="AK5766">
        <v>19.136299721359102</v>
      </c>
      <c r="AL5766">
        <v>90.158290968057202</v>
      </c>
      <c r="AM5766">
        <v>99.604003379668498</v>
      </c>
      <c r="AN5766">
        <v>0.99999998031451098</v>
      </c>
    </row>
    <row r="5767" spans="1:40" x14ac:dyDescent="0.25">
      <c r="A5767" t="str">
        <f>"20190305135941100"</f>
        <v>20190305135941100</v>
      </c>
      <c r="B5767" t="str">
        <f>"1551765581094705"</f>
        <v>1551765581094705</v>
      </c>
      <c r="C5767" t="s">
        <v>40</v>
      </c>
      <c r="D5767">
        <v>4.5271990000000004</v>
      </c>
      <c r="E5767">
        <v>0.5112236</v>
      </c>
      <c r="F5767" t="s">
        <v>96</v>
      </c>
      <c r="G5767">
        <v>-226.9854</v>
      </c>
      <c r="H5767" s="1">
        <v>-2.1393E-6</v>
      </c>
      <c r="I5767">
        <v>-60.272649999999999</v>
      </c>
      <c r="J5767">
        <v>-246.44820000000001</v>
      </c>
      <c r="K5767">
        <v>1.108263</v>
      </c>
      <c r="L5767">
        <v>-61.505769999999998</v>
      </c>
      <c r="M5767">
        <v>0.99728289999999997</v>
      </c>
      <c r="N5767">
        <v>-1.3111859999999999E-2</v>
      </c>
      <c r="O5767">
        <v>-7.248984E-2</v>
      </c>
      <c r="P5767">
        <v>0.99526939999999997</v>
      </c>
      <c r="Q5767">
        <v>-1.535769E-2</v>
      </c>
      <c r="R5767">
        <v>9.5933409999999997E-2</v>
      </c>
      <c r="S5767">
        <v>2.9935909999999999</v>
      </c>
      <c r="T5767">
        <v>-0.1689146</v>
      </c>
      <c r="U5767">
        <v>0.1859131</v>
      </c>
      <c r="V5767">
        <v>-0.1678405</v>
      </c>
      <c r="W5767">
        <v>-1.9716270000000001E-3</v>
      </c>
      <c r="X5767">
        <v>0.98581220000000003</v>
      </c>
      <c r="Y5767">
        <v>-0.13384839999999901</v>
      </c>
      <c r="Z5767">
        <v>7.7824219999999998E-3</v>
      </c>
      <c r="AA5767">
        <v>0.9909713</v>
      </c>
      <c r="AB5767">
        <v>35</v>
      </c>
      <c r="AC5767">
        <v>19.462800000000001</v>
      </c>
      <c r="AD5767">
        <v>-1.1082651393</v>
      </c>
      <c r="AE5767">
        <v>1.23311999999999</v>
      </c>
      <c r="AF5767">
        <v>-2.6323507169418301</v>
      </c>
      <c r="AG5767">
        <v>-1.1082651393</v>
      </c>
      <c r="AH5767">
        <v>19.259990762266099</v>
      </c>
      <c r="AI5767">
        <v>93.263033044089099</v>
      </c>
      <c r="AJ5767">
        <v>97.782654551382507</v>
      </c>
      <c r="AK5767">
        <v>19.470612883998999</v>
      </c>
      <c r="AL5767">
        <v>90.112965978248496</v>
      </c>
      <c r="AM5767">
        <v>99.662303722191595</v>
      </c>
      <c r="AN5767">
        <v>1.00000000721105</v>
      </c>
    </row>
    <row r="5768" spans="1:40" x14ac:dyDescent="0.25">
      <c r="A5768" t="str">
        <f>"20190305135941111"</f>
        <v>20190305135941111</v>
      </c>
      <c r="B5768" t="str">
        <f>"1551765581104465"</f>
        <v>1551765581104465</v>
      </c>
      <c r="C5768" t="s">
        <v>40</v>
      </c>
      <c r="D5768">
        <v>4.5964609999999997</v>
      </c>
      <c r="E5768">
        <v>0.51100310000000004</v>
      </c>
      <c r="F5768" t="s">
        <v>96</v>
      </c>
      <c r="G5768">
        <v>-226.48480000000001</v>
      </c>
      <c r="H5768" s="1">
        <v>-1.929996E-6</v>
      </c>
      <c r="I5768">
        <v>-60.248040000000003</v>
      </c>
      <c r="J5768">
        <v>-246.2697</v>
      </c>
      <c r="K5768">
        <v>1.108293</v>
      </c>
      <c r="L5768">
        <v>-61.519319999999901</v>
      </c>
      <c r="M5768">
        <v>0.99724199999999996</v>
      </c>
      <c r="N5768">
        <v>-1.3166539999999999E-2</v>
      </c>
      <c r="O5768">
        <v>-7.304244E-2</v>
      </c>
      <c r="P5768">
        <v>0.9952339</v>
      </c>
      <c r="Q5768">
        <v>-1.4240829999999999E-2</v>
      </c>
      <c r="R5768">
        <v>9.6473080000000003E-2</v>
      </c>
      <c r="S5768">
        <v>2.9935299999999998</v>
      </c>
      <c r="T5768">
        <v>-0.16618559999999999</v>
      </c>
      <c r="U5768">
        <v>0.18859860000000001</v>
      </c>
      <c r="V5768">
        <v>-0.16891900000000001</v>
      </c>
      <c r="W5768">
        <v>-8.0943390000000001E-4</v>
      </c>
      <c r="X5768">
        <v>0.98562959999999999</v>
      </c>
      <c r="Y5768">
        <v>-0.13529140000000001</v>
      </c>
      <c r="Z5768">
        <v>7.72828199999999E-3</v>
      </c>
      <c r="AA5768">
        <v>0.99077570000000004</v>
      </c>
      <c r="AB5768">
        <v>34</v>
      </c>
      <c r="AC5768">
        <v>19.7849</v>
      </c>
      <c r="AD5768">
        <v>-1.1082949299960001</v>
      </c>
      <c r="AE5768">
        <v>1.27127999999999</v>
      </c>
      <c r="AF5768">
        <v>-2.7046939054362</v>
      </c>
      <c r="AG5768">
        <v>-1.1082949299960001</v>
      </c>
      <c r="AH5768">
        <v>19.577994897330999</v>
      </c>
      <c r="AI5768">
        <v>93.209592415277001</v>
      </c>
      <c r="AJ5768">
        <v>97.865607021814895</v>
      </c>
      <c r="AK5768">
        <v>19.794988531794498</v>
      </c>
      <c r="AL5768">
        <v>90.046377151511294</v>
      </c>
      <c r="AM5768">
        <v>99.724976643687398</v>
      </c>
      <c r="AN5768">
        <v>0.99999999607019896</v>
      </c>
    </row>
    <row r="5769" spans="1:40" x14ac:dyDescent="0.25">
      <c r="A5769" t="str">
        <f>"20190305135941122"</f>
        <v>20190305135941122</v>
      </c>
      <c r="B5769" t="str">
        <f>"1551765581115200"</f>
        <v>1551765581115200</v>
      </c>
      <c r="C5769" t="s">
        <v>40</v>
      </c>
      <c r="D5769">
        <v>4.5895590000000004</v>
      </c>
      <c r="E5769">
        <v>0.51081940000000003</v>
      </c>
      <c r="F5769" t="s">
        <v>96</v>
      </c>
      <c r="G5769">
        <v>-225.87970000000001</v>
      </c>
      <c r="H5769" s="1">
        <v>-1.678505E-6</v>
      </c>
      <c r="I5769">
        <v>-60.211379999999998</v>
      </c>
      <c r="J5769">
        <v>-246.10140000000001</v>
      </c>
      <c r="K5769">
        <v>1.10832</v>
      </c>
      <c r="L5769">
        <v>-61.532139999999998</v>
      </c>
      <c r="M5769">
        <v>0.99720339999999996</v>
      </c>
      <c r="N5769">
        <v>-1.321568E-2</v>
      </c>
      <c r="O5769">
        <v>-7.3558929999999995E-2</v>
      </c>
      <c r="P5769">
        <v>0.99517909999999998</v>
      </c>
      <c r="Q5769">
        <v>-1.3335939999999999E-2</v>
      </c>
      <c r="R5769">
        <v>9.7164589999999995E-2</v>
      </c>
      <c r="S5769">
        <v>2.9934229999999999</v>
      </c>
      <c r="T5769">
        <v>-0.1627073</v>
      </c>
      <c r="U5769">
        <v>0.19201660000000001</v>
      </c>
      <c r="V5769">
        <v>-0.17011229999999999</v>
      </c>
      <c r="W5769">
        <v>1.361999E-4</v>
      </c>
      <c r="X5769">
        <v>0.98542470000000004</v>
      </c>
      <c r="Y5769">
        <v>-0.13694300000000001</v>
      </c>
      <c r="Z5769">
        <v>7.6420739999999996E-3</v>
      </c>
      <c r="AA5769">
        <v>0.99054940000000002</v>
      </c>
      <c r="AB5769">
        <v>34</v>
      </c>
      <c r="AC5769">
        <v>20.221699999999998</v>
      </c>
      <c r="AD5769">
        <v>-1.1083216785050001</v>
      </c>
      <c r="AE5769">
        <v>1.3207599999999999</v>
      </c>
      <c r="AF5769">
        <v>-2.7964329228903</v>
      </c>
      <c r="AG5769">
        <v>-1.1083216785050001</v>
      </c>
      <c r="AH5769">
        <v>20.009891206803601</v>
      </c>
      <c r="AI5769">
        <v>93.139847203329694</v>
      </c>
      <c r="AJ5769">
        <v>97.955703506146705</v>
      </c>
      <c r="AK5769">
        <v>20.2347265892917</v>
      </c>
      <c r="AL5769">
        <v>89.992196320740703</v>
      </c>
      <c r="AM5769">
        <v>99.794348309809294</v>
      </c>
      <c r="AN5769">
        <v>1.0000000262658899</v>
      </c>
    </row>
    <row r="5770" spans="1:40" x14ac:dyDescent="0.25">
      <c r="A5770" t="str">
        <f>"20190305135941132"</f>
        <v>20190305135941132</v>
      </c>
      <c r="B5770" t="str">
        <f>"1551765581124960"</f>
        <v>1551765581124960</v>
      </c>
      <c r="C5770" t="s">
        <v>40</v>
      </c>
      <c r="D5770">
        <v>4.6228160000000003</v>
      </c>
      <c r="E5770">
        <v>0.51060360000000005</v>
      </c>
      <c r="F5770" t="s">
        <v>96</v>
      </c>
      <c r="G5770">
        <v>-225.39660000000001</v>
      </c>
      <c r="H5770" s="1">
        <v>-1.478204E-6</v>
      </c>
      <c r="I5770">
        <v>-60.17989</v>
      </c>
      <c r="J5770">
        <v>-245.9366</v>
      </c>
      <c r="K5770">
        <v>1.108344</v>
      </c>
      <c r="L5770">
        <v>-61.5447699999999</v>
      </c>
      <c r="M5770">
        <v>0.99716570000000004</v>
      </c>
      <c r="N5770">
        <v>-1.325995E-2</v>
      </c>
      <c r="O5770">
        <v>-7.4058529999999997E-2</v>
      </c>
      <c r="P5770">
        <v>0.99512730000000005</v>
      </c>
      <c r="Q5770">
        <v>-1.2524840000000001E-2</v>
      </c>
      <c r="R5770">
        <v>9.7801310000000002E-2</v>
      </c>
      <c r="S5770">
        <v>2.9933169999999998</v>
      </c>
      <c r="T5770">
        <v>-0.16023090000000001</v>
      </c>
      <c r="U5770">
        <v>0.19549559999999999</v>
      </c>
      <c r="V5770">
        <v>-0.17123469999999999</v>
      </c>
      <c r="W5770">
        <v>9.8496999999999994E-4</v>
      </c>
      <c r="X5770">
        <v>0.98522980000000004</v>
      </c>
      <c r="Y5770">
        <v>-0.13859379999999999</v>
      </c>
      <c r="Z5770">
        <v>7.5999290000000001E-3</v>
      </c>
      <c r="AA5770">
        <v>0.99032010000000004</v>
      </c>
      <c r="AB5770">
        <v>34</v>
      </c>
      <c r="AC5770">
        <v>20.5399999999999</v>
      </c>
      <c r="AD5770">
        <v>-1.1083454782040001</v>
      </c>
      <c r="AE5770">
        <v>1.3648799999999901</v>
      </c>
      <c r="AF5770">
        <v>-2.8740954805066798</v>
      </c>
      <c r="AG5770">
        <v>-1.1083454782040001</v>
      </c>
      <c r="AH5770">
        <v>20.3235788037702</v>
      </c>
      <c r="AI5770">
        <v>93.090837858885806</v>
      </c>
      <c r="AJ5770">
        <v>98.049211045115797</v>
      </c>
      <c r="AK5770">
        <v>20.555697748390401</v>
      </c>
      <c r="AL5770">
        <v>89.943565368379794</v>
      </c>
      <c r="AM5770">
        <v>99.859619451033197</v>
      </c>
      <c r="AN5770">
        <v>1.00000002572901</v>
      </c>
    </row>
    <row r="5771" spans="1:40" x14ac:dyDescent="0.25">
      <c r="A5771" t="str">
        <f>"20190305135941144"</f>
        <v>20190305135941144</v>
      </c>
      <c r="B5771" t="str">
        <f>"1551765581134721"</f>
        <v>1551765581134721</v>
      </c>
      <c r="C5771" t="s">
        <v>40</v>
      </c>
      <c r="D5771">
        <v>4.7036530000000001</v>
      </c>
      <c r="E5771">
        <v>0.51062289999999999</v>
      </c>
      <c r="F5771" t="s">
        <v>96</v>
      </c>
      <c r="G5771">
        <v>-224.9145</v>
      </c>
      <c r="H5771" s="1">
        <v>-1.2789120000000001E-6</v>
      </c>
      <c r="I5771">
        <v>-60.146000000000001</v>
      </c>
      <c r="J5771">
        <v>-245.7647</v>
      </c>
      <c r="K5771">
        <v>1.108365</v>
      </c>
      <c r="L5771">
        <v>-61.558039999999998</v>
      </c>
      <c r="M5771">
        <v>0.99712659999999997</v>
      </c>
      <c r="N5771">
        <v>-1.330303E-2</v>
      </c>
      <c r="O5771">
        <v>-7.4575799999999998E-2</v>
      </c>
      <c r="P5771">
        <v>0.99508319999999995</v>
      </c>
      <c r="Q5771">
        <v>-1.158907E-2</v>
      </c>
      <c r="R5771">
        <v>9.8361950000000004E-2</v>
      </c>
      <c r="S5771">
        <v>2.993134</v>
      </c>
      <c r="T5771">
        <v>-0.1578069</v>
      </c>
      <c r="U5771">
        <v>0.19915769999999999</v>
      </c>
      <c r="V5771">
        <v>-0.17229929999999999</v>
      </c>
      <c r="W5771">
        <v>1.9572399999999998E-3</v>
      </c>
      <c r="X5771">
        <v>0.98504270000000005</v>
      </c>
      <c r="Y5771">
        <v>-0.14032329999999901</v>
      </c>
      <c r="Z5771">
        <v>7.5616290000000003E-3</v>
      </c>
      <c r="AA5771">
        <v>0.99007679999999998</v>
      </c>
      <c r="AB5771">
        <v>34</v>
      </c>
      <c r="AC5771">
        <v>20.850200000000001</v>
      </c>
      <c r="AD5771">
        <v>-1.1083662789119999</v>
      </c>
      <c r="AE5771">
        <v>1.41204</v>
      </c>
      <c r="AF5771">
        <v>-2.9548534371405801</v>
      </c>
      <c r="AG5771">
        <v>-1.1083662789119999</v>
      </c>
      <c r="AH5771">
        <v>20.6287884921177</v>
      </c>
      <c r="AI5771">
        <v>93.044478974363201</v>
      </c>
      <c r="AJ5771">
        <v>98.151559858294505</v>
      </c>
      <c r="AK5771">
        <v>20.868793671310701</v>
      </c>
      <c r="AL5771">
        <v>89.887858336929199</v>
      </c>
      <c r="AM5771">
        <v>99.921551400743795</v>
      </c>
      <c r="AN5771">
        <v>1.00000000019609</v>
      </c>
    </row>
    <row r="5772" spans="1:40" x14ac:dyDescent="0.25">
      <c r="A5772" t="str">
        <f>"20190305135941156"</f>
        <v>20190305135941156</v>
      </c>
      <c r="B5772" t="str">
        <f>"1551765581144481"</f>
        <v>1551765581144481</v>
      </c>
      <c r="C5772" t="s">
        <v>40</v>
      </c>
      <c r="D5772">
        <v>4.5843179999999997</v>
      </c>
      <c r="E5772">
        <v>0.51056489999999999</v>
      </c>
      <c r="F5772" t="s">
        <v>96</v>
      </c>
      <c r="G5772">
        <v>-224.7294</v>
      </c>
      <c r="H5772" s="1">
        <v>-1.198745E-6</v>
      </c>
      <c r="I5772">
        <v>-60.1494199999999</v>
      </c>
      <c r="J5772">
        <v>-245.58160000000001</v>
      </c>
      <c r="K5772">
        <v>1.108387</v>
      </c>
      <c r="L5772">
        <v>-61.572270000000003</v>
      </c>
      <c r="M5772">
        <v>0.99708490000000005</v>
      </c>
      <c r="N5772">
        <v>-1.3346139999999999E-2</v>
      </c>
      <c r="O5772">
        <v>-7.5123590000000004E-2</v>
      </c>
      <c r="P5772">
        <v>0.99502179999999996</v>
      </c>
      <c r="Q5772">
        <v>-1.088681E-2</v>
      </c>
      <c r="R5772">
        <v>9.9061679999999999E-2</v>
      </c>
      <c r="S5772">
        <v>2.9932099999999999</v>
      </c>
      <c r="T5772">
        <v>-0.15771459999999901</v>
      </c>
      <c r="U5772">
        <v>0.20043949999999999</v>
      </c>
      <c r="V5772">
        <v>-0.17353180000000001</v>
      </c>
      <c r="W5772">
        <v>2.6968109999999999E-3</v>
      </c>
      <c r="X5772">
        <v>0.98482449999999999</v>
      </c>
      <c r="Y5772">
        <v>-0.14128589999999999</v>
      </c>
      <c r="Z5772">
        <v>7.60997699999999E-3</v>
      </c>
      <c r="AA5772">
        <v>0.98993960000000003</v>
      </c>
      <c r="AB5772">
        <v>34</v>
      </c>
      <c r="AC5772">
        <v>20.8522</v>
      </c>
      <c r="AD5772">
        <v>-1.1083881987449999</v>
      </c>
      <c r="AE5772">
        <v>1.4228499999999999</v>
      </c>
      <c r="AF5772">
        <v>-2.9770878295985299</v>
      </c>
      <c r="AG5772">
        <v>-1.1083881987449999</v>
      </c>
      <c r="AH5772">
        <v>20.628353604939299</v>
      </c>
      <c r="AI5772">
        <v>93.044140469898906</v>
      </c>
      <c r="AJ5772">
        <v>98.212235149587499</v>
      </c>
      <c r="AK5772">
        <v>20.8715248315659</v>
      </c>
      <c r="AL5772">
        <v>89.845483912997096</v>
      </c>
      <c r="AM5772">
        <v>99.9932667060597</v>
      </c>
      <c r="AN5772">
        <v>0.99999992710052699</v>
      </c>
    </row>
    <row r="5773" spans="1:40" x14ac:dyDescent="0.25">
      <c r="A5773" t="str">
        <f>"20190305135941167"</f>
        <v>20190305135941167</v>
      </c>
      <c r="B5773" t="str">
        <f>"1551765581155216"</f>
        <v>1551765581155216</v>
      </c>
      <c r="C5773" t="s">
        <v>40</v>
      </c>
      <c r="D5773">
        <v>4.7366289999999998</v>
      </c>
      <c r="E5773">
        <v>0.51066709999999904</v>
      </c>
      <c r="F5773" t="s">
        <v>96</v>
      </c>
      <c r="G5773">
        <v>-224.40029999999999</v>
      </c>
      <c r="H5773" s="1">
        <v>-1.0605320000000001E-6</v>
      </c>
      <c r="I5773">
        <v>-60.135890000000003</v>
      </c>
      <c r="J5773">
        <v>-245.4093</v>
      </c>
      <c r="K5773">
        <v>1.1084050000000001</v>
      </c>
      <c r="L5773">
        <v>-61.585749999999997</v>
      </c>
      <c r="M5773">
        <v>0.99704570000000003</v>
      </c>
      <c r="N5773">
        <v>-1.338253E-2</v>
      </c>
      <c r="O5773">
        <v>-7.5636010000000004E-2</v>
      </c>
      <c r="P5773">
        <v>0.99494490000000002</v>
      </c>
      <c r="Q5773">
        <v>-1.0515429999999999E-2</v>
      </c>
      <c r="R5773">
        <v>9.9870780000000006E-2</v>
      </c>
      <c r="S5773">
        <v>2.9931179999999999</v>
      </c>
      <c r="T5773">
        <v>-0.15662590000000001</v>
      </c>
      <c r="U5773">
        <v>0.2029724</v>
      </c>
      <c r="V5773">
        <v>-0.17483789999999999</v>
      </c>
      <c r="W5773">
        <v>3.0997379999999999E-3</v>
      </c>
      <c r="X5773">
        <v>0.98459240000000003</v>
      </c>
      <c r="Y5773">
        <v>-0.14263190000000001</v>
      </c>
      <c r="Z5773">
        <v>7.6211330000000004E-3</v>
      </c>
      <c r="AA5773">
        <v>0.98974649999999997</v>
      </c>
      <c r="AB5773">
        <v>34</v>
      </c>
      <c r="AC5773">
        <v>21.009</v>
      </c>
      <c r="AD5773">
        <v>-1.1084060605320001</v>
      </c>
      <c r="AE5773">
        <v>1.4498599999999899</v>
      </c>
      <c r="AF5773">
        <v>-3.0265010937561398</v>
      </c>
      <c r="AG5773">
        <v>-1.1084060605320001</v>
      </c>
      <c r="AH5773">
        <v>20.781566614949998</v>
      </c>
      <c r="AI5773">
        <v>93.021225172662895</v>
      </c>
      <c r="AJ5773">
        <v>98.285957266447895</v>
      </c>
      <c r="AK5773">
        <v>21.030021013711199</v>
      </c>
      <c r="AL5773">
        <v>89.822397818920095</v>
      </c>
      <c r="AM5773">
        <v>100.069273432543</v>
      </c>
      <c r="AN5773">
        <v>1.00000004689491</v>
      </c>
    </row>
    <row r="5774" spans="1:40" x14ac:dyDescent="0.25">
      <c r="A5774" t="str">
        <f>"20190305135941179"</f>
        <v>20190305135941179</v>
      </c>
      <c r="B5774" t="str">
        <f>"1551765581174736"</f>
        <v>1551765581174736</v>
      </c>
      <c r="C5774" t="s">
        <v>40</v>
      </c>
      <c r="D5774">
        <v>4.7623360000000003</v>
      </c>
      <c r="E5774">
        <v>0.51054409999999995</v>
      </c>
      <c r="F5774" t="s">
        <v>96</v>
      </c>
      <c r="G5774">
        <v>-224.33869999999999</v>
      </c>
      <c r="H5774" s="1">
        <v>-1.031767E-6</v>
      </c>
      <c r="I5774">
        <v>-60.146549999999998</v>
      </c>
      <c r="J5774">
        <v>-245.23159999999999</v>
      </c>
      <c r="K5774">
        <v>1.1084210000000001</v>
      </c>
      <c r="L5774">
        <v>-61.599730000000001</v>
      </c>
      <c r="M5774">
        <v>0.99700500000000003</v>
      </c>
      <c r="N5774">
        <v>-1.341881E-2</v>
      </c>
      <c r="O5774">
        <v>-7.6163809999999998E-2</v>
      </c>
      <c r="P5774">
        <v>0.99484070000000002</v>
      </c>
      <c r="Q5774">
        <v>-9.9362400000000007E-3</v>
      </c>
      <c r="R5774">
        <v>0.1009626</v>
      </c>
      <c r="S5774">
        <v>2.9930569999999999</v>
      </c>
      <c r="T5774">
        <v>-0.15744820000000001</v>
      </c>
      <c r="U5774">
        <v>0.20443729999999999</v>
      </c>
      <c r="V5774">
        <v>-0.17643829999999999</v>
      </c>
      <c r="W5774">
        <v>3.711041E-3</v>
      </c>
      <c r="X5774">
        <v>0.98430470000000003</v>
      </c>
      <c r="Y5774">
        <v>-0.14363399999999901</v>
      </c>
      <c r="Z5774">
        <v>7.7149840000000003E-3</v>
      </c>
      <c r="AA5774">
        <v>0.98960079999999995</v>
      </c>
      <c r="AB5774">
        <v>34</v>
      </c>
      <c r="AC5774">
        <v>20.892900000000001</v>
      </c>
      <c r="AD5774">
        <v>-1.1084220317669999</v>
      </c>
      <c r="AE5774">
        <v>1.4531800000000099</v>
      </c>
      <c r="AF5774">
        <v>-3.0318919929992698</v>
      </c>
      <c r="AG5774">
        <v>-1.1084220317669999</v>
      </c>
      <c r="AH5774">
        <v>20.663632794184299</v>
      </c>
      <c r="AI5774">
        <v>93.038005748850694</v>
      </c>
      <c r="AJ5774">
        <v>98.347218994982398</v>
      </c>
      <c r="AK5774">
        <v>20.914269977950699</v>
      </c>
      <c r="AL5774">
        <v>89.787372523774806</v>
      </c>
      <c r="AM5774">
        <v>100.162439933812</v>
      </c>
      <c r="AN5774">
        <v>0.99999999398714101</v>
      </c>
    </row>
    <row r="5775" spans="1:40" x14ac:dyDescent="0.25">
      <c r="A5775" t="str">
        <f>"20190305135941191"</f>
        <v>20190305135941191</v>
      </c>
      <c r="B5775" t="str">
        <f>"1551765581184497"</f>
        <v>1551765581184497</v>
      </c>
      <c r="C5775" t="s">
        <v>40</v>
      </c>
      <c r="D5775">
        <v>4.7142920000000004</v>
      </c>
      <c r="E5775">
        <v>0.51053199999999999</v>
      </c>
      <c r="F5775" t="s">
        <v>96</v>
      </c>
      <c r="G5775">
        <v>-223.88229999999999</v>
      </c>
      <c r="H5775" s="1">
        <v>-8.4383779999999998E-7</v>
      </c>
      <c r="I5775">
        <v>-60.110900000000001</v>
      </c>
      <c r="J5775">
        <v>-245.0352</v>
      </c>
      <c r="K5775">
        <v>1.1084369999999999</v>
      </c>
      <c r="L5775">
        <v>-61.61533</v>
      </c>
      <c r="M5775">
        <v>0.99695990000000001</v>
      </c>
      <c r="N5775">
        <v>-1.345415E-2</v>
      </c>
      <c r="O5775">
        <v>-7.6746229999999999E-2</v>
      </c>
      <c r="P5775">
        <v>0.99475429999999998</v>
      </c>
      <c r="Q5775">
        <v>-9.3615539999999994E-3</v>
      </c>
      <c r="R5775">
        <v>0.1018638</v>
      </c>
      <c r="S5775">
        <v>2.9928279999999998</v>
      </c>
      <c r="T5775">
        <v>-0.15538289999999999</v>
      </c>
      <c r="U5775">
        <v>0.2087097</v>
      </c>
      <c r="V5775">
        <v>-0.1779039</v>
      </c>
      <c r="W5775">
        <v>4.317095E-3</v>
      </c>
      <c r="X5775">
        <v>0.98403839999999998</v>
      </c>
      <c r="Y5775">
        <v>-0.14562710000000001</v>
      </c>
      <c r="Z5775">
        <v>7.7007999999999998E-3</v>
      </c>
      <c r="AA5775">
        <v>0.98930960000000001</v>
      </c>
      <c r="AB5775">
        <v>34</v>
      </c>
      <c r="AC5775">
        <v>21.152899999999999</v>
      </c>
      <c r="AD5775">
        <v>-1.1084378438378</v>
      </c>
      <c r="AE5775">
        <v>1.5044299999999999</v>
      </c>
      <c r="AF5775">
        <v>-3.1150338774851898</v>
      </c>
      <c r="AG5775">
        <v>-1.1084378438378</v>
      </c>
      <c r="AH5775">
        <v>20.917882700035499</v>
      </c>
      <c r="AI5775">
        <v>93.000240991642301</v>
      </c>
      <c r="AJ5775">
        <v>98.470084936895404</v>
      </c>
      <c r="AK5775">
        <v>21.1775798231049</v>
      </c>
      <c r="AL5775">
        <v>89.752647909351595</v>
      </c>
      <c r="AM5775">
        <v>100.24778813837101</v>
      </c>
      <c r="AN5775">
        <v>1.0000000038095</v>
      </c>
    </row>
    <row r="5776" spans="1:40" x14ac:dyDescent="0.25">
      <c r="A5776" t="str">
        <f>"20190305135941202"</f>
        <v>20190305135941202</v>
      </c>
      <c r="B5776" t="str">
        <f>"1551765581195232"</f>
        <v>1551765581195232</v>
      </c>
      <c r="C5776" t="s">
        <v>40</v>
      </c>
      <c r="D5776">
        <v>4.5966809999999896</v>
      </c>
      <c r="E5776">
        <v>0.51049449999999996</v>
      </c>
      <c r="F5776" t="s">
        <v>96</v>
      </c>
      <c r="G5776">
        <v>-223.66630000000001</v>
      </c>
      <c r="H5776" s="1">
        <v>-7.5225069999999997E-7</v>
      </c>
      <c r="I5776">
        <v>-60.106110000000001</v>
      </c>
      <c r="J5776">
        <v>-244.88249999999999</v>
      </c>
      <c r="K5776">
        <v>1.1084510000000001</v>
      </c>
      <c r="L5776">
        <v>-61.627499999999998</v>
      </c>
      <c r="M5776">
        <v>0.99692460000000005</v>
      </c>
      <c r="N5776">
        <v>-1.348037E-2</v>
      </c>
      <c r="O5776">
        <v>-7.7199519999999994E-2</v>
      </c>
      <c r="P5776">
        <v>0.99464149999999996</v>
      </c>
      <c r="Q5776">
        <v>-9.0530590000000005E-3</v>
      </c>
      <c r="R5776">
        <v>0.1029877</v>
      </c>
      <c r="S5776">
        <v>2.9927060000000001</v>
      </c>
      <c r="T5776">
        <v>-0.15523619999999999</v>
      </c>
      <c r="U5776">
        <v>0.21136469999999999</v>
      </c>
      <c r="V5776">
        <v>-0.1794627</v>
      </c>
      <c r="W5776">
        <v>4.648971E-3</v>
      </c>
      <c r="X5776">
        <v>0.98375380000000001</v>
      </c>
      <c r="Y5776">
        <v>-0.1469509</v>
      </c>
      <c r="Z5776">
        <v>7.7541290000000002E-3</v>
      </c>
      <c r="AA5776">
        <v>0.98911340000000003</v>
      </c>
      <c r="AB5776">
        <v>34</v>
      </c>
      <c r="AC5776">
        <v>21.216199999999901</v>
      </c>
      <c r="AD5776">
        <v>-1.1084517522507</v>
      </c>
      <c r="AE5776">
        <v>1.52138999999999</v>
      </c>
      <c r="AF5776">
        <v>-3.14633372740363</v>
      </c>
      <c r="AG5776">
        <v>-1.1084517522507</v>
      </c>
      <c r="AH5776">
        <v>20.978441247153398</v>
      </c>
      <c r="AI5776">
        <v>92.991169794661303</v>
      </c>
      <c r="AJ5776">
        <v>98.529610474197497</v>
      </c>
      <c r="AK5776">
        <v>21.2420121074143</v>
      </c>
      <c r="AL5776">
        <v>89.7336326248018</v>
      </c>
      <c r="AM5776">
        <v>100.33857805912901</v>
      </c>
      <c r="AN5776">
        <v>1.0000000063185399</v>
      </c>
    </row>
    <row r="5777" spans="1:40" x14ac:dyDescent="0.25">
      <c r="A5777" t="str">
        <f>"20190305135941211"</f>
        <v>20190305135941211</v>
      </c>
      <c r="B5777" t="str">
        <f>"1551765581204991"</f>
        <v>1551765581204991</v>
      </c>
      <c r="C5777" t="s">
        <v>40</v>
      </c>
      <c r="D5777">
        <v>4.6000079999999999</v>
      </c>
      <c r="E5777">
        <v>0.51044650000000003</v>
      </c>
      <c r="F5777" t="s">
        <v>96</v>
      </c>
      <c r="G5777">
        <v>-223.3323</v>
      </c>
      <c r="H5777" s="1">
        <v>-6.1500420000000003E-7</v>
      </c>
      <c r="I5777">
        <v>-60.078789999999998</v>
      </c>
      <c r="J5777">
        <v>-244.72020000000001</v>
      </c>
      <c r="K5777">
        <v>1.1084620000000001</v>
      </c>
      <c r="L5777">
        <v>-61.640529999999998</v>
      </c>
      <c r="M5777">
        <v>0.99688690000000002</v>
      </c>
      <c r="N5777">
        <v>-1.350583E-2</v>
      </c>
      <c r="O5777">
        <v>-7.7681539999999993E-2</v>
      </c>
      <c r="P5777">
        <v>0.99452280000000004</v>
      </c>
      <c r="Q5777">
        <v>-8.4559879999999994E-3</v>
      </c>
      <c r="R5777">
        <v>0.1041786</v>
      </c>
      <c r="S5777">
        <v>2.9925079999999999</v>
      </c>
      <c r="T5777">
        <v>-0.1539218</v>
      </c>
      <c r="U5777">
        <v>0.21505740000000001</v>
      </c>
      <c r="V5777">
        <v>-0.1811149</v>
      </c>
      <c r="W5777">
        <v>5.2683749999999996E-3</v>
      </c>
      <c r="X5777">
        <v>0.98344779999999998</v>
      </c>
      <c r="Y5777">
        <v>-0.1486497</v>
      </c>
      <c r="Z5777">
        <v>7.761703E-3</v>
      </c>
      <c r="AA5777">
        <v>0.9888595</v>
      </c>
      <c r="AB5777">
        <v>34</v>
      </c>
      <c r="AC5777">
        <v>21.387899999999998</v>
      </c>
      <c r="AD5777">
        <v>-1.1084626150041901</v>
      </c>
      <c r="AE5777">
        <v>1.5617399999999999</v>
      </c>
      <c r="AF5777">
        <v>-3.2100397696225502</v>
      </c>
      <c r="AG5777">
        <v>-1.1084626150041901</v>
      </c>
      <c r="AH5777">
        <v>21.145433962816501</v>
      </c>
      <c r="AI5777">
        <v>92.966819980806605</v>
      </c>
      <c r="AJ5777">
        <v>98.632033301490495</v>
      </c>
      <c r="AK5777">
        <v>21.4164054445944</v>
      </c>
      <c r="AL5777">
        <v>89.698142941875105</v>
      </c>
      <c r="AM5777">
        <v>100.434853069832</v>
      </c>
      <c r="AN5777">
        <v>0.99999996905099398</v>
      </c>
    </row>
    <row r="5778" spans="1:40" x14ac:dyDescent="0.25">
      <c r="A5778" t="str">
        <f>"20190305135941223"</f>
        <v>20190305135941223</v>
      </c>
      <c r="B5778" t="str">
        <f>"1551765581214753"</f>
        <v>1551765581214753</v>
      </c>
      <c r="C5778" t="s">
        <v>40</v>
      </c>
      <c r="D5778">
        <v>4.6241250000000003</v>
      </c>
      <c r="E5778">
        <v>0.51038130000000004</v>
      </c>
      <c r="F5778" t="s">
        <v>96</v>
      </c>
      <c r="G5778">
        <v>-222.89830000000001</v>
      </c>
      <c r="H5778" s="1">
        <v>-4.3672730000000002E-7</v>
      </c>
      <c r="I5778">
        <v>-60.043019999999999</v>
      </c>
      <c r="J5778">
        <v>-244.553</v>
      </c>
      <c r="K5778">
        <v>1.108468</v>
      </c>
      <c r="L5778">
        <v>-61.654020000000003</v>
      </c>
      <c r="M5778">
        <v>0.99684759999999994</v>
      </c>
      <c r="N5778">
        <v>-1.3530520000000001E-2</v>
      </c>
      <c r="O5778">
        <v>-7.8179070000000003E-2</v>
      </c>
      <c r="P5778">
        <v>0.99439940000000004</v>
      </c>
      <c r="Q5778">
        <v>-8.1960149999999992E-3</v>
      </c>
      <c r="R5778">
        <v>0.1053688</v>
      </c>
      <c r="S5778">
        <v>2.9922789999999999</v>
      </c>
      <c r="T5778">
        <v>-0.1519952</v>
      </c>
      <c r="U5778">
        <v>0.21905520000000001</v>
      </c>
      <c r="V5778">
        <v>-0.18278150000000001</v>
      </c>
      <c r="W5778">
        <v>5.550658E-3</v>
      </c>
      <c r="X5778">
        <v>0.98313790000000001</v>
      </c>
      <c r="Y5778">
        <v>-0.15046670000000001</v>
      </c>
      <c r="Z5778">
        <v>7.74127699999999E-3</v>
      </c>
      <c r="AA5778">
        <v>0.98858480000000004</v>
      </c>
      <c r="AB5778">
        <v>34</v>
      </c>
      <c r="AC5778">
        <v>21.654699999999899</v>
      </c>
      <c r="AD5778">
        <v>-1.1084684367272899</v>
      </c>
      <c r="AE5778">
        <v>1.61099999999999</v>
      </c>
      <c r="AF5778">
        <v>-3.29059279579986</v>
      </c>
      <c r="AG5778">
        <v>-1.1084684367272899</v>
      </c>
      <c r="AH5778">
        <v>21.4066699810469</v>
      </c>
      <c r="AI5778">
        <v>92.929859093318299</v>
      </c>
      <c r="AJ5778">
        <v>98.738995235774794</v>
      </c>
      <c r="AK5778">
        <v>21.6864525199592</v>
      </c>
      <c r="AL5778">
        <v>89.681969092684199</v>
      </c>
      <c r="AM5778">
        <v>100.531980422678</v>
      </c>
      <c r="AN5778">
        <v>1.00000000848144</v>
      </c>
    </row>
    <row r="5779" spans="1:40" x14ac:dyDescent="0.25">
      <c r="A5779" t="str">
        <f>"20190305135941233"</f>
        <v>20190305135941233</v>
      </c>
      <c r="B5779" t="str">
        <f>"1551765581224513"</f>
        <v>1551765581224513</v>
      </c>
      <c r="C5779" t="s">
        <v>40</v>
      </c>
      <c r="D5779">
        <v>4.8784400000000003</v>
      </c>
      <c r="E5779">
        <v>0.51033300000000004</v>
      </c>
      <c r="F5779" t="s">
        <v>96</v>
      </c>
      <c r="G5779">
        <v>-222.63929999999999</v>
      </c>
      <c r="H5779" s="1">
        <v>-3.3082710000000002E-7</v>
      </c>
      <c r="I5779">
        <v>-60.019469999999998</v>
      </c>
      <c r="J5779">
        <v>-244.39500000000001</v>
      </c>
      <c r="K5779">
        <v>1.1084780000000001</v>
      </c>
      <c r="L5779">
        <v>-61.666870000000003</v>
      </c>
      <c r="M5779">
        <v>0.99681030000000004</v>
      </c>
      <c r="N5779">
        <v>-1.3552160000000001E-2</v>
      </c>
      <c r="O5779">
        <v>-7.8649640000000007E-2</v>
      </c>
      <c r="P5779">
        <v>0.99425830000000004</v>
      </c>
      <c r="Q5779">
        <v>-7.7601559999999998E-3</v>
      </c>
      <c r="R5779">
        <v>0.1067259</v>
      </c>
      <c r="S5779">
        <v>2.9919889999999998</v>
      </c>
      <c r="T5779">
        <v>-0.15134510000000001</v>
      </c>
      <c r="U5779">
        <v>0.22317500000000001</v>
      </c>
      <c r="V5779">
        <v>-0.18458649999999999</v>
      </c>
      <c r="W5779">
        <v>6.0055539999999998E-3</v>
      </c>
      <c r="X5779">
        <v>0.9827979</v>
      </c>
      <c r="Y5779">
        <v>-0.15229309999999999</v>
      </c>
      <c r="Z5779">
        <v>7.7843869999999898E-3</v>
      </c>
      <c r="AA5779">
        <v>0.98830469999999904</v>
      </c>
      <c r="AB5779">
        <v>34</v>
      </c>
      <c r="AC5779">
        <v>21.755700000000001</v>
      </c>
      <c r="AD5779">
        <v>-1.1084783308271</v>
      </c>
      <c r="AE5779">
        <v>1.64739999999999</v>
      </c>
      <c r="AF5779">
        <v>-3.3448969761938598</v>
      </c>
      <c r="AG5779">
        <v>-1.1084783308271</v>
      </c>
      <c r="AH5779">
        <v>21.5032115562752</v>
      </c>
      <c r="AI5779">
        <v>92.915946922946404</v>
      </c>
      <c r="AJ5779">
        <v>98.841692172729196</v>
      </c>
      <c r="AK5779">
        <v>21.790024488861601</v>
      </c>
      <c r="AL5779">
        <v>89.655905025988702</v>
      </c>
      <c r="AM5779">
        <v>100.637219711737</v>
      </c>
      <c r="AN5779">
        <v>0.99999997745275304</v>
      </c>
    </row>
    <row r="5780" spans="1:40" x14ac:dyDescent="0.25">
      <c r="A5780" t="str">
        <f>"20190305135941245"</f>
        <v>20190305135941245</v>
      </c>
      <c r="B5780" t="str">
        <f>"1551765581235249"</f>
        <v>1551765581235249</v>
      </c>
      <c r="C5780" t="s">
        <v>40</v>
      </c>
      <c r="D5780">
        <v>4.5483909999999996</v>
      </c>
      <c r="E5780">
        <v>0.51027920000000004</v>
      </c>
      <c r="F5780" t="s">
        <v>96</v>
      </c>
      <c r="G5780">
        <v>-222.31809999999999</v>
      </c>
      <c r="H5780" s="1">
        <v>-2.0022400000000001E-7</v>
      </c>
      <c r="I5780">
        <v>-59.986879999999999</v>
      </c>
      <c r="J5780">
        <v>-244.2199</v>
      </c>
      <c r="K5780">
        <v>1.108487</v>
      </c>
      <c r="L5780">
        <v>-61.681179999999998</v>
      </c>
      <c r="M5780">
        <v>0.99676849999999995</v>
      </c>
      <c r="N5780">
        <v>-1.3574279999999999E-2</v>
      </c>
      <c r="O5780">
        <v>-7.9171720000000001E-2</v>
      </c>
      <c r="P5780">
        <v>0.99408269999999999</v>
      </c>
      <c r="Q5780">
        <v>-7.286664E-3</v>
      </c>
      <c r="R5780">
        <v>0.108381199999999</v>
      </c>
      <c r="S5780">
        <v>2.991714</v>
      </c>
      <c r="T5780">
        <v>-0.15021370000000001</v>
      </c>
      <c r="U5780">
        <v>0.22766110000000001</v>
      </c>
      <c r="V5780">
        <v>-0.1867365</v>
      </c>
      <c r="W5780">
        <v>6.4985930000000004E-3</v>
      </c>
      <c r="X5780">
        <v>0.98238859999999995</v>
      </c>
      <c r="Y5780">
        <v>-0.1542916</v>
      </c>
      <c r="Z5780">
        <v>7.8091609999999898E-3</v>
      </c>
      <c r="AA5780">
        <v>0.9879945</v>
      </c>
      <c r="AB5780">
        <v>34</v>
      </c>
      <c r="AC5780">
        <v>21.901800000000001</v>
      </c>
      <c r="AD5780">
        <v>-1.108487200224</v>
      </c>
      <c r="AE5780">
        <v>1.6942999999999899</v>
      </c>
      <c r="AF5780">
        <v>-3.41444943726558</v>
      </c>
      <c r="AG5780">
        <v>-1.108487200224</v>
      </c>
      <c r="AH5780">
        <v>21.643772719420301</v>
      </c>
      <c r="AI5780">
        <v>92.896091227441104</v>
      </c>
      <c r="AJ5780">
        <v>98.964908035545605</v>
      </c>
      <c r="AK5780">
        <v>21.939464586963499</v>
      </c>
      <c r="AL5780">
        <v>89.627655448644703</v>
      </c>
      <c r="AM5780">
        <v>100.762620354245</v>
      </c>
      <c r="AN5780">
        <v>1.0000000567765901</v>
      </c>
    </row>
    <row r="5781" spans="1:40" x14ac:dyDescent="0.25">
      <c r="A5781" t="str">
        <f>"20190305135941254"</f>
        <v>20190305135941254</v>
      </c>
      <c r="B5781" t="str">
        <f>"1551765581245008"</f>
        <v>1551765581245008</v>
      </c>
      <c r="C5781" t="s">
        <v>40</v>
      </c>
      <c r="D5781">
        <v>4.5911790000000003</v>
      </c>
      <c r="E5781">
        <v>0.51022650000000003</v>
      </c>
      <c r="F5781" t="s">
        <v>96</v>
      </c>
      <c r="G5781">
        <v>-222.3329</v>
      </c>
      <c r="H5781" s="1">
        <v>-2.0858810000000001E-7</v>
      </c>
      <c r="I5781">
        <v>-59.977699999999999</v>
      </c>
      <c r="J5781">
        <v>-244.05950000000001</v>
      </c>
      <c r="K5781">
        <v>1.1084969999999901</v>
      </c>
      <c r="L5781">
        <v>-61.6943699999999</v>
      </c>
      <c r="M5781">
        <v>0.99673029999999996</v>
      </c>
      <c r="N5781">
        <v>-1.359344E-2</v>
      </c>
      <c r="O5781">
        <v>-7.9651109999999997E-2</v>
      </c>
      <c r="P5781">
        <v>0.99387930000000002</v>
      </c>
      <c r="Q5781">
        <v>-6.8159700000000002E-3</v>
      </c>
      <c r="R5781">
        <v>0.11026130000000001</v>
      </c>
      <c r="S5781">
        <v>2.9913639999999999</v>
      </c>
      <c r="T5781">
        <v>-0.15149969999999999</v>
      </c>
      <c r="U5781">
        <v>0.23281859999999999</v>
      </c>
      <c r="V5781">
        <v>-0.18906580000000001</v>
      </c>
      <c r="W5781">
        <v>6.9859099999999997E-3</v>
      </c>
      <c r="X5781">
        <v>0.98193960000000002</v>
      </c>
      <c r="Y5781">
        <v>-0.15645970000000001</v>
      </c>
      <c r="Z5781">
        <v>7.9640040000000002E-3</v>
      </c>
      <c r="AA5781">
        <v>0.98765219999999998</v>
      </c>
      <c r="AB5781">
        <v>34</v>
      </c>
      <c r="AC5781">
        <v>21.726600000000001</v>
      </c>
      <c r="AD5781">
        <v>-1.10849720858809</v>
      </c>
      <c r="AE5781">
        <v>1.7166699999999899</v>
      </c>
      <c r="AF5781">
        <v>-3.43304118802509</v>
      </c>
      <c r="AG5781">
        <v>-1.10849720858809</v>
      </c>
      <c r="AH5781">
        <v>21.465281337442299</v>
      </c>
      <c r="AI5781">
        <v>92.919174548257004</v>
      </c>
      <c r="AJ5781">
        <v>99.086623280961604</v>
      </c>
      <c r="AK5781">
        <v>21.766323547068598</v>
      </c>
      <c r="AL5781">
        <v>89.599733596751605</v>
      </c>
      <c r="AM5781">
        <v>100.898539261875</v>
      </c>
      <c r="AN5781">
        <v>1.0000000288581601</v>
      </c>
    </row>
    <row r="5782" spans="1:40" x14ac:dyDescent="0.25">
      <c r="A5782" t="str">
        <f>"20190305135941266"</f>
        <v>20190305135941266</v>
      </c>
      <c r="B5782" t="str">
        <f>"1551765581254768"</f>
        <v>1551765581254768</v>
      </c>
      <c r="C5782" t="s">
        <v>40</v>
      </c>
      <c r="D5782">
        <v>4.5534400000000002</v>
      </c>
      <c r="E5782">
        <v>0.51016130000000004</v>
      </c>
      <c r="F5782" t="s">
        <v>96</v>
      </c>
      <c r="G5782">
        <v>-222.36920000000001</v>
      </c>
      <c r="H5782" s="1">
        <v>-2.2729239999999999E-7</v>
      </c>
      <c r="I5782">
        <v>-59.963700000000003</v>
      </c>
      <c r="J5782">
        <v>-243.89590000000001</v>
      </c>
      <c r="K5782">
        <v>1.1085050000000001</v>
      </c>
      <c r="L5782">
        <v>-61.707920000000001</v>
      </c>
      <c r="M5782">
        <v>0.99669059999999998</v>
      </c>
      <c r="N5782">
        <v>-1.3611059999999999E-2</v>
      </c>
      <c r="O5782">
        <v>-8.0139790000000002E-2</v>
      </c>
      <c r="P5782">
        <v>0.99367850000000002</v>
      </c>
      <c r="Q5782">
        <v>-6.7040399999999997E-3</v>
      </c>
      <c r="R5782">
        <v>0.1120631</v>
      </c>
      <c r="S5782">
        <v>2.9909520000000001</v>
      </c>
      <c r="T5782">
        <v>-0.15285489999999999</v>
      </c>
      <c r="U5782">
        <v>0.23864750000000001</v>
      </c>
      <c r="V5782">
        <v>-0.1913272</v>
      </c>
      <c r="W5782">
        <v>7.1132219999999998E-3</v>
      </c>
      <c r="X5782">
        <v>0.98150059999999995</v>
      </c>
      <c r="Y5782">
        <v>-0.1588571</v>
      </c>
      <c r="Z5782">
        <v>8.1317779999999992E-3</v>
      </c>
      <c r="AA5782">
        <v>0.98726809999999998</v>
      </c>
      <c r="AB5782">
        <v>34</v>
      </c>
      <c r="AC5782">
        <v>21.526700000000002</v>
      </c>
      <c r="AD5782">
        <v>-1.1085052272924001</v>
      </c>
      <c r="AE5782">
        <v>1.7442199999999899</v>
      </c>
      <c r="AF5782">
        <v>-3.45481282778431</v>
      </c>
      <c r="AG5782">
        <v>-1.1085052272924001</v>
      </c>
      <c r="AH5782">
        <v>21.2616437323829</v>
      </c>
      <c r="AI5782">
        <v>92.9459245475839</v>
      </c>
      <c r="AJ5782">
        <v>99.229349915922199</v>
      </c>
      <c r="AK5782">
        <v>21.569005765605802</v>
      </c>
      <c r="AL5782">
        <v>89.592438988757394</v>
      </c>
      <c r="AM5782">
        <v>101.030530083534</v>
      </c>
      <c r="AN5782">
        <v>1.0000000615936999</v>
      </c>
    </row>
    <row r="5783" spans="1:40" x14ac:dyDescent="0.25">
      <c r="A5783" t="str">
        <f>"20190305135941278"</f>
        <v>20190305135941278</v>
      </c>
      <c r="B5783" t="str">
        <f>"1551765581264528"</f>
        <v>1551765581264528</v>
      </c>
      <c r="C5783" t="s">
        <v>40</v>
      </c>
      <c r="D5783">
        <v>4.7112639999999999</v>
      </c>
      <c r="E5783">
        <v>0.51016130000000004</v>
      </c>
      <c r="F5783" t="s">
        <v>96</v>
      </c>
      <c r="G5783">
        <v>-222.65440000000001</v>
      </c>
      <c r="H5783" s="1">
        <v>-3.4758699999999997E-7</v>
      </c>
      <c r="I5783">
        <v>-59.972900000000003</v>
      </c>
      <c r="J5783">
        <v>-243.71600000000001</v>
      </c>
      <c r="K5783">
        <v>1.1085149999999999</v>
      </c>
      <c r="L5783">
        <v>-61.722839999999998</v>
      </c>
      <c r="M5783">
        <v>0.99664719999999996</v>
      </c>
      <c r="N5783">
        <v>-1.362975E-2</v>
      </c>
      <c r="O5783">
        <v>-8.0677589999999993E-2</v>
      </c>
      <c r="P5783">
        <v>0.99342419999999998</v>
      </c>
      <c r="Q5783">
        <v>-6.645743E-3</v>
      </c>
      <c r="R5783">
        <v>0.11429930000000001</v>
      </c>
      <c r="S5783">
        <v>2.9904790000000001</v>
      </c>
      <c r="T5783">
        <v>-0.15606049999999999</v>
      </c>
      <c r="U5783">
        <v>0.2442627</v>
      </c>
      <c r="V5783">
        <v>-0.19406470000000001</v>
      </c>
      <c r="W5783">
        <v>7.1871289999999996E-3</v>
      </c>
      <c r="X5783">
        <v>0.98096240000000001</v>
      </c>
      <c r="Y5783">
        <v>-0.16122590000000001</v>
      </c>
      <c r="Z5783">
        <v>8.4016860000000002E-3</v>
      </c>
      <c r="AA5783">
        <v>0.98688180000000003</v>
      </c>
      <c r="AB5783">
        <v>34</v>
      </c>
      <c r="AC5783">
        <v>21.061599999999899</v>
      </c>
      <c r="AD5783">
        <v>-1.108515347587</v>
      </c>
      <c r="AE5783">
        <v>1.7499400000000001</v>
      </c>
      <c r="AF5783">
        <v>-3.4341434993003102</v>
      </c>
      <c r="AG5783">
        <v>-1.108515347587</v>
      </c>
      <c r="AH5783">
        <v>20.794528973321501</v>
      </c>
      <c r="AI5783">
        <v>93.010733105727496</v>
      </c>
      <c r="AJ5783">
        <v>99.377555788166703</v>
      </c>
      <c r="AK5783">
        <v>21.105321202766099</v>
      </c>
      <c r="AL5783">
        <v>89.588204294748493</v>
      </c>
      <c r="AM5783">
        <v>101.190383949916</v>
      </c>
      <c r="AN5783">
        <v>0.99999999641155601</v>
      </c>
    </row>
    <row r="5784" spans="1:40" x14ac:dyDescent="0.25">
      <c r="A5784" t="str">
        <f>"20190305135941288"</f>
        <v>20190305135941288</v>
      </c>
      <c r="B5784" t="str">
        <f>"1551765581285024"</f>
        <v>1551765581285024</v>
      </c>
      <c r="C5784" t="s">
        <v>40</v>
      </c>
      <c r="D5784">
        <v>4.5254799999999999</v>
      </c>
      <c r="E5784">
        <v>0.51081809999999905</v>
      </c>
      <c r="F5784" t="s">
        <v>96</v>
      </c>
      <c r="G5784">
        <v>-222.45070000000001</v>
      </c>
      <c r="H5784" s="1">
        <v>-2.6790309999999998E-7</v>
      </c>
      <c r="I5784">
        <v>-59.938040000000001</v>
      </c>
      <c r="J5784">
        <v>-243.54910000000001</v>
      </c>
      <c r="K5784">
        <v>1.1085229999999999</v>
      </c>
      <c r="L5784">
        <v>-61.736849999999997</v>
      </c>
      <c r="M5784">
        <v>0.9966064</v>
      </c>
      <c r="N5784">
        <v>-1.364485E-2</v>
      </c>
      <c r="O5784">
        <v>-8.1176280000000003E-2</v>
      </c>
      <c r="P5784">
        <v>0.99318629999999997</v>
      </c>
      <c r="Q5784">
        <v>-6.2711160000000002E-3</v>
      </c>
      <c r="R5784">
        <v>0.1163696</v>
      </c>
      <c r="S5784">
        <v>2.9899439999999999</v>
      </c>
      <c r="T5784">
        <v>-0.15585950000000001</v>
      </c>
      <c r="U5784">
        <v>0.250946</v>
      </c>
      <c r="V5784">
        <v>-0.1965992</v>
      </c>
      <c r="W5784">
        <v>7.5743109999999898E-3</v>
      </c>
      <c r="X5784">
        <v>0.98045470000000001</v>
      </c>
      <c r="Y5784">
        <v>-0.16392010000000001</v>
      </c>
      <c r="Z5784">
        <v>8.4995330000000001E-3</v>
      </c>
      <c r="AA5784">
        <v>0.98643700000000001</v>
      </c>
      <c r="AB5784">
        <v>34</v>
      </c>
      <c r="AC5784">
        <v>21.098400000000002</v>
      </c>
      <c r="AD5784">
        <v>-1.1085232679031001</v>
      </c>
      <c r="AE5784">
        <v>1.79880999999999</v>
      </c>
      <c r="AF5784">
        <v>-3.49613988860348</v>
      </c>
      <c r="AG5784">
        <v>-1.1085232679031001</v>
      </c>
      <c r="AH5784">
        <v>20.825648237790102</v>
      </c>
      <c r="AI5784">
        <v>93.004936889101401</v>
      </c>
      <c r="AJ5784">
        <v>99.529761722225501</v>
      </c>
      <c r="AK5784">
        <v>21.146144860951299</v>
      </c>
      <c r="AL5784">
        <v>89.566019804785697</v>
      </c>
      <c r="AM5784">
        <v>101.33848893365101</v>
      </c>
      <c r="AN5784">
        <v>1.0000000171899199</v>
      </c>
    </row>
    <row r="5785" spans="1:40" x14ac:dyDescent="0.25">
      <c r="A5785" t="str">
        <f>"20190305135941301"</f>
        <v>20190305135941301</v>
      </c>
      <c r="B5785" t="str">
        <f>"1551765581294784"</f>
        <v>1551765581294784</v>
      </c>
      <c r="C5785" t="s">
        <v>40</v>
      </c>
      <c r="D5785">
        <v>4.4899139999999997</v>
      </c>
      <c r="E5785">
        <v>0.51056429999999997</v>
      </c>
      <c r="F5785" t="s">
        <v>94</v>
      </c>
      <c r="G5785">
        <v>-230.0908</v>
      </c>
      <c r="H5785" s="1">
        <v>9.0643019999999998E-7</v>
      </c>
      <c r="I5785">
        <v>-60.6372</v>
      </c>
      <c r="J5785">
        <v>-243.36660000000001</v>
      </c>
      <c r="K5785">
        <v>1.108533</v>
      </c>
      <c r="L5785">
        <v>-61.752200000000002</v>
      </c>
      <c r="M5785">
        <v>0.99656160000000005</v>
      </c>
      <c r="N5785">
        <v>-1.366084E-2</v>
      </c>
      <c r="O5785">
        <v>-8.1721219999999997E-2</v>
      </c>
      <c r="P5785">
        <v>0.99288699999999996</v>
      </c>
      <c r="Q5785">
        <v>-5.6418479999999997E-3</v>
      </c>
      <c r="R5785">
        <v>0.11892659999999999</v>
      </c>
      <c r="S5785">
        <v>2.9903870000000001</v>
      </c>
      <c r="T5785">
        <v>-0.24631069999999999</v>
      </c>
      <c r="U5785">
        <v>0.2443237</v>
      </c>
      <c r="V5785">
        <v>-0.1996571</v>
      </c>
      <c r="W5785">
        <v>8.2170679999999992E-3</v>
      </c>
      <c r="X5785">
        <v>0.97983140000000002</v>
      </c>
      <c r="Y5785">
        <v>-0.1617894</v>
      </c>
      <c r="Z5785">
        <v>1.3345579999999999E-2</v>
      </c>
      <c r="AA5785">
        <v>0.98673500000000003</v>
      </c>
      <c r="AB5785">
        <v>34</v>
      </c>
      <c r="AC5785">
        <v>13.2758</v>
      </c>
      <c r="AD5785">
        <v>-1.1085320935698</v>
      </c>
      <c r="AE5785">
        <v>1.115</v>
      </c>
      <c r="AF5785">
        <v>-2.1811843844911398</v>
      </c>
      <c r="AG5785">
        <v>-1.1085320935698</v>
      </c>
      <c r="AH5785">
        <v>13.0499091347021</v>
      </c>
      <c r="AI5785">
        <v>94.789246404826301</v>
      </c>
      <c r="AJ5785">
        <v>99.488803618325804</v>
      </c>
      <c r="AK5785">
        <v>13.277294044556101</v>
      </c>
      <c r="AL5785">
        <v>89.529191397164695</v>
      </c>
      <c r="AM5785">
        <v>101.51730175778</v>
      </c>
      <c r="AN5785">
        <v>1.00000002510644</v>
      </c>
    </row>
    <row r="5786" spans="1:40" x14ac:dyDescent="0.25">
      <c r="A5786" t="str">
        <f>"20190305135941312"</f>
        <v>20190305135941312</v>
      </c>
      <c r="B5786" t="str">
        <f>"1551765581304544"</f>
        <v>1551765581304544</v>
      </c>
      <c r="C5786" t="s">
        <v>40</v>
      </c>
      <c r="D5786">
        <v>4.6963879999999998</v>
      </c>
      <c r="E5786">
        <v>0.50930989999999998</v>
      </c>
      <c r="F5786" t="s">
        <v>96</v>
      </c>
      <c r="G5786">
        <v>-229.52610000000001</v>
      </c>
      <c r="H5786" s="1">
        <v>-3.247078E-6</v>
      </c>
      <c r="I5786">
        <v>-60.574210000000001</v>
      </c>
      <c r="J5786">
        <v>-243.19059999999999</v>
      </c>
      <c r="K5786">
        <v>1.108541</v>
      </c>
      <c r="L5786">
        <v>-61.767119999999998</v>
      </c>
      <c r="M5786">
        <v>0.99651829999999997</v>
      </c>
      <c r="N5786">
        <v>-1.367468E-2</v>
      </c>
      <c r="O5786">
        <v>-8.2246589999999994E-2</v>
      </c>
      <c r="P5786">
        <v>0.99255409999999999</v>
      </c>
      <c r="Q5786">
        <v>-4.8281359999999898E-3</v>
      </c>
      <c r="R5786">
        <v>0.12170889999999999</v>
      </c>
      <c r="S5786">
        <v>2.9896699999999998</v>
      </c>
      <c r="T5786">
        <v>-0.23945279999999999</v>
      </c>
      <c r="U5786">
        <v>0.2544556</v>
      </c>
      <c r="V5786">
        <v>-0.2029176</v>
      </c>
      <c r="W5786">
        <v>9.0414889999999998E-3</v>
      </c>
      <c r="X5786">
        <v>0.97915410000000003</v>
      </c>
      <c r="Y5786">
        <v>-0.16567750000000001</v>
      </c>
      <c r="Z5786">
        <v>1.319334E-2</v>
      </c>
      <c r="AA5786">
        <v>0.98609170000000002</v>
      </c>
      <c r="AB5786">
        <v>34</v>
      </c>
      <c r="AC5786">
        <v>13.664499999999901</v>
      </c>
      <c r="AD5786">
        <v>-1.108544247078</v>
      </c>
      <c r="AE5786">
        <v>1.1929099999999899</v>
      </c>
      <c r="AF5786">
        <v>-2.29782265930826</v>
      </c>
      <c r="AG5786">
        <v>-1.108544247078</v>
      </c>
      <c r="AH5786">
        <v>13.4323392007464</v>
      </c>
      <c r="AI5786">
        <v>94.650562373219302</v>
      </c>
      <c r="AJ5786">
        <v>99.7074219571425</v>
      </c>
      <c r="AK5786">
        <v>13.672475844749901</v>
      </c>
      <c r="AL5786">
        <v>89.481953794958997</v>
      </c>
      <c r="AM5786">
        <v>101.708109455697</v>
      </c>
      <c r="AN5786">
        <v>1.00000002622995</v>
      </c>
    </row>
    <row r="5787" spans="1:40" x14ac:dyDescent="0.25">
      <c r="A5787" t="str">
        <f>"20190305135941333"</f>
        <v>20190305135941333</v>
      </c>
      <c r="B5787" t="str">
        <f>"1551765581325040"</f>
        <v>1551765581325040</v>
      </c>
      <c r="C5787" t="s">
        <v>40</v>
      </c>
      <c r="D5787">
        <v>4.5543950000000004</v>
      </c>
      <c r="E5787">
        <v>0.50930989999999998</v>
      </c>
      <c r="F5787" t="s">
        <v>96</v>
      </c>
      <c r="G5787">
        <v>-228.80279999999999</v>
      </c>
      <c r="H5787" s="1">
        <v>-2.9094769999999998E-6</v>
      </c>
      <c r="I5787">
        <v>-60.451439999999998</v>
      </c>
      <c r="J5787">
        <v>-242.8553</v>
      </c>
      <c r="K5787">
        <v>1.108557</v>
      </c>
      <c r="L5787">
        <v>-61.795839999999998</v>
      </c>
      <c r="M5787">
        <v>0.99643499999999996</v>
      </c>
      <c r="N5787">
        <v>-1.369836E-2</v>
      </c>
      <c r="O5787">
        <v>-8.3244990000000005E-2</v>
      </c>
      <c r="P5787">
        <v>0.99171609999999999</v>
      </c>
      <c r="Q5787">
        <v>-3.3319439999999999E-3</v>
      </c>
      <c r="R5787">
        <v>0.12840670000000001</v>
      </c>
      <c r="S5787">
        <v>2.9878849999999999</v>
      </c>
      <c r="T5787">
        <v>-0.23020850000000001</v>
      </c>
      <c r="U5787">
        <v>0.27322390000000002</v>
      </c>
      <c r="V5787">
        <v>-0.21049999999999999</v>
      </c>
      <c r="W5787">
        <v>1.0553470000000001E-2</v>
      </c>
      <c r="X5787">
        <v>0.97753690000000004</v>
      </c>
      <c r="Y5787">
        <v>-0.17288919999999999</v>
      </c>
      <c r="Z5787">
        <v>1.3080420000000001E-2</v>
      </c>
      <c r="AA5787">
        <v>0.98485440000000002</v>
      </c>
      <c r="AB5787">
        <v>34</v>
      </c>
      <c r="AC5787">
        <v>14.0525</v>
      </c>
      <c r="AD5787">
        <v>-1.108559909477</v>
      </c>
      <c r="AE5787">
        <v>1.3444</v>
      </c>
      <c r="AF5787">
        <v>-2.4942613917622598</v>
      </c>
      <c r="AG5787">
        <v>-1.108559909477</v>
      </c>
      <c r="AH5787">
        <v>13.8066493767558</v>
      </c>
      <c r="AI5787">
        <v>94.517710285693795</v>
      </c>
      <c r="AJ5787">
        <v>100.24040552053501</v>
      </c>
      <c r="AK5787">
        <v>14.0738698294395</v>
      </c>
      <c r="AL5787">
        <v>89.395319489988495</v>
      </c>
      <c r="AM5787">
        <v>102.152342110653</v>
      </c>
      <c r="AN5787">
        <v>1.00000000829532</v>
      </c>
    </row>
    <row r="5788" spans="1:40" x14ac:dyDescent="0.25">
      <c r="A5788" t="str">
        <f>"20190305135941344"</f>
        <v>20190305135941344</v>
      </c>
      <c r="B5788" t="str">
        <f>"1551765581334801"</f>
        <v>1551765581334801</v>
      </c>
      <c r="C5788" t="s">
        <v>40</v>
      </c>
      <c r="D5788">
        <v>4.4116470000000003</v>
      </c>
      <c r="E5788">
        <v>0.41750179999999998</v>
      </c>
      <c r="F5788" t="s">
        <v>96</v>
      </c>
      <c r="G5788">
        <v>-228.1934</v>
      </c>
      <c r="H5788" s="1">
        <v>-2.6393849999999999E-6</v>
      </c>
      <c r="I5788">
        <v>-60.354750000000003</v>
      </c>
      <c r="J5788">
        <v>-242.7002</v>
      </c>
      <c r="K5788">
        <v>1.1085659999999999</v>
      </c>
      <c r="L5788">
        <v>-61.809170000000002</v>
      </c>
      <c r="M5788">
        <v>0.99639659999999997</v>
      </c>
      <c r="N5788">
        <v>-1.370795E-2</v>
      </c>
      <c r="O5788">
        <v>-8.3702260000000001E-2</v>
      </c>
      <c r="P5788">
        <v>0.9912763</v>
      </c>
      <c r="Q5788">
        <v>-2.6782189999999999E-3</v>
      </c>
      <c r="R5788">
        <v>0.13177410000000001</v>
      </c>
      <c r="S5788">
        <v>2.9862980000000001</v>
      </c>
      <c r="T5788">
        <v>-0.22578909999999999</v>
      </c>
      <c r="U5788">
        <v>0.293518099999999</v>
      </c>
      <c r="V5788">
        <v>-0.21426600000000001</v>
      </c>
      <c r="W5788">
        <v>1.1212420000000001E-2</v>
      </c>
      <c r="X5788">
        <v>0.976711</v>
      </c>
      <c r="Y5788">
        <v>-0.1800206</v>
      </c>
      <c r="Z5788">
        <v>1.318069E-2</v>
      </c>
      <c r="AA5788">
        <v>0.98357450000000002</v>
      </c>
      <c r="AB5788">
        <v>34</v>
      </c>
      <c r="AC5788">
        <v>14.506799999999901</v>
      </c>
      <c r="AD5788">
        <v>-1.1085686393849901</v>
      </c>
      <c r="AE5788">
        <v>1.4544199999999901</v>
      </c>
      <c r="AF5788">
        <v>-2.6483696767256499</v>
      </c>
      <c r="AG5788">
        <v>-1.1085686393849901</v>
      </c>
      <c r="AH5788">
        <v>14.2517376069894</v>
      </c>
      <c r="AI5788">
        <v>94.373215917140698</v>
      </c>
      <c r="AJ5788">
        <v>100.527073688405</v>
      </c>
      <c r="AK5788">
        <v>14.538047021223401</v>
      </c>
      <c r="AL5788">
        <v>89.3575621990569</v>
      </c>
      <c r="AM5788">
        <v>102.37325873643201</v>
      </c>
      <c r="AN5788">
        <v>1.00000000731962</v>
      </c>
    </row>
    <row r="5789" spans="1:40" x14ac:dyDescent="0.25">
      <c r="A5789" t="str">
        <f>"20190305135941355"</f>
        <v>20190305135941355</v>
      </c>
      <c r="B5789" t="str">
        <f>"1551765581344561"</f>
        <v>1551765581344561</v>
      </c>
      <c r="C5789" t="s">
        <v>40</v>
      </c>
      <c r="D5789">
        <v>4.429691</v>
      </c>
      <c r="E5789">
        <v>0.40798030000000002</v>
      </c>
      <c r="F5789" t="s">
        <v>95</v>
      </c>
      <c r="G5789">
        <v>-217.7176</v>
      </c>
      <c r="H5789" s="1">
        <v>-3.622758E-6</v>
      </c>
      <c r="I5789">
        <v>-52.813049999999997</v>
      </c>
      <c r="J5789">
        <v>-242.5316</v>
      </c>
      <c r="K5789">
        <v>1.1085719999999999</v>
      </c>
      <c r="L5789">
        <v>-61.823819999999998</v>
      </c>
      <c r="M5789">
        <v>0.99635479999999998</v>
      </c>
      <c r="N5789">
        <v>-1.37178E-2</v>
      </c>
      <c r="O5789">
        <v>-8.4197170000000002E-2</v>
      </c>
      <c r="P5789">
        <v>0.99081010000000003</v>
      </c>
      <c r="Q5789">
        <v>-2.0959189999999999E-3</v>
      </c>
      <c r="R5789">
        <v>0.13524420000000001</v>
      </c>
      <c r="S5789">
        <v>2.8878330000000001</v>
      </c>
      <c r="T5789">
        <v>-0.12814339999999999</v>
      </c>
      <c r="U5789">
        <v>1.0398860000000001</v>
      </c>
      <c r="V5789">
        <v>-0.21816849999999999</v>
      </c>
      <c r="W5789">
        <v>1.179841E-2</v>
      </c>
      <c r="X5789">
        <v>0.97583980000000003</v>
      </c>
      <c r="Y5789">
        <v>-0.41629389999999999</v>
      </c>
      <c r="Z5789">
        <v>1.440957E-2</v>
      </c>
      <c r="AA5789">
        <v>0.90911589999999998</v>
      </c>
      <c r="AB5789">
        <v>34</v>
      </c>
      <c r="AC5789">
        <v>24.814</v>
      </c>
      <c r="AD5789">
        <v>-1.1085756227579999</v>
      </c>
      <c r="AE5789">
        <v>9.0107699999999902</v>
      </c>
      <c r="AF5789">
        <v>-11.048749712705201</v>
      </c>
      <c r="AG5789">
        <v>-1.1085756227579999</v>
      </c>
      <c r="AH5789">
        <v>23.9249306773443</v>
      </c>
      <c r="AI5789">
        <v>92.408812461924697</v>
      </c>
      <c r="AJ5789">
        <v>114.787920655568</v>
      </c>
      <c r="AK5789">
        <v>26.3762415450175</v>
      </c>
      <c r="AL5789">
        <v>89.323985221696006</v>
      </c>
      <c r="AM5789">
        <v>102.602374446282</v>
      </c>
      <c r="AN5789">
        <v>1.0000000060673999</v>
      </c>
    </row>
    <row r="5790" spans="1:40" x14ac:dyDescent="0.25">
      <c r="A5790" t="str">
        <f>"20190305135941368"</f>
        <v>20190305135941368</v>
      </c>
      <c r="B5790" t="str">
        <f>"1551765581365056"</f>
        <v>1551765581365056</v>
      </c>
      <c r="C5790" t="s">
        <v>40</v>
      </c>
      <c r="D5790">
        <v>4.3451069999999996</v>
      </c>
      <c r="E5790">
        <v>0.40306760000000003</v>
      </c>
      <c r="F5790" t="s">
        <v>95</v>
      </c>
      <c r="G5790">
        <v>-215.0027</v>
      </c>
      <c r="H5790" s="1">
        <v>-3.1630270000000002E-6</v>
      </c>
      <c r="I5790">
        <v>-51.033670000000001</v>
      </c>
      <c r="J5790">
        <v>-242.3459</v>
      </c>
      <c r="K5790">
        <v>1.108587</v>
      </c>
      <c r="L5790">
        <v>-61.840029999999999</v>
      </c>
      <c r="M5790">
        <v>0.99630949999999996</v>
      </c>
      <c r="N5790">
        <v>-1.3727420000000001E-2</v>
      </c>
      <c r="O5790">
        <v>-8.4728330000000004E-2</v>
      </c>
      <c r="P5790">
        <v>0.9903497</v>
      </c>
      <c r="Q5790">
        <v>-1.5745539999999999E-3</v>
      </c>
      <c r="R5790">
        <v>0.1385827</v>
      </c>
      <c r="S5790">
        <v>2.8738100000000002</v>
      </c>
      <c r="T5790">
        <v>-0.1157268</v>
      </c>
      <c r="U5790">
        <v>1.126404</v>
      </c>
      <c r="V5790">
        <v>-0.22197539999999999</v>
      </c>
      <c r="W5790">
        <v>1.232099E-2</v>
      </c>
      <c r="X5790">
        <v>0.97497440000000002</v>
      </c>
      <c r="Y5790">
        <v>-0.44204640000000001</v>
      </c>
      <c r="Z5790">
        <v>1.3905209999999999E-2</v>
      </c>
      <c r="AA5790">
        <v>0.89688440000000003</v>
      </c>
      <c r="AB5790">
        <v>34</v>
      </c>
      <c r="AC5790">
        <v>27.3432</v>
      </c>
      <c r="AD5790">
        <v>-1.1085901630270001</v>
      </c>
      <c r="AE5790">
        <v>10.80636</v>
      </c>
      <c r="AF5790">
        <v>-13.0658800197375</v>
      </c>
      <c r="AG5790">
        <v>-1.1085901630270001</v>
      </c>
      <c r="AH5790">
        <v>26.291787111834498</v>
      </c>
      <c r="AI5790">
        <v>92.162419614243305</v>
      </c>
      <c r="AJ5790">
        <v>116.42538729411601</v>
      </c>
      <c r="AK5790">
        <v>29.380338023477002</v>
      </c>
      <c r="AL5790">
        <v>89.294041399133306</v>
      </c>
      <c r="AM5790">
        <v>102.82607467968499</v>
      </c>
      <c r="AN5790">
        <v>0.99999998282754898</v>
      </c>
    </row>
    <row r="5791" spans="1:40" x14ac:dyDescent="0.25">
      <c r="A5791" t="str">
        <f>"20190305135941382"</f>
        <v>20190305135941382</v>
      </c>
      <c r="B5791" t="str">
        <f>"1551765581374817"</f>
        <v>1551765581374817</v>
      </c>
      <c r="C5791" t="s">
        <v>40</v>
      </c>
      <c r="D5791">
        <v>4.377262</v>
      </c>
      <c r="E5791">
        <v>0.4049856</v>
      </c>
      <c r="F5791" t="s">
        <v>95</v>
      </c>
      <c r="G5791">
        <v>-214.14830000000001</v>
      </c>
      <c r="H5791">
        <v>7.9987589999999997E-2</v>
      </c>
      <c r="I5791">
        <v>-50.265990000000002</v>
      </c>
      <c r="J5791">
        <v>-242.13829999999999</v>
      </c>
      <c r="K5791">
        <v>1.1086069999999999</v>
      </c>
      <c r="L5791">
        <v>-61.858249999999998</v>
      </c>
      <c r="M5791">
        <v>0.99625969999999997</v>
      </c>
      <c r="N5791">
        <v>-1.373745E-2</v>
      </c>
      <c r="O5791">
        <v>-8.5311129999999999E-2</v>
      </c>
      <c r="P5791">
        <v>0.98986149999999995</v>
      </c>
      <c r="Q5791">
        <v>-8.2663069999999999E-4</v>
      </c>
      <c r="R5791">
        <v>0.1420331</v>
      </c>
      <c r="S5791">
        <v>2.8645480000000001</v>
      </c>
      <c r="T5791">
        <v>-0.10449369999999999</v>
      </c>
      <c r="U5791">
        <v>1.175781</v>
      </c>
      <c r="V5791">
        <v>-0.22594030000000001</v>
      </c>
      <c r="W5791">
        <v>1.3067169999999999E-2</v>
      </c>
      <c r="X5791">
        <v>0.97405350000000002</v>
      </c>
      <c r="Y5791">
        <v>-0.45686900000000003</v>
      </c>
      <c r="Z5791">
        <v>1.3145799999999999E-2</v>
      </c>
      <c r="AA5791">
        <v>0.88943680000000003</v>
      </c>
      <c r="AB5791">
        <v>34</v>
      </c>
      <c r="AC5791">
        <v>27.989999999999899</v>
      </c>
      <c r="AD5791">
        <v>-1.0286194099999999</v>
      </c>
      <c r="AE5791">
        <v>11.5922599999999</v>
      </c>
      <c r="AF5791">
        <v>-13.922025344623201</v>
      </c>
      <c r="AG5791">
        <v>-1.0286194099999999</v>
      </c>
      <c r="AH5791">
        <v>26.8679239983569</v>
      </c>
      <c r="AI5791">
        <v>91.946846126283802</v>
      </c>
      <c r="AJ5791">
        <v>117.39162252672701</v>
      </c>
      <c r="AK5791">
        <v>30.2781470299694</v>
      </c>
      <c r="AL5791">
        <v>89.251284997106694</v>
      </c>
      <c r="AM5791">
        <v>103.05931210448399</v>
      </c>
      <c r="AN5791">
        <v>0.99999999547907403</v>
      </c>
    </row>
    <row r="5792" spans="1:40" x14ac:dyDescent="0.25">
      <c r="A5792" t="str">
        <f>"20190305135941393"</f>
        <v>20190305135941393</v>
      </c>
      <c r="B5792" t="str">
        <f>"1551765581384577"</f>
        <v>1551765581384577</v>
      </c>
      <c r="C5792" t="s">
        <v>40</v>
      </c>
      <c r="D5792">
        <v>4.3238599999999998</v>
      </c>
      <c r="E5792">
        <v>0.40526180000000001</v>
      </c>
      <c r="F5792" t="s">
        <v>95</v>
      </c>
      <c r="G5792">
        <v>-215.99180000000001</v>
      </c>
      <c r="H5792" s="1">
        <v>-3.4601539999999999E-6</v>
      </c>
      <c r="I5792">
        <v>-51.181930000000001</v>
      </c>
      <c r="J5792">
        <v>-241.95500000000001</v>
      </c>
      <c r="K5792">
        <v>1.10863</v>
      </c>
      <c r="L5792">
        <v>-61.874389999999998</v>
      </c>
      <c r="M5792">
        <v>0.99621720000000002</v>
      </c>
      <c r="N5792">
        <v>-1.37453E-2</v>
      </c>
      <c r="O5792">
        <v>-8.5804290000000005E-2</v>
      </c>
      <c r="P5792">
        <v>0.98934979999999995</v>
      </c>
      <c r="Q5792">
        <v>-5.6232509999999995E-4</v>
      </c>
      <c r="R5792">
        <v>0.14555609999999999</v>
      </c>
      <c r="S5792">
        <v>2.8628689999999999</v>
      </c>
      <c r="T5792">
        <v>-0.121385199999999</v>
      </c>
      <c r="U5792">
        <v>1.168976</v>
      </c>
      <c r="V5792">
        <v>-0.22988890000000001</v>
      </c>
      <c r="W5792">
        <v>1.332417E-2</v>
      </c>
      <c r="X5792">
        <v>0.97312569999999998</v>
      </c>
      <c r="Y5792">
        <v>-0.45556089999999999</v>
      </c>
      <c r="Z5792">
        <v>1.4913839999999999E-2</v>
      </c>
      <c r="AA5792">
        <v>0.89007969999999903</v>
      </c>
      <c r="AB5792">
        <v>34</v>
      </c>
      <c r="AC5792">
        <v>25.963200000000001</v>
      </c>
      <c r="AD5792">
        <v>-1.108633460154</v>
      </c>
      <c r="AE5792">
        <v>10.692460000000001</v>
      </c>
      <c r="AF5792">
        <v>-12.8609342584997</v>
      </c>
      <c r="AG5792">
        <v>-1.108633460154</v>
      </c>
      <c r="AH5792">
        <v>24.9110502564182</v>
      </c>
      <c r="AI5792">
        <v>92.264555903995003</v>
      </c>
      <c r="AJ5792">
        <v>117.3061428247</v>
      </c>
      <c r="AK5792">
        <v>28.056962113318999</v>
      </c>
      <c r="AL5792">
        <v>89.236558728848294</v>
      </c>
      <c r="AM5792">
        <v>103.29173200269101</v>
      </c>
      <c r="AN5792">
        <v>1.00000003392494</v>
      </c>
    </row>
    <row r="5793" spans="1:40" x14ac:dyDescent="0.25">
      <c r="A5793" t="str">
        <f>"20190305135941405"</f>
        <v>20190305135941405</v>
      </c>
      <c r="B5793" t="str">
        <f>"1551765581395312"</f>
        <v>1551765581395312</v>
      </c>
      <c r="C5793" t="s">
        <v>40</v>
      </c>
      <c r="D5793">
        <v>4.3054489999999896</v>
      </c>
      <c r="E5793">
        <v>0.40581840000000002</v>
      </c>
      <c r="F5793" t="s">
        <v>95</v>
      </c>
      <c r="G5793">
        <v>-215.5241</v>
      </c>
      <c r="H5793" s="1">
        <v>-3.3514120000000001E-6</v>
      </c>
      <c r="I5793">
        <v>-50.992469999999997</v>
      </c>
      <c r="J5793">
        <v>-241.7809</v>
      </c>
      <c r="K5793">
        <v>1.1086609999999999</v>
      </c>
      <c r="L5793">
        <v>-61.889830000000003</v>
      </c>
      <c r="M5793">
        <v>0.99617840000000002</v>
      </c>
      <c r="N5793">
        <v>-1.375204E-2</v>
      </c>
      <c r="O5793">
        <v>-8.6253259999999998E-2</v>
      </c>
      <c r="P5793">
        <v>0.98881129999999995</v>
      </c>
      <c r="Q5793">
        <v>-3.7990879999999998E-4</v>
      </c>
      <c r="R5793">
        <v>0.14917169999999999</v>
      </c>
      <c r="S5793">
        <v>2.8590390000000001</v>
      </c>
      <c r="T5793">
        <v>-0.11992120000000001</v>
      </c>
      <c r="U5793">
        <v>1.1770940000000001</v>
      </c>
      <c r="V5793">
        <v>-0.23388339999999999</v>
      </c>
      <c r="W5793">
        <v>1.349438E-2</v>
      </c>
      <c r="X5793">
        <v>0.97217100000000001</v>
      </c>
      <c r="Y5793">
        <v>-0.45854679999999998</v>
      </c>
      <c r="Z5793">
        <v>1.4866330000000001E-2</v>
      </c>
      <c r="AA5793">
        <v>0.8885459</v>
      </c>
      <c r="AB5793">
        <v>34</v>
      </c>
      <c r="AC5793">
        <v>26.256799999999998</v>
      </c>
      <c r="AD5793">
        <v>-1.108664351412</v>
      </c>
      <c r="AE5793">
        <v>10.897360000000001</v>
      </c>
      <c r="AF5793">
        <v>-13.101762836842999</v>
      </c>
      <c r="AG5793">
        <v>-1.108664351412</v>
      </c>
      <c r="AH5793">
        <v>25.180610303644599</v>
      </c>
      <c r="AI5793">
        <v>92.236712323570003</v>
      </c>
      <c r="AJ5793">
        <v>117.488481744079</v>
      </c>
      <c r="AK5793">
        <v>28.406838284838798</v>
      </c>
      <c r="AL5793">
        <v>89.226805509991195</v>
      </c>
      <c r="AM5793">
        <v>103.52706728531901</v>
      </c>
      <c r="AN5793">
        <v>0.99999999816407203</v>
      </c>
    </row>
    <row r="5794" spans="1:40" x14ac:dyDescent="0.25">
      <c r="A5794" t="str">
        <f>"20190305135941415"</f>
        <v>20190305135941415</v>
      </c>
      <c r="B5794" t="str">
        <f>"1551765581405073"</f>
        <v>1551765581405073</v>
      </c>
      <c r="C5794" t="s">
        <v>40</v>
      </c>
      <c r="D5794">
        <v>4.2876629999999896</v>
      </c>
      <c r="E5794">
        <v>0.40579569999999998</v>
      </c>
      <c r="F5794" t="s">
        <v>95</v>
      </c>
      <c r="G5794">
        <v>-215.60249999999999</v>
      </c>
      <c r="H5794" s="1">
        <v>-3.3643250000000002E-6</v>
      </c>
      <c r="I5794">
        <v>-51.044199999999996</v>
      </c>
      <c r="J5794">
        <v>-241.6138</v>
      </c>
      <c r="K5794">
        <v>1.1086910000000001</v>
      </c>
      <c r="L5794">
        <v>-61.90466</v>
      </c>
      <c r="M5794">
        <v>0.99614190000000002</v>
      </c>
      <c r="N5794">
        <v>-1.3758070000000001E-2</v>
      </c>
      <c r="O5794">
        <v>-8.6672029999999997E-2</v>
      </c>
      <c r="P5794">
        <v>0.98820350000000001</v>
      </c>
      <c r="Q5794">
        <v>2.441853E-4</v>
      </c>
      <c r="R5794">
        <v>0.15314630000000001</v>
      </c>
      <c r="S5794">
        <v>2.855423</v>
      </c>
      <c r="T5794">
        <v>-0.1209279</v>
      </c>
      <c r="U5794">
        <v>1.1829829999999999</v>
      </c>
      <c r="V5794">
        <v>-0.23819870000000001</v>
      </c>
      <c r="W5794">
        <v>1.4104200000000001E-2</v>
      </c>
      <c r="X5794">
        <v>0.97111400000000003</v>
      </c>
      <c r="Y5794">
        <v>-0.46086909999999998</v>
      </c>
      <c r="Z5794">
        <v>1.5061740000000001E-2</v>
      </c>
      <c r="AA5794">
        <v>0.88734029999999997</v>
      </c>
      <c r="AB5794">
        <v>34</v>
      </c>
      <c r="AC5794">
        <v>26.011299999999999</v>
      </c>
      <c r="AD5794">
        <v>-1.108694364325</v>
      </c>
      <c r="AE5794">
        <v>10.86046</v>
      </c>
      <c r="AF5794">
        <v>-13.0540532942713</v>
      </c>
      <c r="AG5794">
        <v>-1.108694364325</v>
      </c>
      <c r="AH5794">
        <v>24.9334373591395</v>
      </c>
      <c r="AI5794">
        <v>92.255922533731393</v>
      </c>
      <c r="AJ5794">
        <v>117.63458040699101</v>
      </c>
      <c r="AK5794">
        <v>28.165826974283899</v>
      </c>
      <c r="AL5794">
        <v>89.191862051325799</v>
      </c>
      <c r="AM5794">
        <v>103.781648792339</v>
      </c>
      <c r="AN5794">
        <v>0.99999997506766403</v>
      </c>
    </row>
    <row r="5795" spans="1:40" x14ac:dyDescent="0.25">
      <c r="A5795" t="str">
        <f>"20190305135941426"</f>
        <v>20190305135941426</v>
      </c>
      <c r="B5795" t="str">
        <f>"1551765581414834"</f>
        <v>1551765581414834</v>
      </c>
      <c r="C5795" t="s">
        <v>40</v>
      </c>
      <c r="D5795">
        <v>4.3210199999999999</v>
      </c>
      <c r="E5795">
        <v>0.40605799999999997</v>
      </c>
      <c r="F5795" t="s">
        <v>95</v>
      </c>
      <c r="G5795">
        <v>-214.13550000000001</v>
      </c>
      <c r="H5795">
        <v>1.922215E-2</v>
      </c>
      <c r="I5795">
        <v>-50.383659999999999</v>
      </c>
      <c r="J5795">
        <v>-241.46379999999999</v>
      </c>
      <c r="K5795">
        <v>1.108727</v>
      </c>
      <c r="L5795">
        <v>-61.918059999999997</v>
      </c>
      <c r="M5795">
        <v>0.996112</v>
      </c>
      <c r="N5795">
        <v>-1.37628E-2</v>
      </c>
      <c r="O5795">
        <v>-8.7014040000000001E-2</v>
      </c>
      <c r="P5795">
        <v>0.98756949999999999</v>
      </c>
      <c r="Q5795">
        <v>9.0625510000000005E-4</v>
      </c>
      <c r="R5795">
        <v>0.1571804</v>
      </c>
      <c r="S5795">
        <v>2.850616</v>
      </c>
      <c r="T5795">
        <v>-0.1130222</v>
      </c>
      <c r="U5795">
        <v>1.19519</v>
      </c>
      <c r="V5795">
        <v>-0.2424955</v>
      </c>
      <c r="W5795">
        <v>1.474643E-2</v>
      </c>
      <c r="X5795">
        <v>0.97004040000000002</v>
      </c>
      <c r="Y5795">
        <v>-0.46498869999999998</v>
      </c>
      <c r="Z5795">
        <v>1.4348939999999999E-2</v>
      </c>
      <c r="AA5795">
        <v>0.88520030000000005</v>
      </c>
      <c r="AB5795">
        <v>34</v>
      </c>
      <c r="AC5795">
        <v>27.328299999999899</v>
      </c>
      <c r="AD5795">
        <v>-1.08950485</v>
      </c>
      <c r="AE5795">
        <v>11.5343999999999</v>
      </c>
      <c r="AF5795">
        <v>-13.8501289148947</v>
      </c>
      <c r="AG5795">
        <v>-1.08950485</v>
      </c>
      <c r="AH5795">
        <v>26.1855503505926</v>
      </c>
      <c r="AI5795">
        <v>92.1063487063021</v>
      </c>
      <c r="AJ5795">
        <v>117.875374401694</v>
      </c>
      <c r="AK5795">
        <v>29.6428092282225</v>
      </c>
      <c r="AL5795">
        <v>89.155061131965894</v>
      </c>
      <c r="AM5795">
        <v>104.035431837601</v>
      </c>
      <c r="AN5795">
        <v>0.99999995117507601</v>
      </c>
    </row>
    <row r="5796" spans="1:40" x14ac:dyDescent="0.25">
      <c r="A5796" t="str">
        <f>"20190305135941436"</f>
        <v>20190305135941436</v>
      </c>
      <c r="B5796" t="str">
        <f>"1551765581424593"</f>
        <v>1551765581424593</v>
      </c>
      <c r="C5796" t="s">
        <v>40</v>
      </c>
      <c r="D5796">
        <v>4.2944290000000001</v>
      </c>
      <c r="E5796">
        <v>0.40640949999999998</v>
      </c>
      <c r="F5796" t="s">
        <v>95</v>
      </c>
      <c r="G5796">
        <v>-214.16040000000001</v>
      </c>
      <c r="H5796">
        <v>7.6245389999999996E-2</v>
      </c>
      <c r="I5796">
        <v>-50.357399999999998</v>
      </c>
      <c r="J5796">
        <v>-241.29810000000001</v>
      </c>
      <c r="K5796">
        <v>1.1087670000000001</v>
      </c>
      <c r="L5796">
        <v>-61.932859999999998</v>
      </c>
      <c r="M5796">
        <v>0.99607979999999996</v>
      </c>
      <c r="N5796">
        <v>-1.376784E-2</v>
      </c>
      <c r="O5796">
        <v>-8.7382059999999998E-2</v>
      </c>
      <c r="P5796">
        <v>0.9871221</v>
      </c>
      <c r="Q5796">
        <v>1.1618850000000001E-3</v>
      </c>
      <c r="R5796">
        <v>0.15996550000000001</v>
      </c>
      <c r="S5796">
        <v>2.8460390000000002</v>
      </c>
      <c r="T5796">
        <v>-0.10762330000000001</v>
      </c>
      <c r="U5796">
        <v>1.2050479999999999</v>
      </c>
      <c r="V5796">
        <v>-0.24558969999999999</v>
      </c>
      <c r="W5796">
        <v>1.4980540000000001E-2</v>
      </c>
      <c r="X5796">
        <v>0.96925810000000001</v>
      </c>
      <c r="Y5796">
        <v>-0.46845750000000003</v>
      </c>
      <c r="Z5796">
        <v>1.3878440000000001E-2</v>
      </c>
      <c r="AA5796">
        <v>0.88337699999999997</v>
      </c>
      <c r="AB5796">
        <v>34</v>
      </c>
      <c r="AC5796">
        <v>27.137699999999899</v>
      </c>
      <c r="AD5796">
        <v>-1.0325216100000001</v>
      </c>
      <c r="AE5796">
        <v>11.57546</v>
      </c>
      <c r="AF5796">
        <v>-13.8857398045546</v>
      </c>
      <c r="AG5796">
        <v>-1.0325216100000001</v>
      </c>
      <c r="AH5796">
        <v>25.990459300419101</v>
      </c>
      <c r="AI5796">
        <v>92.006803268802202</v>
      </c>
      <c r="AJ5796">
        <v>118.113939343493</v>
      </c>
      <c r="AK5796">
        <v>29.485315759571801</v>
      </c>
      <c r="AL5796">
        <v>89.141646168489501</v>
      </c>
      <c r="AM5796">
        <v>104.218315041276</v>
      </c>
      <c r="AN5796">
        <v>0.99999999087019498</v>
      </c>
    </row>
    <row r="5797" spans="1:40" x14ac:dyDescent="0.25">
      <c r="A5797" t="str">
        <f>"20190305135941447"</f>
        <v>20190305135941447</v>
      </c>
      <c r="B5797" t="str">
        <f>"1551765581435328"</f>
        <v>1551765581435328</v>
      </c>
      <c r="C5797" t="s">
        <v>40</v>
      </c>
      <c r="D5797">
        <v>4.2874460000000001</v>
      </c>
      <c r="E5797">
        <v>0.40672799999999998</v>
      </c>
      <c r="F5797" t="s">
        <v>95</v>
      </c>
      <c r="G5797">
        <v>-213.8212</v>
      </c>
      <c r="H5797">
        <v>7.9987500000000003E-2</v>
      </c>
      <c r="I5797">
        <v>-50.235610000000001</v>
      </c>
      <c r="J5797">
        <v>-241.1532</v>
      </c>
      <c r="K5797">
        <v>1.1088119999999999</v>
      </c>
      <c r="L5797">
        <v>-61.945860000000003</v>
      </c>
      <c r="M5797">
        <v>0.99605560000000004</v>
      </c>
      <c r="N5797">
        <v>-1.377155E-2</v>
      </c>
      <c r="O5797">
        <v>-8.7656399999999995E-2</v>
      </c>
      <c r="P5797">
        <v>0.986294</v>
      </c>
      <c r="Q5797">
        <v>1.7321929999999999E-3</v>
      </c>
      <c r="R5797">
        <v>0.16498850000000001</v>
      </c>
      <c r="S5797">
        <v>2.8431549999999999</v>
      </c>
      <c r="T5797">
        <v>-0.1064522</v>
      </c>
      <c r="U5797">
        <v>1.210358</v>
      </c>
      <c r="V5797">
        <v>-0.25078869999999998</v>
      </c>
      <c r="W5797">
        <v>1.551977E-2</v>
      </c>
      <c r="X5797">
        <v>0.96791740000000004</v>
      </c>
      <c r="Y5797">
        <v>-0.47042499999999998</v>
      </c>
      <c r="Z5797">
        <v>1.3816500000000001E-2</v>
      </c>
      <c r="AA5797">
        <v>0.8823318</v>
      </c>
      <c r="AB5797">
        <v>34</v>
      </c>
      <c r="AC5797">
        <v>27.331999999999901</v>
      </c>
      <c r="AD5797">
        <v>-1.0288245</v>
      </c>
      <c r="AE5797">
        <v>11.710249999999901</v>
      </c>
      <c r="AF5797">
        <v>-14.044404636080399</v>
      </c>
      <c r="AG5797">
        <v>-1.0288245</v>
      </c>
      <c r="AH5797">
        <v>26.168869161430901</v>
      </c>
      <c r="AI5797">
        <v>91.9840036359425</v>
      </c>
      <c r="AJ5797">
        <v>118.22172874651</v>
      </c>
      <c r="AK5797">
        <v>29.717225553908101</v>
      </c>
      <c r="AL5797">
        <v>89.110746947706602</v>
      </c>
      <c r="AM5797">
        <v>104.525976774179</v>
      </c>
      <c r="AN5797">
        <v>0.99999996426565096</v>
      </c>
    </row>
    <row r="5798" spans="1:40" x14ac:dyDescent="0.25">
      <c r="A5798" t="str">
        <f>"20190305135941456"</f>
        <v>20190305135941456</v>
      </c>
      <c r="B5798" t="str">
        <f>"1551765581445088"</f>
        <v>1551765581445088</v>
      </c>
      <c r="C5798" t="s">
        <v>40</v>
      </c>
      <c r="D5798">
        <v>4.3076150000000002</v>
      </c>
      <c r="E5798">
        <v>0.40700409999999998</v>
      </c>
      <c r="F5798" t="s">
        <v>95</v>
      </c>
      <c r="G5798">
        <v>-213.07650000000001</v>
      </c>
      <c r="H5798">
        <v>7.9987299999999997E-2</v>
      </c>
      <c r="I5798">
        <v>-49.849719999999998</v>
      </c>
      <c r="J5798">
        <v>-240.99279999999999</v>
      </c>
      <c r="K5798">
        <v>1.1088639999999901</v>
      </c>
      <c r="L5798">
        <v>-61.960270000000001</v>
      </c>
      <c r="M5798">
        <v>0.99602939999999995</v>
      </c>
      <c r="N5798">
        <v>-1.3775569999999999E-2</v>
      </c>
      <c r="O5798">
        <v>-8.7951619999999994E-2</v>
      </c>
      <c r="P5798">
        <v>0.98563239999999996</v>
      </c>
      <c r="Q5798">
        <v>2.5598410000000002E-3</v>
      </c>
      <c r="R5798">
        <v>0.1688856</v>
      </c>
      <c r="S5798">
        <v>2.8373870000000001</v>
      </c>
      <c r="T5798">
        <v>-0.1039716</v>
      </c>
      <c r="U5798">
        <v>1.2224120000000001</v>
      </c>
      <c r="V5798">
        <v>-0.2548996</v>
      </c>
      <c r="W5798">
        <v>1.6314559999999999E-2</v>
      </c>
      <c r="X5798">
        <v>0.96682990000000002</v>
      </c>
      <c r="Y5798">
        <v>-0.47450700000000001</v>
      </c>
      <c r="Z5798">
        <v>1.3670959999999999E-2</v>
      </c>
      <c r="AA5798">
        <v>0.88014550000000003</v>
      </c>
      <c r="AB5798">
        <v>34</v>
      </c>
      <c r="AC5798">
        <v>27.9162999999999</v>
      </c>
      <c r="AD5798">
        <v>-1.0288767000000001</v>
      </c>
      <c r="AE5798">
        <v>12.1105499999999</v>
      </c>
      <c r="AF5798">
        <v>-14.5025473294095</v>
      </c>
      <c r="AG5798">
        <v>-1.0288767000000001</v>
      </c>
      <c r="AH5798">
        <v>26.712315482399902</v>
      </c>
      <c r="AI5798">
        <v>91.938716677937705</v>
      </c>
      <c r="AJ5798">
        <v>118.49824962552</v>
      </c>
      <c r="AK5798">
        <v>30.412666189218399</v>
      </c>
      <c r="AL5798">
        <v>89.065203108288998</v>
      </c>
      <c r="AM5798">
        <v>104.769646294544</v>
      </c>
      <c r="AN5798">
        <v>1.00000001324108</v>
      </c>
    </row>
    <row r="5799" spans="1:40" x14ac:dyDescent="0.25">
      <c r="A5799" t="str">
        <f>"20190305135941468"</f>
        <v>20190305135941468</v>
      </c>
      <c r="B5799" t="str">
        <f>"1551765581464610"</f>
        <v>1551765581464610</v>
      </c>
      <c r="C5799" t="s">
        <v>40</v>
      </c>
      <c r="D5799">
        <v>4.3362220000000002</v>
      </c>
      <c r="E5799">
        <v>0.40774929999999998</v>
      </c>
      <c r="F5799" t="s">
        <v>95</v>
      </c>
      <c r="G5799">
        <v>-212.18469999999999</v>
      </c>
      <c r="H5799">
        <v>7.9987050000000004E-2</v>
      </c>
      <c r="I5799">
        <v>-49.437289999999997</v>
      </c>
      <c r="J5799">
        <v>-240.83029999999999</v>
      </c>
      <c r="K5799">
        <v>1.1089290000000001</v>
      </c>
      <c r="L5799">
        <v>-61.974850000000004</v>
      </c>
      <c r="M5799">
        <v>0.99600889999999997</v>
      </c>
      <c r="N5799">
        <v>-1.3779130000000001E-2</v>
      </c>
      <c r="O5799">
        <v>-8.8185589999999994E-2</v>
      </c>
      <c r="P5799">
        <v>0.98493330000000001</v>
      </c>
      <c r="Q5799">
        <v>3.0953399999999998E-3</v>
      </c>
      <c r="R5799">
        <v>0.1729078</v>
      </c>
      <c r="S5799">
        <v>2.8329930000000001</v>
      </c>
      <c r="T5799">
        <v>-0.1011801</v>
      </c>
      <c r="U5799">
        <v>1.231506</v>
      </c>
      <c r="V5799">
        <v>-0.25907380000000002</v>
      </c>
      <c r="W5799">
        <v>1.6807539999999999E-2</v>
      </c>
      <c r="X5799">
        <v>0.96571130000000005</v>
      </c>
      <c r="Y5799">
        <v>-0.47760200000000003</v>
      </c>
      <c r="Z5799">
        <v>1.345755E-2</v>
      </c>
      <c r="AA5799">
        <v>0.87847330000000001</v>
      </c>
      <c r="AB5799">
        <v>34</v>
      </c>
      <c r="AC5799">
        <v>28.645600000000002</v>
      </c>
      <c r="AD5799">
        <v>-1.0289419500000001</v>
      </c>
      <c r="AE5799">
        <v>12.537559999999999</v>
      </c>
      <c r="AF5799">
        <v>-14.998833004641901</v>
      </c>
      <c r="AG5799">
        <v>-1.0289419500000001</v>
      </c>
      <c r="AH5799">
        <v>27.398573133266598</v>
      </c>
      <c r="AI5799">
        <v>91.886731829754794</v>
      </c>
      <c r="AJ5799">
        <v>118.69767080157401</v>
      </c>
      <c r="AK5799">
        <v>31.252288280645399</v>
      </c>
      <c r="AL5799">
        <v>89.0369535683148</v>
      </c>
      <c r="AM5799">
        <v>105.01728272363</v>
      </c>
      <c r="AN5799">
        <v>1.00000002109749</v>
      </c>
    </row>
    <row r="5800" spans="1:40" x14ac:dyDescent="0.25">
      <c r="A5800" t="str">
        <f>"20190305135941480"</f>
        <v>20190305135941480</v>
      </c>
      <c r="B5800" t="str">
        <f>"1551765581474369"</f>
        <v>1551765581474369</v>
      </c>
      <c r="C5800" t="s">
        <v>40</v>
      </c>
      <c r="D5800">
        <v>4.4066799999999997</v>
      </c>
      <c r="E5800">
        <v>0.40801539999999997</v>
      </c>
      <c r="F5800" t="s">
        <v>95</v>
      </c>
      <c r="G5800">
        <v>-211.20339999999999</v>
      </c>
      <c r="H5800">
        <v>7.9986779999999993E-2</v>
      </c>
      <c r="I5800">
        <v>-49.016590000000001</v>
      </c>
      <c r="J5800">
        <v>-240.6557</v>
      </c>
      <c r="K5800">
        <v>1.1090009999999999</v>
      </c>
      <c r="L5800">
        <v>-61.990540000000003</v>
      </c>
      <c r="M5800">
        <v>0.99598779999999998</v>
      </c>
      <c r="N5800">
        <v>-1.3782869999999999E-2</v>
      </c>
      <c r="O5800">
        <v>-8.8421130000000001E-2</v>
      </c>
      <c r="P5800">
        <v>0.98425410000000002</v>
      </c>
      <c r="Q5800">
        <v>3.7233829999999998E-3</v>
      </c>
      <c r="R5800">
        <v>0.1767204</v>
      </c>
      <c r="S5800">
        <v>2.8289789999999999</v>
      </c>
      <c r="T5800">
        <v>-9.8250270000000001E-2</v>
      </c>
      <c r="U5800">
        <v>1.2373350000000001</v>
      </c>
      <c r="V5800">
        <v>-0.26304110000000003</v>
      </c>
      <c r="W5800">
        <v>1.738872E-2</v>
      </c>
      <c r="X5800">
        <v>0.96462789999999998</v>
      </c>
      <c r="Y5800">
        <v>-0.47980159999999999</v>
      </c>
      <c r="Z5800">
        <v>1.320379E-2</v>
      </c>
      <c r="AA5800">
        <v>0.87727770000000005</v>
      </c>
      <c r="AB5800">
        <v>34</v>
      </c>
      <c r="AC5800">
        <v>29.452300000000001</v>
      </c>
      <c r="AD5800">
        <v>-1.0290142200000001</v>
      </c>
      <c r="AE5800">
        <v>12.97395</v>
      </c>
      <c r="AF5800">
        <v>-15.5117189999735</v>
      </c>
      <c r="AG5800">
        <v>-1.0290142200000001</v>
      </c>
      <c r="AH5800">
        <v>28.160849243085298</v>
      </c>
      <c r="AI5800">
        <v>91.833199301197894</v>
      </c>
      <c r="AJ5800">
        <v>118.847102087846</v>
      </c>
      <c r="AK5800">
        <v>32.166842037894803</v>
      </c>
      <c r="AL5800">
        <v>89.003649504594506</v>
      </c>
      <c r="AM5800">
        <v>105.252949510696</v>
      </c>
      <c r="AN5800">
        <v>0.999999986665429</v>
      </c>
    </row>
    <row r="5801" spans="1:40" x14ac:dyDescent="0.25">
      <c r="A5801" t="str">
        <f>"20190305135941490"</f>
        <v>20190305135941490</v>
      </c>
      <c r="B5801" t="str">
        <f>"1551765581485104"</f>
        <v>1551765581485104</v>
      </c>
      <c r="C5801" t="s">
        <v>40</v>
      </c>
      <c r="D5801">
        <v>4.3569100000000001</v>
      </c>
      <c r="E5801">
        <v>0.40862090000000001</v>
      </c>
      <c r="F5801" t="s">
        <v>82</v>
      </c>
      <c r="G5801">
        <v>-209.95480000000001</v>
      </c>
      <c r="H5801">
        <v>7.9989930000000001E-2</v>
      </c>
      <c r="I5801">
        <v>-48.444119999999998</v>
      </c>
      <c r="J5801">
        <v>-240.4794</v>
      </c>
      <c r="K5801">
        <v>1.109076</v>
      </c>
      <c r="L5801">
        <v>-62.006349999999998</v>
      </c>
      <c r="M5801">
        <v>0.995973</v>
      </c>
      <c r="N5801">
        <v>-1.378621E-2</v>
      </c>
      <c r="O5801">
        <v>-8.8588739999999999E-2</v>
      </c>
      <c r="P5801">
        <v>0.983487</v>
      </c>
      <c r="Q5801">
        <v>4.2626340000000004E-3</v>
      </c>
      <c r="R5801">
        <v>0.1809289</v>
      </c>
      <c r="S5801">
        <v>2.82457</v>
      </c>
      <c r="T5801">
        <v>-9.4671850000000002E-2</v>
      </c>
      <c r="U5801">
        <v>1.2463070000000001</v>
      </c>
      <c r="V5801">
        <v>-0.2673295</v>
      </c>
      <c r="W5801">
        <v>1.7874069999999999E-2</v>
      </c>
      <c r="X5801">
        <v>0.96343939999999995</v>
      </c>
      <c r="Y5801">
        <v>-0.48280509999999899</v>
      </c>
      <c r="Z5801">
        <v>1.2891929999999999E-2</v>
      </c>
      <c r="AA5801">
        <v>0.87563289999999905</v>
      </c>
      <c r="AB5801">
        <v>34</v>
      </c>
      <c r="AC5801">
        <v>30.5245999999999</v>
      </c>
      <c r="AD5801">
        <v>-1.02908607</v>
      </c>
      <c r="AE5801">
        <v>13.56223</v>
      </c>
      <c r="AF5801">
        <v>-16.197914415627999</v>
      </c>
      <c r="AG5801">
        <v>-1.02908607</v>
      </c>
      <c r="AH5801">
        <v>29.1752948899125</v>
      </c>
      <c r="AI5801">
        <v>91.766354638223802</v>
      </c>
      <c r="AJ5801">
        <v>119.038720396304</v>
      </c>
      <c r="AK5801">
        <v>33.386064180565498</v>
      </c>
      <c r="AL5801">
        <v>88.975836698623297</v>
      </c>
      <c r="AM5801">
        <v>105.507957737604</v>
      </c>
      <c r="AN5801">
        <v>1.0000000107104801</v>
      </c>
    </row>
    <row r="5802" spans="1:40" x14ac:dyDescent="0.25">
      <c r="A5802" t="str">
        <f>"20190305135941502"</f>
        <v>20190305135941502</v>
      </c>
      <c r="B5802" t="str">
        <f>"1551765581494864"</f>
        <v>1551765581494864</v>
      </c>
      <c r="C5802" t="s">
        <v>40</v>
      </c>
      <c r="D5802">
        <v>4.3699830000000004</v>
      </c>
      <c r="E5802">
        <v>0.40925460000000002</v>
      </c>
      <c r="F5802" t="s">
        <v>82</v>
      </c>
      <c r="G5802">
        <v>-209.64519999999999</v>
      </c>
      <c r="H5802">
        <v>7.9989809999999995E-2</v>
      </c>
      <c r="I5802">
        <v>-48.300139999999999</v>
      </c>
      <c r="J5802">
        <v>-240.31180000000001</v>
      </c>
      <c r="K5802">
        <v>1.1091489999999999</v>
      </c>
      <c r="L5802">
        <v>-62.0214199999999</v>
      </c>
      <c r="M5802">
        <v>0.99596079999999998</v>
      </c>
      <c r="N5802">
        <v>-1.378923E-2</v>
      </c>
      <c r="O5802">
        <v>-8.8723430000000006E-2</v>
      </c>
      <c r="P5802">
        <v>0.98271750000000002</v>
      </c>
      <c r="Q5802">
        <v>4.2245950000000003E-3</v>
      </c>
      <c r="R5802">
        <v>0.1850637</v>
      </c>
      <c r="S5802">
        <v>2.8201749999999999</v>
      </c>
      <c r="T5802">
        <v>-9.4122650000000002E-2</v>
      </c>
      <c r="U5802">
        <v>1.253601</v>
      </c>
      <c r="V5802">
        <v>-0.27151360000000002</v>
      </c>
      <c r="W5802">
        <v>1.7783009999999998E-2</v>
      </c>
      <c r="X5802">
        <v>0.96227030000000002</v>
      </c>
      <c r="Y5802">
        <v>-0.48531930000000001</v>
      </c>
      <c r="Z5802">
        <v>1.290444E-2</v>
      </c>
      <c r="AA5802">
        <v>0.87424179999999996</v>
      </c>
      <c r="AB5802">
        <v>34</v>
      </c>
      <c r="AC5802">
        <v>30.666599999999999</v>
      </c>
      <c r="AD5802">
        <v>-1.0291591899999999</v>
      </c>
      <c r="AE5802">
        <v>13.721279999999901</v>
      </c>
      <c r="AF5802">
        <v>-16.372897763717599</v>
      </c>
      <c r="AG5802">
        <v>-1.0291591899999999</v>
      </c>
      <c r="AH5802">
        <v>29.3006269547157</v>
      </c>
      <c r="AI5802">
        <v>91.756242795315202</v>
      </c>
      <c r="AJ5802">
        <v>119.19602273077101</v>
      </c>
      <c r="AK5802">
        <v>33.580614791259002</v>
      </c>
      <c r="AL5802">
        <v>88.981054871073098</v>
      </c>
      <c r="AM5802">
        <v>105.75691113374</v>
      </c>
      <c r="AN5802">
        <v>1.00000000034585</v>
      </c>
    </row>
    <row r="5803" spans="1:40" x14ac:dyDescent="0.25">
      <c r="A5803" t="str">
        <f>"20190305135941512"</f>
        <v>20190305135941512</v>
      </c>
      <c r="B5803" t="str">
        <f>"1551765581504625"</f>
        <v>1551765581504625</v>
      </c>
      <c r="C5803" t="s">
        <v>40</v>
      </c>
      <c r="D5803">
        <v>4.3395849999999996</v>
      </c>
      <c r="E5803">
        <v>0.40999629999999998</v>
      </c>
      <c r="F5803" t="s">
        <v>82</v>
      </c>
      <c r="G5803">
        <v>-209.9332</v>
      </c>
      <c r="H5803">
        <v>7.9989920000000006E-2</v>
      </c>
      <c r="I5803">
        <v>-48.424390000000002</v>
      </c>
      <c r="J5803">
        <v>-240.15049999999999</v>
      </c>
      <c r="K5803">
        <v>1.10921</v>
      </c>
      <c r="L5803">
        <v>-62.035890000000002</v>
      </c>
      <c r="M5803">
        <v>0.99595319999999998</v>
      </c>
      <c r="N5803">
        <v>-1.379186E-2</v>
      </c>
      <c r="O5803">
        <v>-8.8810379999999994E-2</v>
      </c>
      <c r="P5803">
        <v>0.98195980000000005</v>
      </c>
      <c r="Q5803">
        <v>4.4480190000000001E-3</v>
      </c>
      <c r="R5803">
        <v>0.1890386</v>
      </c>
      <c r="S5803">
        <v>2.8158110000000001</v>
      </c>
      <c r="T5803">
        <v>-9.5393179999999994E-2</v>
      </c>
      <c r="U5803">
        <v>1.2603150000000001</v>
      </c>
      <c r="V5803">
        <v>-0.27549230000000002</v>
      </c>
      <c r="W5803">
        <v>1.7954640000000001E-2</v>
      </c>
      <c r="X5803">
        <v>0.96113559999999998</v>
      </c>
      <c r="Y5803">
        <v>-0.48762420000000001</v>
      </c>
      <c r="Z5803">
        <v>1.3116010000000001E-2</v>
      </c>
      <c r="AA5803">
        <v>0.87295509999999998</v>
      </c>
      <c r="AB5803">
        <v>34</v>
      </c>
      <c r="AC5803">
        <v>30.217299999999899</v>
      </c>
      <c r="AD5803">
        <v>-1.02922008</v>
      </c>
      <c r="AE5803">
        <v>13.611499999999999</v>
      </c>
      <c r="AF5803">
        <v>-16.2259205810645</v>
      </c>
      <c r="AG5803">
        <v>-1.02922008</v>
      </c>
      <c r="AH5803">
        <v>28.861083240444898</v>
      </c>
      <c r="AI5803">
        <v>91.780482518005499</v>
      </c>
      <c r="AJ5803">
        <v>119.345025781571</v>
      </c>
      <c r="AK5803">
        <v>33.125547821703698</v>
      </c>
      <c r="AL5803">
        <v>88.9712196350563</v>
      </c>
      <c r="AM5803">
        <v>105.994001319486</v>
      </c>
      <c r="AN5803">
        <v>1.00000000902208</v>
      </c>
    </row>
    <row r="5804" spans="1:40" x14ac:dyDescent="0.25">
      <c r="A5804" t="str">
        <f>"20190305135941524"</f>
        <v>20190305135941524</v>
      </c>
      <c r="B5804" t="str">
        <f>"1551765581514385"</f>
        <v>1551765581514385</v>
      </c>
      <c r="C5804" t="s">
        <v>40</v>
      </c>
      <c r="D5804">
        <v>4.3185560000000001</v>
      </c>
      <c r="E5804">
        <v>0.41078510000000001</v>
      </c>
      <c r="F5804" t="s">
        <v>95</v>
      </c>
      <c r="G5804">
        <v>-210.5907</v>
      </c>
      <c r="H5804">
        <v>7.9986619999999994E-2</v>
      </c>
      <c r="I5804">
        <v>-48.731200000000001</v>
      </c>
      <c r="J5804">
        <v>-239.98159999999999</v>
      </c>
      <c r="K5804">
        <v>1.109281</v>
      </c>
      <c r="L5804">
        <v>-62.050989999999999</v>
      </c>
      <c r="M5804">
        <v>0.99594870000000002</v>
      </c>
      <c r="N5804">
        <v>-1.379436E-2</v>
      </c>
      <c r="O5804">
        <v>-8.8859359999999998E-2</v>
      </c>
      <c r="P5804">
        <v>0.98114749999999995</v>
      </c>
      <c r="Q5804">
        <v>4.5030010000000004E-3</v>
      </c>
      <c r="R5804">
        <v>0.19320880000000001</v>
      </c>
      <c r="S5804">
        <v>2.8119200000000002</v>
      </c>
      <c r="T5804">
        <v>-9.7906709999999994E-2</v>
      </c>
      <c r="U5804">
        <v>1.265625</v>
      </c>
      <c r="V5804">
        <v>-0.27962360000000003</v>
      </c>
      <c r="W5804">
        <v>1.7953210000000001E-2</v>
      </c>
      <c r="X5804">
        <v>0.95994179999999996</v>
      </c>
      <c r="Y5804">
        <v>-0.4894693</v>
      </c>
      <c r="Z5804">
        <v>1.345701E-2</v>
      </c>
      <c r="AA5804">
        <v>0.87191669999999999</v>
      </c>
      <c r="AB5804">
        <v>34</v>
      </c>
      <c r="AC5804">
        <v>29.390899999999899</v>
      </c>
      <c r="AD5804">
        <v>-1.0292943800000001</v>
      </c>
      <c r="AE5804">
        <v>13.319789999999999</v>
      </c>
      <c r="AF5804">
        <v>-15.8628540707395</v>
      </c>
      <c r="AG5804">
        <v>-1.0292943800000001</v>
      </c>
      <c r="AH5804">
        <v>28.062359217863701</v>
      </c>
      <c r="AI5804">
        <v>91.828860446889905</v>
      </c>
      <c r="AJ5804">
        <v>119.47824190364101</v>
      </c>
      <c r="AK5804">
        <v>32.251908332108002</v>
      </c>
      <c r="AL5804">
        <v>88.971301538414494</v>
      </c>
      <c r="AM5804">
        <v>106.240431726297</v>
      </c>
      <c r="AN5804">
        <v>0.99999996740675101</v>
      </c>
    </row>
    <row r="5805" spans="1:40" x14ac:dyDescent="0.25">
      <c r="A5805" t="str">
        <f>"20190305135941534"</f>
        <v>20190305135941534</v>
      </c>
      <c r="B5805" t="str">
        <f>"1551765581525121"</f>
        <v>1551765581525121</v>
      </c>
      <c r="C5805" t="s">
        <v>40</v>
      </c>
      <c r="D5805">
        <v>4.3587540000000002</v>
      </c>
      <c r="E5805">
        <v>0.41156900000000002</v>
      </c>
      <c r="F5805" t="s">
        <v>95</v>
      </c>
      <c r="G5805">
        <v>-211.32579999999999</v>
      </c>
      <c r="H5805">
        <v>7.998682E-2</v>
      </c>
      <c r="I5805">
        <v>-49.078620000000001</v>
      </c>
      <c r="J5805">
        <v>-239.81010000000001</v>
      </c>
      <c r="K5805">
        <v>1.109353</v>
      </c>
      <c r="L5805">
        <v>-62.06635</v>
      </c>
      <c r="M5805">
        <v>0.99594780000000005</v>
      </c>
      <c r="N5805">
        <v>-1.379667E-2</v>
      </c>
      <c r="O5805">
        <v>-8.8869600000000007E-2</v>
      </c>
      <c r="P5805">
        <v>0.98029690000000003</v>
      </c>
      <c r="Q5805">
        <v>4.3897670000000001E-3</v>
      </c>
      <c r="R5805">
        <v>0.1974815</v>
      </c>
      <c r="S5805">
        <v>2.8078310000000002</v>
      </c>
      <c r="T5805">
        <v>-0.100855</v>
      </c>
      <c r="U5805">
        <v>1.271088</v>
      </c>
      <c r="V5805">
        <v>-0.28381699999999999</v>
      </c>
      <c r="W5805">
        <v>1.778014E-2</v>
      </c>
      <c r="X5805">
        <v>0.95871360000000005</v>
      </c>
      <c r="Y5805">
        <v>-0.49133860000000001</v>
      </c>
      <c r="Z5805">
        <v>1.3850080000000001E-2</v>
      </c>
      <c r="AA5805">
        <v>0.87085849999999898</v>
      </c>
      <c r="AB5805">
        <v>34</v>
      </c>
      <c r="AC5805">
        <v>28.484300000000001</v>
      </c>
      <c r="AD5805">
        <v>-1.02936618</v>
      </c>
      <c r="AE5805">
        <v>12.987730000000001</v>
      </c>
      <c r="AF5805">
        <v>-15.4512547684569</v>
      </c>
      <c r="AG5805">
        <v>-1.02936618</v>
      </c>
      <c r="AH5805">
        <v>27.1878547433341</v>
      </c>
      <c r="AI5805">
        <v>91.885314996874499</v>
      </c>
      <c r="AJ5805">
        <v>119.610201559166</v>
      </c>
      <c r="AK5805">
        <v>31.288661112245201</v>
      </c>
      <c r="AL5805">
        <v>88.981219330359394</v>
      </c>
      <c r="AM5805">
        <v>106.49082934131501</v>
      </c>
      <c r="AN5805">
        <v>0.99999999484618896</v>
      </c>
    </row>
    <row r="5806" spans="1:40" x14ac:dyDescent="0.25">
      <c r="A5806" t="str">
        <f>"20190305135941545"</f>
        <v>20190305135941545</v>
      </c>
      <c r="B5806" t="str">
        <f>"1551765581534881"</f>
        <v>1551765581534881</v>
      </c>
      <c r="C5806" t="s">
        <v>40</v>
      </c>
      <c r="D5806">
        <v>4.341907</v>
      </c>
      <c r="E5806">
        <v>0.41227659999999999</v>
      </c>
      <c r="F5806" t="s">
        <v>95</v>
      </c>
      <c r="G5806">
        <v>-212.1551</v>
      </c>
      <c r="H5806">
        <v>7.9987050000000004E-2</v>
      </c>
      <c r="I5806">
        <v>-49.470329999999997</v>
      </c>
      <c r="J5806">
        <v>-239.65280000000001</v>
      </c>
      <c r="K5806">
        <v>1.1094219999999999</v>
      </c>
      <c r="L5806">
        <v>-62.080350000000003</v>
      </c>
      <c r="M5806">
        <v>0.99595259999999997</v>
      </c>
      <c r="N5806">
        <v>-1.3798589999999999E-2</v>
      </c>
      <c r="O5806">
        <v>-8.8815499999999895E-2</v>
      </c>
      <c r="P5806">
        <v>0.97940579999999999</v>
      </c>
      <c r="Q5806">
        <v>4.4948569999999997E-3</v>
      </c>
      <c r="R5806">
        <v>0.201852</v>
      </c>
      <c r="S5806">
        <v>2.803528</v>
      </c>
      <c r="T5806">
        <v>-0.1043521</v>
      </c>
      <c r="U5806">
        <v>1.2769170000000001</v>
      </c>
      <c r="V5806">
        <v>-0.2880412</v>
      </c>
      <c r="W5806">
        <v>1.7823530000000001E-2</v>
      </c>
      <c r="X5806">
        <v>0.95745210000000003</v>
      </c>
      <c r="Y5806">
        <v>-0.49326560000000003</v>
      </c>
      <c r="Z5806">
        <v>1.4308929999999999E-2</v>
      </c>
      <c r="AA5806">
        <v>0.86976100000000001</v>
      </c>
      <c r="AB5806">
        <v>34</v>
      </c>
      <c r="AC5806">
        <v>27.497699999999998</v>
      </c>
      <c r="AD5806">
        <v>-1.02943495</v>
      </c>
      <c r="AE5806">
        <v>12.61002</v>
      </c>
      <c r="AF5806">
        <v>-14.98527809436</v>
      </c>
      <c r="AG5806">
        <v>-1.02943495</v>
      </c>
      <c r="AH5806">
        <v>26.238554711922902</v>
      </c>
      <c r="AI5806">
        <v>91.951252076124703</v>
      </c>
      <c r="AJ5806">
        <v>119.731411237665</v>
      </c>
      <c r="AK5806">
        <v>30.233756783637698</v>
      </c>
      <c r="AL5806">
        <v>88.9787328444813</v>
      </c>
      <c r="AM5806">
        <v>106.743460464843</v>
      </c>
      <c r="AN5806">
        <v>0.99999996745675501</v>
      </c>
    </row>
    <row r="5807" spans="1:40" x14ac:dyDescent="0.25">
      <c r="A5807" t="str">
        <f>"20190305135941557"</f>
        <v>20190305135941557</v>
      </c>
      <c r="B5807" t="str">
        <f>"1551765581544641"</f>
        <v>1551765581544641</v>
      </c>
      <c r="C5807" t="s">
        <v>40</v>
      </c>
      <c r="D5807">
        <v>4.3429710000000004</v>
      </c>
      <c r="E5807">
        <v>0.41299789999999997</v>
      </c>
      <c r="F5807" t="s">
        <v>95</v>
      </c>
      <c r="G5807">
        <v>-212.6799</v>
      </c>
      <c r="H5807">
        <v>7.998719E-2</v>
      </c>
      <c r="I5807">
        <v>-49.710760000000001</v>
      </c>
      <c r="J5807">
        <v>-239.48320000000001</v>
      </c>
      <c r="K5807">
        <v>1.10949599999999</v>
      </c>
      <c r="L5807">
        <v>-62.095489999999998</v>
      </c>
      <c r="M5807">
        <v>0.99595999999999996</v>
      </c>
      <c r="N5807">
        <v>-1.380056E-2</v>
      </c>
      <c r="O5807">
        <v>-8.8731359999999995E-2</v>
      </c>
      <c r="P5807">
        <v>0.97853369999999995</v>
      </c>
      <c r="Q5807">
        <v>4.623182E-3</v>
      </c>
      <c r="R5807">
        <v>0.20603469999999999</v>
      </c>
      <c r="S5807">
        <v>2.7990110000000001</v>
      </c>
      <c r="T5807">
        <v>-0.10682560000000001</v>
      </c>
      <c r="U5807">
        <v>1.2836000000000001</v>
      </c>
      <c r="V5807">
        <v>-0.29205330000000002</v>
      </c>
      <c r="W5807">
        <v>1.788503E-2</v>
      </c>
      <c r="X5807">
        <v>0.95623480000000005</v>
      </c>
      <c r="Y5807">
        <v>-0.49541649999999998</v>
      </c>
      <c r="Z5807">
        <v>1.465903E-2</v>
      </c>
      <c r="AA5807">
        <v>0.86853189999999902</v>
      </c>
      <c r="AB5807">
        <v>34</v>
      </c>
      <c r="AC5807">
        <v>26.8033</v>
      </c>
      <c r="AD5807">
        <v>-1.0295088099999901</v>
      </c>
      <c r="AE5807">
        <v>12.384729999999999</v>
      </c>
      <c r="AF5807">
        <v>-14.6965227183743</v>
      </c>
      <c r="AG5807">
        <v>-1.0295088099999901</v>
      </c>
      <c r="AH5807">
        <v>25.567454521141698</v>
      </c>
      <c r="AI5807">
        <v>91.999383016577198</v>
      </c>
      <c r="AJ5807">
        <v>119.890878547233</v>
      </c>
      <c r="AK5807">
        <v>29.508344567125601</v>
      </c>
      <c r="AL5807">
        <v>88.975208624011003</v>
      </c>
      <c r="AM5807">
        <v>106.98372317144801</v>
      </c>
      <c r="AN5807">
        <v>0.99999999853501498</v>
      </c>
    </row>
    <row r="5808" spans="1:40" x14ac:dyDescent="0.25">
      <c r="A5808" t="str">
        <f>"20190305135941569"</f>
        <v>20190305135941569</v>
      </c>
      <c r="B5808" t="str">
        <f>"1551765581564669"</f>
        <v>1551765581564669</v>
      </c>
      <c r="C5808" t="s">
        <v>40</v>
      </c>
      <c r="D5808">
        <v>4.5462339999999903</v>
      </c>
      <c r="E5808">
        <v>0.41376849999999998</v>
      </c>
      <c r="F5808" t="s">
        <v>95</v>
      </c>
      <c r="G5808">
        <v>-213.15780000000001</v>
      </c>
      <c r="H5808">
        <v>7.9987320000000001E-2</v>
      </c>
      <c r="I5808">
        <v>-49.947090000000003</v>
      </c>
      <c r="J5808">
        <v>-239.30609999999999</v>
      </c>
      <c r="K5808">
        <v>1.109588</v>
      </c>
      <c r="L5808">
        <v>-62.111150000000002</v>
      </c>
      <c r="M5808">
        <v>0.99597690000000005</v>
      </c>
      <c r="N5808">
        <v>-1.380251E-2</v>
      </c>
      <c r="O5808">
        <v>-8.8542430000000005E-2</v>
      </c>
      <c r="P5808">
        <v>0.97763199999999995</v>
      </c>
      <c r="Q5808">
        <v>5.1326159999999996E-3</v>
      </c>
      <c r="R5808">
        <v>0.21025969999999999</v>
      </c>
      <c r="S5808">
        <v>2.7947850000000001</v>
      </c>
      <c r="T5808">
        <v>-0.10929560000000001</v>
      </c>
      <c r="U5808">
        <v>1.289703</v>
      </c>
      <c r="V5808">
        <v>-0.29600399999999999</v>
      </c>
      <c r="W5808">
        <v>1.8313639999999999E-2</v>
      </c>
      <c r="X5808">
        <v>0.9550111</v>
      </c>
      <c r="Y5808">
        <v>-0.49729220000000002</v>
      </c>
      <c r="Z5808">
        <v>1.500048E-2</v>
      </c>
      <c r="AA5808">
        <v>0.86745349999999999</v>
      </c>
      <c r="AB5808">
        <v>34</v>
      </c>
      <c r="AC5808">
        <v>26.1482999999999</v>
      </c>
      <c r="AD5808">
        <v>-1.0296006799999999</v>
      </c>
      <c r="AE5808">
        <v>12.164059999999999</v>
      </c>
      <c r="AF5808">
        <v>-14.413358509802</v>
      </c>
      <c r="AG5808">
        <v>-1.0296006799999999</v>
      </c>
      <c r="AH5808">
        <v>24.9366584880574</v>
      </c>
      <c r="AI5808">
        <v>92.047278615413006</v>
      </c>
      <c r="AJ5808">
        <v>120.027860435877</v>
      </c>
      <c r="AK5808">
        <v>28.820859071900401</v>
      </c>
      <c r="AL5808">
        <v>88.950647036174999</v>
      </c>
      <c r="AM5808">
        <v>107.22073000514899</v>
      </c>
      <c r="AN5808">
        <v>0.99999997927462903</v>
      </c>
    </row>
    <row r="5809" spans="1:40" x14ac:dyDescent="0.25">
      <c r="A5809" t="str">
        <f>"20190305135941581"</f>
        <v>20190305135941581</v>
      </c>
      <c r="B5809" t="str">
        <f>"1551765581574429"</f>
        <v>1551765581574429</v>
      </c>
      <c r="C5809" t="s">
        <v>40</v>
      </c>
      <c r="D5809">
        <v>4.3706230000000001</v>
      </c>
      <c r="E5809">
        <v>0.44125769999999997</v>
      </c>
      <c r="F5809" t="s">
        <v>95</v>
      </c>
      <c r="G5809">
        <v>-213.52260000000001</v>
      </c>
      <c r="H5809">
        <v>7.9987409999999995E-2</v>
      </c>
      <c r="I5809">
        <v>-50.141970000000001</v>
      </c>
      <c r="J5809">
        <v>-239.1326</v>
      </c>
      <c r="K5809">
        <v>1.1096870000000001</v>
      </c>
      <c r="L5809">
        <v>-62.126429999999999</v>
      </c>
      <c r="M5809">
        <v>0.99599610000000005</v>
      </c>
      <c r="N5809">
        <v>-1.380441E-2</v>
      </c>
      <c r="O5809">
        <v>-8.8324630000000001E-2</v>
      </c>
      <c r="P5809">
        <v>0.97683569999999997</v>
      </c>
      <c r="Q5809">
        <v>5.7938019999999998E-3</v>
      </c>
      <c r="R5809">
        <v>0.2139124</v>
      </c>
      <c r="S5809">
        <v>2.7906040000000001</v>
      </c>
      <c r="T5809">
        <v>-0.1114357</v>
      </c>
      <c r="U5809">
        <v>1.2954410000000001</v>
      </c>
      <c r="V5809">
        <v>-0.29936780000000002</v>
      </c>
      <c r="W5809">
        <v>1.8892900000000001E-2</v>
      </c>
      <c r="X5809">
        <v>0.95395070000000004</v>
      </c>
      <c r="Y5809">
        <v>-0.49904530000000002</v>
      </c>
      <c r="Z5809">
        <v>1.5301810000000001E-2</v>
      </c>
      <c r="AA5809">
        <v>0.86644080000000001</v>
      </c>
      <c r="AB5809">
        <v>34</v>
      </c>
      <c r="AC5809">
        <v>25.6099999999999</v>
      </c>
      <c r="AD5809">
        <v>-1.0296995900000001</v>
      </c>
      <c r="AE5809">
        <v>11.98446</v>
      </c>
      <c r="AF5809">
        <v>-14.181015395381699</v>
      </c>
      <c r="AG5809">
        <v>-1.0296995900000001</v>
      </c>
      <c r="AH5809">
        <v>24.418882699366801</v>
      </c>
      <c r="AI5809">
        <v>92.088369273450994</v>
      </c>
      <c r="AJ5809">
        <v>120.145437667967</v>
      </c>
      <c r="AK5809">
        <v>28.2567392169573</v>
      </c>
      <c r="AL5809">
        <v>88.917452137660106</v>
      </c>
      <c r="AM5809">
        <v>107.422845311476</v>
      </c>
      <c r="AN5809">
        <v>0.999999979688869</v>
      </c>
    </row>
    <row r="5810" spans="1:40" x14ac:dyDescent="0.25">
      <c r="A5810" t="str">
        <f>"20190305135941593"</f>
        <v>20190305135941593</v>
      </c>
      <c r="B5810" t="str">
        <f>"1551765581585166"</f>
        <v>1551765581585166</v>
      </c>
      <c r="C5810" t="s">
        <v>40</v>
      </c>
      <c r="D5810">
        <v>4.3342609999999997</v>
      </c>
      <c r="E5810">
        <v>0.44057879999999999</v>
      </c>
      <c r="F5810" t="s">
        <v>41</v>
      </c>
      <c r="G5810">
        <v>-238.1079</v>
      </c>
      <c r="H5810">
        <v>1.032613</v>
      </c>
      <c r="I5810">
        <v>-61.735069999999901</v>
      </c>
      <c r="J5810">
        <v>-238.9186</v>
      </c>
      <c r="K5810">
        <v>1.109828</v>
      </c>
      <c r="L5810">
        <v>-62.145139999999998</v>
      </c>
      <c r="M5810">
        <v>0.99603059999999999</v>
      </c>
      <c r="N5810">
        <v>-1.3806870000000001E-2</v>
      </c>
      <c r="O5810">
        <v>-8.7935390000000002E-2</v>
      </c>
      <c r="P5810">
        <v>0.97604420000000003</v>
      </c>
      <c r="Q5810">
        <v>7.0191319999999896E-3</v>
      </c>
      <c r="R5810">
        <v>0.21745880000000001</v>
      </c>
      <c r="S5810">
        <v>2.8352659999999998</v>
      </c>
      <c r="T5810">
        <v>-0.2132578</v>
      </c>
      <c r="U5810">
        <v>1.082916</v>
      </c>
      <c r="V5810">
        <v>-0.30246430000000002</v>
      </c>
      <c r="W5810">
        <v>2.0006099999999999E-2</v>
      </c>
      <c r="X5810">
        <v>0.95295079999999999</v>
      </c>
      <c r="Y5810">
        <v>-0.4361276</v>
      </c>
      <c r="Z5810">
        <v>2.417451E-2</v>
      </c>
      <c r="AA5810">
        <v>0.89956000000000003</v>
      </c>
      <c r="AB5810">
        <v>34</v>
      </c>
      <c r="AC5810">
        <v>0.81069999999999698</v>
      </c>
      <c r="AD5810">
        <v>-7.7215000000000006E-2</v>
      </c>
      <c r="AE5810">
        <v>0.41007000000001098</v>
      </c>
      <c r="AF5810">
        <v>-0.47633638837930498</v>
      </c>
      <c r="AG5810">
        <v>-7.7215000000000006E-2</v>
      </c>
      <c r="AH5810">
        <v>0.76596292069836902</v>
      </c>
      <c r="AI5810">
        <v>94.892856964996795</v>
      </c>
      <c r="AJ5810">
        <v>121.876620230226</v>
      </c>
      <c r="AK5810">
        <v>0.90529426542092695</v>
      </c>
      <c r="AL5810">
        <v>88.853658498514406</v>
      </c>
      <c r="AM5810">
        <v>107.609313505619</v>
      </c>
      <c r="AN5810">
        <v>1.00000006201616</v>
      </c>
    </row>
    <row r="5811" spans="1:40" x14ac:dyDescent="0.25">
      <c r="A5811" t="str">
        <f>"20190305135941605"</f>
        <v>20190305135941605</v>
      </c>
      <c r="B5811" t="str">
        <f>"1551765581594925"</f>
        <v>1551765581594925</v>
      </c>
      <c r="C5811" t="s">
        <v>40</v>
      </c>
      <c r="D5811">
        <v>4.3879989999999998</v>
      </c>
      <c r="E5811">
        <v>0.44046730000000001</v>
      </c>
      <c r="F5811" t="s">
        <v>96</v>
      </c>
      <c r="G5811">
        <v>-223.37119999999999</v>
      </c>
      <c r="H5811" s="1">
        <v>-1.593803E-6</v>
      </c>
      <c r="I5811">
        <v>-56.107239999999997</v>
      </c>
      <c r="J5811">
        <v>-238.75399999999999</v>
      </c>
      <c r="K5811">
        <v>1.109947</v>
      </c>
      <c r="L5811">
        <v>-62.15936</v>
      </c>
      <c r="M5811">
        <v>0.99606360000000005</v>
      </c>
      <c r="N5811">
        <v>-1.3808920000000001E-2</v>
      </c>
      <c r="O5811">
        <v>-8.7560529999999998E-2</v>
      </c>
      <c r="P5811">
        <v>0.97536719999999999</v>
      </c>
      <c r="Q5811">
        <v>7.9193600000000003E-3</v>
      </c>
      <c r="R5811">
        <v>0.22044530000000001</v>
      </c>
      <c r="S5811">
        <v>2.8302</v>
      </c>
      <c r="T5811">
        <v>-0.20203009999999999</v>
      </c>
      <c r="U5811">
        <v>1.099121</v>
      </c>
      <c r="V5811">
        <v>-0.30502820000000003</v>
      </c>
      <c r="W5811">
        <v>2.0812259999999999E-2</v>
      </c>
      <c r="X5811">
        <v>0.95211590000000001</v>
      </c>
      <c r="Y5811">
        <v>-0.44093060000000001</v>
      </c>
      <c r="Z5811">
        <v>2.3204780000000001E-2</v>
      </c>
      <c r="AA5811">
        <v>0.89724119999999996</v>
      </c>
      <c r="AB5811">
        <v>34</v>
      </c>
      <c r="AC5811">
        <v>15.3828</v>
      </c>
      <c r="AD5811">
        <v>-1.109948593803</v>
      </c>
      <c r="AE5811">
        <v>6.0521199999999897</v>
      </c>
      <c r="AF5811">
        <v>-7.3428199138858297</v>
      </c>
      <c r="AG5811">
        <v>-1.109948593803</v>
      </c>
      <c r="AH5811">
        <v>14.7273310511681</v>
      </c>
      <c r="AI5811">
        <v>93.858645170283793</v>
      </c>
      <c r="AJ5811">
        <v>116.500135590729</v>
      </c>
      <c r="AK5811">
        <v>16.4937342666645</v>
      </c>
      <c r="AL5811">
        <v>88.807459261615605</v>
      </c>
      <c r="AM5811">
        <v>107.763835917078</v>
      </c>
      <c r="AN5811">
        <v>1.0000000199971699</v>
      </c>
    </row>
    <row r="5812" spans="1:40" x14ac:dyDescent="0.25">
      <c r="A5812" t="str">
        <f>"20190305135941615"</f>
        <v>20190305135941615</v>
      </c>
      <c r="B5812" t="str">
        <f>"1551765581604686"</f>
        <v>1551765581604686</v>
      </c>
      <c r="C5812" t="s">
        <v>40</v>
      </c>
      <c r="D5812">
        <v>4.3082079999999996</v>
      </c>
      <c r="E5812">
        <v>0.43985970000000002</v>
      </c>
      <c r="F5812" t="s">
        <v>41</v>
      </c>
      <c r="G5812">
        <v>-237.80420000000001</v>
      </c>
      <c r="H5812">
        <v>1.0443389999999999</v>
      </c>
      <c r="I5812">
        <v>-61.786920000000002</v>
      </c>
      <c r="J5812">
        <v>-238.60149999999999</v>
      </c>
      <c r="K5812">
        <v>1.1100639999999999</v>
      </c>
      <c r="L5812">
        <v>-62.172490000000003</v>
      </c>
      <c r="M5812">
        <v>0.99609700000000001</v>
      </c>
      <c r="N5812">
        <v>-1.381082E-2</v>
      </c>
      <c r="O5812">
        <v>-8.7177550000000006E-2</v>
      </c>
      <c r="P5812">
        <v>0.97486309999999998</v>
      </c>
      <c r="Q5812">
        <v>9.2599020000000004E-3</v>
      </c>
      <c r="R5812">
        <v>0.2226118</v>
      </c>
      <c r="S5812">
        <v>2.8266749999999998</v>
      </c>
      <c r="T5812">
        <v>-0.19526170000000001</v>
      </c>
      <c r="U5812">
        <v>1.1091</v>
      </c>
      <c r="V5812">
        <v>-0.30678329999999998</v>
      </c>
      <c r="W5812">
        <v>2.2065109999999999E-2</v>
      </c>
      <c r="X5812">
        <v>0.95152360000000002</v>
      </c>
      <c r="Y5812">
        <v>-0.4437835</v>
      </c>
      <c r="Z5812">
        <v>2.2604740000000002E-2</v>
      </c>
      <c r="AA5812">
        <v>0.89584889999999995</v>
      </c>
      <c r="AB5812">
        <v>34</v>
      </c>
      <c r="AC5812">
        <v>0.79729999999997803</v>
      </c>
      <c r="AD5812">
        <v>-6.5725000000000006E-2</v>
      </c>
      <c r="AE5812">
        <v>0.38557000000000802</v>
      </c>
      <c r="AF5812">
        <v>-0.45113048926445298</v>
      </c>
      <c r="AG5812">
        <v>-6.5725000000000006E-2</v>
      </c>
      <c r="AH5812">
        <v>0.75648139276988502</v>
      </c>
      <c r="AI5812">
        <v>94.267553721045005</v>
      </c>
      <c r="AJ5812">
        <v>120.80989415876</v>
      </c>
      <c r="AK5812">
        <v>0.88323416576582403</v>
      </c>
      <c r="AL5812">
        <v>88.735659728572003</v>
      </c>
      <c r="AM5812">
        <v>107.869980933696</v>
      </c>
      <c r="AN5812">
        <v>1.00000001179758</v>
      </c>
    </row>
    <row r="5813" spans="1:40" x14ac:dyDescent="0.25">
      <c r="A5813" t="str">
        <f>"20190305135941626"</f>
        <v>20190305135941626</v>
      </c>
      <c r="B5813" t="str">
        <f>"1551765581614446"</f>
        <v>1551765581614446</v>
      </c>
      <c r="C5813" t="s">
        <v>40</v>
      </c>
      <c r="D5813">
        <v>4.2999980000000004</v>
      </c>
      <c r="E5813">
        <v>0.43986419999999998</v>
      </c>
      <c r="F5813" t="s">
        <v>96</v>
      </c>
      <c r="G5813">
        <v>-222.1859</v>
      </c>
      <c r="H5813" s="1">
        <v>-1.329433E-6</v>
      </c>
      <c r="I5813">
        <v>-55.658549999999998</v>
      </c>
      <c r="J5813">
        <v>-238.45</v>
      </c>
      <c r="K5813">
        <v>1.110187</v>
      </c>
      <c r="L5813">
        <v>-62.185360000000003</v>
      </c>
      <c r="M5813">
        <v>0.996139</v>
      </c>
      <c r="N5813">
        <v>-1.381284E-2</v>
      </c>
      <c r="O5813">
        <v>-8.6698140000000007E-2</v>
      </c>
      <c r="P5813">
        <v>0.97455530000000001</v>
      </c>
      <c r="Q5813">
        <v>1.022265E-2</v>
      </c>
      <c r="R5813">
        <v>0.22391449999999999</v>
      </c>
      <c r="S5813">
        <v>2.823318</v>
      </c>
      <c r="T5813">
        <v>-0.1909198</v>
      </c>
      <c r="U5813">
        <v>1.120331</v>
      </c>
      <c r="V5813">
        <v>-0.30760340000000003</v>
      </c>
      <c r="W5813">
        <v>2.29375E-2</v>
      </c>
      <c r="X5813">
        <v>0.95123820000000003</v>
      </c>
      <c r="Y5813">
        <v>-0.44683879999999998</v>
      </c>
      <c r="Z5813">
        <v>2.2256020000000001E-2</v>
      </c>
      <c r="AA5813">
        <v>0.89433759999999995</v>
      </c>
      <c r="AB5813">
        <v>34</v>
      </c>
      <c r="AC5813">
        <v>16.2640999999999</v>
      </c>
      <c r="AD5813">
        <v>-1.1101883294329999</v>
      </c>
      <c r="AE5813">
        <v>6.5268099999999896</v>
      </c>
      <c r="AF5813">
        <v>-7.8808041839146998</v>
      </c>
      <c r="AG5813">
        <v>-1.1101883294329999</v>
      </c>
      <c r="AH5813">
        <v>15.574429253361499</v>
      </c>
      <c r="AI5813">
        <v>93.639317026841894</v>
      </c>
      <c r="AJ5813">
        <v>116.839829136009</v>
      </c>
      <c r="AK5813">
        <v>17.490066874657099</v>
      </c>
      <c r="AL5813">
        <v>88.685662850045304</v>
      </c>
      <c r="AM5813">
        <v>107.919733169784</v>
      </c>
      <c r="AN5813">
        <v>1.00000004686852</v>
      </c>
    </row>
    <row r="5814" spans="1:40" x14ac:dyDescent="0.25">
      <c r="A5814" t="str">
        <f>"20190305135941635"</f>
        <v>20190305135941635</v>
      </c>
      <c r="B5814" t="str">
        <f>"1551765581625181"</f>
        <v>1551765581625181</v>
      </c>
      <c r="C5814" t="s">
        <v>40</v>
      </c>
      <c r="D5814">
        <v>4.5704129999999896</v>
      </c>
      <c r="E5814">
        <v>0.43986419999999998</v>
      </c>
      <c r="F5814" t="s">
        <v>41</v>
      </c>
      <c r="G5814">
        <v>-237.50460000000001</v>
      </c>
      <c r="H5814">
        <v>1.047742</v>
      </c>
      <c r="I5814">
        <v>-61.808770000000003</v>
      </c>
      <c r="J5814">
        <v>-238.28899999999999</v>
      </c>
      <c r="K5814">
        <v>1.110317</v>
      </c>
      <c r="L5814">
        <v>-62.198970000000003</v>
      </c>
      <c r="M5814">
        <v>0.99618629999999997</v>
      </c>
      <c r="N5814">
        <v>-1.381492E-2</v>
      </c>
      <c r="O5814">
        <v>-8.6152590000000001E-2</v>
      </c>
      <c r="P5814">
        <v>0.97434529999999997</v>
      </c>
      <c r="Q5814">
        <v>1.1292150000000001E-2</v>
      </c>
      <c r="R5814">
        <v>0.22477610000000001</v>
      </c>
      <c r="S5814">
        <v>2.8218990000000002</v>
      </c>
      <c r="T5814">
        <v>-0.1864074</v>
      </c>
      <c r="U5814">
        <v>1.12442</v>
      </c>
      <c r="V5814">
        <v>-0.30793189999999998</v>
      </c>
      <c r="W5814">
        <v>2.391093E-2</v>
      </c>
      <c r="X5814">
        <v>0.95110790000000001</v>
      </c>
      <c r="Y5814">
        <v>-0.44767309999999999</v>
      </c>
      <c r="Z5814">
        <v>2.1789869999999999E-2</v>
      </c>
      <c r="AA5814">
        <v>0.893931699999999</v>
      </c>
      <c r="AB5814">
        <v>34</v>
      </c>
      <c r="AC5814">
        <v>0.78440000000000498</v>
      </c>
      <c r="AD5814">
        <v>-6.2575000000000006E-2</v>
      </c>
      <c r="AE5814">
        <v>0.39019999999999999</v>
      </c>
      <c r="AF5814">
        <v>-0.45401728754828502</v>
      </c>
      <c r="AG5814">
        <v>-6.2575000000000006E-2</v>
      </c>
      <c r="AH5814">
        <v>0.74406717674971301</v>
      </c>
      <c r="AI5814">
        <v>94.106186511576098</v>
      </c>
      <c r="AJ5814">
        <v>121.390840259771</v>
      </c>
      <c r="AK5814">
        <v>0.87388974792818697</v>
      </c>
      <c r="AL5814">
        <v>88.629874065172203</v>
      </c>
      <c r="AM5814">
        <v>107.93994460533099</v>
      </c>
      <c r="AN5814">
        <v>1.0000000125267401</v>
      </c>
    </row>
    <row r="5815" spans="1:40" x14ac:dyDescent="0.25">
      <c r="A5815" t="str">
        <f>"20190305135941646"</f>
        <v>20190305135941646</v>
      </c>
      <c r="B5815" t="str">
        <f>"1551765581634942"</f>
        <v>1551765581634942</v>
      </c>
      <c r="C5815" t="s">
        <v>40</v>
      </c>
      <c r="D5815">
        <v>4.3077529999999999</v>
      </c>
      <c r="E5815">
        <v>0.44145069999999997</v>
      </c>
      <c r="F5815" t="s">
        <v>96</v>
      </c>
      <c r="G5815">
        <v>-221.13159999999999</v>
      </c>
      <c r="H5815" s="1">
        <v>-1.0682730000000001E-6</v>
      </c>
      <c r="I5815">
        <v>-55.343440000000001</v>
      </c>
      <c r="J5815">
        <v>-238.14019999999999</v>
      </c>
      <c r="K5815">
        <v>1.1104609999999999</v>
      </c>
      <c r="L5815">
        <v>-62.211300000000001</v>
      </c>
      <c r="M5815">
        <v>0.99624069999999998</v>
      </c>
      <c r="N5815">
        <v>-1.38175E-2</v>
      </c>
      <c r="O5815">
        <v>-8.5518700000000003E-2</v>
      </c>
      <c r="P5815">
        <v>0.97416499999999995</v>
      </c>
      <c r="Q5815">
        <v>1.1839540000000001E-2</v>
      </c>
      <c r="R5815">
        <v>0.22552739999999999</v>
      </c>
      <c r="S5815">
        <v>2.8210449999999998</v>
      </c>
      <c r="T5815">
        <v>-0.1825601</v>
      </c>
      <c r="U5815">
        <v>1.127197</v>
      </c>
      <c r="V5815">
        <v>-0.30806830000000002</v>
      </c>
      <c r="W5815">
        <v>2.4360940000000001E-2</v>
      </c>
      <c r="X5815">
        <v>0.95105229999999996</v>
      </c>
      <c r="Y5815">
        <v>-0.44800050000000002</v>
      </c>
      <c r="Z5815">
        <v>2.136797E-2</v>
      </c>
      <c r="AA5815">
        <v>0.89377790000000001</v>
      </c>
      <c r="AB5815">
        <v>34</v>
      </c>
      <c r="AC5815">
        <v>17.008600000000001</v>
      </c>
      <c r="AD5815">
        <v>-1.110462068273</v>
      </c>
      <c r="AE5815">
        <v>6.8678600000000003</v>
      </c>
      <c r="AF5815">
        <v>-8.2670886497121199</v>
      </c>
      <c r="AG5815">
        <v>-1.110462068273</v>
      </c>
      <c r="AH5815">
        <v>16.299155206866399</v>
      </c>
      <c r="AI5815">
        <v>93.477081178991</v>
      </c>
      <c r="AJ5815">
        <v>116.894562838415</v>
      </c>
      <c r="AK5815">
        <v>18.309569661922399</v>
      </c>
      <c r="AL5815">
        <v>88.604082867831295</v>
      </c>
      <c r="AM5815">
        <v>107.948363517351</v>
      </c>
      <c r="AN5815">
        <v>1.0000000050989299</v>
      </c>
    </row>
    <row r="5816" spans="1:40" x14ac:dyDescent="0.25">
      <c r="A5816" t="str">
        <f>"20190305135941657"</f>
        <v>20190305135941657</v>
      </c>
      <c r="B5816" t="str">
        <f>"1551765581644701"</f>
        <v>1551765581644701</v>
      </c>
      <c r="C5816" t="s">
        <v>40</v>
      </c>
      <c r="D5816">
        <v>4.310708</v>
      </c>
      <c r="E5816">
        <v>0.4416445</v>
      </c>
      <c r="F5816" t="s">
        <v>41</v>
      </c>
      <c r="G5816">
        <v>-237.20410000000001</v>
      </c>
      <c r="H5816">
        <v>1.0492220000000001</v>
      </c>
      <c r="I5816">
        <v>-61.841059999999999</v>
      </c>
      <c r="J5816">
        <v>-237.9761</v>
      </c>
      <c r="K5816">
        <v>1.1106119999999999</v>
      </c>
      <c r="L5816">
        <v>-62.224820000000001</v>
      </c>
      <c r="M5816">
        <v>0.99630320000000006</v>
      </c>
      <c r="N5816">
        <v>-1.3820300000000001E-2</v>
      </c>
      <c r="O5816">
        <v>-8.4789260000000005E-2</v>
      </c>
      <c r="P5816">
        <v>0.9741784</v>
      </c>
      <c r="Q5816">
        <v>1.2431350000000001E-2</v>
      </c>
      <c r="R5816">
        <v>0.22543759999999999</v>
      </c>
      <c r="S5816">
        <v>2.8232270000000002</v>
      </c>
      <c r="T5816">
        <v>-0.1846933</v>
      </c>
      <c r="U5816">
        <v>1.116943</v>
      </c>
      <c r="V5816">
        <v>-0.307293599999999</v>
      </c>
      <c r="W5816">
        <v>2.4849070000000001E-2</v>
      </c>
      <c r="X5816">
        <v>0.95129030000000003</v>
      </c>
      <c r="Y5816">
        <v>-0.44428630000000002</v>
      </c>
      <c r="Z5816">
        <v>2.1408759999999999E-2</v>
      </c>
      <c r="AA5816">
        <v>0.89562900000000001</v>
      </c>
      <c r="AB5816">
        <v>34</v>
      </c>
      <c r="AC5816">
        <v>0.77199999999999103</v>
      </c>
      <c r="AD5816">
        <v>-6.1390000000000201E-2</v>
      </c>
      <c r="AE5816">
        <v>0.38375999999999499</v>
      </c>
      <c r="AF5816">
        <v>-0.44558197611871198</v>
      </c>
      <c r="AG5816">
        <v>-6.1390000000000201E-2</v>
      </c>
      <c r="AH5816">
        <v>0.73296106288179896</v>
      </c>
      <c r="AI5816">
        <v>94.093622822863395</v>
      </c>
      <c r="AJ5816">
        <v>121.296271024034</v>
      </c>
      <c r="AK5816">
        <v>0.85996741173295299</v>
      </c>
      <c r="AL5816">
        <v>88.576106650044593</v>
      </c>
      <c r="AM5816">
        <v>107.90192005610599</v>
      </c>
      <c r="AN5816">
        <v>1.00000003387745</v>
      </c>
    </row>
    <row r="5817" spans="1:40" x14ac:dyDescent="0.25">
      <c r="A5817" t="str">
        <f>"20190305135941669"</f>
        <v>20190305135941669</v>
      </c>
      <c r="B5817" t="str">
        <f>"1551765581664729"</f>
        <v>1551765581664729</v>
      </c>
      <c r="C5817" t="s">
        <v>40</v>
      </c>
      <c r="D5817">
        <v>4.3602540000000003</v>
      </c>
      <c r="E5817">
        <v>0.44236900000000001</v>
      </c>
      <c r="F5817" t="s">
        <v>96</v>
      </c>
      <c r="G5817">
        <v>-220.82589999999999</v>
      </c>
      <c r="H5817" s="1">
        <v>-9.314946E-7</v>
      </c>
      <c r="I5817">
        <v>-55.449190000000002</v>
      </c>
      <c r="J5817">
        <v>-237.80439999999999</v>
      </c>
      <c r="K5817">
        <v>1.1107860000000001</v>
      </c>
      <c r="L5817">
        <v>-62.238619999999997</v>
      </c>
      <c r="M5817">
        <v>0.99638320000000002</v>
      </c>
      <c r="N5817">
        <v>-1.382458E-2</v>
      </c>
      <c r="O5817">
        <v>-8.3843130000000002E-2</v>
      </c>
      <c r="P5817">
        <v>0.97421159999999996</v>
      </c>
      <c r="Q5817">
        <v>1.301073E-2</v>
      </c>
      <c r="R5817">
        <v>0.2252615</v>
      </c>
      <c r="S5817">
        <v>2.8236849999999998</v>
      </c>
      <c r="T5817">
        <v>-0.1828562</v>
      </c>
      <c r="U5817">
        <v>1.11557</v>
      </c>
      <c r="V5817">
        <v>-0.30622919999999998</v>
      </c>
      <c r="W5817">
        <v>2.5311449999999999E-2</v>
      </c>
      <c r="X5817">
        <v>0.95162119999999994</v>
      </c>
      <c r="Y5817">
        <v>-0.44303419999999999</v>
      </c>
      <c r="Z5817">
        <v>2.1120750000000001E-2</v>
      </c>
      <c r="AA5817">
        <v>0.89625589999999999</v>
      </c>
      <c r="AB5817">
        <v>34</v>
      </c>
      <c r="AC5817">
        <v>16.978499999999901</v>
      </c>
      <c r="AD5817">
        <v>-1.1107869314945999</v>
      </c>
      <c r="AE5817">
        <v>6.7894299999999896</v>
      </c>
      <c r="AF5817">
        <v>-8.1590781368715</v>
      </c>
      <c r="AG5817">
        <v>-1.1107869314945999</v>
      </c>
      <c r="AH5817">
        <v>16.289295961806999</v>
      </c>
      <c r="AI5817">
        <v>93.489030912942795</v>
      </c>
      <c r="AJ5817">
        <v>116.605641956822</v>
      </c>
      <c r="AK5817">
        <v>18.252275654890099</v>
      </c>
      <c r="AL5817">
        <v>88.549605770960895</v>
      </c>
      <c r="AM5817">
        <v>107.83803878715101</v>
      </c>
      <c r="AN5817">
        <v>0.99999995036158995</v>
      </c>
    </row>
    <row r="5818" spans="1:40" x14ac:dyDescent="0.25">
      <c r="A5818" t="str">
        <f>"20190305135941680"</f>
        <v>20190305135941680</v>
      </c>
      <c r="B5818" t="str">
        <f>"1551765581674489"</f>
        <v>1551765581674489</v>
      </c>
      <c r="C5818" t="s">
        <v>40</v>
      </c>
      <c r="D5818">
        <v>4.4190719999999999</v>
      </c>
      <c r="E5818">
        <v>0.44236900000000001</v>
      </c>
      <c r="F5818" t="s">
        <v>41</v>
      </c>
      <c r="G5818">
        <v>-236.9024</v>
      </c>
      <c r="H5818">
        <v>1.0555030000000001</v>
      </c>
      <c r="I5818">
        <v>-61.884129999999999</v>
      </c>
      <c r="J5818">
        <v>-237.6302</v>
      </c>
      <c r="K5818">
        <v>1.1109599999999999</v>
      </c>
      <c r="L5818">
        <v>-62.25244</v>
      </c>
      <c r="M5818">
        <v>0.99646789999999996</v>
      </c>
      <c r="N5818">
        <v>-1.3829030000000001E-2</v>
      </c>
      <c r="O5818">
        <v>-8.2827869999999998E-2</v>
      </c>
      <c r="P5818">
        <v>0.97437079999999998</v>
      </c>
      <c r="Q5818">
        <v>1.3486150000000001E-2</v>
      </c>
      <c r="R5818">
        <v>0.22454350000000001</v>
      </c>
      <c r="S5818">
        <v>2.825027</v>
      </c>
      <c r="T5818">
        <v>-0.1731365</v>
      </c>
      <c r="U5818">
        <v>1.110168</v>
      </c>
      <c r="V5818">
        <v>-0.30456929999999999</v>
      </c>
      <c r="W5818">
        <v>2.5670869999999998E-2</v>
      </c>
      <c r="X5818">
        <v>0.9521442</v>
      </c>
      <c r="Y5818">
        <v>-0.44060290000000002</v>
      </c>
      <c r="Z5818">
        <v>1.997028E-2</v>
      </c>
      <c r="AA5818">
        <v>0.89747999999999895</v>
      </c>
      <c r="AB5818">
        <v>34</v>
      </c>
      <c r="AC5818">
        <v>0.727800000000002</v>
      </c>
      <c r="AD5818">
        <v>-5.5456999999999798E-2</v>
      </c>
      <c r="AE5818">
        <v>0.36830999999999298</v>
      </c>
      <c r="AF5818">
        <v>-0.425365882138034</v>
      </c>
      <c r="AG5818">
        <v>-5.5456999999999798E-2</v>
      </c>
      <c r="AH5818">
        <v>0.69159264852000202</v>
      </c>
      <c r="AI5818">
        <v>93.907368549855505</v>
      </c>
      <c r="AJ5818">
        <v>121.59370387917301</v>
      </c>
      <c r="AK5818">
        <v>0.813825536600431</v>
      </c>
      <c r="AL5818">
        <v>88.529005921608103</v>
      </c>
      <c r="AM5818">
        <v>107.73829335965399</v>
      </c>
      <c r="AN5818">
        <v>1.0000000148313399</v>
      </c>
    </row>
    <row r="5819" spans="1:40" x14ac:dyDescent="0.25">
      <c r="A5819" t="str">
        <f>"20190305135941691"</f>
        <v>20190305135941691</v>
      </c>
      <c r="B5819" t="str">
        <f>"1551765581685225"</f>
        <v>1551765581685225</v>
      </c>
      <c r="C5819" t="s">
        <v>40</v>
      </c>
      <c r="D5819">
        <v>4.3037960000000002</v>
      </c>
      <c r="E5819">
        <v>0.44247619999999999</v>
      </c>
      <c r="F5819" t="s">
        <v>41</v>
      </c>
      <c r="G5819">
        <v>-236.61080000000001</v>
      </c>
      <c r="H5819">
        <v>1.049183</v>
      </c>
      <c r="I5819">
        <v>-61.852760000000004</v>
      </c>
      <c r="J5819">
        <v>-237.46010000000001</v>
      </c>
      <c r="K5819">
        <v>1.111145</v>
      </c>
      <c r="L5819">
        <v>-62.265590000000003</v>
      </c>
      <c r="M5819">
        <v>0.99656350000000005</v>
      </c>
      <c r="N5819">
        <v>-1.383446E-2</v>
      </c>
      <c r="O5819">
        <v>-8.1669240000000004E-2</v>
      </c>
      <c r="P5819">
        <v>0.97444560000000002</v>
      </c>
      <c r="Q5819">
        <v>1.3656730000000001E-2</v>
      </c>
      <c r="R5819">
        <v>0.2242074</v>
      </c>
      <c r="S5819">
        <v>2.8258670000000001</v>
      </c>
      <c r="T5819">
        <v>-0.1712465</v>
      </c>
      <c r="U5819">
        <v>1.1083369999999999</v>
      </c>
      <c r="V5819">
        <v>-0.30314479999999999</v>
      </c>
      <c r="W5819">
        <v>2.5720929999999999E-2</v>
      </c>
      <c r="X5819">
        <v>0.95259729999999998</v>
      </c>
      <c r="Y5819">
        <v>-0.43898900000000002</v>
      </c>
      <c r="Z5819">
        <v>1.9661020000000001E-2</v>
      </c>
      <c r="AA5819">
        <v>0.89827729999999995</v>
      </c>
      <c r="AB5819">
        <v>34</v>
      </c>
      <c r="AC5819">
        <v>0.84929999999999894</v>
      </c>
      <c r="AD5819">
        <v>-6.1962000000000003E-2</v>
      </c>
      <c r="AE5819">
        <v>0.41283000000000603</v>
      </c>
      <c r="AF5819">
        <v>-0.47875775251265901</v>
      </c>
      <c r="AG5819">
        <v>-6.1962000000000003E-2</v>
      </c>
      <c r="AH5819">
        <v>0.80925943939876199</v>
      </c>
      <c r="AI5819">
        <v>93.770226857102003</v>
      </c>
      <c r="AJ5819">
        <v>120.60855213441199</v>
      </c>
      <c r="AK5819">
        <v>0.94231051956930401</v>
      </c>
      <c r="AL5819">
        <v>88.526136690279898</v>
      </c>
      <c r="AM5819">
        <v>107.65261796861699</v>
      </c>
      <c r="AN5819">
        <v>0.99999997598719703</v>
      </c>
    </row>
    <row r="5820" spans="1:40" x14ac:dyDescent="0.25">
      <c r="A5820" t="str">
        <f>"20190305135941702"</f>
        <v>20190305135941702</v>
      </c>
      <c r="B5820" t="str">
        <f>"1551765581694986"</f>
        <v>1551765581694986</v>
      </c>
      <c r="C5820" t="s">
        <v>40</v>
      </c>
      <c r="D5820">
        <v>4.7258630000000004</v>
      </c>
      <c r="E5820">
        <v>0.44247619999999999</v>
      </c>
      <c r="F5820" t="s">
        <v>41</v>
      </c>
      <c r="G5820">
        <v>-236.5429</v>
      </c>
      <c r="H5820">
        <v>1.055151</v>
      </c>
      <c r="I5820">
        <v>-61.906599999999997</v>
      </c>
      <c r="J5820">
        <v>-237.2954</v>
      </c>
      <c r="K5820">
        <v>1.1113230000000001</v>
      </c>
      <c r="L5820">
        <v>-62.278109999999998</v>
      </c>
      <c r="M5820">
        <v>0.99666100000000002</v>
      </c>
      <c r="N5820">
        <v>-1.384E-2</v>
      </c>
      <c r="O5820">
        <v>-8.047145E-2</v>
      </c>
      <c r="P5820">
        <v>0.9747593</v>
      </c>
      <c r="Q5820">
        <v>1.333209E-2</v>
      </c>
      <c r="R5820">
        <v>0.22286020000000001</v>
      </c>
      <c r="S5820">
        <v>2.8264770000000001</v>
      </c>
      <c r="T5820">
        <v>-0.17253879999999999</v>
      </c>
      <c r="U5820">
        <v>1.106689</v>
      </c>
      <c r="V5820">
        <v>-0.30069190000000001</v>
      </c>
      <c r="W5820">
        <v>2.529095E-2</v>
      </c>
      <c r="X5820">
        <v>0.95338590000000001</v>
      </c>
      <c r="Y5820">
        <v>-0.43738009999999999</v>
      </c>
      <c r="Z5820">
        <v>1.9678419999999999E-2</v>
      </c>
      <c r="AA5820">
        <v>0.89906140000000001</v>
      </c>
      <c r="AB5820">
        <v>34</v>
      </c>
      <c r="AC5820">
        <v>0.75249999999999695</v>
      </c>
      <c r="AD5820">
        <v>-5.6172000000000097E-2</v>
      </c>
      <c r="AE5820">
        <v>0.37151000000000001</v>
      </c>
      <c r="AF5820">
        <v>-0.42894373463219299</v>
      </c>
      <c r="AG5820">
        <v>-5.6172000000000097E-2</v>
      </c>
      <c r="AH5820">
        <v>0.71694823559416099</v>
      </c>
      <c r="AI5820">
        <v>93.846443470627904</v>
      </c>
      <c r="AJ5820">
        <v>120.891706758583</v>
      </c>
      <c r="AK5820">
        <v>0.837354640272444</v>
      </c>
      <c r="AL5820">
        <v>88.550780728365993</v>
      </c>
      <c r="AM5820">
        <v>107.50494578896</v>
      </c>
      <c r="AN5820">
        <v>0.99999996259816004</v>
      </c>
    </row>
    <row r="5821" spans="1:40" x14ac:dyDescent="0.25">
      <c r="A5821" t="str">
        <f>"20190305135941713"</f>
        <v>20190305135941713</v>
      </c>
      <c r="B5821" t="str">
        <f>"1551765581704746"</f>
        <v>1551765581704746</v>
      </c>
      <c r="C5821" t="s">
        <v>40</v>
      </c>
      <c r="D5821">
        <v>4.3173250000000003</v>
      </c>
      <c r="E5821">
        <v>0.44269710000000001</v>
      </c>
      <c r="F5821" t="s">
        <v>41</v>
      </c>
      <c r="G5821">
        <v>-236.31010000000001</v>
      </c>
      <c r="H5821">
        <v>1.0509500000000001</v>
      </c>
      <c r="I5821">
        <v>-61.893900000000002</v>
      </c>
      <c r="J5821">
        <v>-237.13</v>
      </c>
      <c r="K5821">
        <v>1.111497</v>
      </c>
      <c r="L5821">
        <v>-62.29034</v>
      </c>
      <c r="M5821">
        <v>0.99676560000000003</v>
      </c>
      <c r="N5821">
        <v>-1.38461E-2</v>
      </c>
      <c r="O5821">
        <v>-7.9161110000000007E-2</v>
      </c>
      <c r="P5821">
        <v>0.97509679999999999</v>
      </c>
      <c r="Q5821">
        <v>1.257982E-2</v>
      </c>
      <c r="R5821">
        <v>0.22142249999999999</v>
      </c>
      <c r="S5821">
        <v>2.8278810000000001</v>
      </c>
      <c r="T5821">
        <v>-0.17327029999999999</v>
      </c>
      <c r="U5821">
        <v>1.102905</v>
      </c>
      <c r="V5821">
        <v>-0.29803940000000001</v>
      </c>
      <c r="W5821">
        <v>2.443816E-2</v>
      </c>
      <c r="X5821">
        <v>0.95424070000000005</v>
      </c>
      <c r="Y5821">
        <v>-0.43500070000000002</v>
      </c>
      <c r="Z5821">
        <v>1.9601009999999999E-2</v>
      </c>
      <c r="AA5821">
        <v>0.90021679999999904</v>
      </c>
      <c r="AB5821">
        <v>34</v>
      </c>
      <c r="AC5821">
        <v>0.81989999999998897</v>
      </c>
      <c r="AD5821">
        <v>-6.05469999999999E-2</v>
      </c>
      <c r="AE5821">
        <v>0.39643999999999802</v>
      </c>
      <c r="AF5821">
        <v>-0.45808137487788803</v>
      </c>
      <c r="AG5821">
        <v>-6.05469999999999E-2</v>
      </c>
      <c r="AH5821">
        <v>0.78248232214439695</v>
      </c>
      <c r="AI5821">
        <v>93.820358596114701</v>
      </c>
      <c r="AJ5821">
        <v>120.34559074033901</v>
      </c>
      <c r="AK5821">
        <v>0.90872606966428804</v>
      </c>
      <c r="AL5821">
        <v>88.599657177841607</v>
      </c>
      <c r="AM5821">
        <v>107.345227205477</v>
      </c>
      <c r="AN5821">
        <v>1.0000000105765099</v>
      </c>
    </row>
    <row r="5822" spans="1:40" x14ac:dyDescent="0.25">
      <c r="A5822" t="str">
        <f>"20190305135941725"</f>
        <v>20190305135941725</v>
      </c>
      <c r="B5822" t="str">
        <f>"1551765581715482"</f>
        <v>1551765581715482</v>
      </c>
      <c r="C5822" t="s">
        <v>40</v>
      </c>
      <c r="D5822">
        <v>4.3179169999999996</v>
      </c>
      <c r="E5822">
        <v>0.44267109999999898</v>
      </c>
      <c r="F5822" t="s">
        <v>95</v>
      </c>
      <c r="G5822">
        <v>-219.38489999999999</v>
      </c>
      <c r="H5822" s="1">
        <v>-3.8769140000000001E-6</v>
      </c>
      <c r="I5822">
        <v>-55.41254</v>
      </c>
      <c r="J5822">
        <v>-236.9659</v>
      </c>
      <c r="K5822">
        <v>1.111667</v>
      </c>
      <c r="L5822">
        <v>-62.302120000000002</v>
      </c>
      <c r="M5822">
        <v>0.99687650000000005</v>
      </c>
      <c r="N5822">
        <v>-1.385218E-2</v>
      </c>
      <c r="O5822">
        <v>-7.7753890000000006E-2</v>
      </c>
      <c r="P5822">
        <v>0.97542879999999998</v>
      </c>
      <c r="Q5822">
        <v>1.1935329999999999E-2</v>
      </c>
      <c r="R5822">
        <v>0.21999189999999999</v>
      </c>
      <c r="S5822">
        <v>2.829834</v>
      </c>
      <c r="T5822">
        <v>-0.17725239999999901</v>
      </c>
      <c r="U5822">
        <v>1.0968020000000001</v>
      </c>
      <c r="V5822">
        <v>-0.29529830000000001</v>
      </c>
      <c r="W5822">
        <v>2.3699270000000001E-2</v>
      </c>
      <c r="X5822">
        <v>0.95511109999999999</v>
      </c>
      <c r="Y5822">
        <v>-0.43179719999999999</v>
      </c>
      <c r="Z5822">
        <v>1.9811289999999999E-2</v>
      </c>
      <c r="AA5822">
        <v>0.90175309999999997</v>
      </c>
      <c r="AB5822">
        <v>34</v>
      </c>
      <c r="AC5822">
        <v>17.581</v>
      </c>
      <c r="AD5822">
        <v>-1.111670876914</v>
      </c>
      <c r="AE5822">
        <v>6.8895799999999898</v>
      </c>
      <c r="AF5822">
        <v>-8.2073940447648805</v>
      </c>
      <c r="AG5822">
        <v>-1.111670876914</v>
      </c>
      <c r="AH5822">
        <v>16.933331714704799</v>
      </c>
      <c r="AI5822">
        <v>93.380897596288307</v>
      </c>
      <c r="AJ5822">
        <v>115.858942499731</v>
      </c>
      <c r="AK5822">
        <v>18.850327639191001</v>
      </c>
      <c r="AL5822">
        <v>88.642004679578406</v>
      </c>
      <c r="AM5822">
        <v>107.18040136653001</v>
      </c>
      <c r="AN5822">
        <v>0.99999997736231605</v>
      </c>
    </row>
    <row r="5823" spans="1:40" x14ac:dyDescent="0.25">
      <c r="A5823" t="str">
        <f>"20190305135941735"</f>
        <v>20190305135941735</v>
      </c>
      <c r="B5823" t="str">
        <f>"1551765581725242"</f>
        <v>1551765581725242</v>
      </c>
      <c r="C5823" t="s">
        <v>40</v>
      </c>
      <c r="D5823">
        <v>4.5503600000000004</v>
      </c>
      <c r="E5823">
        <v>0.44331490000000001</v>
      </c>
      <c r="F5823" t="s">
        <v>41</v>
      </c>
      <c r="G5823">
        <v>-236.00970000000001</v>
      </c>
      <c r="H5823">
        <v>1.0501940000000001</v>
      </c>
      <c r="I5823">
        <v>-61.933300000000003</v>
      </c>
      <c r="J5823">
        <v>-236.8058</v>
      </c>
      <c r="K5823">
        <v>1.111831</v>
      </c>
      <c r="L5823">
        <v>-62.313420000000001</v>
      </c>
      <c r="M5823">
        <v>0.99698770000000003</v>
      </c>
      <c r="N5823">
        <v>-1.3857889999999999E-2</v>
      </c>
      <c r="O5823">
        <v>-7.6312370000000004E-2</v>
      </c>
      <c r="P5823">
        <v>0.97564459999999997</v>
      </c>
      <c r="Q5823">
        <v>1.138488E-2</v>
      </c>
      <c r="R5823">
        <v>0.2190616</v>
      </c>
      <c r="S5823">
        <v>2.8314059999999999</v>
      </c>
      <c r="T5823">
        <v>-0.18204390000000001</v>
      </c>
      <c r="U5823">
        <v>1.092438</v>
      </c>
      <c r="V5823">
        <v>-0.29301199999999999</v>
      </c>
      <c r="W5823">
        <v>2.3057149999999998E-2</v>
      </c>
      <c r="X5823">
        <v>0.95583070000000003</v>
      </c>
      <c r="Y5823">
        <v>-0.42907099999999998</v>
      </c>
      <c r="Z5823">
        <v>2.0110639999999999E-2</v>
      </c>
      <c r="AA5823">
        <v>0.90304689999999999</v>
      </c>
      <c r="AB5823">
        <v>34</v>
      </c>
      <c r="AC5823">
        <v>0.79609999999999503</v>
      </c>
      <c r="AD5823">
        <v>-6.16369999999999E-2</v>
      </c>
      <c r="AE5823">
        <v>0.38011999999999002</v>
      </c>
      <c r="AF5823">
        <v>-0.43763313775867202</v>
      </c>
      <c r="AG5823">
        <v>-6.16369999999999E-2</v>
      </c>
      <c r="AH5823">
        <v>0.76105236223452299</v>
      </c>
      <c r="AI5823">
        <v>94.0160838071927</v>
      </c>
      <c r="AJ5823">
        <v>119.90048768256</v>
      </c>
      <c r="AK5823">
        <v>0.880069645594171</v>
      </c>
      <c r="AL5823">
        <v>88.678805529148903</v>
      </c>
      <c r="AM5823">
        <v>107.043035875759</v>
      </c>
      <c r="AN5823">
        <v>0.99999999568630604</v>
      </c>
    </row>
    <row r="5824" spans="1:40" x14ac:dyDescent="0.25">
      <c r="A5824" t="str">
        <f>"20190305135941746"</f>
        <v>20190305135941746</v>
      </c>
      <c r="B5824" t="str">
        <f>"1551765581744762"</f>
        <v>1551765581744762</v>
      </c>
      <c r="C5824" t="s">
        <v>40</v>
      </c>
      <c r="D5824">
        <v>4.3008810000000004</v>
      </c>
      <c r="E5824">
        <v>0.44310919999999998</v>
      </c>
      <c r="F5824" t="s">
        <v>96</v>
      </c>
      <c r="G5824">
        <v>-220.11670000000001</v>
      </c>
      <c r="H5824" s="1">
        <v>-5.4203819999999898E-7</v>
      </c>
      <c r="I5824">
        <v>-55.927300000000002</v>
      </c>
      <c r="J5824">
        <v>-236.63829999999999</v>
      </c>
      <c r="K5824">
        <v>1.1119950000000001</v>
      </c>
      <c r="L5824">
        <v>-62.324800000000003</v>
      </c>
      <c r="M5824">
        <v>0.99711170000000005</v>
      </c>
      <c r="N5824">
        <v>-1.386399E-2</v>
      </c>
      <c r="O5824">
        <v>-7.4673899999999904E-2</v>
      </c>
      <c r="P5824">
        <v>0.97584210000000005</v>
      </c>
      <c r="Q5824">
        <v>1.1123579999999999E-2</v>
      </c>
      <c r="R5824">
        <v>0.21819350000000001</v>
      </c>
      <c r="S5824">
        <v>2.833618</v>
      </c>
      <c r="T5824">
        <v>-0.18877630000000001</v>
      </c>
      <c r="U5824">
        <v>1.08429</v>
      </c>
      <c r="V5824">
        <v>-0.2905973</v>
      </c>
      <c r="W5824">
        <v>2.2707720000000001E-2</v>
      </c>
      <c r="X5824">
        <v>0.95657599999999998</v>
      </c>
      <c r="Y5824">
        <v>-0.42502210000000001</v>
      </c>
      <c r="Z5824">
        <v>2.0528129999999999E-2</v>
      </c>
      <c r="AA5824">
        <v>0.90495009999999998</v>
      </c>
      <c r="AB5824">
        <v>34</v>
      </c>
      <c r="AC5824">
        <v>16.5215999999999</v>
      </c>
      <c r="AD5824">
        <v>-1.1119955420381999</v>
      </c>
      <c r="AE5824">
        <v>6.3975</v>
      </c>
      <c r="AF5824">
        <v>-7.5836109346413902</v>
      </c>
      <c r="AG5824">
        <v>-1.1119955420381999</v>
      </c>
      <c r="AH5824">
        <v>15.934917224394299</v>
      </c>
      <c r="AI5824">
        <v>93.6055352533334</v>
      </c>
      <c r="AJ5824">
        <v>115.450315739204</v>
      </c>
      <c r="AK5824">
        <v>17.682456725291999</v>
      </c>
      <c r="AL5824">
        <v>88.698831691627703</v>
      </c>
      <c r="AM5824">
        <v>106.898206327889</v>
      </c>
      <c r="AN5824">
        <v>1.0000000375454401</v>
      </c>
    </row>
    <row r="5825" spans="1:40" x14ac:dyDescent="0.25">
      <c r="A5825" t="str">
        <f>"20190305135941757"</f>
        <v>20190305135941757</v>
      </c>
      <c r="B5825" t="str">
        <f>"1551765581754521"</f>
        <v>1551765581754521</v>
      </c>
      <c r="C5825" t="s">
        <v>40</v>
      </c>
      <c r="D5825">
        <v>4.7294450000000001</v>
      </c>
      <c r="E5825">
        <v>0.44373210000000002</v>
      </c>
      <c r="F5825" t="s">
        <v>41</v>
      </c>
      <c r="G5825">
        <v>-235.709</v>
      </c>
      <c r="H5825">
        <v>1.048667</v>
      </c>
      <c r="I5825">
        <v>-61.96978</v>
      </c>
      <c r="J5825">
        <v>-236.47149999999999</v>
      </c>
      <c r="K5825">
        <v>1.1121589999999999</v>
      </c>
      <c r="L5825">
        <v>-62.335940000000001</v>
      </c>
      <c r="M5825">
        <v>0.99723539999999999</v>
      </c>
      <c r="N5825">
        <v>-1.3869650000000001E-2</v>
      </c>
      <c r="O5825">
        <v>-7.3001679999999999E-2</v>
      </c>
      <c r="P5825">
        <v>0.97602979999999995</v>
      </c>
      <c r="Q5825">
        <v>1.1066309999999999E-2</v>
      </c>
      <c r="R5825">
        <v>0.21735589999999999</v>
      </c>
      <c r="S5825">
        <v>2.83432</v>
      </c>
      <c r="T5825">
        <v>-0.19313420000000001</v>
      </c>
      <c r="U5825">
        <v>1.0828249999999999</v>
      </c>
      <c r="V5825">
        <v>-0.28817930000000003</v>
      </c>
      <c r="W5825">
        <v>2.2566139999999998E-2</v>
      </c>
      <c r="X5825">
        <v>0.95731049999999995</v>
      </c>
      <c r="Y5825">
        <v>-0.42298049999999998</v>
      </c>
      <c r="Z5825">
        <v>2.0781629999999999E-2</v>
      </c>
      <c r="AA5825">
        <v>0.9059005</v>
      </c>
      <c r="AB5825">
        <v>34</v>
      </c>
      <c r="AC5825">
        <v>0.76249999999998797</v>
      </c>
      <c r="AD5825">
        <v>-6.3492000000000104E-2</v>
      </c>
      <c r="AE5825">
        <v>0.36615999999999299</v>
      </c>
      <c r="AF5825">
        <v>-0.41849403845320399</v>
      </c>
      <c r="AG5825">
        <v>-6.3492000000000104E-2</v>
      </c>
      <c r="AH5825">
        <v>0.72962133920852301</v>
      </c>
      <c r="AI5825">
        <v>94.316784011448405</v>
      </c>
      <c r="AJ5825">
        <v>119.83759193509501</v>
      </c>
      <c r="AK5825">
        <v>0.84351395537555296</v>
      </c>
      <c r="AL5825">
        <v>88.706945615134799</v>
      </c>
      <c r="AM5825">
        <v>106.75337735264399</v>
      </c>
      <c r="AN5825">
        <v>0.99999996651661904</v>
      </c>
    </row>
    <row r="5826" spans="1:40" x14ac:dyDescent="0.25">
      <c r="A5826" t="str">
        <f>"20190305135941770"</f>
        <v>20190305135941770</v>
      </c>
      <c r="B5826" t="str">
        <f>"1551765581765257"</f>
        <v>1551765581765257</v>
      </c>
      <c r="C5826" t="s">
        <v>40</v>
      </c>
      <c r="D5826">
        <v>4.2828839999999904</v>
      </c>
      <c r="E5826">
        <v>0.44344909999999998</v>
      </c>
      <c r="F5826" t="s">
        <v>96</v>
      </c>
      <c r="G5826">
        <v>-220.28360000000001</v>
      </c>
      <c r="H5826" s="1">
        <v>-5.1438609999999998E-7</v>
      </c>
      <c r="I5826">
        <v>-56.199860000000001</v>
      </c>
      <c r="J5826">
        <v>-236.2944</v>
      </c>
      <c r="K5826">
        <v>1.112323</v>
      </c>
      <c r="L5826">
        <v>-62.347110000000001</v>
      </c>
      <c r="M5826">
        <v>0.99737489999999995</v>
      </c>
      <c r="N5826">
        <v>-1.3876049999999999E-2</v>
      </c>
      <c r="O5826">
        <v>-7.107078E-2</v>
      </c>
      <c r="P5826">
        <v>0.9760877</v>
      </c>
      <c r="Q5826">
        <v>1.115031E-2</v>
      </c>
      <c r="R5826">
        <v>0.2170916</v>
      </c>
      <c r="S5826">
        <v>2.8364560000000001</v>
      </c>
      <c r="T5826">
        <v>-0.19487299999999999</v>
      </c>
      <c r="U5826">
        <v>1.0751649999999999</v>
      </c>
      <c r="V5826">
        <v>-0.28607470000000002</v>
      </c>
      <c r="W5826">
        <v>2.2568049999999999E-2</v>
      </c>
      <c r="X5826">
        <v>0.9579415</v>
      </c>
      <c r="Y5826">
        <v>-0.41885220000000001</v>
      </c>
      <c r="Z5826">
        <v>2.0674720000000001E-2</v>
      </c>
      <c r="AA5826">
        <v>0.90781900000000004</v>
      </c>
      <c r="AB5826">
        <v>34</v>
      </c>
      <c r="AC5826">
        <v>16.0107999999999</v>
      </c>
      <c r="AD5826">
        <v>-1.1123235143861001</v>
      </c>
      <c r="AE5826">
        <v>6.1472499999999997</v>
      </c>
      <c r="AF5826">
        <v>-7.2392601104163301</v>
      </c>
      <c r="AG5826">
        <v>-1.1123235143861001</v>
      </c>
      <c r="AH5826">
        <v>15.4683066762406</v>
      </c>
      <c r="AI5826">
        <v>93.726412224520303</v>
      </c>
      <c r="AJ5826">
        <v>115.079875348725</v>
      </c>
      <c r="AK5826">
        <v>17.114691407593401</v>
      </c>
      <c r="AL5826">
        <v>88.706836175111306</v>
      </c>
      <c r="AM5826">
        <v>106.6274573905</v>
      </c>
      <c r="AN5826">
        <v>0.99999998414157099</v>
      </c>
    </row>
    <row r="5827" spans="1:40" x14ac:dyDescent="0.25">
      <c r="A5827" t="str">
        <f>"20190305135941783"</f>
        <v>20190305135941783</v>
      </c>
      <c r="B5827" t="str">
        <f>"1551765581775018"</f>
        <v>1551765581775018</v>
      </c>
      <c r="C5827" t="s">
        <v>40</v>
      </c>
      <c r="D5827">
        <v>4.6089399999999996</v>
      </c>
      <c r="E5827">
        <v>0.4438201</v>
      </c>
      <c r="F5827" t="s">
        <v>96</v>
      </c>
      <c r="G5827">
        <v>-220.11250000000001</v>
      </c>
      <c r="H5827" s="1">
        <v>-4.5405389999999998E-7</v>
      </c>
      <c r="I5827">
        <v>-56.20664</v>
      </c>
      <c r="J5827">
        <v>-236.09440000000001</v>
      </c>
      <c r="K5827">
        <v>1.112501</v>
      </c>
      <c r="L5827">
        <v>-62.359409999999997</v>
      </c>
      <c r="M5827">
        <v>0.99753179999999997</v>
      </c>
      <c r="N5827">
        <v>-1.3882749999999999E-2</v>
      </c>
      <c r="O5827">
        <v>-6.8828959999999995E-2</v>
      </c>
      <c r="P5827">
        <v>0.97614570000000001</v>
      </c>
      <c r="Q5827">
        <v>1.1828669999999999E-2</v>
      </c>
      <c r="R5827">
        <v>0.2167943</v>
      </c>
      <c r="S5827">
        <v>2.8363489999999998</v>
      </c>
      <c r="T5827">
        <v>-0.1949669</v>
      </c>
      <c r="U5827">
        <v>1.0762940000000001</v>
      </c>
      <c r="V5827">
        <v>-0.28364260000000002</v>
      </c>
      <c r="W5827">
        <v>2.31606E-2</v>
      </c>
      <c r="X5827">
        <v>0.95865029999999996</v>
      </c>
      <c r="Y5827">
        <v>-0.41714560000000001</v>
      </c>
      <c r="Z5827">
        <v>2.0495920000000001E-2</v>
      </c>
      <c r="AA5827">
        <v>0.90860859999999999</v>
      </c>
      <c r="AB5827">
        <v>34</v>
      </c>
      <c r="AC5827">
        <v>15.9818999999999</v>
      </c>
      <c r="AD5827">
        <v>-1.1125014540539</v>
      </c>
      <c r="AE5827">
        <v>6.1527699999999896</v>
      </c>
      <c r="AF5827">
        <v>-7.2078814551265502</v>
      </c>
      <c r="AG5827">
        <v>-1.1125014540539</v>
      </c>
      <c r="AH5827">
        <v>15.455239035846001</v>
      </c>
      <c r="AI5827">
        <v>93.732481348606598</v>
      </c>
      <c r="AJ5827">
        <v>115.00299973628201</v>
      </c>
      <c r="AK5827">
        <v>17.089635110544801</v>
      </c>
      <c r="AL5827">
        <v>88.672876660457206</v>
      </c>
      <c r="AM5827">
        <v>106.48227521410701</v>
      </c>
      <c r="AN5827">
        <v>0.99999996780860401</v>
      </c>
    </row>
    <row r="5828" spans="1:40" x14ac:dyDescent="0.25">
      <c r="A5828" t="str">
        <f>"20190305135941796"</f>
        <v>20190305135941796</v>
      </c>
      <c r="B5828" t="str">
        <f>"1551765581784778"</f>
        <v>1551765581784778</v>
      </c>
      <c r="C5828" t="s">
        <v>40</v>
      </c>
      <c r="D5828">
        <v>4.2918839999999996</v>
      </c>
      <c r="E5828">
        <v>0.44348460000000001</v>
      </c>
      <c r="F5828" t="s">
        <v>41</v>
      </c>
      <c r="G5828">
        <v>-235.1181</v>
      </c>
      <c r="H5828">
        <v>1.0451649999999999</v>
      </c>
      <c r="I5828">
        <v>-61.990609999999997</v>
      </c>
      <c r="J5828">
        <v>-235.90710000000001</v>
      </c>
      <c r="K5828">
        <v>1.1126549999999999</v>
      </c>
      <c r="L5828">
        <v>-62.370449999999998</v>
      </c>
      <c r="M5828">
        <v>0.99768020000000002</v>
      </c>
      <c r="N5828">
        <v>-1.388874E-2</v>
      </c>
      <c r="O5828">
        <v>-6.6641729999999996E-2</v>
      </c>
      <c r="P5828">
        <v>0.9763077</v>
      </c>
      <c r="Q5828">
        <v>1.281477E-2</v>
      </c>
      <c r="R5828">
        <v>0.21600710000000001</v>
      </c>
      <c r="S5828">
        <v>2.8375699999999999</v>
      </c>
      <c r="T5828">
        <v>-0.19571359999999999</v>
      </c>
      <c r="U5828">
        <v>1.072174</v>
      </c>
      <c r="V5828">
        <v>-0.28078049999999999</v>
      </c>
      <c r="W5828">
        <v>2.408159E-2</v>
      </c>
      <c r="X5828">
        <v>0.95946989999999999</v>
      </c>
      <c r="Y5828">
        <v>-0.4138714</v>
      </c>
      <c r="Z5828">
        <v>2.0313609999999999E-2</v>
      </c>
      <c r="AA5828">
        <v>0.91010869999999999</v>
      </c>
      <c r="AB5828">
        <v>34</v>
      </c>
      <c r="AC5828">
        <v>0.78900000000001502</v>
      </c>
      <c r="AD5828">
        <v>-6.7489999999999994E-2</v>
      </c>
      <c r="AE5828">
        <v>0.37984000000000101</v>
      </c>
      <c r="AF5828">
        <v>-0.42903232850079798</v>
      </c>
      <c r="AG5828">
        <v>-6.7489999999999994E-2</v>
      </c>
      <c r="AH5828">
        <v>0.75743080123754802</v>
      </c>
      <c r="AI5828">
        <v>94.433282425375694</v>
      </c>
      <c r="AJ5828">
        <v>119.528562931407</v>
      </c>
      <c r="AK5828">
        <v>0.87311228239108596</v>
      </c>
      <c r="AL5828">
        <v>88.620093203642597</v>
      </c>
      <c r="AM5828">
        <v>106.31165451288101</v>
      </c>
      <c r="AN5828">
        <v>1.00000005058159</v>
      </c>
    </row>
    <row r="5829" spans="1:40" x14ac:dyDescent="0.25">
      <c r="A5829" t="str">
        <f>"20190305135941809"</f>
        <v>20190305135941809</v>
      </c>
      <c r="B5829" t="str">
        <f>"1551765581805274"</f>
        <v>1551765581805274</v>
      </c>
      <c r="C5829" t="s">
        <v>40</v>
      </c>
      <c r="D5829">
        <v>4.2906820000000003</v>
      </c>
      <c r="E5829">
        <v>0.44281350000000003</v>
      </c>
      <c r="F5829" t="s">
        <v>95</v>
      </c>
      <c r="G5829">
        <v>-219.63800000000001</v>
      </c>
      <c r="H5829" s="1">
        <v>-3.8418019999999998E-6</v>
      </c>
      <c r="I5829">
        <v>-56.222650000000002</v>
      </c>
      <c r="J5829">
        <v>-235.71879999999999</v>
      </c>
      <c r="K5829">
        <v>1.1127959999999999</v>
      </c>
      <c r="L5829">
        <v>-62.380949999999999</v>
      </c>
      <c r="M5829">
        <v>0.99783060000000001</v>
      </c>
      <c r="N5829">
        <v>-1.3894439999999999E-2</v>
      </c>
      <c r="O5829">
        <v>-6.4352290000000006E-2</v>
      </c>
      <c r="P5829">
        <v>0.9766437</v>
      </c>
      <c r="Q5829">
        <v>1.335685E-2</v>
      </c>
      <c r="R5829">
        <v>0.21445030000000001</v>
      </c>
      <c r="S5829">
        <v>2.8380740000000002</v>
      </c>
      <c r="T5829">
        <v>-0.19409879999999999</v>
      </c>
      <c r="U5829">
        <v>1.072449</v>
      </c>
      <c r="V5829">
        <v>-0.27705780000000002</v>
      </c>
      <c r="W5829">
        <v>2.4581639999999998E-2</v>
      </c>
      <c r="X5829">
        <v>0.96053869999999997</v>
      </c>
      <c r="Y5829">
        <v>-0.41183249999999999</v>
      </c>
      <c r="Z5829">
        <v>1.995775E-2</v>
      </c>
      <c r="AA5829">
        <v>0.91104099999999999</v>
      </c>
      <c r="AB5829">
        <v>34</v>
      </c>
      <c r="AC5829">
        <v>16.080799999999901</v>
      </c>
      <c r="AD5829">
        <v>-1.112799841802</v>
      </c>
      <c r="AE5829">
        <v>6.1582999999999899</v>
      </c>
      <c r="AF5829">
        <v>-7.1506063887020597</v>
      </c>
      <c r="AG5829">
        <v>-1.112799841802</v>
      </c>
      <c r="AH5829">
        <v>15.586032127281101</v>
      </c>
      <c r="AI5829">
        <v>93.712927428522903</v>
      </c>
      <c r="AJ5829">
        <v>114.644851928121</v>
      </c>
      <c r="AK5829">
        <v>17.184117454402401</v>
      </c>
      <c r="AL5829">
        <v>88.591433806686496</v>
      </c>
      <c r="AM5829">
        <v>106.08967803429699</v>
      </c>
      <c r="AN5829">
        <v>0.99999993788180697</v>
      </c>
    </row>
    <row r="5830" spans="1:40" x14ac:dyDescent="0.25">
      <c r="A5830" t="str">
        <f>"20190305135941818"</f>
        <v>20190305135941818</v>
      </c>
      <c r="B5830" t="str">
        <f>"1551765581815034"</f>
        <v>1551765581815034</v>
      </c>
      <c r="C5830" t="s">
        <v>40</v>
      </c>
      <c r="D5830">
        <v>4.2841239999999896</v>
      </c>
      <c r="E5830">
        <v>0.44249430000000001</v>
      </c>
      <c r="F5830" t="s">
        <v>95</v>
      </c>
      <c r="G5830">
        <v>-219.41139999999999</v>
      </c>
      <c r="H5830" s="1">
        <v>-3.7456690000000002E-6</v>
      </c>
      <c r="I5830">
        <v>-56.216459999999998</v>
      </c>
      <c r="J5830">
        <v>-235.5641</v>
      </c>
      <c r="K5830">
        <v>1.1129020000000001</v>
      </c>
      <c r="L5830">
        <v>-62.389400000000002</v>
      </c>
      <c r="M5830">
        <v>0.99795140000000004</v>
      </c>
      <c r="N5830">
        <v>-1.389866E-2</v>
      </c>
      <c r="O5830">
        <v>-6.2448579999999997E-2</v>
      </c>
      <c r="P5830">
        <v>0.97704230000000003</v>
      </c>
      <c r="Q5830">
        <v>1.415713E-2</v>
      </c>
      <c r="R5830">
        <v>0.2125746</v>
      </c>
      <c r="S5830">
        <v>2.8387600000000002</v>
      </c>
      <c r="T5830">
        <v>-0.19371350000000001</v>
      </c>
      <c r="U5830">
        <v>1.0730900000000001</v>
      </c>
      <c r="V5830">
        <v>-0.27339000000000002</v>
      </c>
      <c r="W5830">
        <v>2.5358169999999999E-2</v>
      </c>
      <c r="X5830">
        <v>0.96156900000000001</v>
      </c>
      <c r="Y5830">
        <v>-0.41021289999999999</v>
      </c>
      <c r="Z5830">
        <v>1.9752829999999999E-2</v>
      </c>
      <c r="AA5830">
        <v>0.91177580000000003</v>
      </c>
      <c r="AB5830">
        <v>34</v>
      </c>
      <c r="AC5830">
        <v>16.152699999999999</v>
      </c>
      <c r="AD5830">
        <v>-1.1129057456689999</v>
      </c>
      <c r="AE5830">
        <v>6.1729399999999996</v>
      </c>
      <c r="AF5830">
        <v>-7.1401245032534604</v>
      </c>
      <c r="AG5830">
        <v>-1.1129057456689999</v>
      </c>
      <c r="AH5830">
        <v>15.6707279817473</v>
      </c>
      <c r="AI5830">
        <v>93.697653963742994</v>
      </c>
      <c r="AJ5830">
        <v>114.49564731791899</v>
      </c>
      <c r="AK5830">
        <v>17.256640826030399</v>
      </c>
      <c r="AL5830">
        <v>88.546928176002694</v>
      </c>
      <c r="AM5830">
        <v>105.871329406397</v>
      </c>
      <c r="AN5830">
        <v>1.00000003532337</v>
      </c>
    </row>
    <row r="5831" spans="1:40" x14ac:dyDescent="0.25">
      <c r="A5831" t="str">
        <f>"20190305135941828"</f>
        <v>20190305135941828</v>
      </c>
      <c r="B5831" t="str">
        <f>"1551765581824794"</f>
        <v>1551765581824794</v>
      </c>
      <c r="C5831" t="s">
        <v>40</v>
      </c>
      <c r="D5831">
        <v>4.2923780000000002</v>
      </c>
      <c r="E5831">
        <v>0.4421059</v>
      </c>
      <c r="F5831" t="s">
        <v>41</v>
      </c>
      <c r="G5831">
        <v>-234.52869999999999</v>
      </c>
      <c r="H5831">
        <v>1.043121</v>
      </c>
      <c r="I5831">
        <v>-61.999310000000001</v>
      </c>
      <c r="J5831">
        <v>-235.41489999999999</v>
      </c>
      <c r="K5831">
        <v>1.112992</v>
      </c>
      <c r="L5831">
        <v>-62.396999999999998</v>
      </c>
      <c r="M5831">
        <v>0.99806859999999997</v>
      </c>
      <c r="N5831">
        <v>-1.3902400000000001E-2</v>
      </c>
      <c r="O5831">
        <v>-6.0547520000000001E-2</v>
      </c>
      <c r="P5831">
        <v>0.97758920000000005</v>
      </c>
      <c r="Q5831">
        <v>1.5357829999999999E-2</v>
      </c>
      <c r="R5831">
        <v>0.20996139999999999</v>
      </c>
      <c r="S5831">
        <v>2.8404240000000001</v>
      </c>
      <c r="T5831">
        <v>-0.19144120000000001</v>
      </c>
      <c r="U5831">
        <v>1.07016</v>
      </c>
      <c r="V5831">
        <v>-0.26899729999999999</v>
      </c>
      <c r="W5831">
        <v>2.6557009999999999E-2</v>
      </c>
      <c r="X5831">
        <v>0.96277480000000004</v>
      </c>
      <c r="Y5831">
        <v>-0.40750900000000001</v>
      </c>
      <c r="Z5831">
        <v>1.933321E-2</v>
      </c>
      <c r="AA5831">
        <v>0.91299649999999999</v>
      </c>
      <c r="AB5831">
        <v>33</v>
      </c>
      <c r="AC5831">
        <v>0.88620000000000199</v>
      </c>
      <c r="AD5831">
        <v>-6.9871000000000003E-2</v>
      </c>
      <c r="AE5831">
        <v>0.39769000000000398</v>
      </c>
      <c r="AF5831">
        <v>-0.448302978984705</v>
      </c>
      <c r="AG5831">
        <v>-6.9871000000000003E-2</v>
      </c>
      <c r="AH5831">
        <v>0.85606282711329895</v>
      </c>
      <c r="AI5831">
        <v>94.135548282129093</v>
      </c>
      <c r="AJ5831">
        <v>117.640151560208</v>
      </c>
      <c r="AK5831">
        <v>0.968865873881816</v>
      </c>
      <c r="AL5831">
        <v>88.478216600302105</v>
      </c>
      <c r="AM5831">
        <v>105.610254026888</v>
      </c>
      <c r="AN5831">
        <v>1.0000000688512301</v>
      </c>
    </row>
    <row r="5832" spans="1:40" x14ac:dyDescent="0.25">
      <c r="A5832" t="str">
        <f>"20190305135941839"</f>
        <v>20190305135941839</v>
      </c>
      <c r="B5832" t="str">
        <f>"1551765581834554"</f>
        <v>1551765581834554</v>
      </c>
      <c r="C5832" t="s">
        <v>40</v>
      </c>
      <c r="D5832">
        <v>4.230912</v>
      </c>
      <c r="E5832">
        <v>0.44187609999999999</v>
      </c>
      <c r="F5832" t="s">
        <v>95</v>
      </c>
      <c r="G5832">
        <v>-218.52549999999999</v>
      </c>
      <c r="H5832" s="1">
        <v>-3.3925039999999998E-6</v>
      </c>
      <c r="I5832">
        <v>-56.064909999999998</v>
      </c>
      <c r="J5832">
        <v>-235.26230000000001</v>
      </c>
      <c r="K5832">
        <v>1.113084</v>
      </c>
      <c r="L5832">
        <v>-62.404690000000002</v>
      </c>
      <c r="M5832">
        <v>0.99818499999999999</v>
      </c>
      <c r="N5832">
        <v>-1.3905839999999999E-2</v>
      </c>
      <c r="O5832">
        <v>-5.8596769999999999E-2</v>
      </c>
      <c r="P5832">
        <v>0.97821429999999998</v>
      </c>
      <c r="Q5832">
        <v>1.675658E-2</v>
      </c>
      <c r="R5832">
        <v>0.2069211</v>
      </c>
      <c r="S5832">
        <v>2.8428040000000001</v>
      </c>
      <c r="T5832">
        <v>-0.18733739999999999</v>
      </c>
      <c r="U5832">
        <v>1.065796</v>
      </c>
      <c r="V5832">
        <v>-0.26413439999999999</v>
      </c>
      <c r="W5832">
        <v>2.7960769999999999E-2</v>
      </c>
      <c r="X5832">
        <v>0.96408050000000001</v>
      </c>
      <c r="Y5832">
        <v>-0.40429569999999998</v>
      </c>
      <c r="Z5832">
        <v>1.8731310000000001E-2</v>
      </c>
      <c r="AA5832">
        <v>0.91443649999999999</v>
      </c>
      <c r="AB5832">
        <v>33</v>
      </c>
      <c r="AC5832">
        <v>16.736799999999999</v>
      </c>
      <c r="AD5832">
        <v>-1.1130873925039999</v>
      </c>
      <c r="AE5832">
        <v>6.3397800000000002</v>
      </c>
      <c r="AF5832">
        <v>-7.28153679712136</v>
      </c>
      <c r="AG5832">
        <v>-1.1130873925039999</v>
      </c>
      <c r="AH5832">
        <v>16.273563915822798</v>
      </c>
      <c r="AI5832">
        <v>93.572544805147302</v>
      </c>
      <c r="AJ5832">
        <v>114.10592552506201</v>
      </c>
      <c r="AK5832">
        <v>17.863051928311499</v>
      </c>
      <c r="AL5832">
        <v>88.397757064418698</v>
      </c>
      <c r="AM5832">
        <v>105.321662438396</v>
      </c>
      <c r="AN5832">
        <v>0.99999999820130103</v>
      </c>
    </row>
    <row r="5833" spans="1:40" x14ac:dyDescent="0.25">
      <c r="A5833" t="str">
        <f>"20190305135941848"</f>
        <v>20190305135941848</v>
      </c>
      <c r="B5833" t="str">
        <f>"1551765581845290"</f>
        <v>1551765581845290</v>
      </c>
      <c r="C5833" t="s">
        <v>40</v>
      </c>
      <c r="D5833">
        <v>4.5315799999999999</v>
      </c>
      <c r="E5833">
        <v>0.4420442</v>
      </c>
      <c r="F5833" t="s">
        <v>41</v>
      </c>
      <c r="G5833">
        <v>-234.23150000000001</v>
      </c>
      <c r="H5833">
        <v>1.0475890000000001</v>
      </c>
      <c r="I5833">
        <v>-62.021210000000004</v>
      </c>
      <c r="J5833">
        <v>-235.1232</v>
      </c>
      <c r="K5833">
        <v>1.1131519999999999</v>
      </c>
      <c r="L5833">
        <v>-62.411160000000002</v>
      </c>
      <c r="M5833">
        <v>0.99829009999999996</v>
      </c>
      <c r="N5833">
        <v>-1.3908800000000001E-2</v>
      </c>
      <c r="O5833">
        <v>-5.6775619999999999E-2</v>
      </c>
      <c r="P5833">
        <v>0.97886169999999995</v>
      </c>
      <c r="Q5833">
        <v>1.7821210000000001E-2</v>
      </c>
      <c r="R5833">
        <v>0.20374600000000001</v>
      </c>
      <c r="S5833">
        <v>2.8458399999999999</v>
      </c>
      <c r="T5833">
        <v>-0.1808225</v>
      </c>
      <c r="U5833">
        <v>1.0591740000000001</v>
      </c>
      <c r="V5833">
        <v>-0.25925520000000002</v>
      </c>
      <c r="W5833">
        <v>2.9045129999999999E-2</v>
      </c>
      <c r="X5833">
        <v>0.96537200000000001</v>
      </c>
      <c r="Y5833">
        <v>-0.4005126</v>
      </c>
      <c r="Z5833">
        <v>1.7912259999999999E-2</v>
      </c>
      <c r="AA5833">
        <v>0.91611620000000005</v>
      </c>
      <c r="AB5833">
        <v>33</v>
      </c>
      <c r="AC5833">
        <v>0.89169999999998595</v>
      </c>
      <c r="AD5833">
        <v>-6.5563000000000204E-2</v>
      </c>
      <c r="AE5833">
        <v>0.38994999999999802</v>
      </c>
      <c r="AF5833">
        <v>-0.43796503252310198</v>
      </c>
      <c r="AG5833">
        <v>-6.5563000000000204E-2</v>
      </c>
      <c r="AH5833">
        <v>0.86419770815376296</v>
      </c>
      <c r="AI5833">
        <v>93.871397217423194</v>
      </c>
      <c r="AJ5833">
        <v>116.875344859823</v>
      </c>
      <c r="AK5833">
        <v>0.97105589718624297</v>
      </c>
      <c r="AL5833">
        <v>88.335602540513705</v>
      </c>
      <c r="AM5833">
        <v>105.032364806009</v>
      </c>
      <c r="AN5833">
        <v>0.99999998834387804</v>
      </c>
    </row>
    <row r="5834" spans="1:40" x14ac:dyDescent="0.25">
      <c r="A5834" t="str">
        <f>"20190305135941858"</f>
        <v>20190305135941858</v>
      </c>
      <c r="B5834" t="str">
        <f>"1551765581855050"</f>
        <v>1551765581855050</v>
      </c>
      <c r="C5834" t="s">
        <v>40</v>
      </c>
      <c r="D5834">
        <v>4.4762399999999998</v>
      </c>
      <c r="E5834">
        <v>0.44209540000000003</v>
      </c>
      <c r="F5834" t="s">
        <v>95</v>
      </c>
      <c r="G5834">
        <v>-217.36349999999999</v>
      </c>
      <c r="H5834" s="1">
        <v>-2.927734E-6</v>
      </c>
      <c r="I5834">
        <v>-55.874890000000001</v>
      </c>
      <c r="J5834">
        <v>-234.9709</v>
      </c>
      <c r="K5834">
        <v>1.113226</v>
      </c>
      <c r="L5834">
        <v>-62.4182699999999</v>
      </c>
      <c r="M5834">
        <v>0.9984016</v>
      </c>
      <c r="N5834">
        <v>-1.3911710000000001E-2</v>
      </c>
      <c r="O5834">
        <v>-5.477779E-2</v>
      </c>
      <c r="P5834">
        <v>0.97941730000000005</v>
      </c>
      <c r="Q5834">
        <v>1.8479120000000002E-2</v>
      </c>
      <c r="R5834">
        <v>0.2009986</v>
      </c>
      <c r="S5834">
        <v>2.8497159999999999</v>
      </c>
      <c r="T5834">
        <v>-0.17861629999999901</v>
      </c>
      <c r="U5834">
        <v>1.0487979999999999</v>
      </c>
      <c r="V5834">
        <v>-0.25462040000000002</v>
      </c>
      <c r="W5834">
        <v>2.9717190000000001E-2</v>
      </c>
      <c r="X5834">
        <v>0.96658440000000001</v>
      </c>
      <c r="Y5834">
        <v>-0.39536749999999998</v>
      </c>
      <c r="Z5834">
        <v>1.74196E-2</v>
      </c>
      <c r="AA5834">
        <v>0.9183578</v>
      </c>
      <c r="AB5834">
        <v>33</v>
      </c>
      <c r="AC5834">
        <v>17.607399999999998</v>
      </c>
      <c r="AD5834">
        <v>-1.113228927734</v>
      </c>
      <c r="AE5834">
        <v>6.5433799999999902</v>
      </c>
      <c r="AF5834">
        <v>-7.4718977317616897</v>
      </c>
      <c r="AG5834">
        <v>-1.113228927734</v>
      </c>
      <c r="AH5834">
        <v>17.162212589577901</v>
      </c>
      <c r="AI5834">
        <v>93.403548221363593</v>
      </c>
      <c r="AJ5834">
        <v>113.52682264136099</v>
      </c>
      <c r="AK5834">
        <v>18.751268632530302</v>
      </c>
      <c r="AL5834">
        <v>88.297079779192103</v>
      </c>
      <c r="AM5834">
        <v>104.757758549906</v>
      </c>
      <c r="AN5834">
        <v>1.0000000309004999</v>
      </c>
    </row>
    <row r="5835" spans="1:40" x14ac:dyDescent="0.25">
      <c r="A5835" t="str">
        <f>"20190305135941870"</f>
        <v>20190305135941870</v>
      </c>
      <c r="B5835" t="str">
        <f>"1551765581864809"</f>
        <v>1551765581864809</v>
      </c>
      <c r="C5835" t="s">
        <v>40</v>
      </c>
      <c r="D5835">
        <v>4.2027869999999998</v>
      </c>
      <c r="E5835">
        <v>0.44164399999999998</v>
      </c>
      <c r="F5835" t="s">
        <v>41</v>
      </c>
      <c r="G5835">
        <v>-233.93459999999999</v>
      </c>
      <c r="H5835">
        <v>1.0492300000000001</v>
      </c>
      <c r="I5835">
        <v>-62.040320000000001</v>
      </c>
      <c r="J5835">
        <v>-234.7944</v>
      </c>
      <c r="K5835">
        <v>1.113294</v>
      </c>
      <c r="L5835">
        <v>-62.425750000000001</v>
      </c>
      <c r="M5835">
        <v>0.99852819999999998</v>
      </c>
      <c r="N5835">
        <v>-1.3914879999999999E-2</v>
      </c>
      <c r="O5835">
        <v>-5.2423200000000003E-2</v>
      </c>
      <c r="P5835">
        <v>0.97994009999999998</v>
      </c>
      <c r="Q5835">
        <v>1.909959E-2</v>
      </c>
      <c r="R5835">
        <v>0.19837550000000001</v>
      </c>
      <c r="S5835">
        <v>2.852814</v>
      </c>
      <c r="T5835">
        <v>-0.17619089999999901</v>
      </c>
      <c r="U5835">
        <v>1.0406489999999999</v>
      </c>
      <c r="V5835">
        <v>-0.2497578</v>
      </c>
      <c r="W5835">
        <v>3.0359199999999999E-2</v>
      </c>
      <c r="X5835">
        <v>0.96783229999999998</v>
      </c>
      <c r="Y5835">
        <v>-0.39059709999999997</v>
      </c>
      <c r="Z5835">
        <v>1.6915719999999999E-2</v>
      </c>
      <c r="AA5835">
        <v>0.92040630000000001</v>
      </c>
      <c r="AB5835">
        <v>33</v>
      </c>
      <c r="AC5835">
        <v>0.859800000000007</v>
      </c>
      <c r="AD5835">
        <v>-6.4064000000000093E-2</v>
      </c>
      <c r="AE5835">
        <v>0.38543000000000599</v>
      </c>
      <c r="AF5835">
        <v>-0.42799917543340799</v>
      </c>
      <c r="AG5835">
        <v>-6.4064000000000093E-2</v>
      </c>
      <c r="AH5835">
        <v>0.83455210058510898</v>
      </c>
      <c r="AI5835">
        <v>93.907554788231593</v>
      </c>
      <c r="AJ5835">
        <v>117.15097212272001</v>
      </c>
      <c r="AK5835">
        <v>0.940087601693956</v>
      </c>
      <c r="AL5835">
        <v>88.260278656622106</v>
      </c>
      <c r="AM5835">
        <v>104.469995811964</v>
      </c>
      <c r="AN5835">
        <v>1.0000000003043801</v>
      </c>
    </row>
    <row r="5836" spans="1:40" x14ac:dyDescent="0.25">
      <c r="A5836" t="str">
        <f>"20190305135941882"</f>
        <v>20190305135941882</v>
      </c>
      <c r="B5836" t="str">
        <f>"1551765581874569"</f>
        <v>1551765581874569</v>
      </c>
      <c r="C5836" t="s">
        <v>40</v>
      </c>
      <c r="D5836">
        <v>4.1992079999999996</v>
      </c>
      <c r="E5836">
        <v>0.44114379999999997</v>
      </c>
      <c r="F5836" t="s">
        <v>95</v>
      </c>
      <c r="G5836">
        <v>-216.2945</v>
      </c>
      <c r="H5836" s="1">
        <v>-2.4991360000000001E-6</v>
      </c>
      <c r="I5836">
        <v>-55.705829999999999</v>
      </c>
      <c r="J5836">
        <v>-234.6266</v>
      </c>
      <c r="K5836">
        <v>1.1133550000000001</v>
      </c>
      <c r="L5836">
        <v>-62.432650000000002</v>
      </c>
      <c r="M5836">
        <v>0.99864350000000002</v>
      </c>
      <c r="N5836">
        <v>-1.3917540000000001E-2</v>
      </c>
      <c r="O5836">
        <v>-5.0175369999999997E-2</v>
      </c>
      <c r="P5836">
        <v>0.98050170000000003</v>
      </c>
      <c r="Q5836">
        <v>1.9431130000000001E-2</v>
      </c>
      <c r="R5836">
        <v>0.195548</v>
      </c>
      <c r="S5836">
        <v>2.8548429999999998</v>
      </c>
      <c r="T5836">
        <v>-0.17180039999999999</v>
      </c>
      <c r="U5836">
        <v>1.0369870000000001</v>
      </c>
      <c r="V5836">
        <v>-0.2447897</v>
      </c>
      <c r="W5836">
        <v>3.071904E-2</v>
      </c>
      <c r="X5836">
        <v>0.96908939999999999</v>
      </c>
      <c r="Y5836">
        <v>-0.38731939999999998</v>
      </c>
      <c r="Z5836">
        <v>1.631966E-2</v>
      </c>
      <c r="AA5836">
        <v>0.92180110000000004</v>
      </c>
      <c r="AB5836">
        <v>33</v>
      </c>
      <c r="AC5836">
        <v>18.332100000000001</v>
      </c>
      <c r="AD5836">
        <v>-1.11335749913599</v>
      </c>
      <c r="AE5836">
        <v>6.7268199999999903</v>
      </c>
      <c r="AF5836">
        <v>-7.6135047186626004</v>
      </c>
      <c r="AG5836">
        <v>-1.11335749913599</v>
      </c>
      <c r="AH5836">
        <v>17.9132199830626</v>
      </c>
      <c r="AI5836">
        <v>93.273793363988005</v>
      </c>
      <c r="AJ5836">
        <v>113.02653835370501</v>
      </c>
      <c r="AK5836">
        <v>19.495857744238201</v>
      </c>
      <c r="AL5836">
        <v>88.239651652888398</v>
      </c>
      <c r="AM5836">
        <v>104.17623675914901</v>
      </c>
      <c r="AN5836">
        <v>0.99999996091848498</v>
      </c>
    </row>
    <row r="5837" spans="1:40" x14ac:dyDescent="0.25">
      <c r="A5837" t="str">
        <f>"20190305135941892"</f>
        <v>20190305135941892</v>
      </c>
      <c r="B5837" t="str">
        <f>"1551765581885306"</f>
        <v>1551765581885306</v>
      </c>
      <c r="C5837" t="s">
        <v>40</v>
      </c>
      <c r="D5837">
        <v>4.1901149999999996</v>
      </c>
      <c r="E5837">
        <v>0.44062459999999998</v>
      </c>
      <c r="F5837" t="s">
        <v>41</v>
      </c>
      <c r="G5837">
        <v>-233.54310000000001</v>
      </c>
      <c r="H5837">
        <v>1.049088</v>
      </c>
      <c r="I5837">
        <v>-62.041060000000002</v>
      </c>
      <c r="J5837">
        <v>-234.4674</v>
      </c>
      <c r="K5837">
        <v>1.113399</v>
      </c>
      <c r="L5837">
        <v>-62.438749999999999</v>
      </c>
      <c r="M5837">
        <v>0.9987492</v>
      </c>
      <c r="N5837">
        <v>-1.3919809999999999E-2</v>
      </c>
      <c r="O5837">
        <v>-4.8024509999999999E-2</v>
      </c>
      <c r="P5837">
        <v>0.98111919999999997</v>
      </c>
      <c r="Q5837">
        <v>1.9558829999999999E-2</v>
      </c>
      <c r="R5837">
        <v>0.1924129</v>
      </c>
      <c r="S5837">
        <v>2.8569640000000001</v>
      </c>
      <c r="T5837">
        <v>-0.1694552</v>
      </c>
      <c r="U5837">
        <v>1.0329900000000001</v>
      </c>
      <c r="V5837">
        <v>-0.23960490000000001</v>
      </c>
      <c r="W5837">
        <v>3.0885860000000001E-2</v>
      </c>
      <c r="X5837">
        <v>0.97037910000000005</v>
      </c>
      <c r="Y5837">
        <v>-0.38400200000000001</v>
      </c>
      <c r="Z5837">
        <v>1.590455E-2</v>
      </c>
      <c r="AA5837">
        <v>0.92319519999999999</v>
      </c>
      <c r="AB5837">
        <v>33</v>
      </c>
      <c r="AC5837">
        <v>0.92429999999998802</v>
      </c>
      <c r="AD5837">
        <v>-6.4310999999999993E-2</v>
      </c>
      <c r="AE5837">
        <v>0.39769000000000398</v>
      </c>
      <c r="AF5837">
        <v>-0.43982774394895302</v>
      </c>
      <c r="AG5837">
        <v>-6.4310999999999993E-2</v>
      </c>
      <c r="AH5837">
        <v>0.90045431969035605</v>
      </c>
      <c r="AI5837">
        <v>93.671878434077797</v>
      </c>
      <c r="AJ5837">
        <v>116.033238927016</v>
      </c>
      <c r="AK5837">
        <v>1.0041923774443</v>
      </c>
      <c r="AL5837">
        <v>88.230089139547204</v>
      </c>
      <c r="AM5837">
        <v>103.869971499295</v>
      </c>
      <c r="AN5837">
        <v>1.00000002108437</v>
      </c>
    </row>
    <row r="5838" spans="1:40" x14ac:dyDescent="0.25">
      <c r="A5838" t="str">
        <f>"20190305135941904"</f>
        <v>20190305135941904</v>
      </c>
      <c r="B5838" t="str">
        <f>"1551765581895066"</f>
        <v>1551765581895066</v>
      </c>
      <c r="C5838" t="s">
        <v>40</v>
      </c>
      <c r="D5838">
        <v>4.1305540000000001</v>
      </c>
      <c r="E5838">
        <v>0.4399962</v>
      </c>
      <c r="F5838" t="s">
        <v>95</v>
      </c>
      <c r="G5838">
        <v>-215.4477</v>
      </c>
      <c r="H5838" s="1">
        <v>-2.1548180000000002E-6</v>
      </c>
      <c r="I5838">
        <v>-55.5989</v>
      </c>
      <c r="J5838">
        <v>-234.2928</v>
      </c>
      <c r="K5838">
        <v>1.1134389999999901</v>
      </c>
      <c r="L5838">
        <v>-62.445010000000003</v>
      </c>
      <c r="M5838">
        <v>0.99886010000000003</v>
      </c>
      <c r="N5838">
        <v>-1.3922E-2</v>
      </c>
      <c r="O5838">
        <v>-4.5658509999999999E-2</v>
      </c>
      <c r="P5838">
        <v>0.98175789999999996</v>
      </c>
      <c r="Q5838">
        <v>1.9638739999999998E-2</v>
      </c>
      <c r="R5838">
        <v>0.1891186</v>
      </c>
      <c r="S5838">
        <v>2.8594059999999999</v>
      </c>
      <c r="T5838">
        <v>-0.16738810000000001</v>
      </c>
      <c r="U5838">
        <v>1.0282899999999999</v>
      </c>
      <c r="V5838">
        <v>-0.23404759999999999</v>
      </c>
      <c r="W5838">
        <v>3.1011210000000001E-2</v>
      </c>
      <c r="X5838">
        <v>0.97173039999999999</v>
      </c>
      <c r="Y5838">
        <v>-0.38024540000000001</v>
      </c>
      <c r="Z5838">
        <v>1.549217E-2</v>
      </c>
      <c r="AA5838">
        <v>0.92475589999999996</v>
      </c>
      <c r="AB5838">
        <v>33</v>
      </c>
      <c r="AC5838">
        <v>18.845099999999999</v>
      </c>
      <c r="AD5838">
        <v>-1.1134411548180001</v>
      </c>
      <c r="AE5838">
        <v>6.8461099999999897</v>
      </c>
      <c r="AF5838">
        <v>-7.6758199322390501</v>
      </c>
      <c r="AG5838">
        <v>-1.1134411548180001</v>
      </c>
      <c r="AH5838">
        <v>18.455913007508599</v>
      </c>
      <c r="AI5838">
        <v>93.188318884262301</v>
      </c>
      <c r="AJ5838">
        <v>112.582441159514</v>
      </c>
      <c r="AK5838">
        <v>20.019457729372299</v>
      </c>
      <c r="AL5838">
        <v>88.222903584929497</v>
      </c>
      <c r="AM5838">
        <v>103.542126326256</v>
      </c>
      <c r="AN5838">
        <v>0.99999997224779102</v>
      </c>
    </row>
    <row r="5839" spans="1:40" x14ac:dyDescent="0.25">
      <c r="A5839" t="str">
        <f>"20190305135941914"</f>
        <v>20190305135941914</v>
      </c>
      <c r="B5839" t="str">
        <f>"1551765581904826"</f>
        <v>1551765581904826</v>
      </c>
      <c r="C5839" t="s">
        <v>40</v>
      </c>
      <c r="D5839">
        <v>4.2439559999999998</v>
      </c>
      <c r="E5839">
        <v>0.43982700000000002</v>
      </c>
      <c r="F5839" t="s">
        <v>95</v>
      </c>
      <c r="G5839">
        <v>-214.96170000000001</v>
      </c>
      <c r="H5839" s="1">
        <v>-1.9589110000000001E-6</v>
      </c>
      <c r="I5839">
        <v>-55.528019999999998</v>
      </c>
      <c r="J5839">
        <v>-234.137</v>
      </c>
      <c r="K5839">
        <v>1.11347</v>
      </c>
      <c r="L5839">
        <v>-62.45035</v>
      </c>
      <c r="M5839">
        <v>0.99895460000000003</v>
      </c>
      <c r="N5839">
        <v>-1.392377E-2</v>
      </c>
      <c r="O5839">
        <v>-4.3541580000000003E-2</v>
      </c>
      <c r="P5839">
        <v>0.98247280000000003</v>
      </c>
      <c r="Q5839">
        <v>1.9718949999999999E-2</v>
      </c>
      <c r="R5839">
        <v>0.18536</v>
      </c>
      <c r="S5839">
        <v>2.8617859999999999</v>
      </c>
      <c r="T5839">
        <v>-0.1648347</v>
      </c>
      <c r="U5839">
        <v>1.023987</v>
      </c>
      <c r="V5839">
        <v>-0.22826679999999999</v>
      </c>
      <c r="W5839">
        <v>3.114608E-2</v>
      </c>
      <c r="X5839">
        <v>0.97310030000000003</v>
      </c>
      <c r="Y5839">
        <v>-0.37683680000000003</v>
      </c>
      <c r="Z5839">
        <v>1.507091E-2</v>
      </c>
      <c r="AA5839">
        <v>0.92615709999999996</v>
      </c>
      <c r="AB5839">
        <v>33</v>
      </c>
      <c r="AC5839">
        <v>19.1753</v>
      </c>
      <c r="AD5839">
        <v>-1.113471958911</v>
      </c>
      <c r="AE5839">
        <v>6.9223299999999997</v>
      </c>
      <c r="AF5839">
        <v>-7.7277147325327302</v>
      </c>
      <c r="AG5839">
        <v>-1.113471958911</v>
      </c>
      <c r="AH5839">
        <v>18.799590947048401</v>
      </c>
      <c r="AI5839">
        <v>93.135582791785097</v>
      </c>
      <c r="AJ5839">
        <v>112.34548559708099</v>
      </c>
      <c r="AK5839">
        <v>20.356375280659101</v>
      </c>
      <c r="AL5839">
        <v>88.215172421548104</v>
      </c>
      <c r="AM5839">
        <v>103.20157298777499</v>
      </c>
      <c r="AN5839">
        <v>1.0000000020708399</v>
      </c>
    </row>
    <row r="5840" spans="1:40" x14ac:dyDescent="0.25">
      <c r="A5840" t="str">
        <f>"20190305135941925"</f>
        <v>20190305135941925</v>
      </c>
      <c r="B5840" t="str">
        <f>"1551765581914587"</f>
        <v>1551765581914587</v>
      </c>
      <c r="C5840" t="s">
        <v>40</v>
      </c>
      <c r="D5840">
        <v>4.2231800000000002</v>
      </c>
      <c r="E5840">
        <v>0.43934440000000002</v>
      </c>
      <c r="F5840" t="s">
        <v>95</v>
      </c>
      <c r="G5840">
        <v>-214.94450000000001</v>
      </c>
      <c r="H5840" s="1">
        <v>-1.9289050000000002E-6</v>
      </c>
      <c r="I5840">
        <v>-55.655569999999997</v>
      </c>
      <c r="J5840">
        <v>-233.98480000000001</v>
      </c>
      <c r="K5840">
        <v>1.113491</v>
      </c>
      <c r="L5840">
        <v>-62.455080000000002</v>
      </c>
      <c r="M5840">
        <v>0.99904289999999996</v>
      </c>
      <c r="N5840">
        <v>-1.392534E-2</v>
      </c>
      <c r="O5840">
        <v>-4.1467129999999998E-2</v>
      </c>
      <c r="P5840">
        <v>0.98328570000000004</v>
      </c>
      <c r="Q5840">
        <v>1.9722839999999998E-2</v>
      </c>
      <c r="R5840">
        <v>0.1809983</v>
      </c>
      <c r="S5840">
        <v>2.8654790000000001</v>
      </c>
      <c r="T5840">
        <v>-0.16624359999999999</v>
      </c>
      <c r="U5840">
        <v>1.014465</v>
      </c>
      <c r="V5840">
        <v>-0.22192310000000001</v>
      </c>
      <c r="W5840">
        <v>3.1215670000000001E-2</v>
      </c>
      <c r="X5840">
        <v>0.9745644</v>
      </c>
      <c r="Y5840">
        <v>-0.37179859999999998</v>
      </c>
      <c r="Z5840">
        <v>1.4903939999999999E-2</v>
      </c>
      <c r="AA5840">
        <v>0.92819370000000001</v>
      </c>
      <c r="AB5840">
        <v>33</v>
      </c>
      <c r="AC5840">
        <v>19.040299999999998</v>
      </c>
      <c r="AD5840">
        <v>-1.113492928905</v>
      </c>
      <c r="AE5840">
        <v>6.7995099999999997</v>
      </c>
      <c r="AF5840">
        <v>-7.5603515013500404</v>
      </c>
      <c r="AG5840">
        <v>-1.113492928905</v>
      </c>
      <c r="AH5840">
        <v>18.6852602149667</v>
      </c>
      <c r="AI5840">
        <v>93.161889163309496</v>
      </c>
      <c r="AJ5840">
        <v>112.02903377401501</v>
      </c>
      <c r="AK5840">
        <v>20.1875637615762</v>
      </c>
      <c r="AL5840">
        <v>88.211183309698598</v>
      </c>
      <c r="AM5840">
        <v>102.828368877394</v>
      </c>
      <c r="AN5840">
        <v>1.0000000250572501</v>
      </c>
    </row>
    <row r="5841" spans="1:40" x14ac:dyDescent="0.25">
      <c r="A5841" t="str">
        <f>"20190305135941937"</f>
        <v>20190305135941937</v>
      </c>
      <c r="B5841" t="str">
        <f>"1551765581925322"</f>
        <v>1551765581925322</v>
      </c>
      <c r="C5841" t="s">
        <v>40</v>
      </c>
      <c r="D5841">
        <v>4.2778850000000004</v>
      </c>
      <c r="E5841">
        <v>0.43907180000000001</v>
      </c>
      <c r="F5841" t="s">
        <v>95</v>
      </c>
      <c r="G5841">
        <v>-214.52600000000001</v>
      </c>
      <c r="H5841" s="1">
        <v>-1.77720999999999E-6</v>
      </c>
      <c r="I5841">
        <v>-55.632319999999901</v>
      </c>
      <c r="J5841">
        <v>-233.80680000000001</v>
      </c>
      <c r="K5841">
        <v>1.113515</v>
      </c>
      <c r="L5841">
        <v>-62.460450000000002</v>
      </c>
      <c r="M5841">
        <v>0.99914060000000005</v>
      </c>
      <c r="N5841">
        <v>-1.392702E-2</v>
      </c>
      <c r="O5841">
        <v>-3.9039940000000002E-2</v>
      </c>
      <c r="P5841">
        <v>0.9839987</v>
      </c>
      <c r="Q5841">
        <v>1.9338640000000001E-2</v>
      </c>
      <c r="R5841">
        <v>0.17712329999999901</v>
      </c>
      <c r="S5841">
        <v>2.8691249999999999</v>
      </c>
      <c r="T5841">
        <v>-0.1641803</v>
      </c>
      <c r="U5841">
        <v>1.005981</v>
      </c>
      <c r="V5841">
        <v>-0.21570909999999999</v>
      </c>
      <c r="W5841">
        <v>3.0895389999999998E-2</v>
      </c>
      <c r="X5841">
        <v>0.97596879999999997</v>
      </c>
      <c r="Y5841">
        <v>-0.36675469999999999</v>
      </c>
      <c r="Z5841">
        <v>1.445607E-2</v>
      </c>
      <c r="AA5841">
        <v>0.93020539999999996</v>
      </c>
      <c r="AB5841">
        <v>33</v>
      </c>
      <c r="AC5841">
        <v>19.280799999999999</v>
      </c>
      <c r="AD5841">
        <v>-1.1135167772100001</v>
      </c>
      <c r="AE5841">
        <v>6.8281299999999998</v>
      </c>
      <c r="AF5841">
        <v>-7.5533322432917096</v>
      </c>
      <c r="AG5841">
        <v>-1.1135167772100001</v>
      </c>
      <c r="AH5841">
        <v>18.9433608813275</v>
      </c>
      <c r="AI5841">
        <v>93.125301738838701</v>
      </c>
      <c r="AJ5841">
        <v>111.73877296692601</v>
      </c>
      <c r="AK5841">
        <v>20.424095306056699</v>
      </c>
      <c r="AL5841">
        <v>88.229542847728695</v>
      </c>
      <c r="AM5841">
        <v>102.463176913968</v>
      </c>
      <c r="AN5841">
        <v>1.0000000197597501</v>
      </c>
    </row>
    <row r="5842" spans="1:40" x14ac:dyDescent="0.25">
      <c r="A5842" t="str">
        <f>"20190305135941947"</f>
        <v>20190305135941947</v>
      </c>
      <c r="B5842" t="str">
        <f>"1551765581944842"</f>
        <v>1551765581944842</v>
      </c>
      <c r="C5842" t="s">
        <v>40</v>
      </c>
      <c r="D5842">
        <v>4.6601900000000001</v>
      </c>
      <c r="E5842">
        <v>0.51213729999999902</v>
      </c>
      <c r="F5842" t="s">
        <v>95</v>
      </c>
      <c r="G5842">
        <v>-214.30359999999999</v>
      </c>
      <c r="H5842" s="1">
        <v>-1.686052E-6</v>
      </c>
      <c r="I5842">
        <v>-55.690510000000003</v>
      </c>
      <c r="J5842">
        <v>-233.65100000000001</v>
      </c>
      <c r="K5842">
        <v>1.113518</v>
      </c>
      <c r="L5842">
        <v>-62.46454</v>
      </c>
      <c r="M5842">
        <v>0.99922140000000004</v>
      </c>
      <c r="N5842">
        <v>-1.3928309999999999E-2</v>
      </c>
      <c r="O5842">
        <v>-3.6914639999999999E-2</v>
      </c>
      <c r="P5842">
        <v>0.9848131</v>
      </c>
      <c r="Q5842">
        <v>1.8618030000000001E-2</v>
      </c>
      <c r="R5842">
        <v>0.1726172</v>
      </c>
      <c r="S5842">
        <v>2.872528</v>
      </c>
      <c r="T5842">
        <v>-0.16400399999999901</v>
      </c>
      <c r="U5842">
        <v>0.99710080000000001</v>
      </c>
      <c r="V5842">
        <v>-0.20915439999999999</v>
      </c>
      <c r="W5842">
        <v>3.024862E-2</v>
      </c>
      <c r="X5842">
        <v>0.97741469999999997</v>
      </c>
      <c r="Y5842">
        <v>-0.36187619999999998</v>
      </c>
      <c r="Z5842">
        <v>1.4173949999999999E-2</v>
      </c>
      <c r="AA5842">
        <v>0.93211840000000001</v>
      </c>
      <c r="AB5842">
        <v>33</v>
      </c>
      <c r="AC5842">
        <v>19.3474</v>
      </c>
      <c r="AD5842">
        <v>-1.113519686052</v>
      </c>
      <c r="AE5842">
        <v>6.7740299999999998</v>
      </c>
      <c r="AF5842">
        <v>-7.4616662436066203</v>
      </c>
      <c r="AG5842">
        <v>-1.113519686052</v>
      </c>
      <c r="AH5842">
        <v>19.0279790555714</v>
      </c>
      <c r="AI5842">
        <v>93.118445304366205</v>
      </c>
      <c r="AJ5842">
        <v>111.412222219302</v>
      </c>
      <c r="AK5842">
        <v>20.469010141222402</v>
      </c>
      <c r="AL5842">
        <v>88.266617367346996</v>
      </c>
      <c r="AM5842">
        <v>102.078412613532</v>
      </c>
      <c r="AN5842">
        <v>1.00000001891367</v>
      </c>
    </row>
    <row r="5843" spans="1:40" x14ac:dyDescent="0.25">
      <c r="A5843" t="str">
        <f>"20190305135941959"</f>
        <v>20190305135941959</v>
      </c>
      <c r="B5843" t="str">
        <f>"1551765581954601"</f>
        <v>1551765581954601</v>
      </c>
      <c r="C5843" t="s">
        <v>40</v>
      </c>
      <c r="D5843">
        <v>4.1612210000000003</v>
      </c>
      <c r="E5843">
        <v>0.51213729999999902</v>
      </c>
      <c r="F5843" t="s">
        <v>82</v>
      </c>
      <c r="G5843">
        <v>-190.2655</v>
      </c>
      <c r="H5843" s="1">
        <v>-7.6331820000000008E-6</v>
      </c>
      <c r="I5843">
        <v>-56.422240000000002</v>
      </c>
      <c r="J5843">
        <v>-233.483</v>
      </c>
      <c r="K5843">
        <v>1.113526</v>
      </c>
      <c r="L5843">
        <v>-62.468809999999998</v>
      </c>
      <c r="M5843">
        <v>0.99930350000000001</v>
      </c>
      <c r="N5843">
        <v>-1.392957E-2</v>
      </c>
      <c r="O5843">
        <v>-3.4621970000000002E-2</v>
      </c>
      <c r="P5843">
        <v>0.98559890000000006</v>
      </c>
      <c r="Q5843">
        <v>1.7660510000000001E-2</v>
      </c>
      <c r="R5843">
        <v>0.16817550000000001</v>
      </c>
      <c r="S5843">
        <v>2.9750670000000001</v>
      </c>
      <c r="T5843">
        <v>-7.6357480000000005E-2</v>
      </c>
      <c r="U5843">
        <v>0.41433720000000002</v>
      </c>
      <c r="V5843">
        <v>-0.20249110000000001</v>
      </c>
      <c r="W5843">
        <v>2.936592E-2</v>
      </c>
      <c r="X5843">
        <v>0.97884369999999998</v>
      </c>
      <c r="Y5843">
        <v>-0.17206150000000001</v>
      </c>
      <c r="Z5843">
        <v>3.806439E-3</v>
      </c>
      <c r="AA5843">
        <v>0.98507889999999998</v>
      </c>
      <c r="AB5843">
        <v>33</v>
      </c>
      <c r="AC5843">
        <v>43.217500000000001</v>
      </c>
      <c r="AD5843">
        <v>-1.113533633182</v>
      </c>
      <c r="AE5843">
        <v>6.0465699999999902</v>
      </c>
      <c r="AF5843">
        <v>-7.5344583624586701</v>
      </c>
      <c r="AG5843">
        <v>-1.113533633182</v>
      </c>
      <c r="AH5843">
        <v>42.954251918951798</v>
      </c>
      <c r="AI5843">
        <v>91.462665786793906</v>
      </c>
      <c r="AJ5843">
        <v>99.948846961625705</v>
      </c>
      <c r="AK5843">
        <v>43.624256760254703</v>
      </c>
      <c r="AL5843">
        <v>88.3172147961767</v>
      </c>
      <c r="AM5843">
        <v>101.687781422635</v>
      </c>
      <c r="AN5843">
        <v>0.99999999593317301</v>
      </c>
    </row>
    <row r="5844" spans="1:40" x14ac:dyDescent="0.25">
      <c r="A5844" t="str">
        <f>"20190305135941971"</f>
        <v>20190305135941971</v>
      </c>
      <c r="B5844" t="str">
        <f>"1551765581964362"</f>
        <v>1551765581964362</v>
      </c>
      <c r="C5844" t="s">
        <v>40</v>
      </c>
      <c r="D5844">
        <v>5.6614979999999999</v>
      </c>
      <c r="E5844">
        <v>0.58805479999999999</v>
      </c>
      <c r="F5844" t="s">
        <v>82</v>
      </c>
      <c r="G5844">
        <v>-191.67259999999999</v>
      </c>
      <c r="H5844" s="1">
        <v>-7.6227610000000001E-6</v>
      </c>
      <c r="I5844">
        <v>-56.837519999999998</v>
      </c>
      <c r="J5844">
        <v>-233.3047</v>
      </c>
      <c r="K5844">
        <v>1.1135299999999999</v>
      </c>
      <c r="L5844">
        <v>-62.47269</v>
      </c>
      <c r="M5844">
        <v>0.99938450000000001</v>
      </c>
      <c r="N5844">
        <v>-1.3930720000000001E-2</v>
      </c>
      <c r="O5844">
        <v>-3.2197610000000002E-2</v>
      </c>
      <c r="P5844">
        <v>0.98635090000000003</v>
      </c>
      <c r="Q5844">
        <v>1.691314E-2</v>
      </c>
      <c r="R5844">
        <v>0.16378599999999999</v>
      </c>
      <c r="S5844">
        <v>2.9768370000000002</v>
      </c>
      <c r="T5844">
        <v>-7.9282050000000007E-2</v>
      </c>
      <c r="U5844">
        <v>0.40093990000000002</v>
      </c>
      <c r="V5844">
        <v>-0.19574610000000001</v>
      </c>
      <c r="W5844">
        <v>2.8697670000000002E-2</v>
      </c>
      <c r="X5844">
        <v>0.98023459999999996</v>
      </c>
      <c r="Y5844">
        <v>-0.16523389999999999</v>
      </c>
      <c r="Z5844">
        <v>3.7540590000000001E-3</v>
      </c>
      <c r="AA5844">
        <v>0.98624719999999999</v>
      </c>
      <c r="AB5844">
        <v>33</v>
      </c>
      <c r="AC5844">
        <v>41.632100000000001</v>
      </c>
      <c r="AD5844">
        <v>-1.1135376227610001</v>
      </c>
      <c r="AE5844">
        <v>5.6351699999999996</v>
      </c>
      <c r="AF5844">
        <v>-6.9679366200577402</v>
      </c>
      <c r="AG5844">
        <v>-1.1135376227610001</v>
      </c>
      <c r="AH5844">
        <v>41.399968954553501</v>
      </c>
      <c r="AI5844">
        <v>91.519357489986405</v>
      </c>
      <c r="AJ5844">
        <v>99.553785004419495</v>
      </c>
      <c r="AK5844">
        <v>41.997018182442901</v>
      </c>
      <c r="AL5844">
        <v>88.355518823531298</v>
      </c>
      <c r="AM5844">
        <v>101.293024499266</v>
      </c>
      <c r="AN5844">
        <v>0.99999998148289904</v>
      </c>
    </row>
    <row r="5845" spans="1:40" x14ac:dyDescent="0.25">
      <c r="A5845" t="str">
        <f>"20190305135941982"</f>
        <v>20190305135941982</v>
      </c>
      <c r="B5845" t="str">
        <f>"1551765581975098"</f>
        <v>1551765581975098</v>
      </c>
      <c r="C5845" t="s">
        <v>40</v>
      </c>
      <c r="D5845">
        <v>4.4369949999999996</v>
      </c>
      <c r="E5845">
        <v>0.58805479999999999</v>
      </c>
      <c r="F5845" t="s">
        <v>73</v>
      </c>
      <c r="G5845">
        <v>-168.45060000000001</v>
      </c>
      <c r="H5845">
        <v>3.0836440000000001</v>
      </c>
      <c r="I5845">
        <v>-66.698099999999997</v>
      </c>
      <c r="J5845">
        <v>-233.1387</v>
      </c>
      <c r="K5845">
        <v>1.1135269999999999</v>
      </c>
      <c r="L5845">
        <v>-62.476039999999998</v>
      </c>
      <c r="M5845">
        <v>0.99945450000000002</v>
      </c>
      <c r="N5845">
        <v>-1.3931600000000001E-2</v>
      </c>
      <c r="O5845">
        <v>-2.994552E-2</v>
      </c>
      <c r="P5845">
        <v>0.98706439999999995</v>
      </c>
      <c r="Q5845">
        <v>1.6370699999999998E-2</v>
      </c>
      <c r="R5845">
        <v>0.1594865</v>
      </c>
      <c r="S5845">
        <v>3.0731809999999999</v>
      </c>
      <c r="T5845">
        <v>9.3354939999999997E-2</v>
      </c>
      <c r="U5845">
        <v>-0.20022580000000001</v>
      </c>
      <c r="V5845">
        <v>-0.1892558</v>
      </c>
      <c r="W5845">
        <v>2.8232940000000002E-2</v>
      </c>
      <c r="X5845">
        <v>0.9815218</v>
      </c>
      <c r="Y5845">
        <v>3.5121119999999999E-2</v>
      </c>
      <c r="Z5845">
        <v>-1.0371379999999999E-3</v>
      </c>
      <c r="AA5845">
        <v>0.99938249999999995</v>
      </c>
      <c r="AB5845">
        <v>33</v>
      </c>
      <c r="AC5845">
        <v>64.688099999999906</v>
      </c>
      <c r="AD5845">
        <v>1.9701169999999999</v>
      </c>
      <c r="AE5845">
        <v>-4.2220599999999902</v>
      </c>
      <c r="AF5845">
        <v>2.2807529571954199</v>
      </c>
      <c r="AG5845">
        <v>1.9701169999999999</v>
      </c>
      <c r="AH5845">
        <v>64.725746481515401</v>
      </c>
      <c r="AI5845">
        <v>88.257654702015301</v>
      </c>
      <c r="AJ5845">
        <v>87.981893137171497</v>
      </c>
      <c r="AK5845">
        <v>64.795875274857195</v>
      </c>
      <c r="AL5845">
        <v>88.382156635588998</v>
      </c>
      <c r="AM5845">
        <v>100.913761181102</v>
      </c>
      <c r="AN5845">
        <v>0.99999995030496003</v>
      </c>
    </row>
    <row r="5846" spans="1:40" x14ac:dyDescent="0.25">
      <c r="A5846" t="str">
        <f>"20190305135941994"</f>
        <v>20190305135941994</v>
      </c>
      <c r="B5846" t="str">
        <f>"1551765581984858"</f>
        <v>1551765581984858</v>
      </c>
      <c r="C5846" t="s">
        <v>40</v>
      </c>
      <c r="D5846">
        <v>4.4785750000000002</v>
      </c>
      <c r="E5846">
        <v>0.64383570000000001</v>
      </c>
      <c r="F5846" t="s">
        <v>73</v>
      </c>
      <c r="G5846">
        <v>-168.45060000000001</v>
      </c>
      <c r="H5846">
        <v>3.0359880000000001</v>
      </c>
      <c r="I5846">
        <v>-66.974559999999997</v>
      </c>
      <c r="J5846">
        <v>-232.95959999999999</v>
      </c>
      <c r="K5846">
        <v>1.1135219999999999</v>
      </c>
      <c r="L5846">
        <v>-62.47925</v>
      </c>
      <c r="M5846">
        <v>0.99952399999999997</v>
      </c>
      <c r="N5846">
        <v>-1.393233E-2</v>
      </c>
      <c r="O5846">
        <v>-2.7524179999999999E-2</v>
      </c>
      <c r="P5846">
        <v>0.98779589999999995</v>
      </c>
      <c r="Q5846">
        <v>1.6081169999999999E-2</v>
      </c>
      <c r="R5846">
        <v>0.154920899999999</v>
      </c>
      <c r="S5846">
        <v>3.072311</v>
      </c>
      <c r="T5846">
        <v>9.1304780000000002E-2</v>
      </c>
      <c r="U5846">
        <v>-0.2136536</v>
      </c>
      <c r="V5846">
        <v>-0.18233099999999999</v>
      </c>
      <c r="W5846">
        <v>2.8027030000000001E-2</v>
      </c>
      <c r="X5846">
        <v>0.98283770000000004</v>
      </c>
      <c r="Y5846">
        <v>4.1903610000000001E-2</v>
      </c>
      <c r="Z5846">
        <v>-8.7011520000000004E-4</v>
      </c>
      <c r="AA5846">
        <v>0.99912129999999999</v>
      </c>
      <c r="AB5846">
        <v>33</v>
      </c>
      <c r="AC5846">
        <v>64.508999999999901</v>
      </c>
      <c r="AD5846">
        <v>1.922466</v>
      </c>
      <c r="AE5846">
        <v>-4.4953099999999901</v>
      </c>
      <c r="AF5846">
        <v>2.7154767711219301</v>
      </c>
      <c r="AG5846">
        <v>1.922466</v>
      </c>
      <c r="AH5846">
        <v>64.551244108802095</v>
      </c>
      <c r="AI5846">
        <v>88.295627075864999</v>
      </c>
      <c r="AJ5846">
        <v>87.591159062116105</v>
      </c>
      <c r="AK5846">
        <v>64.636930663590604</v>
      </c>
      <c r="AL5846">
        <v>88.393959202707606</v>
      </c>
      <c r="AM5846">
        <v>100.50973871178</v>
      </c>
      <c r="AN5846">
        <v>1.0000000262564499</v>
      </c>
    </row>
    <row r="5847" spans="1:40" x14ac:dyDescent="0.25">
      <c r="A5847" t="str">
        <f>"20190305135942005"</f>
        <v>20190305135942005</v>
      </c>
      <c r="B5847" t="str">
        <f>"1551765581994618"</f>
        <v>1551765581994618</v>
      </c>
      <c r="C5847" t="s">
        <v>40</v>
      </c>
      <c r="D5847">
        <v>4.4919779999999996</v>
      </c>
      <c r="E5847">
        <v>0.64543909999999904</v>
      </c>
      <c r="F5847" t="s">
        <v>95</v>
      </c>
      <c r="G5847">
        <v>-218.3126</v>
      </c>
      <c r="H5847" s="1">
        <v>-3.6276499999999999E-6</v>
      </c>
      <c r="I5847">
        <v>-65.678049999999999</v>
      </c>
      <c r="J5847">
        <v>-232.8015</v>
      </c>
      <c r="K5847">
        <v>1.11351</v>
      </c>
      <c r="L5847">
        <v>-62.481659999999998</v>
      </c>
      <c r="M5847">
        <v>0.99958029999999998</v>
      </c>
      <c r="N5847">
        <v>-1.393261E-2</v>
      </c>
      <c r="O5847">
        <v>-2.5400780000000001E-2</v>
      </c>
      <c r="P5847">
        <v>0.98855970000000004</v>
      </c>
      <c r="Q5847">
        <v>1.6038009999999998E-2</v>
      </c>
      <c r="R5847">
        <v>0.149976</v>
      </c>
      <c r="S5847">
        <v>3.1487880000000001</v>
      </c>
      <c r="T5847">
        <v>-0.23938329999999999</v>
      </c>
      <c r="U5847">
        <v>-0.68768309999999999</v>
      </c>
      <c r="V5847">
        <v>-0.17531749999999999</v>
      </c>
      <c r="W5847">
        <v>2.807136E-2</v>
      </c>
      <c r="X5847">
        <v>0.98411170000000003</v>
      </c>
      <c r="Y5847">
        <v>0.18791079999999999</v>
      </c>
      <c r="Z5847">
        <v>-6.82155E-3</v>
      </c>
      <c r="AA5847">
        <v>0.98216239999999999</v>
      </c>
      <c r="AB5847">
        <v>33</v>
      </c>
      <c r="AC5847">
        <v>14.488899999999999</v>
      </c>
      <c r="AD5847">
        <v>-1.1135136276499999</v>
      </c>
      <c r="AE5847">
        <v>-3.1963900000000001</v>
      </c>
      <c r="AF5847">
        <v>2.8114585689930598</v>
      </c>
      <c r="AG5847">
        <v>-1.1135136276499999</v>
      </c>
      <c r="AH5847">
        <v>14.483846244150101</v>
      </c>
      <c r="AI5847">
        <v>94.315988552563596</v>
      </c>
      <c r="AJ5847">
        <v>79.014927602180194</v>
      </c>
      <c r="AK5847">
        <v>14.796148617404</v>
      </c>
      <c r="AL5847">
        <v>88.391418291282093</v>
      </c>
      <c r="AM5847">
        <v>100.101157218672</v>
      </c>
      <c r="AN5847">
        <v>1.0000000325676901</v>
      </c>
    </row>
    <row r="5848" spans="1:40" x14ac:dyDescent="0.25">
      <c r="A5848" t="str">
        <f>"20190305135942016"</f>
        <v>20190305135942016</v>
      </c>
      <c r="B5848" t="str">
        <f>"1551765582004378"</f>
        <v>1551765582004378</v>
      </c>
      <c r="C5848" t="s">
        <v>40</v>
      </c>
      <c r="D5848">
        <v>4.4804830000000004</v>
      </c>
      <c r="E5848">
        <v>0.64196390000000003</v>
      </c>
      <c r="F5848" t="s">
        <v>96</v>
      </c>
      <c r="G5848">
        <v>-220.25640000000001</v>
      </c>
      <c r="H5848" s="1">
        <v>-3.3084870000000002E-7</v>
      </c>
      <c r="I5848">
        <v>-65.343069999999997</v>
      </c>
      <c r="J5848">
        <v>-232.64269999999999</v>
      </c>
      <c r="K5848">
        <v>1.11349599999999</v>
      </c>
      <c r="L5848">
        <v>-62.483890000000002</v>
      </c>
      <c r="M5848">
        <v>0.99963210000000002</v>
      </c>
      <c r="N5848">
        <v>-1.3932760000000001E-2</v>
      </c>
      <c r="O5848">
        <v>-2.3278110000000001E-2</v>
      </c>
      <c r="P5848">
        <v>0.98925479999999999</v>
      </c>
      <c r="Q5848">
        <v>1.603185E-2</v>
      </c>
      <c r="R5848">
        <v>0.14532030000000001</v>
      </c>
      <c r="S5848">
        <v>3.148209</v>
      </c>
      <c r="T5848">
        <v>-0.27943859999999998</v>
      </c>
      <c r="U5848">
        <v>-0.71807860000000001</v>
      </c>
      <c r="V5848">
        <v>-0.16858860000000001</v>
      </c>
      <c r="W5848">
        <v>2.8149049999999998E-2</v>
      </c>
      <c r="X5848">
        <v>0.98528450000000001</v>
      </c>
      <c r="Y5848">
        <v>0.19881979999999999</v>
      </c>
      <c r="Z5848">
        <v>-8.3863919999999995E-3</v>
      </c>
      <c r="AA5848">
        <v>0.98000019999999999</v>
      </c>
      <c r="AB5848">
        <v>33</v>
      </c>
      <c r="AC5848">
        <v>12.386299999999901</v>
      </c>
      <c r="AD5848">
        <v>-1.11349633084869</v>
      </c>
      <c r="AE5848">
        <v>-2.8591799999999901</v>
      </c>
      <c r="AF5848">
        <v>2.55047841617781</v>
      </c>
      <c r="AG5848">
        <v>-1.11349633084869</v>
      </c>
      <c r="AH5848">
        <v>12.354711653491201</v>
      </c>
      <c r="AI5848">
        <v>95.044201732359198</v>
      </c>
      <c r="AJ5848">
        <v>78.335843491555195</v>
      </c>
      <c r="AK5848">
        <v>12.6642691960931</v>
      </c>
      <c r="AL5848">
        <v>88.386965195063894</v>
      </c>
      <c r="AM5848">
        <v>99.709652076906707</v>
      </c>
      <c r="AN5848">
        <v>1.00000001550305</v>
      </c>
    </row>
    <row r="5849" spans="1:40" x14ac:dyDescent="0.25">
      <c r="A5849" t="str">
        <f>"20190305135942025"</f>
        <v>20190305135942025</v>
      </c>
      <c r="B5849" t="str">
        <f>"1551765582015113"</f>
        <v>1551765582015113</v>
      </c>
      <c r="C5849" t="s">
        <v>40</v>
      </c>
      <c r="D5849">
        <v>4.3914920000000004</v>
      </c>
      <c r="E5849">
        <v>0.63783080000000003</v>
      </c>
      <c r="F5849" t="s">
        <v>96</v>
      </c>
      <c r="G5849">
        <v>-221.05840000000001</v>
      </c>
      <c r="H5849" s="1">
        <v>-6.1855990000000001E-7</v>
      </c>
      <c r="I5849">
        <v>-65.089659999999995</v>
      </c>
      <c r="J5849">
        <v>-232.5</v>
      </c>
      <c r="K5849">
        <v>1.113475</v>
      </c>
      <c r="L5849">
        <v>-62.485439999999997</v>
      </c>
      <c r="M5849">
        <v>0.99967399999999995</v>
      </c>
      <c r="N5849">
        <v>-1.3932399999999999E-2</v>
      </c>
      <c r="O5849">
        <v>-2.1396040000000002E-2</v>
      </c>
      <c r="P5849">
        <v>0.99001760000000005</v>
      </c>
      <c r="Q5849">
        <v>1.6447920000000001E-2</v>
      </c>
      <c r="R5849">
        <v>0.1399802</v>
      </c>
      <c r="S5849">
        <v>3.1412810000000002</v>
      </c>
      <c r="T5849">
        <v>-0.30194470000000001</v>
      </c>
      <c r="U5849">
        <v>-0.70660400000000001</v>
      </c>
      <c r="V5849">
        <v>-0.16141329999999901</v>
      </c>
      <c r="W5849">
        <v>2.865668E-2</v>
      </c>
      <c r="X5849">
        <v>0.98647079999999998</v>
      </c>
      <c r="Y5849">
        <v>0.19760230000000001</v>
      </c>
      <c r="Z5849">
        <v>-9.0246619999999993E-3</v>
      </c>
      <c r="AA5849">
        <v>0.98024069999999996</v>
      </c>
      <c r="AB5849">
        <v>33</v>
      </c>
      <c r="AC5849">
        <v>11.4415999999999</v>
      </c>
      <c r="AD5849">
        <v>-1.1134756185599</v>
      </c>
      <c r="AE5849">
        <v>-2.60421999999999</v>
      </c>
      <c r="AF5849">
        <v>2.3377451627896302</v>
      </c>
      <c r="AG5849">
        <v>-1.1134756185599</v>
      </c>
      <c r="AH5849">
        <v>11.392127014759399</v>
      </c>
      <c r="AI5849">
        <v>95.469150881375398</v>
      </c>
      <c r="AJ5849">
        <v>78.403487730395796</v>
      </c>
      <c r="AK5849">
        <v>11.6826982465389</v>
      </c>
      <c r="AL5849">
        <v>88.357868454759995</v>
      </c>
      <c r="AM5849">
        <v>99.292788491755303</v>
      </c>
      <c r="AN5849">
        <v>1.0000000489890699</v>
      </c>
    </row>
    <row r="5850" spans="1:40" x14ac:dyDescent="0.25">
      <c r="A5850" t="str">
        <f>"20190305135942036"</f>
        <v>20190305135942036</v>
      </c>
      <c r="B5850" t="str">
        <f>"1551765582024874"</f>
        <v>1551765582024874</v>
      </c>
      <c r="C5850" t="s">
        <v>40</v>
      </c>
      <c r="D5850">
        <v>4.3764830000000003</v>
      </c>
      <c r="E5850">
        <v>0.63361309999999904</v>
      </c>
      <c r="F5850" t="s">
        <v>96</v>
      </c>
      <c r="G5850">
        <v>-221.24950000000001</v>
      </c>
      <c r="H5850" s="1">
        <v>-6.7328969999999999E-7</v>
      </c>
      <c r="I5850">
        <v>-64.967179999999999</v>
      </c>
      <c r="J5850">
        <v>-232.33359999999999</v>
      </c>
      <c r="K5850">
        <v>1.1134489999999999</v>
      </c>
      <c r="L5850">
        <v>-62.487119999999997</v>
      </c>
      <c r="M5850">
        <v>0.99971849999999995</v>
      </c>
      <c r="N5850">
        <v>-1.393192E-2</v>
      </c>
      <c r="O5850">
        <v>-1.920871E-2</v>
      </c>
      <c r="P5850">
        <v>0.99068330000000004</v>
      </c>
      <c r="Q5850">
        <v>1.689092E-2</v>
      </c>
      <c r="R5850">
        <v>0.13513510000000001</v>
      </c>
      <c r="S5850">
        <v>3.1331329999999999</v>
      </c>
      <c r="T5850">
        <v>-0.310089</v>
      </c>
      <c r="U5850">
        <v>-0.69113159999999996</v>
      </c>
      <c r="V5850">
        <v>-0.15442549999999999</v>
      </c>
      <c r="W5850">
        <v>2.9189079999999999E-2</v>
      </c>
      <c r="X5850">
        <v>0.98757309999999998</v>
      </c>
      <c r="Y5850">
        <v>0.19563169999999999</v>
      </c>
      <c r="Z5850">
        <v>-9.3171209999999994E-3</v>
      </c>
      <c r="AA5850">
        <v>0.98063319999999998</v>
      </c>
      <c r="AB5850">
        <v>33</v>
      </c>
      <c r="AC5850">
        <v>11.0840999999999</v>
      </c>
      <c r="AD5850">
        <v>-1.1134496732896999</v>
      </c>
      <c r="AE5850">
        <v>-2.4800599999999999</v>
      </c>
      <c r="AF5850">
        <v>2.2450949921709702</v>
      </c>
      <c r="AG5850">
        <v>-1.1134496732896999</v>
      </c>
      <c r="AH5850">
        <v>11.023759280382199</v>
      </c>
      <c r="AI5850">
        <v>95.652317263888506</v>
      </c>
      <c r="AJ5850">
        <v>78.488592186087203</v>
      </c>
      <c r="AK5850">
        <v>11.305020582494899</v>
      </c>
      <c r="AL5850">
        <v>88.327351221293796</v>
      </c>
      <c r="AM5850">
        <v>98.887296721482997</v>
      </c>
      <c r="AN5850">
        <v>0.99999993264255005</v>
      </c>
    </row>
    <row r="5851" spans="1:40" x14ac:dyDescent="0.25">
      <c r="A5851" t="str">
        <f>"20190305135942049"</f>
        <v>20190305135942049</v>
      </c>
      <c r="B5851" t="str">
        <f>"1551765582044394"</f>
        <v>1551765582044394</v>
      </c>
      <c r="C5851" t="s">
        <v>40</v>
      </c>
      <c r="D5851">
        <v>4.3787699999999896</v>
      </c>
      <c r="E5851">
        <v>0.62695749999999995</v>
      </c>
      <c r="F5851" t="s">
        <v>41</v>
      </c>
      <c r="G5851">
        <v>-231.59</v>
      </c>
      <c r="H5851">
        <v>1.0393159999999999</v>
      </c>
      <c r="I5851">
        <v>-62.64723</v>
      </c>
      <c r="J5851">
        <v>-232.1617</v>
      </c>
      <c r="K5851">
        <v>1.113415</v>
      </c>
      <c r="L5851">
        <v>-62.488280000000003</v>
      </c>
      <c r="M5851">
        <v>0.99975849999999999</v>
      </c>
      <c r="N5851">
        <v>-1.393056E-2</v>
      </c>
      <c r="O5851">
        <v>-1.6999529999999999E-2</v>
      </c>
      <c r="P5851">
        <v>0.99126800000000004</v>
      </c>
      <c r="Q5851">
        <v>1.721553E-2</v>
      </c>
      <c r="R5851">
        <v>0.1307352</v>
      </c>
      <c r="S5851">
        <v>3.1253359999999999</v>
      </c>
      <c r="T5851">
        <v>-0.3115697</v>
      </c>
      <c r="U5851">
        <v>-0.67312620000000001</v>
      </c>
      <c r="V5851">
        <v>-0.1478544</v>
      </c>
      <c r="W5851">
        <v>2.9601369999999998E-2</v>
      </c>
      <c r="X5851">
        <v>0.98856599999999994</v>
      </c>
      <c r="Y5851">
        <v>0.1929121</v>
      </c>
      <c r="Z5851">
        <v>-9.4098580000000001E-3</v>
      </c>
      <c r="AA5851">
        <v>0.98117100000000002</v>
      </c>
      <c r="AB5851">
        <v>33</v>
      </c>
      <c r="AC5851">
        <v>0.57169999999999199</v>
      </c>
      <c r="AD5851">
        <v>-7.4099000000000095E-2</v>
      </c>
      <c r="AE5851">
        <v>-0.158950000000004</v>
      </c>
      <c r="AF5851">
        <v>0.14691647048107601</v>
      </c>
      <c r="AG5851">
        <v>-7.4099000000000095E-2</v>
      </c>
      <c r="AH5851">
        <v>0.56550140730396303</v>
      </c>
      <c r="AI5851">
        <v>97.227797703458705</v>
      </c>
      <c r="AJ5851">
        <v>75.436593359741806</v>
      </c>
      <c r="AK5851">
        <v>0.58895411770559802</v>
      </c>
      <c r="AL5851">
        <v>88.303718560484398</v>
      </c>
      <c r="AM5851">
        <v>98.506361974918605</v>
      </c>
      <c r="AN5851">
        <v>0.99999995053061697</v>
      </c>
    </row>
    <row r="5852" spans="1:40" x14ac:dyDescent="0.25">
      <c r="A5852" t="str">
        <f>"20190305135942060"</f>
        <v>20190305135942060</v>
      </c>
      <c r="B5852" t="str">
        <f>"1551765582055130"</f>
        <v>1551765582055130</v>
      </c>
      <c r="C5852" t="s">
        <v>40</v>
      </c>
      <c r="D5852">
        <v>4.3941939999999997</v>
      </c>
      <c r="E5852">
        <v>0.6239922</v>
      </c>
      <c r="F5852" t="s">
        <v>41</v>
      </c>
      <c r="G5852">
        <v>-231.3015</v>
      </c>
      <c r="H5852">
        <v>1.027334</v>
      </c>
      <c r="I5852">
        <v>-62.663569999999901</v>
      </c>
      <c r="J5852">
        <v>-231.99</v>
      </c>
      <c r="K5852">
        <v>1.1133740000000001</v>
      </c>
      <c r="L5852">
        <v>-62.489260000000002</v>
      </c>
      <c r="M5852">
        <v>0.9997933</v>
      </c>
      <c r="N5852">
        <v>-1.392908E-2</v>
      </c>
      <c r="O5852">
        <v>-1.4809920000000001E-2</v>
      </c>
      <c r="P5852">
        <v>0.99184459999999997</v>
      </c>
      <c r="Q5852">
        <v>1.7618749999999999E-2</v>
      </c>
      <c r="R5852">
        <v>0.12622990000000001</v>
      </c>
      <c r="S5852">
        <v>3.1155240000000002</v>
      </c>
      <c r="T5852">
        <v>-0.31182110000000002</v>
      </c>
      <c r="U5852">
        <v>-0.63446040000000004</v>
      </c>
      <c r="V5852">
        <v>-0.1411926</v>
      </c>
      <c r="W5852">
        <v>3.0092770000000001E-2</v>
      </c>
      <c r="X5852">
        <v>0.98952470000000003</v>
      </c>
      <c r="Y5852">
        <v>0.18405640000000001</v>
      </c>
      <c r="Z5852">
        <v>-9.1344019999999998E-3</v>
      </c>
      <c r="AA5852">
        <v>0.98287329999999995</v>
      </c>
      <c r="AB5852">
        <v>33</v>
      </c>
      <c r="AC5852">
        <v>0.688500000000004</v>
      </c>
      <c r="AD5852">
        <v>-8.6040000000000103E-2</v>
      </c>
      <c r="AE5852">
        <v>-0.17430999999999799</v>
      </c>
      <c r="AF5852">
        <v>0.161719837475398</v>
      </c>
      <c r="AG5852">
        <v>-8.6040000000000103E-2</v>
      </c>
      <c r="AH5852">
        <v>0.68101162336738796</v>
      </c>
      <c r="AI5852">
        <v>97.007816807436001</v>
      </c>
      <c r="AJ5852">
        <v>76.641408081919593</v>
      </c>
      <c r="AK5852">
        <v>0.70521841906926597</v>
      </c>
      <c r="AL5852">
        <v>88.2755509978997</v>
      </c>
      <c r="AM5852">
        <v>98.120565035714506</v>
      </c>
      <c r="AN5852">
        <v>1.0000000285055599</v>
      </c>
    </row>
    <row r="5853" spans="1:40" x14ac:dyDescent="0.25">
      <c r="A5853" t="str">
        <f>"20190305135942071"</f>
        <v>20190305135942071</v>
      </c>
      <c r="B5853" t="str">
        <f>"1551765582064890"</f>
        <v>1551765582064890</v>
      </c>
      <c r="C5853" t="s">
        <v>40</v>
      </c>
      <c r="D5853">
        <v>4.3958579999999996</v>
      </c>
      <c r="E5853">
        <v>0.62142299999999995</v>
      </c>
      <c r="F5853" t="s">
        <v>41</v>
      </c>
      <c r="G5853">
        <v>-231.00559999999999</v>
      </c>
      <c r="H5853">
        <v>1.014848</v>
      </c>
      <c r="I5853">
        <v>-62.6873199999999</v>
      </c>
      <c r="J5853">
        <v>-231.82310000000001</v>
      </c>
      <c r="K5853">
        <v>1.113326</v>
      </c>
      <c r="L5853">
        <v>-62.489750000000001</v>
      </c>
      <c r="M5853">
        <v>0.99982199999999999</v>
      </c>
      <c r="N5853">
        <v>-1.392696E-2</v>
      </c>
      <c r="O5853">
        <v>-1.273374E-2</v>
      </c>
      <c r="P5853">
        <v>0.99238419999999905</v>
      </c>
      <c r="Q5853">
        <v>1.794689E-2</v>
      </c>
      <c r="R5853">
        <v>0.1218675</v>
      </c>
      <c r="S5853">
        <v>3.109772</v>
      </c>
      <c r="T5853">
        <v>-0.3113071</v>
      </c>
      <c r="U5853">
        <v>-0.62530520000000001</v>
      </c>
      <c r="V5853">
        <v>-0.13478129999999999</v>
      </c>
      <c r="W5853">
        <v>3.0506950000000001E-2</v>
      </c>
      <c r="X5853">
        <v>0.9904056</v>
      </c>
      <c r="Y5853">
        <v>0.18366689999999999</v>
      </c>
      <c r="Z5853">
        <v>-9.2918470000000006E-3</v>
      </c>
      <c r="AA5853">
        <v>0.98294459999999995</v>
      </c>
      <c r="AB5853">
        <v>33</v>
      </c>
      <c r="AC5853">
        <v>0.81750000000002299</v>
      </c>
      <c r="AD5853">
        <v>-9.8477999999999996E-2</v>
      </c>
      <c r="AE5853">
        <v>-0.197569999999991</v>
      </c>
      <c r="AF5853">
        <v>0.18461203221445799</v>
      </c>
      <c r="AG5853">
        <v>-9.8477999999999996E-2</v>
      </c>
      <c r="AH5853">
        <v>0.80885996162217699</v>
      </c>
      <c r="AI5853">
        <v>96.769153496932205</v>
      </c>
      <c r="AJ5853">
        <v>77.143192147577395</v>
      </c>
      <c r="AK5853">
        <v>0.83548426462608005</v>
      </c>
      <c r="AL5853">
        <v>88.251809216423396</v>
      </c>
      <c r="AM5853">
        <v>97.7496031719093</v>
      </c>
      <c r="AN5853">
        <v>0.99999996266967495</v>
      </c>
    </row>
    <row r="5854" spans="1:40" x14ac:dyDescent="0.25">
      <c r="A5854" t="str">
        <f>"20190305135942083"</f>
        <v>20190305135942083</v>
      </c>
      <c r="B5854" t="str">
        <f>"1551765582074650"</f>
        <v>1551765582074650</v>
      </c>
      <c r="C5854" t="s">
        <v>40</v>
      </c>
      <c r="D5854">
        <v>4.4091899999999997</v>
      </c>
      <c r="E5854">
        <v>0.61918930000000005</v>
      </c>
      <c r="F5854" t="s">
        <v>41</v>
      </c>
      <c r="G5854">
        <v>-231.00380000000001</v>
      </c>
      <c r="H5854">
        <v>1.0316399999999999</v>
      </c>
      <c r="I5854">
        <v>-62.65314</v>
      </c>
      <c r="J5854">
        <v>-231.6499</v>
      </c>
      <c r="K5854">
        <v>1.113278</v>
      </c>
      <c r="L5854">
        <v>-62.490049999999997</v>
      </c>
      <c r="M5854">
        <v>0.99984689999999998</v>
      </c>
      <c r="N5854">
        <v>-1.3924580000000001E-2</v>
      </c>
      <c r="O5854">
        <v>-1.0610039999999999E-2</v>
      </c>
      <c r="P5854">
        <v>0.99281220000000003</v>
      </c>
      <c r="Q5854">
        <v>1.877856E-2</v>
      </c>
      <c r="R5854">
        <v>0.11820170000000001</v>
      </c>
      <c r="S5854">
        <v>3.1046140000000002</v>
      </c>
      <c r="T5854">
        <v>-0.3096448</v>
      </c>
      <c r="U5854">
        <v>-0.61868290000000004</v>
      </c>
      <c r="V5854">
        <v>-0.12901949999999901</v>
      </c>
      <c r="W5854">
        <v>3.1417750000000001E-2</v>
      </c>
      <c r="X5854">
        <v>0.99114420000000003</v>
      </c>
      <c r="Y5854">
        <v>0.18405079999999999</v>
      </c>
      <c r="Z5854">
        <v>-9.4655209999999993E-3</v>
      </c>
      <c r="AA5854">
        <v>0.98287119999999994</v>
      </c>
      <c r="AB5854">
        <v>33</v>
      </c>
      <c r="AC5854">
        <v>0.64609999999998902</v>
      </c>
      <c r="AD5854">
        <v>-8.1638000000000099E-2</v>
      </c>
      <c r="AE5854">
        <v>-0.16309000000000301</v>
      </c>
      <c r="AF5854">
        <v>0.15391486026871201</v>
      </c>
      <c r="AG5854">
        <v>-8.1638000000000099E-2</v>
      </c>
      <c r="AH5854">
        <v>0.63821505166949899</v>
      </c>
      <c r="AI5854">
        <v>97.088405226987604</v>
      </c>
      <c r="AJ5854">
        <v>76.441192354275103</v>
      </c>
      <c r="AK5854">
        <v>0.661568590119754</v>
      </c>
      <c r="AL5854">
        <v>88.199599190288893</v>
      </c>
      <c r="AM5854">
        <v>97.416618767051403</v>
      </c>
      <c r="AN5854">
        <v>0.99999996579447503</v>
      </c>
    </row>
    <row r="5855" spans="1:40" x14ac:dyDescent="0.25">
      <c r="A5855" t="str">
        <f>"20190305135942094"</f>
        <v>20190305135942094</v>
      </c>
      <c r="B5855" t="str">
        <f>"1551765582084410"</f>
        <v>1551765582084410</v>
      </c>
      <c r="C5855" t="s">
        <v>40</v>
      </c>
      <c r="D5855">
        <v>4.3883720000000004</v>
      </c>
      <c r="E5855">
        <v>0.61697800000000003</v>
      </c>
      <c r="F5855" t="s">
        <v>41</v>
      </c>
      <c r="G5855">
        <v>-230.7124</v>
      </c>
      <c r="H5855">
        <v>1.020132</v>
      </c>
      <c r="I5855">
        <v>-62.67548</v>
      </c>
      <c r="J5855">
        <v>-231.48910000000001</v>
      </c>
      <c r="K5855">
        <v>1.113227</v>
      </c>
      <c r="L5855">
        <v>-62.489960000000004</v>
      </c>
      <c r="M5855">
        <v>0.99986549999999996</v>
      </c>
      <c r="N5855">
        <v>-1.392212E-2</v>
      </c>
      <c r="O5855">
        <v>-8.6758970000000001E-3</v>
      </c>
      <c r="P5855">
        <v>0.99322960000000005</v>
      </c>
      <c r="Q5855">
        <v>1.9125199999999998E-2</v>
      </c>
      <c r="R5855">
        <v>0.1145834</v>
      </c>
      <c r="S5855">
        <v>3.100479</v>
      </c>
      <c r="T5855">
        <v>-0.30817329999999998</v>
      </c>
      <c r="U5855">
        <v>-0.61251829999999996</v>
      </c>
      <c r="V5855">
        <v>-0.12348580000000001</v>
      </c>
      <c r="W5855">
        <v>3.1838579999999998E-2</v>
      </c>
      <c r="X5855">
        <v>0.99183549999999998</v>
      </c>
      <c r="Y5855">
        <v>0.1843204</v>
      </c>
      <c r="Z5855">
        <v>-9.6173979999999992E-3</v>
      </c>
      <c r="AA5855">
        <v>0.98281909999999895</v>
      </c>
      <c r="AB5855">
        <v>33</v>
      </c>
      <c r="AC5855">
        <v>0.77670000000000505</v>
      </c>
      <c r="AD5855">
        <v>-9.30949999999999E-2</v>
      </c>
      <c r="AE5855">
        <v>-0.18552000000001101</v>
      </c>
      <c r="AF5855">
        <v>0.17637666944880101</v>
      </c>
      <c r="AG5855">
        <v>-9.30949999999999E-2</v>
      </c>
      <c r="AH5855">
        <v>0.76784473783602802</v>
      </c>
      <c r="AI5855">
        <v>96.739084672972893</v>
      </c>
      <c r="AJ5855">
        <v>77.063367965664796</v>
      </c>
      <c r="AK5855">
        <v>0.79332272750333499</v>
      </c>
      <c r="AL5855">
        <v>88.175475488319904</v>
      </c>
      <c r="AM5855">
        <v>97.096937175792206</v>
      </c>
      <c r="AN5855">
        <v>1.00000004851915</v>
      </c>
    </row>
    <row r="5856" spans="1:40" x14ac:dyDescent="0.25">
      <c r="A5856" t="str">
        <f>"20190305135942104"</f>
        <v>20190305135942104</v>
      </c>
      <c r="B5856" t="str">
        <f>"1551765582095146"</f>
        <v>1551765582095146</v>
      </c>
      <c r="C5856" t="s">
        <v>40</v>
      </c>
      <c r="D5856">
        <v>4.4032260000000001</v>
      </c>
      <c r="E5856">
        <v>0.61507959999999995</v>
      </c>
      <c r="F5856" t="s">
        <v>41</v>
      </c>
      <c r="G5856">
        <v>-230.70650000000001</v>
      </c>
      <c r="H5856">
        <v>1.0356920000000001</v>
      </c>
      <c r="I5856">
        <v>-62.643479999999997</v>
      </c>
      <c r="J5856">
        <v>-231.3331</v>
      </c>
      <c r="K5856">
        <v>1.1131719999999901</v>
      </c>
      <c r="L5856">
        <v>-62.489620000000002</v>
      </c>
      <c r="M5856">
        <v>0.99987969999999904</v>
      </c>
      <c r="N5856">
        <v>-1.391948E-2</v>
      </c>
      <c r="O5856">
        <v>-6.8513460000000003E-3</v>
      </c>
      <c r="P5856">
        <v>0.99359629999999999</v>
      </c>
      <c r="Q5856">
        <v>2.015335E-2</v>
      </c>
      <c r="R5856">
        <v>0.1111771</v>
      </c>
      <c r="S5856">
        <v>3.0963129999999999</v>
      </c>
      <c r="T5856">
        <v>-0.30692340000000001</v>
      </c>
      <c r="U5856">
        <v>-0.60650630000000005</v>
      </c>
      <c r="V5856">
        <v>-0.1182757</v>
      </c>
      <c r="W5856">
        <v>3.2936170000000001E-2</v>
      </c>
      <c r="X5856">
        <v>0.99243440000000005</v>
      </c>
      <c r="Y5856">
        <v>0.18452489999999999</v>
      </c>
      <c r="Z5856">
        <v>-9.7610649999999993E-3</v>
      </c>
      <c r="AA5856">
        <v>0.98277939999999997</v>
      </c>
      <c r="AB5856">
        <v>33</v>
      </c>
      <c r="AC5856">
        <v>0.62659999999999605</v>
      </c>
      <c r="AD5856">
        <v>-7.7479999999999702E-2</v>
      </c>
      <c r="AE5856">
        <v>-0.15386000000000799</v>
      </c>
      <c r="AF5856">
        <v>0.14743684503181201</v>
      </c>
      <c r="AG5856">
        <v>-7.7479999999999702E-2</v>
      </c>
      <c r="AH5856">
        <v>0.61871748905273405</v>
      </c>
      <c r="AI5856">
        <v>96.945319185112197</v>
      </c>
      <c r="AJ5856">
        <v>76.596709720269104</v>
      </c>
      <c r="AK5856">
        <v>0.64074340022559395</v>
      </c>
      <c r="AL5856">
        <v>88.112555085875201</v>
      </c>
      <c r="AM5856">
        <v>96.796303522663806</v>
      </c>
      <c r="AN5856">
        <v>0.99999998540405899</v>
      </c>
    </row>
    <row r="5857" spans="1:40" x14ac:dyDescent="0.25">
      <c r="A5857" t="str">
        <f>"20190305135942114"</f>
        <v>20190305135942114</v>
      </c>
      <c r="B5857" t="str">
        <f>"1551765582104906"</f>
        <v>1551765582104906</v>
      </c>
      <c r="C5857" t="s">
        <v>40</v>
      </c>
      <c r="D5857">
        <v>4.377866</v>
      </c>
      <c r="E5857">
        <v>0.6132379</v>
      </c>
      <c r="F5857" t="s">
        <v>41</v>
      </c>
      <c r="G5857">
        <v>-230.41630000000001</v>
      </c>
      <c r="H5857">
        <v>1.0226580000000001</v>
      </c>
      <c r="I5857">
        <v>-62.668199999999999</v>
      </c>
      <c r="J5857">
        <v>-231.17869999999999</v>
      </c>
      <c r="K5857">
        <v>1.1131150000000001</v>
      </c>
      <c r="L5857">
        <v>-62.489109999999997</v>
      </c>
      <c r="M5857">
        <v>0.99989030000000001</v>
      </c>
      <c r="N5857">
        <v>-1.391684E-2</v>
      </c>
      <c r="O5857">
        <v>-5.0765369999999999E-3</v>
      </c>
      <c r="P5857">
        <v>0.99387499999999995</v>
      </c>
      <c r="Q5857">
        <v>2.163149E-2</v>
      </c>
      <c r="R5857">
        <v>0.1083731</v>
      </c>
      <c r="S5857">
        <v>3.0929410000000002</v>
      </c>
      <c r="T5857">
        <v>-0.30538300000000002</v>
      </c>
      <c r="U5857">
        <v>-0.60238649999999905</v>
      </c>
      <c r="V5857">
        <v>-0.1137184</v>
      </c>
      <c r="W5857">
        <v>3.4476899999999998E-2</v>
      </c>
      <c r="X5857">
        <v>0.99291459999999998</v>
      </c>
      <c r="Y5857">
        <v>0.18520729999999999</v>
      </c>
      <c r="Z5857">
        <v>-9.9155890000000007E-3</v>
      </c>
      <c r="AA5857">
        <v>0.98264940000000001</v>
      </c>
      <c r="AB5857">
        <v>33</v>
      </c>
      <c r="AC5857">
        <v>0.76239999999998498</v>
      </c>
      <c r="AD5857">
        <v>-9.0456999999999801E-2</v>
      </c>
      <c r="AE5857">
        <v>-0.179090000000002</v>
      </c>
      <c r="AF5857">
        <v>0.172910150271739</v>
      </c>
      <c r="AG5857">
        <v>-9.0456999999999801E-2</v>
      </c>
      <c r="AH5857">
        <v>0.75325021765740197</v>
      </c>
      <c r="AI5857">
        <v>96.675793826739906</v>
      </c>
      <c r="AJ5857">
        <v>77.071612669664006</v>
      </c>
      <c r="AK5857">
        <v>0.77811713727235099</v>
      </c>
      <c r="AL5857">
        <v>88.024227523034995</v>
      </c>
      <c r="AM5857">
        <v>96.5336112398507</v>
      </c>
      <c r="AN5857">
        <v>0.99999996701266403</v>
      </c>
    </row>
    <row r="5858" spans="1:40" x14ac:dyDescent="0.25">
      <c r="A5858" t="str">
        <f>"20190305135942127"</f>
        <v>20190305135942127</v>
      </c>
      <c r="B5858" t="str">
        <f>"1551765582114666"</f>
        <v>1551765582114666</v>
      </c>
      <c r="C5858" t="s">
        <v>40</v>
      </c>
      <c r="D5858">
        <v>4.3841890000000001</v>
      </c>
      <c r="E5858">
        <v>0.61143049999999999</v>
      </c>
      <c r="F5858" t="s">
        <v>41</v>
      </c>
      <c r="G5858">
        <v>-230.4093</v>
      </c>
      <c r="H5858">
        <v>1.0388090000000001</v>
      </c>
      <c r="I5858">
        <v>-62.637709999999998</v>
      </c>
      <c r="J5858">
        <v>-231.0145</v>
      </c>
      <c r="K5858">
        <v>1.1130420000000001</v>
      </c>
      <c r="L5858">
        <v>-62.488190000000003</v>
      </c>
      <c r="M5858">
        <v>0.99989799999999995</v>
      </c>
      <c r="N5858">
        <v>-1.3913299999999899E-2</v>
      </c>
      <c r="O5858">
        <v>-3.2653579999999999E-3</v>
      </c>
      <c r="P5858">
        <v>0.99413289999999999</v>
      </c>
      <c r="Q5858">
        <v>2.280302E-2</v>
      </c>
      <c r="R5858">
        <v>0.1057358</v>
      </c>
      <c r="S5858">
        <v>3.090042</v>
      </c>
      <c r="T5858">
        <v>-0.29842819999999998</v>
      </c>
      <c r="U5858">
        <v>-0.59664919999999899</v>
      </c>
      <c r="V5858">
        <v>-0.1092857</v>
      </c>
      <c r="W5858">
        <v>3.5710199999999997E-2</v>
      </c>
      <c r="X5858">
        <v>0.99336869999999999</v>
      </c>
      <c r="Y5858">
        <v>0.1854335</v>
      </c>
      <c r="Z5858">
        <v>-9.8907409999999998E-3</v>
      </c>
      <c r="AA5858">
        <v>0.98260700000000001</v>
      </c>
      <c r="AB5858">
        <v>33</v>
      </c>
      <c r="AC5858">
        <v>0.60519999999999596</v>
      </c>
      <c r="AD5858">
        <v>-7.4232999999999993E-2</v>
      </c>
      <c r="AE5858">
        <v>-0.14951999999999499</v>
      </c>
      <c r="AF5858">
        <v>0.14547996340498701</v>
      </c>
      <c r="AG5858">
        <v>-7.4232999999999993E-2</v>
      </c>
      <c r="AH5858">
        <v>0.59721673772598505</v>
      </c>
      <c r="AI5858">
        <v>96.886079266392898</v>
      </c>
      <c r="AJ5858">
        <v>76.309579848887296</v>
      </c>
      <c r="AK5858">
        <v>0.619146824155131</v>
      </c>
      <c r="AL5858">
        <v>87.953521101657103</v>
      </c>
      <c r="AM5858">
        <v>96.278161468023299</v>
      </c>
      <c r="AN5858">
        <v>0.99999997837410903</v>
      </c>
    </row>
    <row r="5859" spans="1:40" x14ac:dyDescent="0.25">
      <c r="A5859" t="str">
        <f>"20190305135942137"</f>
        <v>20190305135942137</v>
      </c>
      <c r="B5859" t="str">
        <f>"1551765582135162"</f>
        <v>1551765582135162</v>
      </c>
      <c r="C5859" t="s">
        <v>40</v>
      </c>
      <c r="D5859">
        <v>4.380795</v>
      </c>
      <c r="E5859">
        <v>0.60980679999999998</v>
      </c>
      <c r="F5859" t="s">
        <v>95</v>
      </c>
      <c r="G5859">
        <v>-219.32429999999999</v>
      </c>
      <c r="H5859" s="1">
        <v>-3.8027520000000002E-6</v>
      </c>
      <c r="I5859">
        <v>-64.724269999999905</v>
      </c>
      <c r="J5859">
        <v>-230.84960000000001</v>
      </c>
      <c r="K5859">
        <v>1.112967</v>
      </c>
      <c r="L5859">
        <v>-62.487180000000002</v>
      </c>
      <c r="M5859">
        <v>0.99990219999999996</v>
      </c>
      <c r="N5859">
        <v>-1.390973E-2</v>
      </c>
      <c r="O5859">
        <v>-1.4741330000000001E-3</v>
      </c>
      <c r="P5859">
        <v>0.99440660000000003</v>
      </c>
      <c r="Q5859">
        <v>2.3921959999999999E-2</v>
      </c>
      <c r="R5859">
        <v>0.1028752</v>
      </c>
      <c r="S5859">
        <v>3.0872799999999998</v>
      </c>
      <c r="T5859">
        <v>-0.29394589999999998</v>
      </c>
      <c r="U5859">
        <v>-0.59054569999999995</v>
      </c>
      <c r="V5859">
        <v>-0.1046475</v>
      </c>
      <c r="W5859">
        <v>3.689245E-2</v>
      </c>
      <c r="X5859">
        <v>0.99382479999999995</v>
      </c>
      <c r="Y5859">
        <v>0.18550220000000001</v>
      </c>
      <c r="Z5859">
        <v>-9.9189829999999993E-3</v>
      </c>
      <c r="AA5859">
        <v>0.98259379999999996</v>
      </c>
      <c r="AB5859">
        <v>33</v>
      </c>
      <c r="AC5859">
        <v>11.5253</v>
      </c>
      <c r="AD5859">
        <v>-1.112970802752</v>
      </c>
      <c r="AE5859">
        <v>-2.2370899999999798</v>
      </c>
      <c r="AF5859">
        <v>2.2003224114227198</v>
      </c>
      <c r="AG5859">
        <v>-1.112970802752</v>
      </c>
      <c r="AH5859">
        <v>11.4259041213268</v>
      </c>
      <c r="AI5859">
        <v>95.463733973698993</v>
      </c>
      <c r="AJ5859">
        <v>79.099806182072996</v>
      </c>
      <c r="AK5859">
        <v>11.6889438236198</v>
      </c>
      <c r="AL5859">
        <v>87.885738409022494</v>
      </c>
      <c r="AM5859">
        <v>96.010965337373804</v>
      </c>
      <c r="AN5859">
        <v>0.99999994260914404</v>
      </c>
    </row>
    <row r="5860" spans="1:40" x14ac:dyDescent="0.25">
      <c r="A5860" t="str">
        <f>"20190305135942149"</f>
        <v>20190305135942149</v>
      </c>
      <c r="B5860" t="str">
        <f>"1551765582144925"</f>
        <v>1551765582144925</v>
      </c>
      <c r="C5860" t="s">
        <v>40</v>
      </c>
      <c r="D5860">
        <v>4.3642300000000001</v>
      </c>
      <c r="E5860">
        <v>0.58343959999999995</v>
      </c>
      <c r="F5860" t="s">
        <v>41</v>
      </c>
      <c r="G5860">
        <v>-230.1046</v>
      </c>
      <c r="H5860">
        <v>1.042638</v>
      </c>
      <c r="I5860">
        <v>-62.629069999999999</v>
      </c>
      <c r="J5860">
        <v>-230.68219999999999</v>
      </c>
      <c r="K5860">
        <v>1.1128750000000001</v>
      </c>
      <c r="L5860">
        <v>-62.485719999999901</v>
      </c>
      <c r="M5860">
        <v>0.99990330000000005</v>
      </c>
      <c r="N5860">
        <v>-1.3905320000000001E-2</v>
      </c>
      <c r="O5860">
        <v>2.277313E-4</v>
      </c>
      <c r="P5860">
        <v>0.99464149999999996</v>
      </c>
      <c r="Q5860">
        <v>2.4989029999999999E-2</v>
      </c>
      <c r="R5860">
        <v>0.10031959999999999</v>
      </c>
      <c r="S5860">
        <v>3.0845790000000002</v>
      </c>
      <c r="T5860">
        <v>-0.2912575</v>
      </c>
      <c r="U5860">
        <v>-0.58670040000000001</v>
      </c>
      <c r="V5860">
        <v>-0.10039910000000001</v>
      </c>
      <c r="W5860">
        <v>3.8019860000000003E-2</v>
      </c>
      <c r="X5860">
        <v>0.99422060000000001</v>
      </c>
      <c r="Y5860">
        <v>0.18615660000000001</v>
      </c>
      <c r="Z5860">
        <v>-1.001907E-2</v>
      </c>
      <c r="AA5860">
        <v>0.98246900000000004</v>
      </c>
      <c r="AB5860">
        <v>33</v>
      </c>
      <c r="AC5860">
        <v>0.57759999999998901</v>
      </c>
      <c r="AD5860">
        <v>-7.0237000000000105E-2</v>
      </c>
      <c r="AE5860">
        <v>-0.143350000000005</v>
      </c>
      <c r="AF5860">
        <v>0.14151045208479701</v>
      </c>
      <c r="AG5860">
        <v>-7.0237000000000105E-2</v>
      </c>
      <c r="AH5860">
        <v>0.56963293780037405</v>
      </c>
      <c r="AI5860">
        <v>96.823848731417797</v>
      </c>
      <c r="AJ5860">
        <v>76.048778359588198</v>
      </c>
      <c r="AK5860">
        <v>0.59113461076588003</v>
      </c>
      <c r="AL5860">
        <v>87.8210974303001</v>
      </c>
      <c r="AM5860">
        <v>95.766335895674203</v>
      </c>
      <c r="AN5860">
        <v>1.0000000452497899</v>
      </c>
    </row>
    <row r="5861" spans="1:40" x14ac:dyDescent="0.25">
      <c r="A5861" t="str">
        <f>"20190305135942160"</f>
        <v>20190305135942160</v>
      </c>
      <c r="B5861" t="str">
        <f>"1551765582154682"</f>
        <v>1551765582154682</v>
      </c>
      <c r="C5861" t="s">
        <v>40</v>
      </c>
      <c r="D5861">
        <v>4.3430710000000001</v>
      </c>
      <c r="E5861">
        <v>0.58296380000000003</v>
      </c>
      <c r="F5861" t="s">
        <v>95</v>
      </c>
      <c r="G5861">
        <v>-214.67060000000001</v>
      </c>
      <c r="H5861" s="1">
        <v>-2.061498E-6</v>
      </c>
      <c r="I5861">
        <v>-64.475769999999997</v>
      </c>
      <c r="J5861">
        <v>-230.51490000000001</v>
      </c>
      <c r="K5861">
        <v>1.1127769999999999</v>
      </c>
      <c r="L5861">
        <v>-62.484160000000003</v>
      </c>
      <c r="M5861">
        <v>0.99990159999999995</v>
      </c>
      <c r="N5861">
        <v>-1.390103E-2</v>
      </c>
      <c r="O5861">
        <v>1.8970530000000001E-3</v>
      </c>
      <c r="P5861">
        <v>0.9948766</v>
      </c>
      <c r="Q5861">
        <v>2.5819120000000001E-2</v>
      </c>
      <c r="R5861">
        <v>9.7746009999999994E-2</v>
      </c>
      <c r="S5861">
        <v>3.0598299999999998</v>
      </c>
      <c r="T5861">
        <v>-0.21267069999999999</v>
      </c>
      <c r="U5861">
        <v>-0.38031009999999998</v>
      </c>
      <c r="V5861">
        <v>-9.6161380000000005E-2</v>
      </c>
      <c r="W5861">
        <v>3.8908499999999999E-2</v>
      </c>
      <c r="X5861">
        <v>0.99460499999999996</v>
      </c>
      <c r="Y5861">
        <v>0.1248649</v>
      </c>
      <c r="Z5861">
        <v>-5.2949649999999996E-3</v>
      </c>
      <c r="AA5861">
        <v>0.99215960000000003</v>
      </c>
      <c r="AB5861">
        <v>33</v>
      </c>
      <c r="AC5861">
        <v>15.8443</v>
      </c>
      <c r="AD5861">
        <v>-1.112779061498</v>
      </c>
      <c r="AE5861">
        <v>-1.9916100000000001</v>
      </c>
      <c r="AF5861">
        <v>2.0118973644721798</v>
      </c>
      <c r="AG5861">
        <v>-1.112779061498</v>
      </c>
      <c r="AH5861">
        <v>15.763945886238201</v>
      </c>
      <c r="AI5861">
        <v>94.005436378605097</v>
      </c>
      <c r="AJ5861">
        <v>82.726859242911502</v>
      </c>
      <c r="AK5861">
        <v>15.9307249724903</v>
      </c>
      <c r="AL5861">
        <v>87.770144289246502</v>
      </c>
      <c r="AM5861">
        <v>95.522362712033697</v>
      </c>
      <c r="AN5861">
        <v>0.999999994200377</v>
      </c>
    </row>
    <row r="5862" spans="1:40" x14ac:dyDescent="0.25">
      <c r="A5862" t="str">
        <f>"20190305135942171"</f>
        <v>20190305135942171</v>
      </c>
      <c r="B5862" t="str">
        <f>"1551765582164442"</f>
        <v>1551765582164442</v>
      </c>
      <c r="C5862" t="s">
        <v>40</v>
      </c>
      <c r="D5862">
        <v>4.3686959999999999</v>
      </c>
      <c r="E5862">
        <v>0.58242550000000004</v>
      </c>
      <c r="F5862" t="s">
        <v>95</v>
      </c>
      <c r="G5862">
        <v>-212.2115</v>
      </c>
      <c r="H5862" s="1">
        <v>-1.086743E-6</v>
      </c>
      <c r="I5862">
        <v>-64.777109999999993</v>
      </c>
      <c r="J5862">
        <v>-230.34800000000001</v>
      </c>
      <c r="K5862">
        <v>1.1126689999999999</v>
      </c>
      <c r="L5862">
        <v>-62.482300000000002</v>
      </c>
      <c r="M5862">
        <v>0.99989749999999999</v>
      </c>
      <c r="N5862">
        <v>-1.3896169999999999E-2</v>
      </c>
      <c r="O5862">
        <v>3.454974E-3</v>
      </c>
      <c r="P5862">
        <v>0.99511620000000001</v>
      </c>
      <c r="Q5862">
        <v>2.6673970000000002E-2</v>
      </c>
      <c r="R5862">
        <v>9.5039349999999995E-2</v>
      </c>
      <c r="S5862">
        <v>3.0579070000000002</v>
      </c>
      <c r="T5862">
        <v>-0.18590950000000001</v>
      </c>
      <c r="U5862">
        <v>-0.38308720000000002</v>
      </c>
      <c r="V5862">
        <v>-9.1899239999999993E-2</v>
      </c>
      <c r="W5862">
        <v>3.9821879999999997E-2</v>
      </c>
      <c r="X5862">
        <v>0.99497179999999996</v>
      </c>
      <c r="Y5862">
        <v>0.12744449999999999</v>
      </c>
      <c r="Z5862">
        <v>-4.906718E-3</v>
      </c>
      <c r="AA5862">
        <v>0.99183359999999998</v>
      </c>
      <c r="AB5862">
        <v>33</v>
      </c>
      <c r="AC5862">
        <v>18.136499999999899</v>
      </c>
      <c r="AD5862">
        <v>-1.1126700867429999</v>
      </c>
      <c r="AE5862">
        <v>-2.2948099999999898</v>
      </c>
      <c r="AF5862">
        <v>2.34876252828411</v>
      </c>
      <c r="AG5862">
        <v>-1.1126700867429999</v>
      </c>
      <c r="AH5862">
        <v>18.061553685352798</v>
      </c>
      <c r="AI5862">
        <v>93.495852405686705</v>
      </c>
      <c r="AJ5862">
        <v>82.590715327655602</v>
      </c>
      <c r="AK5862">
        <v>18.2475872833941</v>
      </c>
      <c r="AL5862">
        <v>87.717771040531304</v>
      </c>
      <c r="AM5862">
        <v>95.277075729736694</v>
      </c>
      <c r="AN5862">
        <v>1.00000006761727</v>
      </c>
    </row>
    <row r="5863" spans="1:40" x14ac:dyDescent="0.25">
      <c r="A5863" t="str">
        <f>"20190305135942183"</f>
        <v>20190305135942183</v>
      </c>
      <c r="B5863" t="str">
        <f>"1551765582175178"</f>
        <v>1551765582175178</v>
      </c>
      <c r="C5863" t="s">
        <v>40</v>
      </c>
      <c r="D5863">
        <v>4.3150219999999999</v>
      </c>
      <c r="E5863">
        <v>0.58141149999999997</v>
      </c>
      <c r="F5863" t="s">
        <v>82</v>
      </c>
      <c r="G5863">
        <v>-209.8184</v>
      </c>
      <c r="H5863" s="1">
        <v>-1.2999449999999901E-6</v>
      </c>
      <c r="I5863">
        <v>-65.075249999999997</v>
      </c>
      <c r="J5863">
        <v>-230.1788</v>
      </c>
      <c r="K5863">
        <v>1.112555</v>
      </c>
      <c r="L5863">
        <v>-62.480289999999997</v>
      </c>
      <c r="M5863">
        <v>0.99989119999999998</v>
      </c>
      <c r="N5863">
        <v>-1.389132E-2</v>
      </c>
      <c r="O5863">
        <v>4.978016E-3</v>
      </c>
      <c r="P5863">
        <v>0.99536040000000003</v>
      </c>
      <c r="Q5863">
        <v>2.7182000000000001E-2</v>
      </c>
      <c r="R5863">
        <v>9.2299010000000001E-2</v>
      </c>
      <c r="S5863">
        <v>3.0560299999999998</v>
      </c>
      <c r="T5863">
        <v>-0.165632</v>
      </c>
      <c r="U5863">
        <v>-0.3859863</v>
      </c>
      <c r="V5863">
        <v>-8.7633589999999997E-2</v>
      </c>
      <c r="W5863">
        <v>4.038696E-2</v>
      </c>
      <c r="X5863">
        <v>0.99533369999999999</v>
      </c>
      <c r="Y5863">
        <v>0.1300047</v>
      </c>
      <c r="Z5863">
        <v>-4.6136700000000003E-3</v>
      </c>
      <c r="AA5863">
        <v>0.99150260000000001</v>
      </c>
      <c r="AB5863">
        <v>33</v>
      </c>
      <c r="AC5863">
        <v>20.360399999999998</v>
      </c>
      <c r="AD5863">
        <v>-1.112556299945</v>
      </c>
      <c r="AE5863">
        <v>-2.5949599999999902</v>
      </c>
      <c r="AF5863">
        <v>2.6883931175273199</v>
      </c>
      <c r="AG5863">
        <v>-1.112556299945</v>
      </c>
      <c r="AH5863">
        <v>20.287620676943</v>
      </c>
      <c r="AI5863">
        <v>93.111760861425793</v>
      </c>
      <c r="AJ5863">
        <v>82.451487727157996</v>
      </c>
      <c r="AK5863">
        <v>20.495189479642299</v>
      </c>
      <c r="AL5863">
        <v>87.685368033852299</v>
      </c>
      <c r="AM5863">
        <v>95.031599759891193</v>
      </c>
      <c r="AN5863">
        <v>0.99999996349500897</v>
      </c>
    </row>
    <row r="5864" spans="1:40" x14ac:dyDescent="0.25">
      <c r="A5864" t="str">
        <f>"20190305135942194"</f>
        <v>20190305135942194</v>
      </c>
      <c r="B5864" t="str">
        <f>"1551765582184938"</f>
        <v>1551765582184938</v>
      </c>
      <c r="C5864" t="s">
        <v>40</v>
      </c>
      <c r="D5864">
        <v>4.2985629999999997</v>
      </c>
      <c r="E5864">
        <v>0.58086260000000001</v>
      </c>
      <c r="F5864" t="s">
        <v>82</v>
      </c>
      <c r="G5864">
        <v>-207.03149999999999</v>
      </c>
      <c r="H5864" s="1">
        <v>-2.5569250000000001E-6</v>
      </c>
      <c r="I5864">
        <v>-65.400289999999998</v>
      </c>
      <c r="J5864">
        <v>-230.01220000000001</v>
      </c>
      <c r="K5864">
        <v>1.112441</v>
      </c>
      <c r="L5864">
        <v>-62.478090000000002</v>
      </c>
      <c r="M5864">
        <v>0.99988310000000002</v>
      </c>
      <c r="N5864">
        <v>-1.3886509999999999E-2</v>
      </c>
      <c r="O5864">
        <v>6.4088610000000001E-3</v>
      </c>
      <c r="P5864">
        <v>0.99554620000000005</v>
      </c>
      <c r="Q5864">
        <v>2.7675729999999999E-2</v>
      </c>
      <c r="R5864">
        <v>9.0123060000000005E-2</v>
      </c>
      <c r="S5864">
        <v>3.0537260000000002</v>
      </c>
      <c r="T5864">
        <v>-0.14677479999999901</v>
      </c>
      <c r="U5864">
        <v>-0.38522339999999999</v>
      </c>
      <c r="V5864">
        <v>-8.402316E-2</v>
      </c>
      <c r="W5864">
        <v>4.0930580000000001E-2</v>
      </c>
      <c r="X5864">
        <v>0.99562280000000003</v>
      </c>
      <c r="Y5864">
        <v>0.13131660000000001</v>
      </c>
      <c r="Z5864">
        <v>-4.2757089999999999E-3</v>
      </c>
      <c r="AA5864">
        <v>0.99133130000000003</v>
      </c>
      <c r="AB5864">
        <v>33</v>
      </c>
      <c r="AC5864">
        <v>22.980699999999999</v>
      </c>
      <c r="AD5864">
        <v>-1.112443556925</v>
      </c>
      <c r="AE5864">
        <v>-2.9221999999999899</v>
      </c>
      <c r="AF5864">
        <v>3.0623723840709101</v>
      </c>
      <c r="AG5864">
        <v>-1.112443556925</v>
      </c>
      <c r="AH5864">
        <v>22.908670289781799</v>
      </c>
      <c r="AI5864">
        <v>92.755621822738604</v>
      </c>
      <c r="AJ5864">
        <v>82.385986062064703</v>
      </c>
      <c r="AK5864">
        <v>23.139205468900599</v>
      </c>
      <c r="AL5864">
        <v>87.654195166539594</v>
      </c>
      <c r="AM5864">
        <v>94.823907234764107</v>
      </c>
      <c r="AN5864">
        <v>0.99999998183768002</v>
      </c>
    </row>
    <row r="5865" spans="1:40" x14ac:dyDescent="0.25">
      <c r="A5865" t="str">
        <f>"20190305135942205"</f>
        <v>20190305135942205</v>
      </c>
      <c r="B5865" t="str">
        <f>"1551765582194698"</f>
        <v>1551765582194698</v>
      </c>
      <c r="C5865" t="s">
        <v>40</v>
      </c>
      <c r="D5865">
        <v>4.3227520000000004</v>
      </c>
      <c r="E5865">
        <v>0.58024909999999996</v>
      </c>
      <c r="F5865" t="s">
        <v>82</v>
      </c>
      <c r="G5865">
        <v>-204.4487</v>
      </c>
      <c r="H5865" s="1">
        <v>-4.0958870000000003E-6</v>
      </c>
      <c r="I5865">
        <v>-65.717089999999999</v>
      </c>
      <c r="J5865">
        <v>-229.85310000000001</v>
      </c>
      <c r="K5865">
        <v>1.11232999999999</v>
      </c>
      <c r="L5865">
        <v>-62.475830000000002</v>
      </c>
      <c r="M5865">
        <v>0.99987409999999999</v>
      </c>
      <c r="N5865">
        <v>-1.3881869999999999E-2</v>
      </c>
      <c r="O5865">
        <v>7.6872240000000003E-3</v>
      </c>
      <c r="P5865">
        <v>0.99572649999999996</v>
      </c>
      <c r="Q5865">
        <v>2.8146709999999998E-2</v>
      </c>
      <c r="R5865">
        <v>8.7958549999999996E-2</v>
      </c>
      <c r="S5865">
        <v>3.0521389999999999</v>
      </c>
      <c r="T5865">
        <v>-0.13281979999999999</v>
      </c>
      <c r="U5865">
        <v>-0.38671879999999997</v>
      </c>
      <c r="V5865">
        <v>-8.05752E-2</v>
      </c>
      <c r="W5865">
        <v>4.144656E-2</v>
      </c>
      <c r="X5865">
        <v>0.99588639999999995</v>
      </c>
      <c r="Y5865">
        <v>0.133155</v>
      </c>
      <c r="Z5865">
        <v>-4.0397059999999997E-3</v>
      </c>
      <c r="AA5865">
        <v>0.99108700000000005</v>
      </c>
      <c r="AB5865">
        <v>33</v>
      </c>
      <c r="AC5865">
        <v>25.404399999999999</v>
      </c>
      <c r="AD5865">
        <v>-1.1123340958869901</v>
      </c>
      <c r="AE5865">
        <v>-3.2412599999999898</v>
      </c>
      <c r="AF5865">
        <v>3.4300018955178699</v>
      </c>
      <c r="AG5865">
        <v>-1.1123340958869901</v>
      </c>
      <c r="AH5865">
        <v>25.3309455616386</v>
      </c>
      <c r="AI5865">
        <v>92.491650963701304</v>
      </c>
      <c r="AJ5865">
        <v>82.288619156044703</v>
      </c>
      <c r="AK5865">
        <v>25.586304992921999</v>
      </c>
      <c r="AL5865">
        <v>87.624606506793796</v>
      </c>
      <c r="AM5865">
        <v>94.625612566078402</v>
      </c>
      <c r="AN5865">
        <v>0.99999995094791505</v>
      </c>
    </row>
    <row r="5866" spans="1:40" x14ac:dyDescent="0.25">
      <c r="A5866" t="str">
        <f>"20190305135942216"</f>
        <v>20190305135942216</v>
      </c>
      <c r="B5866" t="str">
        <f>"1551765582204458"</f>
        <v>1551765582204458</v>
      </c>
      <c r="C5866" t="s">
        <v>40</v>
      </c>
      <c r="D5866">
        <v>4.3372330000000003</v>
      </c>
      <c r="E5866">
        <v>0.58002860000000001</v>
      </c>
      <c r="F5866" t="s">
        <v>82</v>
      </c>
      <c r="G5866">
        <v>-203.75450000000001</v>
      </c>
      <c r="H5866" s="1">
        <v>-4.3480560000000004E-6</v>
      </c>
      <c r="I5866">
        <v>-65.797340000000005</v>
      </c>
      <c r="J5866">
        <v>-229.6961</v>
      </c>
      <c r="K5866">
        <v>1.112223</v>
      </c>
      <c r="L5866">
        <v>-62.473480000000002</v>
      </c>
      <c r="M5866">
        <v>0.99986419999999998</v>
      </c>
      <c r="N5866">
        <v>-1.387742E-2</v>
      </c>
      <c r="O5866">
        <v>8.9065410000000005E-3</v>
      </c>
      <c r="P5866">
        <v>0.99590999999999996</v>
      </c>
      <c r="Q5866">
        <v>2.8613940000000001E-2</v>
      </c>
      <c r="R5866">
        <v>8.5700849999999995E-2</v>
      </c>
      <c r="S5866">
        <v>3.0508579999999998</v>
      </c>
      <c r="T5866">
        <v>-0.1300288</v>
      </c>
      <c r="U5866">
        <v>-0.38827509999999998</v>
      </c>
      <c r="V5866">
        <v>-7.7091779999999999E-2</v>
      </c>
      <c r="W5866">
        <v>4.1957759999999997E-2</v>
      </c>
      <c r="X5866">
        <v>0.99614080000000005</v>
      </c>
      <c r="Y5866">
        <v>0.13491639999999999</v>
      </c>
      <c r="Z5866">
        <v>-4.057672E-3</v>
      </c>
      <c r="AA5866">
        <v>0.99084870000000003</v>
      </c>
      <c r="AB5866">
        <v>33</v>
      </c>
      <c r="AC5866">
        <v>25.941599999999902</v>
      </c>
      <c r="AD5866">
        <v>-1.1122273480560001</v>
      </c>
      <c r="AE5866">
        <v>-3.3238599999999998</v>
      </c>
      <c r="AF5866">
        <v>3.5483829762833898</v>
      </c>
      <c r="AG5866">
        <v>-1.1122273480560001</v>
      </c>
      <c r="AH5866">
        <v>25.864188181359399</v>
      </c>
      <c r="AI5866">
        <v>92.439527206528595</v>
      </c>
      <c r="AJ5866">
        <v>82.188193260256398</v>
      </c>
      <c r="AK5866">
        <v>26.1301416318572</v>
      </c>
      <c r="AL5866">
        <v>87.595291626751902</v>
      </c>
      <c r="AM5866">
        <v>94.425325112789096</v>
      </c>
      <c r="AN5866">
        <v>1.0000000447962101</v>
      </c>
    </row>
    <row r="5867" spans="1:40" x14ac:dyDescent="0.25">
      <c r="A5867" t="str">
        <f>"20190305135942226"</f>
        <v>20190305135942226</v>
      </c>
      <c r="B5867" t="str">
        <f>"1551765582224954"</f>
        <v>1551765582224954</v>
      </c>
      <c r="C5867" t="s">
        <v>40</v>
      </c>
      <c r="D5867">
        <v>4.3546509999999996</v>
      </c>
      <c r="E5867">
        <v>0.56853599999999904</v>
      </c>
      <c r="F5867" t="s">
        <v>82</v>
      </c>
      <c r="G5867">
        <v>-202.81549999999999</v>
      </c>
      <c r="H5867" s="1">
        <v>-4.6937700000000003E-6</v>
      </c>
      <c r="I5867">
        <v>-65.93929</v>
      </c>
      <c r="J5867">
        <v>-229.535</v>
      </c>
      <c r="K5867">
        <v>1.112104</v>
      </c>
      <c r="L5867">
        <v>-62.470889999999997</v>
      </c>
      <c r="M5867">
        <v>0.9998534</v>
      </c>
      <c r="N5867">
        <v>-1.387264E-2</v>
      </c>
      <c r="O5867">
        <v>1.0043440000000001E-2</v>
      </c>
      <c r="P5867">
        <v>0.99607829999999997</v>
      </c>
      <c r="Q5867">
        <v>2.904147E-2</v>
      </c>
      <c r="R5867">
        <v>8.3574099999999998E-2</v>
      </c>
      <c r="S5867">
        <v>3.0497890000000001</v>
      </c>
      <c r="T5867">
        <v>-0.12618989999999999</v>
      </c>
      <c r="U5867">
        <v>-0.39321899999999999</v>
      </c>
      <c r="V5867">
        <v>-7.3820490000000002E-2</v>
      </c>
      <c r="W5867">
        <v>4.242655E-2</v>
      </c>
      <c r="X5867">
        <v>0.99636860000000005</v>
      </c>
      <c r="Y5867">
        <v>0.13767109999999999</v>
      </c>
      <c r="Z5867">
        <v>-4.0697329999999999E-3</v>
      </c>
      <c r="AA5867">
        <v>0.99046959999999995</v>
      </c>
      <c r="AB5867">
        <v>33</v>
      </c>
      <c r="AC5867">
        <v>26.7195</v>
      </c>
      <c r="AD5867">
        <v>-1.11210869377</v>
      </c>
      <c r="AE5867">
        <v>-3.4683999999999902</v>
      </c>
      <c r="AF5867">
        <v>3.7302514837351701</v>
      </c>
      <c r="AG5867">
        <v>-1.11210869377</v>
      </c>
      <c r="AH5867">
        <v>26.637932314914998</v>
      </c>
      <c r="AI5867">
        <v>92.367582112854393</v>
      </c>
      <c r="AJ5867">
        <v>82.028404602588907</v>
      </c>
      <c r="AK5867">
        <v>26.920828365647701</v>
      </c>
      <c r="AL5867">
        <v>87.568407725258595</v>
      </c>
      <c r="AM5867">
        <v>94.237276023519001</v>
      </c>
      <c r="AN5867">
        <v>0.99999993197734904</v>
      </c>
    </row>
    <row r="5868" spans="1:40" x14ac:dyDescent="0.25">
      <c r="A5868" t="str">
        <f>"20190305135942239"</f>
        <v>20190305135942239</v>
      </c>
      <c r="B5868" t="str">
        <f>"1551765582234714"</f>
        <v>1551765582234714</v>
      </c>
      <c r="C5868" t="s">
        <v>40</v>
      </c>
      <c r="D5868">
        <v>4.287426</v>
      </c>
      <c r="E5868">
        <v>0.56982650000000001</v>
      </c>
      <c r="F5868" t="s">
        <v>41</v>
      </c>
      <c r="G5868">
        <v>-228.65379999999999</v>
      </c>
      <c r="H5868">
        <v>1.025514</v>
      </c>
      <c r="I5868">
        <v>-62.563070000000003</v>
      </c>
      <c r="J5868">
        <v>-229.3681</v>
      </c>
      <c r="K5868">
        <v>1.1119790000000001</v>
      </c>
      <c r="L5868">
        <v>-62.468139999999998</v>
      </c>
      <c r="M5868">
        <v>0.99984130000000004</v>
      </c>
      <c r="N5868">
        <v>-1.3867900000000001E-2</v>
      </c>
      <c r="O5868">
        <v>1.1189960000000001E-2</v>
      </c>
      <c r="P5868">
        <v>0.99622949999999999</v>
      </c>
      <c r="Q5868">
        <v>2.9557940000000001E-2</v>
      </c>
      <c r="R5868">
        <v>8.1567909999999993E-2</v>
      </c>
      <c r="S5868">
        <v>3.0472869999999999</v>
      </c>
      <c r="T5868">
        <v>-0.2994578</v>
      </c>
      <c r="U5868">
        <v>-0.31890869999999999</v>
      </c>
      <c r="V5868">
        <v>-7.0658990000000005E-2</v>
      </c>
      <c r="W5868">
        <v>4.2982029999999997E-2</v>
      </c>
      <c r="X5868">
        <v>0.99657399999999996</v>
      </c>
      <c r="Y5868">
        <v>0.1145452</v>
      </c>
      <c r="Z5868">
        <v>-7.3378489999999996E-3</v>
      </c>
      <c r="AA5868">
        <v>0.99339089999999997</v>
      </c>
      <c r="AB5868">
        <v>33</v>
      </c>
      <c r="AC5868">
        <v>0.71430000000000804</v>
      </c>
      <c r="AD5868">
        <v>-8.6465E-2</v>
      </c>
      <c r="AE5868">
        <v>-9.49299999999908E-2</v>
      </c>
      <c r="AF5868">
        <v>0.101456988491718</v>
      </c>
      <c r="AG5868">
        <v>-8.6465E-2</v>
      </c>
      <c r="AH5868">
        <v>0.70306978942882803</v>
      </c>
      <c r="AI5868">
        <v>96.939974542073699</v>
      </c>
      <c r="AJ5868">
        <v>81.788577076887293</v>
      </c>
      <c r="AK5868">
        <v>0.71559544824314403</v>
      </c>
      <c r="AL5868">
        <v>87.536552029114901</v>
      </c>
      <c r="AM5868">
        <v>94.055592781661005</v>
      </c>
      <c r="AN5868">
        <v>0.999999942623368</v>
      </c>
    </row>
    <row r="5869" spans="1:40" x14ac:dyDescent="0.25">
      <c r="A5869" t="str">
        <f>"20190305135942250"</f>
        <v>20190305135942250</v>
      </c>
      <c r="B5869" t="str">
        <f>"1551765582244474"</f>
        <v>1551765582244474</v>
      </c>
      <c r="C5869" t="s">
        <v>40</v>
      </c>
      <c r="D5869">
        <v>4.3047979999999999</v>
      </c>
      <c r="E5869">
        <v>0.57075730000000002</v>
      </c>
      <c r="F5869" t="s">
        <v>41</v>
      </c>
      <c r="G5869">
        <v>-228.36009999999999</v>
      </c>
      <c r="H5869">
        <v>1.0241910000000001</v>
      </c>
      <c r="I5869">
        <v>-62.578519999999997</v>
      </c>
      <c r="J5869">
        <v>-229.19630000000001</v>
      </c>
      <c r="K5869">
        <v>1.111847</v>
      </c>
      <c r="L5869">
        <v>-62.465119999999999</v>
      </c>
      <c r="M5869">
        <v>0.99982919999999997</v>
      </c>
      <c r="N5869">
        <v>-1.3862589999999999E-2</v>
      </c>
      <c r="O5869">
        <v>1.2222800000000001E-2</v>
      </c>
      <c r="P5869">
        <v>0.99639370000000005</v>
      </c>
      <c r="Q5869">
        <v>3.0352480000000001E-2</v>
      </c>
      <c r="R5869">
        <v>7.9237899999999903E-2</v>
      </c>
      <c r="S5869">
        <v>3.046478</v>
      </c>
      <c r="T5869">
        <v>-0.26534059999999998</v>
      </c>
      <c r="U5869">
        <v>-0.3330688</v>
      </c>
      <c r="V5869">
        <v>-6.7287910000000006E-2</v>
      </c>
      <c r="W5869">
        <v>4.3815239999999998E-2</v>
      </c>
      <c r="X5869">
        <v>0.99677110000000002</v>
      </c>
      <c r="Y5869">
        <v>0.12027</v>
      </c>
      <c r="Z5869">
        <v>-6.9411469999999999E-3</v>
      </c>
      <c r="AA5869">
        <v>0.99271699999999996</v>
      </c>
      <c r="AB5869">
        <v>33</v>
      </c>
      <c r="AC5869">
        <v>0.83620000000001904</v>
      </c>
      <c r="AD5869">
        <v>-8.7655999999999901E-2</v>
      </c>
      <c r="AE5869">
        <v>-0.113399999999998</v>
      </c>
      <c r="AF5869">
        <v>0.122293645236367</v>
      </c>
      <c r="AG5869">
        <v>-8.7655999999999901E-2</v>
      </c>
      <c r="AH5869">
        <v>0.825840363673226</v>
      </c>
      <c r="AI5869">
        <v>95.993899996954497</v>
      </c>
      <c r="AJ5869">
        <v>81.576634228140307</v>
      </c>
      <c r="AK5869">
        <v>0.83943529606106304</v>
      </c>
      <c r="AL5869">
        <v>87.488767812165307</v>
      </c>
      <c r="AM5869">
        <v>93.861942765581105</v>
      </c>
      <c r="AN5869">
        <v>1.0000000319418101</v>
      </c>
    </row>
    <row r="5870" spans="1:40" x14ac:dyDescent="0.25">
      <c r="A5870" t="str">
        <f>"20190305135942261"</f>
        <v>20190305135942261</v>
      </c>
      <c r="B5870" t="str">
        <f>"1551765582255210"</f>
        <v>1551765582255210</v>
      </c>
      <c r="C5870" t="s">
        <v>40</v>
      </c>
      <c r="D5870">
        <v>4.2958850000000002</v>
      </c>
      <c r="E5870">
        <v>0.57122419999999996</v>
      </c>
      <c r="F5870" t="s">
        <v>41</v>
      </c>
      <c r="G5870">
        <v>-228.34520000000001</v>
      </c>
      <c r="H5870">
        <v>1.049067</v>
      </c>
      <c r="I5870">
        <v>-62.56174</v>
      </c>
      <c r="J5870">
        <v>-229.03700000000001</v>
      </c>
      <c r="K5870">
        <v>1.1117239999999999</v>
      </c>
      <c r="L5870">
        <v>-62.46228</v>
      </c>
      <c r="M5870">
        <v>0.99981759999999997</v>
      </c>
      <c r="N5870">
        <v>-1.385788E-2</v>
      </c>
      <c r="O5870">
        <v>1.31483E-2</v>
      </c>
      <c r="P5870">
        <v>0.99654450000000006</v>
      </c>
      <c r="Q5870">
        <v>3.0978809999999999E-2</v>
      </c>
      <c r="R5870">
        <v>7.7067789999999997E-2</v>
      </c>
      <c r="S5870">
        <v>3.0451199999999998</v>
      </c>
      <c r="T5870">
        <v>-0.22463810000000001</v>
      </c>
      <c r="U5870">
        <v>-0.34506229999999999</v>
      </c>
      <c r="V5870">
        <v>-6.4182020000000006E-2</v>
      </c>
      <c r="W5870">
        <v>4.4475479999999998E-2</v>
      </c>
      <c r="X5870">
        <v>0.99694660000000002</v>
      </c>
      <c r="Y5870">
        <v>0.1252288</v>
      </c>
      <c r="Z5870">
        <v>-6.2543360000000001E-3</v>
      </c>
      <c r="AA5870">
        <v>0.9921082</v>
      </c>
      <c r="AB5870">
        <v>33</v>
      </c>
      <c r="AC5870">
        <v>0.69179999999999997</v>
      </c>
      <c r="AD5870">
        <v>-6.2656999999999893E-2</v>
      </c>
      <c r="AE5870">
        <v>-9.9459999999993401E-2</v>
      </c>
      <c r="AF5870">
        <v>0.107682822974091</v>
      </c>
      <c r="AG5870">
        <v>-6.2656999999999893E-2</v>
      </c>
      <c r="AH5870">
        <v>0.68492758362126205</v>
      </c>
      <c r="AI5870">
        <v>95.163776333975505</v>
      </c>
      <c r="AJ5870">
        <v>81.065218282191907</v>
      </c>
      <c r="AK5870">
        <v>0.69616613305871999</v>
      </c>
      <c r="AL5870">
        <v>87.450901753123404</v>
      </c>
      <c r="AM5870">
        <v>93.683538381262196</v>
      </c>
      <c r="AN5870">
        <v>0.99999996163203397</v>
      </c>
    </row>
    <row r="5871" spans="1:40" x14ac:dyDescent="0.25">
      <c r="A5871" t="str">
        <f>"20190305135942271"</f>
        <v>20190305135942271</v>
      </c>
      <c r="B5871" t="str">
        <f>"1551765582264970"</f>
        <v>1551765582264970</v>
      </c>
      <c r="C5871" t="s">
        <v>40</v>
      </c>
      <c r="D5871">
        <v>4.3223719999999997</v>
      </c>
      <c r="E5871">
        <v>0.57148019999999999</v>
      </c>
      <c r="F5871" t="s">
        <v>95</v>
      </c>
      <c r="G5871">
        <v>-211.5444</v>
      </c>
      <c r="H5871" s="1">
        <v>-7.2497720000000003E-7</v>
      </c>
      <c r="I5871">
        <v>-64.493030000000005</v>
      </c>
      <c r="J5871">
        <v>-228.8683</v>
      </c>
      <c r="K5871">
        <v>1.1115930000000001</v>
      </c>
      <c r="L5871">
        <v>-62.459139999999998</v>
      </c>
      <c r="M5871">
        <v>0.99980570000000002</v>
      </c>
      <c r="N5871">
        <v>-1.385291E-2</v>
      </c>
      <c r="O5871">
        <v>1.403239E-2</v>
      </c>
      <c r="P5871">
        <v>0.99669359999999996</v>
      </c>
      <c r="Q5871">
        <v>3.1621459999999997E-2</v>
      </c>
      <c r="R5871">
        <v>7.4845460000000003E-2</v>
      </c>
      <c r="S5871">
        <v>3.0437319999999999</v>
      </c>
      <c r="T5871">
        <v>-0.19344130000000001</v>
      </c>
      <c r="U5871">
        <v>-0.35336299999999998</v>
      </c>
      <c r="V5871">
        <v>-6.1065170000000002E-2</v>
      </c>
      <c r="W5871">
        <v>4.5150969999999999E-2</v>
      </c>
      <c r="X5871">
        <v>0.997112</v>
      </c>
      <c r="Y5871">
        <v>0.12891900000000001</v>
      </c>
      <c r="Z5871">
        <v>-5.670479E-3</v>
      </c>
      <c r="AA5871">
        <v>0.99163889999999999</v>
      </c>
      <c r="AB5871">
        <v>33</v>
      </c>
      <c r="AC5871">
        <v>17.323899999999998</v>
      </c>
      <c r="AD5871">
        <v>-1.1115937249771899</v>
      </c>
      <c r="AE5871">
        <v>-2.0338899999999902</v>
      </c>
      <c r="AF5871">
        <v>2.26759952648574</v>
      </c>
      <c r="AG5871">
        <v>-1.1115937249771899</v>
      </c>
      <c r="AH5871">
        <v>17.2237018203048</v>
      </c>
      <c r="AI5871">
        <v>93.661162006856799</v>
      </c>
      <c r="AJ5871">
        <v>82.499816349458897</v>
      </c>
      <c r="AK5871">
        <v>17.407858932582698</v>
      </c>
      <c r="AL5871">
        <v>87.4121600814223</v>
      </c>
      <c r="AM5871">
        <v>93.504533270077999</v>
      </c>
      <c r="AN5871">
        <v>0.99999995281153298</v>
      </c>
    </row>
    <row r="5872" spans="1:40" x14ac:dyDescent="0.25">
      <c r="A5872" t="str">
        <f>"20190305135942283"</f>
        <v>20190305135942283</v>
      </c>
      <c r="B5872" t="str">
        <f>"1551765582274730"</f>
        <v>1551765582274730</v>
      </c>
      <c r="C5872" t="s">
        <v>40</v>
      </c>
      <c r="D5872">
        <v>4.2671150000000004</v>
      </c>
      <c r="E5872">
        <v>0.57139640000000003</v>
      </c>
      <c r="F5872" t="s">
        <v>43</v>
      </c>
      <c r="G5872">
        <v>-209.12090000000001</v>
      </c>
      <c r="H5872">
        <v>-0.05</v>
      </c>
      <c r="I5872">
        <v>-64.803569999999993</v>
      </c>
      <c r="J5872">
        <v>-228.71379999999999</v>
      </c>
      <c r="K5872">
        <v>1.111472</v>
      </c>
      <c r="L5872">
        <v>-62.456180000000003</v>
      </c>
      <c r="M5872">
        <v>0.99979479999999998</v>
      </c>
      <c r="N5872">
        <v>-1.384848E-2</v>
      </c>
      <c r="O5872">
        <v>1.47879E-2</v>
      </c>
      <c r="P5872">
        <v>0.99682400000000004</v>
      </c>
      <c r="Q5872">
        <v>3.1971680000000002E-2</v>
      </c>
      <c r="R5872">
        <v>7.2936650000000006E-2</v>
      </c>
      <c r="S5872">
        <v>3.0427249999999999</v>
      </c>
      <c r="T5872">
        <v>-0.17898069999999999</v>
      </c>
      <c r="U5872">
        <v>-0.36123660000000002</v>
      </c>
      <c r="V5872">
        <v>-5.8389000000000003E-2</v>
      </c>
      <c r="W5872">
        <v>4.5528230000000003E-2</v>
      </c>
      <c r="X5872">
        <v>0.99725520000000001</v>
      </c>
      <c r="Y5872">
        <v>0.13227269999999999</v>
      </c>
      <c r="Z5872">
        <v>-5.4558150000000001E-3</v>
      </c>
      <c r="AA5872">
        <v>0.99119840000000003</v>
      </c>
      <c r="AB5872">
        <v>33</v>
      </c>
      <c r="AC5872">
        <v>19.592899999999901</v>
      </c>
      <c r="AD5872">
        <v>-1.1614719999999901</v>
      </c>
      <c r="AE5872">
        <v>-2.3473899999999901</v>
      </c>
      <c r="AF5872">
        <v>2.6277951035009801</v>
      </c>
      <c r="AG5872">
        <v>-1.1614719999999901</v>
      </c>
      <c r="AH5872">
        <v>19.4885244413843</v>
      </c>
      <c r="AI5872">
        <v>93.380147203489202</v>
      </c>
      <c r="AJ5872">
        <v>82.320664034947896</v>
      </c>
      <c r="AK5872">
        <v>19.699160114461701</v>
      </c>
      <c r="AL5872">
        <v>87.390522584060307</v>
      </c>
      <c r="AM5872">
        <v>93.350825657366002</v>
      </c>
      <c r="AN5872">
        <v>1.0000000144874801</v>
      </c>
    </row>
    <row r="5873" spans="1:40" x14ac:dyDescent="0.25">
      <c r="A5873" t="str">
        <f>"20190305135942293"</f>
        <v>20190305135942293</v>
      </c>
      <c r="B5873" t="str">
        <f>"1551765582284489"</f>
        <v>1551765582284489</v>
      </c>
      <c r="C5873" t="s">
        <v>40</v>
      </c>
      <c r="D5873">
        <v>4.2931210000000002</v>
      </c>
      <c r="E5873">
        <v>0.57119600000000004</v>
      </c>
      <c r="F5873" t="s">
        <v>82</v>
      </c>
      <c r="G5873">
        <v>-207.99760000000001</v>
      </c>
      <c r="H5873" s="1">
        <v>-1.9606739999999998E-6</v>
      </c>
      <c r="I5873">
        <v>-64.944659999999999</v>
      </c>
      <c r="J5873">
        <v>-228.55699999999999</v>
      </c>
      <c r="K5873">
        <v>1.111353</v>
      </c>
      <c r="L5873">
        <v>-62.453159999999997</v>
      </c>
      <c r="M5873">
        <v>0.99978420000000001</v>
      </c>
      <c r="N5873">
        <v>-1.384405E-2</v>
      </c>
      <c r="O5873">
        <v>1.549115E-2</v>
      </c>
      <c r="P5873">
        <v>0.9969538</v>
      </c>
      <c r="Q5873">
        <v>3.2047630000000001E-2</v>
      </c>
      <c r="R5873">
        <v>7.1104790000000001E-2</v>
      </c>
      <c r="S5873">
        <v>3.041534</v>
      </c>
      <c r="T5873">
        <v>-0.16318559999999999</v>
      </c>
      <c r="U5873">
        <v>-0.36535640000000003</v>
      </c>
      <c r="V5873">
        <v>-5.5840689999999998E-2</v>
      </c>
      <c r="W5873">
        <v>4.5628740000000001E-2</v>
      </c>
      <c r="X5873">
        <v>0.99739650000000002</v>
      </c>
      <c r="Y5873">
        <v>0.13438029999999901</v>
      </c>
      <c r="Z5873">
        <v>-5.13803E-3</v>
      </c>
      <c r="AA5873">
        <v>0.99091649999999998</v>
      </c>
      <c r="AB5873">
        <v>33</v>
      </c>
      <c r="AC5873">
        <v>20.5594</v>
      </c>
      <c r="AD5873">
        <v>-1.1113549606739901</v>
      </c>
      <c r="AE5873">
        <v>-2.4914999999999998</v>
      </c>
      <c r="AF5873">
        <v>2.8016522100975401</v>
      </c>
      <c r="AG5873">
        <v>-1.1113549606739901</v>
      </c>
      <c r="AH5873">
        <v>20.459414834342699</v>
      </c>
      <c r="AI5873">
        <v>93.080557124741702</v>
      </c>
      <c r="AJ5873">
        <v>82.202581232547601</v>
      </c>
      <c r="AK5873">
        <v>20.6802325982732</v>
      </c>
      <c r="AL5873">
        <v>87.384757681566398</v>
      </c>
      <c r="AM5873">
        <v>93.204442041041403</v>
      </c>
      <c r="AN5873">
        <v>0.99999997139295604</v>
      </c>
    </row>
    <row r="5874" spans="1:40" x14ac:dyDescent="0.25">
      <c r="A5874" t="str">
        <f>"20190305135942304"</f>
        <v>20190305135942304</v>
      </c>
      <c r="B5874" t="str">
        <f>"1551765582295226"</f>
        <v>1551765582295226</v>
      </c>
      <c r="C5874" t="s">
        <v>40</v>
      </c>
      <c r="D5874">
        <v>4.3021349999999998</v>
      </c>
      <c r="E5874">
        <v>0.57045019999999902</v>
      </c>
      <c r="F5874" t="s">
        <v>82</v>
      </c>
      <c r="G5874">
        <v>-207.01830000000001</v>
      </c>
      <c r="H5874" s="1">
        <v>-2.5187070000000001E-6</v>
      </c>
      <c r="I5874">
        <v>-65.065730000000002</v>
      </c>
      <c r="J5874">
        <v>-228.39089999999999</v>
      </c>
      <c r="K5874">
        <v>1.1112299999999999</v>
      </c>
      <c r="L5874">
        <v>-62.449860000000001</v>
      </c>
      <c r="M5874">
        <v>0.99977369999999999</v>
      </c>
      <c r="N5874">
        <v>-1.383941E-2</v>
      </c>
      <c r="O5874">
        <v>1.6158840000000001E-2</v>
      </c>
      <c r="P5874">
        <v>0.99707219999999996</v>
      </c>
      <c r="Q5874">
        <v>3.1896649999999999E-2</v>
      </c>
      <c r="R5874">
        <v>6.9497409999999996E-2</v>
      </c>
      <c r="S5874">
        <v>3.0405120000000001</v>
      </c>
      <c r="T5874">
        <v>-0.156885</v>
      </c>
      <c r="U5874">
        <v>-0.36880489999999999</v>
      </c>
      <c r="V5874">
        <v>-5.3551340000000003E-2</v>
      </c>
      <c r="W5874">
        <v>4.5500609999999997E-2</v>
      </c>
      <c r="X5874">
        <v>0.99752790000000002</v>
      </c>
      <c r="Y5874">
        <v>0.13620289999999999</v>
      </c>
      <c r="Z5874">
        <v>-5.0532229999999999E-3</v>
      </c>
      <c r="AA5874">
        <v>0.99066810000000005</v>
      </c>
      <c r="AB5874">
        <v>33</v>
      </c>
      <c r="AC5874">
        <v>21.372599999999899</v>
      </c>
      <c r="AD5874">
        <v>-1.111232518707</v>
      </c>
      <c r="AE5874">
        <v>-2.6158700000000001</v>
      </c>
      <c r="AF5874">
        <v>2.9530527036767</v>
      </c>
      <c r="AG5874">
        <v>-1.111232518707</v>
      </c>
      <c r="AH5874">
        <v>21.270882507088398</v>
      </c>
      <c r="AI5874">
        <v>92.962166197905404</v>
      </c>
      <c r="AJ5874">
        <v>82.096105045402695</v>
      </c>
      <c r="AK5874">
        <v>21.503622964786299</v>
      </c>
      <c r="AL5874">
        <v>87.392106648809801</v>
      </c>
      <c r="AM5874">
        <v>93.072919863259301</v>
      </c>
      <c r="AN5874">
        <v>0.99999998140228796</v>
      </c>
    </row>
    <row r="5875" spans="1:40" x14ac:dyDescent="0.25">
      <c r="A5875" t="str">
        <f>"20190305135942315"</f>
        <v>20190305135942315</v>
      </c>
      <c r="B5875" t="str">
        <f>"1551765582304986"</f>
        <v>1551765582304986</v>
      </c>
      <c r="C5875" t="s">
        <v>40</v>
      </c>
      <c r="D5875">
        <v>4.280278</v>
      </c>
      <c r="E5875">
        <v>0.57043169999999899</v>
      </c>
      <c r="F5875" t="s">
        <v>82</v>
      </c>
      <c r="G5875">
        <v>-208.92840000000001</v>
      </c>
      <c r="H5875" s="1">
        <v>-1.5691670000000001E-6</v>
      </c>
      <c r="I5875">
        <v>-64.809399999999997</v>
      </c>
      <c r="J5875">
        <v>-228.2321</v>
      </c>
      <c r="K5875">
        <v>1.1111089999999999</v>
      </c>
      <c r="L5875">
        <v>-62.446689999999997</v>
      </c>
      <c r="M5875">
        <v>0.99976410000000004</v>
      </c>
      <c r="N5875">
        <v>-1.383505E-2</v>
      </c>
      <c r="O5875">
        <v>1.6750560000000001E-2</v>
      </c>
      <c r="P5875">
        <v>0.99715730000000002</v>
      </c>
      <c r="Q5875">
        <v>3.1785620000000001E-2</v>
      </c>
      <c r="R5875">
        <v>6.8318019999999993E-2</v>
      </c>
      <c r="S5875">
        <v>3.0400390000000002</v>
      </c>
      <c r="T5875">
        <v>-0.17357420000000001</v>
      </c>
      <c r="U5875">
        <v>-0.36856080000000002</v>
      </c>
      <c r="V5875">
        <v>-5.1765850000000002E-2</v>
      </c>
      <c r="W5875">
        <v>4.5407719999999999E-2</v>
      </c>
      <c r="X5875">
        <v>0.99762640000000002</v>
      </c>
      <c r="Y5875">
        <v>0.13667899999999999</v>
      </c>
      <c r="Z5875">
        <v>-5.556096E-3</v>
      </c>
      <c r="AA5875">
        <v>0.99059980000000003</v>
      </c>
      <c r="AB5875">
        <v>33</v>
      </c>
      <c r="AC5875">
        <v>19.3036999999999</v>
      </c>
      <c r="AD5875">
        <v>-1.111110569167</v>
      </c>
      <c r="AE5875">
        <v>-2.3627099999999901</v>
      </c>
      <c r="AF5875">
        <v>2.6770188424845398</v>
      </c>
      <c r="AG5875">
        <v>-1.111110569167</v>
      </c>
      <c r="AH5875">
        <v>19.1987423061531</v>
      </c>
      <c r="AI5875">
        <v>93.280580964322496</v>
      </c>
      <c r="AJ5875">
        <v>82.062018320576797</v>
      </c>
      <c r="AK5875">
        <v>19.416299923466401</v>
      </c>
      <c r="AL5875">
        <v>87.397434406599501</v>
      </c>
      <c r="AM5875">
        <v>92.970357537157597</v>
      </c>
      <c r="AN5875">
        <v>0.99999999911938997</v>
      </c>
    </row>
    <row r="5876" spans="1:40" x14ac:dyDescent="0.25">
      <c r="A5876" t="str">
        <f>"20190305135942327"</f>
        <v>20190305135942327</v>
      </c>
      <c r="B5876" t="str">
        <f>"1551765582324507"</f>
        <v>1551765582324507</v>
      </c>
      <c r="C5876" t="s">
        <v>40</v>
      </c>
      <c r="D5876">
        <v>4.3152080000000002</v>
      </c>
      <c r="E5876">
        <v>0.56965669999999902</v>
      </c>
      <c r="F5876" t="s">
        <v>82</v>
      </c>
      <c r="G5876">
        <v>-208.0669</v>
      </c>
      <c r="H5876" s="1">
        <v>-1.9253060000000002E-6</v>
      </c>
      <c r="I5876">
        <v>-64.911209999999997</v>
      </c>
      <c r="J5876">
        <v>-228.06530000000001</v>
      </c>
      <c r="K5876">
        <v>1.1109869999999999</v>
      </c>
      <c r="L5876">
        <v>-62.443269999999998</v>
      </c>
      <c r="M5876">
        <v>0.99975519999999996</v>
      </c>
      <c r="N5876">
        <v>-1.3830500000000001E-2</v>
      </c>
      <c r="O5876">
        <v>1.727281E-2</v>
      </c>
      <c r="P5876">
        <v>0.99725940000000002</v>
      </c>
      <c r="Q5876">
        <v>3.1337200000000003E-2</v>
      </c>
      <c r="R5876">
        <v>6.7021310000000001E-2</v>
      </c>
      <c r="S5876">
        <v>3.0393520000000001</v>
      </c>
      <c r="T5876">
        <v>-0.16746929999999999</v>
      </c>
      <c r="U5876">
        <v>-0.37146000000000001</v>
      </c>
      <c r="V5876">
        <v>-4.9931459999999997E-2</v>
      </c>
      <c r="W5876">
        <v>4.4978039999999997E-2</v>
      </c>
      <c r="X5876">
        <v>0.99773940000000005</v>
      </c>
      <c r="Y5876">
        <v>0.13816929999999999</v>
      </c>
      <c r="Z5876">
        <v>-5.4594739999999998E-3</v>
      </c>
      <c r="AA5876">
        <v>0.99039359999999999</v>
      </c>
      <c r="AB5876">
        <v>33</v>
      </c>
      <c r="AC5876">
        <v>19.9984</v>
      </c>
      <c r="AD5876">
        <v>-1.1109889253059999</v>
      </c>
      <c r="AE5876">
        <v>-2.4679399999999898</v>
      </c>
      <c r="AF5876">
        <v>2.8045078047634702</v>
      </c>
      <c r="AG5876">
        <v>-1.1109889253059999</v>
      </c>
      <c r="AH5876">
        <v>19.892312200840401</v>
      </c>
      <c r="AI5876">
        <v>93.165418272577298</v>
      </c>
      <c r="AJ5876">
        <v>81.9750734177792</v>
      </c>
      <c r="AK5876">
        <v>20.119732729706801</v>
      </c>
      <c r="AL5876">
        <v>87.422078548682094</v>
      </c>
      <c r="AM5876">
        <v>92.864953713966202</v>
      </c>
      <c r="AN5876">
        <v>1.0000000425461599</v>
      </c>
    </row>
    <row r="5877" spans="1:40" x14ac:dyDescent="0.25">
      <c r="A5877" t="str">
        <f>"20190305135942340"</f>
        <v>20190305135942340</v>
      </c>
      <c r="B5877" t="str">
        <f>"1551765582335242"</f>
        <v>1551765582335242</v>
      </c>
      <c r="C5877" t="s">
        <v>40</v>
      </c>
      <c r="D5877">
        <v>4.3170840000000004</v>
      </c>
      <c r="E5877">
        <v>0.56902489999999994</v>
      </c>
      <c r="F5877" t="s">
        <v>82</v>
      </c>
      <c r="G5877">
        <v>-208.73990000000001</v>
      </c>
      <c r="H5877" s="1">
        <v>-1.6368670000000001E-6</v>
      </c>
      <c r="I5877">
        <v>-64.793329999999997</v>
      </c>
      <c r="J5877">
        <v>-227.8861</v>
      </c>
      <c r="K5877">
        <v>1.110857</v>
      </c>
      <c r="L5877">
        <v>-62.439610000000002</v>
      </c>
      <c r="M5877">
        <v>0.99974620000000003</v>
      </c>
      <c r="N5877">
        <v>-1.3825769999999999E-2</v>
      </c>
      <c r="O5877">
        <v>1.779298E-2</v>
      </c>
      <c r="P5877">
        <v>0.99732569999999998</v>
      </c>
      <c r="Q5877">
        <v>3.155848E-2</v>
      </c>
      <c r="R5877">
        <v>6.592199E-2</v>
      </c>
      <c r="S5877">
        <v>3.0385740000000001</v>
      </c>
      <c r="T5877">
        <v>-0.1746839</v>
      </c>
      <c r="U5877">
        <v>-0.36950680000000002</v>
      </c>
      <c r="V5877">
        <v>-4.8298069999999999E-2</v>
      </c>
      <c r="W5877">
        <v>4.5216220000000001E-2</v>
      </c>
      <c r="X5877">
        <v>0.99780899999999995</v>
      </c>
      <c r="Y5877">
        <v>0.1380652</v>
      </c>
      <c r="Z5877">
        <v>-5.6833969999999998E-3</v>
      </c>
      <c r="AA5877">
        <v>0.99040680000000003</v>
      </c>
      <c r="AB5877">
        <v>33</v>
      </c>
      <c r="AC5877">
        <v>19.1462</v>
      </c>
      <c r="AD5877">
        <v>-1.1108586368669999</v>
      </c>
      <c r="AE5877">
        <v>-2.3537200000000098</v>
      </c>
      <c r="AF5877">
        <v>2.68514338076477</v>
      </c>
      <c r="AG5877">
        <v>-1.1108586368669999</v>
      </c>
      <c r="AH5877">
        <v>19.038150802819899</v>
      </c>
      <c r="AI5877">
        <v>93.306716384059698</v>
      </c>
      <c r="AJ5877">
        <v>81.971948178522297</v>
      </c>
      <c r="AK5877">
        <v>19.258639304927001</v>
      </c>
      <c r="AL5877">
        <v>87.4084178456648</v>
      </c>
      <c r="AM5877">
        <v>92.771189073427294</v>
      </c>
      <c r="AN5877">
        <v>1.0000000052989</v>
      </c>
    </row>
    <row r="5878" spans="1:40" x14ac:dyDescent="0.25">
      <c r="A5878" t="str">
        <f>"20190305135942349"</f>
        <v>20190305135942349</v>
      </c>
      <c r="B5878" t="str">
        <f>"1551765582345002"</f>
        <v>1551765582345002</v>
      </c>
      <c r="C5878" t="s">
        <v>40</v>
      </c>
      <c r="D5878">
        <v>4.6984870000000001</v>
      </c>
      <c r="E5878">
        <v>0.56826049999999995</v>
      </c>
      <c r="F5878" t="s">
        <v>82</v>
      </c>
      <c r="G5878">
        <v>-209.2336</v>
      </c>
      <c r="H5878" s="1">
        <v>-1.423469E-6</v>
      </c>
      <c r="I5878">
        <v>-64.699950000000001</v>
      </c>
      <c r="J5878">
        <v>-227.7269</v>
      </c>
      <c r="K5878">
        <v>1.1107450000000001</v>
      </c>
      <c r="L5878">
        <v>-62.436340000000001</v>
      </c>
      <c r="M5878">
        <v>0.99973959999999995</v>
      </c>
      <c r="N5878">
        <v>-1.3821730000000001E-2</v>
      </c>
      <c r="O5878">
        <v>1.8153269999999999E-2</v>
      </c>
      <c r="P5878">
        <v>0.99737580000000003</v>
      </c>
      <c r="Q5878">
        <v>3.1624470000000002E-2</v>
      </c>
      <c r="R5878">
        <v>6.5127969999999993E-2</v>
      </c>
      <c r="S5878">
        <v>3.0381010000000002</v>
      </c>
      <c r="T5878">
        <v>-0.18093590000000001</v>
      </c>
      <c r="U5878">
        <v>-0.36816409999999999</v>
      </c>
      <c r="V5878">
        <v>-4.7130749999999999E-2</v>
      </c>
      <c r="W5878">
        <v>4.5295780000000001E-2</v>
      </c>
      <c r="X5878">
        <v>0.9978612</v>
      </c>
      <c r="Y5878">
        <v>0.137989</v>
      </c>
      <c r="Z5878">
        <v>-5.8753369999999996E-3</v>
      </c>
      <c r="AA5878">
        <v>0.99041630000000003</v>
      </c>
      <c r="AB5878">
        <v>33</v>
      </c>
      <c r="AC5878">
        <v>18.493300000000001</v>
      </c>
      <c r="AD5878">
        <v>-1.1107464234690001</v>
      </c>
      <c r="AE5878">
        <v>-2.2636099999999999</v>
      </c>
      <c r="AF5878">
        <v>2.5897782811749899</v>
      </c>
      <c r="AG5878">
        <v>-1.1107464234690001</v>
      </c>
      <c r="AH5878">
        <v>18.38381628942</v>
      </c>
      <c r="AI5878">
        <v>93.423870944593702</v>
      </c>
      <c r="AJ5878">
        <v>81.981353309482699</v>
      </c>
      <c r="AK5878">
        <v>18.598532483129901</v>
      </c>
      <c r="AL5878">
        <v>87.403854691106702</v>
      </c>
      <c r="AM5878">
        <v>92.704171377219396</v>
      </c>
      <c r="AN5878">
        <v>0.99999999487340496</v>
      </c>
    </row>
    <row r="5879" spans="1:40" x14ac:dyDescent="0.25">
      <c r="A5879" t="str">
        <f>"20190305135942362"</f>
        <v>20190305135942362</v>
      </c>
      <c r="B5879" t="str">
        <f>"1551765582354762"</f>
        <v>1551765582354762</v>
      </c>
      <c r="C5879" t="s">
        <v>40</v>
      </c>
      <c r="D5879">
        <v>4.3378800000000002</v>
      </c>
      <c r="E5879">
        <v>0.56776899999999997</v>
      </c>
      <c r="F5879" t="s">
        <v>82</v>
      </c>
      <c r="G5879">
        <v>-209.5744</v>
      </c>
      <c r="H5879" s="1">
        <v>-1.270948E-6</v>
      </c>
      <c r="I5879">
        <v>-64.616010000000003</v>
      </c>
      <c r="J5879">
        <v>-227.5497</v>
      </c>
      <c r="K5879">
        <v>1.110619</v>
      </c>
      <c r="L5879">
        <v>-62.432679999999998</v>
      </c>
      <c r="M5879">
        <v>0.99973319999999999</v>
      </c>
      <c r="N5879">
        <v>-1.3817380000000001E-2</v>
      </c>
      <c r="O5879">
        <v>1.8512939999999999E-2</v>
      </c>
      <c r="P5879">
        <v>0.99743649999999995</v>
      </c>
      <c r="Q5879">
        <v>3.2002049999999997E-2</v>
      </c>
      <c r="R5879">
        <v>6.4004340000000007E-2</v>
      </c>
      <c r="S5879">
        <v>3.0376280000000002</v>
      </c>
      <c r="T5879">
        <v>-0.18587200000000001</v>
      </c>
      <c r="U5879">
        <v>-0.36474610000000002</v>
      </c>
      <c r="V5879">
        <v>-4.5633430000000003E-2</v>
      </c>
      <c r="W5879">
        <v>4.5688279999999998E-2</v>
      </c>
      <c r="X5879">
        <v>0.99791289999999999</v>
      </c>
      <c r="Y5879">
        <v>0.13725019999999999</v>
      </c>
      <c r="Z5879">
        <v>-6.0063099999999999E-3</v>
      </c>
      <c r="AA5879">
        <v>0.99051820000000002</v>
      </c>
      <c r="AB5879">
        <v>33</v>
      </c>
      <c r="AC5879">
        <v>17.975300000000001</v>
      </c>
      <c r="AD5879">
        <v>-1.110620270948</v>
      </c>
      <c r="AE5879">
        <v>-2.18332999999999</v>
      </c>
      <c r="AF5879">
        <v>2.5063343303775798</v>
      </c>
      <c r="AG5879">
        <v>-1.110620270948</v>
      </c>
      <c r="AH5879">
        <v>17.864588574753601</v>
      </c>
      <c r="AI5879">
        <v>93.523017517152894</v>
      </c>
      <c r="AJ5879">
        <v>82.013744130632304</v>
      </c>
      <c r="AK5879">
        <v>18.073702280027899</v>
      </c>
      <c r="AL5879">
        <v>87.381342784437393</v>
      </c>
      <c r="AM5879">
        <v>92.618247279613996</v>
      </c>
      <c r="AN5879">
        <v>0.99999999242466597</v>
      </c>
    </row>
    <row r="5880" spans="1:40" x14ac:dyDescent="0.25">
      <c r="A5880" t="str">
        <f>"20190305135942372"</f>
        <v>20190305135942372</v>
      </c>
      <c r="B5880" t="str">
        <f>"1551765582364523"</f>
        <v>1551765582364523</v>
      </c>
      <c r="C5880" t="s">
        <v>40</v>
      </c>
      <c r="D5880">
        <v>4.3394430000000002</v>
      </c>
      <c r="E5880">
        <v>0.56725780000000003</v>
      </c>
      <c r="F5880" t="s">
        <v>82</v>
      </c>
      <c r="G5880">
        <v>-209.8168</v>
      </c>
      <c r="H5880" s="1">
        <v>-1.1636589999999999E-6</v>
      </c>
      <c r="I5880">
        <v>-64.560670000000002</v>
      </c>
      <c r="J5880">
        <v>-227.39580000000001</v>
      </c>
      <c r="K5880">
        <v>1.1105130000000001</v>
      </c>
      <c r="L5880">
        <v>-62.429499999999997</v>
      </c>
      <c r="M5880">
        <v>0.99972850000000002</v>
      </c>
      <c r="N5880">
        <v>-1.381371E-2</v>
      </c>
      <c r="O5880">
        <v>1.8762399999999999E-2</v>
      </c>
      <c r="P5880">
        <v>0.99749239999999995</v>
      </c>
      <c r="Q5880">
        <v>3.242979E-2</v>
      </c>
      <c r="R5880">
        <v>6.2905420000000004E-2</v>
      </c>
      <c r="S5880">
        <v>3.037201</v>
      </c>
      <c r="T5880">
        <v>-0.1902211</v>
      </c>
      <c r="U5880">
        <v>-0.3644714</v>
      </c>
      <c r="V5880">
        <v>-4.4273020000000003E-2</v>
      </c>
      <c r="W5880">
        <v>4.6127929999999998E-2</v>
      </c>
      <c r="X5880">
        <v>0.99795400000000001</v>
      </c>
      <c r="Y5880">
        <v>0.13741020000000001</v>
      </c>
      <c r="Z5880">
        <v>-6.1491569999999997E-3</v>
      </c>
      <c r="AA5880">
        <v>0.99049509999999996</v>
      </c>
      <c r="AB5880">
        <v>33</v>
      </c>
      <c r="AC5880">
        <v>17.579000000000001</v>
      </c>
      <c r="AD5880">
        <v>-1.1105141636589999</v>
      </c>
      <c r="AE5880">
        <v>-2.13117</v>
      </c>
      <c r="AF5880">
        <v>2.45101068670686</v>
      </c>
      <c r="AG5880">
        <v>-1.1105141636589999</v>
      </c>
      <c r="AH5880">
        <v>17.467216859870799</v>
      </c>
      <c r="AI5880">
        <v>93.602600502916303</v>
      </c>
      <c r="AJ5880">
        <v>82.012373401550306</v>
      </c>
      <c r="AK5880">
        <v>17.673266815271901</v>
      </c>
      <c r="AL5880">
        <v>87.356126223549794</v>
      </c>
      <c r="AM5880">
        <v>92.540192217688599</v>
      </c>
      <c r="AN5880">
        <v>1.000000036171</v>
      </c>
    </row>
    <row r="5881" spans="1:40" x14ac:dyDescent="0.25">
      <c r="A5881" t="str">
        <f>"20190305135942384"</f>
        <v>20190305135942384</v>
      </c>
      <c r="B5881" t="str">
        <f>"1551765582375259"</f>
        <v>1551765582375259</v>
      </c>
      <c r="C5881" t="s">
        <v>40</v>
      </c>
      <c r="D5881">
        <v>4.3268579999999996</v>
      </c>
      <c r="E5881">
        <v>0.56683169999999905</v>
      </c>
      <c r="F5881" t="s">
        <v>95</v>
      </c>
      <c r="G5881">
        <v>-210.2124</v>
      </c>
      <c r="H5881" s="1">
        <v>-1.5246870000000001E-7</v>
      </c>
      <c r="I5881">
        <v>-64.488959999999906</v>
      </c>
      <c r="J5881">
        <v>-227.23349999999999</v>
      </c>
      <c r="K5881">
        <v>1.110406</v>
      </c>
      <c r="L5881">
        <v>-62.42615</v>
      </c>
      <c r="M5881">
        <v>0.99972470000000002</v>
      </c>
      <c r="N5881">
        <v>-1.3810009999999999E-2</v>
      </c>
      <c r="O5881">
        <v>1.8972510000000001E-2</v>
      </c>
      <c r="P5881">
        <v>0.99755159999999998</v>
      </c>
      <c r="Q5881">
        <v>3.2861899999999999E-2</v>
      </c>
      <c r="R5881">
        <v>6.1736230000000003E-2</v>
      </c>
      <c r="S5881">
        <v>3.0368650000000001</v>
      </c>
      <c r="T5881">
        <v>-0.19626379999999999</v>
      </c>
      <c r="U5881">
        <v>-0.36398320000000001</v>
      </c>
      <c r="V5881">
        <v>-4.2881620000000002E-2</v>
      </c>
      <c r="W5881">
        <v>4.6571399999999999E-2</v>
      </c>
      <c r="X5881">
        <v>0.9979941</v>
      </c>
      <c r="Y5881">
        <v>0.13745299999999999</v>
      </c>
      <c r="Z5881">
        <v>-6.3349080000000002E-3</v>
      </c>
      <c r="AA5881">
        <v>0.99048809999999998</v>
      </c>
      <c r="AB5881">
        <v>33</v>
      </c>
      <c r="AC5881">
        <v>17.021099999999901</v>
      </c>
      <c r="AD5881">
        <v>-1.1104061524686999</v>
      </c>
      <c r="AE5881">
        <v>-2.06280999999999</v>
      </c>
      <c r="AF5881">
        <v>2.3754391702620699</v>
      </c>
      <c r="AG5881">
        <v>-1.1104061524686999</v>
      </c>
      <c r="AH5881">
        <v>16.907978699981999</v>
      </c>
      <c r="AI5881">
        <v>93.720979850063003</v>
      </c>
      <c r="AJ5881">
        <v>82.002732458100397</v>
      </c>
      <c r="AK5881">
        <v>17.110098094227901</v>
      </c>
      <c r="AL5881">
        <v>87.330689767566895</v>
      </c>
      <c r="AM5881">
        <v>92.460360729961394</v>
      </c>
      <c r="AN5881">
        <v>0.99999997613329605</v>
      </c>
    </row>
    <row r="5882" spans="1:40" x14ac:dyDescent="0.25">
      <c r="A5882" t="str">
        <f>"20190305135942394"</f>
        <v>20190305135942394</v>
      </c>
      <c r="B5882" t="str">
        <f>"1551765582385018"</f>
        <v>1551765582385018</v>
      </c>
      <c r="C5882" t="s">
        <v>40</v>
      </c>
      <c r="D5882">
        <v>4.3459079999999997</v>
      </c>
      <c r="E5882">
        <v>0.56677789999999995</v>
      </c>
      <c r="F5882" t="s">
        <v>95</v>
      </c>
      <c r="G5882">
        <v>-210.39750000000001</v>
      </c>
      <c r="H5882" s="1">
        <v>-2.203989E-7</v>
      </c>
      <c r="I5882">
        <v>-64.445880000000002</v>
      </c>
      <c r="J5882">
        <v>-227.07740000000001</v>
      </c>
      <c r="K5882">
        <v>1.1103050000000001</v>
      </c>
      <c r="L5882">
        <v>-62.4229699999999</v>
      </c>
      <c r="M5882">
        <v>0.99972169999999905</v>
      </c>
      <c r="N5882">
        <v>-1.3806580000000001E-2</v>
      </c>
      <c r="O5882">
        <v>1.9132329999999999E-2</v>
      </c>
      <c r="P5882">
        <v>0.9975946</v>
      </c>
      <c r="Q5882">
        <v>3.3532060000000002E-2</v>
      </c>
      <c r="R5882">
        <v>6.0671719999999998E-2</v>
      </c>
      <c r="S5882">
        <v>3.0365449999999998</v>
      </c>
      <c r="T5882">
        <v>-0.20027220000000001</v>
      </c>
      <c r="U5882">
        <v>-0.36428830000000001</v>
      </c>
      <c r="V5882">
        <v>-4.164582E-2</v>
      </c>
      <c r="W5882">
        <v>4.7251099999999997E-2</v>
      </c>
      <c r="X5882">
        <v>0.99801450000000003</v>
      </c>
      <c r="Y5882">
        <v>0.13770669999999999</v>
      </c>
      <c r="Z5882">
        <v>-6.4687399999999997E-3</v>
      </c>
      <c r="AA5882">
        <v>0.99045190000000005</v>
      </c>
      <c r="AB5882">
        <v>33</v>
      </c>
      <c r="AC5882">
        <v>16.6799</v>
      </c>
      <c r="AD5882">
        <v>-1.1103052203988999</v>
      </c>
      <c r="AE5882">
        <v>-2.0229100000000102</v>
      </c>
      <c r="AF5882">
        <v>2.3315143050845601</v>
      </c>
      <c r="AG5882">
        <v>-1.1103052203988999</v>
      </c>
      <c r="AH5882">
        <v>16.5658012384777</v>
      </c>
      <c r="AI5882">
        <v>93.797141566422894</v>
      </c>
      <c r="AJ5882">
        <v>81.988662681526407</v>
      </c>
      <c r="AK5882">
        <v>16.765873293986498</v>
      </c>
      <c r="AL5882">
        <v>87.291702944022703</v>
      </c>
      <c r="AM5882">
        <v>92.389490523996599</v>
      </c>
      <c r="AN5882">
        <v>0.99999999149246599</v>
      </c>
    </row>
    <row r="5883" spans="1:40" x14ac:dyDescent="0.25">
      <c r="A5883" t="str">
        <f>"20190305135942406"</f>
        <v>20190305135942406</v>
      </c>
      <c r="B5883" t="str">
        <f>"1551765582394780"</f>
        <v>1551765582394780</v>
      </c>
      <c r="C5883" t="s">
        <v>40</v>
      </c>
      <c r="D5883">
        <v>4.3070409999999999</v>
      </c>
      <c r="E5883">
        <v>0.56666450000000002</v>
      </c>
      <c r="F5883" t="s">
        <v>82</v>
      </c>
      <c r="G5883">
        <v>-209.7466</v>
      </c>
      <c r="H5883" s="1">
        <v>-1.1785710000000001E-6</v>
      </c>
      <c r="I5883">
        <v>-64.516019999999997</v>
      </c>
      <c r="J5883">
        <v>-226.9111</v>
      </c>
      <c r="K5883">
        <v>1.1102050000000001</v>
      </c>
      <c r="L5883">
        <v>-62.419589999999999</v>
      </c>
      <c r="M5883">
        <v>0.99971969999999999</v>
      </c>
      <c r="N5883">
        <v>-1.3803050000000001E-2</v>
      </c>
      <c r="O5883">
        <v>1.923656E-2</v>
      </c>
      <c r="P5883">
        <v>0.99763060000000003</v>
      </c>
      <c r="Q5883">
        <v>3.3994719999999999E-2</v>
      </c>
      <c r="R5883">
        <v>5.9813789999999999E-2</v>
      </c>
      <c r="S5883">
        <v>3.0360719999999999</v>
      </c>
      <c r="T5883">
        <v>-0.1945083</v>
      </c>
      <c r="U5883">
        <v>-0.36666870000000001</v>
      </c>
      <c r="V5883">
        <v>-4.0672170000000001E-2</v>
      </c>
      <c r="W5883">
        <v>4.7722149999999998E-2</v>
      </c>
      <c r="X5883">
        <v>0.99803229999999998</v>
      </c>
      <c r="Y5883">
        <v>0.1386116</v>
      </c>
      <c r="Z5883">
        <v>-6.343591E-3</v>
      </c>
      <c r="AA5883">
        <v>0.9903265</v>
      </c>
      <c r="AB5883">
        <v>33</v>
      </c>
      <c r="AC5883">
        <v>17.1645</v>
      </c>
      <c r="AD5883">
        <v>-1.11020617857099</v>
      </c>
      <c r="AE5883">
        <v>-2.09642999999999</v>
      </c>
      <c r="AF5883">
        <v>2.4162992603181199</v>
      </c>
      <c r="AG5883">
        <v>-1.11020617857099</v>
      </c>
      <c r="AH5883">
        <v>17.050707318075698</v>
      </c>
      <c r="AI5883">
        <v>93.688634784181701</v>
      </c>
      <c r="AJ5883">
        <v>81.934176497590599</v>
      </c>
      <c r="AK5883">
        <v>17.2568154629129</v>
      </c>
      <c r="AL5883">
        <v>87.264683446348798</v>
      </c>
      <c r="AM5883">
        <v>92.333646842386102</v>
      </c>
      <c r="AN5883">
        <v>1.0000000504282001</v>
      </c>
    </row>
    <row r="5884" spans="1:40" x14ac:dyDescent="0.25">
      <c r="A5884" t="str">
        <f>"20190305135942417"</f>
        <v>20190305135942417</v>
      </c>
      <c r="B5884" t="str">
        <f>"1551765582404538"</f>
        <v>1551765582404538</v>
      </c>
      <c r="C5884" t="s">
        <v>40</v>
      </c>
      <c r="D5884">
        <v>4.3328769999999999</v>
      </c>
      <c r="E5884">
        <v>0.56654469999999901</v>
      </c>
      <c r="F5884" t="s">
        <v>82</v>
      </c>
      <c r="G5884">
        <v>-209.0745</v>
      </c>
      <c r="H5884" s="1">
        <v>-1.4530670000000001E-6</v>
      </c>
      <c r="I5884">
        <v>-64.582819999999998</v>
      </c>
      <c r="J5884">
        <v>-226.7542</v>
      </c>
      <c r="K5884">
        <v>1.110115</v>
      </c>
      <c r="L5884">
        <v>-62.416409999999999</v>
      </c>
      <c r="M5884">
        <v>0.99971829999999995</v>
      </c>
      <c r="N5884">
        <v>-1.3799759999999999E-2</v>
      </c>
      <c r="O5884">
        <v>1.9309900000000001E-2</v>
      </c>
      <c r="P5884">
        <v>0.99765910000000002</v>
      </c>
      <c r="Q5884">
        <v>3.4164470000000002E-2</v>
      </c>
      <c r="R5884">
        <v>5.9238289999999999E-2</v>
      </c>
      <c r="S5884">
        <v>3.0356450000000001</v>
      </c>
      <c r="T5884">
        <v>-0.18894830000000001</v>
      </c>
      <c r="U5884">
        <v>-0.36816409999999999</v>
      </c>
      <c r="V5884">
        <v>-4.0011749999999999E-2</v>
      </c>
      <c r="W5884">
        <v>4.7899339999999999E-2</v>
      </c>
      <c r="X5884">
        <v>0.99805049999999995</v>
      </c>
      <c r="Y5884">
        <v>0.1391993</v>
      </c>
      <c r="Z5884">
        <v>-6.2087210000000004E-3</v>
      </c>
      <c r="AA5884">
        <v>0.99024489999999998</v>
      </c>
      <c r="AB5884">
        <v>33</v>
      </c>
      <c r="AC5884">
        <v>17.679699999999901</v>
      </c>
      <c r="AD5884">
        <v>-1.110116453067</v>
      </c>
      <c r="AE5884">
        <v>-2.1664099999999902</v>
      </c>
      <c r="AF5884">
        <v>2.49772976494791</v>
      </c>
      <c r="AG5884">
        <v>-1.110116453067</v>
      </c>
      <c r="AH5884">
        <v>17.566332568907001</v>
      </c>
      <c r="AI5884">
        <v>93.580122969157799</v>
      </c>
      <c r="AJ5884">
        <v>81.907447641927604</v>
      </c>
      <c r="AK5884">
        <v>17.777712238629601</v>
      </c>
      <c r="AL5884">
        <v>87.254519566007602</v>
      </c>
      <c r="AM5884">
        <v>92.295752987962601</v>
      </c>
      <c r="AN5884">
        <v>1.00000004373037</v>
      </c>
    </row>
    <row r="5885" spans="1:40" x14ac:dyDescent="0.25">
      <c r="A5885" t="str">
        <f>"20190305135942427"</f>
        <v>20190305135942427</v>
      </c>
      <c r="B5885" t="str">
        <f>"1551765582425035"</f>
        <v>1551765582425035</v>
      </c>
      <c r="C5885" t="s">
        <v>40</v>
      </c>
      <c r="D5885">
        <v>4.3439969999999999</v>
      </c>
      <c r="E5885">
        <v>0.56630100000000005</v>
      </c>
      <c r="F5885" t="s">
        <v>82</v>
      </c>
      <c r="G5885">
        <v>-208.50129999999999</v>
      </c>
      <c r="H5885" s="1">
        <v>-1.685377E-6</v>
      </c>
      <c r="I5885">
        <v>-64.633020000000002</v>
      </c>
      <c r="J5885">
        <v>-226.5951</v>
      </c>
      <c r="K5885">
        <v>1.1100270000000001</v>
      </c>
      <c r="L5885">
        <v>-62.413269999999997</v>
      </c>
      <c r="M5885">
        <v>0.99971849999999995</v>
      </c>
      <c r="N5885">
        <v>-1.3796589999999999E-2</v>
      </c>
      <c r="O5885">
        <v>1.9306319999999998E-2</v>
      </c>
      <c r="P5885">
        <v>0.99766690000000002</v>
      </c>
      <c r="Q5885">
        <v>3.4634070000000003E-2</v>
      </c>
      <c r="R5885">
        <v>5.8835100000000001E-2</v>
      </c>
      <c r="S5885">
        <v>3.0352329999999998</v>
      </c>
      <c r="T5885">
        <v>-0.18459800000000001</v>
      </c>
      <c r="U5885">
        <v>-0.36859130000000001</v>
      </c>
      <c r="V5885">
        <v>-3.9602030000000003E-2</v>
      </c>
      <c r="W5885">
        <v>4.8375139999999997E-2</v>
      </c>
      <c r="X5885">
        <v>0.99804380000000004</v>
      </c>
      <c r="Y5885">
        <v>0.1393635</v>
      </c>
      <c r="Z5885">
        <v>-6.0885339999999996E-3</v>
      </c>
      <c r="AA5885">
        <v>0.99022259999999995</v>
      </c>
      <c r="AB5885">
        <v>33</v>
      </c>
      <c r="AC5885">
        <v>18.093800000000002</v>
      </c>
      <c r="AD5885">
        <v>-1.1100286853770001</v>
      </c>
      <c r="AE5885">
        <v>-2.2197499999999999</v>
      </c>
      <c r="AF5885">
        <v>2.5592049829178301</v>
      </c>
      <c r="AG5885">
        <v>-1.1100286853770001</v>
      </c>
      <c r="AH5885">
        <v>17.980897351105</v>
      </c>
      <c r="AI5885">
        <v>93.497443274517494</v>
      </c>
      <c r="AJ5885">
        <v>81.899549226940294</v>
      </c>
      <c r="AK5885">
        <v>18.1959985540208</v>
      </c>
      <c r="AL5885">
        <v>87.227226337377601</v>
      </c>
      <c r="AM5885">
        <v>92.272284502767803</v>
      </c>
      <c r="AN5885">
        <v>0.99999995083428905</v>
      </c>
    </row>
    <row r="5886" spans="1:40" x14ac:dyDescent="0.25">
      <c r="A5886" t="str">
        <f>"20190305135942439"</f>
        <v>20190305135942439</v>
      </c>
      <c r="B5886" t="str">
        <f>"1551765582434812"</f>
        <v>1551765582434812</v>
      </c>
      <c r="C5886" t="s">
        <v>40</v>
      </c>
      <c r="D5886">
        <v>4.3335379999999999</v>
      </c>
      <c r="E5886">
        <v>0.56635839999999904</v>
      </c>
      <c r="F5886" t="s">
        <v>82</v>
      </c>
      <c r="G5886">
        <v>-208.28559999999999</v>
      </c>
      <c r="H5886" s="1">
        <v>-1.767721E-6</v>
      </c>
      <c r="I5886">
        <v>-64.632959999999997</v>
      </c>
      <c r="J5886">
        <v>-226.42769999999999</v>
      </c>
      <c r="K5886">
        <v>1.109936</v>
      </c>
      <c r="L5886">
        <v>-62.409939999999999</v>
      </c>
      <c r="M5886">
        <v>0.99971900000000002</v>
      </c>
      <c r="N5886">
        <v>-1.37933E-2</v>
      </c>
      <c r="O5886">
        <v>1.9283769999999999E-2</v>
      </c>
      <c r="P5886">
        <v>0.99764079999999999</v>
      </c>
      <c r="Q5886">
        <v>3.4967209999999999E-2</v>
      </c>
      <c r="R5886">
        <v>5.9077650000000002E-2</v>
      </c>
      <c r="S5886">
        <v>3.03511</v>
      </c>
      <c r="T5886">
        <v>-0.18400610000000001</v>
      </c>
      <c r="U5886">
        <v>-0.36795040000000001</v>
      </c>
      <c r="V5886">
        <v>-3.9855990000000001E-2</v>
      </c>
      <c r="W5886">
        <v>4.8713779999999998E-2</v>
      </c>
      <c r="X5886">
        <v>0.9980173</v>
      </c>
      <c r="Y5886">
        <v>0.1391424</v>
      </c>
      <c r="Z5886">
        <v>-6.0621249999999998E-3</v>
      </c>
      <c r="AA5886">
        <v>0.99025379999999996</v>
      </c>
      <c r="AB5886">
        <v>33</v>
      </c>
      <c r="AC5886">
        <v>18.142099999999999</v>
      </c>
      <c r="AD5886">
        <v>-1.1099377677210001</v>
      </c>
      <c r="AE5886">
        <v>-2.2230199999999898</v>
      </c>
      <c r="AF5886">
        <v>2.5630363016789599</v>
      </c>
      <c r="AG5886">
        <v>-1.1099377677210001</v>
      </c>
      <c r="AH5886">
        <v>18.029367542526199</v>
      </c>
      <c r="AI5886">
        <v>93.487861527505601</v>
      </c>
      <c r="AJ5886">
        <v>81.909103838634906</v>
      </c>
      <c r="AK5886">
        <v>18.244429585915601</v>
      </c>
      <c r="AL5886">
        <v>87.207801017247903</v>
      </c>
      <c r="AM5886">
        <v>92.286901450476407</v>
      </c>
      <c r="AN5886">
        <v>1.0000000317000199</v>
      </c>
    </row>
    <row r="5887" spans="1:40" x14ac:dyDescent="0.25">
      <c r="A5887" t="str">
        <f>"20190305135942451"</f>
        <v>20190305135942451</v>
      </c>
      <c r="B5887" t="str">
        <f>"1551765582444554"</f>
        <v>1551765582444554</v>
      </c>
      <c r="C5887" t="s">
        <v>40</v>
      </c>
      <c r="D5887">
        <v>4.3746530000000003</v>
      </c>
      <c r="E5887">
        <v>0.56613769999999997</v>
      </c>
      <c r="F5887" t="s">
        <v>82</v>
      </c>
      <c r="G5887">
        <v>-207.72810000000001</v>
      </c>
      <c r="H5887" s="1">
        <v>-2.0129779999999999E-6</v>
      </c>
      <c r="I5887">
        <v>-64.673869999999994</v>
      </c>
      <c r="J5887">
        <v>-226.251</v>
      </c>
      <c r="K5887">
        <v>1.1098460000000001</v>
      </c>
      <c r="L5887">
        <v>-62.406519999999901</v>
      </c>
      <c r="M5887">
        <v>0.99972110000000003</v>
      </c>
      <c r="N5887">
        <v>-1.37901E-2</v>
      </c>
      <c r="O5887">
        <v>1.9177369999999999E-2</v>
      </c>
      <c r="P5887">
        <v>0.99764280000000005</v>
      </c>
      <c r="Q5887">
        <v>3.5355299999999999E-2</v>
      </c>
      <c r="R5887">
        <v>5.8814350000000001E-2</v>
      </c>
      <c r="S5887">
        <v>3.0351720000000002</v>
      </c>
      <c r="T5887">
        <v>-0.1801565</v>
      </c>
      <c r="U5887">
        <v>-0.36746220000000002</v>
      </c>
      <c r="V5887">
        <v>-3.9687710000000001E-2</v>
      </c>
      <c r="W5887">
        <v>4.910813E-2</v>
      </c>
      <c r="X5887">
        <v>0.99800469999999997</v>
      </c>
      <c r="Y5887">
        <v>0.13889099999999999</v>
      </c>
      <c r="Z5887">
        <v>-5.9358509999999998E-3</v>
      </c>
      <c r="AA5887">
        <v>0.99028989999999995</v>
      </c>
      <c r="AB5887">
        <v>33</v>
      </c>
      <c r="AC5887">
        <v>18.5228999999999</v>
      </c>
      <c r="AD5887">
        <v>-1.109848012978</v>
      </c>
      <c r="AE5887">
        <v>-2.26735</v>
      </c>
      <c r="AF5887">
        <v>2.6129448941309898</v>
      </c>
      <c r="AG5887">
        <v>-1.109848012978</v>
      </c>
      <c r="AH5887">
        <v>18.410885462114202</v>
      </c>
      <c r="AI5887">
        <v>93.415593522095506</v>
      </c>
      <c r="AJ5887">
        <v>81.922305245851007</v>
      </c>
      <c r="AK5887">
        <v>18.628471411545402</v>
      </c>
      <c r="AL5887">
        <v>87.185179409426695</v>
      </c>
      <c r="AM5887">
        <v>92.2772846006457</v>
      </c>
      <c r="AN5887">
        <v>1.00000005198961</v>
      </c>
    </row>
    <row r="5888" spans="1:40" x14ac:dyDescent="0.25">
      <c r="A5888" t="str">
        <f>"20190305135942463"</f>
        <v>20190305135942463</v>
      </c>
      <c r="B5888" t="str">
        <f>"1551765582454314"</f>
        <v>1551765582454314</v>
      </c>
      <c r="C5888" t="s">
        <v>40</v>
      </c>
      <c r="D5888">
        <v>4.3514900000000001</v>
      </c>
      <c r="E5888">
        <v>0.56591130000000001</v>
      </c>
      <c r="F5888" t="s">
        <v>82</v>
      </c>
      <c r="G5888">
        <v>-207.91679999999999</v>
      </c>
      <c r="H5888" s="1">
        <v>-1.9056729999999999E-6</v>
      </c>
      <c r="I5888">
        <v>-64.621949999999998</v>
      </c>
      <c r="J5888">
        <v>-226.0856</v>
      </c>
      <c r="K5888">
        <v>1.1097629999999901</v>
      </c>
      <c r="L5888">
        <v>-62.403410000000001</v>
      </c>
      <c r="M5888">
        <v>0.99972360000000005</v>
      </c>
      <c r="N5888">
        <v>-1.3787239999999999E-2</v>
      </c>
      <c r="O5888">
        <v>1.9048550000000001E-2</v>
      </c>
      <c r="P5888">
        <v>0.99761029999999995</v>
      </c>
      <c r="Q5888">
        <v>3.57769E-2</v>
      </c>
      <c r="R5888">
        <v>5.910837E-2</v>
      </c>
      <c r="S5888">
        <v>3.035202</v>
      </c>
      <c r="T5888">
        <v>-0.18373410000000001</v>
      </c>
      <c r="U5888">
        <v>-0.36676029999999998</v>
      </c>
      <c r="V5888">
        <v>-4.0100400000000001E-2</v>
      </c>
      <c r="W5888">
        <v>4.9534849999999998E-2</v>
      </c>
      <c r="X5888">
        <v>0.9979671</v>
      </c>
      <c r="Y5888">
        <v>0.1385257</v>
      </c>
      <c r="Z5888">
        <v>-6.0200280000000002E-3</v>
      </c>
      <c r="AA5888">
        <v>0.99034049999999996</v>
      </c>
      <c r="AB5888">
        <v>33</v>
      </c>
      <c r="AC5888">
        <v>18.168800000000001</v>
      </c>
      <c r="AD5888">
        <v>-1.1097649056729999</v>
      </c>
      <c r="AE5888">
        <v>-2.2185399999999902</v>
      </c>
      <c r="AF5888">
        <v>2.5548677166254601</v>
      </c>
      <c r="AG5888">
        <v>-1.1097649056729999</v>
      </c>
      <c r="AH5888">
        <v>18.056860845877502</v>
      </c>
      <c r="AI5888">
        <v>93.482345961974204</v>
      </c>
      <c r="AJ5888">
        <v>81.946669479974403</v>
      </c>
      <c r="AK5888">
        <v>18.270444734672001</v>
      </c>
      <c r="AL5888">
        <v>87.160700323799503</v>
      </c>
      <c r="AM5888">
        <v>92.301026069661106</v>
      </c>
      <c r="AN5888">
        <v>1.0000000380635401</v>
      </c>
    </row>
    <row r="5889" spans="1:40" x14ac:dyDescent="0.25">
      <c r="A5889" t="str">
        <f>"20190305135942472"</f>
        <v>20190305135942472</v>
      </c>
      <c r="B5889" t="str">
        <f>"1551765582465050"</f>
        <v>1551765582465050</v>
      </c>
      <c r="C5889" t="s">
        <v>40</v>
      </c>
      <c r="D5889">
        <v>4.3766470000000002</v>
      </c>
      <c r="E5889">
        <v>0.56569780000000003</v>
      </c>
      <c r="F5889" t="s">
        <v>82</v>
      </c>
      <c r="G5889">
        <v>-208.0395</v>
      </c>
      <c r="H5889" s="1">
        <v>-1.8447089999999999E-6</v>
      </c>
      <c r="I5889">
        <v>-64.568969999999993</v>
      </c>
      <c r="J5889">
        <v>-225.93620000000001</v>
      </c>
      <c r="K5889">
        <v>1.1096919999999999</v>
      </c>
      <c r="L5889">
        <v>-62.40063</v>
      </c>
      <c r="M5889">
        <v>0.99972649999999996</v>
      </c>
      <c r="N5889">
        <v>-1.378484E-2</v>
      </c>
      <c r="O5889">
        <v>1.8893989999999999E-2</v>
      </c>
      <c r="P5889">
        <v>0.99758400000000003</v>
      </c>
      <c r="Q5889">
        <v>3.6838490000000002E-2</v>
      </c>
      <c r="R5889">
        <v>5.8898300000000001E-2</v>
      </c>
      <c r="S5889">
        <v>3.0354459999999999</v>
      </c>
      <c r="T5889">
        <v>-0.18666820000000001</v>
      </c>
      <c r="U5889">
        <v>-0.36425780000000002</v>
      </c>
      <c r="V5889">
        <v>-4.003545E-2</v>
      </c>
      <c r="W5889">
        <v>5.060067E-2</v>
      </c>
      <c r="X5889">
        <v>0.99791620000000003</v>
      </c>
      <c r="Y5889">
        <v>0.137550799999999</v>
      </c>
      <c r="Z5889">
        <v>-6.0606100000000001E-3</v>
      </c>
      <c r="AA5889">
        <v>0.99047620000000003</v>
      </c>
      <c r="AB5889">
        <v>33</v>
      </c>
      <c r="AC5889">
        <v>17.896699999999999</v>
      </c>
      <c r="AD5889">
        <v>-1.1096938447089999</v>
      </c>
      <c r="AE5889">
        <v>-2.1683399999999802</v>
      </c>
      <c r="AF5889">
        <v>2.4966650348866799</v>
      </c>
      <c r="AG5889">
        <v>-1.1096938447089999</v>
      </c>
      <c r="AH5889">
        <v>17.785143223706001</v>
      </c>
      <c r="AI5889">
        <v>93.535730127198903</v>
      </c>
      <c r="AJ5889">
        <v>82.009079102722893</v>
      </c>
      <c r="AK5889">
        <v>17.9937788197239</v>
      </c>
      <c r="AL5889">
        <v>87.099556550590904</v>
      </c>
      <c r="AM5889">
        <v>92.297420180892303</v>
      </c>
      <c r="AN5889">
        <v>1.00000000364179</v>
      </c>
    </row>
    <row r="5890" spans="1:40" x14ac:dyDescent="0.25">
      <c r="A5890" t="str">
        <f>"20190305135942483"</f>
        <v>20190305135942483</v>
      </c>
      <c r="B5890" t="str">
        <f>"1551765582474810"</f>
        <v>1551765582474810</v>
      </c>
      <c r="C5890" t="s">
        <v>40</v>
      </c>
      <c r="D5890">
        <v>4.3765369999999999</v>
      </c>
      <c r="E5890">
        <v>0.56550219999999995</v>
      </c>
      <c r="F5890" t="s">
        <v>82</v>
      </c>
      <c r="G5890">
        <v>-208.0917</v>
      </c>
      <c r="H5890" s="1">
        <v>-1.815898E-6</v>
      </c>
      <c r="I5890">
        <v>-64.535579999999996</v>
      </c>
      <c r="J5890">
        <v>-225.77799999999999</v>
      </c>
      <c r="K5890">
        <v>1.109626</v>
      </c>
      <c r="L5890">
        <v>-62.397770000000001</v>
      </c>
      <c r="M5890">
        <v>0.99973020000000001</v>
      </c>
      <c r="N5890">
        <v>-1.378239E-2</v>
      </c>
      <c r="O5890">
        <v>1.87003E-2</v>
      </c>
      <c r="P5890">
        <v>0.99756710000000004</v>
      </c>
      <c r="Q5890">
        <v>3.7602330000000003E-2</v>
      </c>
      <c r="R5890">
        <v>5.8702949999999997E-2</v>
      </c>
      <c r="S5890">
        <v>3.03566</v>
      </c>
      <c r="T5890">
        <v>-0.1887779</v>
      </c>
      <c r="U5890">
        <v>-0.3631897</v>
      </c>
      <c r="V5890">
        <v>-4.0024360000000002E-2</v>
      </c>
      <c r="W5890">
        <v>5.1369289999999998E-2</v>
      </c>
      <c r="X5890">
        <v>0.99787740000000003</v>
      </c>
      <c r="Y5890">
        <v>0.1370015</v>
      </c>
      <c r="Z5890">
        <v>-6.0906240000000002E-3</v>
      </c>
      <c r="AA5890">
        <v>0.99055210000000005</v>
      </c>
      <c r="AB5890">
        <v>33</v>
      </c>
      <c r="AC5890">
        <v>17.6862999999999</v>
      </c>
      <c r="AD5890">
        <v>-1.109627815898</v>
      </c>
      <c r="AE5890">
        <v>-2.1378100000000102</v>
      </c>
      <c r="AF5890">
        <v>2.4586680849470199</v>
      </c>
      <c r="AG5890">
        <v>-1.109627815898</v>
      </c>
      <c r="AH5890">
        <v>17.575041944504399</v>
      </c>
      <c r="AI5890">
        <v>93.577913899649303</v>
      </c>
      <c r="AJ5890">
        <v>82.036265823848595</v>
      </c>
      <c r="AK5890">
        <v>17.780844242972201</v>
      </c>
      <c r="AL5890">
        <v>87.055460593076901</v>
      </c>
      <c r="AM5890">
        <v>92.296873675937704</v>
      </c>
      <c r="AN5890">
        <v>1.0000000293896301</v>
      </c>
    </row>
    <row r="5891" spans="1:40" x14ac:dyDescent="0.25">
      <c r="A5891" t="str">
        <f>"20190305135942494"</f>
        <v>20190305135942494</v>
      </c>
      <c r="B5891" t="str">
        <f>"1551765582484571"</f>
        <v>1551765582484571</v>
      </c>
      <c r="C5891" t="s">
        <v>40</v>
      </c>
      <c r="D5891">
        <v>4.3671660000000001</v>
      </c>
      <c r="E5891">
        <v>0.56524240000000003</v>
      </c>
      <c r="F5891" t="s">
        <v>82</v>
      </c>
      <c r="G5891">
        <v>-208.0951</v>
      </c>
      <c r="H5891" s="1">
        <v>-1.8069330000000001E-6</v>
      </c>
      <c r="I5891">
        <v>-64.506839999999997</v>
      </c>
      <c r="J5891">
        <v>-225.62039999999999</v>
      </c>
      <c r="K5891">
        <v>1.109558</v>
      </c>
      <c r="L5891">
        <v>-62.394959999999998</v>
      </c>
      <c r="M5891">
        <v>0.99973440000000002</v>
      </c>
      <c r="N5891">
        <v>-1.3780010000000001E-2</v>
      </c>
      <c r="O5891">
        <v>1.8480980000000001E-2</v>
      </c>
      <c r="P5891">
        <v>0.99755150000000004</v>
      </c>
      <c r="Q5891">
        <v>3.8204219999999997E-2</v>
      </c>
      <c r="R5891">
        <v>5.8580130000000001E-2</v>
      </c>
      <c r="S5891">
        <v>3.035828</v>
      </c>
      <c r="T5891">
        <v>-0.19050300000000001</v>
      </c>
      <c r="U5891">
        <v>-0.3620911</v>
      </c>
      <c r="V5891">
        <v>-4.011207E-2</v>
      </c>
      <c r="W5891">
        <v>5.1975970000000003E-2</v>
      </c>
      <c r="X5891">
        <v>0.99784240000000002</v>
      </c>
      <c r="Y5891">
        <v>0.13642019999999999</v>
      </c>
      <c r="Z5891">
        <v>-6.106673E-3</v>
      </c>
      <c r="AA5891">
        <v>0.99063219999999996</v>
      </c>
      <c r="AB5891">
        <v>33</v>
      </c>
      <c r="AC5891">
        <v>17.525299999999898</v>
      </c>
      <c r="AD5891">
        <v>-1.1095598069329999</v>
      </c>
      <c r="AE5891">
        <v>-2.11187999999999</v>
      </c>
      <c r="AF5891">
        <v>2.42585008865088</v>
      </c>
      <c r="AG5891">
        <v>-1.1095598069329999</v>
      </c>
      <c r="AH5891">
        <v>17.414468086117999</v>
      </c>
      <c r="AI5891">
        <v>93.610890417981494</v>
      </c>
      <c r="AJ5891">
        <v>82.069682046208598</v>
      </c>
      <c r="AK5891">
        <v>17.617592637480001</v>
      </c>
      <c r="AL5891">
        <v>87.020653706210993</v>
      </c>
      <c r="AM5891">
        <v>92.301982325659694</v>
      </c>
      <c r="AN5891">
        <v>0.99999996742744202</v>
      </c>
    </row>
    <row r="5892" spans="1:40" x14ac:dyDescent="0.25">
      <c r="A5892" t="str">
        <f>"20190305135942506"</f>
        <v>20190305135942506</v>
      </c>
      <c r="B5892" t="str">
        <f>"1551765582495307"</f>
        <v>1551765582495307</v>
      </c>
      <c r="C5892" t="s">
        <v>40</v>
      </c>
      <c r="D5892">
        <v>4.4026620000000003</v>
      </c>
      <c r="E5892">
        <v>0.56508800000000003</v>
      </c>
      <c r="F5892" t="s">
        <v>82</v>
      </c>
      <c r="G5892">
        <v>-208.16980000000001</v>
      </c>
      <c r="H5892" s="1">
        <v>-1.767345E-6</v>
      </c>
      <c r="I5892">
        <v>-64.465230000000005</v>
      </c>
      <c r="J5892">
        <v>-225.45699999999999</v>
      </c>
      <c r="K5892">
        <v>1.109497</v>
      </c>
      <c r="L5892">
        <v>-62.392090000000003</v>
      </c>
      <c r="M5892">
        <v>0.99973900000000004</v>
      </c>
      <c r="N5892">
        <v>-1.3777630000000001E-2</v>
      </c>
      <c r="O5892">
        <v>1.8225789999999999E-2</v>
      </c>
      <c r="P5892">
        <v>0.99754209999999999</v>
      </c>
      <c r="Q5892">
        <v>3.8472439999999997E-2</v>
      </c>
      <c r="R5892">
        <v>5.856169E-2</v>
      </c>
      <c r="S5892">
        <v>3.0359039999999999</v>
      </c>
      <c r="T5892">
        <v>-0.19303139999999999</v>
      </c>
      <c r="U5892">
        <v>-0.3601685</v>
      </c>
      <c r="V5892">
        <v>-4.0339409999999999E-2</v>
      </c>
      <c r="W5892">
        <v>5.2248349999999999E-2</v>
      </c>
      <c r="X5892">
        <v>0.99781909999999896</v>
      </c>
      <c r="Y5892">
        <v>0.13553959999999901</v>
      </c>
      <c r="Z5892">
        <v>-6.1317200000000002E-3</v>
      </c>
      <c r="AA5892">
        <v>0.99075290000000005</v>
      </c>
      <c r="AB5892">
        <v>33</v>
      </c>
      <c r="AC5892">
        <v>17.287199999999899</v>
      </c>
      <c r="AD5892">
        <v>-1.1094987673450001</v>
      </c>
      <c r="AE5892">
        <v>-2.07314</v>
      </c>
      <c r="AF5892">
        <v>2.3782409839990701</v>
      </c>
      <c r="AG5892">
        <v>-1.1094987673450001</v>
      </c>
      <c r="AH5892">
        <v>17.1767896707475</v>
      </c>
      <c r="AI5892">
        <v>93.660939111111801</v>
      </c>
      <c r="AJ5892">
        <v>82.117134755299006</v>
      </c>
      <c r="AK5892">
        <v>17.376107765716998</v>
      </c>
      <c r="AL5892">
        <v>87.005026516349702</v>
      </c>
      <c r="AM5892">
        <v>92.315068932405097</v>
      </c>
      <c r="AN5892">
        <v>1.0000000572008301</v>
      </c>
    </row>
    <row r="5893" spans="1:40" x14ac:dyDescent="0.25">
      <c r="A5893" t="str">
        <f>"20190305135942516"</f>
        <v>20190305135942516</v>
      </c>
      <c r="B5893" t="str">
        <f>"1551765582514826"</f>
        <v>1551765582514826</v>
      </c>
      <c r="C5893" t="s">
        <v>40</v>
      </c>
      <c r="D5893">
        <v>4.4303489999999996</v>
      </c>
      <c r="E5893">
        <v>0.56482149999999998</v>
      </c>
      <c r="F5893" t="s">
        <v>82</v>
      </c>
      <c r="G5893">
        <v>-208.26929999999999</v>
      </c>
      <c r="H5893" s="1">
        <v>-1.718426E-6</v>
      </c>
      <c r="I5893">
        <v>-64.424199999999999</v>
      </c>
      <c r="J5893">
        <v>-225.2946</v>
      </c>
      <c r="K5893">
        <v>1.1094329999999999</v>
      </c>
      <c r="L5893">
        <v>-62.389310000000002</v>
      </c>
      <c r="M5893">
        <v>0.99974390000000002</v>
      </c>
      <c r="N5893">
        <v>-1.3775290000000001E-2</v>
      </c>
      <c r="O5893">
        <v>1.795973E-2</v>
      </c>
      <c r="P5893">
        <v>0.99752640000000004</v>
      </c>
      <c r="Q5893">
        <v>3.8614000000000002E-2</v>
      </c>
      <c r="R5893">
        <v>5.87378E-2</v>
      </c>
      <c r="S5893">
        <v>3.0360109999999998</v>
      </c>
      <c r="T5893">
        <v>-0.19597980000000001</v>
      </c>
      <c r="U5893">
        <v>-0.35894779999999998</v>
      </c>
      <c r="V5893">
        <v>-4.077302E-2</v>
      </c>
      <c r="W5893">
        <v>5.2393580000000002E-2</v>
      </c>
      <c r="X5893">
        <v>0.99779379999999995</v>
      </c>
      <c r="Y5893">
        <v>0.13487089999999999</v>
      </c>
      <c r="Z5893">
        <v>-6.1749559999999997E-3</v>
      </c>
      <c r="AA5893">
        <v>0.99084399999999995</v>
      </c>
      <c r="AB5893">
        <v>33</v>
      </c>
      <c r="AC5893">
        <v>17.025300000000001</v>
      </c>
      <c r="AD5893">
        <v>-1.1094347184259901</v>
      </c>
      <c r="AE5893">
        <v>-2.0348899999999999</v>
      </c>
      <c r="AF5893">
        <v>2.3306033805836699</v>
      </c>
      <c r="AG5893">
        <v>-1.1094347184259901</v>
      </c>
      <c r="AH5893">
        <v>16.915188073187501</v>
      </c>
      <c r="AI5893">
        <v>93.717524873920695</v>
      </c>
      <c r="AJ5893">
        <v>82.155083320239001</v>
      </c>
      <c r="AK5893">
        <v>17.1109948589596</v>
      </c>
      <c r="AL5893">
        <v>86.996693856521503</v>
      </c>
      <c r="AM5893">
        <v>92.339985456501097</v>
      </c>
      <c r="AN5893">
        <v>0.99999999685178798</v>
      </c>
    </row>
    <row r="5894" spans="1:40" x14ac:dyDescent="0.25">
      <c r="A5894" t="str">
        <f>"20190305135942528"</f>
        <v>20190305135942528</v>
      </c>
      <c r="B5894" t="str">
        <f>"1551765582524585"</f>
        <v>1551765582524585</v>
      </c>
      <c r="C5894" t="s">
        <v>40</v>
      </c>
      <c r="D5894">
        <v>4.4408599999999998</v>
      </c>
      <c r="E5894">
        <v>0.56467210000000001</v>
      </c>
      <c r="F5894" t="s">
        <v>82</v>
      </c>
      <c r="G5894">
        <v>-208.6165</v>
      </c>
      <c r="H5894" s="1">
        <v>-1.5653409999999999E-6</v>
      </c>
      <c r="I5894">
        <v>-64.347269999999995</v>
      </c>
      <c r="J5894">
        <v>-225.13069999999999</v>
      </c>
      <c r="K5894">
        <v>1.1093839999999999</v>
      </c>
      <c r="L5894">
        <v>-62.386659999999999</v>
      </c>
      <c r="M5894">
        <v>0.99974909999999995</v>
      </c>
      <c r="N5894">
        <v>-1.377301E-2</v>
      </c>
      <c r="O5894">
        <v>1.76638E-2</v>
      </c>
      <c r="P5894">
        <v>0.99748300000000001</v>
      </c>
      <c r="Q5894">
        <v>3.8849179999999997E-2</v>
      </c>
      <c r="R5894">
        <v>5.9317710000000003E-2</v>
      </c>
      <c r="S5894">
        <v>3.0362550000000001</v>
      </c>
      <c r="T5894">
        <v>-0.20197280000000001</v>
      </c>
      <c r="U5894">
        <v>-0.35644530000000002</v>
      </c>
      <c r="V5894">
        <v>-4.1642699999999998E-2</v>
      </c>
      <c r="W5894">
        <v>5.2631669999999998E-2</v>
      </c>
      <c r="X5894">
        <v>0.99774529999999995</v>
      </c>
      <c r="Y5894">
        <v>0.13374539999999999</v>
      </c>
      <c r="Z5894">
        <v>-6.281539E-3</v>
      </c>
      <c r="AA5894">
        <v>0.99099579999999998</v>
      </c>
      <c r="AB5894">
        <v>33</v>
      </c>
      <c r="AC5894">
        <v>16.514199999999899</v>
      </c>
      <c r="AD5894">
        <v>-1.1093855653410001</v>
      </c>
      <c r="AE5894">
        <v>-1.96060999999999</v>
      </c>
      <c r="AF5894">
        <v>2.2420578392216099</v>
      </c>
      <c r="AG5894">
        <v>-1.1093855653410001</v>
      </c>
      <c r="AH5894">
        <v>16.403988264937698</v>
      </c>
      <c r="AI5894">
        <v>93.833433503859993</v>
      </c>
      <c r="AJ5894">
        <v>82.217174010910199</v>
      </c>
      <c r="AK5894">
        <v>16.593625001283399</v>
      </c>
      <c r="AL5894">
        <v>86.983033301166699</v>
      </c>
      <c r="AM5894">
        <v>92.389955625660804</v>
      </c>
      <c r="AN5894">
        <v>0.99999994541118298</v>
      </c>
    </row>
    <row r="5895" spans="1:40" x14ac:dyDescent="0.25">
      <c r="A5895" t="str">
        <f>"20190305135942540"</f>
        <v>20190305135942540</v>
      </c>
      <c r="B5895" t="str">
        <f>"1551765582534346"</f>
        <v>1551765582534346</v>
      </c>
      <c r="C5895" t="s">
        <v>40</v>
      </c>
      <c r="D5895">
        <v>4.345332</v>
      </c>
      <c r="E5895">
        <v>0.5646099</v>
      </c>
      <c r="F5895" t="s">
        <v>82</v>
      </c>
      <c r="G5895">
        <v>-208.6054</v>
      </c>
      <c r="H5895" s="1">
        <v>-1.5597930000000001E-6</v>
      </c>
      <c r="I5895">
        <v>-64.310550000000006</v>
      </c>
      <c r="J5895">
        <v>-224.96459999999999</v>
      </c>
      <c r="K5895">
        <v>1.109337</v>
      </c>
      <c r="L5895">
        <v>-62.383940000000003</v>
      </c>
      <c r="M5895">
        <v>0.99975449999999999</v>
      </c>
      <c r="N5895">
        <v>-1.377071E-2</v>
      </c>
      <c r="O5895">
        <v>1.7357790000000001E-2</v>
      </c>
      <c r="P5895">
        <v>0.99743780000000004</v>
      </c>
      <c r="Q5895">
        <v>3.8881970000000002E-2</v>
      </c>
      <c r="R5895">
        <v>6.0049529999999997E-2</v>
      </c>
      <c r="S5895">
        <v>3.03653</v>
      </c>
      <c r="T5895">
        <v>-0.2038498</v>
      </c>
      <c r="U5895">
        <v>-0.35351559999999999</v>
      </c>
      <c r="V5895">
        <v>-4.2674040000000003E-2</v>
      </c>
      <c r="W5895">
        <v>5.266738E-2</v>
      </c>
      <c r="X5895">
        <v>0.99769989999999997</v>
      </c>
      <c r="Y5895">
        <v>0.13248560000000001</v>
      </c>
      <c r="Z5895">
        <v>-6.2660210000000001E-3</v>
      </c>
      <c r="AA5895">
        <v>0.99116510000000002</v>
      </c>
      <c r="AB5895">
        <v>33</v>
      </c>
      <c r="AC5895">
        <v>16.359199999999898</v>
      </c>
      <c r="AD5895">
        <v>-1.1093385597929999</v>
      </c>
      <c r="AE5895">
        <v>-1.9266099999999999</v>
      </c>
      <c r="AF5895">
        <v>2.2003266654658802</v>
      </c>
      <c r="AG5895">
        <v>-1.1093385597929999</v>
      </c>
      <c r="AH5895">
        <v>16.249590548739601</v>
      </c>
      <c r="AI5895">
        <v>93.870237990613006</v>
      </c>
      <c r="AJ5895">
        <v>82.288587909005798</v>
      </c>
      <c r="AK5895">
        <v>16.435366210604801</v>
      </c>
      <c r="AL5895">
        <v>86.980984617828597</v>
      </c>
      <c r="AM5895">
        <v>92.449186342817299</v>
      </c>
      <c r="AN5895">
        <v>1.0000000085329901</v>
      </c>
    </row>
    <row r="5896" spans="1:40" x14ac:dyDescent="0.25">
      <c r="A5896" t="str">
        <f>"20190305135942550"</f>
        <v>20190305135942550</v>
      </c>
      <c r="B5896" t="str">
        <f>"1551765582545082"</f>
        <v>1551765582545082</v>
      </c>
      <c r="C5896" t="s">
        <v>40</v>
      </c>
      <c r="D5896">
        <v>4.3271629999999996</v>
      </c>
      <c r="E5896">
        <v>0.56451549999999995</v>
      </c>
      <c r="F5896" t="s">
        <v>41</v>
      </c>
      <c r="G5896">
        <v>-223.96190000000001</v>
      </c>
      <c r="H5896">
        <v>1.0421609999999999</v>
      </c>
      <c r="I5896">
        <v>-62.499890000000001</v>
      </c>
      <c r="J5896">
        <v>-224.79679999999999</v>
      </c>
      <c r="K5896">
        <v>1.109308</v>
      </c>
      <c r="L5896">
        <v>-62.381320000000002</v>
      </c>
      <c r="M5896">
        <v>0.99976019999999999</v>
      </c>
      <c r="N5896">
        <v>-1.376845E-2</v>
      </c>
      <c r="O5896">
        <v>1.7029119999999998E-2</v>
      </c>
      <c r="P5896">
        <v>0.99737940000000003</v>
      </c>
      <c r="Q5896">
        <v>3.8720549999999999E-2</v>
      </c>
      <c r="R5896">
        <v>6.1116480000000001E-2</v>
      </c>
      <c r="S5896">
        <v>3.0367890000000002</v>
      </c>
      <c r="T5896">
        <v>-0.20344660000000001</v>
      </c>
      <c r="U5896">
        <v>-0.35098269999999998</v>
      </c>
      <c r="V5896">
        <v>-4.4066389999999997E-2</v>
      </c>
      <c r="W5896">
        <v>5.2508350000000002E-2</v>
      </c>
      <c r="X5896">
        <v>0.99764779999999997</v>
      </c>
      <c r="Y5896">
        <v>0.13133909999999999</v>
      </c>
      <c r="Z5896">
        <v>-6.1910280000000003E-3</v>
      </c>
      <c r="AA5896">
        <v>0.99131820000000004</v>
      </c>
      <c r="AB5896">
        <v>33</v>
      </c>
      <c r="AC5896">
        <v>0.83489999999997599</v>
      </c>
      <c r="AD5896">
        <v>-6.7146999999999804E-2</v>
      </c>
      <c r="AE5896">
        <v>-0.118570000000005</v>
      </c>
      <c r="AF5896">
        <v>0.131935249568395</v>
      </c>
      <c r="AG5896">
        <v>-6.7146999999999804E-2</v>
      </c>
      <c r="AH5896">
        <v>0.82751286799329304</v>
      </c>
      <c r="AI5896">
        <v>94.581383877167198</v>
      </c>
      <c r="AJ5896">
        <v>80.941240273670402</v>
      </c>
      <c r="AK5896">
        <v>0.84065044839229097</v>
      </c>
      <c r="AL5896">
        <v>86.990109125517904</v>
      </c>
      <c r="AM5896">
        <v>92.529127112182806</v>
      </c>
      <c r="AN5896">
        <v>1.00000005319609</v>
      </c>
    </row>
    <row r="5897" spans="1:40" x14ac:dyDescent="0.25">
      <c r="A5897" t="str">
        <f>"20190305135942562"</f>
        <v>20190305135942562</v>
      </c>
      <c r="B5897" t="str">
        <f>"1551765582554842"</f>
        <v>1551765582554842</v>
      </c>
      <c r="C5897" t="s">
        <v>40</v>
      </c>
      <c r="D5897">
        <v>4.3568210000000001</v>
      </c>
      <c r="E5897">
        <v>0.56443889999999997</v>
      </c>
      <c r="F5897" t="s">
        <v>82</v>
      </c>
      <c r="G5897">
        <v>-208.2801</v>
      </c>
      <c r="H5897" s="1">
        <v>-1.6730379999999999E-6</v>
      </c>
      <c r="I5897">
        <v>-64.269169999999903</v>
      </c>
      <c r="J5897">
        <v>-224.63249999999999</v>
      </c>
      <c r="K5897">
        <v>1.1092789999999999</v>
      </c>
      <c r="L5897">
        <v>-62.378779999999999</v>
      </c>
      <c r="M5897">
        <v>0.99976580000000004</v>
      </c>
      <c r="N5897">
        <v>-1.3766280000000001E-2</v>
      </c>
      <c r="O5897">
        <v>1.6702350000000001E-2</v>
      </c>
      <c r="P5897">
        <v>0.9973088</v>
      </c>
      <c r="Q5897">
        <v>3.8719749999999997E-2</v>
      </c>
      <c r="R5897">
        <v>6.2256850000000002E-2</v>
      </c>
      <c r="S5897">
        <v>3.0370789999999999</v>
      </c>
      <c r="T5897">
        <v>-0.2039793</v>
      </c>
      <c r="U5897">
        <v>-0.34713749999999999</v>
      </c>
      <c r="V5897">
        <v>-4.5530109999999999E-2</v>
      </c>
      <c r="W5897">
        <v>5.2509300000000002E-2</v>
      </c>
      <c r="X5897">
        <v>0.99758199999999997</v>
      </c>
      <c r="Y5897">
        <v>0.1297683</v>
      </c>
      <c r="Z5897">
        <v>-6.1243599999999997E-3</v>
      </c>
      <c r="AA5897">
        <v>0.9915254</v>
      </c>
      <c r="AB5897">
        <v>33</v>
      </c>
      <c r="AC5897">
        <v>16.3523999999999</v>
      </c>
      <c r="AD5897">
        <v>-1.109280673038</v>
      </c>
      <c r="AE5897">
        <v>-1.89038999999998</v>
      </c>
      <c r="AF5897">
        <v>2.1534965330512699</v>
      </c>
      <c r="AG5897">
        <v>-1.109280673038</v>
      </c>
      <c r="AH5897">
        <v>16.244773556715501</v>
      </c>
      <c r="AI5897">
        <v>93.872625019978699</v>
      </c>
      <c r="AJ5897">
        <v>82.448586119410194</v>
      </c>
      <c r="AK5897">
        <v>16.424394017387801</v>
      </c>
      <c r="AL5897">
        <v>86.990054555821004</v>
      </c>
      <c r="AM5897">
        <v>92.613192763166396</v>
      </c>
      <c r="AN5897">
        <v>1.00000003211355</v>
      </c>
    </row>
    <row r="5898" spans="1:40" x14ac:dyDescent="0.25">
      <c r="A5898" t="str">
        <f>"20190305135942573"</f>
        <v>20190305135942573</v>
      </c>
      <c r="B5898" t="str">
        <f>"1551765582564602"</f>
        <v>1551765582564602</v>
      </c>
      <c r="C5898" t="s">
        <v>40</v>
      </c>
      <c r="D5898">
        <v>4.4755949999999904</v>
      </c>
      <c r="E5898">
        <v>0.56436660000000005</v>
      </c>
      <c r="F5898" t="s">
        <v>41</v>
      </c>
      <c r="G5898">
        <v>-223.67189999999999</v>
      </c>
      <c r="H5898">
        <v>1.044794</v>
      </c>
      <c r="I5898">
        <v>-62.487560000000002</v>
      </c>
      <c r="J5898">
        <v>-224.4734</v>
      </c>
      <c r="K5898">
        <v>1.1092599999999999</v>
      </c>
      <c r="L5898">
        <v>-62.376399999999997</v>
      </c>
      <c r="M5898">
        <v>0.99977119999999997</v>
      </c>
      <c r="N5898">
        <v>-1.3764240000000001E-2</v>
      </c>
      <c r="O5898">
        <v>1.637883E-2</v>
      </c>
      <c r="P5898">
        <v>0.99722049999999995</v>
      </c>
      <c r="Q5898">
        <v>3.8667340000000001E-2</v>
      </c>
      <c r="R5898">
        <v>6.3688839999999997E-2</v>
      </c>
      <c r="S5898">
        <v>3.037445</v>
      </c>
      <c r="T5898">
        <v>-0.20379720000000001</v>
      </c>
      <c r="U5898">
        <v>-0.34320070000000003</v>
      </c>
      <c r="V5898">
        <v>-4.7283529999999997E-2</v>
      </c>
      <c r="W5898">
        <v>5.2458339999999999E-2</v>
      </c>
      <c r="X5898">
        <v>0.99750309999999998</v>
      </c>
      <c r="Y5898">
        <v>0.12817049999999999</v>
      </c>
      <c r="Z5898">
        <v>-6.0374529999999999E-3</v>
      </c>
      <c r="AA5898">
        <v>0.9917338</v>
      </c>
      <c r="AB5898">
        <v>33</v>
      </c>
      <c r="AC5898">
        <v>0.80150000000000399</v>
      </c>
      <c r="AD5898">
        <v>-6.4466000000000107E-2</v>
      </c>
      <c r="AE5898">
        <v>-0.111159999999998</v>
      </c>
      <c r="AF5898">
        <v>0.12349014786066</v>
      </c>
      <c r="AG5898">
        <v>-6.4466000000000107E-2</v>
      </c>
      <c r="AH5898">
        <v>0.79452861382335505</v>
      </c>
      <c r="AI5898">
        <v>94.583872707377907</v>
      </c>
      <c r="AJ5898">
        <v>81.165451253267605</v>
      </c>
      <c r="AK5898">
        <v>0.80664825045289101</v>
      </c>
      <c r="AL5898">
        <v>86.992978348130706</v>
      </c>
      <c r="AM5898">
        <v>92.713896673486701</v>
      </c>
      <c r="AN5898">
        <v>1.0000000220772101</v>
      </c>
    </row>
    <row r="5899" spans="1:40" x14ac:dyDescent="0.25">
      <c r="A5899" t="str">
        <f>"20190305135942585"</f>
        <v>20190305135942585</v>
      </c>
      <c r="B5899" t="str">
        <f>"1551765582574363"</f>
        <v>1551765582574363</v>
      </c>
      <c r="C5899" t="s">
        <v>40</v>
      </c>
      <c r="D5899">
        <v>4.4577460000000002</v>
      </c>
      <c r="E5899">
        <v>0.56430139999999995</v>
      </c>
      <c r="F5899" t="s">
        <v>82</v>
      </c>
      <c r="G5899">
        <v>-208.14449999999999</v>
      </c>
      <c r="H5899" s="1">
        <v>-1.7055E-6</v>
      </c>
      <c r="I5899">
        <v>-64.196460000000002</v>
      </c>
      <c r="J5899">
        <v>-224.31049999999999</v>
      </c>
      <c r="K5899">
        <v>1.109246</v>
      </c>
      <c r="L5899">
        <v>-62.374020000000002</v>
      </c>
      <c r="M5899">
        <v>0.99977649999999996</v>
      </c>
      <c r="N5899">
        <v>-1.3762180000000001E-2</v>
      </c>
      <c r="O5899">
        <v>1.6046999999999999E-2</v>
      </c>
      <c r="P5899">
        <v>0.9971101</v>
      </c>
      <c r="Q5899">
        <v>3.8875649999999998E-2</v>
      </c>
      <c r="R5899">
        <v>6.527136E-2</v>
      </c>
      <c r="S5899">
        <v>3.0380099999999999</v>
      </c>
      <c r="T5899">
        <v>-0.2063789</v>
      </c>
      <c r="U5899">
        <v>-0.33862300000000001</v>
      </c>
      <c r="V5899">
        <v>-4.9196910000000003E-2</v>
      </c>
      <c r="W5899">
        <v>5.2666909999999997E-2</v>
      </c>
      <c r="X5899">
        <v>0.99739960000000005</v>
      </c>
      <c r="Y5899">
        <v>0.1263416</v>
      </c>
      <c r="Z5899">
        <v>-6.0122810000000004E-3</v>
      </c>
      <c r="AA5899">
        <v>0.99196859999999998</v>
      </c>
      <c r="AB5899">
        <v>33</v>
      </c>
      <c r="AC5899">
        <v>16.165999999999901</v>
      </c>
      <c r="AD5899">
        <v>-1.1092477054999901</v>
      </c>
      <c r="AE5899">
        <v>-1.8224400000000001</v>
      </c>
      <c r="AF5899">
        <v>2.0720127124882999</v>
      </c>
      <c r="AG5899">
        <v>-1.1092477054999901</v>
      </c>
      <c r="AH5899">
        <v>16.0600062667767</v>
      </c>
      <c r="AI5899">
        <v>93.918707055811595</v>
      </c>
      <c r="AJ5899">
        <v>82.648484463997093</v>
      </c>
      <c r="AK5899">
        <v>16.2310649201393</v>
      </c>
      <c r="AL5899">
        <v>86.981011711754903</v>
      </c>
      <c r="AM5899">
        <v>92.823835740505203</v>
      </c>
      <c r="AN5899">
        <v>1.00000005072132</v>
      </c>
    </row>
    <row r="5900" spans="1:40" x14ac:dyDescent="0.25">
      <c r="A5900" t="str">
        <f>"20190305135942595"</f>
        <v>20190305135942595</v>
      </c>
      <c r="B5900" t="str">
        <f>"1551765582585098"</f>
        <v>1551765582585098</v>
      </c>
      <c r="C5900" t="s">
        <v>40</v>
      </c>
      <c r="D5900">
        <v>4.4966379999999999</v>
      </c>
      <c r="E5900">
        <v>0.56430459999999905</v>
      </c>
      <c r="F5900" t="s">
        <v>41</v>
      </c>
      <c r="G5900">
        <v>-223.38200000000001</v>
      </c>
      <c r="H5900">
        <v>1.045739</v>
      </c>
      <c r="I5900">
        <v>-62.476170000000003</v>
      </c>
      <c r="J5900">
        <v>-224.14660000000001</v>
      </c>
      <c r="K5900">
        <v>1.10924</v>
      </c>
      <c r="L5900">
        <v>-62.371670000000002</v>
      </c>
      <c r="M5900">
        <v>0.99978180000000005</v>
      </c>
      <c r="N5900">
        <v>-1.3760130000000001E-2</v>
      </c>
      <c r="O5900">
        <v>1.5713040000000001E-2</v>
      </c>
      <c r="P5900">
        <v>0.99695889999999998</v>
      </c>
      <c r="Q5900">
        <v>3.8897599999999997E-2</v>
      </c>
      <c r="R5900">
        <v>6.7528359999999996E-2</v>
      </c>
      <c r="S5900">
        <v>3.0386350000000002</v>
      </c>
      <c r="T5900">
        <v>-0.20776069999999999</v>
      </c>
      <c r="U5900">
        <v>-0.33364870000000002</v>
      </c>
      <c r="V5900">
        <v>-5.1787739999999999E-2</v>
      </c>
      <c r="W5900">
        <v>5.2689760000000002E-2</v>
      </c>
      <c r="X5900">
        <v>0.99726720000000002</v>
      </c>
      <c r="Y5900">
        <v>0.1243847</v>
      </c>
      <c r="Z5900">
        <v>-5.9489579999999999E-3</v>
      </c>
      <c r="AA5900">
        <v>0.99221619999999999</v>
      </c>
      <c r="AB5900">
        <v>32</v>
      </c>
      <c r="AC5900">
        <v>0.76460000000000095</v>
      </c>
      <c r="AD5900">
        <v>-6.3501000000000002E-2</v>
      </c>
      <c r="AE5900">
        <v>-0.10450000000000099</v>
      </c>
      <c r="AF5900">
        <v>0.115718888326014</v>
      </c>
      <c r="AG5900">
        <v>-6.3501000000000002E-2</v>
      </c>
      <c r="AH5900">
        <v>0.757732783828867</v>
      </c>
      <c r="AI5900">
        <v>94.735766261785997</v>
      </c>
      <c r="AJ5900">
        <v>81.317032758236707</v>
      </c>
      <c r="AK5900">
        <v>0.76914381607437499</v>
      </c>
      <c r="AL5900">
        <v>86.979700603697793</v>
      </c>
      <c r="AM5900">
        <v>92.972679756948693</v>
      </c>
      <c r="AN5900">
        <v>1.0000000245095</v>
      </c>
    </row>
    <row r="5901" spans="1:40" x14ac:dyDescent="0.25">
      <c r="A5901" t="str">
        <f>"20190305135942607"</f>
        <v>20190305135942607</v>
      </c>
      <c r="B5901" t="str">
        <f>"1551765582594859"</f>
        <v>1551765582594859</v>
      </c>
      <c r="C5901" t="s">
        <v>40</v>
      </c>
      <c r="D5901">
        <v>4.6952949999999998</v>
      </c>
      <c r="E5901">
        <v>0.56430459999999905</v>
      </c>
      <c r="F5901" t="s">
        <v>82</v>
      </c>
      <c r="G5901">
        <v>-208.0752</v>
      </c>
      <c r="H5901" s="1">
        <v>-1.712756E-6</v>
      </c>
      <c r="I5901">
        <v>-64.101959999999906</v>
      </c>
      <c r="J5901">
        <v>-223.98070000000001</v>
      </c>
      <c r="K5901">
        <v>1.1092379999999999</v>
      </c>
      <c r="L5901">
        <v>-62.369349999999997</v>
      </c>
      <c r="M5901">
        <v>0.99978699999999998</v>
      </c>
      <c r="N5901">
        <v>-1.375823E-2</v>
      </c>
      <c r="O5901">
        <v>1.538277E-2</v>
      </c>
      <c r="P5901">
        <v>0.99679090000000004</v>
      </c>
      <c r="Q5901">
        <v>3.9013329999999999E-2</v>
      </c>
      <c r="R5901">
        <v>6.9899530000000001E-2</v>
      </c>
      <c r="S5901">
        <v>3.0395050000000001</v>
      </c>
      <c r="T5901">
        <v>-0.20978550000000001</v>
      </c>
      <c r="U5901">
        <v>-0.32723999999999998</v>
      </c>
      <c r="V5901">
        <v>-5.4490150000000001E-2</v>
      </c>
      <c r="W5901">
        <v>5.2805480000000002E-2</v>
      </c>
      <c r="X5901">
        <v>0.99711700000000003</v>
      </c>
      <c r="Y5901">
        <v>0.12195880000000001</v>
      </c>
      <c r="Z5901">
        <v>-5.8811069999999896E-3</v>
      </c>
      <c r="AA5901">
        <v>0.99251769999999995</v>
      </c>
      <c r="AB5901">
        <v>32</v>
      </c>
      <c r="AC5901">
        <v>15.9055</v>
      </c>
      <c r="AD5901">
        <v>-1.1092397127560001</v>
      </c>
      <c r="AE5901">
        <v>-1.73260999999999</v>
      </c>
      <c r="AF5901">
        <v>1.96764120965109</v>
      </c>
      <c r="AG5901">
        <v>-1.1092397127560001</v>
      </c>
      <c r="AH5901">
        <v>15.8010145033128</v>
      </c>
      <c r="AI5901">
        <v>93.984929146687193</v>
      </c>
      <c r="AJ5901">
        <v>82.901711030298401</v>
      </c>
      <c r="AK5901">
        <v>15.961644151032001</v>
      </c>
      <c r="AL5901">
        <v>86.973060877862494</v>
      </c>
      <c r="AM5901">
        <v>93.127971245877305</v>
      </c>
      <c r="AN5901">
        <v>0.99999995342702497</v>
      </c>
    </row>
    <row r="5902" spans="1:40" x14ac:dyDescent="0.25">
      <c r="A5902" t="str">
        <f>"20190305135942620"</f>
        <v>20190305135942620</v>
      </c>
      <c r="B5902" t="str">
        <f>"1551765582614378"</f>
        <v>1551765582614378</v>
      </c>
      <c r="C5902" t="s">
        <v>40</v>
      </c>
      <c r="D5902">
        <v>4.3845109999999998</v>
      </c>
      <c r="E5902">
        <v>0.53438229999999998</v>
      </c>
      <c r="F5902" t="s">
        <v>41</v>
      </c>
      <c r="G5902">
        <v>-223.0908</v>
      </c>
      <c r="H5902">
        <v>1.048065</v>
      </c>
      <c r="I5902">
        <v>-62.463259999999998</v>
      </c>
      <c r="J5902">
        <v>-223.80539999999999</v>
      </c>
      <c r="K5902">
        <v>1.1092409999999999</v>
      </c>
      <c r="L5902">
        <v>-62.36694</v>
      </c>
      <c r="M5902">
        <v>0.99979240000000003</v>
      </c>
      <c r="N5902">
        <v>-1.3756279999999999E-2</v>
      </c>
      <c r="O5902">
        <v>1.5037450000000001E-2</v>
      </c>
      <c r="P5902">
        <v>0.99658579999999997</v>
      </c>
      <c r="Q5902">
        <v>3.9208809999999997E-2</v>
      </c>
      <c r="R5902">
        <v>7.2661840000000005E-2</v>
      </c>
      <c r="S5902">
        <v>3.0402979999999999</v>
      </c>
      <c r="T5902">
        <v>-0.2089444</v>
      </c>
      <c r="U5902">
        <v>-0.3203125</v>
      </c>
      <c r="V5902">
        <v>-5.7599280000000003E-2</v>
      </c>
      <c r="W5902">
        <v>5.3000709999999999E-2</v>
      </c>
      <c r="X5902">
        <v>0.99693189999999998</v>
      </c>
      <c r="Y5902">
        <v>0.1193626</v>
      </c>
      <c r="Z5902">
        <v>-5.7334400000000002E-3</v>
      </c>
      <c r="AA5902">
        <v>0.9928342</v>
      </c>
      <c r="AB5902">
        <v>32</v>
      </c>
      <c r="AC5902">
        <v>0.71459999999999002</v>
      </c>
      <c r="AD5902">
        <v>-6.1175999999999897E-2</v>
      </c>
      <c r="AE5902">
        <v>-9.6319999999998601E-2</v>
      </c>
      <c r="AF5902">
        <v>0.106290795026388</v>
      </c>
      <c r="AG5902">
        <v>-6.1175999999999897E-2</v>
      </c>
      <c r="AH5902">
        <v>0.70797458368185995</v>
      </c>
      <c r="AI5902">
        <v>94.884185084410404</v>
      </c>
      <c r="AJ5902">
        <v>81.461746515145506</v>
      </c>
      <c r="AK5902">
        <v>0.71851809108946296</v>
      </c>
      <c r="AL5902">
        <v>86.961859425471602</v>
      </c>
      <c r="AM5902">
        <v>93.306676037471206</v>
      </c>
      <c r="AN5902">
        <v>0.99999998277731605</v>
      </c>
    </row>
    <row r="5903" spans="1:40" x14ac:dyDescent="0.25">
      <c r="A5903" t="str">
        <f>"20190305135942630"</f>
        <v>20190305135942630</v>
      </c>
      <c r="B5903" t="str">
        <f>"1551765582625115"</f>
        <v>1551765582625115</v>
      </c>
      <c r="C5903" t="s">
        <v>40</v>
      </c>
      <c r="D5903">
        <v>4.4526810000000001</v>
      </c>
      <c r="E5903">
        <v>0.4845025</v>
      </c>
      <c r="F5903" t="s">
        <v>82</v>
      </c>
      <c r="G5903">
        <v>-193.42089999999999</v>
      </c>
      <c r="H5903" s="1">
        <v>-8.5417580000000002E-6</v>
      </c>
      <c r="I5903">
        <v>-63.054810000000003</v>
      </c>
      <c r="J5903">
        <v>-223.64189999999999</v>
      </c>
      <c r="K5903">
        <v>1.1092439999999999</v>
      </c>
      <c r="L5903">
        <v>-62.364809999999999</v>
      </c>
      <c r="M5903">
        <v>0.99979689999999999</v>
      </c>
      <c r="N5903">
        <v>-1.3754509999999999E-2</v>
      </c>
      <c r="O5903">
        <v>1.472882E-2</v>
      </c>
      <c r="P5903">
        <v>0.99631990000000004</v>
      </c>
      <c r="Q5903">
        <v>3.957302E-2</v>
      </c>
      <c r="R5903">
        <v>7.6029719999999995E-2</v>
      </c>
      <c r="S5903">
        <v>3.0195919999999998</v>
      </c>
      <c r="T5903">
        <v>-0.1102364</v>
      </c>
      <c r="U5903">
        <v>-6.8359379999999997E-2</v>
      </c>
      <c r="V5903">
        <v>-6.1278029999999997E-2</v>
      </c>
      <c r="W5903">
        <v>5.3364490000000001E-2</v>
      </c>
      <c r="X5903">
        <v>0.9966931</v>
      </c>
      <c r="Y5903">
        <v>3.7318759999999999E-2</v>
      </c>
      <c r="Z5903">
        <v>-1.272638E-3</v>
      </c>
      <c r="AA5903">
        <v>0.99930260000000004</v>
      </c>
      <c r="AB5903">
        <v>32</v>
      </c>
      <c r="AC5903">
        <v>30.221</v>
      </c>
      <c r="AD5903">
        <v>-1.1092525417579999</v>
      </c>
      <c r="AE5903">
        <v>-0.68999999999999695</v>
      </c>
      <c r="AF5903">
        <v>1.13356055000099</v>
      </c>
      <c r="AG5903">
        <v>-1.1092525417579999</v>
      </c>
      <c r="AH5903">
        <v>30.166936547407499</v>
      </c>
      <c r="AI5903">
        <v>92.104360412982103</v>
      </c>
      <c r="AJ5903">
        <v>87.848051535593697</v>
      </c>
      <c r="AK5903">
        <v>30.208599129672098</v>
      </c>
      <c r="AL5903">
        <v>86.940986729201597</v>
      </c>
      <c r="AM5903">
        <v>93.518193041175394</v>
      </c>
      <c r="AN5903">
        <v>0.99999995067062397</v>
      </c>
    </row>
    <row r="5904" spans="1:40" x14ac:dyDescent="0.25">
      <c r="A5904" t="str">
        <f>"20190305135942641"</f>
        <v>20190305135942641</v>
      </c>
      <c r="B5904" t="str">
        <f>"1551765582634874"</f>
        <v>1551765582634874</v>
      </c>
      <c r="C5904" t="s">
        <v>40</v>
      </c>
      <c r="D5904">
        <v>4.4252370000000001</v>
      </c>
      <c r="E5904">
        <v>0.48301769999999999</v>
      </c>
      <c r="F5904" t="s">
        <v>95</v>
      </c>
      <c r="G5904">
        <v>-210.06049999999999</v>
      </c>
      <c r="H5904" s="1">
        <v>8.7779359999999996E-7</v>
      </c>
      <c r="I5904">
        <v>-60.861820000000002</v>
      </c>
      <c r="J5904">
        <v>-223.4871</v>
      </c>
      <c r="K5904">
        <v>1.1092519999999999</v>
      </c>
      <c r="L5904">
        <v>-62.362729999999999</v>
      </c>
      <c r="M5904">
        <v>0.99980119999999895</v>
      </c>
      <c r="N5904">
        <v>-1.375287E-2</v>
      </c>
      <c r="O5904">
        <v>1.444136E-2</v>
      </c>
      <c r="P5904">
        <v>0.99606410000000001</v>
      </c>
      <c r="Q5904">
        <v>3.9667939999999999E-2</v>
      </c>
      <c r="R5904">
        <v>7.9263310000000003E-2</v>
      </c>
      <c r="S5904">
        <v>2.9954830000000001</v>
      </c>
      <c r="T5904">
        <v>-0.24465200000000001</v>
      </c>
      <c r="U5904">
        <v>0.3314819</v>
      </c>
      <c r="V5904">
        <v>-6.4801849999999994E-2</v>
      </c>
      <c r="W5904">
        <v>5.3458779999999997E-2</v>
      </c>
      <c r="X5904">
        <v>0.99646520000000005</v>
      </c>
      <c r="Y5904">
        <v>-9.5288629999999999E-2</v>
      </c>
      <c r="Z5904">
        <v>3.5556870000000001E-3</v>
      </c>
      <c r="AA5904">
        <v>0.99544330000000003</v>
      </c>
      <c r="AB5904">
        <v>32</v>
      </c>
      <c r="AC5904">
        <v>13.426600000000001</v>
      </c>
      <c r="AD5904">
        <v>-1.1092511222063901</v>
      </c>
      <c r="AE5904">
        <v>1.50091000000001</v>
      </c>
      <c r="AF5904">
        <v>-1.2980861628440199</v>
      </c>
      <c r="AG5904">
        <v>-1.1092511222063901</v>
      </c>
      <c r="AH5904">
        <v>13.356836321714599</v>
      </c>
      <c r="AI5904">
        <v>94.725213293753697</v>
      </c>
      <c r="AJ5904">
        <v>95.550866923729501</v>
      </c>
      <c r="AK5904">
        <v>13.465531636862901</v>
      </c>
      <c r="AL5904">
        <v>86.935576762777202</v>
      </c>
      <c r="AM5904">
        <v>93.720803981384094</v>
      </c>
      <c r="AN5904">
        <v>1.0000000078667699</v>
      </c>
    </row>
    <row r="5905" spans="1:40" x14ac:dyDescent="0.25">
      <c r="A5905" t="str">
        <f>"20190305135942652"</f>
        <v>20190305135942652</v>
      </c>
      <c r="B5905" t="str">
        <f>"1551765582644634"</f>
        <v>1551765582644634</v>
      </c>
      <c r="C5905" t="s">
        <v>40</v>
      </c>
      <c r="D5905">
        <v>4.3983140000000001</v>
      </c>
      <c r="E5905">
        <v>0.48402709999999999</v>
      </c>
      <c r="F5905" t="s">
        <v>95</v>
      </c>
      <c r="G5905">
        <v>-210.17519999999999</v>
      </c>
      <c r="H5905" s="1">
        <v>8.4624480000000003E-7</v>
      </c>
      <c r="I5905">
        <v>-60.795490000000001</v>
      </c>
      <c r="J5905">
        <v>-223.3313</v>
      </c>
      <c r="K5905">
        <v>1.1092599999999999</v>
      </c>
      <c r="L5905">
        <v>-62.360750000000003</v>
      </c>
      <c r="M5905">
        <v>0.99980519999999995</v>
      </c>
      <c r="N5905">
        <v>-1.3751289999999999E-2</v>
      </c>
      <c r="O5905">
        <v>1.416282E-2</v>
      </c>
      <c r="P5905">
        <v>0.99578290000000003</v>
      </c>
      <c r="Q5905">
        <v>3.9924519999999998E-2</v>
      </c>
      <c r="R5905">
        <v>8.2599329999999999E-2</v>
      </c>
      <c r="S5905">
        <v>2.993744</v>
      </c>
      <c r="T5905">
        <v>-0.24946189999999999</v>
      </c>
      <c r="U5905">
        <v>0.35244750000000002</v>
      </c>
      <c r="V5905">
        <v>-6.8419709999999995E-2</v>
      </c>
      <c r="W5905">
        <v>5.3713990000000003E-2</v>
      </c>
      <c r="X5905">
        <v>0.99620960000000003</v>
      </c>
      <c r="Y5905">
        <v>-0.1024668</v>
      </c>
      <c r="Z5905">
        <v>3.97563E-3</v>
      </c>
      <c r="AA5905">
        <v>0.99472850000000002</v>
      </c>
      <c r="AB5905">
        <v>32</v>
      </c>
      <c r="AC5905">
        <v>13.1561</v>
      </c>
      <c r="AD5905">
        <v>-1.1092591537551999</v>
      </c>
      <c r="AE5905">
        <v>1.5652600000000001</v>
      </c>
      <c r="AF5905">
        <v>-1.36916031787392</v>
      </c>
      <c r="AG5905">
        <v>-1.1092591537551999</v>
      </c>
      <c r="AH5905">
        <v>13.0852256557242</v>
      </c>
      <c r="AI5905">
        <v>94.819301199586405</v>
      </c>
      <c r="AJ5905">
        <v>95.973354119137099</v>
      </c>
      <c r="AK5905">
        <v>13.2033399678813</v>
      </c>
      <c r="AL5905">
        <v>86.920933268734501</v>
      </c>
      <c r="AM5905">
        <v>93.928906400973005</v>
      </c>
      <c r="AN5905">
        <v>1.0000000082851801</v>
      </c>
    </row>
    <row r="5906" spans="1:40" x14ac:dyDescent="0.25">
      <c r="A5906" t="str">
        <f>"20190305135942663"</f>
        <v>20190305135942663</v>
      </c>
      <c r="B5906" t="str">
        <f>"1551765582654395"</f>
        <v>1551765582654395</v>
      </c>
      <c r="C5906" t="s">
        <v>40</v>
      </c>
      <c r="D5906">
        <v>4.3434210000000002</v>
      </c>
      <c r="E5906">
        <v>0.48508190000000001</v>
      </c>
      <c r="F5906" t="s">
        <v>95</v>
      </c>
      <c r="G5906">
        <v>-210.12350000000001</v>
      </c>
      <c r="H5906" s="1">
        <v>8.6785559999999996E-7</v>
      </c>
      <c r="I5906">
        <v>-60.797620000000002</v>
      </c>
      <c r="J5906">
        <v>-223.16800000000001</v>
      </c>
      <c r="K5906">
        <v>1.1092740000000001</v>
      </c>
      <c r="L5906">
        <v>-62.358699999999999</v>
      </c>
      <c r="M5906">
        <v>0.99980919999999895</v>
      </c>
      <c r="N5906">
        <v>-1.374965E-2</v>
      </c>
      <c r="O5906">
        <v>1.387972E-2</v>
      </c>
      <c r="P5906">
        <v>0.99544949999999999</v>
      </c>
      <c r="Q5906">
        <v>4.037371E-2</v>
      </c>
      <c r="R5906">
        <v>8.6316519999999994E-2</v>
      </c>
      <c r="S5906">
        <v>2.9933779999999999</v>
      </c>
      <c r="T5906">
        <v>-0.25139830000000002</v>
      </c>
      <c r="U5906">
        <v>0.35424800000000001</v>
      </c>
      <c r="V5906">
        <v>-7.2423790000000002E-2</v>
      </c>
      <c r="W5906">
        <v>5.4161559999999997E-2</v>
      </c>
      <c r="X5906">
        <v>0.99590219999999896</v>
      </c>
      <c r="Y5906">
        <v>-0.103343</v>
      </c>
      <c r="Z5906">
        <v>4.0620259999999998E-3</v>
      </c>
      <c r="AA5906">
        <v>0.99463749999999995</v>
      </c>
      <c r="AB5906">
        <v>32</v>
      </c>
      <c r="AC5906">
        <v>13.044499999999999</v>
      </c>
      <c r="AD5906">
        <v>-1.1092731321443901</v>
      </c>
      <c r="AE5906">
        <v>1.56108</v>
      </c>
      <c r="AF5906">
        <v>-1.37009070757795</v>
      </c>
      <c r="AG5906">
        <v>-1.1092731321443901</v>
      </c>
      <c r="AH5906">
        <v>12.972428386751499</v>
      </c>
      <c r="AI5906">
        <v>94.860573099515193</v>
      </c>
      <c r="AJ5906">
        <v>96.028976934443094</v>
      </c>
      <c r="AK5906">
        <v>13.091658935294801</v>
      </c>
      <c r="AL5906">
        <v>86.895251787660101</v>
      </c>
      <c r="AM5906">
        <v>94.159329772127407</v>
      </c>
      <c r="AN5906">
        <v>0.99999993595221603</v>
      </c>
    </row>
    <row r="5907" spans="1:40" x14ac:dyDescent="0.25">
      <c r="A5907" t="str">
        <f>"20190305135942673"</f>
        <v>20190305135942673</v>
      </c>
      <c r="B5907" t="str">
        <f>"1551765582665131"</f>
        <v>1551765582665131</v>
      </c>
      <c r="C5907" t="s">
        <v>40</v>
      </c>
      <c r="D5907">
        <v>4.385338</v>
      </c>
      <c r="E5907">
        <v>0.48629899999999998</v>
      </c>
      <c r="F5907" t="s">
        <v>43</v>
      </c>
      <c r="G5907">
        <v>-209.39240000000001</v>
      </c>
      <c r="H5907">
        <v>-0.05</v>
      </c>
      <c r="I5907">
        <v>-60.716749999999998</v>
      </c>
      <c r="J5907">
        <v>-223.0127</v>
      </c>
      <c r="K5907">
        <v>1.109291</v>
      </c>
      <c r="L5907">
        <v>-62.356780000000001</v>
      </c>
      <c r="M5907">
        <v>0.99981279999999995</v>
      </c>
      <c r="N5907">
        <v>-1.3748109999999999E-2</v>
      </c>
      <c r="O5907">
        <v>1.361972E-2</v>
      </c>
      <c r="P5907">
        <v>0.99509890000000001</v>
      </c>
      <c r="Q5907">
        <v>4.097199E-2</v>
      </c>
      <c r="R5907">
        <v>8.9998709999999996E-2</v>
      </c>
      <c r="S5907">
        <v>2.9930110000000001</v>
      </c>
      <c r="T5907">
        <v>-0.25187369999999998</v>
      </c>
      <c r="U5907">
        <v>0.35675050000000003</v>
      </c>
      <c r="V5907">
        <v>-7.6369850000000003E-2</v>
      </c>
      <c r="W5907">
        <v>5.4757199999999999E-2</v>
      </c>
      <c r="X5907">
        <v>0.99557479999999998</v>
      </c>
      <c r="Y5907">
        <v>-0.10442949999999999</v>
      </c>
      <c r="Z5907">
        <v>4.1393150000000002E-3</v>
      </c>
      <c r="AA5907">
        <v>0.99452370000000001</v>
      </c>
      <c r="AB5907">
        <v>32</v>
      </c>
      <c r="AC5907">
        <v>13.620299999999901</v>
      </c>
      <c r="AD5907">
        <v>-1.1592910000000001</v>
      </c>
      <c r="AE5907">
        <v>1.6400300000000101</v>
      </c>
      <c r="AF5907">
        <v>-1.44404372047839</v>
      </c>
      <c r="AG5907">
        <v>-1.1592910000000001</v>
      </c>
      <c r="AH5907">
        <v>13.544652705026699</v>
      </c>
      <c r="AI5907">
        <v>94.864605680230198</v>
      </c>
      <c r="AJ5907">
        <v>96.085519900698202</v>
      </c>
      <c r="AK5907">
        <v>13.670655975084699</v>
      </c>
      <c r="AL5907">
        <v>86.861073429922001</v>
      </c>
      <c r="AM5907">
        <v>94.386528919292701</v>
      </c>
      <c r="AN5907">
        <v>0.99999994366794898</v>
      </c>
    </row>
    <row r="5908" spans="1:40" x14ac:dyDescent="0.25">
      <c r="A5908" t="str">
        <f>"20190305135942684"</f>
        <v>20190305135942684</v>
      </c>
      <c r="B5908" t="str">
        <f>"1551765582674890"</f>
        <v>1551765582674890</v>
      </c>
      <c r="C5908" t="s">
        <v>40</v>
      </c>
      <c r="D5908">
        <v>4.390409</v>
      </c>
      <c r="E5908">
        <v>0.48720409999999997</v>
      </c>
      <c r="F5908" t="s">
        <v>82</v>
      </c>
      <c r="G5908">
        <v>-209.65049999999999</v>
      </c>
      <c r="H5908" s="1">
        <v>-2.4579910000000001E-7</v>
      </c>
      <c r="I5908">
        <v>-60.757449999999999</v>
      </c>
      <c r="J5908">
        <v>-222.86279999999999</v>
      </c>
      <c r="K5908">
        <v>1.1093120000000001</v>
      </c>
      <c r="L5908">
        <v>-62.354950000000002</v>
      </c>
      <c r="M5908">
        <v>0.99981609999999999</v>
      </c>
      <c r="N5908">
        <v>-1.3746680000000001E-2</v>
      </c>
      <c r="O5908">
        <v>1.3381509999999999E-2</v>
      </c>
      <c r="P5908">
        <v>0.99466540000000003</v>
      </c>
      <c r="Q5908">
        <v>4.162627E-2</v>
      </c>
      <c r="R5908">
        <v>9.4383839999999997E-2</v>
      </c>
      <c r="S5908">
        <v>2.9926149999999998</v>
      </c>
      <c r="T5908">
        <v>-0.24843670000000001</v>
      </c>
      <c r="U5908">
        <v>0.35818480000000003</v>
      </c>
      <c r="V5908">
        <v>-8.0998959999999995E-2</v>
      </c>
      <c r="W5908">
        <v>5.540805E-2</v>
      </c>
      <c r="X5908">
        <v>0.99517290000000003</v>
      </c>
      <c r="Y5908">
        <v>-0.1051579</v>
      </c>
      <c r="Z5908">
        <v>4.147113E-3</v>
      </c>
      <c r="AA5908">
        <v>0.99444690000000002</v>
      </c>
      <c r="AB5908">
        <v>32</v>
      </c>
      <c r="AC5908">
        <v>13.212300000000001</v>
      </c>
      <c r="AD5908">
        <v>-1.1093122457991</v>
      </c>
      <c r="AE5908">
        <v>1.5974999999999999</v>
      </c>
      <c r="AF5908">
        <v>-1.41073819546361</v>
      </c>
      <c r="AG5908">
        <v>-1.1093122457991</v>
      </c>
      <c r="AH5908">
        <v>13.141193315836</v>
      </c>
      <c r="AI5908">
        <v>94.797739935651606</v>
      </c>
      <c r="AJ5908">
        <v>96.127371043333298</v>
      </c>
      <c r="AK5908">
        <v>13.263171478910801</v>
      </c>
      <c r="AL5908">
        <v>86.823725922164002</v>
      </c>
      <c r="AM5908">
        <v>94.653152243498795</v>
      </c>
      <c r="AN5908">
        <v>0.99999999221014702</v>
      </c>
    </row>
    <row r="5909" spans="1:40" x14ac:dyDescent="0.25">
      <c r="A5909" t="str">
        <f>"20190305135942695"</f>
        <v>20190305135942695</v>
      </c>
      <c r="B5909" t="str">
        <f>"1551765582684652"</f>
        <v>1551765582684652</v>
      </c>
      <c r="C5909" t="s">
        <v>40</v>
      </c>
      <c r="D5909">
        <v>4.3921199999999896</v>
      </c>
      <c r="E5909">
        <v>0.4879444</v>
      </c>
      <c r="F5909" t="s">
        <v>82</v>
      </c>
      <c r="G5909">
        <v>-209.3664</v>
      </c>
      <c r="H5909" s="1">
        <v>-4.2012230000000001E-7</v>
      </c>
      <c r="I5909">
        <v>-60.712719999999997</v>
      </c>
      <c r="J5909">
        <v>-222.6985</v>
      </c>
      <c r="K5909">
        <v>1.109335</v>
      </c>
      <c r="L5909">
        <v>-62.3529699999999</v>
      </c>
      <c r="M5909">
        <v>0.99981940000000002</v>
      </c>
      <c r="N5909">
        <v>-1.3745169999999999E-2</v>
      </c>
      <c r="O5909">
        <v>1.312904E-2</v>
      </c>
      <c r="P5909">
        <v>0.9942204</v>
      </c>
      <c r="Q5909">
        <v>4.2491849999999998E-2</v>
      </c>
      <c r="R5909">
        <v>9.859184E-2</v>
      </c>
      <c r="S5909">
        <v>2.9918369999999999</v>
      </c>
      <c r="T5909">
        <v>-0.2459083</v>
      </c>
      <c r="U5909">
        <v>0.36404419999999998</v>
      </c>
      <c r="V5909">
        <v>-8.5464129999999999E-2</v>
      </c>
      <c r="W5909">
        <v>5.6268819999999997E-2</v>
      </c>
      <c r="X5909">
        <v>0.9947511</v>
      </c>
      <c r="Y5909">
        <v>-0.1073568</v>
      </c>
      <c r="Z5909">
        <v>4.2369309999999898E-3</v>
      </c>
      <c r="AA5909">
        <v>0.99421159999999997</v>
      </c>
      <c r="AB5909">
        <v>32</v>
      </c>
      <c r="AC5909">
        <v>13.332099999999899</v>
      </c>
      <c r="AD5909">
        <v>-1.1093354201223</v>
      </c>
      <c r="AE5909">
        <v>1.64024999999999</v>
      </c>
      <c r="AF5909">
        <v>-1.4551299611522199</v>
      </c>
      <c r="AG5909">
        <v>-1.1093354201223</v>
      </c>
      <c r="AH5909">
        <v>13.262036412938601</v>
      </c>
      <c r="AI5909">
        <v>94.753120733049997</v>
      </c>
      <c r="AJ5909">
        <v>96.261529487016205</v>
      </c>
      <c r="AK5909">
        <v>13.387667388170801</v>
      </c>
      <c r="AL5909">
        <v>86.774330469599093</v>
      </c>
      <c r="AM5909">
        <v>94.910513568542896</v>
      </c>
      <c r="AN5909">
        <v>1.0000000242860201</v>
      </c>
    </row>
    <row r="5910" spans="1:40" x14ac:dyDescent="0.25">
      <c r="A5910" t="str">
        <f>"20190305135942708"</f>
        <v>20190305135942708</v>
      </c>
      <c r="B5910" t="str">
        <f>"1551765582694411"</f>
        <v>1551765582694411</v>
      </c>
      <c r="C5910" t="s">
        <v>40</v>
      </c>
      <c r="D5910">
        <v>4.4047660000000004</v>
      </c>
      <c r="E5910">
        <v>0.48842809999999998</v>
      </c>
      <c r="F5910" t="s">
        <v>82</v>
      </c>
      <c r="G5910">
        <v>-208.99799999999999</v>
      </c>
      <c r="H5910" s="1">
        <v>-6.4611879999999995E-7</v>
      </c>
      <c r="I5910">
        <v>-60.654139999999998</v>
      </c>
      <c r="J5910">
        <v>-222.53540000000001</v>
      </c>
      <c r="K5910">
        <v>1.1093580000000001</v>
      </c>
      <c r="L5910">
        <v>-62.351069999999901</v>
      </c>
      <c r="M5910">
        <v>0.99982260000000001</v>
      </c>
      <c r="N5910">
        <v>-1.372988E-2</v>
      </c>
      <c r="O5910">
        <v>1.290174E-2</v>
      </c>
      <c r="P5910">
        <v>0.99372709999999997</v>
      </c>
      <c r="Q5910">
        <v>4.3407179999999997E-2</v>
      </c>
      <c r="R5910">
        <v>0.103064</v>
      </c>
      <c r="S5910">
        <v>2.9910130000000001</v>
      </c>
      <c r="T5910">
        <v>-0.24218429999999999</v>
      </c>
      <c r="U5910">
        <v>0.37088009999999999</v>
      </c>
      <c r="V5910">
        <v>-9.0170120000000006E-2</v>
      </c>
      <c r="W5910">
        <v>5.7163829999999999E-2</v>
      </c>
      <c r="X5910">
        <v>0.99428450000000002</v>
      </c>
      <c r="Y5910">
        <v>-0.1098544</v>
      </c>
      <c r="Z5910">
        <v>4.3193540000000001E-3</v>
      </c>
      <c r="AA5910">
        <v>0.99393830000000005</v>
      </c>
      <c r="AB5910">
        <v>32</v>
      </c>
      <c r="AC5910">
        <v>13.5374</v>
      </c>
      <c r="AD5910">
        <v>-1.1093586461188001</v>
      </c>
      <c r="AE5910">
        <v>1.6969299999999801</v>
      </c>
      <c r="AF5910">
        <v>-1.51211884409379</v>
      </c>
      <c r="AG5910">
        <v>-1.1093586461188001</v>
      </c>
      <c r="AH5910">
        <v>13.469116903041799</v>
      </c>
      <c r="AI5910">
        <v>94.679169131379595</v>
      </c>
      <c r="AJ5910">
        <v>96.405525590163805</v>
      </c>
      <c r="AK5910">
        <v>13.599054752157899</v>
      </c>
      <c r="AL5910">
        <v>86.722967450924003</v>
      </c>
      <c r="AM5910">
        <v>95.181890477496793</v>
      </c>
      <c r="AN5910">
        <v>1.0000000104706599</v>
      </c>
    </row>
    <row r="5911" spans="1:40" x14ac:dyDescent="0.25">
      <c r="A5911" t="str">
        <f>"20190305135942719"</f>
        <v>20190305135942719</v>
      </c>
      <c r="B5911" t="str">
        <f>"1551765582714907"</f>
        <v>1551765582714907</v>
      </c>
      <c r="C5911" t="s">
        <v>40</v>
      </c>
      <c r="D5911">
        <v>4.3917719999999996</v>
      </c>
      <c r="E5911">
        <v>0.48969360000000001</v>
      </c>
      <c r="F5911" t="s">
        <v>82</v>
      </c>
      <c r="G5911">
        <v>-208.7482</v>
      </c>
      <c r="H5911" s="1">
        <v>-7.970116E-7</v>
      </c>
      <c r="I5911">
        <v>-60.597290000000001</v>
      </c>
      <c r="J5911">
        <v>-222.3691</v>
      </c>
      <c r="K5911">
        <v>1.1093839999999999</v>
      </c>
      <c r="L5911">
        <v>-62.349150000000002</v>
      </c>
      <c r="M5911">
        <v>0.99982570000000004</v>
      </c>
      <c r="N5911">
        <v>-1.370944E-2</v>
      </c>
      <c r="O5911">
        <v>1.2678160000000001E-2</v>
      </c>
      <c r="P5911">
        <v>0.99322759999999999</v>
      </c>
      <c r="Q5911">
        <v>4.4091810000000002E-2</v>
      </c>
      <c r="R5911">
        <v>0.1074946</v>
      </c>
      <c r="S5911">
        <v>2.990021</v>
      </c>
      <c r="T5911">
        <v>-0.2405852</v>
      </c>
      <c r="U5911">
        <v>0.38034059999999997</v>
      </c>
      <c r="V5911">
        <v>-9.4831730000000003E-2</v>
      </c>
      <c r="W5911">
        <v>5.7822209999999999E-2</v>
      </c>
      <c r="X5911">
        <v>0.99381260000000005</v>
      </c>
      <c r="Y5911">
        <v>-0.1132039</v>
      </c>
      <c r="Z5911">
        <v>4.4681670000000003E-3</v>
      </c>
      <c r="AA5911">
        <v>0.99356169999999999</v>
      </c>
      <c r="AB5911">
        <v>32</v>
      </c>
      <c r="AC5911">
        <v>13.620900000000001</v>
      </c>
      <c r="AD5911">
        <v>-1.1093847970116</v>
      </c>
      <c r="AE5911">
        <v>1.75186</v>
      </c>
      <c r="AF5911">
        <v>-1.5687776230750801</v>
      </c>
      <c r="AG5911">
        <v>-1.1093847970116</v>
      </c>
      <c r="AH5911">
        <v>13.553570897524001</v>
      </c>
      <c r="AI5911">
        <v>94.648436690478903</v>
      </c>
      <c r="AJ5911">
        <v>96.602402633280093</v>
      </c>
      <c r="AK5911">
        <v>13.689086234395299</v>
      </c>
      <c r="AL5911">
        <v>86.685182436102394</v>
      </c>
      <c r="AM5911">
        <v>95.450782333805805</v>
      </c>
      <c r="AN5911">
        <v>0.99999997445141797</v>
      </c>
    </row>
    <row r="5912" spans="1:40" x14ac:dyDescent="0.25">
      <c r="A5912" t="str">
        <f>"20190305135942730"</f>
        <v>20190305135942730</v>
      </c>
      <c r="B5912" t="str">
        <f>"1551765582724666"</f>
        <v>1551765582724666</v>
      </c>
      <c r="C5912" t="s">
        <v>40</v>
      </c>
      <c r="D5912">
        <v>4.4134549999999999</v>
      </c>
      <c r="E5912">
        <v>0.4903537</v>
      </c>
      <c r="F5912" t="s">
        <v>82</v>
      </c>
      <c r="G5912">
        <v>-208.58179999999999</v>
      </c>
      <c r="H5912" s="1">
        <v>-9.0036040000000002E-7</v>
      </c>
      <c r="I5912">
        <v>-60.580210000000001</v>
      </c>
      <c r="J5912">
        <v>-222.20740000000001</v>
      </c>
      <c r="K5912">
        <v>1.109413</v>
      </c>
      <c r="L5912">
        <v>-62.347290000000001</v>
      </c>
      <c r="M5912">
        <v>0.99982850000000001</v>
      </c>
      <c r="N5912">
        <v>-1.366361E-2</v>
      </c>
      <c r="O5912">
        <v>1.250483E-2</v>
      </c>
      <c r="P5912">
        <v>0.99268880000000004</v>
      </c>
      <c r="Q5912">
        <v>4.4516559999999997E-2</v>
      </c>
      <c r="R5912">
        <v>0.1121938</v>
      </c>
      <c r="S5912">
        <v>2.9896240000000001</v>
      </c>
      <c r="T5912">
        <v>-0.24055799999999999</v>
      </c>
      <c r="U5912">
        <v>0.38357540000000001</v>
      </c>
      <c r="V5912">
        <v>-9.971323E-2</v>
      </c>
      <c r="W5912">
        <v>5.8192559999999997E-2</v>
      </c>
      <c r="X5912">
        <v>0.99331309999999995</v>
      </c>
      <c r="Y5912">
        <v>-0.11444559999999999</v>
      </c>
      <c r="Z5912">
        <v>4.5345610000000003E-3</v>
      </c>
      <c r="AA5912">
        <v>0.99341919999999995</v>
      </c>
      <c r="AB5912">
        <v>32</v>
      </c>
      <c r="AC5912">
        <v>13.6256</v>
      </c>
      <c r="AD5912">
        <v>-1.1094139003604</v>
      </c>
      <c r="AE5912">
        <v>1.76708</v>
      </c>
      <c r="AF5912">
        <v>-1.58619844927425</v>
      </c>
      <c r="AG5912">
        <v>-1.1094139003604</v>
      </c>
      <c r="AH5912">
        <v>13.558236948951601</v>
      </c>
      <c r="AI5912">
        <v>94.646303986556802</v>
      </c>
      <c r="AJ5912">
        <v>96.672785895581995</v>
      </c>
      <c r="AK5912">
        <v>13.6957151652154</v>
      </c>
      <c r="AL5912">
        <v>86.663927266432097</v>
      </c>
      <c r="AM5912">
        <v>95.732403904768603</v>
      </c>
      <c r="AN5912">
        <v>1.00000000845399</v>
      </c>
    </row>
    <row r="5913" spans="1:40" x14ac:dyDescent="0.25">
      <c r="A5913" t="str">
        <f>"20190305135942741"</f>
        <v>20190305135942741</v>
      </c>
      <c r="B5913" t="str">
        <f>"1551765582734426"</f>
        <v>1551765582734426</v>
      </c>
      <c r="C5913" t="s">
        <v>40</v>
      </c>
      <c r="D5913">
        <v>4.322546</v>
      </c>
      <c r="E5913">
        <v>0.49111260000000001</v>
      </c>
      <c r="F5913" t="s">
        <v>82</v>
      </c>
      <c r="G5913">
        <v>-208.3818</v>
      </c>
      <c r="H5913" s="1">
        <v>-1.0207649999999999E-6</v>
      </c>
      <c r="I5913">
        <v>-60.531529999999997</v>
      </c>
      <c r="J5913">
        <v>-222.0471</v>
      </c>
      <c r="K5913">
        <v>1.109442</v>
      </c>
      <c r="L5913">
        <v>-62.34543</v>
      </c>
      <c r="M5913">
        <v>0.99983120000000003</v>
      </c>
      <c r="N5913">
        <v>-1.3614569999999999E-2</v>
      </c>
      <c r="O5913">
        <v>1.234525E-2</v>
      </c>
      <c r="P5913">
        <v>0.99214550000000001</v>
      </c>
      <c r="Q5913">
        <v>4.4733000000000002E-2</v>
      </c>
      <c r="R5913">
        <v>0.11681850000000001</v>
      </c>
      <c r="S5913">
        <v>2.98848</v>
      </c>
      <c r="T5913">
        <v>-0.23980580000000001</v>
      </c>
      <c r="U5913">
        <v>0.39248660000000002</v>
      </c>
      <c r="V5913">
        <v>-0.10450719999999999</v>
      </c>
      <c r="W5913">
        <v>5.8349650000000003E-2</v>
      </c>
      <c r="X5913">
        <v>0.992811</v>
      </c>
      <c r="Y5913">
        <v>-0.1175553</v>
      </c>
      <c r="Z5913">
        <v>4.6766569999999999E-3</v>
      </c>
      <c r="AA5913">
        <v>0.99305529999999997</v>
      </c>
      <c r="AB5913">
        <v>32</v>
      </c>
      <c r="AC5913">
        <v>13.6653</v>
      </c>
      <c r="AD5913">
        <v>-1.1094430207649999</v>
      </c>
      <c r="AE5913">
        <v>1.8139000000000001</v>
      </c>
      <c r="AF5913">
        <v>-1.6344578923761801</v>
      </c>
      <c r="AG5913">
        <v>-1.1094430207649999</v>
      </c>
      <c r="AH5913">
        <v>13.5985730783176</v>
      </c>
      <c r="AI5913">
        <v>94.630976418017298</v>
      </c>
      <c r="AJ5913">
        <v>96.853693371818295</v>
      </c>
      <c r="AK5913">
        <v>13.7413065675946</v>
      </c>
      <c r="AL5913">
        <v>86.654911522269103</v>
      </c>
      <c r="AM5913">
        <v>96.009050418416905</v>
      </c>
      <c r="AN5913">
        <v>1.0000000591139699</v>
      </c>
    </row>
    <row r="5914" spans="1:40" x14ac:dyDescent="0.25">
      <c r="A5914" t="str">
        <f>"20190305135942752"</f>
        <v>20190305135942752</v>
      </c>
      <c r="B5914" t="str">
        <f>"1551765582745163"</f>
        <v>1551765582745163</v>
      </c>
      <c r="C5914" t="s">
        <v>40</v>
      </c>
      <c r="D5914">
        <v>4.1936640000000001</v>
      </c>
      <c r="E5914">
        <v>0.49111260000000001</v>
      </c>
      <c r="F5914" t="s">
        <v>82</v>
      </c>
      <c r="G5914">
        <v>-208.1524</v>
      </c>
      <c r="H5914" s="1">
        <v>-1.159774E-6</v>
      </c>
      <c r="I5914">
        <v>-60.483020000000003</v>
      </c>
      <c r="J5914">
        <v>-221.8758</v>
      </c>
      <c r="K5914">
        <v>1.1094759999999999</v>
      </c>
      <c r="L5914">
        <v>-62.34348</v>
      </c>
      <c r="M5914">
        <v>0.99983379999999999</v>
      </c>
      <c r="N5914">
        <v>-1.3551270000000001E-2</v>
      </c>
      <c r="O5914">
        <v>1.221174E-2</v>
      </c>
      <c r="P5914">
        <v>0.99153579999999997</v>
      </c>
      <c r="Q5914">
        <v>4.5136419999999997E-2</v>
      </c>
      <c r="R5914">
        <v>0.121735999999999</v>
      </c>
      <c r="S5914">
        <v>2.9873810000000001</v>
      </c>
      <c r="T5914">
        <v>-0.23853279999999999</v>
      </c>
      <c r="U5914">
        <v>0.40042109999999997</v>
      </c>
      <c r="V5914">
        <v>-0.10956970000000001</v>
      </c>
      <c r="W5914">
        <v>5.8676199999999998E-2</v>
      </c>
      <c r="X5914">
        <v>0.99224570000000001</v>
      </c>
      <c r="Y5914">
        <v>-0.1203202</v>
      </c>
      <c r="Z5914">
        <v>4.7907039999999998E-3</v>
      </c>
      <c r="AA5914">
        <v>0.99272360000000004</v>
      </c>
      <c r="AB5914">
        <v>32</v>
      </c>
      <c r="AC5914">
        <v>13.7233999999999</v>
      </c>
      <c r="AD5914">
        <v>-1.1094771597740001</v>
      </c>
      <c r="AE5914">
        <v>1.86046000000001</v>
      </c>
      <c r="AF5914">
        <v>-1.6819246006967199</v>
      </c>
      <c r="AG5914">
        <v>-1.1094771597740001</v>
      </c>
      <c r="AH5914">
        <v>13.657443721706301</v>
      </c>
      <c r="AI5914">
        <v>94.609614315704206</v>
      </c>
      <c r="AJ5914">
        <v>97.020669234132399</v>
      </c>
      <c r="AK5914">
        <v>13.805273591713499</v>
      </c>
      <c r="AL5914">
        <v>86.6361691827546</v>
      </c>
      <c r="AM5914">
        <v>96.301412217529403</v>
      </c>
      <c r="AN5914">
        <v>0.99999997238650895</v>
      </c>
    </row>
    <row r="5915" spans="1:40" x14ac:dyDescent="0.25">
      <c r="A5915" t="str">
        <f>"20190305135942763"</f>
        <v>20190305135942763</v>
      </c>
      <c r="B5915" t="str">
        <f>"1551765582754923"</f>
        <v>1551765582754923</v>
      </c>
      <c r="C5915" t="s">
        <v>40</v>
      </c>
      <c r="D5915">
        <v>4.2968070000000003</v>
      </c>
      <c r="E5915">
        <v>0.50284779999999996</v>
      </c>
      <c r="F5915" t="s">
        <v>82</v>
      </c>
      <c r="G5915">
        <v>-207.91929999999999</v>
      </c>
      <c r="H5915" s="1">
        <v>-1.2966870000000001E-6</v>
      </c>
      <c r="I5915">
        <v>-60.402230000000003</v>
      </c>
      <c r="J5915">
        <v>-221.72319999999999</v>
      </c>
      <c r="K5915">
        <v>1.1095090000000001</v>
      </c>
      <c r="L5915">
        <v>-62.341709999999999</v>
      </c>
      <c r="M5915">
        <v>0.99983569999999999</v>
      </c>
      <c r="N5915">
        <v>-1.348779E-2</v>
      </c>
      <c r="O5915">
        <v>1.2114720000000001E-2</v>
      </c>
      <c r="P5915">
        <v>0.99084019999999995</v>
      </c>
      <c r="Q5915">
        <v>4.4925930000000003E-2</v>
      </c>
      <c r="R5915">
        <v>0.12734809999999999</v>
      </c>
      <c r="S5915">
        <v>2.9854280000000002</v>
      </c>
      <c r="T5915">
        <v>-0.23732839999999999</v>
      </c>
      <c r="U5915">
        <v>0.41525269999999997</v>
      </c>
      <c r="V5915">
        <v>-0.1152924</v>
      </c>
      <c r="W5915">
        <v>5.8388210000000003E-2</v>
      </c>
      <c r="X5915">
        <v>0.991614</v>
      </c>
      <c r="Y5915">
        <v>-0.12532750000000001</v>
      </c>
      <c r="Z5915">
        <v>5.0064559999999899E-3</v>
      </c>
      <c r="AA5915">
        <v>0.99210279999999995</v>
      </c>
      <c r="AB5915">
        <v>32</v>
      </c>
      <c r="AC5915">
        <v>13.803900000000001</v>
      </c>
      <c r="AD5915">
        <v>-1.1095102966869901</v>
      </c>
      <c r="AE5915">
        <v>1.9394799999999901</v>
      </c>
      <c r="AF5915">
        <v>-1.7609359464186001</v>
      </c>
      <c r="AG5915">
        <v>-1.1095102966869901</v>
      </c>
      <c r="AH5915">
        <v>13.7393419353841</v>
      </c>
      <c r="AI5915">
        <v>94.579559930756403</v>
      </c>
      <c r="AJ5915">
        <v>97.303633685351997</v>
      </c>
      <c r="AK5915">
        <v>13.8960938872493</v>
      </c>
      <c r="AL5915">
        <v>86.6526979671182</v>
      </c>
      <c r="AM5915">
        <v>96.631855955548502</v>
      </c>
      <c r="AN5915">
        <v>0.99999992278037897</v>
      </c>
    </row>
    <row r="5916" spans="1:40" x14ac:dyDescent="0.25">
      <c r="A5916" t="str">
        <f>"20190305135942773"</f>
        <v>20190305135942773</v>
      </c>
      <c r="B5916" t="str">
        <f>"1551765582764683"</f>
        <v>1551765582764683</v>
      </c>
      <c r="C5916" t="s">
        <v>40</v>
      </c>
      <c r="D5916">
        <v>4.3919119999999996</v>
      </c>
      <c r="E5916">
        <v>0.50261549999999999</v>
      </c>
      <c r="F5916" t="s">
        <v>82</v>
      </c>
      <c r="G5916">
        <v>-209.59229999999999</v>
      </c>
      <c r="H5916" s="1">
        <v>-3.1336590000000001E-7</v>
      </c>
      <c r="I5916">
        <v>-60.977040000000002</v>
      </c>
      <c r="J5916">
        <v>-221.56790000000001</v>
      </c>
      <c r="K5916">
        <v>1.109542</v>
      </c>
      <c r="L5916">
        <v>-62.339939999999999</v>
      </c>
      <c r="M5916">
        <v>0.99983759999999999</v>
      </c>
      <c r="N5916">
        <v>-1.341612E-2</v>
      </c>
      <c r="O5916">
        <v>1.2037519999999999E-2</v>
      </c>
      <c r="P5916">
        <v>0.99009729999999996</v>
      </c>
      <c r="Q5916">
        <v>4.497454E-2</v>
      </c>
      <c r="R5916">
        <v>0.13298299999999999</v>
      </c>
      <c r="S5916">
        <v>2.9968409999999999</v>
      </c>
      <c r="T5916">
        <v>-0.27409430000000001</v>
      </c>
      <c r="U5916">
        <v>0.33712769999999997</v>
      </c>
      <c r="V5916">
        <v>-0.1210183</v>
      </c>
      <c r="W5916">
        <v>5.8347759999999999E-2</v>
      </c>
      <c r="X5916">
        <v>0.99093399999999998</v>
      </c>
      <c r="Y5916">
        <v>-9.9383620000000006E-2</v>
      </c>
      <c r="Z5916">
        <v>4.2573130000000004E-3</v>
      </c>
      <c r="AA5916">
        <v>0.99504009999999998</v>
      </c>
      <c r="AB5916">
        <v>32</v>
      </c>
      <c r="AC5916">
        <v>11.9756</v>
      </c>
      <c r="AD5916">
        <v>-1.1095423133658999</v>
      </c>
      <c r="AE5916">
        <v>1.3629</v>
      </c>
      <c r="AF5916">
        <v>-1.20839146019874</v>
      </c>
      <c r="AG5916">
        <v>-1.1095423133658999</v>
      </c>
      <c r="AH5916">
        <v>11.890376840007701</v>
      </c>
      <c r="AI5916">
        <v>95.303915798141404</v>
      </c>
      <c r="AJ5916">
        <v>95.802914242656698</v>
      </c>
      <c r="AK5916">
        <v>12.0030144323675</v>
      </c>
      <c r="AL5916">
        <v>86.655019936086504</v>
      </c>
      <c r="AM5916">
        <v>96.962795886697606</v>
      </c>
      <c r="AN5916">
        <v>1.00000004119395</v>
      </c>
    </row>
    <row r="5917" spans="1:40" x14ac:dyDescent="0.25">
      <c r="A5917" t="str">
        <f>"20190305135942785"</f>
        <v>20190305135942785</v>
      </c>
      <c r="B5917" t="str">
        <f>"1551765582774443"</f>
        <v>1551765582774443</v>
      </c>
      <c r="C5917" t="s">
        <v>40</v>
      </c>
      <c r="D5917">
        <v>4.3782769999999998</v>
      </c>
      <c r="E5917">
        <v>0.50278590000000001</v>
      </c>
      <c r="F5917" t="s">
        <v>82</v>
      </c>
      <c r="G5917">
        <v>-208.8305</v>
      </c>
      <c r="H5917" s="1">
        <v>-7.7597340000000003E-7</v>
      </c>
      <c r="I5917">
        <v>-60.822040000000001</v>
      </c>
      <c r="J5917">
        <v>-221.4076</v>
      </c>
      <c r="K5917">
        <v>1.109577</v>
      </c>
      <c r="L5917">
        <v>-62.338039999999999</v>
      </c>
      <c r="M5917">
        <v>0.99983909999999998</v>
      </c>
      <c r="N5917">
        <v>-1.333664E-2</v>
      </c>
      <c r="O5917">
        <v>1.1999050000000001E-2</v>
      </c>
      <c r="P5917">
        <v>0.98930090000000004</v>
      </c>
      <c r="Q5917">
        <v>4.5297560000000001E-2</v>
      </c>
      <c r="R5917">
        <v>0.13867889999999999</v>
      </c>
      <c r="S5917">
        <v>2.9939269999999998</v>
      </c>
      <c r="T5917">
        <v>-0.26079770000000002</v>
      </c>
      <c r="U5917">
        <v>0.35678100000000001</v>
      </c>
      <c r="V5917">
        <v>-0.12676879999999999</v>
      </c>
      <c r="W5917">
        <v>5.8570520000000001E-2</v>
      </c>
      <c r="X5917">
        <v>0.99020160000000002</v>
      </c>
      <c r="Y5917">
        <v>-0.1059817</v>
      </c>
      <c r="Z5917">
        <v>4.421726E-3</v>
      </c>
      <c r="AA5917">
        <v>0.99435819999999997</v>
      </c>
      <c r="AB5917">
        <v>32</v>
      </c>
      <c r="AC5917">
        <v>12.5771</v>
      </c>
      <c r="AD5917">
        <v>-1.10957777597339</v>
      </c>
      <c r="AE5917">
        <v>1.51599999999999</v>
      </c>
      <c r="AF5917">
        <v>-1.35457233883027</v>
      </c>
      <c r="AG5917">
        <v>-1.10957777597339</v>
      </c>
      <c r="AH5917">
        <v>12.4985021763632</v>
      </c>
      <c r="AI5917">
        <v>95.043857026778298</v>
      </c>
      <c r="AJ5917">
        <v>96.185503493055904</v>
      </c>
      <c r="AK5917">
        <v>12.620562020552599</v>
      </c>
      <c r="AL5917">
        <v>86.6422347977188</v>
      </c>
      <c r="AM5917">
        <v>97.295505421463403</v>
      </c>
      <c r="AN5917">
        <v>1.0000000215545299</v>
      </c>
    </row>
    <row r="5918" spans="1:40" x14ac:dyDescent="0.25">
      <c r="A5918" t="str">
        <f>"20190305135942796"</f>
        <v>20190305135942796</v>
      </c>
      <c r="B5918" t="str">
        <f>"1551765582785179"</f>
        <v>1551765582785179</v>
      </c>
      <c r="C5918" t="s">
        <v>40</v>
      </c>
      <c r="D5918">
        <v>4.2806449999999998</v>
      </c>
      <c r="E5918">
        <v>0.50418220000000002</v>
      </c>
      <c r="F5918" t="s">
        <v>82</v>
      </c>
      <c r="G5918">
        <v>-208.2482</v>
      </c>
      <c r="H5918" s="1">
        <v>-1.128718E-6</v>
      </c>
      <c r="I5918">
        <v>-60.697009999999999</v>
      </c>
      <c r="J5918">
        <v>-221.23689999999999</v>
      </c>
      <c r="K5918">
        <v>1.1096189999999999</v>
      </c>
      <c r="L5918">
        <v>-62.336030000000001</v>
      </c>
      <c r="M5918">
        <v>0.99984059999999997</v>
      </c>
      <c r="N5918">
        <v>-1.324878E-2</v>
      </c>
      <c r="O5918">
        <v>1.1981830000000001E-2</v>
      </c>
      <c r="P5918">
        <v>0.98846610000000001</v>
      </c>
      <c r="Q5918">
        <v>4.5214919999999999E-2</v>
      </c>
      <c r="R5918">
        <v>0.14453629999999901</v>
      </c>
      <c r="S5918">
        <v>2.991714</v>
      </c>
      <c r="T5918">
        <v>-0.25225520000000001</v>
      </c>
      <c r="U5918">
        <v>0.3730774</v>
      </c>
      <c r="V5918">
        <v>-0.13266069999999999</v>
      </c>
      <c r="W5918">
        <v>5.8375360000000001E-2</v>
      </c>
      <c r="X5918">
        <v>0.98944100000000001</v>
      </c>
      <c r="Y5918">
        <v>-0.1114238</v>
      </c>
      <c r="Z5918">
        <v>4.5672050000000004E-3</v>
      </c>
      <c r="AA5918">
        <v>0.99376249999999999</v>
      </c>
      <c r="AB5918">
        <v>32</v>
      </c>
      <c r="AC5918">
        <v>12.9886999999999</v>
      </c>
      <c r="AD5918">
        <v>-1.1096201287180001</v>
      </c>
      <c r="AE5918">
        <v>1.6390199999999999</v>
      </c>
      <c r="AF5918">
        <v>-1.4726807972820799</v>
      </c>
      <c r="AG5918">
        <v>-1.1096201287180001</v>
      </c>
      <c r="AH5918">
        <v>12.914631058948901</v>
      </c>
      <c r="AI5918">
        <v>94.879304048330795</v>
      </c>
      <c r="AJ5918">
        <v>96.505450200622704</v>
      </c>
      <c r="AK5918">
        <v>13.0456023605469</v>
      </c>
      <c r="AL5918">
        <v>86.653435795682498</v>
      </c>
      <c r="AM5918">
        <v>97.636470935437302</v>
      </c>
      <c r="AN5918">
        <v>1.0000000182302999</v>
      </c>
    </row>
    <row r="5919" spans="1:40" x14ac:dyDescent="0.25">
      <c r="A5919" t="str">
        <f>"20190305135942808"</f>
        <v>20190305135942808</v>
      </c>
      <c r="B5919" t="str">
        <f>"1551765582804699"</f>
        <v>1551765582804699</v>
      </c>
      <c r="C5919" t="s">
        <v>40</v>
      </c>
      <c r="D5919">
        <v>4.2714980000000002</v>
      </c>
      <c r="E5919">
        <v>0.50701309999999999</v>
      </c>
      <c r="F5919" t="s">
        <v>82</v>
      </c>
      <c r="G5919">
        <v>-207.47450000000001</v>
      </c>
      <c r="H5919" s="1">
        <v>-1.6049249999999999E-6</v>
      </c>
      <c r="I5919">
        <v>-60.5852199999999</v>
      </c>
      <c r="J5919">
        <v>-221.07859999999999</v>
      </c>
      <c r="K5919">
        <v>1.109674</v>
      </c>
      <c r="L5919">
        <v>-62.33408</v>
      </c>
      <c r="M5919">
        <v>0.99984070000000003</v>
      </c>
      <c r="N5919">
        <v>-1.3168869999999999E-2</v>
      </c>
      <c r="O5919">
        <v>1.2045139999999999E-2</v>
      </c>
      <c r="P5919">
        <v>0.98760970000000003</v>
      </c>
      <c r="Q5919">
        <v>4.4533830000000003E-2</v>
      </c>
      <c r="R5919">
        <v>0.15047849999999999</v>
      </c>
      <c r="S5919">
        <v>2.9904169999999999</v>
      </c>
      <c r="T5919">
        <v>-0.2411085</v>
      </c>
      <c r="U5919">
        <v>0.3804321</v>
      </c>
      <c r="V5919">
        <v>-0.13855979999999901</v>
      </c>
      <c r="W5919">
        <v>5.7584669999999998E-2</v>
      </c>
      <c r="X5919">
        <v>0.98867850000000002</v>
      </c>
      <c r="Y5919">
        <v>-0.1138441</v>
      </c>
      <c r="Z5919">
        <v>4.5100490000000003E-3</v>
      </c>
      <c r="AA5919">
        <v>0.99348840000000005</v>
      </c>
      <c r="AB5919">
        <v>32</v>
      </c>
      <c r="AC5919">
        <v>13.604099999999899</v>
      </c>
      <c r="AD5919">
        <v>-1.1096756049250001</v>
      </c>
      <c r="AE5919">
        <v>1.7488600000000101</v>
      </c>
      <c r="AF5919">
        <v>-1.5745495983756199</v>
      </c>
      <c r="AG5919">
        <v>-1.1096756049250001</v>
      </c>
      <c r="AH5919">
        <v>13.535584655502801</v>
      </c>
      <c r="AI5919">
        <v>94.655493294705195</v>
      </c>
      <c r="AJ5919">
        <v>96.635205964374705</v>
      </c>
      <c r="AK5919">
        <v>13.6719654165812</v>
      </c>
      <c r="AL5919">
        <v>86.698815257133901</v>
      </c>
      <c r="AM5919">
        <v>97.977840919199593</v>
      </c>
      <c r="AN5919">
        <v>0.99999999437864895</v>
      </c>
    </row>
    <row r="5920" spans="1:40" x14ac:dyDescent="0.25">
      <c r="A5920" t="str">
        <f>"20190305135942821"</f>
        <v>20190305135942821</v>
      </c>
      <c r="B5920" t="str">
        <f>"1551765582814458"</f>
        <v>1551765582814458</v>
      </c>
      <c r="C5920" t="s">
        <v>40</v>
      </c>
      <c r="D5920">
        <v>4.302746</v>
      </c>
      <c r="E5920">
        <v>0.50702079999999905</v>
      </c>
      <c r="F5920" t="s">
        <v>82</v>
      </c>
      <c r="G5920">
        <v>-207.41829999999999</v>
      </c>
      <c r="H5920" s="1">
        <v>-1.645126E-6</v>
      </c>
      <c r="I5920">
        <v>-60.617260000000002</v>
      </c>
      <c r="J5920">
        <v>-220.91069999999999</v>
      </c>
      <c r="K5920">
        <v>1.1097330000000001</v>
      </c>
      <c r="L5920">
        <v>-62.332000000000001</v>
      </c>
      <c r="M5920">
        <v>0.99984090000000003</v>
      </c>
      <c r="N5920">
        <v>-1.308494E-2</v>
      </c>
      <c r="O5920">
        <v>1.2136050000000001E-2</v>
      </c>
      <c r="P5920">
        <v>0.98671319999999996</v>
      </c>
      <c r="Q5920">
        <v>4.3723159999999997E-2</v>
      </c>
      <c r="R5920">
        <v>0.1564789</v>
      </c>
      <c r="S5920">
        <v>2.9913180000000001</v>
      </c>
      <c r="T5920">
        <v>-0.2429945</v>
      </c>
      <c r="U5920">
        <v>0.375946</v>
      </c>
      <c r="V5920">
        <v>-0.14449100000000001</v>
      </c>
      <c r="W5920">
        <v>5.6655400000000002E-2</v>
      </c>
      <c r="X5920">
        <v>0.98788290000000001</v>
      </c>
      <c r="Y5920">
        <v>-0.1122508</v>
      </c>
      <c r="Z5920">
        <v>4.4505120000000002E-3</v>
      </c>
      <c r="AA5920">
        <v>0.99366989999999999</v>
      </c>
      <c r="AB5920">
        <v>32</v>
      </c>
      <c r="AC5920">
        <v>13.4924</v>
      </c>
      <c r="AD5920">
        <v>-1.109734645126</v>
      </c>
      <c r="AE5920">
        <v>1.7147399999999999</v>
      </c>
      <c r="AF5920">
        <v>-1.54059895810993</v>
      </c>
      <c r="AG5920">
        <v>-1.109734645126</v>
      </c>
      <c r="AH5920">
        <v>13.4228574896228</v>
      </c>
      <c r="AI5920">
        <v>94.695492841861807</v>
      </c>
      <c r="AJ5920">
        <v>96.547432723945406</v>
      </c>
      <c r="AK5920">
        <v>13.556476655792499</v>
      </c>
      <c r="AL5920">
        <v>86.752145772967907</v>
      </c>
      <c r="AM5920">
        <v>98.321265009651796</v>
      </c>
      <c r="AN5920">
        <v>1.0000000537712801</v>
      </c>
    </row>
    <row r="5921" spans="1:40" x14ac:dyDescent="0.25">
      <c r="A5921" t="str">
        <f>"20190305135942865"</f>
        <v>20190305135942865</v>
      </c>
      <c r="B5921" t="str">
        <f>"1551765582854475"</f>
        <v>1551765582854475</v>
      </c>
      <c r="C5921" t="s">
        <v>40</v>
      </c>
      <c r="D5921">
        <v>3.9282110000000001</v>
      </c>
      <c r="E5921">
        <v>0.50702079999999905</v>
      </c>
      <c r="F5921" t="s">
        <v>82</v>
      </c>
      <c r="G5921">
        <v>-207.35749999999999</v>
      </c>
      <c r="H5921" s="1">
        <v>-1.6738580000000001E-6</v>
      </c>
      <c r="I5921">
        <v>-60.546109999999999</v>
      </c>
      <c r="J5921">
        <v>-220.26669999999999</v>
      </c>
      <c r="K5921">
        <v>1.1100639999999999</v>
      </c>
      <c r="L5921">
        <v>-62.323090000000001</v>
      </c>
      <c r="M5921">
        <v>0.99983109999999997</v>
      </c>
      <c r="N5921">
        <v>-1.2793469999999999E-2</v>
      </c>
      <c r="O5921">
        <v>1.319828E-2</v>
      </c>
      <c r="P5921">
        <v>0.98171269999999999</v>
      </c>
      <c r="Q5921">
        <v>3.5970799999999997E-2</v>
      </c>
      <c r="R5921">
        <v>0.18693969999999999</v>
      </c>
      <c r="S5921">
        <v>2.9887999999999999</v>
      </c>
      <c r="T5921">
        <v>-0.24472189999999999</v>
      </c>
      <c r="U5921">
        <v>0.39382929999999999</v>
      </c>
      <c r="V5921">
        <v>-0.1740101</v>
      </c>
      <c r="W5921">
        <v>4.8398009999999998E-2</v>
      </c>
      <c r="X5921">
        <v>0.98355380000000003</v>
      </c>
      <c r="Y5921">
        <v>-0.11712599999999999</v>
      </c>
      <c r="Z5921">
        <v>4.6144640000000004E-3</v>
      </c>
      <c r="AA5921">
        <v>0.99310639999999994</v>
      </c>
      <c r="AB5921">
        <v>32</v>
      </c>
      <c r="AC5921">
        <v>12.909199999999901</v>
      </c>
      <c r="AD5921">
        <v>-1.1100656738579999</v>
      </c>
      <c r="AE5921">
        <v>1.77698</v>
      </c>
      <c r="AF5921">
        <v>-1.59485841746997</v>
      </c>
      <c r="AG5921">
        <v>-1.1100656738579999</v>
      </c>
      <c r="AH5921">
        <v>12.8383646516433</v>
      </c>
      <c r="AI5921">
        <v>94.904262479931106</v>
      </c>
      <c r="AJ5921">
        <v>97.081346339028897</v>
      </c>
      <c r="AK5921">
        <v>12.9845841712631</v>
      </c>
      <c r="AL5921">
        <v>87.225914526845997</v>
      </c>
      <c r="AM5921">
        <v>100.032936150042</v>
      </c>
      <c r="AN5921">
        <v>0.99999997988420397</v>
      </c>
    </row>
    <row r="5922" spans="1:40" x14ac:dyDescent="0.25">
      <c r="A5922" t="str">
        <f>"20190305135942885"</f>
        <v>20190305135942885</v>
      </c>
      <c r="B5922" t="str">
        <f>"1551765582874971"</f>
        <v>1551765582874971</v>
      </c>
      <c r="C5922" t="s">
        <v>40</v>
      </c>
      <c r="D5922">
        <v>3.782117</v>
      </c>
      <c r="E5922">
        <v>0.36024630000000002</v>
      </c>
      <c r="F5922" t="s">
        <v>82</v>
      </c>
      <c r="G5922">
        <v>-207.93610000000001</v>
      </c>
      <c r="H5922" s="1">
        <v>-1.301155E-6</v>
      </c>
      <c r="I5922">
        <v>-60.317160000000001</v>
      </c>
      <c r="J5922">
        <v>-219.95679999999999</v>
      </c>
      <c r="K5922">
        <v>1.1102620000000001</v>
      </c>
      <c r="L5922">
        <v>-62.318119999999901</v>
      </c>
      <c r="M5922">
        <v>0.99982040000000005</v>
      </c>
      <c r="N5922">
        <v>-1.2669730000000001E-2</v>
      </c>
      <c r="O5922">
        <v>1.410264E-2</v>
      </c>
      <c r="P5922">
        <v>0.97839140000000002</v>
      </c>
      <c r="Q5922">
        <v>3.1787839999999998E-2</v>
      </c>
      <c r="R5922">
        <v>0.20430390000000001</v>
      </c>
      <c r="S5922">
        <v>2.973557</v>
      </c>
      <c r="T5922">
        <v>-0.26769500000000002</v>
      </c>
      <c r="U5922">
        <v>0.4837341</v>
      </c>
      <c r="V5922">
        <v>-0.19054869999999999</v>
      </c>
      <c r="W5922">
        <v>4.393909E-2</v>
      </c>
      <c r="X5922">
        <v>0.98069390000000001</v>
      </c>
      <c r="Y5922">
        <v>-0.14601410000000001</v>
      </c>
      <c r="Z5922">
        <v>6.3686280000000003E-3</v>
      </c>
      <c r="AA5922">
        <v>0.98926199999999997</v>
      </c>
      <c r="AB5922">
        <v>32</v>
      </c>
      <c r="AC5922">
        <v>12.0206999999999</v>
      </c>
      <c r="AD5922">
        <v>-1.110263301155</v>
      </c>
      <c r="AE5922">
        <v>2.0009599999999899</v>
      </c>
      <c r="AF5922">
        <v>-1.8161482183300499</v>
      </c>
      <c r="AG5922">
        <v>-1.110263301155</v>
      </c>
      <c r="AH5922">
        <v>11.9485424460371</v>
      </c>
      <c r="AI5922">
        <v>95.248759818604995</v>
      </c>
      <c r="AJ5922">
        <v>98.6426608779839</v>
      </c>
      <c r="AK5922">
        <v>12.136669458034399</v>
      </c>
      <c r="AL5922">
        <v>87.481664779027</v>
      </c>
      <c r="AM5922">
        <v>100.995559061507</v>
      </c>
      <c r="AN5922">
        <v>0.999999988099464</v>
      </c>
    </row>
    <row r="5923" spans="1:40" x14ac:dyDescent="0.25">
      <c r="A5923" t="str">
        <f>"20190305135942897"</f>
        <v>20190305135942897</v>
      </c>
      <c r="B5923" t="str">
        <f>"1551765582894491"</f>
        <v>1551765582894491</v>
      </c>
      <c r="C5923" t="s">
        <v>40</v>
      </c>
      <c r="D5923">
        <v>4.0030080000000003</v>
      </c>
      <c r="E5923">
        <v>0.36461929999999998</v>
      </c>
      <c r="F5923" t="s">
        <v>41</v>
      </c>
      <c r="G5923">
        <v>-219.0797</v>
      </c>
      <c r="H5923">
        <v>1.0110129999999999</v>
      </c>
      <c r="I5923">
        <v>-61.776870000000002</v>
      </c>
      <c r="J5923">
        <v>-219.79400000000001</v>
      </c>
      <c r="K5923">
        <v>1.110374</v>
      </c>
      <c r="L5923">
        <v>-62.315370000000001</v>
      </c>
      <c r="M5923">
        <v>0.99981279999999995</v>
      </c>
      <c r="N5923">
        <v>-1.2608599999999999E-2</v>
      </c>
      <c r="O5923">
        <v>1.467068E-2</v>
      </c>
      <c r="P5923">
        <v>0.97658129999999999</v>
      </c>
      <c r="Q5923">
        <v>2.988072E-2</v>
      </c>
      <c r="R5923">
        <v>0.21306330000000001</v>
      </c>
      <c r="S5923">
        <v>2.7251129999999999</v>
      </c>
      <c r="T5923">
        <v>-0.30837510000000001</v>
      </c>
      <c r="U5923">
        <v>1.6817629999999999</v>
      </c>
      <c r="V5923">
        <v>-0.1987855</v>
      </c>
      <c r="W5923">
        <v>4.188153E-2</v>
      </c>
      <c r="X5923">
        <v>0.97914769999999896</v>
      </c>
      <c r="Y5923">
        <v>-0.50999629999999996</v>
      </c>
      <c r="Z5923">
        <v>2.8598169999999999E-2</v>
      </c>
      <c r="AA5923">
        <v>0.8597011</v>
      </c>
      <c r="AB5923">
        <v>32</v>
      </c>
      <c r="AC5923">
        <v>0.71430000000000804</v>
      </c>
      <c r="AD5923">
        <v>-9.9361000000000005E-2</v>
      </c>
      <c r="AE5923">
        <v>0.53849999999999898</v>
      </c>
      <c r="AF5923">
        <v>-0.52152755288321895</v>
      </c>
      <c r="AG5923">
        <v>-9.9361000000000005E-2</v>
      </c>
      <c r="AH5923">
        <v>0.71332322777097901</v>
      </c>
      <c r="AI5923">
        <v>96.415675678514503</v>
      </c>
      <c r="AJ5923">
        <v>126.171424476737</v>
      </c>
      <c r="AK5923">
        <v>0.88920955011457603</v>
      </c>
      <c r="AL5923">
        <v>87.599662965991101</v>
      </c>
      <c r="AM5923">
        <v>101.476153653136</v>
      </c>
      <c r="AN5923">
        <v>0.99999997799034002</v>
      </c>
    </row>
    <row r="5924" spans="1:40" x14ac:dyDescent="0.25">
      <c r="A5924" t="str">
        <f>"20190305135942909"</f>
        <v>20190305135942909</v>
      </c>
      <c r="B5924" t="str">
        <f>"1551765582905227"</f>
        <v>1551765582905227</v>
      </c>
      <c r="C5924" t="s">
        <v>40</v>
      </c>
      <c r="D5924">
        <v>4.0140089999999997</v>
      </c>
      <c r="E5924">
        <v>0.36628699999999997</v>
      </c>
      <c r="F5924" t="s">
        <v>41</v>
      </c>
      <c r="G5924">
        <v>-219.0598</v>
      </c>
      <c r="H5924">
        <v>1.0312650000000001</v>
      </c>
      <c r="I5924">
        <v>-61.863190000000003</v>
      </c>
      <c r="J5924">
        <v>-219.62819999999999</v>
      </c>
      <c r="K5924">
        <v>1.110501</v>
      </c>
      <c r="L5924">
        <v>-62.312260000000002</v>
      </c>
      <c r="M5924">
        <v>0.99980279999999999</v>
      </c>
      <c r="N5924">
        <v>-1.255232E-2</v>
      </c>
      <c r="O5924">
        <v>1.539632E-2</v>
      </c>
      <c r="P5924">
        <v>0.97466010000000003</v>
      </c>
      <c r="Q5924">
        <v>2.7799129999999998E-2</v>
      </c>
      <c r="R5924">
        <v>0.22195690000000001</v>
      </c>
      <c r="S5924">
        <v>2.7159580000000001</v>
      </c>
      <c r="T5924">
        <v>-0.2926224</v>
      </c>
      <c r="U5924">
        <v>1.6726989999999999</v>
      </c>
      <c r="V5924">
        <v>-0.20700589999999999</v>
      </c>
      <c r="W5924">
        <v>3.9641309999999999E-2</v>
      </c>
      <c r="X5924">
        <v>0.97753630000000002</v>
      </c>
      <c r="Y5924">
        <v>-0.5088279</v>
      </c>
      <c r="Z5924">
        <v>2.7269600000000001E-2</v>
      </c>
      <c r="AA5924">
        <v>0.86043630000000004</v>
      </c>
      <c r="AB5924">
        <v>32</v>
      </c>
      <c r="AC5924">
        <v>0.56839999999999602</v>
      </c>
      <c r="AD5924">
        <v>-7.9236000000000001E-2</v>
      </c>
      <c r="AE5924">
        <v>0.44906999999999098</v>
      </c>
      <c r="AF5924">
        <v>-0.43505948507317499</v>
      </c>
      <c r="AG5924">
        <v>-7.9236000000000001E-2</v>
      </c>
      <c r="AH5924">
        <v>0.56844594634582801</v>
      </c>
      <c r="AI5924">
        <v>96.316449270932395</v>
      </c>
      <c r="AJ5924">
        <v>127.428597345228</v>
      </c>
      <c r="AK5924">
        <v>0.72019850955492903</v>
      </c>
      <c r="AL5924">
        <v>87.728125067482395</v>
      </c>
      <c r="AM5924">
        <v>101.956483994812</v>
      </c>
      <c r="AN5924">
        <v>1.0000000469554999</v>
      </c>
    </row>
    <row r="5925" spans="1:40" x14ac:dyDescent="0.25">
      <c r="A5925" t="str">
        <f>"20190305135942920"</f>
        <v>20190305135942920</v>
      </c>
      <c r="B5925" t="str">
        <f>"1551765582914986"</f>
        <v>1551765582914986</v>
      </c>
      <c r="C5925" t="s">
        <v>40</v>
      </c>
      <c r="D5925">
        <v>3.9993439999999998</v>
      </c>
      <c r="E5925">
        <v>0.36861569999999999</v>
      </c>
      <c r="F5925" t="s">
        <v>41</v>
      </c>
      <c r="G5925">
        <v>-218.78739999999999</v>
      </c>
      <c r="H5925">
        <v>1.0221530000000001</v>
      </c>
      <c r="I5925">
        <v>-61.788089999999997</v>
      </c>
      <c r="J5925">
        <v>-219.45419999999999</v>
      </c>
      <c r="K5925">
        <v>1.110635</v>
      </c>
      <c r="L5925">
        <v>-62.308900000000001</v>
      </c>
      <c r="M5925">
        <v>0.99979050000000003</v>
      </c>
      <c r="N5925">
        <v>-1.249516E-2</v>
      </c>
      <c r="O5925">
        <v>1.6209439999999999E-2</v>
      </c>
      <c r="P5925">
        <v>0.97270469999999998</v>
      </c>
      <c r="Q5925">
        <v>2.5778390000000002E-2</v>
      </c>
      <c r="R5925">
        <v>0.2306106</v>
      </c>
      <c r="S5925">
        <v>2.702423</v>
      </c>
      <c r="T5925">
        <v>-0.283968099999999</v>
      </c>
      <c r="U5925">
        <v>1.6848749999999999</v>
      </c>
      <c r="V5925">
        <v>-0.2149045</v>
      </c>
      <c r="W5925">
        <v>3.7452340000000001E-2</v>
      </c>
      <c r="X5925">
        <v>0.97591669999999997</v>
      </c>
      <c r="Y5925">
        <v>-0.51294519999999999</v>
      </c>
      <c r="Z5925">
        <v>2.6791410000000002E-2</v>
      </c>
      <c r="AA5925">
        <v>0.85800319999999997</v>
      </c>
      <c r="AB5925">
        <v>32</v>
      </c>
      <c r="AC5925">
        <v>0.66679999999999495</v>
      </c>
      <c r="AD5925">
        <v>-8.8481999999999894E-2</v>
      </c>
      <c r="AE5925">
        <v>0.520809999999997</v>
      </c>
      <c r="AF5925">
        <v>-0.50441572056663098</v>
      </c>
      <c r="AG5925">
        <v>-8.8481999999999894E-2</v>
      </c>
      <c r="AH5925">
        <v>0.66785112187695905</v>
      </c>
      <c r="AI5925">
        <v>96.034975770145394</v>
      </c>
      <c r="AJ5925">
        <v>127.06308282790199</v>
      </c>
      <c r="AK5925">
        <v>0.84159931349251205</v>
      </c>
      <c r="AL5925">
        <v>87.853637038843004</v>
      </c>
      <c r="AM5925">
        <v>102.41877615305999</v>
      </c>
      <c r="AN5925">
        <v>1.0000000136153</v>
      </c>
    </row>
    <row r="5926" spans="1:40" x14ac:dyDescent="0.25">
      <c r="A5926" t="str">
        <f>"20190305135942931"</f>
        <v>20190305135942931</v>
      </c>
      <c r="B5926" t="str">
        <f>"1551765582924747"</f>
        <v>1551765582924747</v>
      </c>
      <c r="C5926" t="s">
        <v>40</v>
      </c>
      <c r="D5926">
        <v>3.9624450000000002</v>
      </c>
      <c r="E5926">
        <v>0.3706488</v>
      </c>
      <c r="F5926" t="s">
        <v>41</v>
      </c>
      <c r="G5926">
        <v>-218.51410000000001</v>
      </c>
      <c r="H5926">
        <v>1.0141830000000001</v>
      </c>
      <c r="I5926">
        <v>-61.7181199999999</v>
      </c>
      <c r="J5926">
        <v>-219.2979</v>
      </c>
      <c r="K5926">
        <v>1.1107629999999999</v>
      </c>
      <c r="L5926">
        <v>-62.305570000000003</v>
      </c>
      <c r="M5926">
        <v>0.99977680000000002</v>
      </c>
      <c r="N5926">
        <v>-1.244871E-2</v>
      </c>
      <c r="O5926">
        <v>1.706655E-2</v>
      </c>
      <c r="P5926">
        <v>0.97078779999999998</v>
      </c>
      <c r="Q5926">
        <v>2.317377E-2</v>
      </c>
      <c r="R5926">
        <v>0.23881830000000001</v>
      </c>
      <c r="S5926">
        <v>2.6905670000000002</v>
      </c>
      <c r="T5926">
        <v>-0.27603569999999999</v>
      </c>
      <c r="U5926">
        <v>1.6910099999999999</v>
      </c>
      <c r="V5926">
        <v>-0.22231119999999999</v>
      </c>
      <c r="W5926">
        <v>3.469088E-2</v>
      </c>
      <c r="X5926">
        <v>0.97435839999999996</v>
      </c>
      <c r="Y5926">
        <v>-0.51540540000000001</v>
      </c>
      <c r="Z5926">
        <v>2.62702E-2</v>
      </c>
      <c r="AA5926">
        <v>0.85654370000000002</v>
      </c>
      <c r="AB5926">
        <v>32</v>
      </c>
      <c r="AC5926">
        <v>0.78379999999998495</v>
      </c>
      <c r="AD5926">
        <v>-9.6579999999999805E-2</v>
      </c>
      <c r="AE5926">
        <v>0.58745000000000402</v>
      </c>
      <c r="AF5926">
        <v>-0.56846004760463698</v>
      </c>
      <c r="AG5926">
        <v>-9.6579999999999805E-2</v>
      </c>
      <c r="AH5926">
        <v>0.78607015718879603</v>
      </c>
      <c r="AI5926">
        <v>95.685569660913004</v>
      </c>
      <c r="AJ5926">
        <v>125.87321485737201</v>
      </c>
      <c r="AK5926">
        <v>0.97487476844233001</v>
      </c>
      <c r="AL5926">
        <v>88.011960117228497</v>
      </c>
      <c r="AM5926">
        <v>102.85268559329199</v>
      </c>
      <c r="AN5926">
        <v>1.0000000092255801</v>
      </c>
    </row>
    <row r="5927" spans="1:40" x14ac:dyDescent="0.25">
      <c r="A5927" t="str">
        <f>"20190305135942942"</f>
        <v>20190305135942942</v>
      </c>
      <c r="B5927" t="str">
        <f>"1551765582934508"</f>
        <v>1551765582934508</v>
      </c>
      <c r="C5927" t="s">
        <v>40</v>
      </c>
      <c r="D5927">
        <v>3.969627</v>
      </c>
      <c r="E5927">
        <v>0.37247669999999999</v>
      </c>
      <c r="F5927" t="s">
        <v>41</v>
      </c>
      <c r="G5927">
        <v>-218.4956</v>
      </c>
      <c r="H5927">
        <v>1.0291870000000001</v>
      </c>
      <c r="I5927">
        <v>-61.797179999999997</v>
      </c>
      <c r="J5927">
        <v>-219.13409999999999</v>
      </c>
      <c r="K5927">
        <v>1.110897</v>
      </c>
      <c r="L5927">
        <v>-62.301940000000002</v>
      </c>
      <c r="M5927">
        <v>0.9997606</v>
      </c>
      <c r="N5927">
        <v>-1.2402369999999999E-2</v>
      </c>
      <c r="O5927">
        <v>1.8025880000000001E-2</v>
      </c>
      <c r="P5927">
        <v>0.96878770000000003</v>
      </c>
      <c r="Q5927">
        <v>2.0367590000000001E-2</v>
      </c>
      <c r="R5927">
        <v>0.24705360000000001</v>
      </c>
      <c r="S5927">
        <v>2.6790769999999999</v>
      </c>
      <c r="T5927">
        <v>-0.27241890000000002</v>
      </c>
      <c r="U5927">
        <v>1.6979979999999999</v>
      </c>
      <c r="V5927">
        <v>-0.22964889999999999</v>
      </c>
      <c r="W5927">
        <v>3.1719909999999997E-2</v>
      </c>
      <c r="X5927">
        <v>0.97275650000000002</v>
      </c>
      <c r="Y5927">
        <v>-0.51786659999999995</v>
      </c>
      <c r="Z5927">
        <v>2.6084409999999999E-2</v>
      </c>
      <c r="AA5927">
        <v>0.85506360000000003</v>
      </c>
      <c r="AB5927">
        <v>32</v>
      </c>
      <c r="AC5927">
        <v>0.63849999999999296</v>
      </c>
      <c r="AD5927">
        <v>-8.1709999999999894E-2</v>
      </c>
      <c r="AE5927">
        <v>0.50475999999999699</v>
      </c>
      <c r="AF5927">
        <v>-0.48824686334247402</v>
      </c>
      <c r="AG5927">
        <v>-8.1709999999999894E-2</v>
      </c>
      <c r="AH5927">
        <v>0.64103513566922199</v>
      </c>
      <c r="AI5927">
        <v>95.790145780165403</v>
      </c>
      <c r="AJ5927">
        <v>127.29485030371499</v>
      </c>
      <c r="AK5927">
        <v>0.80993059506739395</v>
      </c>
      <c r="AL5927">
        <v>88.182278106127299</v>
      </c>
      <c r="AM5927">
        <v>103.283208496863</v>
      </c>
      <c r="AN5927">
        <v>0.999999989126934</v>
      </c>
    </row>
    <row r="5928" spans="1:40" x14ac:dyDescent="0.25">
      <c r="A5928" t="str">
        <f>"20190305135942953"</f>
        <v>20190305135942953</v>
      </c>
      <c r="B5928" t="str">
        <f>"1551765582945242"</f>
        <v>1551765582945242</v>
      </c>
      <c r="C5928" t="s">
        <v>40</v>
      </c>
      <c r="D5928">
        <v>3.995241</v>
      </c>
      <c r="E5928">
        <v>0.3738609</v>
      </c>
      <c r="F5928" t="s">
        <v>41</v>
      </c>
      <c r="G5928">
        <v>-218.2242</v>
      </c>
      <c r="H5928">
        <v>1.017085</v>
      </c>
      <c r="I5928">
        <v>-61.719869999999901</v>
      </c>
      <c r="J5928">
        <v>-218.98159999999999</v>
      </c>
      <c r="K5928">
        <v>1.1110150000000001</v>
      </c>
      <c r="L5928">
        <v>-62.298310000000001</v>
      </c>
      <c r="M5928">
        <v>0.99974300000000005</v>
      </c>
      <c r="N5928">
        <v>-1.236246E-2</v>
      </c>
      <c r="O5928">
        <v>1.900485E-2</v>
      </c>
      <c r="P5928">
        <v>0.96684309999999996</v>
      </c>
      <c r="Q5928">
        <v>1.5991020000000002E-2</v>
      </c>
      <c r="R5928">
        <v>0.2548705</v>
      </c>
      <c r="S5928">
        <v>2.6672820000000002</v>
      </c>
      <c r="T5928">
        <v>-0.27498709999999998</v>
      </c>
      <c r="U5928">
        <v>1.7063900000000001</v>
      </c>
      <c r="V5928">
        <v>-0.23654330000000001</v>
      </c>
      <c r="W5928">
        <v>2.7187639999999999E-2</v>
      </c>
      <c r="X5928">
        <v>0.97124049999999995</v>
      </c>
      <c r="Y5928">
        <v>-0.52059040000000001</v>
      </c>
      <c r="Z5928">
        <v>2.6419149999999999E-2</v>
      </c>
      <c r="AA5928">
        <v>0.85339769999999904</v>
      </c>
      <c r="AB5928">
        <v>32</v>
      </c>
      <c r="AC5928">
        <v>0.75739999999998897</v>
      </c>
      <c r="AD5928">
        <v>-9.3929999999999805E-2</v>
      </c>
      <c r="AE5928">
        <v>0.57844000000000695</v>
      </c>
      <c r="AF5928">
        <v>-0.55851465011285994</v>
      </c>
      <c r="AG5928">
        <v>-9.3929999999999805E-2</v>
      </c>
      <c r="AH5928">
        <v>0.76086603170121103</v>
      </c>
      <c r="AI5928">
        <v>95.683235613489501</v>
      </c>
      <c r="AJ5928">
        <v>126.28057674135501</v>
      </c>
      <c r="AK5928">
        <v>0.94851387838420098</v>
      </c>
      <c r="AL5928">
        <v>88.4420710116962</v>
      </c>
      <c r="AM5928">
        <v>103.68777059699801</v>
      </c>
      <c r="AN5928">
        <v>1.0000000046919499</v>
      </c>
    </row>
    <row r="5929" spans="1:40" x14ac:dyDescent="0.25">
      <c r="A5929" t="str">
        <f>"20190305135942963"</f>
        <v>20190305135942963</v>
      </c>
      <c r="B5929" t="str">
        <f>"1551765582955003"</f>
        <v>1551765582955003</v>
      </c>
      <c r="C5929" t="s">
        <v>40</v>
      </c>
      <c r="D5929">
        <v>3.9929779999999999</v>
      </c>
      <c r="E5929">
        <v>0.37549739999999998</v>
      </c>
      <c r="F5929" t="s">
        <v>41</v>
      </c>
      <c r="G5929">
        <v>-218.20609999999999</v>
      </c>
      <c r="H5929">
        <v>1.0295859999999999</v>
      </c>
      <c r="I5929">
        <v>-61.796729999999997</v>
      </c>
      <c r="J5929">
        <v>-218.82650000000001</v>
      </c>
      <c r="K5929">
        <v>1.111135</v>
      </c>
      <c r="L5929">
        <v>-62.294400000000003</v>
      </c>
      <c r="M5929">
        <v>0.99972249999999996</v>
      </c>
      <c r="N5929">
        <v>-1.232455E-2</v>
      </c>
      <c r="O5929">
        <v>2.0080609999999999E-2</v>
      </c>
      <c r="P5929">
        <v>0.96485849999999995</v>
      </c>
      <c r="Q5929">
        <v>1.101544E-2</v>
      </c>
      <c r="R5929">
        <v>0.26253910000000003</v>
      </c>
      <c r="S5929">
        <v>2.6547999999999998</v>
      </c>
      <c r="T5929">
        <v>-0.27875260000000002</v>
      </c>
      <c r="U5929">
        <v>1.717255</v>
      </c>
      <c r="V5929">
        <v>-0.24319440000000001</v>
      </c>
      <c r="W5929">
        <v>2.205414E-2</v>
      </c>
      <c r="X5929">
        <v>0.9697268</v>
      </c>
      <c r="Y5929">
        <v>-0.52387709999999998</v>
      </c>
      <c r="Z5929">
        <v>2.6878570000000001E-2</v>
      </c>
      <c r="AA5929">
        <v>0.85136970000000001</v>
      </c>
      <c r="AB5929">
        <v>32</v>
      </c>
      <c r="AC5929">
        <v>0.62040000000001705</v>
      </c>
      <c r="AD5929">
        <v>-8.1548999999999802E-2</v>
      </c>
      <c r="AE5929">
        <v>0.497669999999999</v>
      </c>
      <c r="AF5929">
        <v>-0.48006376010200202</v>
      </c>
      <c r="AG5929">
        <v>-8.1548999999999802E-2</v>
      </c>
      <c r="AH5929">
        <v>0.62371206241770905</v>
      </c>
      <c r="AI5929">
        <v>95.915363593471596</v>
      </c>
      <c r="AJ5929">
        <v>127.585051027665</v>
      </c>
      <c r="AK5929">
        <v>0.79128262332091304</v>
      </c>
      <c r="AL5929">
        <v>88.736288381068803</v>
      </c>
      <c r="AM5929">
        <v>104.078648519811</v>
      </c>
      <c r="AN5929">
        <v>0.99999998396036904</v>
      </c>
    </row>
    <row r="5930" spans="1:40" x14ac:dyDescent="0.25">
      <c r="A5930" t="str">
        <f>"20190305135942974"</f>
        <v>20190305135942974</v>
      </c>
      <c r="B5930" t="str">
        <f>"1551765582964764"</f>
        <v>1551765582964764</v>
      </c>
      <c r="C5930" t="s">
        <v>40</v>
      </c>
      <c r="D5930">
        <v>3.99308</v>
      </c>
      <c r="E5930">
        <v>0.37705939999999999</v>
      </c>
      <c r="F5930" t="s">
        <v>41</v>
      </c>
      <c r="G5930">
        <v>-217.93620000000001</v>
      </c>
      <c r="H5930">
        <v>1.0153219999999901</v>
      </c>
      <c r="I5930">
        <v>-61.713259999999998</v>
      </c>
      <c r="J5930">
        <v>-218.66499999999999</v>
      </c>
      <c r="K5930">
        <v>1.1112569999999999</v>
      </c>
      <c r="L5930">
        <v>-62.29016</v>
      </c>
      <c r="M5930">
        <v>0.99969830000000004</v>
      </c>
      <c r="N5930">
        <v>-1.228722E-2</v>
      </c>
      <c r="O5930">
        <v>2.1269059999999999E-2</v>
      </c>
      <c r="P5930">
        <v>0.96282160000000006</v>
      </c>
      <c r="Q5930">
        <v>5.2991660000000001E-3</v>
      </c>
      <c r="R5930">
        <v>0.27008589999999999</v>
      </c>
      <c r="S5930">
        <v>2.643005</v>
      </c>
      <c r="T5930">
        <v>-0.28444419999999998</v>
      </c>
      <c r="U5930">
        <v>1.725433</v>
      </c>
      <c r="V5930">
        <v>-0.24961359999999999</v>
      </c>
      <c r="W5930">
        <v>1.617439E-2</v>
      </c>
      <c r="X5930">
        <v>0.96821049999999997</v>
      </c>
      <c r="Y5930">
        <v>-0.5263388</v>
      </c>
      <c r="Z5930">
        <v>2.7446160000000001E-2</v>
      </c>
      <c r="AA5930">
        <v>0.84983180000000003</v>
      </c>
      <c r="AB5930">
        <v>32</v>
      </c>
      <c r="AC5930">
        <v>0.72879999999997802</v>
      </c>
      <c r="AD5930">
        <v>-9.5935000000000104E-2</v>
      </c>
      <c r="AE5930">
        <v>0.57690000000000197</v>
      </c>
      <c r="AF5930">
        <v>-0.55535143507022999</v>
      </c>
      <c r="AG5930">
        <v>-9.5935000000000104E-2</v>
      </c>
      <c r="AH5930">
        <v>0.73309671194239201</v>
      </c>
      <c r="AI5930">
        <v>95.955061819581303</v>
      </c>
      <c r="AJ5930">
        <v>127.14545211853699</v>
      </c>
      <c r="AK5930">
        <v>0.92468888266287197</v>
      </c>
      <c r="AL5930">
        <v>89.0732353665895</v>
      </c>
      <c r="AM5930">
        <v>104.45657952644</v>
      </c>
      <c r="AN5930">
        <v>1.00000006625353</v>
      </c>
    </row>
    <row r="5931" spans="1:40" x14ac:dyDescent="0.25">
      <c r="A5931" t="str">
        <f>"20190305135942987"</f>
        <v>20190305135942987</v>
      </c>
      <c r="B5931" t="str">
        <f>"1551765582974523"</f>
        <v>1551765582974523</v>
      </c>
      <c r="C5931" t="s">
        <v>40</v>
      </c>
      <c r="D5931">
        <v>4.0509789999999999</v>
      </c>
      <c r="E5931">
        <v>0.37705939999999999</v>
      </c>
      <c r="F5931" t="s">
        <v>41</v>
      </c>
      <c r="G5931">
        <v>-217.91630000000001</v>
      </c>
      <c r="H5931">
        <v>1.027528</v>
      </c>
      <c r="I5931">
        <v>-61.796900000000001</v>
      </c>
      <c r="J5931">
        <v>-218.5061</v>
      </c>
      <c r="K5931">
        <v>1.111375</v>
      </c>
      <c r="L5931">
        <v>-62.285580000000003</v>
      </c>
      <c r="M5931">
        <v>0.99967090000000003</v>
      </c>
      <c r="N5931">
        <v>-1.225859E-2</v>
      </c>
      <c r="O5931">
        <v>2.254391E-2</v>
      </c>
      <c r="P5931">
        <v>0.96072979999999997</v>
      </c>
      <c r="Q5931">
        <v>-1.294814E-3</v>
      </c>
      <c r="R5931">
        <v>0.27748329999999999</v>
      </c>
      <c r="S5931">
        <v>2.6310880000000001</v>
      </c>
      <c r="T5931">
        <v>-0.29426340000000001</v>
      </c>
      <c r="U5931">
        <v>1.733765</v>
      </c>
      <c r="V5931">
        <v>-0.25579679999999999</v>
      </c>
      <c r="W5931">
        <v>9.4248490000000008E-3</v>
      </c>
      <c r="X5931">
        <v>0.9666846</v>
      </c>
      <c r="Y5931">
        <v>-0.5287191</v>
      </c>
      <c r="Z5931">
        <v>2.8350799999999999E-2</v>
      </c>
      <c r="AA5931">
        <v>0.8483233</v>
      </c>
      <c r="AB5931">
        <v>32</v>
      </c>
      <c r="AC5931">
        <v>0.58979999999999599</v>
      </c>
      <c r="AD5931">
        <v>-8.3847000000000005E-2</v>
      </c>
      <c r="AE5931">
        <v>0.488680000000002</v>
      </c>
      <c r="AF5931">
        <v>-0.46963062543060802</v>
      </c>
      <c r="AG5931">
        <v>-8.3847000000000005E-2</v>
      </c>
      <c r="AH5931">
        <v>0.59355486832580695</v>
      </c>
      <c r="AI5931">
        <v>96.321477173866896</v>
      </c>
      <c r="AJ5931">
        <v>128.35163950828399</v>
      </c>
      <c r="AK5931">
        <v>0.76150549930030698</v>
      </c>
      <c r="AL5931">
        <v>89.459987920438607</v>
      </c>
      <c r="AM5931">
        <v>104.82147819996</v>
      </c>
      <c r="AN5931">
        <v>0.99999997327303602</v>
      </c>
    </row>
    <row r="5932" spans="1:40" x14ac:dyDescent="0.25">
      <c r="A5932" t="str">
        <f>"20190305135942998"</f>
        <v>20190305135942998</v>
      </c>
      <c r="B5932" t="str">
        <f>"1551765582995019"</f>
        <v>1551765582995019</v>
      </c>
      <c r="C5932" t="s">
        <v>40</v>
      </c>
      <c r="D5932">
        <v>4.1012050000000002</v>
      </c>
      <c r="E5932">
        <v>0.40374959999999999</v>
      </c>
      <c r="F5932" t="s">
        <v>41</v>
      </c>
      <c r="G5932">
        <v>-217.64750000000001</v>
      </c>
      <c r="H5932">
        <v>1.0080530000000001</v>
      </c>
      <c r="I5932">
        <v>-61.710019999999901</v>
      </c>
      <c r="J5932">
        <v>-218.32910000000001</v>
      </c>
      <c r="K5932">
        <v>1.111505</v>
      </c>
      <c r="L5932">
        <v>-62.280360000000002</v>
      </c>
      <c r="M5932">
        <v>0.999637</v>
      </c>
      <c r="N5932">
        <v>-1.222993E-2</v>
      </c>
      <c r="O5932">
        <v>2.4010569999999998E-2</v>
      </c>
      <c r="P5932">
        <v>0.95841120000000002</v>
      </c>
      <c r="Q5932">
        <v>-7.3385050000000004E-3</v>
      </c>
      <c r="R5932">
        <v>0.28529640000000001</v>
      </c>
      <c r="S5932">
        <v>2.6158290000000002</v>
      </c>
      <c r="T5932">
        <v>-0.31476910000000002</v>
      </c>
      <c r="U5932">
        <v>1.7532350000000001</v>
      </c>
      <c r="V5932">
        <v>-0.26221820000000001</v>
      </c>
      <c r="W5932">
        <v>3.2089330000000002E-3</v>
      </c>
      <c r="X5932">
        <v>0.96500330000000001</v>
      </c>
      <c r="Y5932">
        <v>-0.53373289999999995</v>
      </c>
      <c r="Z5932">
        <v>3.0294919999999999E-2</v>
      </c>
      <c r="AA5932">
        <v>0.84511039999999904</v>
      </c>
      <c r="AB5932">
        <v>32</v>
      </c>
      <c r="AC5932">
        <v>0.68160000000000298</v>
      </c>
      <c r="AD5932">
        <v>-0.103451999999999</v>
      </c>
      <c r="AE5932">
        <v>0.57034000000000096</v>
      </c>
      <c r="AF5932">
        <v>-0.54640518909745095</v>
      </c>
      <c r="AG5932">
        <v>-0.103451999999999</v>
      </c>
      <c r="AH5932">
        <v>0.68580632689340204</v>
      </c>
      <c r="AI5932">
        <v>96.728631668074897</v>
      </c>
      <c r="AJ5932">
        <v>128.54552240251601</v>
      </c>
      <c r="AK5932">
        <v>0.88294465567420599</v>
      </c>
      <c r="AL5932">
        <v>89.8161413714774</v>
      </c>
      <c r="AM5932">
        <v>105.20180285177</v>
      </c>
      <c r="AN5932">
        <v>1.00000002533656</v>
      </c>
    </row>
    <row r="5933" spans="1:40" x14ac:dyDescent="0.25">
      <c r="A5933" t="str">
        <f>"20190305135943010"</f>
        <v>20190305135943010</v>
      </c>
      <c r="B5933" t="str">
        <f>"1551765583004779"</f>
        <v>1551765583004779</v>
      </c>
      <c r="C5933" t="s">
        <v>40</v>
      </c>
      <c r="D5933">
        <v>4.1289490000000004</v>
      </c>
      <c r="E5933">
        <v>0.40606789999999998</v>
      </c>
      <c r="F5933" t="s">
        <v>41</v>
      </c>
      <c r="G5933">
        <v>-217.35890000000001</v>
      </c>
      <c r="H5933">
        <v>1.029126</v>
      </c>
      <c r="I5933">
        <v>-61.704729999999998</v>
      </c>
      <c r="J5933">
        <v>-218.15770000000001</v>
      </c>
      <c r="K5933">
        <v>1.1116250000000001</v>
      </c>
      <c r="L5933">
        <v>-62.27478</v>
      </c>
      <c r="M5933">
        <v>0.99959849999999995</v>
      </c>
      <c r="N5933">
        <v>-1.2212229999999999E-2</v>
      </c>
      <c r="O5933">
        <v>2.5569410000000001E-2</v>
      </c>
      <c r="P5933">
        <v>0.95602670000000001</v>
      </c>
      <c r="Q5933">
        <v>-1.2861839999999999E-2</v>
      </c>
      <c r="R5933">
        <v>0.29299720000000001</v>
      </c>
      <c r="S5933">
        <v>2.6587830000000001</v>
      </c>
      <c r="T5933">
        <v>-0.2257584</v>
      </c>
      <c r="U5933">
        <v>1.5777890000000001</v>
      </c>
      <c r="V5933">
        <v>-0.26844559999999901</v>
      </c>
      <c r="W5933">
        <v>-2.4720620000000001E-3</v>
      </c>
      <c r="X5933">
        <v>0.96329169999999997</v>
      </c>
      <c r="Y5933">
        <v>-0.4866972</v>
      </c>
      <c r="Z5933">
        <v>2.0568260000000001E-2</v>
      </c>
      <c r="AA5933">
        <v>0.87332860000000001</v>
      </c>
      <c r="AB5933">
        <v>32</v>
      </c>
      <c r="AC5933">
        <v>0.79879999999999995</v>
      </c>
      <c r="AD5933">
        <v>-8.24990000000001E-2</v>
      </c>
      <c r="AE5933">
        <v>0.57005000000000094</v>
      </c>
      <c r="AF5933">
        <v>-0.54558143729581299</v>
      </c>
      <c r="AG5933">
        <v>-8.24990000000001E-2</v>
      </c>
      <c r="AH5933">
        <v>0.80740951315021803</v>
      </c>
      <c r="AI5933">
        <v>94.839200322229601</v>
      </c>
      <c r="AJ5933">
        <v>124.04761664980801</v>
      </c>
      <c r="AK5933">
        <v>0.97794443177935098</v>
      </c>
      <c r="AL5933">
        <v>90.141638859977107</v>
      </c>
      <c r="AM5933">
        <v>105.57184029711399</v>
      </c>
      <c r="AN5933">
        <v>1.0000000252693899</v>
      </c>
    </row>
    <row r="5934" spans="1:40" x14ac:dyDescent="0.25">
      <c r="A5934" t="str">
        <f>"20190305135943023"</f>
        <v>20190305135943023</v>
      </c>
      <c r="B5934" t="str">
        <f>"1551765583014539"</f>
        <v>1551765583014539</v>
      </c>
      <c r="C5934" t="s">
        <v>40</v>
      </c>
      <c r="D5934">
        <v>4.133928</v>
      </c>
      <c r="E5934">
        <v>0.40798040000000002</v>
      </c>
      <c r="F5934" t="s">
        <v>41</v>
      </c>
      <c r="G5934">
        <v>-217.3391</v>
      </c>
      <c r="H5934">
        <v>1.0344139999999999</v>
      </c>
      <c r="I5934">
        <v>-61.78678</v>
      </c>
      <c r="J5934">
        <v>-217.98849999999999</v>
      </c>
      <c r="K5934">
        <v>1.1117429999999999</v>
      </c>
      <c r="L5934">
        <v>-62.269039999999997</v>
      </c>
      <c r="M5934">
        <v>0.99955709999999998</v>
      </c>
      <c r="N5934">
        <v>-1.2197070000000001E-2</v>
      </c>
      <c r="O5934">
        <v>2.7149240000000002E-2</v>
      </c>
      <c r="P5934">
        <v>0.95356149999999995</v>
      </c>
      <c r="Q5934">
        <v>-1.8258989999999999E-2</v>
      </c>
      <c r="R5934">
        <v>0.30064439999999998</v>
      </c>
      <c r="S5934">
        <v>2.6503450000000002</v>
      </c>
      <c r="T5934">
        <v>-0.2499758</v>
      </c>
      <c r="U5934">
        <v>1.5802</v>
      </c>
      <c r="V5934">
        <v>-0.274603599999999</v>
      </c>
      <c r="W5934">
        <v>-8.0251309999999996E-3</v>
      </c>
      <c r="X5934">
        <v>0.96152400000000005</v>
      </c>
      <c r="Y5934">
        <v>-0.48681649999999999</v>
      </c>
      <c r="Z5934">
        <v>2.2326849999999999E-2</v>
      </c>
      <c r="AA5934">
        <v>0.87321890000000002</v>
      </c>
      <c r="AB5934">
        <v>32</v>
      </c>
      <c r="AC5934">
        <v>0.64939999999998499</v>
      </c>
      <c r="AD5934">
        <v>-7.7328999999999898E-2</v>
      </c>
      <c r="AE5934">
        <v>0.48225999999999603</v>
      </c>
      <c r="AF5934">
        <v>-0.46024389289001399</v>
      </c>
      <c r="AG5934">
        <v>-7.7328999999999898E-2</v>
      </c>
      <c r="AH5934">
        <v>0.65625685143705204</v>
      </c>
      <c r="AI5934">
        <v>95.510453885118295</v>
      </c>
      <c r="AJ5934">
        <v>125.04262086933601</v>
      </c>
      <c r="AK5934">
        <v>0.80528086419685097</v>
      </c>
      <c r="AL5934">
        <v>90.4598110851786</v>
      </c>
      <c r="AM5934">
        <v>105.938920107603</v>
      </c>
      <c r="AN5934">
        <v>0.99999997121826301</v>
      </c>
    </row>
    <row r="5935" spans="1:40" x14ac:dyDescent="0.25">
      <c r="A5935" t="str">
        <f>"20190305135943034"</f>
        <v>20190305135943034</v>
      </c>
      <c r="B5935" t="str">
        <f>"1551765583025274"</f>
        <v>1551765583025274</v>
      </c>
      <c r="C5935" t="s">
        <v>40</v>
      </c>
      <c r="D5935">
        <v>4.0898240000000001</v>
      </c>
      <c r="E5935">
        <v>0.40915790000000002</v>
      </c>
      <c r="F5935" t="s">
        <v>41</v>
      </c>
      <c r="G5935">
        <v>-217.0667</v>
      </c>
      <c r="H5935">
        <v>1.017137</v>
      </c>
      <c r="I5935">
        <v>-61.715600000000002</v>
      </c>
      <c r="J5935">
        <v>-217.81010000000001</v>
      </c>
      <c r="K5935">
        <v>1.1118570000000001</v>
      </c>
      <c r="L5935">
        <v>-62.262659999999997</v>
      </c>
      <c r="M5935">
        <v>0.99950810000000001</v>
      </c>
      <c r="N5935">
        <v>-1.2186249999999999E-2</v>
      </c>
      <c r="O5935">
        <v>2.8896459999999999E-2</v>
      </c>
      <c r="P5935">
        <v>0.9509088</v>
      </c>
      <c r="Q5935">
        <v>-2.3698440000000001E-2</v>
      </c>
      <c r="R5935">
        <v>0.30856270000000002</v>
      </c>
      <c r="S5935">
        <v>2.6409760000000002</v>
      </c>
      <c r="T5935">
        <v>-0.27104679999999998</v>
      </c>
      <c r="U5935">
        <v>1.585693</v>
      </c>
      <c r="V5935">
        <v>-0.28088030000000003</v>
      </c>
      <c r="W5935">
        <v>-1.3621339999999999E-2</v>
      </c>
      <c r="X5935">
        <v>0.95964609999999995</v>
      </c>
      <c r="Y5935">
        <v>-0.48769469999999998</v>
      </c>
      <c r="Z5935">
        <v>2.3861509999999999E-2</v>
      </c>
      <c r="AA5935">
        <v>0.87268809999999997</v>
      </c>
      <c r="AB5935">
        <v>32</v>
      </c>
      <c r="AC5935">
        <v>0.74340000000000805</v>
      </c>
      <c r="AD5935">
        <v>-9.4719999999999693E-2</v>
      </c>
      <c r="AE5935">
        <v>0.547059999999994</v>
      </c>
      <c r="AF5935">
        <v>-0.519873309352054</v>
      </c>
      <c r="AG5935">
        <v>-9.4719999999999693E-2</v>
      </c>
      <c r="AH5935">
        <v>0.75098982642305501</v>
      </c>
      <c r="AI5935">
        <v>95.920597423100205</v>
      </c>
      <c r="AJ5935">
        <v>124.692949985583</v>
      </c>
      <c r="AK5935">
        <v>0.91827330112967298</v>
      </c>
      <c r="AL5935">
        <v>90.780469460215897</v>
      </c>
      <c r="AM5935">
        <v>106.314307266938</v>
      </c>
      <c r="AN5935">
        <v>0.99999996053834606</v>
      </c>
    </row>
    <row r="5936" spans="1:40" x14ac:dyDescent="0.25">
      <c r="A5936" t="str">
        <f>"20190305135943046"</f>
        <v>20190305135943046</v>
      </c>
      <c r="B5936" t="str">
        <f>"1551765583035035"</f>
        <v>1551765583035035</v>
      </c>
      <c r="C5936" t="s">
        <v>40</v>
      </c>
      <c r="D5936">
        <v>4.0641059999999998</v>
      </c>
      <c r="E5936">
        <v>0.40915790000000002</v>
      </c>
      <c r="F5936" t="s">
        <v>41</v>
      </c>
      <c r="G5936">
        <v>-217.04640000000001</v>
      </c>
      <c r="H5936">
        <v>1.029164</v>
      </c>
      <c r="I5936">
        <v>-61.798439999999999</v>
      </c>
      <c r="J5936">
        <v>-217.64439999999999</v>
      </c>
      <c r="K5936">
        <v>1.1119509999999999</v>
      </c>
      <c r="L5936">
        <v>-62.256320000000002</v>
      </c>
      <c r="M5936">
        <v>0.99945779999999995</v>
      </c>
      <c r="N5936">
        <v>-1.218727E-2</v>
      </c>
      <c r="O5936">
        <v>3.0590610000000001E-2</v>
      </c>
      <c r="P5936">
        <v>0.94810689999999997</v>
      </c>
      <c r="Q5936">
        <v>-2.9087229999999999E-2</v>
      </c>
      <c r="R5936">
        <v>0.31661840000000002</v>
      </c>
      <c r="S5936">
        <v>2.629181</v>
      </c>
      <c r="T5936">
        <v>-0.28466669999999999</v>
      </c>
      <c r="U5936">
        <v>1.5981749999999999</v>
      </c>
      <c r="V5936">
        <v>-0.28735429999999901</v>
      </c>
      <c r="W5936">
        <v>-1.915068E-2</v>
      </c>
      <c r="X5936">
        <v>0.95763290000000001</v>
      </c>
      <c r="Y5936">
        <v>-0.49075530000000001</v>
      </c>
      <c r="Z5936">
        <v>2.4964980000000001E-2</v>
      </c>
      <c r="AA5936">
        <v>0.87093969999999898</v>
      </c>
      <c r="AB5936">
        <v>32</v>
      </c>
      <c r="AC5936">
        <v>0.59799999999998399</v>
      </c>
      <c r="AD5936">
        <v>-8.2786999999999902E-2</v>
      </c>
      <c r="AE5936">
        <v>0.45787999999999501</v>
      </c>
      <c r="AF5936">
        <v>-0.43412597036018002</v>
      </c>
      <c r="AG5936">
        <v>-8.2786999999999902E-2</v>
      </c>
      <c r="AH5936">
        <v>0.60442521507801705</v>
      </c>
      <c r="AI5936">
        <v>96.347871578739202</v>
      </c>
      <c r="AJ5936">
        <v>125.687644789066</v>
      </c>
      <c r="AK5936">
        <v>0.74876490711856603</v>
      </c>
      <c r="AL5936">
        <v>91.097320211836404</v>
      </c>
      <c r="AM5936">
        <v>106.70278076251699</v>
      </c>
      <c r="AN5936">
        <v>1.00000000671768</v>
      </c>
    </row>
    <row r="5937" spans="1:40" x14ac:dyDescent="0.25">
      <c r="A5937" t="str">
        <f>"20190305135943057"</f>
        <v>20190305135943057</v>
      </c>
      <c r="B5937" t="str">
        <f>"1551765583044796"</f>
        <v>1551765583044796</v>
      </c>
      <c r="C5937" t="s">
        <v>40</v>
      </c>
      <c r="D5937">
        <v>4.0995670000000004</v>
      </c>
      <c r="E5937">
        <v>0.41240389999999999</v>
      </c>
      <c r="F5937" t="s">
        <v>41</v>
      </c>
      <c r="G5937">
        <v>-216.77619999999999</v>
      </c>
      <c r="H5937">
        <v>1.0115459999999901</v>
      </c>
      <c r="I5937">
        <v>-61.718679999999999</v>
      </c>
      <c r="J5937">
        <v>-217.4836</v>
      </c>
      <c r="K5937">
        <v>1.112036</v>
      </c>
      <c r="L5937">
        <v>-62.249969999999998</v>
      </c>
      <c r="M5937">
        <v>0.99940499999999999</v>
      </c>
      <c r="N5937">
        <v>-1.219291E-2</v>
      </c>
      <c r="O5937">
        <v>3.226594E-2</v>
      </c>
      <c r="P5937">
        <v>0.94533</v>
      </c>
      <c r="Q5937">
        <v>-3.4594409999999999E-2</v>
      </c>
      <c r="R5937">
        <v>0.32427549999999999</v>
      </c>
      <c r="S5937">
        <v>2.6140750000000001</v>
      </c>
      <c r="T5937">
        <v>-0.3023438</v>
      </c>
      <c r="U5937">
        <v>1.619629</v>
      </c>
      <c r="V5937">
        <v>-0.2934524</v>
      </c>
      <c r="W5937">
        <v>-2.4790079999999999E-2</v>
      </c>
      <c r="X5937">
        <v>0.95565219999999995</v>
      </c>
      <c r="Y5937">
        <v>-0.49639450000000002</v>
      </c>
      <c r="Z5937">
        <v>2.654082E-2</v>
      </c>
      <c r="AA5937">
        <v>0.8676912</v>
      </c>
      <c r="AB5937">
        <v>32</v>
      </c>
      <c r="AC5937">
        <v>0.70740000000000602</v>
      </c>
      <c r="AD5937">
        <v>-0.10049</v>
      </c>
      <c r="AE5937">
        <v>0.53128999999999105</v>
      </c>
      <c r="AF5937">
        <v>-0.50171356214697105</v>
      </c>
      <c r="AG5937">
        <v>-0.10049</v>
      </c>
      <c r="AH5937">
        <v>0.71495111220628005</v>
      </c>
      <c r="AI5937">
        <v>96.563181103938405</v>
      </c>
      <c r="AJ5937">
        <v>125.05907704882701</v>
      </c>
      <c r="AK5937">
        <v>0.87918702867319398</v>
      </c>
      <c r="AL5937">
        <v>91.420512488259007</v>
      </c>
      <c r="AM5937">
        <v>107.070166680779</v>
      </c>
      <c r="AN5937">
        <v>0.99999999324850297</v>
      </c>
    </row>
    <row r="5938" spans="1:40" x14ac:dyDescent="0.25">
      <c r="A5938" t="str">
        <f>"20190305135943069"</f>
        <v>20190305135943069</v>
      </c>
      <c r="B5938" t="str">
        <f>"1551765583065291"</f>
        <v>1551765583065291</v>
      </c>
      <c r="C5938" t="s">
        <v>40</v>
      </c>
      <c r="D5938">
        <v>4.2471110000000003</v>
      </c>
      <c r="E5938">
        <v>0.41325230000000002</v>
      </c>
      <c r="F5938" t="s">
        <v>41</v>
      </c>
      <c r="G5938">
        <v>-216.75620000000001</v>
      </c>
      <c r="H5938">
        <v>1.0270919999999999</v>
      </c>
      <c r="I5938">
        <v>-61.79918</v>
      </c>
      <c r="J5938">
        <v>-217.32050000000001</v>
      </c>
      <c r="K5938">
        <v>1.112125</v>
      </c>
      <c r="L5938">
        <v>-62.242980000000003</v>
      </c>
      <c r="M5938">
        <v>0.99934509999999999</v>
      </c>
      <c r="N5938">
        <v>-1.2213699999999999E-2</v>
      </c>
      <c r="O5938">
        <v>3.4062000000000002E-2</v>
      </c>
      <c r="P5938">
        <v>0.94238310000000003</v>
      </c>
      <c r="Q5938">
        <v>-3.9934209999999998E-2</v>
      </c>
      <c r="R5938">
        <v>0.33214389999999999</v>
      </c>
      <c r="S5938">
        <v>2.6076969999999999</v>
      </c>
      <c r="T5938">
        <v>-0.30452950000000001</v>
      </c>
      <c r="U5938">
        <v>1.6169129999999901</v>
      </c>
      <c r="V5938">
        <v>-0.29965799999999998</v>
      </c>
      <c r="W5938">
        <v>-3.025102E-2</v>
      </c>
      <c r="X5938">
        <v>0.95356700000000005</v>
      </c>
      <c r="Y5938">
        <v>-0.49510169999999998</v>
      </c>
      <c r="Z5938">
        <v>2.651686E-2</v>
      </c>
      <c r="AA5938">
        <v>0.86843029999999999</v>
      </c>
      <c r="AB5938">
        <v>32</v>
      </c>
      <c r="AC5938">
        <v>0.56430000000000202</v>
      </c>
      <c r="AD5938">
        <v>-8.50329999999999E-2</v>
      </c>
      <c r="AE5938">
        <v>0.44379999999999598</v>
      </c>
      <c r="AF5938">
        <v>-0.41844925637273001</v>
      </c>
      <c r="AG5938">
        <v>-8.50329999999999E-2</v>
      </c>
      <c r="AH5938">
        <v>0.571078501512292</v>
      </c>
      <c r="AI5938">
        <v>96.848824221891206</v>
      </c>
      <c r="AJ5938">
        <v>126.231541485146</v>
      </c>
      <c r="AK5938">
        <v>0.71306454556191201</v>
      </c>
      <c r="AL5938">
        <v>91.733520182210597</v>
      </c>
      <c r="AM5938">
        <v>107.44530257753701</v>
      </c>
      <c r="AN5938">
        <v>1.00000003233201</v>
      </c>
    </row>
    <row r="5939" spans="1:40" x14ac:dyDescent="0.25">
      <c r="A5939" t="str">
        <f>"20190305135943079"</f>
        <v>20190305135943079</v>
      </c>
      <c r="B5939" t="str">
        <f>"1551765583075051"</f>
        <v>1551765583075051</v>
      </c>
      <c r="C5939" t="s">
        <v>40</v>
      </c>
      <c r="D5939">
        <v>4.0211290000000002</v>
      </c>
      <c r="E5939">
        <v>0.41325230000000002</v>
      </c>
      <c r="F5939" t="s">
        <v>41</v>
      </c>
      <c r="G5939">
        <v>-216.48650000000001</v>
      </c>
      <c r="H5939">
        <v>1.0130410000000001</v>
      </c>
      <c r="I5939">
        <v>-61.718220000000002</v>
      </c>
      <c r="J5939">
        <v>-217.1609</v>
      </c>
      <c r="K5939">
        <v>1.1122129999999999</v>
      </c>
      <c r="L5939">
        <v>-62.236020000000003</v>
      </c>
      <c r="M5939">
        <v>0.99928260000000002</v>
      </c>
      <c r="N5939">
        <v>-1.223693E-2</v>
      </c>
      <c r="O5939">
        <v>3.5843109999999997E-2</v>
      </c>
      <c r="P5939">
        <v>0.9394808</v>
      </c>
      <c r="Q5939">
        <v>-4.4760559999999998E-2</v>
      </c>
      <c r="R5939">
        <v>0.33966499999999999</v>
      </c>
      <c r="S5939">
        <v>2.594894</v>
      </c>
      <c r="T5939">
        <v>-0.30830469999999999</v>
      </c>
      <c r="U5939">
        <v>1.632843</v>
      </c>
      <c r="V5939">
        <v>-0.30553829999999998</v>
      </c>
      <c r="W5939">
        <v>-3.519506E-2</v>
      </c>
      <c r="X5939">
        <v>0.95152910000000002</v>
      </c>
      <c r="Y5939">
        <v>-0.49920759999999997</v>
      </c>
      <c r="Z5939">
        <v>2.6951240000000001E-2</v>
      </c>
      <c r="AA5939">
        <v>0.86606319999999903</v>
      </c>
      <c r="AB5939">
        <v>32</v>
      </c>
      <c r="AC5939">
        <v>0.67439999999999101</v>
      </c>
      <c r="AD5939">
        <v>-9.9171999999999802E-2</v>
      </c>
      <c r="AE5939">
        <v>0.51780000000000104</v>
      </c>
      <c r="AF5939">
        <v>-0.48667192832634698</v>
      </c>
      <c r="AG5939">
        <v>-9.9171999999999802E-2</v>
      </c>
      <c r="AH5939">
        <v>0.68323254175272696</v>
      </c>
      <c r="AI5939">
        <v>96.742487950833294</v>
      </c>
      <c r="AJ5939">
        <v>125.462570603594</v>
      </c>
      <c r="AK5939">
        <v>0.84468417619532599</v>
      </c>
      <c r="AL5939">
        <v>92.016944966695704</v>
      </c>
      <c r="AM5939">
        <v>107.801950275078</v>
      </c>
      <c r="AN5939">
        <v>0.99999998658105105</v>
      </c>
    </row>
    <row r="5940" spans="1:40" x14ac:dyDescent="0.25">
      <c r="A5940" t="str">
        <f>"20190305135943091"</f>
        <v>20190305135943091</v>
      </c>
      <c r="B5940" t="str">
        <f>"1551765583084811"</f>
        <v>1551765583084811</v>
      </c>
      <c r="C5940" t="s">
        <v>40</v>
      </c>
      <c r="D5940">
        <v>4.1113229999999996</v>
      </c>
      <c r="E5940">
        <v>0.3769054</v>
      </c>
      <c r="F5940" t="s">
        <v>41</v>
      </c>
      <c r="G5940">
        <v>-216.21860000000001</v>
      </c>
      <c r="H5940">
        <v>0.99395350000000005</v>
      </c>
      <c r="I5940">
        <v>-61.632480000000001</v>
      </c>
      <c r="J5940">
        <v>-216.9837</v>
      </c>
      <c r="K5940">
        <v>1.1123240000000001</v>
      </c>
      <c r="L5940">
        <v>-62.227719999999998</v>
      </c>
      <c r="M5940">
        <v>0.99920509999999996</v>
      </c>
      <c r="N5940">
        <v>-1.227613E-2</v>
      </c>
      <c r="O5940">
        <v>3.7926729999999999E-2</v>
      </c>
      <c r="P5940">
        <v>0.93656950000000005</v>
      </c>
      <c r="Q5940">
        <v>-4.8908960000000001E-2</v>
      </c>
      <c r="R5940">
        <v>0.34705249999999999</v>
      </c>
      <c r="S5940">
        <v>2.5802459999999998</v>
      </c>
      <c r="T5940">
        <v>-0.32384049999999998</v>
      </c>
      <c r="U5940">
        <v>1.6528320000000001</v>
      </c>
      <c r="V5940">
        <v>-0.3110077</v>
      </c>
      <c r="W5940">
        <v>-3.9455820000000003E-2</v>
      </c>
      <c r="X5940">
        <v>0.94958810000000005</v>
      </c>
      <c r="Y5940">
        <v>-0.50408940000000002</v>
      </c>
      <c r="Z5940">
        <v>2.8303160000000001E-2</v>
      </c>
      <c r="AA5940">
        <v>0.86318760000000005</v>
      </c>
      <c r="AB5940">
        <v>32</v>
      </c>
      <c r="AC5940">
        <v>0.76509999999998901</v>
      </c>
      <c r="AD5940">
        <v>-0.118370499999999</v>
      </c>
      <c r="AE5940">
        <v>0.595239999999989</v>
      </c>
      <c r="AF5940">
        <v>-0.55747924508900304</v>
      </c>
      <c r="AG5940">
        <v>-0.118370499999999</v>
      </c>
      <c r="AH5940">
        <v>0.77556234426635495</v>
      </c>
      <c r="AI5940">
        <v>97.064692479443494</v>
      </c>
      <c r="AJ5940">
        <v>125.70882541580001</v>
      </c>
      <c r="AK5940">
        <v>0.96244045728511396</v>
      </c>
      <c r="AL5940">
        <v>92.261238798525397</v>
      </c>
      <c r="AM5940">
        <v>108.13458034922</v>
      </c>
      <c r="AN5940">
        <v>1.0000000554263799</v>
      </c>
    </row>
    <row r="5941" spans="1:40" x14ac:dyDescent="0.25">
      <c r="A5941" t="str">
        <f>"20190305135943103"</f>
        <v>20190305135943103</v>
      </c>
      <c r="B5941" t="str">
        <f>"1551765583094571"</f>
        <v>1551765583094571</v>
      </c>
      <c r="C5941" t="s">
        <v>40</v>
      </c>
      <c r="D5941">
        <v>4.1182819999999998</v>
      </c>
      <c r="E5941">
        <v>0.37579770000000001</v>
      </c>
      <c r="F5941" t="s">
        <v>41</v>
      </c>
      <c r="G5941">
        <v>-216.22040000000001</v>
      </c>
      <c r="H5941">
        <v>1.0150380000000001</v>
      </c>
      <c r="I5941">
        <v>-61.624540000000003</v>
      </c>
      <c r="J5941">
        <v>-216.82749999999999</v>
      </c>
      <c r="K5941">
        <v>1.1124179999999999</v>
      </c>
      <c r="L5941">
        <v>-62.220089999999999</v>
      </c>
      <c r="M5941">
        <v>0.99913160000000001</v>
      </c>
      <c r="N5941">
        <v>-1.2314820000000001E-2</v>
      </c>
      <c r="O5941">
        <v>3.9805149999999997E-2</v>
      </c>
      <c r="P5941">
        <v>0.93361719999999904</v>
      </c>
      <c r="Q5941">
        <v>-5.272876E-2</v>
      </c>
      <c r="R5941">
        <v>0.35437059999999998</v>
      </c>
      <c r="S5941">
        <v>2.4649049999999999</v>
      </c>
      <c r="T5941">
        <v>-0.3141756</v>
      </c>
      <c r="U5941">
        <v>1.948029</v>
      </c>
      <c r="V5941">
        <v>-0.31661499999999998</v>
      </c>
      <c r="W5941">
        <v>-4.3383409999999997E-2</v>
      </c>
      <c r="X5941">
        <v>0.94756149999999995</v>
      </c>
      <c r="Y5941">
        <v>-0.58517779999999997</v>
      </c>
      <c r="Z5941">
        <v>3.2747779999999997E-2</v>
      </c>
      <c r="AA5941">
        <v>0.81024350000000001</v>
      </c>
      <c r="AB5941">
        <v>32</v>
      </c>
      <c r="AC5941">
        <v>0.60709999999997399</v>
      </c>
      <c r="AD5941">
        <v>-9.7380000000000203E-2</v>
      </c>
      <c r="AE5941">
        <v>0.59554999999999503</v>
      </c>
      <c r="AF5941">
        <v>-0.56352180116848205</v>
      </c>
      <c r="AG5941">
        <v>-9.7380000000000203E-2</v>
      </c>
      <c r="AH5941">
        <v>0.62216898848636804</v>
      </c>
      <c r="AI5941">
        <v>96.6171112368298</v>
      </c>
      <c r="AJ5941">
        <v>132.16831736720101</v>
      </c>
      <c r="AK5941">
        <v>0.845064456137116</v>
      </c>
      <c r="AL5941">
        <v>92.486466713162002</v>
      </c>
      <c r="AM5941">
        <v>108.476361449276</v>
      </c>
      <c r="AN5941">
        <v>0.99999998738523799</v>
      </c>
    </row>
    <row r="5942" spans="1:40" x14ac:dyDescent="0.25">
      <c r="A5942" t="str">
        <f>"20190305135943113"</f>
        <v>20190305135943113</v>
      </c>
      <c r="B5942" t="str">
        <f>"1551765583104331"</f>
        <v>1551765583104331</v>
      </c>
      <c r="C5942" t="s">
        <v>40</v>
      </c>
      <c r="D5942">
        <v>4.0850920000000004</v>
      </c>
      <c r="E5942">
        <v>0.37669900000000001</v>
      </c>
      <c r="F5942" t="s">
        <v>82</v>
      </c>
      <c r="G5942">
        <v>-208.4426</v>
      </c>
      <c r="H5942" s="1">
        <v>-2.275061E-6</v>
      </c>
      <c r="I5942">
        <v>-55.446950000000001</v>
      </c>
      <c r="J5942">
        <v>-216.66640000000001</v>
      </c>
      <c r="K5942">
        <v>1.1125179999999999</v>
      </c>
      <c r="L5942">
        <v>-62.211910000000003</v>
      </c>
      <c r="M5942">
        <v>0.99904950000000003</v>
      </c>
      <c r="N5942">
        <v>-1.23605E-2</v>
      </c>
      <c r="O5942">
        <v>4.1801150000000002E-2</v>
      </c>
      <c r="P5942">
        <v>0.93065620000000004</v>
      </c>
      <c r="Q5942">
        <v>-5.625281E-2</v>
      </c>
      <c r="R5942">
        <v>0.3615449</v>
      </c>
      <c r="S5942">
        <v>2.4452669999999999</v>
      </c>
      <c r="T5942">
        <v>-0.32440999999999998</v>
      </c>
      <c r="U5942">
        <v>1.97522</v>
      </c>
      <c r="V5942">
        <v>-0.32197619999999999</v>
      </c>
      <c r="W5942">
        <v>-4.701222E-2</v>
      </c>
      <c r="X5942">
        <v>0.94557979999999997</v>
      </c>
      <c r="Y5942">
        <v>-0.59193779999999996</v>
      </c>
      <c r="Z5942">
        <v>3.4018470000000002E-2</v>
      </c>
      <c r="AA5942">
        <v>0.80526540000000002</v>
      </c>
      <c r="AB5942">
        <v>32</v>
      </c>
      <c r="AC5942">
        <v>8.2238000000000095</v>
      </c>
      <c r="AD5942">
        <v>-1.1125202750609999</v>
      </c>
      <c r="AE5942">
        <v>6.7649599999999896</v>
      </c>
      <c r="AF5942">
        <v>-6.3459897786103099</v>
      </c>
      <c r="AG5942">
        <v>-1.1125202750609999</v>
      </c>
      <c r="AH5942">
        <v>8.4076469678934007</v>
      </c>
      <c r="AI5942">
        <v>96.028927999575799</v>
      </c>
      <c r="AJ5942">
        <v>127.04506164592701</v>
      </c>
      <c r="AK5942">
        <v>10.592347009486399</v>
      </c>
      <c r="AL5942">
        <v>92.694595016276494</v>
      </c>
      <c r="AM5942">
        <v>108.80404955169701</v>
      </c>
      <c r="AN5942">
        <v>0.999999990181904</v>
      </c>
    </row>
    <row r="5943" spans="1:40" x14ac:dyDescent="0.25">
      <c r="A5943" t="str">
        <f>"20190305135943123"</f>
        <v>20190305135943123</v>
      </c>
      <c r="B5943" t="str">
        <f>"1551765583115067"</f>
        <v>1551765583115067</v>
      </c>
      <c r="C5943" t="s">
        <v>40</v>
      </c>
      <c r="D5943">
        <v>4.0698689999999997</v>
      </c>
      <c r="E5943">
        <v>0.37862750000000001</v>
      </c>
      <c r="F5943" t="s">
        <v>41</v>
      </c>
      <c r="G5943">
        <v>-215.93389999999999</v>
      </c>
      <c r="H5943">
        <v>1.0128980000000001</v>
      </c>
      <c r="I5943">
        <v>-61.613129999999998</v>
      </c>
      <c r="J5943">
        <v>-216.52549999999999</v>
      </c>
      <c r="K5943">
        <v>1.1126049999999901</v>
      </c>
      <c r="L5943">
        <v>-62.20438</v>
      </c>
      <c r="M5943">
        <v>0.99897210000000003</v>
      </c>
      <c r="N5943">
        <v>-1.240776E-2</v>
      </c>
      <c r="O5943">
        <v>4.3599529999999997E-2</v>
      </c>
      <c r="P5943">
        <v>0.92783280000000001</v>
      </c>
      <c r="Q5943">
        <v>-5.9410959999999999E-2</v>
      </c>
      <c r="R5943">
        <v>0.36823440000000002</v>
      </c>
      <c r="S5943">
        <v>2.4314269999999998</v>
      </c>
      <c r="T5943">
        <v>-0.33066630000000002</v>
      </c>
      <c r="U5943">
        <v>1.9874879999999999</v>
      </c>
      <c r="V5943">
        <v>-0.32704529999999998</v>
      </c>
      <c r="W5943">
        <v>-5.0263549999999997E-2</v>
      </c>
      <c r="X5943">
        <v>0.94367100000000004</v>
      </c>
      <c r="Y5943">
        <v>-0.59501340000000003</v>
      </c>
      <c r="Z5943">
        <v>3.4710560000000001E-2</v>
      </c>
      <c r="AA5943">
        <v>0.80296590000000001</v>
      </c>
      <c r="AB5943">
        <v>32</v>
      </c>
      <c r="AC5943">
        <v>0.59159999999999902</v>
      </c>
      <c r="AD5943">
        <v>-9.9707000000000004E-2</v>
      </c>
      <c r="AE5943">
        <v>0.59125000000000205</v>
      </c>
      <c r="AF5943">
        <v>-0.55697706960066895</v>
      </c>
      <c r="AG5943">
        <v>-9.9707000000000004E-2</v>
      </c>
      <c r="AH5943">
        <v>0.60817484079166595</v>
      </c>
      <c r="AI5943">
        <v>96.893805465300005</v>
      </c>
      <c r="AJ5943">
        <v>132.48399292635901</v>
      </c>
      <c r="AK5943">
        <v>0.83068741346063402</v>
      </c>
      <c r="AL5943">
        <v>92.881103283269994</v>
      </c>
      <c r="AM5943">
        <v>109.114632271812</v>
      </c>
      <c r="AN5943">
        <v>1.0000000044758399</v>
      </c>
    </row>
    <row r="5944" spans="1:40" x14ac:dyDescent="0.25">
      <c r="A5944" t="str">
        <f>"20190305135943133"</f>
        <v>20190305135943133</v>
      </c>
      <c r="B5944" t="str">
        <f>"1551765583124827"</f>
        <v>1551765583124827</v>
      </c>
      <c r="C5944" t="s">
        <v>40</v>
      </c>
      <c r="D5944">
        <v>4.0330130000000004</v>
      </c>
      <c r="E5944">
        <v>0.3810345</v>
      </c>
      <c r="F5944" t="s">
        <v>82</v>
      </c>
      <c r="G5944">
        <v>-208.36590000000001</v>
      </c>
      <c r="H5944" s="1">
        <v>-2.3109850000000002E-6</v>
      </c>
      <c r="I5944">
        <v>-55.495080000000002</v>
      </c>
      <c r="J5944">
        <v>-216.37880000000001</v>
      </c>
      <c r="K5944">
        <v>1.1127</v>
      </c>
      <c r="L5944">
        <v>-62.196289999999998</v>
      </c>
      <c r="M5944">
        <v>0.99888619999999995</v>
      </c>
      <c r="N5944">
        <v>-1.246222E-2</v>
      </c>
      <c r="O5944">
        <v>4.550949E-2</v>
      </c>
      <c r="P5944">
        <v>0.92504589999999998</v>
      </c>
      <c r="Q5944">
        <v>-6.246024E-2</v>
      </c>
      <c r="R5944">
        <v>0.37468479999999998</v>
      </c>
      <c r="S5944">
        <v>2.4218440000000001</v>
      </c>
      <c r="T5944">
        <v>-0.33023390000000002</v>
      </c>
      <c r="U5944">
        <v>1.9913940000000001</v>
      </c>
      <c r="V5944">
        <v>-0.3317756</v>
      </c>
      <c r="W5944">
        <v>-5.3401749999999998E-2</v>
      </c>
      <c r="X5944">
        <v>0.94184570000000001</v>
      </c>
      <c r="Y5944">
        <v>-0.59580429999999995</v>
      </c>
      <c r="Z5944">
        <v>3.4622750000000001E-2</v>
      </c>
      <c r="AA5944">
        <v>0.80238299999999996</v>
      </c>
      <c r="AB5944">
        <v>32</v>
      </c>
      <c r="AC5944">
        <v>8.0129000000000001</v>
      </c>
      <c r="AD5944">
        <v>-1.1127023109850001</v>
      </c>
      <c r="AE5944">
        <v>6.7012099999999997</v>
      </c>
      <c r="AF5944">
        <v>-6.2585584638452803</v>
      </c>
      <c r="AG5944">
        <v>-1.1127023109850001</v>
      </c>
      <c r="AH5944">
        <v>8.2163576323222998</v>
      </c>
      <c r="AI5944">
        <v>96.148826831421403</v>
      </c>
      <c r="AJ5944">
        <v>127.29722560037</v>
      </c>
      <c r="AK5944">
        <v>10.3882719073223</v>
      </c>
      <c r="AL5944">
        <v>93.061150827717597</v>
      </c>
      <c r="AM5944">
        <v>109.40537797838201</v>
      </c>
      <c r="AN5944">
        <v>1.0000000591334499</v>
      </c>
    </row>
    <row r="5945" spans="1:40" x14ac:dyDescent="0.25">
      <c r="A5945" t="str">
        <f>"20190305135943143"</f>
        <v>20190305135943143</v>
      </c>
      <c r="B5945" t="str">
        <f>"1551765583134587"</f>
        <v>1551765583134587</v>
      </c>
      <c r="C5945" t="s">
        <v>40</v>
      </c>
      <c r="D5945">
        <v>4.0724419999999997</v>
      </c>
      <c r="E5945">
        <v>0.38297310000000001</v>
      </c>
      <c r="F5945" t="s">
        <v>41</v>
      </c>
      <c r="G5945">
        <v>-215.64920000000001</v>
      </c>
      <c r="H5945">
        <v>1.00966</v>
      </c>
      <c r="I5945">
        <v>-61.595050000000001</v>
      </c>
      <c r="J5945">
        <v>-216.2449</v>
      </c>
      <c r="K5945">
        <v>1.112789</v>
      </c>
      <c r="L5945">
        <v>-62.188569999999999</v>
      </c>
      <c r="M5945">
        <v>0.99880210000000003</v>
      </c>
      <c r="N5945">
        <v>-1.251523E-2</v>
      </c>
      <c r="O5945">
        <v>4.7307389999999998E-2</v>
      </c>
      <c r="P5945">
        <v>0.92247299999999999</v>
      </c>
      <c r="Q5945">
        <v>-6.5047229999999998E-2</v>
      </c>
      <c r="R5945">
        <v>0.3805422</v>
      </c>
      <c r="S5945">
        <v>2.414139</v>
      </c>
      <c r="T5945">
        <v>-0.34095730000000002</v>
      </c>
      <c r="U5945">
        <v>1.989716</v>
      </c>
      <c r="V5945">
        <v>-0.33601989999999998</v>
      </c>
      <c r="W5945">
        <v>-5.6069019999999997E-2</v>
      </c>
      <c r="X5945">
        <v>0.94018449999999998</v>
      </c>
      <c r="Y5945">
        <v>-0.59506649999999905</v>
      </c>
      <c r="Z5945">
        <v>3.544274E-2</v>
      </c>
      <c r="AA5945">
        <v>0.80289449999999996</v>
      </c>
      <c r="AB5945">
        <v>32</v>
      </c>
      <c r="AC5945">
        <v>0.59569999999999301</v>
      </c>
      <c r="AD5945">
        <v>-0.103129</v>
      </c>
      <c r="AE5945">
        <v>0.59351999999999705</v>
      </c>
      <c r="AF5945">
        <v>-0.55630499045438098</v>
      </c>
      <c r="AG5945">
        <v>-0.103129</v>
      </c>
      <c r="AH5945">
        <v>0.61387988086553502</v>
      </c>
      <c r="AI5945">
        <v>97.095949318437704</v>
      </c>
      <c r="AJ5945">
        <v>132.18323124262099</v>
      </c>
      <c r="AK5945">
        <v>0.83484090770453601</v>
      </c>
      <c r="AL5945">
        <v>93.214203807168403</v>
      </c>
      <c r="AM5945">
        <v>109.66677928783299</v>
      </c>
      <c r="AN5945">
        <v>1.0000000011200101</v>
      </c>
    </row>
    <row r="5946" spans="1:40" x14ac:dyDescent="0.25">
      <c r="A5946" t="str">
        <f>"20190305135943154"</f>
        <v>20190305135943154</v>
      </c>
      <c r="B5946" t="str">
        <f>"1551765583144347"</f>
        <v>1551765583144347</v>
      </c>
      <c r="C5946" t="s">
        <v>40</v>
      </c>
      <c r="D5946">
        <v>4.061032</v>
      </c>
      <c r="E5946">
        <v>0.3848104</v>
      </c>
      <c r="F5946" t="s">
        <v>82</v>
      </c>
      <c r="G5946">
        <v>-208.5369</v>
      </c>
      <c r="H5946" s="1">
        <v>-2.1176490000000001E-6</v>
      </c>
      <c r="I5946">
        <v>-55.813339999999997</v>
      </c>
      <c r="J5946">
        <v>-216.08590000000001</v>
      </c>
      <c r="K5946">
        <v>1.112894</v>
      </c>
      <c r="L5946">
        <v>-62.179079999999999</v>
      </c>
      <c r="M5946">
        <v>0.99869560000000002</v>
      </c>
      <c r="N5946">
        <v>-1.2580879999999999E-2</v>
      </c>
      <c r="O5946">
        <v>4.9487169999999997E-2</v>
      </c>
      <c r="P5946">
        <v>0.91990070000000002</v>
      </c>
      <c r="Q5946">
        <v>-6.6904420000000006E-2</v>
      </c>
      <c r="R5946">
        <v>0.38640210000000003</v>
      </c>
      <c r="S5946">
        <v>2.4065249999999998</v>
      </c>
      <c r="T5946">
        <v>-0.34742620000000002</v>
      </c>
      <c r="U5946">
        <v>1.9904170000000001</v>
      </c>
      <c r="V5946">
        <v>-0.3399182</v>
      </c>
      <c r="W5946">
        <v>-5.8006589999999997E-2</v>
      </c>
      <c r="X5946">
        <v>0.93866439999999995</v>
      </c>
      <c r="Y5946">
        <v>-0.59456769999999903</v>
      </c>
      <c r="Z5946">
        <v>3.584118E-2</v>
      </c>
      <c r="AA5946">
        <v>0.80324629999999997</v>
      </c>
      <c r="AB5946">
        <v>32</v>
      </c>
      <c r="AC5946">
        <v>7.5490000000000004</v>
      </c>
      <c r="AD5946">
        <v>-1.112896117649</v>
      </c>
      <c r="AE5946">
        <v>6.3657399999999997</v>
      </c>
      <c r="AF5946">
        <v>-5.9092735371806198</v>
      </c>
      <c r="AG5946">
        <v>-1.112896117649</v>
      </c>
      <c r="AH5946">
        <v>7.7562790758872504</v>
      </c>
      <c r="AI5946">
        <v>96.511167897432898</v>
      </c>
      <c r="AJ5946">
        <v>127.302674980245</v>
      </c>
      <c r="AK5946">
        <v>9.8141691756840999</v>
      </c>
      <c r="AL5946">
        <v>93.325399431217704</v>
      </c>
      <c r="AM5946">
        <v>109.906822887527</v>
      </c>
      <c r="AN5946">
        <v>1.00000000150101</v>
      </c>
    </row>
    <row r="5947" spans="1:40" x14ac:dyDescent="0.25">
      <c r="A5947" t="str">
        <f>"20190305135943165"</f>
        <v>20190305135943165</v>
      </c>
      <c r="B5947" t="str">
        <f>"1551765583155083"</f>
        <v>1551765583155083</v>
      </c>
      <c r="C5947" t="s">
        <v>40</v>
      </c>
      <c r="D5947">
        <v>4.3264760000000004</v>
      </c>
      <c r="E5947">
        <v>0.38565050000000001</v>
      </c>
      <c r="F5947" t="s">
        <v>41</v>
      </c>
      <c r="G5947">
        <v>-215.3639</v>
      </c>
      <c r="H5947">
        <v>1.006427</v>
      </c>
      <c r="I5947">
        <v>-61.579520000000002</v>
      </c>
      <c r="J5947">
        <v>-215.93279999999999</v>
      </c>
      <c r="K5947">
        <v>1.1130100000000001</v>
      </c>
      <c r="L5947">
        <v>-62.169460000000001</v>
      </c>
      <c r="M5947">
        <v>0.99858469999999999</v>
      </c>
      <c r="N5947">
        <v>-1.2646320000000001E-2</v>
      </c>
      <c r="O5947">
        <v>5.1658210000000003E-2</v>
      </c>
      <c r="P5947">
        <v>0.91756459999999995</v>
      </c>
      <c r="Q5947">
        <v>-6.7087079999999993E-2</v>
      </c>
      <c r="R5947">
        <v>0.39188620000000002</v>
      </c>
      <c r="S5947">
        <v>2.3987880000000001</v>
      </c>
      <c r="T5947">
        <v>-0.35370639999999998</v>
      </c>
      <c r="U5947">
        <v>1.9918819999999999</v>
      </c>
      <c r="V5947">
        <v>-0.34345999999999999</v>
      </c>
      <c r="W5947">
        <v>-5.8262649999999999E-2</v>
      </c>
      <c r="X5947">
        <v>0.93735840000000004</v>
      </c>
      <c r="Y5947">
        <v>-0.59425260000000002</v>
      </c>
      <c r="Z5947">
        <v>3.6226269999999998E-2</v>
      </c>
      <c r="AA5947">
        <v>0.80346219999999902</v>
      </c>
      <c r="AB5947">
        <v>32</v>
      </c>
      <c r="AC5947">
        <v>0.56889999999998497</v>
      </c>
      <c r="AD5947">
        <v>-0.106583</v>
      </c>
      <c r="AE5947">
        <v>0.58994000000000502</v>
      </c>
      <c r="AF5947">
        <v>-0.55045180524945603</v>
      </c>
      <c r="AG5947">
        <v>-0.106583</v>
      </c>
      <c r="AH5947">
        <v>0.58866204976745495</v>
      </c>
      <c r="AI5947">
        <v>97.533578696736299</v>
      </c>
      <c r="AJ5947">
        <v>133.07880031531201</v>
      </c>
      <c r="AK5947">
        <v>0.81294534541247399</v>
      </c>
      <c r="AL5947">
        <v>93.340095317675306</v>
      </c>
      <c r="AM5947">
        <v>110.12347444362101</v>
      </c>
      <c r="AN5947">
        <v>1.0000000390177901</v>
      </c>
    </row>
    <row r="5948" spans="1:40" x14ac:dyDescent="0.25">
      <c r="A5948" t="str">
        <f>"20190305135943176"</f>
        <v>20190305135943176</v>
      </c>
      <c r="B5948" t="str">
        <f>"1551765583164842"</f>
        <v>1551765583164842</v>
      </c>
      <c r="C5948" t="s">
        <v>40</v>
      </c>
      <c r="D5948">
        <v>3.9929160000000001</v>
      </c>
      <c r="E5948">
        <v>0.38650069999999997</v>
      </c>
      <c r="F5948" t="s">
        <v>82</v>
      </c>
      <c r="G5948">
        <v>-208.44800000000001</v>
      </c>
      <c r="H5948" s="1">
        <v>-2.149619E-6</v>
      </c>
      <c r="I5948">
        <v>-55.9056</v>
      </c>
      <c r="J5948">
        <v>-215.7731</v>
      </c>
      <c r="K5948">
        <v>1.113135</v>
      </c>
      <c r="L5948">
        <v>-62.159179999999999</v>
      </c>
      <c r="M5948">
        <v>0.99846210000000002</v>
      </c>
      <c r="N5948">
        <v>-1.271547E-2</v>
      </c>
      <c r="O5948">
        <v>5.3960370000000001E-2</v>
      </c>
      <c r="P5948">
        <v>0.91547299999999998</v>
      </c>
      <c r="Q5948">
        <v>-6.5931290000000004E-2</v>
      </c>
      <c r="R5948">
        <v>0.39694119999999999</v>
      </c>
      <c r="S5948">
        <v>2.3894959999999998</v>
      </c>
      <c r="T5948">
        <v>-0.3553212</v>
      </c>
      <c r="U5948">
        <v>1.999695</v>
      </c>
      <c r="V5948">
        <v>-0.34645520000000002</v>
      </c>
      <c r="W5948">
        <v>-5.7174089999999997E-2</v>
      </c>
      <c r="X5948">
        <v>0.9363226</v>
      </c>
      <c r="Y5948">
        <v>-0.59543999999999997</v>
      </c>
      <c r="Z5948">
        <v>3.6282969999999998E-2</v>
      </c>
      <c r="AA5948">
        <v>0.80258009999999902</v>
      </c>
      <c r="AB5948">
        <v>32</v>
      </c>
      <c r="AC5948">
        <v>7.3251000000000097</v>
      </c>
      <c r="AD5948">
        <v>-1.1131371496189999</v>
      </c>
      <c r="AE5948">
        <v>6.2535800000000004</v>
      </c>
      <c r="AF5948">
        <v>-5.7720716184271597</v>
      </c>
      <c r="AG5948">
        <v>-1.1131371496189999</v>
      </c>
      <c r="AH5948">
        <v>7.5510380388551201</v>
      </c>
      <c r="AI5948">
        <v>96.679890821444602</v>
      </c>
      <c r="AJ5948">
        <v>127.394574622052</v>
      </c>
      <c r="AK5948">
        <v>9.5694336586002393</v>
      </c>
      <c r="AL5948">
        <v>93.277621247818701</v>
      </c>
      <c r="AM5948">
        <v>110.305326167601</v>
      </c>
      <c r="AN5948">
        <v>1.00000004672256</v>
      </c>
    </row>
    <row r="5949" spans="1:40" x14ac:dyDescent="0.25">
      <c r="A5949" t="str">
        <f>"20190305135943188"</f>
        <v>20190305135943188</v>
      </c>
      <c r="B5949" t="str">
        <f>"1551765583185339"</f>
        <v>1551765583185339</v>
      </c>
      <c r="C5949" t="s">
        <v>40</v>
      </c>
      <c r="D5949">
        <v>4.0463789999999999</v>
      </c>
      <c r="E5949">
        <v>0.40298600000000001</v>
      </c>
      <c r="F5949" t="s">
        <v>41</v>
      </c>
      <c r="G5949">
        <v>-215.07640000000001</v>
      </c>
      <c r="H5949">
        <v>1.0078199999999999</v>
      </c>
      <c r="I5949">
        <v>-61.572619999999901</v>
      </c>
      <c r="J5949">
        <v>-215.60749999999999</v>
      </c>
      <c r="K5949">
        <v>1.1132660000000001</v>
      </c>
      <c r="L5949">
        <v>-62.147860000000001</v>
      </c>
      <c r="M5949">
        <v>0.99832390000000004</v>
      </c>
      <c r="N5949">
        <v>-1.2786499999999999E-2</v>
      </c>
      <c r="O5949">
        <v>5.6444920000000003E-2</v>
      </c>
      <c r="P5949">
        <v>0.91333200000000003</v>
      </c>
      <c r="Q5949">
        <v>-6.417552E-2</v>
      </c>
      <c r="R5949">
        <v>0.40212700000000001</v>
      </c>
      <c r="S5949">
        <v>2.3815</v>
      </c>
      <c r="T5949">
        <v>-0.36001830000000001</v>
      </c>
      <c r="U5949">
        <v>2.005493</v>
      </c>
      <c r="V5949">
        <v>-0.3494254</v>
      </c>
      <c r="W5949">
        <v>-5.5486750000000001E-2</v>
      </c>
      <c r="X5949">
        <v>0.93531980000000003</v>
      </c>
      <c r="Y5949">
        <v>-0.59581450000000002</v>
      </c>
      <c r="Z5949">
        <v>3.6520669999999998E-2</v>
      </c>
      <c r="AA5949">
        <v>0.80229130000000004</v>
      </c>
      <c r="AB5949">
        <v>32</v>
      </c>
      <c r="AC5949">
        <v>0.53109999999998003</v>
      </c>
      <c r="AD5949">
        <v>-0.105445999999999</v>
      </c>
      <c r="AE5949">
        <v>0.57523999999999997</v>
      </c>
      <c r="AF5949">
        <v>-0.53464429606368402</v>
      </c>
      <c r="AG5949">
        <v>-0.105445999999999</v>
      </c>
      <c r="AH5949">
        <v>0.552699542671374</v>
      </c>
      <c r="AI5949">
        <v>97.808018480099193</v>
      </c>
      <c r="AJ5949">
        <v>134.04869616211201</v>
      </c>
      <c r="AK5949">
        <v>0.77617019183847702</v>
      </c>
      <c r="AL5949">
        <v>93.180790150042597</v>
      </c>
      <c r="AM5949">
        <v>110.485146482548</v>
      </c>
      <c r="AN5949">
        <v>1.0000000089313801</v>
      </c>
    </row>
    <row r="5950" spans="1:40" x14ac:dyDescent="0.25">
      <c r="A5950" t="str">
        <f>"20190305135943200"</f>
        <v>20190305135943200</v>
      </c>
      <c r="B5950" t="str">
        <f>"1551765583195099"</f>
        <v>1551765583195099</v>
      </c>
      <c r="C5950" t="s">
        <v>40</v>
      </c>
      <c r="D5950">
        <v>4.0210650000000001</v>
      </c>
      <c r="E5950">
        <v>0.40443469999999998</v>
      </c>
      <c r="F5950" t="s">
        <v>41</v>
      </c>
      <c r="G5950">
        <v>-214.80330000000001</v>
      </c>
      <c r="H5950">
        <v>1.046656</v>
      </c>
      <c r="I5950">
        <v>-61.512140000000002</v>
      </c>
      <c r="J5950">
        <v>-215.4359</v>
      </c>
      <c r="K5950">
        <v>1.1134010000000001</v>
      </c>
      <c r="L5950">
        <v>-62.135829999999999</v>
      </c>
      <c r="M5950">
        <v>0.99817180000000005</v>
      </c>
      <c r="N5950">
        <v>-1.285908E-2</v>
      </c>
      <c r="O5950">
        <v>5.9057070000000003E-2</v>
      </c>
      <c r="P5950">
        <v>0.91140129999999997</v>
      </c>
      <c r="Q5950">
        <v>-6.2194890000000003E-2</v>
      </c>
      <c r="R5950">
        <v>0.40679179999999998</v>
      </c>
      <c r="S5950">
        <v>2.4261469999999998</v>
      </c>
      <c r="T5950">
        <v>-0.2009338</v>
      </c>
      <c r="U5950">
        <v>1.9178770000000001</v>
      </c>
      <c r="V5950">
        <v>-0.35175329999999999</v>
      </c>
      <c r="W5950">
        <v>-5.3568539999999998E-2</v>
      </c>
      <c r="X5950">
        <v>0.93455869999999996</v>
      </c>
      <c r="Y5950">
        <v>-0.57134929999999995</v>
      </c>
      <c r="Z5950">
        <v>2.129996E-2</v>
      </c>
      <c r="AA5950">
        <v>0.82043060000000001</v>
      </c>
      <c r="AB5950">
        <v>32</v>
      </c>
      <c r="AC5950">
        <v>0.63259999999999605</v>
      </c>
      <c r="AD5950">
        <v>-6.6744999999999999E-2</v>
      </c>
      <c r="AE5950">
        <v>0.62369000000000296</v>
      </c>
      <c r="AF5950">
        <v>-0.58195350363384402</v>
      </c>
      <c r="AG5950">
        <v>-6.6744999999999999E-2</v>
      </c>
      <c r="AH5950">
        <v>0.66458045845995894</v>
      </c>
      <c r="AI5950">
        <v>94.320916120960803</v>
      </c>
      <c r="AJ5950">
        <v>131.20767619886701</v>
      </c>
      <c r="AK5950">
        <v>0.88588484645779697</v>
      </c>
      <c r="AL5950">
        <v>93.070721168055599</v>
      </c>
      <c r="AM5950">
        <v>110.62555377769699</v>
      </c>
      <c r="AN5950">
        <v>0.99999996814215497</v>
      </c>
    </row>
    <row r="5951" spans="1:40" x14ac:dyDescent="0.25">
      <c r="A5951" t="str">
        <f>"20190305135943211"</f>
        <v>20190305135943211</v>
      </c>
      <c r="B5951" t="str">
        <f>"1551765583204860"</f>
        <v>1551765583204860</v>
      </c>
      <c r="C5951" t="s">
        <v>40</v>
      </c>
      <c r="D5951">
        <v>4.0290369999999998</v>
      </c>
      <c r="E5951">
        <v>0.40473979999999998</v>
      </c>
      <c r="F5951" t="s">
        <v>82</v>
      </c>
      <c r="G5951">
        <v>-201.4374</v>
      </c>
      <c r="H5951" s="1">
        <v>-6.6242260000000003E-6</v>
      </c>
      <c r="I5951">
        <v>-51.036259999999999</v>
      </c>
      <c r="J5951">
        <v>-215.27549999999999</v>
      </c>
      <c r="K5951">
        <v>1.113521</v>
      </c>
      <c r="L5951">
        <v>-62.123899999999999</v>
      </c>
      <c r="M5951">
        <v>0.9980175</v>
      </c>
      <c r="N5951">
        <v>-1.2924639999999999E-2</v>
      </c>
      <c r="O5951">
        <v>6.1593839999999997E-2</v>
      </c>
      <c r="P5951">
        <v>0.90978400000000004</v>
      </c>
      <c r="Q5951">
        <v>-6.0169189999999997E-2</v>
      </c>
      <c r="R5951">
        <v>0.4106979</v>
      </c>
      <c r="S5951">
        <v>2.4215089999999999</v>
      </c>
      <c r="T5951">
        <v>-0.1926012</v>
      </c>
      <c r="U5951">
        <v>1.9200440000000001</v>
      </c>
      <c r="V5951">
        <v>-0.35338399999999998</v>
      </c>
      <c r="W5951">
        <v>-5.1594849999999998E-2</v>
      </c>
      <c r="X5951">
        <v>0.93405439999999995</v>
      </c>
      <c r="Y5951">
        <v>-0.57058109999999995</v>
      </c>
      <c r="Z5951">
        <v>2.0484570000000001E-2</v>
      </c>
      <c r="AA5951">
        <v>0.82098570000000004</v>
      </c>
      <c r="AB5951">
        <v>32</v>
      </c>
      <c r="AC5951">
        <v>13.838099999999899</v>
      </c>
      <c r="AD5951">
        <v>-1.1135276242259999</v>
      </c>
      <c r="AE5951">
        <v>11.087639999999899</v>
      </c>
      <c r="AF5951">
        <v>-10.1740501574142</v>
      </c>
      <c r="AG5951">
        <v>-1.1135276242259999</v>
      </c>
      <c r="AH5951">
        <v>14.4378731316498</v>
      </c>
      <c r="AI5951">
        <v>93.607425339817098</v>
      </c>
      <c r="AJ5951">
        <v>125.17150708958199</v>
      </c>
      <c r="AK5951">
        <v>17.697554094877301</v>
      </c>
      <c r="AL5951">
        <v>92.957480434943307</v>
      </c>
      <c r="AM5951">
        <v>110.723305749733</v>
      </c>
      <c r="AN5951">
        <v>0.99999995108093997</v>
      </c>
    </row>
    <row r="5952" spans="1:40" x14ac:dyDescent="0.25">
      <c r="A5952" t="str">
        <f>"20190305135943223"</f>
        <v>20190305135943223</v>
      </c>
      <c r="B5952" t="str">
        <f>"1551765583214619"</f>
        <v>1551765583214619</v>
      </c>
      <c r="C5952" t="s">
        <v>40</v>
      </c>
      <c r="D5952">
        <v>4.0055680000000002</v>
      </c>
      <c r="E5952">
        <v>0.404916</v>
      </c>
      <c r="F5952" t="s">
        <v>41</v>
      </c>
      <c r="G5952">
        <v>-214.51310000000001</v>
      </c>
      <c r="H5952">
        <v>1.0557219999999901</v>
      </c>
      <c r="I5952">
        <v>-61.515090000000001</v>
      </c>
      <c r="J5952">
        <v>-215.11359999999999</v>
      </c>
      <c r="K5952">
        <v>1.1136360000000001</v>
      </c>
      <c r="L5952">
        <v>-62.111539999999998</v>
      </c>
      <c r="M5952">
        <v>0.99785290000000004</v>
      </c>
      <c r="N5952">
        <v>-1.2989209999999999E-2</v>
      </c>
      <c r="O5952">
        <v>6.4194189999999998E-2</v>
      </c>
      <c r="P5952">
        <v>0.90762540000000003</v>
      </c>
      <c r="Q5952">
        <v>-5.8784309999999999E-2</v>
      </c>
      <c r="R5952">
        <v>0.41564430000000002</v>
      </c>
      <c r="S5952">
        <v>2.4146879999999999</v>
      </c>
      <c r="T5952">
        <v>-0.18308150000000001</v>
      </c>
      <c r="U5952">
        <v>1.9287719999999999</v>
      </c>
      <c r="V5952">
        <v>-0.35602630000000002</v>
      </c>
      <c r="W5952">
        <v>-5.0278320000000001E-2</v>
      </c>
      <c r="X5952">
        <v>0.93312240000000002</v>
      </c>
      <c r="Y5952">
        <v>-0.57149220000000001</v>
      </c>
      <c r="Z5952">
        <v>1.965563E-2</v>
      </c>
      <c r="AA5952">
        <v>0.82037209999999905</v>
      </c>
      <c r="AB5952">
        <v>32</v>
      </c>
      <c r="AC5952">
        <v>0.60049999999998205</v>
      </c>
      <c r="AD5952">
        <v>-5.7914000000000201E-2</v>
      </c>
      <c r="AE5952">
        <v>0.59645000000000403</v>
      </c>
      <c r="AF5952">
        <v>-0.55407348274738599</v>
      </c>
      <c r="AG5952">
        <v>-5.7914000000000201E-2</v>
      </c>
      <c r="AH5952">
        <v>0.63458189755015904</v>
      </c>
      <c r="AI5952">
        <v>93.932679837806504</v>
      </c>
      <c r="AJ5952">
        <v>131.12523682519199</v>
      </c>
      <c r="AK5952">
        <v>0.84442029841671795</v>
      </c>
      <c r="AL5952">
        <v>92.881950555326398</v>
      </c>
      <c r="AM5952">
        <v>110.884002514861</v>
      </c>
      <c r="AN5952">
        <v>1.0000000245677301</v>
      </c>
    </row>
    <row r="5953" spans="1:40" x14ac:dyDescent="0.25">
      <c r="A5953" t="str">
        <f>"20190305135943234"</f>
        <v>20190305135943234</v>
      </c>
      <c r="B5953" t="str">
        <f>"1551765583224378"</f>
        <v>1551765583224378</v>
      </c>
      <c r="C5953" t="s">
        <v>40</v>
      </c>
      <c r="D5953">
        <v>4.0680259999999997</v>
      </c>
      <c r="E5953">
        <v>0.4049314</v>
      </c>
      <c r="F5953" t="s">
        <v>82</v>
      </c>
      <c r="G5953">
        <v>-199.8492</v>
      </c>
      <c r="H5953" s="1">
        <v>-3.3761639999999998E-6</v>
      </c>
      <c r="I5953">
        <v>-49.790039999999998</v>
      </c>
      <c r="J5953">
        <v>-214.94049999999999</v>
      </c>
      <c r="K5953">
        <v>1.1137549999999901</v>
      </c>
      <c r="L5953">
        <v>-62.09778</v>
      </c>
      <c r="M5953">
        <v>0.99766480000000002</v>
      </c>
      <c r="N5953">
        <v>-1.305603E-2</v>
      </c>
      <c r="O5953">
        <v>6.7042069999999995E-2</v>
      </c>
      <c r="P5953">
        <v>0.90558890000000003</v>
      </c>
      <c r="Q5953">
        <v>-5.729534E-2</v>
      </c>
      <c r="R5953">
        <v>0.42026930000000001</v>
      </c>
      <c r="S5953">
        <v>2.4049529999999999</v>
      </c>
      <c r="T5953">
        <v>-0.17545659999999999</v>
      </c>
      <c r="U5953">
        <v>1.941284</v>
      </c>
      <c r="V5953">
        <v>-0.35811769999999998</v>
      </c>
      <c r="W5953">
        <v>-4.8851279999999997E-2</v>
      </c>
      <c r="X5953">
        <v>0.93239760000000005</v>
      </c>
      <c r="Y5953">
        <v>-0.57343699999999997</v>
      </c>
      <c r="Z5953">
        <v>1.9028150000000001E-2</v>
      </c>
      <c r="AA5953">
        <v>0.81902869999999905</v>
      </c>
      <c r="AB5953">
        <v>32</v>
      </c>
      <c r="AC5953">
        <v>15.091299999999899</v>
      </c>
      <c r="AD5953">
        <v>-1.11375837616399</v>
      </c>
      <c r="AE5953">
        <v>12.307740000000001</v>
      </c>
      <c r="AF5953">
        <v>-11.23146830744</v>
      </c>
      <c r="AG5953">
        <v>-1.11375837616399</v>
      </c>
      <c r="AH5953">
        <v>15.830765098046699</v>
      </c>
      <c r="AI5953">
        <v>93.284020384904807</v>
      </c>
      <c r="AJ5953">
        <v>125.354594526814</v>
      </c>
      <c r="AK5953">
        <v>19.442208250377298</v>
      </c>
      <c r="AL5953">
        <v>92.800086605009696</v>
      </c>
      <c r="AM5953">
        <v>111.01091407005801</v>
      </c>
      <c r="AN5953">
        <v>1.0000000095483399</v>
      </c>
    </row>
    <row r="5954" spans="1:40" x14ac:dyDescent="0.25">
      <c r="A5954" t="str">
        <f>"20190305135943245"</f>
        <v>20190305135943245</v>
      </c>
      <c r="B5954" t="str">
        <f>"1551765583235115"</f>
        <v>1551765583235115</v>
      </c>
      <c r="C5954" t="s">
        <v>40</v>
      </c>
      <c r="D5954">
        <v>4.0652220000000003</v>
      </c>
      <c r="E5954">
        <v>0.40490110000000001</v>
      </c>
      <c r="F5954" t="s">
        <v>41</v>
      </c>
      <c r="G5954">
        <v>-214.2242</v>
      </c>
      <c r="H5954">
        <v>1.064349</v>
      </c>
      <c r="I5954">
        <v>-61.513550000000002</v>
      </c>
      <c r="J5954">
        <v>-214.79040000000001</v>
      </c>
      <c r="K5954">
        <v>1.11385499999999</v>
      </c>
      <c r="L5954">
        <v>-62.085270000000001</v>
      </c>
      <c r="M5954">
        <v>0.99749069999999995</v>
      </c>
      <c r="N5954">
        <v>-1.3111340000000001E-2</v>
      </c>
      <c r="O5954">
        <v>6.9574460000000005E-2</v>
      </c>
      <c r="P5954">
        <v>0.90379330000000002</v>
      </c>
      <c r="Q5954">
        <v>-5.5763720000000003E-2</v>
      </c>
      <c r="R5954">
        <v>0.4243208</v>
      </c>
      <c r="S5954">
        <v>2.3953700000000002</v>
      </c>
      <c r="T5954">
        <v>-0.16522590000000001</v>
      </c>
      <c r="U5954">
        <v>1.954224</v>
      </c>
      <c r="V5954">
        <v>-0.35992370000000001</v>
      </c>
      <c r="W5954">
        <v>-4.7373190000000003E-2</v>
      </c>
      <c r="X5954">
        <v>0.93177829999999995</v>
      </c>
      <c r="Y5954">
        <v>-0.57572109999999999</v>
      </c>
      <c r="Z5954">
        <v>1.8223949999999999E-2</v>
      </c>
      <c r="AA5954">
        <v>0.81744300000000003</v>
      </c>
      <c r="AB5954">
        <v>32</v>
      </c>
      <c r="AC5954">
        <v>0.56620000000000903</v>
      </c>
      <c r="AD5954">
        <v>-4.95059999999998E-2</v>
      </c>
      <c r="AE5954">
        <v>0.57171999999999201</v>
      </c>
      <c r="AF5954">
        <v>-0.52893567210744696</v>
      </c>
      <c r="AG5954">
        <v>-4.95059999999998E-2</v>
      </c>
      <c r="AH5954">
        <v>0.60232819755957401</v>
      </c>
      <c r="AI5954">
        <v>93.534013982946803</v>
      </c>
      <c r="AJ5954">
        <v>131.28804805387099</v>
      </c>
      <c r="AK5954">
        <v>0.80313326841759103</v>
      </c>
      <c r="AL5954">
        <v>92.715299995690302</v>
      </c>
      <c r="AM5954">
        <v>111.120355653666</v>
      </c>
      <c r="AN5954">
        <v>1.0000000446516699</v>
      </c>
    </row>
    <row r="5955" spans="1:40" x14ac:dyDescent="0.25">
      <c r="A5955" t="str">
        <f>"20190305135943254"</f>
        <v>20190305135943254</v>
      </c>
      <c r="B5955" t="str">
        <f>"1551765583244874"</f>
        <v>1551765583244874</v>
      </c>
      <c r="C5955" t="s">
        <v>40</v>
      </c>
      <c r="D5955">
        <v>4.1215830000000002</v>
      </c>
      <c r="E5955">
        <v>0.40492329999999999</v>
      </c>
      <c r="F5955" t="s">
        <v>82</v>
      </c>
      <c r="G5955">
        <v>-197.8698</v>
      </c>
      <c r="H5955" s="1">
        <v>-3.8486599999999998E-6</v>
      </c>
      <c r="I5955">
        <v>-48.150880000000001</v>
      </c>
      <c r="J5955">
        <v>-214.6525</v>
      </c>
      <c r="K5955">
        <v>1.1139479999999999</v>
      </c>
      <c r="L5955">
        <v>-62.07358</v>
      </c>
      <c r="M5955">
        <v>0.99732299999999996</v>
      </c>
      <c r="N5955">
        <v>-1.316081E-2</v>
      </c>
      <c r="O5955">
        <v>7.1928010000000001E-2</v>
      </c>
      <c r="P5955">
        <v>0.9021614</v>
      </c>
      <c r="Q5955">
        <v>-5.3919170000000002E-2</v>
      </c>
      <c r="R5955">
        <v>0.42801610000000001</v>
      </c>
      <c r="S5955">
        <v>2.3868100000000001</v>
      </c>
      <c r="T5955">
        <v>-0.15712019999999999</v>
      </c>
      <c r="U5955">
        <v>1.965576</v>
      </c>
      <c r="V5955">
        <v>-0.36153960000000002</v>
      </c>
      <c r="W5955">
        <v>-4.5577439999999997E-2</v>
      </c>
      <c r="X5955">
        <v>0.93124209999999996</v>
      </c>
      <c r="Y5955">
        <v>-0.57762519999999995</v>
      </c>
      <c r="Z5955">
        <v>1.758498E-2</v>
      </c>
      <c r="AA5955">
        <v>0.81611269999999903</v>
      </c>
      <c r="AB5955">
        <v>32</v>
      </c>
      <c r="AC5955">
        <v>16.782699999999998</v>
      </c>
      <c r="AD5955">
        <v>-1.11395184866</v>
      </c>
      <c r="AE5955">
        <v>13.922700000000001</v>
      </c>
      <c r="AF5955">
        <v>-12.646378185751001</v>
      </c>
      <c r="AG5955">
        <v>-1.11395184866</v>
      </c>
      <c r="AH5955">
        <v>17.694564619460898</v>
      </c>
      <c r="AI5955">
        <v>92.932014200755802</v>
      </c>
      <c r="AJ5955">
        <v>125.553548480063</v>
      </c>
      <c r="AK5955">
        <v>21.777726855906</v>
      </c>
      <c r="AL5955">
        <v>92.612299864260194</v>
      </c>
      <c r="AM5955">
        <v>111.21789201777101</v>
      </c>
      <c r="AN5955">
        <v>1.00000001710876</v>
      </c>
    </row>
    <row r="5956" spans="1:40" x14ac:dyDescent="0.25">
      <c r="A5956" t="str">
        <f>"20190305135943265"</f>
        <v>20190305135943265</v>
      </c>
      <c r="B5956" t="str">
        <f>"1551765583254636"</f>
        <v>1551765583254636</v>
      </c>
      <c r="C5956" t="s">
        <v>40</v>
      </c>
      <c r="D5956">
        <v>4.0825079999999998</v>
      </c>
      <c r="E5956">
        <v>0.40525529999999998</v>
      </c>
      <c r="F5956" t="s">
        <v>41</v>
      </c>
      <c r="G5956">
        <v>-213.94309999999999</v>
      </c>
      <c r="H5956">
        <v>1.06956299999999</v>
      </c>
      <c r="I5956">
        <v>-61.484479999999998</v>
      </c>
      <c r="J5956">
        <v>-214.499</v>
      </c>
      <c r="K5956">
        <v>1.11405</v>
      </c>
      <c r="L5956">
        <v>-62.059939999999997</v>
      </c>
      <c r="M5956">
        <v>0.99712500000000004</v>
      </c>
      <c r="N5956">
        <v>-1.32132E-2</v>
      </c>
      <c r="O5956">
        <v>7.4614810000000004E-2</v>
      </c>
      <c r="P5956">
        <v>0.90059480000000003</v>
      </c>
      <c r="Q5956">
        <v>-5.1704310000000003E-2</v>
      </c>
      <c r="R5956">
        <v>0.4315736</v>
      </c>
      <c r="S5956">
        <v>2.379089</v>
      </c>
      <c r="T5956">
        <v>-0.14885039999999999</v>
      </c>
      <c r="U5956">
        <v>1.9757389999999999</v>
      </c>
      <c r="V5956">
        <v>-0.36271029999999999</v>
      </c>
      <c r="W5956">
        <v>-4.3407130000000002E-2</v>
      </c>
      <c r="X5956">
        <v>0.93089040000000001</v>
      </c>
      <c r="Y5956">
        <v>-0.57886919999999897</v>
      </c>
      <c r="Z5956">
        <v>1.6901469999999998E-2</v>
      </c>
      <c r="AA5956">
        <v>0.815245199999999</v>
      </c>
      <c r="AB5956">
        <v>32</v>
      </c>
      <c r="AC5956">
        <v>0.55590000000003603</v>
      </c>
      <c r="AD5956">
        <v>-4.4487000000000103E-2</v>
      </c>
      <c r="AE5956">
        <v>0.57545999999999897</v>
      </c>
      <c r="AF5956">
        <v>-0.53073285137302195</v>
      </c>
      <c r="AG5956">
        <v>-4.4487000000000103E-2</v>
      </c>
      <c r="AH5956">
        <v>0.59545088401997104</v>
      </c>
      <c r="AI5956">
        <v>93.192242448545997</v>
      </c>
      <c r="AJ5956">
        <v>131.71101951205</v>
      </c>
      <c r="AK5956">
        <v>0.79888560381052198</v>
      </c>
      <c r="AL5956">
        <v>92.487827171637804</v>
      </c>
      <c r="AM5956">
        <v>111.287779978578</v>
      </c>
      <c r="AN5956">
        <v>0.99999993873654103</v>
      </c>
    </row>
    <row r="5957" spans="1:40" x14ac:dyDescent="0.25">
      <c r="A5957" t="str">
        <f>"20190305135943277"</f>
        <v>20190305135943277</v>
      </c>
      <c r="B5957" t="str">
        <f>"1551765583264394"</f>
        <v>1551765583264394</v>
      </c>
      <c r="C5957" t="s">
        <v>40</v>
      </c>
      <c r="D5957">
        <v>4.110887</v>
      </c>
      <c r="E5957">
        <v>0.4056881</v>
      </c>
      <c r="F5957" t="s">
        <v>82</v>
      </c>
      <c r="G5957">
        <v>-195.9716</v>
      </c>
      <c r="H5957" s="1">
        <v>-4.3029949999999998E-6</v>
      </c>
      <c r="I5957">
        <v>-46.576540000000001</v>
      </c>
      <c r="J5957">
        <v>-214.3389</v>
      </c>
      <c r="K5957">
        <v>1.114152</v>
      </c>
      <c r="L5957">
        <v>-62.045470000000002</v>
      </c>
      <c r="M5957">
        <v>0.99690840000000003</v>
      </c>
      <c r="N5957">
        <v>-1.326636E-2</v>
      </c>
      <c r="O5957">
        <v>7.7444899999999997E-2</v>
      </c>
      <c r="P5957">
        <v>0.89883429999999997</v>
      </c>
      <c r="Q5957">
        <v>-4.9547109999999998E-2</v>
      </c>
      <c r="R5957">
        <v>0.435479</v>
      </c>
      <c r="S5957">
        <v>2.3727420000000001</v>
      </c>
      <c r="T5957">
        <v>-0.14267340000000001</v>
      </c>
      <c r="U5957">
        <v>1.98291</v>
      </c>
      <c r="V5957">
        <v>-0.36411359999999998</v>
      </c>
      <c r="W5957">
        <v>-4.1300379999999998E-2</v>
      </c>
      <c r="X5957">
        <v>0.9304384</v>
      </c>
      <c r="Y5957">
        <v>-0.57913610000000004</v>
      </c>
      <c r="Z5957">
        <v>1.6351089999999999E-2</v>
      </c>
      <c r="AA5957">
        <v>0.81506690000000004</v>
      </c>
      <c r="AB5957">
        <v>32</v>
      </c>
      <c r="AC5957">
        <v>18.3673</v>
      </c>
      <c r="AD5957">
        <v>-1.1141563029949999</v>
      </c>
      <c r="AE5957">
        <v>15.468929999999901</v>
      </c>
      <c r="AF5957">
        <v>-13.9698112941195</v>
      </c>
      <c r="AG5957">
        <v>-1.1141563029949999</v>
      </c>
      <c r="AH5957">
        <v>19.468312260705499</v>
      </c>
      <c r="AI5957">
        <v>92.662168336004001</v>
      </c>
      <c r="AJ5957">
        <v>125.66195986095499</v>
      </c>
      <c r="AK5957">
        <v>23.9877500850152</v>
      </c>
      <c r="AL5957">
        <v>92.367010641177401</v>
      </c>
      <c r="AM5957">
        <v>111.372171387165</v>
      </c>
      <c r="AN5957">
        <v>1.0000000256438299</v>
      </c>
    </row>
    <row r="5958" spans="1:40" x14ac:dyDescent="0.25">
      <c r="A5958" t="str">
        <f>"20190305135943288"</f>
        <v>20190305135943288</v>
      </c>
      <c r="B5958" t="str">
        <f>"1551765583284891"</f>
        <v>1551765583284891</v>
      </c>
      <c r="C5958" t="s">
        <v>40</v>
      </c>
      <c r="D5958">
        <v>4.1066219999999998</v>
      </c>
      <c r="E5958">
        <v>0.40634049999999999</v>
      </c>
      <c r="F5958" t="s">
        <v>41</v>
      </c>
      <c r="G5958">
        <v>-213.65639999999999</v>
      </c>
      <c r="H5958">
        <v>1.0745629999999999</v>
      </c>
      <c r="I5958">
        <v>-61.471319999999999</v>
      </c>
      <c r="J5958">
        <v>-214.18389999999999</v>
      </c>
      <c r="K5958">
        <v>1.1142559999999999</v>
      </c>
      <c r="L5958">
        <v>-62.030700000000003</v>
      </c>
      <c r="M5958">
        <v>0.99668500000000004</v>
      </c>
      <c r="N5958">
        <v>-1.331452E-2</v>
      </c>
      <c r="O5958">
        <v>8.0261550000000001E-2</v>
      </c>
      <c r="P5958">
        <v>0.89709369999999999</v>
      </c>
      <c r="Q5958">
        <v>-4.7569939999999998E-2</v>
      </c>
      <c r="R5958">
        <v>0.4392723</v>
      </c>
      <c r="S5958">
        <v>2.3659210000000002</v>
      </c>
      <c r="T5958">
        <v>-0.1372371</v>
      </c>
      <c r="U5958">
        <v>1.990051</v>
      </c>
      <c r="V5958">
        <v>-0.36542039999999998</v>
      </c>
      <c r="W5958">
        <v>-3.9371099999999999E-2</v>
      </c>
      <c r="X5958">
        <v>0.93000959999999999</v>
      </c>
      <c r="Y5958">
        <v>-0.57947890000000002</v>
      </c>
      <c r="Z5958">
        <v>1.587117E-2</v>
      </c>
      <c r="AA5958">
        <v>0.81483269999999997</v>
      </c>
      <c r="AB5958">
        <v>32</v>
      </c>
      <c r="AC5958">
        <v>0.52750000000000297</v>
      </c>
      <c r="AD5958">
        <v>-3.9692999999999902E-2</v>
      </c>
      <c r="AE5958">
        <v>0.55938000000000399</v>
      </c>
      <c r="AF5958">
        <v>-0.51386378962193702</v>
      </c>
      <c r="AG5958">
        <v>-3.9692999999999902E-2</v>
      </c>
      <c r="AH5958">
        <v>0.56918162662983895</v>
      </c>
      <c r="AI5958">
        <v>92.963136821902097</v>
      </c>
      <c r="AJ5958">
        <v>132.07609053499701</v>
      </c>
      <c r="AK5958">
        <v>0.76785366615430595</v>
      </c>
      <c r="AL5958">
        <v>92.256381041436001</v>
      </c>
      <c r="AM5958">
        <v>111.450911050635</v>
      </c>
      <c r="AN5958">
        <v>1.00000000417176</v>
      </c>
    </row>
    <row r="5959" spans="1:40" x14ac:dyDescent="0.25">
      <c r="A5959" t="str">
        <f>"20190305135943300"</f>
        <v>20190305135943300</v>
      </c>
      <c r="B5959" t="str">
        <f>"1551765583294651"</f>
        <v>1551765583294651</v>
      </c>
      <c r="C5959" t="s">
        <v>40</v>
      </c>
      <c r="D5959">
        <v>4.0927150000000001</v>
      </c>
      <c r="E5959">
        <v>0.40667140000000002</v>
      </c>
      <c r="F5959" t="s">
        <v>41</v>
      </c>
      <c r="G5959">
        <v>-213.3991</v>
      </c>
      <c r="H5959">
        <v>1.069601</v>
      </c>
      <c r="I5959">
        <v>-61.367330000000003</v>
      </c>
      <c r="J5959">
        <v>-214.01310000000001</v>
      </c>
      <c r="K5959">
        <v>1.114357</v>
      </c>
      <c r="L5959">
        <v>-62.014130000000002</v>
      </c>
      <c r="M5959">
        <v>0.99642730000000002</v>
      </c>
      <c r="N5959">
        <v>-1.336614E-2</v>
      </c>
      <c r="O5959">
        <v>8.3390839999999994E-2</v>
      </c>
      <c r="P5959">
        <v>0.89517780000000002</v>
      </c>
      <c r="Q5959">
        <v>-4.577353E-2</v>
      </c>
      <c r="R5959">
        <v>0.44335229999999998</v>
      </c>
      <c r="S5959">
        <v>2.3601230000000002</v>
      </c>
      <c r="T5959">
        <v>-0.13428809999999999</v>
      </c>
      <c r="U5959">
        <v>1.995026</v>
      </c>
      <c r="V5959">
        <v>-0.36673790000000001</v>
      </c>
      <c r="W5959">
        <v>-3.7626739999999999E-2</v>
      </c>
      <c r="X5959">
        <v>0.92956309999999998</v>
      </c>
      <c r="Y5959">
        <v>-0.57893479999999997</v>
      </c>
      <c r="Z5959">
        <v>1.55493E-2</v>
      </c>
      <c r="AA5959">
        <v>0.81522559999999999</v>
      </c>
      <c r="AB5959">
        <v>32</v>
      </c>
      <c r="AC5959">
        <v>0.61400000000000399</v>
      </c>
      <c r="AD5959">
        <v>-4.4755999999999997E-2</v>
      </c>
      <c r="AE5959">
        <v>0.64679999999999804</v>
      </c>
      <c r="AF5959">
        <v>-0.59184960246933305</v>
      </c>
      <c r="AG5959">
        <v>-4.4755999999999997E-2</v>
      </c>
      <c r="AH5959">
        <v>0.66413038847194905</v>
      </c>
      <c r="AI5959">
        <v>92.8801967542298</v>
      </c>
      <c r="AJ5959">
        <v>131.70630018852401</v>
      </c>
      <c r="AK5959">
        <v>0.890706587137993</v>
      </c>
      <c r="AL5959">
        <v>92.156362405543305</v>
      </c>
      <c r="AM5959">
        <v>111.530581423138</v>
      </c>
      <c r="AN5959">
        <v>1.00000000787052</v>
      </c>
    </row>
    <row r="5960" spans="1:40" x14ac:dyDescent="0.25">
      <c r="A5960" t="str">
        <f>"20190305135943311"</f>
        <v>20190305135943311</v>
      </c>
      <c r="B5960" t="str">
        <f>"1551765583305387"</f>
        <v>1551765583305387</v>
      </c>
      <c r="C5960" t="s">
        <v>40</v>
      </c>
      <c r="D5960">
        <v>4.1071390000000001</v>
      </c>
      <c r="E5960">
        <v>0.40697149999999999</v>
      </c>
      <c r="F5960" t="s">
        <v>82</v>
      </c>
      <c r="G5960">
        <v>-193.959</v>
      </c>
      <c r="H5960" s="1">
        <v>-4.7536450000000003E-6</v>
      </c>
      <c r="I5960">
        <v>-44.935749999999999</v>
      </c>
      <c r="J5960">
        <v>-213.84989999999999</v>
      </c>
      <c r="K5960">
        <v>1.114447</v>
      </c>
      <c r="L5960">
        <v>-61.997500000000002</v>
      </c>
      <c r="M5960">
        <v>0.99616579999999999</v>
      </c>
      <c r="N5960">
        <v>-1.3412159999999999E-2</v>
      </c>
      <c r="O5960">
        <v>8.6451550000000002E-2</v>
      </c>
      <c r="P5960">
        <v>0.89324590000000004</v>
      </c>
      <c r="Q5960">
        <v>-4.39873E-2</v>
      </c>
      <c r="R5960">
        <v>0.44741130000000001</v>
      </c>
      <c r="S5960">
        <v>2.352417</v>
      </c>
      <c r="T5960">
        <v>-0.13071869999999999</v>
      </c>
      <c r="U5960">
        <v>2.0033569999999998</v>
      </c>
      <c r="V5960">
        <v>-0.36810710000000002</v>
      </c>
      <c r="W5960">
        <v>-3.5892229999999997E-2</v>
      </c>
      <c r="X5960">
        <v>0.92909039999999998</v>
      </c>
      <c r="Y5960">
        <v>-0.57945150000000001</v>
      </c>
      <c r="Z5960">
        <v>1.5225010000000001E-2</v>
      </c>
      <c r="AA5960">
        <v>0.81486449999999999</v>
      </c>
      <c r="AB5960">
        <v>32</v>
      </c>
      <c r="AC5960">
        <v>19.890899999999899</v>
      </c>
      <c r="AD5960">
        <v>-1.114451753645</v>
      </c>
      <c r="AE5960">
        <v>17.06175</v>
      </c>
      <c r="AF5960">
        <v>-15.2505256155272</v>
      </c>
      <c r="AG5960">
        <v>-1.114451753645</v>
      </c>
      <c r="AH5960">
        <v>21.253126858060199</v>
      </c>
      <c r="AI5960">
        <v>92.439531077366695</v>
      </c>
      <c r="AJ5960">
        <v>125.661943700452</v>
      </c>
      <c r="AK5960">
        <v>26.182359242548301</v>
      </c>
      <c r="AL5960">
        <v>92.056915032808007</v>
      </c>
      <c r="AM5960">
        <v>111.61354989829699</v>
      </c>
      <c r="AN5960">
        <v>1.00000003030847</v>
      </c>
    </row>
    <row r="5961" spans="1:40" x14ac:dyDescent="0.25">
      <c r="A5961" t="str">
        <f>"20190305135943322"</f>
        <v>20190305135943322</v>
      </c>
      <c r="B5961" t="str">
        <f>"1551765583315147"</f>
        <v>1551765583315147</v>
      </c>
      <c r="C5961" t="s">
        <v>40</v>
      </c>
      <c r="D5961">
        <v>4.1090350000000004</v>
      </c>
      <c r="E5961">
        <v>0.40722570000000002</v>
      </c>
      <c r="F5961" t="s">
        <v>41</v>
      </c>
      <c r="G5961">
        <v>-213.11</v>
      </c>
      <c r="H5961">
        <v>1.073782</v>
      </c>
      <c r="I5961">
        <v>-61.362839999999998</v>
      </c>
      <c r="J5961">
        <v>-213.69210000000001</v>
      </c>
      <c r="K5961">
        <v>1.114536</v>
      </c>
      <c r="L5961">
        <v>-61.981079999999999</v>
      </c>
      <c r="M5961">
        <v>0.99590140000000005</v>
      </c>
      <c r="N5961">
        <v>-1.3454819999999999E-2</v>
      </c>
      <c r="O5961">
        <v>8.9440190000000003E-2</v>
      </c>
      <c r="P5961">
        <v>0.89136949999999904</v>
      </c>
      <c r="Q5961">
        <v>-4.2036120000000003E-2</v>
      </c>
      <c r="R5961">
        <v>0.45132410000000001</v>
      </c>
      <c r="S5961">
        <v>2.3447269999999998</v>
      </c>
      <c r="T5961">
        <v>-0.12886980000000001</v>
      </c>
      <c r="U5961">
        <v>2.0114139999999998</v>
      </c>
      <c r="V5961">
        <v>-0.36940149999999999</v>
      </c>
      <c r="W5961">
        <v>-3.3990159999999998E-2</v>
      </c>
      <c r="X5961">
        <v>0.92864809999999998</v>
      </c>
      <c r="Y5961">
        <v>-0.57995439999999998</v>
      </c>
      <c r="Z5961">
        <v>1.503523E-2</v>
      </c>
      <c r="AA5961">
        <v>0.81451019999999996</v>
      </c>
      <c r="AB5961">
        <v>32</v>
      </c>
      <c r="AC5961">
        <v>0.58209999999999695</v>
      </c>
      <c r="AD5961">
        <v>-4.0753999999999901E-2</v>
      </c>
      <c r="AE5961">
        <v>0.61824000000000001</v>
      </c>
      <c r="AF5961">
        <v>-0.56239849650303997</v>
      </c>
      <c r="AG5961">
        <v>-4.0753999999999901E-2</v>
      </c>
      <c r="AH5961">
        <v>0.63360768903065801</v>
      </c>
      <c r="AI5961">
        <v>92.754047244961598</v>
      </c>
      <c r="AJ5961">
        <v>131.59268036404501</v>
      </c>
      <c r="AK5961">
        <v>0.84818138448309</v>
      </c>
      <c r="AL5961">
        <v>91.947867817418697</v>
      </c>
      <c r="AM5961">
        <v>111.69187890218301</v>
      </c>
      <c r="AN5961">
        <v>1.0000000464063401</v>
      </c>
    </row>
    <row r="5962" spans="1:40" x14ac:dyDescent="0.25">
      <c r="A5962" t="str">
        <f>"20190305135943333"</f>
        <v>20190305135943333</v>
      </c>
      <c r="B5962" t="str">
        <f>"1551765583324907"</f>
        <v>1551765583324907</v>
      </c>
      <c r="C5962" t="s">
        <v>40</v>
      </c>
      <c r="D5962">
        <v>4.1201210000000001</v>
      </c>
      <c r="E5962">
        <v>0.40722570000000002</v>
      </c>
      <c r="F5962" t="s">
        <v>82</v>
      </c>
      <c r="G5962">
        <v>-193.0701</v>
      </c>
      <c r="H5962" s="1">
        <v>-4.9566159999999997E-6</v>
      </c>
      <c r="I5962">
        <v>-44.160310000000003</v>
      </c>
      <c r="J5962">
        <v>-213.53649999999999</v>
      </c>
      <c r="K5962">
        <v>1.1146149999999999</v>
      </c>
      <c r="L5962">
        <v>-61.964289999999998</v>
      </c>
      <c r="M5962">
        <v>0.99562790000000001</v>
      </c>
      <c r="N5962">
        <v>-1.3494630000000001E-2</v>
      </c>
      <c r="O5962">
        <v>9.2428270000000007E-2</v>
      </c>
      <c r="P5962">
        <v>0.88944230000000002</v>
      </c>
      <c r="Q5962">
        <v>-4.0370099999999999E-2</v>
      </c>
      <c r="R5962">
        <v>0.45526109999999997</v>
      </c>
      <c r="S5962">
        <v>2.3370510000000002</v>
      </c>
      <c r="T5962">
        <v>-0.1263088</v>
      </c>
      <c r="U5962">
        <v>2.0195919999999998</v>
      </c>
      <c r="V5962">
        <v>-0.3707278</v>
      </c>
      <c r="W5962">
        <v>-3.23728E-2</v>
      </c>
      <c r="X5962">
        <v>0.92817720000000004</v>
      </c>
      <c r="Y5962">
        <v>-0.58048580000000005</v>
      </c>
      <c r="Z5962">
        <v>1.4796119999999999E-2</v>
      </c>
      <c r="AA5962">
        <v>0.81413599999999997</v>
      </c>
      <c r="AB5962">
        <v>32</v>
      </c>
      <c r="AC5962">
        <v>20.4664</v>
      </c>
      <c r="AD5962">
        <v>-1.114619956616</v>
      </c>
      <c r="AE5962">
        <v>17.803979999999999</v>
      </c>
      <c r="AF5962">
        <v>-15.809215782582299</v>
      </c>
      <c r="AG5962">
        <v>-1.114619956616</v>
      </c>
      <c r="AH5962">
        <v>21.987393033189999</v>
      </c>
      <c r="AI5962">
        <v>92.356898159460897</v>
      </c>
      <c r="AJ5962">
        <v>125.716616358824</v>
      </c>
      <c r="AK5962">
        <v>27.103858280767199</v>
      </c>
      <c r="AL5962">
        <v>91.855148925978298</v>
      </c>
      <c r="AM5962">
        <v>111.772503675823</v>
      </c>
      <c r="AN5962">
        <v>1.00000000723626</v>
      </c>
    </row>
    <row r="5963" spans="1:40" x14ac:dyDescent="0.25">
      <c r="A5963" t="str">
        <f>"20190305135943345"</f>
        <v>20190305135943345</v>
      </c>
      <c r="B5963" t="str">
        <f>"1551765583334667"</f>
        <v>1551765583334667</v>
      </c>
      <c r="C5963" t="s">
        <v>40</v>
      </c>
      <c r="D5963">
        <v>4.1340949999999896</v>
      </c>
      <c r="E5963">
        <v>0.41222229999999999</v>
      </c>
      <c r="F5963" t="s">
        <v>41</v>
      </c>
      <c r="G5963">
        <v>-212.80179999999999</v>
      </c>
      <c r="H5963">
        <v>1.0760160000000001</v>
      </c>
      <c r="I5963">
        <v>-61.323990000000002</v>
      </c>
      <c r="J5963">
        <v>-213.37729999999999</v>
      </c>
      <c r="K5963">
        <v>1.11469</v>
      </c>
      <c r="L5963">
        <v>-61.94659</v>
      </c>
      <c r="M5963">
        <v>0.99533490000000002</v>
      </c>
      <c r="N5963">
        <v>-1.3532890000000001E-2</v>
      </c>
      <c r="O5963">
        <v>9.5527689999999998E-2</v>
      </c>
      <c r="P5963">
        <v>0.88717060000000003</v>
      </c>
      <c r="Q5963">
        <v>-3.8917790000000001E-2</v>
      </c>
      <c r="R5963">
        <v>0.45979750000000003</v>
      </c>
      <c r="S5963">
        <v>2.3283230000000001</v>
      </c>
      <c r="T5963">
        <v>-0.1223325</v>
      </c>
      <c r="U5963">
        <v>2.029938</v>
      </c>
      <c r="V5963">
        <v>-0.37258249999999998</v>
      </c>
      <c r="W5963">
        <v>-3.0979309999999999E-2</v>
      </c>
      <c r="X5963">
        <v>0.92748180000000002</v>
      </c>
      <c r="Y5963">
        <v>-0.58154849999999902</v>
      </c>
      <c r="Z5963">
        <v>1.4472540000000001E-2</v>
      </c>
      <c r="AA5963">
        <v>0.81338299999999997</v>
      </c>
      <c r="AB5963">
        <v>32</v>
      </c>
      <c r="AC5963">
        <v>0.57550000000000501</v>
      </c>
      <c r="AD5963">
        <v>-3.8673999999999799E-2</v>
      </c>
      <c r="AE5963">
        <v>0.62259999999999804</v>
      </c>
      <c r="AF5963">
        <v>-0.56359828891627695</v>
      </c>
      <c r="AG5963">
        <v>-3.8673999999999799E-2</v>
      </c>
      <c r="AH5963">
        <v>0.63103560324208896</v>
      </c>
      <c r="AI5963">
        <v>92.617151299076596</v>
      </c>
      <c r="AJ5963">
        <v>131.76907116941101</v>
      </c>
      <c r="AK5963">
        <v>0.84696200747404404</v>
      </c>
      <c r="AL5963">
        <v>91.775267817230699</v>
      </c>
      <c r="AM5963">
        <v>111.88602292421299</v>
      </c>
      <c r="AN5963">
        <v>0.99999996314278194</v>
      </c>
    </row>
    <row r="5964" spans="1:40" x14ac:dyDescent="0.25">
      <c r="A5964" t="str">
        <f>"20190305135943355"</f>
        <v>20190305135943355</v>
      </c>
      <c r="B5964" t="str">
        <f>"1551765583344427"</f>
        <v>1551765583344427</v>
      </c>
      <c r="C5964" t="s">
        <v>40</v>
      </c>
      <c r="D5964">
        <v>4.1359589999999997</v>
      </c>
      <c r="E5964">
        <v>0.41205389999999997</v>
      </c>
      <c r="F5964" t="s">
        <v>82</v>
      </c>
      <c r="G5964">
        <v>-197.88679999999999</v>
      </c>
      <c r="H5964" s="1">
        <v>-3.5755290000000001E-6</v>
      </c>
      <c r="I5964">
        <v>-48.699649999999998</v>
      </c>
      <c r="J5964">
        <v>-213.23249999999999</v>
      </c>
      <c r="K5964">
        <v>1.114752</v>
      </c>
      <c r="L5964">
        <v>-61.930149999999998</v>
      </c>
      <c r="M5964">
        <v>0.99505719999999998</v>
      </c>
      <c r="N5964">
        <v>-1.3566190000000001E-2</v>
      </c>
      <c r="O5964">
        <v>9.8372879999999996E-2</v>
      </c>
      <c r="P5964">
        <v>0.88512099999999905</v>
      </c>
      <c r="Q5964">
        <v>-3.7872370000000002E-2</v>
      </c>
      <c r="R5964">
        <v>0.46381739999999999</v>
      </c>
      <c r="S5964">
        <v>2.337952</v>
      </c>
      <c r="T5964">
        <v>-0.1682379</v>
      </c>
      <c r="U5964">
        <v>1.9993289999999999</v>
      </c>
      <c r="V5964">
        <v>-0.37414170000000002</v>
      </c>
      <c r="W5964">
        <v>-2.998574E-2</v>
      </c>
      <c r="X5964">
        <v>0.92688669999999995</v>
      </c>
      <c r="Y5964">
        <v>-0.57101089999999999</v>
      </c>
      <c r="Z5964">
        <v>1.7254329999999998E-2</v>
      </c>
      <c r="AA5964">
        <v>0.82076109999999902</v>
      </c>
      <c r="AB5964">
        <v>32</v>
      </c>
      <c r="AC5964">
        <v>15.3456999999999</v>
      </c>
      <c r="AD5964">
        <v>-1.114755575529</v>
      </c>
      <c r="AE5964">
        <v>13.230499999999999</v>
      </c>
      <c r="AF5964">
        <v>-11.621398150694301</v>
      </c>
      <c r="AG5964">
        <v>-1.114755575529</v>
      </c>
      <c r="AH5964">
        <v>16.522881802222901</v>
      </c>
      <c r="AI5964">
        <v>93.158629294013394</v>
      </c>
      <c r="AJ5964">
        <v>125.12070475644499</v>
      </c>
      <c r="AK5964">
        <v>20.231292544480802</v>
      </c>
      <c r="AL5964">
        <v>91.718313819995998</v>
      </c>
      <c r="AM5964">
        <v>111.98167283144601</v>
      </c>
      <c r="AN5964">
        <v>1.0000000554595601</v>
      </c>
    </row>
    <row r="5965" spans="1:40" x14ac:dyDescent="0.25">
      <c r="A5965" t="str">
        <f>"20190305135943367"</f>
        <v>20190305135943367</v>
      </c>
      <c r="B5965" t="str">
        <f>"1551765583355164"</f>
        <v>1551765583355164</v>
      </c>
      <c r="C5965" t="s">
        <v>40</v>
      </c>
      <c r="D5965">
        <v>4.1426740000000004</v>
      </c>
      <c r="E5965">
        <v>0.41255760000000002</v>
      </c>
      <c r="F5965" t="s">
        <v>41</v>
      </c>
      <c r="G5965">
        <v>-212.54089999999999</v>
      </c>
      <c r="H5965">
        <v>1.065704</v>
      </c>
      <c r="I5965">
        <v>-61.332970000000003</v>
      </c>
      <c r="J5965">
        <v>-213.07249999999999</v>
      </c>
      <c r="K5965">
        <v>1.1148209999999901</v>
      </c>
      <c r="L5965">
        <v>-61.911219999999901</v>
      </c>
      <c r="M5965">
        <v>0.99473579999999995</v>
      </c>
      <c r="N5965">
        <v>-1.3600610000000001E-2</v>
      </c>
      <c r="O5965">
        <v>0.1015668</v>
      </c>
      <c r="P5965">
        <v>0.88273639999999998</v>
      </c>
      <c r="Q5965">
        <v>-3.7243779999999997E-2</v>
      </c>
      <c r="R5965">
        <v>0.46839009999999998</v>
      </c>
      <c r="S5965">
        <v>2.3284150000000001</v>
      </c>
      <c r="T5965">
        <v>-0.16514949999999901</v>
      </c>
      <c r="U5965">
        <v>2.0112299999999999</v>
      </c>
      <c r="V5965">
        <v>-0.37595980000000001</v>
      </c>
      <c r="W5965">
        <v>-2.941736E-2</v>
      </c>
      <c r="X5965">
        <v>0.92616889999999996</v>
      </c>
      <c r="Y5965">
        <v>-0.57247139999999996</v>
      </c>
      <c r="Z5965">
        <v>1.6982879999999999E-2</v>
      </c>
      <c r="AA5965">
        <v>0.81974880000000006</v>
      </c>
      <c r="AB5965">
        <v>32</v>
      </c>
      <c r="AC5965">
        <v>0.53159999999999696</v>
      </c>
      <c r="AD5965">
        <v>-4.91169999999998E-2</v>
      </c>
      <c r="AE5965">
        <v>0.57824999999999704</v>
      </c>
      <c r="AF5965">
        <v>-0.51923095677700004</v>
      </c>
      <c r="AG5965">
        <v>-4.91169999999998E-2</v>
      </c>
      <c r="AH5965">
        <v>0.58529823989358598</v>
      </c>
      <c r="AI5965">
        <v>93.592090031048599</v>
      </c>
      <c r="AJ5965">
        <v>131.57693821129101</v>
      </c>
      <c r="AK5965">
        <v>0.78395618231320197</v>
      </c>
      <c r="AL5965">
        <v>91.685733779555605</v>
      </c>
      <c r="AM5965">
        <v>112.093712322</v>
      </c>
      <c r="AN5965">
        <v>0.99999999180630905</v>
      </c>
    </row>
    <row r="5966" spans="1:40" x14ac:dyDescent="0.25">
      <c r="A5966" t="str">
        <f>"20190305135943379"</f>
        <v>20190305135943379</v>
      </c>
      <c r="B5966" t="str">
        <f>"1551765583374683"</f>
        <v>1551765583374683</v>
      </c>
      <c r="C5966" t="s">
        <v>40</v>
      </c>
      <c r="D5966">
        <v>4.1412969999999998</v>
      </c>
      <c r="E5966">
        <v>0.41164250000000002</v>
      </c>
      <c r="F5966" t="s">
        <v>41</v>
      </c>
      <c r="G5966">
        <v>-212.28540000000001</v>
      </c>
      <c r="H5966">
        <v>1.058859</v>
      </c>
      <c r="I5966">
        <v>-61.226289999999999</v>
      </c>
      <c r="J5966">
        <v>-212.90629999999999</v>
      </c>
      <c r="K5966">
        <v>1.114889</v>
      </c>
      <c r="L5966">
        <v>-61.891330000000004</v>
      </c>
      <c r="M5966">
        <v>0.99438859999999996</v>
      </c>
      <c r="N5966">
        <v>-1.363517E-2</v>
      </c>
      <c r="O5966">
        <v>0.10490670000000001</v>
      </c>
      <c r="P5966">
        <v>0.88000480000000003</v>
      </c>
      <c r="Q5966">
        <v>-3.6402700000000003E-2</v>
      </c>
      <c r="R5966">
        <v>0.47356779999999998</v>
      </c>
      <c r="S5966">
        <v>2.3199770000000002</v>
      </c>
      <c r="T5966">
        <v>-0.16495799999999999</v>
      </c>
      <c r="U5966">
        <v>2.019501</v>
      </c>
      <c r="V5966">
        <v>-0.37829049999999997</v>
      </c>
      <c r="W5966">
        <v>-2.8648090000000001E-2</v>
      </c>
      <c r="X5966">
        <v>0.9252435</v>
      </c>
      <c r="Y5966">
        <v>-0.57285949999999997</v>
      </c>
      <c r="Z5966">
        <v>1.686414E-2</v>
      </c>
      <c r="AA5966">
        <v>0.81948009999999905</v>
      </c>
      <c r="AB5966">
        <v>32</v>
      </c>
      <c r="AC5966">
        <v>0.62089999999997703</v>
      </c>
      <c r="AD5966">
        <v>-5.6030000000000003E-2</v>
      </c>
      <c r="AE5966">
        <v>0.66503999999999697</v>
      </c>
      <c r="AF5966">
        <v>-0.59397443438682096</v>
      </c>
      <c r="AG5966">
        <v>-5.6030000000000003E-2</v>
      </c>
      <c r="AH5966">
        <v>0.68465042089324701</v>
      </c>
      <c r="AI5966">
        <v>93.537313096838105</v>
      </c>
      <c r="AJ5966">
        <v>130.94355762688701</v>
      </c>
      <c r="AK5966">
        <v>0.90812509514628204</v>
      </c>
      <c r="AL5966">
        <v>91.641639294075006</v>
      </c>
      <c r="AM5966">
        <v>112.237447532812</v>
      </c>
      <c r="AN5966">
        <v>0.99999997487157299</v>
      </c>
    </row>
    <row r="5967" spans="1:40" x14ac:dyDescent="0.25">
      <c r="A5967" t="str">
        <f>"20190305135943388"</f>
        <v>20190305135943388</v>
      </c>
      <c r="B5967" t="str">
        <f>"1551765583384443"</f>
        <v>1551765583384443</v>
      </c>
      <c r="C5967" t="s">
        <v>40</v>
      </c>
      <c r="D5967">
        <v>4.1687089999999998</v>
      </c>
      <c r="E5967">
        <v>0.41164250000000002</v>
      </c>
      <c r="F5967" t="s">
        <v>82</v>
      </c>
      <c r="G5967">
        <v>-197.92439999999999</v>
      </c>
      <c r="H5967" s="1">
        <v>-3.6110659999999999E-6</v>
      </c>
      <c r="I5967">
        <v>-48.642339999999997</v>
      </c>
      <c r="J5967">
        <v>-212.76329999999999</v>
      </c>
      <c r="K5967">
        <v>1.114938</v>
      </c>
      <c r="L5967">
        <v>-61.8733199999999</v>
      </c>
      <c r="M5967">
        <v>0.99407480000000004</v>
      </c>
      <c r="N5967">
        <v>-1.3662860000000001E-2</v>
      </c>
      <c r="O5967">
        <v>0.1078373</v>
      </c>
      <c r="P5967">
        <v>0.87737199999999904</v>
      </c>
      <c r="Q5967">
        <v>-3.5503239999999998E-2</v>
      </c>
      <c r="R5967">
        <v>0.47849530000000001</v>
      </c>
      <c r="S5967">
        <v>2.3050380000000001</v>
      </c>
      <c r="T5967">
        <v>-0.17153180000000001</v>
      </c>
      <c r="U5967">
        <v>2.0384220000000002</v>
      </c>
      <c r="V5967">
        <v>-0.38075330000000002</v>
      </c>
      <c r="W5967">
        <v>-2.7820259999999999E-2</v>
      </c>
      <c r="X5967">
        <v>0.92425809999999997</v>
      </c>
      <c r="Y5967">
        <v>-0.57677789999999995</v>
      </c>
      <c r="Z5967">
        <v>1.7367299999999999E-2</v>
      </c>
      <c r="AA5967">
        <v>0.81671640000000001</v>
      </c>
      <c r="AB5967">
        <v>32</v>
      </c>
      <c r="AC5967">
        <v>14.838899999999899</v>
      </c>
      <c r="AD5967">
        <v>-1.114941611066</v>
      </c>
      <c r="AE5967">
        <v>13.230979999999899</v>
      </c>
      <c r="AF5967">
        <v>-11.517251201777899</v>
      </c>
      <c r="AG5967">
        <v>-1.114941611066</v>
      </c>
      <c r="AH5967">
        <v>16.128552322040999</v>
      </c>
      <c r="AI5967">
        <v>93.219912301068305</v>
      </c>
      <c r="AJ5967">
        <v>125.530283111728</v>
      </c>
      <c r="AK5967">
        <v>19.849946348687102</v>
      </c>
      <c r="AL5967">
        <v>91.594189107684699</v>
      </c>
      <c r="AM5967">
        <v>112.389486239872</v>
      </c>
      <c r="AN5967">
        <v>1.00000003887148</v>
      </c>
    </row>
    <row r="5968" spans="1:40" x14ac:dyDescent="0.25">
      <c r="A5968" t="str">
        <f>"20190305135943401"</f>
        <v>20190305135943401</v>
      </c>
      <c r="B5968" t="str">
        <f>"1551765583395182"</f>
        <v>1551765583395182</v>
      </c>
      <c r="C5968" t="s">
        <v>40</v>
      </c>
      <c r="D5968">
        <v>4.1864759999999999</v>
      </c>
      <c r="E5968">
        <v>0.419101</v>
      </c>
      <c r="F5968" t="s">
        <v>41</v>
      </c>
      <c r="G5968">
        <v>-212.00559999999999</v>
      </c>
      <c r="H5968">
        <v>1.0590139999999999</v>
      </c>
      <c r="I5968">
        <v>-61.195639999999997</v>
      </c>
      <c r="J5968">
        <v>-212.59350000000001</v>
      </c>
      <c r="K5968">
        <v>1.115008</v>
      </c>
      <c r="L5968">
        <v>-61.851719999999901</v>
      </c>
      <c r="M5968">
        <v>0.99368889999999999</v>
      </c>
      <c r="N5968">
        <v>-1.369479E-2</v>
      </c>
      <c r="O5968">
        <v>0.1113325</v>
      </c>
      <c r="P5968">
        <v>0.87436709999999995</v>
      </c>
      <c r="Q5968">
        <v>-3.4372319999999998E-2</v>
      </c>
      <c r="R5968">
        <v>0.48404639999999999</v>
      </c>
      <c r="S5968">
        <v>2.2937319999999999</v>
      </c>
      <c r="T5968">
        <v>-0.16927719999999999</v>
      </c>
      <c r="U5968">
        <v>2.0512999999999999</v>
      </c>
      <c r="V5968">
        <v>-0.38336399999999998</v>
      </c>
      <c r="W5968">
        <v>-2.6769660000000001E-2</v>
      </c>
      <c r="X5968">
        <v>0.92320930000000001</v>
      </c>
      <c r="Y5968">
        <v>-0.5784743</v>
      </c>
      <c r="Z5968">
        <v>1.7153709999999999E-2</v>
      </c>
      <c r="AA5968">
        <v>0.81552019999999903</v>
      </c>
      <c r="AB5968">
        <v>32</v>
      </c>
      <c r="AC5968">
        <v>0.58790000000001896</v>
      </c>
      <c r="AD5968">
        <v>-5.5994000000000099E-2</v>
      </c>
      <c r="AE5968">
        <v>0.65607999999998801</v>
      </c>
      <c r="AF5968">
        <v>-0.58418190454935304</v>
      </c>
      <c r="AG5968">
        <v>-5.5994000000000099E-2</v>
      </c>
      <c r="AH5968">
        <v>0.65464953939127202</v>
      </c>
      <c r="AI5968">
        <v>93.651546920394196</v>
      </c>
      <c r="AJ5968">
        <v>131.74439009014</v>
      </c>
      <c r="AK5968">
        <v>0.87918703645135399</v>
      </c>
      <c r="AL5968">
        <v>91.533971798530203</v>
      </c>
      <c r="AM5968">
        <v>112.55073924421799</v>
      </c>
      <c r="AN5968">
        <v>0.99999999139950202</v>
      </c>
    </row>
    <row r="5969" spans="1:40" x14ac:dyDescent="0.25">
      <c r="A5969" t="str">
        <f>"20190305135943412"</f>
        <v>20190305135943412</v>
      </c>
      <c r="B5969" t="str">
        <f>"1551765583404939"</f>
        <v>1551765583404939</v>
      </c>
      <c r="C5969" t="s">
        <v>40</v>
      </c>
      <c r="D5969">
        <v>4.1953829999999996</v>
      </c>
      <c r="E5969">
        <v>0.41907480000000003</v>
      </c>
      <c r="F5969" t="s">
        <v>82</v>
      </c>
      <c r="G5969">
        <v>-200.22380000000001</v>
      </c>
      <c r="H5969" s="1">
        <v>-7.0721310000000002E-6</v>
      </c>
      <c r="I5969">
        <v>-51.10913</v>
      </c>
      <c r="J5969">
        <v>-212.43049999999999</v>
      </c>
      <c r="K5969">
        <v>1.1150719999999901</v>
      </c>
      <c r="L5969">
        <v>-61.830170000000003</v>
      </c>
      <c r="M5969">
        <v>0.99330130000000005</v>
      </c>
      <c r="N5969">
        <v>-1.372347E-2</v>
      </c>
      <c r="O5969">
        <v>0.1147349</v>
      </c>
      <c r="P5969">
        <v>0.87105429999999995</v>
      </c>
      <c r="Q5969">
        <v>-3.3069899999999999E-2</v>
      </c>
      <c r="R5969">
        <v>0.49007210000000001</v>
      </c>
      <c r="S5969">
        <v>2.3115230000000002</v>
      </c>
      <c r="T5969">
        <v>-0.20836389999999999</v>
      </c>
      <c r="U5969">
        <v>2.0074770000000002</v>
      </c>
      <c r="V5969">
        <v>-0.38657999999999998</v>
      </c>
      <c r="W5969">
        <v>-2.5557839999999998E-2</v>
      </c>
      <c r="X5969">
        <v>0.92190170000000005</v>
      </c>
      <c r="Y5969">
        <v>-0.56334600000000001</v>
      </c>
      <c r="Z5969">
        <v>1.8824359999999998E-2</v>
      </c>
      <c r="AA5969">
        <v>0.82600659999999904</v>
      </c>
      <c r="AB5969">
        <v>32</v>
      </c>
      <c r="AC5969">
        <v>12.2066999999999</v>
      </c>
      <c r="AD5969">
        <v>-1.11507907213099</v>
      </c>
      <c r="AE5969">
        <v>10.721039999999901</v>
      </c>
      <c r="AF5969">
        <v>-9.2061909804976594</v>
      </c>
      <c r="AG5969">
        <v>-1.11507907213099</v>
      </c>
      <c r="AH5969">
        <v>13.293642511620501</v>
      </c>
      <c r="AI5969">
        <v>93.944812058623</v>
      </c>
      <c r="AJ5969">
        <v>124.70360205101299</v>
      </c>
      <c r="AK5969">
        <v>16.208586765454399</v>
      </c>
      <c r="AL5969">
        <v>91.464515800461001</v>
      </c>
      <c r="AM5969">
        <v>112.749711059649</v>
      </c>
      <c r="AN5969">
        <v>1.00000002202417</v>
      </c>
    </row>
    <row r="5970" spans="1:40" x14ac:dyDescent="0.25">
      <c r="A5970" t="str">
        <f>"20190305135943424"</f>
        <v>20190305135943424</v>
      </c>
      <c r="B5970" t="str">
        <f>"1551765583414699"</f>
        <v>1551765583414699</v>
      </c>
      <c r="C5970" t="s">
        <v>40</v>
      </c>
      <c r="D5970">
        <v>4.1632809999999996</v>
      </c>
      <c r="E5970">
        <v>0.41907480000000003</v>
      </c>
      <c r="F5970" t="s">
        <v>41</v>
      </c>
      <c r="G5970">
        <v>-211.7139</v>
      </c>
      <c r="H5970">
        <v>1.0495859999999999</v>
      </c>
      <c r="I5970">
        <v>-61.199689999999997</v>
      </c>
      <c r="J5970">
        <v>-212.26929999999999</v>
      </c>
      <c r="K5970">
        <v>1.1151329999999999</v>
      </c>
      <c r="L5970">
        <v>-61.80838</v>
      </c>
      <c r="M5970">
        <v>0.99290310000000004</v>
      </c>
      <c r="N5970">
        <v>-1.375032E-2</v>
      </c>
      <c r="O5970">
        <v>0.1181281</v>
      </c>
      <c r="P5970">
        <v>0.86795489999999997</v>
      </c>
      <c r="Q5970">
        <v>-3.1685850000000002E-2</v>
      </c>
      <c r="R5970">
        <v>0.4956315</v>
      </c>
      <c r="S5970">
        <v>2.2980800000000001</v>
      </c>
      <c r="T5970">
        <v>-0.21004639999999999</v>
      </c>
      <c r="U5970">
        <v>2.0227970000000002</v>
      </c>
      <c r="V5970">
        <v>-0.38933050000000002</v>
      </c>
      <c r="W5970">
        <v>-2.4256400000000001E-2</v>
      </c>
      <c r="X5970">
        <v>0.92077869999999995</v>
      </c>
      <c r="Y5970">
        <v>-0.56599569999999999</v>
      </c>
      <c r="Z5970">
        <v>1.8888800000000001E-2</v>
      </c>
      <c r="AA5970">
        <v>0.82419179999999903</v>
      </c>
      <c r="AB5970">
        <v>32</v>
      </c>
      <c r="AC5970">
        <v>0.55539999999999101</v>
      </c>
      <c r="AD5970">
        <v>-6.55469999999998E-2</v>
      </c>
      <c r="AE5970">
        <v>0.60869000000000195</v>
      </c>
      <c r="AF5970">
        <v>-0.53542474616170399</v>
      </c>
      <c r="AG5970">
        <v>-6.55469999999998E-2</v>
      </c>
      <c r="AH5970">
        <v>0.61950066724376995</v>
      </c>
      <c r="AI5970">
        <v>94.576818279011206</v>
      </c>
      <c r="AJ5970">
        <v>130.836343411125</v>
      </c>
      <c r="AK5970">
        <v>0.82143602594894904</v>
      </c>
      <c r="AL5970">
        <v>91.389925650262398</v>
      </c>
      <c r="AM5970">
        <v>112.91997515212699</v>
      </c>
      <c r="AN5970">
        <v>1.00000001277245</v>
      </c>
    </row>
    <row r="5971" spans="1:40" x14ac:dyDescent="0.25">
      <c r="A5971" t="str">
        <f>"20190305135943435"</f>
        <v>20190305135943435</v>
      </c>
      <c r="B5971" t="str">
        <f>"1551765583425434"</f>
        <v>1551765583425434</v>
      </c>
      <c r="C5971" t="s">
        <v>40</v>
      </c>
      <c r="D5971">
        <v>4.1810429999999998</v>
      </c>
      <c r="E5971">
        <v>0.41455760000000003</v>
      </c>
      <c r="F5971" t="s">
        <v>82</v>
      </c>
      <c r="G5971">
        <v>-199.88380000000001</v>
      </c>
      <c r="H5971" s="1">
        <v>-1.065444E-5</v>
      </c>
      <c r="I5971">
        <v>-50.766019999999997</v>
      </c>
      <c r="J5971">
        <v>-212.11170000000001</v>
      </c>
      <c r="K5971">
        <v>1.1151949999999999</v>
      </c>
      <c r="L5971">
        <v>-61.786529999999999</v>
      </c>
      <c r="M5971">
        <v>0.99249889999999996</v>
      </c>
      <c r="N5971">
        <v>-1.377517E-2</v>
      </c>
      <c r="O5971">
        <v>0.1214755</v>
      </c>
      <c r="P5971">
        <v>0.86459640000000004</v>
      </c>
      <c r="Q5971">
        <v>-3.014095E-2</v>
      </c>
      <c r="R5971">
        <v>0.50156210000000001</v>
      </c>
      <c r="S5971">
        <v>2.2853850000000002</v>
      </c>
      <c r="T5971">
        <v>-0.20576630000000001</v>
      </c>
      <c r="U5971">
        <v>2.0375369999999999</v>
      </c>
      <c r="V5971">
        <v>-0.39253660000000001</v>
      </c>
      <c r="W5971">
        <v>-2.280337E-2</v>
      </c>
      <c r="X5971">
        <v>0.91945359999999998</v>
      </c>
      <c r="Y5971">
        <v>-0.56849589999999905</v>
      </c>
      <c r="Z5971">
        <v>1.85781E-2</v>
      </c>
      <c r="AA5971">
        <v>0.82247630000000005</v>
      </c>
      <c r="AB5971">
        <v>32</v>
      </c>
      <c r="AC5971">
        <v>12.2279</v>
      </c>
      <c r="AD5971">
        <v>-1.11520565444</v>
      </c>
      <c r="AE5971">
        <v>11.02051</v>
      </c>
      <c r="AF5971">
        <v>-9.4101604324508603</v>
      </c>
      <c r="AG5971">
        <v>-1.11520565444</v>
      </c>
      <c r="AH5971">
        <v>13.4146081785393</v>
      </c>
      <c r="AI5971">
        <v>93.893444271371195</v>
      </c>
      <c r="AJ5971">
        <v>125.04912399755101</v>
      </c>
      <c r="AK5971">
        <v>16.4239616292748</v>
      </c>
      <c r="AL5971">
        <v>91.306650184272797</v>
      </c>
      <c r="AM5971">
        <v>113.118788098617</v>
      </c>
      <c r="AN5971">
        <v>0.99999994928793701</v>
      </c>
    </row>
    <row r="5972" spans="1:40" x14ac:dyDescent="0.25">
      <c r="A5972" t="str">
        <f>"20190305135943446"</f>
        <v>20190305135943446</v>
      </c>
      <c r="B5972" t="str">
        <f>"1551765583435195"</f>
        <v>1551765583435195</v>
      </c>
      <c r="C5972" t="s">
        <v>40</v>
      </c>
      <c r="D5972">
        <v>4.1808160000000001</v>
      </c>
      <c r="E5972">
        <v>0.41506359999999998</v>
      </c>
      <c r="F5972" t="s">
        <v>41</v>
      </c>
      <c r="G5972">
        <v>-211.4367</v>
      </c>
      <c r="H5972">
        <v>1.0712299999999999</v>
      </c>
      <c r="I5972">
        <v>-61.159300000000002</v>
      </c>
      <c r="J5972">
        <v>-211.95330000000001</v>
      </c>
      <c r="K5972">
        <v>1.115256</v>
      </c>
      <c r="L5972">
        <v>-61.763820000000003</v>
      </c>
      <c r="M5972">
        <v>0.99207469999999998</v>
      </c>
      <c r="N5972">
        <v>-1.379871E-2</v>
      </c>
      <c r="O5972">
        <v>0.1248904</v>
      </c>
      <c r="P5972">
        <v>0.86133680000000001</v>
      </c>
      <c r="Q5972">
        <v>-2.835857E-2</v>
      </c>
      <c r="R5972">
        <v>0.50724229999999904</v>
      </c>
      <c r="S5972">
        <v>2.2510530000000002</v>
      </c>
      <c r="T5972">
        <v>-0.14661660000000001</v>
      </c>
      <c r="U5972">
        <v>2.092133</v>
      </c>
      <c r="V5972">
        <v>-0.39543519999999999</v>
      </c>
      <c r="W5972">
        <v>-2.1109699999999999E-2</v>
      </c>
      <c r="X5972">
        <v>0.91825129999999999</v>
      </c>
      <c r="Y5972">
        <v>-0.58316749999999995</v>
      </c>
      <c r="Z5972">
        <v>1.5402910000000001E-2</v>
      </c>
      <c r="AA5972">
        <v>0.81220590000000004</v>
      </c>
      <c r="AB5972">
        <v>32</v>
      </c>
      <c r="AC5972">
        <v>0.51660000000001005</v>
      </c>
      <c r="AD5972">
        <v>-4.40260000000001E-2</v>
      </c>
      <c r="AE5972">
        <v>0.60451999999999295</v>
      </c>
      <c r="AF5972">
        <v>-0.53362576150915098</v>
      </c>
      <c r="AG5972">
        <v>-4.40260000000001E-2</v>
      </c>
      <c r="AH5972">
        <v>0.58626334678888703</v>
      </c>
      <c r="AI5972">
        <v>93.178679587643202</v>
      </c>
      <c r="AJ5972">
        <v>132.30893581775899</v>
      </c>
      <c r="AK5972">
        <v>0.79397698569311803</v>
      </c>
      <c r="AL5972">
        <v>91.209586523615499</v>
      </c>
      <c r="AM5972">
        <v>113.29861637440101</v>
      </c>
      <c r="AN5972">
        <v>1.0000000333924</v>
      </c>
    </row>
    <row r="5973" spans="1:40" x14ac:dyDescent="0.25">
      <c r="A5973" t="str">
        <f>"20190305135943456"</f>
        <v>20190305135943456</v>
      </c>
      <c r="B5973" t="str">
        <f>"1551765583444956"</f>
        <v>1551765583444956</v>
      </c>
      <c r="C5973" t="s">
        <v>40</v>
      </c>
      <c r="D5973">
        <v>4.2034729999999998</v>
      </c>
      <c r="E5973">
        <v>0.41530640000000002</v>
      </c>
      <c r="F5973" t="s">
        <v>82</v>
      </c>
      <c r="G5973">
        <v>-194.6138</v>
      </c>
      <c r="H5973" s="1">
        <v>-4.6123839999999996E-6</v>
      </c>
      <c r="I5973">
        <v>-45.481380000000001</v>
      </c>
      <c r="J5973">
        <v>-211.80459999999999</v>
      </c>
      <c r="K5973">
        <v>1.115318</v>
      </c>
      <c r="L5973">
        <v>-61.742280000000001</v>
      </c>
      <c r="M5973">
        <v>0.99166379999999998</v>
      </c>
      <c r="N5973">
        <v>-1.382006E-2</v>
      </c>
      <c r="O5973">
        <v>0.1281098</v>
      </c>
      <c r="P5973">
        <v>0.85805010000000004</v>
      </c>
      <c r="Q5973">
        <v>-2.7009780000000001E-2</v>
      </c>
      <c r="R5973">
        <v>0.51285539999999996</v>
      </c>
      <c r="S5973">
        <v>2.2396850000000001</v>
      </c>
      <c r="T5973">
        <v>-0.1440545</v>
      </c>
      <c r="U5973">
        <v>2.1031490000000002</v>
      </c>
      <c r="V5973">
        <v>-0.39845700000000001</v>
      </c>
      <c r="W5973">
        <v>-1.9852080000000001E-2</v>
      </c>
      <c r="X5973">
        <v>0.91697220000000002</v>
      </c>
      <c r="Y5973">
        <v>-0.58473009999999903</v>
      </c>
      <c r="Z5973">
        <v>1.520229E-2</v>
      </c>
      <c r="AA5973">
        <v>0.81108539999999996</v>
      </c>
      <c r="AB5973">
        <v>32</v>
      </c>
      <c r="AC5973">
        <v>17.1907999999999</v>
      </c>
      <c r="AD5973">
        <v>-1.1153226123839901</v>
      </c>
      <c r="AE5973">
        <v>16.260899999999999</v>
      </c>
      <c r="AF5973">
        <v>-13.8934989719156</v>
      </c>
      <c r="AG5973">
        <v>-1.1153226123839901</v>
      </c>
      <c r="AH5973">
        <v>19.090090013725401</v>
      </c>
      <c r="AI5973">
        <v>92.704538885621602</v>
      </c>
      <c r="AJ5973">
        <v>126.046600837971</v>
      </c>
      <c r="AK5973">
        <v>23.636937088896602</v>
      </c>
      <c r="AL5973">
        <v>91.137515065911302</v>
      </c>
      <c r="AM5973">
        <v>113.48665863191999</v>
      </c>
      <c r="AN5973">
        <v>1.00000005075108</v>
      </c>
    </row>
    <row r="5974" spans="1:40" x14ac:dyDescent="0.25">
      <c r="A5974" t="str">
        <f>"20190305135943468"</f>
        <v>20190305135943468</v>
      </c>
      <c r="B5974" t="str">
        <f>"1551765583464475"</f>
        <v>1551765583464475</v>
      </c>
      <c r="C5974" t="s">
        <v>40</v>
      </c>
      <c r="D5974">
        <v>4.2107289999999997</v>
      </c>
      <c r="E5974">
        <v>0.41651309999999903</v>
      </c>
      <c r="F5974" t="s">
        <v>41</v>
      </c>
      <c r="G5974">
        <v>-211.15629999999999</v>
      </c>
      <c r="H5974">
        <v>1.074001</v>
      </c>
      <c r="I5974">
        <v>-61.12659</v>
      </c>
      <c r="J5974">
        <v>-211.65610000000001</v>
      </c>
      <c r="K5974">
        <v>1.11538</v>
      </c>
      <c r="L5974">
        <v>-61.719819999999999</v>
      </c>
      <c r="M5974">
        <v>0.99123459999999997</v>
      </c>
      <c r="N5974">
        <v>-1.384058E-2</v>
      </c>
      <c r="O5974">
        <v>0.1313867</v>
      </c>
      <c r="P5974">
        <v>0.85475279999999998</v>
      </c>
      <c r="Q5974">
        <v>-2.5328349999999999E-2</v>
      </c>
      <c r="R5974">
        <v>0.51841700000000002</v>
      </c>
      <c r="S5974">
        <v>2.2272799999999999</v>
      </c>
      <c r="T5974">
        <v>-0.1419581</v>
      </c>
      <c r="U5974">
        <v>2.1156920000000001</v>
      </c>
      <c r="V5974">
        <v>-0.40139239999999998</v>
      </c>
      <c r="W5974">
        <v>-1.826463E-2</v>
      </c>
      <c r="X5974">
        <v>0.91572410000000004</v>
      </c>
      <c r="Y5974">
        <v>-0.58671980000000001</v>
      </c>
      <c r="Z5974">
        <v>1.504804E-2</v>
      </c>
      <c r="AA5974">
        <v>0.80965019999999999</v>
      </c>
      <c r="AB5974">
        <v>32</v>
      </c>
      <c r="AC5974">
        <v>0.49980000000002101</v>
      </c>
      <c r="AD5974">
        <v>-4.1378999999999999E-2</v>
      </c>
      <c r="AE5974">
        <v>0.59322999999999804</v>
      </c>
      <c r="AF5974">
        <v>-0.52093072580990796</v>
      </c>
      <c r="AG5974">
        <v>-4.1378999999999999E-2</v>
      </c>
      <c r="AH5974">
        <v>0.57178944536785004</v>
      </c>
      <c r="AI5974">
        <v>93.062139710227598</v>
      </c>
      <c r="AJ5974">
        <v>132.335192828923</v>
      </c>
      <c r="AK5974">
        <v>0.77461229822919198</v>
      </c>
      <c r="AL5974">
        <v>91.046544362828001</v>
      </c>
      <c r="AM5974">
        <v>113.66944134946201</v>
      </c>
      <c r="AN5974">
        <v>1.0000000414037999</v>
      </c>
    </row>
    <row r="5975" spans="1:40" x14ac:dyDescent="0.25">
      <c r="A5975" t="str">
        <f>"20190305135943481"</f>
        <v>20190305135943481</v>
      </c>
      <c r="B5975" t="str">
        <f>"1551765583475212"</f>
        <v>1551765583475212</v>
      </c>
      <c r="C5975" t="s">
        <v>40</v>
      </c>
      <c r="D5975">
        <v>4.255547</v>
      </c>
      <c r="E5975">
        <v>0.41651309999999903</v>
      </c>
      <c r="F5975" t="s">
        <v>41</v>
      </c>
      <c r="G5975">
        <v>-210.90809999999999</v>
      </c>
      <c r="H5975">
        <v>1.0673330000000001</v>
      </c>
      <c r="I5975">
        <v>-61.004969999999901</v>
      </c>
      <c r="J5975">
        <v>-211.47839999999999</v>
      </c>
      <c r="K5975">
        <v>1.1154539999999999</v>
      </c>
      <c r="L5975">
        <v>-61.692659999999997</v>
      </c>
      <c r="M5975">
        <v>0.99070349999999996</v>
      </c>
      <c r="N5975">
        <v>-1.386448E-2</v>
      </c>
      <c r="O5975">
        <v>0.1353307</v>
      </c>
      <c r="P5975">
        <v>0.85104419999999903</v>
      </c>
      <c r="Q5975">
        <v>-2.3440249999999999E-2</v>
      </c>
      <c r="R5975">
        <v>0.5245708</v>
      </c>
      <c r="S5975">
        <v>2.2190249999999998</v>
      </c>
      <c r="T5975">
        <v>-0.1425525</v>
      </c>
      <c r="U5975">
        <v>2.121216</v>
      </c>
      <c r="V5975">
        <v>-0.40436810000000001</v>
      </c>
      <c r="W5975">
        <v>-1.6481630000000001E-2</v>
      </c>
      <c r="X5975">
        <v>0.91444780000000003</v>
      </c>
      <c r="Y5975">
        <v>-0.58605069999999904</v>
      </c>
      <c r="Z5975">
        <v>1.4935739999999999E-2</v>
      </c>
      <c r="AA5975">
        <v>0.81013669999999904</v>
      </c>
      <c r="AB5975">
        <v>32</v>
      </c>
      <c r="AC5975">
        <v>0.57030000000000303</v>
      </c>
      <c r="AD5975">
        <v>-4.8120999999999997E-2</v>
      </c>
      <c r="AE5975">
        <v>0.68769000000000302</v>
      </c>
      <c r="AF5975">
        <v>-0.60242807692798805</v>
      </c>
      <c r="AG5975">
        <v>-4.8120999999999997E-2</v>
      </c>
      <c r="AH5975">
        <v>0.65622317368022698</v>
      </c>
      <c r="AI5975">
        <v>93.092065277533294</v>
      </c>
      <c r="AJ5975">
        <v>132.55265229147301</v>
      </c>
      <c r="AK5975">
        <v>0.89211214103783099</v>
      </c>
      <c r="AL5975">
        <v>90.944370605104396</v>
      </c>
      <c r="AM5975">
        <v>113.854976704414</v>
      </c>
      <c r="AN5975">
        <v>0.99999999167495301</v>
      </c>
    </row>
    <row r="5976" spans="1:40" x14ac:dyDescent="0.25">
      <c r="A5976" t="str">
        <f>"20190305135943491"</f>
        <v>20190305135943491</v>
      </c>
      <c r="B5976" t="str">
        <f>"1551765583484971"</f>
        <v>1551765583484971</v>
      </c>
      <c r="C5976" t="s">
        <v>40</v>
      </c>
      <c r="D5976">
        <v>4.5328140000000001</v>
      </c>
      <c r="E5976">
        <v>0.43008069999999998</v>
      </c>
      <c r="F5976" t="s">
        <v>82</v>
      </c>
      <c r="G5976">
        <v>-193.548</v>
      </c>
      <c r="H5976" s="1">
        <v>-4.9740460000000001E-6</v>
      </c>
      <c r="I5976">
        <v>-44.305540000000001</v>
      </c>
      <c r="J5976">
        <v>-211.32429999999999</v>
      </c>
      <c r="K5976">
        <v>1.1155200000000001</v>
      </c>
      <c r="L5976">
        <v>-61.668239999999997</v>
      </c>
      <c r="M5976">
        <v>0.99022140000000003</v>
      </c>
      <c r="N5976">
        <v>-1.388464E-2</v>
      </c>
      <c r="O5976">
        <v>0.13881189999999999</v>
      </c>
      <c r="P5976">
        <v>0.84748069999999898</v>
      </c>
      <c r="Q5976">
        <v>-2.143391E-2</v>
      </c>
      <c r="R5976">
        <v>0.53039329999999996</v>
      </c>
      <c r="S5976">
        <v>2.2039789999999999</v>
      </c>
      <c r="T5976">
        <v>-0.13711110000000001</v>
      </c>
      <c r="U5976">
        <v>2.1372070000000001</v>
      </c>
      <c r="V5976">
        <v>-0.40743879999999999</v>
      </c>
      <c r="W5976">
        <v>-1.458213E-2</v>
      </c>
      <c r="X5976">
        <v>0.91311609999999999</v>
      </c>
      <c r="Y5976">
        <v>-0.58903539999999999</v>
      </c>
      <c r="Z5976">
        <v>1.4617669999999999E-2</v>
      </c>
      <c r="AA5976">
        <v>0.807975</v>
      </c>
      <c r="AB5976">
        <v>32</v>
      </c>
      <c r="AC5976">
        <v>17.7762999999999</v>
      </c>
      <c r="AD5976">
        <v>-1.115524974046</v>
      </c>
      <c r="AE5976">
        <v>17.3627</v>
      </c>
      <c r="AF5976">
        <v>-14.6971552600967</v>
      </c>
      <c r="AG5976">
        <v>-1.115524974046</v>
      </c>
      <c r="AH5976">
        <v>19.974296778721801</v>
      </c>
      <c r="AI5976">
        <v>92.575604343931602</v>
      </c>
      <c r="AJ5976">
        <v>126.345760726036</v>
      </c>
      <c r="AK5976">
        <v>24.823845401379</v>
      </c>
      <c r="AL5976">
        <v>90.8355241068586</v>
      </c>
      <c r="AM5976">
        <v>114.046763360752</v>
      </c>
      <c r="AN5976">
        <v>1.00000001316999</v>
      </c>
    </row>
    <row r="5977" spans="1:40" x14ac:dyDescent="0.25">
      <c r="A5977" t="str">
        <f>"20190305135943503"</f>
        <v>20190305135943503</v>
      </c>
      <c r="B5977" t="str">
        <f>"1551765583494731"</f>
        <v>1551765583494731</v>
      </c>
      <c r="C5977" t="s">
        <v>40</v>
      </c>
      <c r="D5977">
        <v>4.1919180000000003</v>
      </c>
      <c r="E5977">
        <v>0.42928820000000001</v>
      </c>
      <c r="F5977" t="s">
        <v>41</v>
      </c>
      <c r="G5977">
        <v>-210.61060000000001</v>
      </c>
      <c r="H5977">
        <v>1.0071810000000001</v>
      </c>
      <c r="I5977">
        <v>-61.026449999999997</v>
      </c>
      <c r="J5977">
        <v>-211.1721</v>
      </c>
      <c r="K5977">
        <v>1.115591</v>
      </c>
      <c r="L5977">
        <v>-61.643680000000003</v>
      </c>
      <c r="M5977">
        <v>0.98972879999999996</v>
      </c>
      <c r="N5977">
        <v>-1.3904110000000001E-2</v>
      </c>
      <c r="O5977">
        <v>0.14228009999999999</v>
      </c>
      <c r="P5977">
        <v>0.84407589999999999</v>
      </c>
      <c r="Q5977">
        <v>-1.957122E-2</v>
      </c>
      <c r="R5977">
        <v>0.53586639999999996</v>
      </c>
      <c r="S5977">
        <v>2.2593380000000001</v>
      </c>
      <c r="T5977">
        <v>-0.34300510000000001</v>
      </c>
      <c r="U5977">
        <v>2.0323180000000001</v>
      </c>
      <c r="V5977">
        <v>-0.41016469999999999</v>
      </c>
      <c r="W5977">
        <v>-1.282118E-2</v>
      </c>
      <c r="X5977">
        <v>0.91192130000000005</v>
      </c>
      <c r="Y5977">
        <v>-0.55297830000000003</v>
      </c>
      <c r="Z5977">
        <v>2.3745929999999998E-2</v>
      </c>
      <c r="AA5977">
        <v>0.83285719999999996</v>
      </c>
      <c r="AB5977">
        <v>32</v>
      </c>
      <c r="AC5977">
        <v>0.561499999999995</v>
      </c>
      <c r="AD5977">
        <v>-0.10841000000000001</v>
      </c>
      <c r="AE5977">
        <v>0.61723000000000605</v>
      </c>
      <c r="AF5977">
        <v>-0.522236052406999</v>
      </c>
      <c r="AG5977">
        <v>-0.10841000000000001</v>
      </c>
      <c r="AH5977">
        <v>0.63293065148143801</v>
      </c>
      <c r="AI5977">
        <v>97.526092371105193</v>
      </c>
      <c r="AJ5977">
        <v>129.52630807425101</v>
      </c>
      <c r="AK5977">
        <v>0.82769827359875803</v>
      </c>
      <c r="AL5977">
        <v>90.734619658723602</v>
      </c>
      <c r="AM5977">
        <v>114.21730061695</v>
      </c>
      <c r="AN5977">
        <v>0.99999996058818497</v>
      </c>
    </row>
    <row r="5978" spans="1:40" x14ac:dyDescent="0.25">
      <c r="A5978" t="str">
        <f>"20190305135943513"</f>
        <v>20190305135943513</v>
      </c>
      <c r="B5978" t="str">
        <f>"1551765583504491"</f>
        <v>1551765583504491</v>
      </c>
      <c r="C5978" t="s">
        <v>40</v>
      </c>
      <c r="D5978">
        <v>4.1666019999999904</v>
      </c>
      <c r="E5978">
        <v>0.42894209999999999</v>
      </c>
      <c r="F5978" t="s">
        <v>82</v>
      </c>
      <c r="G5978">
        <v>-202.10910000000001</v>
      </c>
      <c r="H5978" s="1">
        <v>-6.0155149999999996E-6</v>
      </c>
      <c r="I5978">
        <v>-53.306060000000002</v>
      </c>
      <c r="J5978">
        <v>-211.01859999999999</v>
      </c>
      <c r="K5978">
        <v>1.1156649999999999</v>
      </c>
      <c r="L5978">
        <v>-61.618290000000002</v>
      </c>
      <c r="M5978">
        <v>0.98921289999999995</v>
      </c>
      <c r="N5978">
        <v>-1.3923329999999999E-2</v>
      </c>
      <c r="O5978">
        <v>0.14582220000000001</v>
      </c>
      <c r="P5978">
        <v>0.84065210000000001</v>
      </c>
      <c r="Q5978">
        <v>-1.7673769999999998E-2</v>
      </c>
      <c r="R5978">
        <v>0.54128719999999997</v>
      </c>
      <c r="S5978">
        <v>2.2397</v>
      </c>
      <c r="T5978">
        <v>-0.27569080000000001</v>
      </c>
      <c r="U5978">
        <v>2.060425</v>
      </c>
      <c r="V5978">
        <v>-0.41278569999999998</v>
      </c>
      <c r="W5978">
        <v>-1.102643E-2</v>
      </c>
      <c r="X5978">
        <v>0.91076140000000005</v>
      </c>
      <c r="Y5978">
        <v>-0.56028769999999894</v>
      </c>
      <c r="Z5978">
        <v>2.0496500000000001E-2</v>
      </c>
      <c r="AA5978">
        <v>0.82804449999999996</v>
      </c>
      <c r="AB5978">
        <v>32</v>
      </c>
      <c r="AC5978">
        <v>8.90949999999998</v>
      </c>
      <c r="AD5978">
        <v>-1.11567101551499</v>
      </c>
      <c r="AE5978">
        <v>8.3122299999999996</v>
      </c>
      <c r="AF5978">
        <v>-6.86646775432789</v>
      </c>
      <c r="AG5978">
        <v>-1.11567101551499</v>
      </c>
      <c r="AH5978">
        <v>9.9431128898619701</v>
      </c>
      <c r="AI5978">
        <v>95.275118049376204</v>
      </c>
      <c r="AJ5978">
        <v>124.627998580255</v>
      </c>
      <c r="AK5978">
        <v>12.1350152524265</v>
      </c>
      <c r="AL5978">
        <v>90.6317807224342</v>
      </c>
      <c r="AM5978">
        <v>114.381528066271</v>
      </c>
      <c r="AN5978">
        <v>0.99999997200649704</v>
      </c>
    </row>
    <row r="5979" spans="1:40" x14ac:dyDescent="0.25">
      <c r="A5979" t="str">
        <f>"20190305135943524"</f>
        <v>20190305135943524</v>
      </c>
      <c r="B5979" t="str">
        <f>"1551765583515227"</f>
        <v>1551765583515227</v>
      </c>
      <c r="C5979" t="s">
        <v>40</v>
      </c>
      <c r="D5979">
        <v>4.2084449999999904</v>
      </c>
      <c r="E5979">
        <v>0.42775990000000003</v>
      </c>
      <c r="F5979" t="s">
        <v>41</v>
      </c>
      <c r="G5979">
        <v>-210.3357</v>
      </c>
      <c r="H5979">
        <v>1.0420689999999999</v>
      </c>
      <c r="I5979">
        <v>-60.979149999999997</v>
      </c>
      <c r="J5979">
        <v>-210.87029999999999</v>
      </c>
      <c r="K5979">
        <v>1.115748</v>
      </c>
      <c r="L5979">
        <v>-61.593139999999998</v>
      </c>
      <c r="M5979">
        <v>0.98869479999999998</v>
      </c>
      <c r="N5979">
        <v>-1.394133E-2</v>
      </c>
      <c r="O5979">
        <v>0.149292799999999</v>
      </c>
      <c r="P5979">
        <v>0.83727569999999996</v>
      </c>
      <c r="Q5979">
        <v>-1.556221E-2</v>
      </c>
      <c r="R5979">
        <v>0.54655929999999997</v>
      </c>
      <c r="S5979">
        <v>2.223633</v>
      </c>
      <c r="T5979">
        <v>-0.2396259</v>
      </c>
      <c r="U5979">
        <v>2.0810550000000001</v>
      </c>
      <c r="V5979">
        <v>-0.41533340000000002</v>
      </c>
      <c r="W5979">
        <v>-9.018613E-3</v>
      </c>
      <c r="X5979">
        <v>0.90962449999999995</v>
      </c>
      <c r="Y5979">
        <v>-0.56492019999999998</v>
      </c>
      <c r="Z5979">
        <v>1.867752E-2</v>
      </c>
      <c r="AA5979">
        <v>0.8249341</v>
      </c>
      <c r="AB5979">
        <v>32</v>
      </c>
      <c r="AC5979">
        <v>0.53459999999998298</v>
      </c>
      <c r="AD5979">
        <v>-7.36789999999998E-2</v>
      </c>
      <c r="AE5979">
        <v>0.61399000000000803</v>
      </c>
      <c r="AF5979">
        <v>-0.52300426921905696</v>
      </c>
      <c r="AG5979">
        <v>-7.36789999999998E-2</v>
      </c>
      <c r="AH5979">
        <v>0.61524155688328197</v>
      </c>
      <c r="AI5979">
        <v>95.213425057882304</v>
      </c>
      <c r="AJ5979">
        <v>130.367182736914</v>
      </c>
      <c r="AK5979">
        <v>0.81085401520774703</v>
      </c>
      <c r="AL5979">
        <v>90.516735492893105</v>
      </c>
      <c r="AM5979">
        <v>114.541379267902</v>
      </c>
      <c r="AN5979">
        <v>0.99999994976812501</v>
      </c>
    </row>
    <row r="5980" spans="1:40" x14ac:dyDescent="0.25">
      <c r="A5980" t="str">
        <f>"20190305135943534"</f>
        <v>20190305135943534</v>
      </c>
      <c r="B5980" t="str">
        <f>"1551765583524988"</f>
        <v>1551765583524988</v>
      </c>
      <c r="C5980" t="s">
        <v>40</v>
      </c>
      <c r="D5980">
        <v>4.1901109999999999</v>
      </c>
      <c r="E5980">
        <v>0.42868610000000001</v>
      </c>
      <c r="F5980" t="s">
        <v>82</v>
      </c>
      <c r="G5980">
        <v>-201.17439999999999</v>
      </c>
      <c r="H5980" s="1">
        <v>-6.5163699999999996E-6</v>
      </c>
      <c r="I5980">
        <v>-52.364240000000002</v>
      </c>
      <c r="J5980">
        <v>-210.72</v>
      </c>
      <c r="K5980">
        <v>1.115828</v>
      </c>
      <c r="L5980">
        <v>-61.567169999999997</v>
      </c>
      <c r="M5980">
        <v>0.98815180000000002</v>
      </c>
      <c r="N5980">
        <v>-1.3958969999999999E-2</v>
      </c>
      <c r="O5980">
        <v>0.1528437</v>
      </c>
      <c r="P5980">
        <v>0.83416209999999902</v>
      </c>
      <c r="Q5980">
        <v>-1.3810619999999999E-2</v>
      </c>
      <c r="R5980">
        <v>0.55134649999999996</v>
      </c>
      <c r="S5980">
        <v>2.2070159999999999</v>
      </c>
      <c r="T5980">
        <v>-0.25397110000000001</v>
      </c>
      <c r="U5980">
        <v>2.100708</v>
      </c>
      <c r="V5980">
        <v>-0.41729519999999998</v>
      </c>
      <c r="W5980">
        <v>-7.3625449999999999E-3</v>
      </c>
      <c r="X5980">
        <v>0.90874120000000003</v>
      </c>
      <c r="Y5980">
        <v>-0.56871870000000002</v>
      </c>
      <c r="Z5980">
        <v>1.939681E-2</v>
      </c>
      <c r="AA5980">
        <v>0.82230340000000002</v>
      </c>
      <c r="AB5980">
        <v>32</v>
      </c>
      <c r="AC5980">
        <v>9.5456000000000092</v>
      </c>
      <c r="AD5980">
        <v>-1.1158345163700001</v>
      </c>
      <c r="AE5980">
        <v>9.2029299999999896</v>
      </c>
      <c r="AF5980">
        <v>-7.5819561691938198</v>
      </c>
      <c r="AG5980">
        <v>-1.1158345163700001</v>
      </c>
      <c r="AH5980">
        <v>10.7639385182339</v>
      </c>
      <c r="AI5980">
        <v>94.844242821213896</v>
      </c>
      <c r="AJ5980">
        <v>125.16028948798299</v>
      </c>
      <c r="AK5980">
        <v>13.2133840647965</v>
      </c>
      <c r="AL5980">
        <v>90.421846553642297</v>
      </c>
      <c r="AM5980">
        <v>114.66465187382801</v>
      </c>
      <c r="AN5980">
        <v>1.0000000297946701</v>
      </c>
    </row>
    <row r="5981" spans="1:40" x14ac:dyDescent="0.25">
      <c r="A5981" t="str">
        <f>"20190305135943545"</f>
        <v>20190305135943545</v>
      </c>
      <c r="B5981" t="str">
        <f>"1551765583534747"</f>
        <v>1551765583534747</v>
      </c>
      <c r="C5981" t="s">
        <v>40</v>
      </c>
      <c r="D5981">
        <v>4.1941059999999997</v>
      </c>
      <c r="E5981">
        <v>0.42970069999999999</v>
      </c>
      <c r="F5981" t="s">
        <v>41</v>
      </c>
      <c r="G5981">
        <v>-210.06020000000001</v>
      </c>
      <c r="H5981">
        <v>1.046775</v>
      </c>
      <c r="I5981">
        <v>-60.934139999999999</v>
      </c>
      <c r="J5981">
        <v>-210.5805</v>
      </c>
      <c r="K5981">
        <v>1.1159049999999999</v>
      </c>
      <c r="L5981">
        <v>-61.542360000000002</v>
      </c>
      <c r="M5981">
        <v>0.987626</v>
      </c>
      <c r="N5981">
        <v>-1.397543E-2</v>
      </c>
      <c r="O5981">
        <v>0.15620390000000001</v>
      </c>
      <c r="P5981">
        <v>0.83136620000000006</v>
      </c>
      <c r="Q5981">
        <v>-1.193487E-2</v>
      </c>
      <c r="R5981">
        <v>0.5555968</v>
      </c>
      <c r="S5981">
        <v>2.1982569999999999</v>
      </c>
      <c r="T5981">
        <v>-0.23008129999999999</v>
      </c>
      <c r="U5981">
        <v>2.1095890000000002</v>
      </c>
      <c r="V5981">
        <v>-0.41886370000000001</v>
      </c>
      <c r="W5981">
        <v>-5.5754999999999997E-3</v>
      </c>
      <c r="X5981">
        <v>0.90803199999999995</v>
      </c>
      <c r="Y5981">
        <v>-0.56958850000000005</v>
      </c>
      <c r="Z5981">
        <v>1.8018360000000001E-2</v>
      </c>
      <c r="AA5981">
        <v>0.82173249999999998</v>
      </c>
      <c r="AB5981">
        <v>32</v>
      </c>
      <c r="AC5981">
        <v>0.52029999999999099</v>
      </c>
      <c r="AD5981">
        <v>-6.91299999999999E-2</v>
      </c>
      <c r="AE5981">
        <v>0.60821999999999499</v>
      </c>
      <c r="AF5981">
        <v>-0.5156253381507</v>
      </c>
      <c r="AG5981">
        <v>-6.91299999999999E-2</v>
      </c>
      <c r="AH5981">
        <v>0.60441885224358105</v>
      </c>
      <c r="AI5981">
        <v>94.972972856603704</v>
      </c>
      <c r="AJ5981">
        <v>130.46725416524001</v>
      </c>
      <c r="AK5981">
        <v>0.79747764557413903</v>
      </c>
      <c r="AL5981">
        <v>90.319454274048198</v>
      </c>
      <c r="AM5981">
        <v>114.763279713673</v>
      </c>
      <c r="AN5981">
        <v>0.99999999920096905</v>
      </c>
    </row>
    <row r="5982" spans="1:40" x14ac:dyDescent="0.25">
      <c r="A5982" t="str">
        <f>"20190305135943557"</f>
        <v>20190305135943557</v>
      </c>
      <c r="B5982" t="str">
        <f>"1551765583555243"</f>
        <v>1551765583555243</v>
      </c>
      <c r="C5982" t="s">
        <v>40</v>
      </c>
      <c r="D5982">
        <v>4.1788999999999996</v>
      </c>
      <c r="E5982">
        <v>0.4303438</v>
      </c>
      <c r="F5982" t="s">
        <v>41</v>
      </c>
      <c r="G5982">
        <v>-209.81659999999999</v>
      </c>
      <c r="H5982">
        <v>1.042327</v>
      </c>
      <c r="I5982">
        <v>-60.804679999999998</v>
      </c>
      <c r="J5982">
        <v>-210.41560000000001</v>
      </c>
      <c r="K5982">
        <v>1.115998</v>
      </c>
      <c r="L5982">
        <v>-61.512700000000002</v>
      </c>
      <c r="M5982">
        <v>0.98698470000000005</v>
      </c>
      <c r="N5982">
        <v>-1.399443E-2</v>
      </c>
      <c r="O5982">
        <v>0.16020390000000001</v>
      </c>
      <c r="P5982">
        <v>0.82817109999999905</v>
      </c>
      <c r="Q5982">
        <v>-1.0126980000000001E-2</v>
      </c>
      <c r="R5982">
        <v>0.56038379999999999</v>
      </c>
      <c r="S5982">
        <v>2.1913909999999999</v>
      </c>
      <c r="T5982">
        <v>-0.21106639999999999</v>
      </c>
      <c r="U5982">
        <v>2.116028</v>
      </c>
      <c r="V5982">
        <v>-0.42044510000000002</v>
      </c>
      <c r="W5982">
        <v>-3.870184E-3</v>
      </c>
      <c r="X5982">
        <v>0.9073097</v>
      </c>
      <c r="Y5982">
        <v>-0.56902240000000004</v>
      </c>
      <c r="Z5982">
        <v>1.6809359999999999E-2</v>
      </c>
      <c r="AA5982">
        <v>0.8221503</v>
      </c>
      <c r="AB5982">
        <v>32</v>
      </c>
      <c r="AC5982">
        <v>0.59900000000001796</v>
      </c>
      <c r="AD5982">
        <v>-7.3671E-2</v>
      </c>
      <c r="AE5982">
        <v>0.70801999999999699</v>
      </c>
      <c r="AF5982">
        <v>-0.59912121877187396</v>
      </c>
      <c r="AG5982">
        <v>-7.3671E-2</v>
      </c>
      <c r="AH5982">
        <v>0.70028147250252604</v>
      </c>
      <c r="AI5982">
        <v>94.570416662864901</v>
      </c>
      <c r="AJ5982">
        <v>130.54842514209199</v>
      </c>
      <c r="AK5982">
        <v>0.92453652807988196</v>
      </c>
      <c r="AL5982">
        <v>90.221745768009697</v>
      </c>
      <c r="AM5982">
        <v>114.86289117751799</v>
      </c>
      <c r="AN5982">
        <v>0.99999997607614599</v>
      </c>
    </row>
    <row r="5983" spans="1:40" x14ac:dyDescent="0.25">
      <c r="A5983" t="str">
        <f>"20190305135943568"</f>
        <v>20190305135943568</v>
      </c>
      <c r="B5983" t="str">
        <f>"1551765583565003"</f>
        <v>1551765583565003</v>
      </c>
      <c r="C5983" t="s">
        <v>40</v>
      </c>
      <c r="D5983">
        <v>4.1988490000000001</v>
      </c>
      <c r="E5983">
        <v>0.43044569999999999</v>
      </c>
      <c r="F5983" t="s">
        <v>41</v>
      </c>
      <c r="G5983">
        <v>-209.78219999999999</v>
      </c>
      <c r="H5983">
        <v>1.061153</v>
      </c>
      <c r="I5983">
        <v>-60.895130000000002</v>
      </c>
      <c r="J5983">
        <v>-210.2647</v>
      </c>
      <c r="K5983">
        <v>1.116088</v>
      </c>
      <c r="L5983">
        <v>-61.484439999999999</v>
      </c>
      <c r="M5983">
        <v>0.98636619999999997</v>
      </c>
      <c r="N5983">
        <v>-1.4012699999999999E-2</v>
      </c>
      <c r="O5983">
        <v>0.1639687</v>
      </c>
      <c r="P5983">
        <v>0.82527700000000004</v>
      </c>
      <c r="Q5983">
        <v>-8.4915159999999993E-3</v>
      </c>
      <c r="R5983">
        <v>0.56466439999999996</v>
      </c>
      <c r="S5983">
        <v>2.181244</v>
      </c>
      <c r="T5983">
        <v>-0.1888639</v>
      </c>
      <c r="U5983">
        <v>2.1265260000000001</v>
      </c>
      <c r="V5983">
        <v>-0.42170220000000003</v>
      </c>
      <c r="W5983">
        <v>-2.3330410000000001E-3</v>
      </c>
      <c r="X5983">
        <v>0.90673139999999997</v>
      </c>
      <c r="Y5983">
        <v>-0.57006080000000003</v>
      </c>
      <c r="Z5983">
        <v>1.559718E-2</v>
      </c>
      <c r="AA5983">
        <v>0.82145440000000003</v>
      </c>
      <c r="AB5983">
        <v>32</v>
      </c>
      <c r="AC5983">
        <v>0.48250000000001497</v>
      </c>
      <c r="AD5983">
        <v>-5.4934999999999901E-2</v>
      </c>
      <c r="AE5983">
        <v>0.589309999999997</v>
      </c>
      <c r="AF5983">
        <v>-0.49961062491821501</v>
      </c>
      <c r="AG5983">
        <v>-5.4934999999999901E-2</v>
      </c>
      <c r="AH5983">
        <v>0.56964270949231</v>
      </c>
      <c r="AI5983">
        <v>94.1468409687659</v>
      </c>
      <c r="AJ5983">
        <v>131.25269348568699</v>
      </c>
      <c r="AK5983">
        <v>0.75968509741465295</v>
      </c>
      <c r="AL5983">
        <v>90.133673522639597</v>
      </c>
      <c r="AM5983">
        <v>114.94217346841999</v>
      </c>
      <c r="AN5983">
        <v>1.00000001015555</v>
      </c>
    </row>
    <row r="5984" spans="1:40" x14ac:dyDescent="0.25">
      <c r="A5984" t="str">
        <f>"20190305135943580"</f>
        <v>20190305135943580</v>
      </c>
      <c r="B5984" t="str">
        <f>"1551765583575272"</f>
        <v>1551765583575272</v>
      </c>
      <c r="C5984" t="s">
        <v>40</v>
      </c>
      <c r="D5984">
        <v>4.1923859999999999</v>
      </c>
      <c r="E5984">
        <v>0.4305485</v>
      </c>
      <c r="F5984" t="s">
        <v>41</v>
      </c>
      <c r="G5984">
        <v>-209.53870000000001</v>
      </c>
      <c r="H5984">
        <v>1.0565709999999999</v>
      </c>
      <c r="I5984">
        <v>-60.769440000000003</v>
      </c>
      <c r="J5984">
        <v>-210.10509999999999</v>
      </c>
      <c r="K5984">
        <v>1.1161890000000001</v>
      </c>
      <c r="L5984">
        <v>-61.454320000000003</v>
      </c>
      <c r="M5984">
        <v>0.98569180000000001</v>
      </c>
      <c r="N5984">
        <v>-1.403162E-2</v>
      </c>
      <c r="O5984">
        <v>0.16797229999999999</v>
      </c>
      <c r="P5984">
        <v>0.82227490000000003</v>
      </c>
      <c r="Q5984">
        <v>-7.57663E-3</v>
      </c>
      <c r="R5984">
        <v>0.56904009999999905</v>
      </c>
      <c r="S5984">
        <v>2.1704409999999998</v>
      </c>
      <c r="T5984">
        <v>-0.1779462</v>
      </c>
      <c r="U5984">
        <v>2.1379999999999999</v>
      </c>
      <c r="V5984">
        <v>-0.42284919999999998</v>
      </c>
      <c r="W5984">
        <v>-1.5214829999999999E-3</v>
      </c>
      <c r="X5984">
        <v>0.90619879999999997</v>
      </c>
      <c r="Y5984">
        <v>-0.57108230000000004</v>
      </c>
      <c r="Z5984">
        <v>1.494291E-2</v>
      </c>
      <c r="AA5984">
        <v>0.82075679999999995</v>
      </c>
      <c r="AB5984">
        <v>32</v>
      </c>
      <c r="AC5984">
        <v>0.56639999999998702</v>
      </c>
      <c r="AD5984">
        <v>-5.96179999999999E-2</v>
      </c>
      <c r="AE5984">
        <v>0.68487999999999205</v>
      </c>
      <c r="AF5984">
        <v>-0.57739999499473005</v>
      </c>
      <c r="AG5984">
        <v>-5.96179999999999E-2</v>
      </c>
      <c r="AH5984">
        <v>0.67038638391943195</v>
      </c>
      <c r="AI5984">
        <v>93.854927518219498</v>
      </c>
      <c r="AJ5984">
        <v>130.73813423495301</v>
      </c>
      <c r="AK5984">
        <v>0.88677108877572597</v>
      </c>
      <c r="AL5984">
        <v>90.087174587002394</v>
      </c>
      <c r="AM5984">
        <v>115.01463112758999</v>
      </c>
      <c r="AN5984">
        <v>1.00000001298629</v>
      </c>
    </row>
    <row r="5985" spans="1:40" x14ac:dyDescent="0.25">
      <c r="A5985" t="str">
        <f>"20190305135943591"</f>
        <v>20190305135943591</v>
      </c>
      <c r="B5985" t="str">
        <f>"1551765583585032"</f>
        <v>1551765583585032</v>
      </c>
      <c r="C5985" t="s">
        <v>40</v>
      </c>
      <c r="D5985">
        <v>4.2031479999999997</v>
      </c>
      <c r="E5985">
        <v>0.4307029</v>
      </c>
      <c r="F5985" t="s">
        <v>82</v>
      </c>
      <c r="G5985">
        <v>-195.85499999999999</v>
      </c>
      <c r="H5985" s="1">
        <v>-3.934761E-6</v>
      </c>
      <c r="I5985">
        <v>-47.267040000000001</v>
      </c>
      <c r="J5985">
        <v>-209.94290000000001</v>
      </c>
      <c r="K5985">
        <v>1.1162970000000001</v>
      </c>
      <c r="L5985">
        <v>-61.422550000000001</v>
      </c>
      <c r="M5985">
        <v>0.98497000000000001</v>
      </c>
      <c r="N5985">
        <v>-1.4051930000000001E-2</v>
      </c>
      <c r="O5985">
        <v>0.1721531</v>
      </c>
      <c r="P5985">
        <v>0.81934259999999903</v>
      </c>
      <c r="Q5985">
        <v>-6.4004659999999996E-3</v>
      </c>
      <c r="R5985">
        <v>0.57326849999999996</v>
      </c>
      <c r="S5985">
        <v>2.1592099999999999</v>
      </c>
      <c r="T5985">
        <v>-0.16912820000000001</v>
      </c>
      <c r="U5985">
        <v>2.149689</v>
      </c>
      <c r="V5985">
        <v>-0.42368869999999997</v>
      </c>
      <c r="W5985">
        <v>-4.5130769999999999E-4</v>
      </c>
      <c r="X5985">
        <v>0.90580780000000005</v>
      </c>
      <c r="Y5985">
        <v>-0.57204960000000005</v>
      </c>
      <c r="Z5985">
        <v>1.439898E-2</v>
      </c>
      <c r="AA5985">
        <v>0.82009270000000001</v>
      </c>
      <c r="AB5985">
        <v>32</v>
      </c>
      <c r="AC5985">
        <v>14.087899999999999</v>
      </c>
      <c r="AD5985">
        <v>-1.11630093476099</v>
      </c>
      <c r="AE5985">
        <v>14.15551</v>
      </c>
      <c r="AF5985">
        <v>-11.4827382491821</v>
      </c>
      <c r="AG5985">
        <v>-1.11630093476099</v>
      </c>
      <c r="AH5985">
        <v>16.263870632932701</v>
      </c>
      <c r="AI5985">
        <v>93.209229684316696</v>
      </c>
      <c r="AJ5985">
        <v>125.22313926416901</v>
      </c>
      <c r="AK5985">
        <v>19.940233033767498</v>
      </c>
      <c r="AL5985">
        <v>90.0258580262024</v>
      </c>
      <c r="AM5985">
        <v>115.067692128787</v>
      </c>
      <c r="AN5985">
        <v>1.0000000443635799</v>
      </c>
    </row>
    <row r="5986" spans="1:40" x14ac:dyDescent="0.25">
      <c r="A5986" t="str">
        <f>"20190305135943602"</f>
        <v>20190305135943602</v>
      </c>
      <c r="B5986" t="str">
        <f>"1551765583594792"</f>
        <v>1551765583594792</v>
      </c>
      <c r="C5986" t="s">
        <v>40</v>
      </c>
      <c r="D5986">
        <v>4.2110370000000001</v>
      </c>
      <c r="E5986">
        <v>0.43113400000000002</v>
      </c>
      <c r="F5986" t="s">
        <v>41</v>
      </c>
      <c r="G5986">
        <v>-209.25919999999999</v>
      </c>
      <c r="H5986">
        <v>1.0650959999999901</v>
      </c>
      <c r="I5986">
        <v>-60.735019999999999</v>
      </c>
      <c r="J5986">
        <v>-209.7938</v>
      </c>
      <c r="K5986">
        <v>1.116398</v>
      </c>
      <c r="L5986">
        <v>-61.392850000000003</v>
      </c>
      <c r="M5986">
        <v>0.98428230000000005</v>
      </c>
      <c r="N5986">
        <v>-1.40705E-2</v>
      </c>
      <c r="O5986">
        <v>0.17604069999999999</v>
      </c>
      <c r="P5986">
        <v>0.81667429999999996</v>
      </c>
      <c r="Q5986">
        <v>-5.3643170000000004E-3</v>
      </c>
      <c r="R5986">
        <v>0.57707399999999998</v>
      </c>
      <c r="S5986">
        <v>2.14859</v>
      </c>
      <c r="T5986">
        <v>-0.16090380000000001</v>
      </c>
      <c r="U5986">
        <v>2.1604610000000002</v>
      </c>
      <c r="V5986">
        <v>-0.424342</v>
      </c>
      <c r="W5986">
        <v>4.8858300000000001E-4</v>
      </c>
      <c r="X5986">
        <v>0.90550189999999997</v>
      </c>
      <c r="Y5986">
        <v>-0.57295739999999995</v>
      </c>
      <c r="Z5986">
        <v>1.3912000000000001E-2</v>
      </c>
      <c r="AA5986">
        <v>0.8194671</v>
      </c>
      <c r="AB5986">
        <v>32</v>
      </c>
      <c r="AC5986">
        <v>0.53460000000001096</v>
      </c>
      <c r="AD5986">
        <v>-5.1302000000000098E-2</v>
      </c>
      <c r="AE5986">
        <v>0.65783000000000402</v>
      </c>
      <c r="AF5986">
        <v>-0.55141411961892295</v>
      </c>
      <c r="AG5986">
        <v>-5.1302000000000098E-2</v>
      </c>
      <c r="AH5986">
        <v>0.63972253930309797</v>
      </c>
      <c r="AI5986">
        <v>93.476056100030803</v>
      </c>
      <c r="AJ5986">
        <v>130.75996586532199</v>
      </c>
      <c r="AK5986">
        <v>0.84612904087468599</v>
      </c>
      <c r="AL5986">
        <v>89.972006255920306</v>
      </c>
      <c r="AM5986">
        <v>115.10902362975099</v>
      </c>
      <c r="AN5986">
        <v>1.00000003129047</v>
      </c>
    </row>
    <row r="5987" spans="1:40" x14ac:dyDescent="0.25">
      <c r="A5987" t="str">
        <f>"20190305135943614"</f>
        <v>20190305135943614</v>
      </c>
      <c r="B5987" t="str">
        <f>"1551765583604553"</f>
        <v>1551765583604553</v>
      </c>
      <c r="C5987" t="s">
        <v>40</v>
      </c>
      <c r="D5987">
        <v>4.2325359999999996</v>
      </c>
      <c r="E5987">
        <v>0.43156159999999999</v>
      </c>
      <c r="F5987" t="s">
        <v>82</v>
      </c>
      <c r="G5987">
        <v>-194.45750000000001</v>
      </c>
      <c r="H5987" s="1">
        <v>-4.3934740000000001E-6</v>
      </c>
      <c r="I5987">
        <v>-45.861109999999996</v>
      </c>
      <c r="J5987">
        <v>-209.62790000000001</v>
      </c>
      <c r="K5987">
        <v>1.1165130000000001</v>
      </c>
      <c r="L5987">
        <v>-61.35904</v>
      </c>
      <c r="M5987">
        <v>0.98348550000000001</v>
      </c>
      <c r="N5987">
        <v>-1.409144E-2</v>
      </c>
      <c r="O5987">
        <v>0.18043799999999999</v>
      </c>
      <c r="P5987">
        <v>0.813712199999999</v>
      </c>
      <c r="Q5987">
        <v>-4.5564059999999998E-3</v>
      </c>
      <c r="R5987">
        <v>0.58125009999999999</v>
      </c>
      <c r="S5987">
        <v>2.1405639999999999</v>
      </c>
      <c r="T5987">
        <v>-0.1558223</v>
      </c>
      <c r="U5987">
        <v>2.1678470000000001</v>
      </c>
      <c r="V5987">
        <v>-0.42494609999999999</v>
      </c>
      <c r="W5987">
        <v>1.1904909999999999E-3</v>
      </c>
      <c r="X5987">
        <v>0.90521790000000002</v>
      </c>
      <c r="Y5987">
        <v>-0.57227469999999903</v>
      </c>
      <c r="Z5987">
        <v>1.349122E-2</v>
      </c>
      <c r="AA5987">
        <v>0.81995090000000004</v>
      </c>
      <c r="AB5987">
        <v>32</v>
      </c>
      <c r="AC5987">
        <v>15.170400000000001</v>
      </c>
      <c r="AD5987">
        <v>-1.11651739347399</v>
      </c>
      <c r="AE5987">
        <v>15.49793</v>
      </c>
      <c r="AF5987">
        <v>-12.472853887507901</v>
      </c>
      <c r="AG5987">
        <v>-1.11651739347399</v>
      </c>
      <c r="AH5987">
        <v>17.671203743828901</v>
      </c>
      <c r="AI5987">
        <v>92.954966211078201</v>
      </c>
      <c r="AJ5987">
        <v>125.21556522722101</v>
      </c>
      <c r="AK5987">
        <v>21.658488796427299</v>
      </c>
      <c r="AL5987">
        <v>89.9317898758013</v>
      </c>
      <c r="AM5987">
        <v>115.147270131905</v>
      </c>
      <c r="AN5987">
        <v>1.0000000258272199</v>
      </c>
    </row>
    <row r="5988" spans="1:40" x14ac:dyDescent="0.25">
      <c r="A5988" t="str">
        <f>"20190305135943626"</f>
        <v>20190305135943626</v>
      </c>
      <c r="B5988" t="str">
        <f>"1551765583615288"</f>
        <v>1551765583615288</v>
      </c>
      <c r="C5988" t="s">
        <v>40</v>
      </c>
      <c r="D5988">
        <v>4.3090979999999997</v>
      </c>
      <c r="E5988">
        <v>0.4326469</v>
      </c>
      <c r="F5988" t="s">
        <v>41</v>
      </c>
      <c r="G5988">
        <v>-208.9804</v>
      </c>
      <c r="H5988">
        <v>1.070273</v>
      </c>
      <c r="I5988">
        <v>-60.69811</v>
      </c>
      <c r="J5988">
        <v>-209.476</v>
      </c>
      <c r="K5988">
        <v>1.1166160000000001</v>
      </c>
      <c r="L5988">
        <v>-61.327179999999998</v>
      </c>
      <c r="M5988">
        <v>0.98272199999999998</v>
      </c>
      <c r="N5988">
        <v>-1.411044E-2</v>
      </c>
      <c r="O5988">
        <v>0.18454960000000001</v>
      </c>
      <c r="P5988">
        <v>0.81100550000000005</v>
      </c>
      <c r="Q5988">
        <v>-3.4261679999999998E-3</v>
      </c>
      <c r="R5988">
        <v>0.58502860000000001</v>
      </c>
      <c r="S5988">
        <v>2.1313930000000001</v>
      </c>
      <c r="T5988">
        <v>-0.15221850000000001</v>
      </c>
      <c r="U5988">
        <v>2.1762999999999999</v>
      </c>
      <c r="V5988">
        <v>-0.42538910000000002</v>
      </c>
      <c r="W5988">
        <v>2.22427E-3</v>
      </c>
      <c r="X5988">
        <v>0.90500780000000003</v>
      </c>
      <c r="Y5988">
        <v>-0.57223389999999996</v>
      </c>
      <c r="Z5988">
        <v>1.318455E-2</v>
      </c>
      <c r="AA5988">
        <v>0.81998439999999995</v>
      </c>
      <c r="AB5988">
        <v>32</v>
      </c>
      <c r="AC5988">
        <v>0.49559999999999599</v>
      </c>
      <c r="AD5988">
        <v>-4.6343000000000002E-2</v>
      </c>
      <c r="AE5988">
        <v>0.62907000000000501</v>
      </c>
      <c r="AF5988">
        <v>-0.52503237500762001</v>
      </c>
      <c r="AG5988">
        <v>-4.6343000000000002E-2</v>
      </c>
      <c r="AH5988">
        <v>0.60117847808257696</v>
      </c>
      <c r="AI5988">
        <v>93.322954033335904</v>
      </c>
      <c r="AJ5988">
        <v>131.13196739999799</v>
      </c>
      <c r="AK5988">
        <v>0.79951374657652097</v>
      </c>
      <c r="AL5988">
        <v>89.872558608349806</v>
      </c>
      <c r="AM5988">
        <v>115.17536192511901</v>
      </c>
      <c r="AN5988">
        <v>0.999999975918341</v>
      </c>
    </row>
    <row r="5989" spans="1:40" x14ac:dyDescent="0.25">
      <c r="A5989" t="str">
        <f>"20190305135943638"</f>
        <v>20190305135943638</v>
      </c>
      <c r="B5989" t="str">
        <f>"1551765583634808"</f>
        <v>1551765583634808</v>
      </c>
      <c r="C5989" t="s">
        <v>40</v>
      </c>
      <c r="D5989">
        <v>4.2512759999999998</v>
      </c>
      <c r="E5989">
        <v>0.4331237</v>
      </c>
      <c r="F5989" t="s">
        <v>41</v>
      </c>
      <c r="G5989">
        <v>-208.739</v>
      </c>
      <c r="H5989">
        <v>1.0631060000000001</v>
      </c>
      <c r="I5989">
        <v>-60.57246</v>
      </c>
      <c r="J5989">
        <v>-209.3039</v>
      </c>
      <c r="K5989">
        <v>1.116738</v>
      </c>
      <c r="L5989">
        <v>-61.290619999999997</v>
      </c>
      <c r="M5989">
        <v>0.98182760000000002</v>
      </c>
      <c r="N5989">
        <v>-1.413119E-2</v>
      </c>
      <c r="O5989">
        <v>0.18924830000000001</v>
      </c>
      <c r="P5989">
        <v>0.80789899999999903</v>
      </c>
      <c r="Q5989">
        <v>-2.1819360000000002E-3</v>
      </c>
      <c r="R5989">
        <v>0.58931699999999998</v>
      </c>
      <c r="S5989">
        <v>2.1269230000000001</v>
      </c>
      <c r="T5989">
        <v>-0.1544276</v>
      </c>
      <c r="U5989">
        <v>2.1785580000000002</v>
      </c>
      <c r="V5989">
        <v>-0.42587530000000001</v>
      </c>
      <c r="W5989">
        <v>3.3581850000000001E-3</v>
      </c>
      <c r="X5989">
        <v>0.90477569999999996</v>
      </c>
      <c r="Y5989">
        <v>-0.56958489999999995</v>
      </c>
      <c r="Z5989">
        <v>1.2985170000000001E-2</v>
      </c>
      <c r="AA5989">
        <v>0.8218299</v>
      </c>
      <c r="AB5989">
        <v>32</v>
      </c>
      <c r="AC5989">
        <v>0.56489999999999396</v>
      </c>
      <c r="AD5989">
        <v>-5.3632000000000103E-2</v>
      </c>
      <c r="AE5989">
        <v>0.71815999999999702</v>
      </c>
      <c r="AF5989">
        <v>-0.59620853009220798</v>
      </c>
      <c r="AG5989">
        <v>-5.3632000000000103E-2</v>
      </c>
      <c r="AH5989">
        <v>0.68824268669913102</v>
      </c>
      <c r="AI5989">
        <v>93.370781145905596</v>
      </c>
      <c r="AJ5989">
        <v>130.901617688036</v>
      </c>
      <c r="AK5989">
        <v>0.91215075430191395</v>
      </c>
      <c r="AL5989">
        <v>89.807589822173696</v>
      </c>
      <c r="AM5989">
        <v>115.206230139826</v>
      </c>
      <c r="AN5989">
        <v>1.00000005793353</v>
      </c>
    </row>
    <row r="5990" spans="1:40" x14ac:dyDescent="0.25">
      <c r="A5990" t="str">
        <f>"20190305135943651"</f>
        <v>20190305135943651</v>
      </c>
      <c r="B5990" t="str">
        <f>"1551765583645544"</f>
        <v>1551765583645544</v>
      </c>
      <c r="C5990" t="s">
        <v>40</v>
      </c>
      <c r="D5990">
        <v>4.4753150000000002</v>
      </c>
      <c r="E5990">
        <v>0.43407000000000001</v>
      </c>
      <c r="F5990" t="s">
        <v>82</v>
      </c>
      <c r="G5990">
        <v>-193.4008</v>
      </c>
      <c r="H5990" s="1">
        <v>-4.6877479999999997E-6</v>
      </c>
      <c r="I5990">
        <v>-44.863880000000002</v>
      </c>
      <c r="J5990">
        <v>-209.13390000000001</v>
      </c>
      <c r="K5990">
        <v>1.1168610000000001</v>
      </c>
      <c r="L5990">
        <v>-61.252989999999997</v>
      </c>
      <c r="M5990">
        <v>0.9808926</v>
      </c>
      <c r="N5990">
        <v>-1.41526E-2</v>
      </c>
      <c r="O5990">
        <v>0.1940344</v>
      </c>
      <c r="P5990">
        <v>0.80513000000000001</v>
      </c>
      <c r="Q5990">
        <v>-6.0825419999999998E-4</v>
      </c>
      <c r="R5990">
        <v>0.59309799999999901</v>
      </c>
      <c r="S5990">
        <v>2.1174770000000001</v>
      </c>
      <c r="T5990">
        <v>-0.14869260000000001</v>
      </c>
      <c r="U5990">
        <v>2.187195</v>
      </c>
      <c r="V5990">
        <v>-0.42573250000000001</v>
      </c>
      <c r="W5990">
        <v>4.8358849999999998E-3</v>
      </c>
      <c r="X5990">
        <v>0.90483610000000003</v>
      </c>
      <c r="Y5990">
        <v>-0.56908059999999905</v>
      </c>
      <c r="Z5990">
        <v>1.256965E-2</v>
      </c>
      <c r="AA5990">
        <v>0.82218559999999996</v>
      </c>
      <c r="AB5990">
        <v>32</v>
      </c>
      <c r="AC5990">
        <v>15.7331</v>
      </c>
      <c r="AD5990">
        <v>-1.1168656877480001</v>
      </c>
      <c r="AE5990">
        <v>16.389109999999999</v>
      </c>
      <c r="AF5990">
        <v>-12.993097289808199</v>
      </c>
      <c r="AG5990">
        <v>-1.1168656877480001</v>
      </c>
      <c r="AH5990">
        <v>18.5695186283439</v>
      </c>
      <c r="AI5990">
        <v>92.821238222630896</v>
      </c>
      <c r="AJ5990">
        <v>124.980493085113</v>
      </c>
      <c r="AK5990">
        <v>22.691297632248901</v>
      </c>
      <c r="AL5990">
        <v>89.7229231075911</v>
      </c>
      <c r="AM5990">
        <v>115.197353446718</v>
      </c>
      <c r="AN5990">
        <v>0.99999995760159499</v>
      </c>
    </row>
    <row r="5991" spans="1:40" x14ac:dyDescent="0.25">
      <c r="A5991" t="str">
        <f>"20190305135943664"</f>
        <v>20190305135943664</v>
      </c>
      <c r="B5991" t="str">
        <f>"1551765583655304"</f>
        <v>1551765583655304</v>
      </c>
      <c r="C5991" t="s">
        <v>40</v>
      </c>
      <c r="D5991">
        <v>4.2954429999999997</v>
      </c>
      <c r="E5991">
        <v>0.4340464</v>
      </c>
      <c r="F5991" t="s">
        <v>41</v>
      </c>
      <c r="G5991">
        <v>-208.4546</v>
      </c>
      <c r="H5991">
        <v>1.0699110000000001</v>
      </c>
      <c r="I5991">
        <v>-60.548369999999998</v>
      </c>
      <c r="J5991">
        <v>-208.95009999999999</v>
      </c>
      <c r="K5991">
        <v>1.116987</v>
      </c>
      <c r="L5991">
        <v>-61.21161</v>
      </c>
      <c r="M5991">
        <v>0.97984199999999999</v>
      </c>
      <c r="N5991">
        <v>-1.4175490000000001E-2</v>
      </c>
      <c r="O5991">
        <v>0.19927030000000001</v>
      </c>
      <c r="P5991">
        <v>0.80191190000000001</v>
      </c>
      <c r="Q5991">
        <v>5.6772680000000001E-4</v>
      </c>
      <c r="R5991">
        <v>0.59744200000000003</v>
      </c>
      <c r="S5991">
        <v>2.1120760000000001</v>
      </c>
      <c r="T5991">
        <v>-0.14598449999999999</v>
      </c>
      <c r="U5991">
        <v>2.1909179999999999</v>
      </c>
      <c r="V5991">
        <v>-0.42581419999999998</v>
      </c>
      <c r="W5991">
        <v>5.9030319999999999E-3</v>
      </c>
      <c r="X5991">
        <v>0.90479140000000002</v>
      </c>
      <c r="Y5991">
        <v>-0.56646450000000004</v>
      </c>
      <c r="Z5991">
        <v>1.217965E-2</v>
      </c>
      <c r="AA5991">
        <v>0.82399609999999901</v>
      </c>
      <c r="AB5991">
        <v>32</v>
      </c>
      <c r="AC5991">
        <v>0.495499999999992</v>
      </c>
      <c r="AD5991">
        <v>-4.7076000000000097E-2</v>
      </c>
      <c r="AE5991">
        <v>0.66324000000000105</v>
      </c>
      <c r="AF5991">
        <v>-0.54941094457111195</v>
      </c>
      <c r="AG5991">
        <v>-4.7076000000000097E-2</v>
      </c>
      <c r="AH5991">
        <v>0.61574691746894095</v>
      </c>
      <c r="AI5991">
        <v>93.264970462534507</v>
      </c>
      <c r="AJ5991">
        <v>131.74149503726099</v>
      </c>
      <c r="AK5991">
        <v>0.82656687700574105</v>
      </c>
      <c r="AL5991">
        <v>89.6617792252963</v>
      </c>
      <c r="AM5991">
        <v>115.20267955123499</v>
      </c>
      <c r="AN5991">
        <v>1.00000002811119</v>
      </c>
    </row>
    <row r="5992" spans="1:40" x14ac:dyDescent="0.25">
      <c r="A5992" t="str">
        <f>"20190305135943678"</f>
        <v>20190305135943678</v>
      </c>
      <c r="B5992" t="str">
        <f>"1551765583665065"</f>
        <v>1551765583665065</v>
      </c>
      <c r="C5992" t="s">
        <v>40</v>
      </c>
      <c r="D5992">
        <v>4.2882290000000003</v>
      </c>
      <c r="E5992">
        <v>0.43414259999999899</v>
      </c>
      <c r="F5992" t="s">
        <v>41</v>
      </c>
      <c r="G5992">
        <v>-208.20849999999999</v>
      </c>
      <c r="H5992">
        <v>1.0653220000000001</v>
      </c>
      <c r="I5992">
        <v>-60.434010000000001</v>
      </c>
      <c r="J5992">
        <v>-208.7664</v>
      </c>
      <c r="K5992">
        <v>1.1171139999999999</v>
      </c>
      <c r="L5992">
        <v>-61.169310000000003</v>
      </c>
      <c r="M5992">
        <v>0.97874620000000001</v>
      </c>
      <c r="N5992">
        <v>-1.419832E-2</v>
      </c>
      <c r="O5992">
        <v>0.2045833</v>
      </c>
      <c r="P5992">
        <v>0.79883890000000002</v>
      </c>
      <c r="Q5992">
        <v>1.4322359999999999E-3</v>
      </c>
      <c r="R5992">
        <v>0.60154339999999995</v>
      </c>
      <c r="S5992">
        <v>2.1004489999999998</v>
      </c>
      <c r="T5992">
        <v>-0.14632590000000001</v>
      </c>
      <c r="U5992">
        <v>2.2022089999999999</v>
      </c>
      <c r="V5992">
        <v>-0.4255602</v>
      </c>
      <c r="W5992">
        <v>6.6683439999999997E-3</v>
      </c>
      <c r="X5992">
        <v>0.90490559999999998</v>
      </c>
      <c r="Y5992">
        <v>-0.56638359999999999</v>
      </c>
      <c r="Z5992">
        <v>1.199832E-2</v>
      </c>
      <c r="AA5992">
        <v>0.82405439999999996</v>
      </c>
      <c r="AB5992">
        <v>32</v>
      </c>
      <c r="AC5992">
        <v>0.55790000000001705</v>
      </c>
      <c r="AD5992">
        <v>-5.1791999999999998E-2</v>
      </c>
      <c r="AE5992">
        <v>0.73529999999999496</v>
      </c>
      <c r="AF5992">
        <v>-0.60369525174775696</v>
      </c>
      <c r="AG5992">
        <v>-5.1791999999999998E-2</v>
      </c>
      <c r="AH5992">
        <v>0.69435650254366998</v>
      </c>
      <c r="AI5992">
        <v>93.221762548898099</v>
      </c>
      <c r="AJ5992">
        <v>131.004716264336</v>
      </c>
      <c r="AK5992">
        <v>0.92155375365274494</v>
      </c>
      <c r="AL5992">
        <v>89.617929219097704</v>
      </c>
      <c r="AM5992">
        <v>115.18672519638</v>
      </c>
      <c r="AN5992">
        <v>1.00000004777355</v>
      </c>
    </row>
    <row r="5993" spans="1:40" x14ac:dyDescent="0.25">
      <c r="A5993" t="str">
        <f>"20190305135943692"</f>
        <v>20190305135943692</v>
      </c>
      <c r="B5993" t="str">
        <f>"1551765583684893"</f>
        <v>1551765583684893</v>
      </c>
      <c r="C5993" t="s">
        <v>40</v>
      </c>
      <c r="D5993">
        <v>4.233644</v>
      </c>
      <c r="E5993">
        <v>0.43425279999999999</v>
      </c>
      <c r="F5993" t="s">
        <v>41</v>
      </c>
      <c r="G5993">
        <v>-208.16560000000001</v>
      </c>
      <c r="H5993">
        <v>1.0756129999999999</v>
      </c>
      <c r="I5993">
        <v>-60.533250000000002</v>
      </c>
      <c r="J5993">
        <v>-208.56739999999999</v>
      </c>
      <c r="K5993">
        <v>1.1172059999999999</v>
      </c>
      <c r="L5993">
        <v>-61.121699999999997</v>
      </c>
      <c r="M5993">
        <v>0.97752620000000001</v>
      </c>
      <c r="N5993">
        <v>-1.41393E-2</v>
      </c>
      <c r="O5993">
        <v>0.21033940000000001</v>
      </c>
      <c r="P5993">
        <v>0.79564169999999901</v>
      </c>
      <c r="Q5993">
        <v>3.5885460000000002E-3</v>
      </c>
      <c r="R5993">
        <v>0.60575690000000004</v>
      </c>
      <c r="S5993">
        <v>2.0897060000000001</v>
      </c>
      <c r="T5993">
        <v>-0.1443671</v>
      </c>
      <c r="U5993">
        <v>2.2124630000000001</v>
      </c>
      <c r="V5993">
        <v>-0.42505870000000001</v>
      </c>
      <c r="W5993">
        <v>8.6614599999999993E-3</v>
      </c>
      <c r="X5993">
        <v>0.90512440000000005</v>
      </c>
      <c r="Y5993">
        <v>-0.56557740000000001</v>
      </c>
      <c r="Z5993">
        <v>1.165704E-2</v>
      </c>
      <c r="AA5993">
        <v>0.82461289999999998</v>
      </c>
      <c r="AB5993">
        <v>32</v>
      </c>
      <c r="AC5993">
        <v>0.40179999999998001</v>
      </c>
      <c r="AD5993">
        <v>-4.1592999999999901E-2</v>
      </c>
      <c r="AE5993">
        <v>0.58844999999999403</v>
      </c>
      <c r="AF5993">
        <v>-0.489093445265812</v>
      </c>
      <c r="AG5993">
        <v>-4.1592999999999901E-2</v>
      </c>
      <c r="AH5993">
        <v>0.51484161934822303</v>
      </c>
      <c r="AI5993">
        <v>93.352073765454506</v>
      </c>
      <c r="AJ5993">
        <v>133.530842862171</v>
      </c>
      <c r="AK5993">
        <v>0.71133977033769402</v>
      </c>
      <c r="AL5993">
        <v>89.503728716846496</v>
      </c>
      <c r="AM5993">
        <v>115.155386961435</v>
      </c>
      <c r="AN5993">
        <v>1.0000000494051799</v>
      </c>
    </row>
    <row r="5994" spans="1:40" x14ac:dyDescent="0.25">
      <c r="A5994" t="str">
        <f>"20190305135943705"</f>
        <v>20190305135943705</v>
      </c>
      <c r="B5994" t="str">
        <f>"1551765583694654"</f>
        <v>1551765583694654</v>
      </c>
      <c r="C5994" t="s">
        <v>40</v>
      </c>
      <c r="D5994">
        <v>4.2287400000000002</v>
      </c>
      <c r="E5994">
        <v>0.43431550000000002</v>
      </c>
      <c r="F5994" t="s">
        <v>41</v>
      </c>
      <c r="G5994">
        <v>-207.91659999999999</v>
      </c>
      <c r="H5994">
        <v>1.073026</v>
      </c>
      <c r="I5994">
        <v>-60.426139999999997</v>
      </c>
      <c r="J5994">
        <v>-208.4007</v>
      </c>
      <c r="K5994">
        <v>1.117264</v>
      </c>
      <c r="L5994">
        <v>-61.081020000000002</v>
      </c>
      <c r="M5994">
        <v>0.97644249999999999</v>
      </c>
      <c r="N5994">
        <v>-1.4125749999999999E-2</v>
      </c>
      <c r="O5994">
        <v>0.21531510000000001</v>
      </c>
      <c r="P5994">
        <v>0.79268400000000006</v>
      </c>
      <c r="Q5994">
        <v>4.363675E-3</v>
      </c>
      <c r="R5994">
        <v>0.60961719999999997</v>
      </c>
      <c r="S5994">
        <v>2.0789339999999998</v>
      </c>
      <c r="T5994">
        <v>-0.1411501</v>
      </c>
      <c r="U5994">
        <v>2.2226560000000002</v>
      </c>
      <c r="V5994">
        <v>-0.4248653</v>
      </c>
      <c r="W5994">
        <v>9.3471279999999997E-3</v>
      </c>
      <c r="X5994">
        <v>0.90520829999999997</v>
      </c>
      <c r="Y5994">
        <v>-0.56542409999999999</v>
      </c>
      <c r="Z5994">
        <v>1.136526E-2</v>
      </c>
      <c r="AA5994">
        <v>0.82472209999999901</v>
      </c>
      <c r="AB5994">
        <v>32</v>
      </c>
      <c r="AC5994">
        <v>0.48410000000001202</v>
      </c>
      <c r="AD5994">
        <v>-4.4238E-2</v>
      </c>
      <c r="AE5994">
        <v>0.65487999999999102</v>
      </c>
      <c r="AF5994">
        <v>-0.53369719873334098</v>
      </c>
      <c r="AG5994">
        <v>-4.4238E-2</v>
      </c>
      <c r="AH5994">
        <v>0.61195684418819096</v>
      </c>
      <c r="AI5994">
        <v>93.118455677663306</v>
      </c>
      <c r="AJ5994">
        <v>131.09219514264399</v>
      </c>
      <c r="AK5994">
        <v>0.81319178533024095</v>
      </c>
      <c r="AL5994">
        <v>89.464441205159403</v>
      </c>
      <c r="AM5994">
        <v>115.14331298803199</v>
      </c>
      <c r="AN5994">
        <v>0.99999997916741401</v>
      </c>
    </row>
    <row r="5995" spans="1:40" x14ac:dyDescent="0.25">
      <c r="A5995" t="str">
        <f>"20190305135943714"</f>
        <v>20190305135943714</v>
      </c>
      <c r="B5995" t="str">
        <f>"1551765583705391"</f>
        <v>1551765583705391</v>
      </c>
      <c r="C5995" t="s">
        <v>40</v>
      </c>
      <c r="D5995">
        <v>4.2396520000000004</v>
      </c>
      <c r="E5995">
        <v>0.43431550000000002</v>
      </c>
      <c r="F5995" t="s">
        <v>41</v>
      </c>
      <c r="G5995">
        <v>-207.67750000000001</v>
      </c>
      <c r="H5995">
        <v>1.0684260000000001</v>
      </c>
      <c r="I5995">
        <v>-60.300600000000003</v>
      </c>
      <c r="J5995">
        <v>-208.26349999999999</v>
      </c>
      <c r="K5995">
        <v>1.1172949999999999</v>
      </c>
      <c r="L5995">
        <v>-61.046880000000002</v>
      </c>
      <c r="M5995">
        <v>0.97550590000000004</v>
      </c>
      <c r="N5995">
        <v>-1.414032E-2</v>
      </c>
      <c r="O5995">
        <v>0.2195184</v>
      </c>
      <c r="P5995">
        <v>0.79021200000000003</v>
      </c>
      <c r="Q5995">
        <v>4.7698319999999999E-3</v>
      </c>
      <c r="R5995">
        <v>0.612815</v>
      </c>
      <c r="S5995">
        <v>2.0685120000000001</v>
      </c>
      <c r="T5995">
        <v>-0.13968839999999999</v>
      </c>
      <c r="U5995">
        <v>2.2324220000000001</v>
      </c>
      <c r="V5995">
        <v>-0.42463329999999999</v>
      </c>
      <c r="W5995">
        <v>9.7180879999999997E-3</v>
      </c>
      <c r="X5995">
        <v>0.90531329999999999</v>
      </c>
      <c r="Y5995">
        <v>-0.56575500000000001</v>
      </c>
      <c r="Z5995">
        <v>1.1192840000000001E-2</v>
      </c>
      <c r="AA5995">
        <v>0.82449740000000005</v>
      </c>
      <c r="AB5995">
        <v>32</v>
      </c>
      <c r="AC5995">
        <v>0.58599999999998398</v>
      </c>
      <c r="AD5995">
        <v>-4.8869000000000003E-2</v>
      </c>
      <c r="AE5995">
        <v>0.74627999999999795</v>
      </c>
      <c r="AF5995">
        <v>-0.59783688091888498</v>
      </c>
      <c r="AG5995">
        <v>-4.8869000000000003E-2</v>
      </c>
      <c r="AH5995">
        <v>0.73359626584870596</v>
      </c>
      <c r="AI5995">
        <v>92.956106919440003</v>
      </c>
      <c r="AJ5995">
        <v>129.177965536908</v>
      </c>
      <c r="AK5995">
        <v>0.94760782848971103</v>
      </c>
      <c r="AL5995">
        <v>89.443185822497398</v>
      </c>
      <c r="AM5995">
        <v>115.128723057134</v>
      </c>
      <c r="AN5995">
        <v>1.0000000259300701</v>
      </c>
    </row>
    <row r="5996" spans="1:40" x14ac:dyDescent="0.25">
      <c r="A5996" t="str">
        <f>"20190305135943724"</f>
        <v>20190305135943724</v>
      </c>
      <c r="B5996" t="str">
        <f>"1551765583715150"</f>
        <v>1551765583715150</v>
      </c>
      <c r="C5996" t="s">
        <v>40</v>
      </c>
      <c r="D5996">
        <v>4.2790089999999896</v>
      </c>
      <c r="E5996">
        <v>0.43441190000000002</v>
      </c>
      <c r="F5996" t="s">
        <v>41</v>
      </c>
      <c r="G5996">
        <v>-207.64410000000001</v>
      </c>
      <c r="H5996">
        <v>1.075707</v>
      </c>
      <c r="I5996">
        <v>-60.372919999999901</v>
      </c>
      <c r="J5996">
        <v>-208.12739999999999</v>
      </c>
      <c r="K5996">
        <v>1.1173200000000001</v>
      </c>
      <c r="L5996">
        <v>-61.012120000000003</v>
      </c>
      <c r="M5996">
        <v>0.97452269999999996</v>
      </c>
      <c r="N5996">
        <v>-1.416914E-2</v>
      </c>
      <c r="O5996">
        <v>0.22384119999999999</v>
      </c>
      <c r="P5996">
        <v>0.78755059999999999</v>
      </c>
      <c r="Q5996">
        <v>5.1935540000000004E-3</v>
      </c>
      <c r="R5996">
        <v>0.61622809999999995</v>
      </c>
      <c r="S5996">
        <v>2.0594640000000002</v>
      </c>
      <c r="T5996">
        <v>-0.13826529999999901</v>
      </c>
      <c r="U5996">
        <v>2.240875</v>
      </c>
      <c r="V5996">
        <v>-0.42454700000000001</v>
      </c>
      <c r="W5996">
        <v>1.012243E-2</v>
      </c>
      <c r="X5996">
        <v>0.90534930000000002</v>
      </c>
      <c r="Y5996">
        <v>-0.565467099999999</v>
      </c>
      <c r="Z5996">
        <v>1.100462E-2</v>
      </c>
      <c r="AA5996">
        <v>0.82469740000000002</v>
      </c>
      <c r="AB5996">
        <v>32</v>
      </c>
      <c r="AC5996">
        <v>0.48329999999998502</v>
      </c>
      <c r="AD5996">
        <v>-4.1613000000000101E-2</v>
      </c>
      <c r="AE5996">
        <v>0.63920000000000199</v>
      </c>
      <c r="AF5996">
        <v>-0.51339966192822695</v>
      </c>
      <c r="AG5996">
        <v>-4.1613000000000101E-2</v>
      </c>
      <c r="AH5996">
        <v>0.61247611551202497</v>
      </c>
      <c r="AI5996">
        <v>92.980636870304906</v>
      </c>
      <c r="AJ5996">
        <v>129.97095746650299</v>
      </c>
      <c r="AK5996">
        <v>0.80027360740544096</v>
      </c>
      <c r="AL5996">
        <v>89.420017570186801</v>
      </c>
      <c r="AM5996">
        <v>115.123370225667</v>
      </c>
      <c r="AN5996">
        <v>0.99999998690429703</v>
      </c>
    </row>
    <row r="5997" spans="1:40" x14ac:dyDescent="0.25">
      <c r="A5997" t="str">
        <f>"20190305135943735"</f>
        <v>20190305135943735</v>
      </c>
      <c r="B5997" t="str">
        <f>"1551765583724910"</f>
        <v>1551765583724910</v>
      </c>
      <c r="C5997" t="s">
        <v>40</v>
      </c>
      <c r="D5997">
        <v>4.2785190000000002</v>
      </c>
      <c r="E5997">
        <v>0.43451830000000002</v>
      </c>
      <c r="F5997" t="s">
        <v>41</v>
      </c>
      <c r="G5997">
        <v>-207.41409999999999</v>
      </c>
      <c r="H5997">
        <v>1.0689040000000001</v>
      </c>
      <c r="I5997">
        <v>-60.229810000000001</v>
      </c>
      <c r="J5997">
        <v>-207.98230000000001</v>
      </c>
      <c r="K5997">
        <v>1.1173470000000001</v>
      </c>
      <c r="L5997">
        <v>-60.974640000000001</v>
      </c>
      <c r="M5997">
        <v>0.97343630000000003</v>
      </c>
      <c r="N5997">
        <v>-1.420629E-2</v>
      </c>
      <c r="O5997">
        <v>0.228517</v>
      </c>
      <c r="P5997">
        <v>0.7845396</v>
      </c>
      <c r="Q5997">
        <v>4.9578440000000003E-3</v>
      </c>
      <c r="R5997">
        <v>0.62005889999999997</v>
      </c>
      <c r="S5997">
        <v>2.0504609999999999</v>
      </c>
      <c r="T5997">
        <v>-0.13917289999999999</v>
      </c>
      <c r="U5997">
        <v>2.248993</v>
      </c>
      <c r="V5997">
        <v>-0.42460979999999998</v>
      </c>
      <c r="W5997">
        <v>9.8701980000000002E-3</v>
      </c>
      <c r="X5997">
        <v>0.90532270000000004</v>
      </c>
      <c r="Y5997">
        <v>-0.56478950000000006</v>
      </c>
      <c r="Z5997">
        <v>1.085379E-2</v>
      </c>
      <c r="AA5997">
        <v>0.82516369999999895</v>
      </c>
      <c r="AB5997">
        <v>31</v>
      </c>
      <c r="AC5997">
        <v>0.56820000000001802</v>
      </c>
      <c r="AD5997">
        <v>-4.8442999999999702E-2</v>
      </c>
      <c r="AE5997">
        <v>0.74482999999999999</v>
      </c>
      <c r="AF5997">
        <v>-0.59367379314562796</v>
      </c>
      <c r="AG5997">
        <v>-4.8442999999999702E-2</v>
      </c>
      <c r="AH5997">
        <v>0.72145665562497896</v>
      </c>
      <c r="AI5997">
        <v>92.968046437198396</v>
      </c>
      <c r="AJ5997">
        <v>129.45035402732799</v>
      </c>
      <c r="AK5997">
        <v>0.93557201906774501</v>
      </c>
      <c r="AL5997">
        <v>89.4344701556291</v>
      </c>
      <c r="AM5997">
        <v>115.127275259375</v>
      </c>
      <c r="AN5997">
        <v>1.0000000470999399</v>
      </c>
    </row>
    <row r="5998" spans="1:40" x14ac:dyDescent="0.25">
      <c r="A5998" t="str">
        <f>"20190305135943747"</f>
        <v>20190305135943747</v>
      </c>
      <c r="B5998" t="str">
        <f>"1551765583745406"</f>
        <v>1551765583745406</v>
      </c>
      <c r="C5998" t="s">
        <v>40</v>
      </c>
      <c r="D5998">
        <v>4.2315860000000001</v>
      </c>
      <c r="E5998">
        <v>0.43451719999999999</v>
      </c>
      <c r="F5998" t="s">
        <v>41</v>
      </c>
      <c r="G5998">
        <v>-207.37799999999999</v>
      </c>
      <c r="H5998">
        <v>1.07521</v>
      </c>
      <c r="I5998">
        <v>-60.305950000000003</v>
      </c>
      <c r="J5998">
        <v>-207.83580000000001</v>
      </c>
      <c r="K5998">
        <v>1.117405</v>
      </c>
      <c r="L5998">
        <v>-60.935639999999999</v>
      </c>
      <c r="M5998">
        <v>0.97229449999999995</v>
      </c>
      <c r="N5998">
        <v>-1.423817E-2</v>
      </c>
      <c r="O5998">
        <v>0.23332520000000001</v>
      </c>
      <c r="P5998">
        <v>0.78132849999999998</v>
      </c>
      <c r="Q5998">
        <v>4.9016479999999998E-3</v>
      </c>
      <c r="R5998">
        <v>0.62410069999999995</v>
      </c>
      <c r="S5998">
        <v>2.0402680000000002</v>
      </c>
      <c r="T5998">
        <v>-0.14226259999999999</v>
      </c>
      <c r="U5998">
        <v>2.2579039999999999</v>
      </c>
      <c r="V5998">
        <v>-0.42480970000000001</v>
      </c>
      <c r="W5998">
        <v>9.7571870000000005E-3</v>
      </c>
      <c r="X5998">
        <v>0.90523010000000004</v>
      </c>
      <c r="Y5998">
        <v>-0.5643629</v>
      </c>
      <c r="Z5998">
        <v>1.075019E-2</v>
      </c>
      <c r="AA5998">
        <v>0.82545679999999999</v>
      </c>
      <c r="AB5998">
        <v>31</v>
      </c>
      <c r="AC5998">
        <v>0.45780000000002002</v>
      </c>
      <c r="AD5998">
        <v>-4.2194999999999899E-2</v>
      </c>
      <c r="AE5998">
        <v>0.62968999999999598</v>
      </c>
      <c r="AF5998">
        <v>-0.50399857546341598</v>
      </c>
      <c r="AG5998">
        <v>-4.2194999999999899E-2</v>
      </c>
      <c r="AH5998">
        <v>0.59036477277120702</v>
      </c>
      <c r="AI5998">
        <v>93.111441392824403</v>
      </c>
      <c r="AJ5998">
        <v>130.48761978044499</v>
      </c>
      <c r="AK5998">
        <v>0.777383783612285</v>
      </c>
      <c r="AL5998">
        <v>89.440945499149905</v>
      </c>
      <c r="AM5998">
        <v>115.13989832652599</v>
      </c>
      <c r="AN5998">
        <v>1.0000000089291201</v>
      </c>
    </row>
    <row r="5999" spans="1:40" x14ac:dyDescent="0.25">
      <c r="A5999" t="str">
        <f>"20190305135943760"</f>
        <v>20190305135943760</v>
      </c>
      <c r="B5999" t="str">
        <f>"1551765583755167"</f>
        <v>1551765583755167</v>
      </c>
      <c r="C5999" t="s">
        <v>40</v>
      </c>
      <c r="D5999">
        <v>4.2512309999999998</v>
      </c>
      <c r="E5999">
        <v>0.43461280000000002</v>
      </c>
      <c r="F5999" t="s">
        <v>41</v>
      </c>
      <c r="G5999">
        <v>-207.1473</v>
      </c>
      <c r="H5999">
        <v>1.0673539999999999</v>
      </c>
      <c r="I5999">
        <v>-60.165869999999998</v>
      </c>
      <c r="J5999">
        <v>-207.67009999999999</v>
      </c>
      <c r="K5999">
        <v>1.1174759999999999</v>
      </c>
      <c r="L5999">
        <v>-60.891019999999997</v>
      </c>
      <c r="M5999">
        <v>0.97096709999999997</v>
      </c>
      <c r="N5999">
        <v>-1.427089E-2</v>
      </c>
      <c r="O5999">
        <v>0.23878740000000001</v>
      </c>
      <c r="P5999">
        <v>0.77727749999999995</v>
      </c>
      <c r="Q5999">
        <v>4.6387019999999998E-3</v>
      </c>
      <c r="R5999">
        <v>0.6291409</v>
      </c>
      <c r="S5999">
        <v>2.0289459999999999</v>
      </c>
      <c r="T5999">
        <v>-0.1474782</v>
      </c>
      <c r="U5999">
        <v>2.2679749999999999</v>
      </c>
      <c r="V5999">
        <v>-0.42557279999999997</v>
      </c>
      <c r="W5999">
        <v>9.4019580000000002E-3</v>
      </c>
      <c r="X5999">
        <v>0.90487530000000005</v>
      </c>
      <c r="Y5999">
        <v>-0.56379959999999996</v>
      </c>
      <c r="Z5999">
        <v>1.064785E-2</v>
      </c>
      <c r="AA5999">
        <v>0.82584299999999999</v>
      </c>
      <c r="AB5999">
        <v>31</v>
      </c>
      <c r="AC5999">
        <v>0.52279999999998905</v>
      </c>
      <c r="AD5999">
        <v>-5.0121999999999702E-2</v>
      </c>
      <c r="AE5999">
        <v>0.72514999999999896</v>
      </c>
      <c r="AF5999">
        <v>-0.57750226618198297</v>
      </c>
      <c r="AG5999">
        <v>-5.0121999999999702E-2</v>
      </c>
      <c r="AH5999">
        <v>0.67871397382695997</v>
      </c>
      <c r="AI5999">
        <v>93.219135718850396</v>
      </c>
      <c r="AJ5999">
        <v>130.39370338792699</v>
      </c>
      <c r="AK5999">
        <v>0.89256581863597595</v>
      </c>
      <c r="AL5999">
        <v>89.461299527365497</v>
      </c>
      <c r="AM5999">
        <v>115.18811736342499</v>
      </c>
      <c r="AN5999">
        <v>0.99999995673208097</v>
      </c>
    </row>
    <row r="6000" spans="1:40" x14ac:dyDescent="0.25">
      <c r="A6000" t="str">
        <f>"20190305135943770"</f>
        <v>20190305135943770</v>
      </c>
      <c r="B6000" t="str">
        <f>"1551765583764926"</f>
        <v>1551765583764926</v>
      </c>
      <c r="C6000" t="s">
        <v>40</v>
      </c>
      <c r="D6000">
        <v>4.2616719999999999</v>
      </c>
      <c r="E6000">
        <v>0.43464510000000001</v>
      </c>
      <c r="F6000" t="s">
        <v>82</v>
      </c>
      <c r="G6000">
        <v>-192.74680000000001</v>
      </c>
      <c r="H6000" s="1">
        <v>-4.9712739999999999E-6</v>
      </c>
      <c r="I6000">
        <v>-44.005290000000002</v>
      </c>
      <c r="J6000">
        <v>-207.52869999999999</v>
      </c>
      <c r="K6000">
        <v>1.1175649999999999</v>
      </c>
      <c r="L6000">
        <v>-60.851649999999999</v>
      </c>
      <c r="M6000">
        <v>0.96980330000000003</v>
      </c>
      <c r="N6000">
        <v>-1.429156E-2</v>
      </c>
      <c r="O6000">
        <v>0.2434694</v>
      </c>
      <c r="P6000">
        <v>0.77358110000000002</v>
      </c>
      <c r="Q6000">
        <v>3.7408620000000002E-3</v>
      </c>
      <c r="R6000">
        <v>0.63368630000000004</v>
      </c>
      <c r="S6000">
        <v>2.0150450000000002</v>
      </c>
      <c r="T6000">
        <v>-0.1508901</v>
      </c>
      <c r="U6000">
        <v>2.2800289999999999</v>
      </c>
      <c r="V6000">
        <v>-0.4264947</v>
      </c>
      <c r="W6000">
        <v>8.3863359999999994E-3</v>
      </c>
      <c r="X6000">
        <v>0.90445120000000001</v>
      </c>
      <c r="Y6000">
        <v>-0.56478430000000002</v>
      </c>
      <c r="Z6000">
        <v>1.0580000000000001E-2</v>
      </c>
      <c r="AA6000">
        <v>0.82517079999999998</v>
      </c>
      <c r="AB6000">
        <v>31</v>
      </c>
      <c r="AC6000">
        <v>14.781899999999901</v>
      </c>
      <c r="AD6000">
        <v>-1.1175699712739999</v>
      </c>
      <c r="AE6000">
        <v>16.846359999999901</v>
      </c>
      <c r="AF6000">
        <v>-12.708417044789799</v>
      </c>
      <c r="AG6000">
        <v>-1.1175699712739999</v>
      </c>
      <c r="AH6000">
        <v>18.393257175134099</v>
      </c>
      <c r="AI6000">
        <v>92.8617455992879</v>
      </c>
      <c r="AJ6000">
        <v>124.641682223617</v>
      </c>
      <c r="AK6000">
        <v>22.384475333043198</v>
      </c>
      <c r="AL6000">
        <v>89.519492717026594</v>
      </c>
      <c r="AM6000">
        <v>115.246259441761</v>
      </c>
      <c r="AN6000">
        <v>1.0000000164705101</v>
      </c>
    </row>
    <row r="6001" spans="1:40" x14ac:dyDescent="0.25">
      <c r="A6001" t="str">
        <f>"20190305135943781"</f>
        <v>20190305135943781</v>
      </c>
      <c r="B6001" t="str">
        <f>"1551765583775122"</f>
        <v>1551765583775122</v>
      </c>
      <c r="C6001" t="s">
        <v>40</v>
      </c>
      <c r="D6001">
        <v>4.2500450000000001</v>
      </c>
      <c r="E6001">
        <v>0.43465609999999999</v>
      </c>
      <c r="F6001" t="s">
        <v>41</v>
      </c>
      <c r="G6001">
        <v>-206.8777</v>
      </c>
      <c r="H6001">
        <v>1.066681</v>
      </c>
      <c r="I6001">
        <v>-60.1066199999999</v>
      </c>
      <c r="J6001">
        <v>-207.37219999999999</v>
      </c>
      <c r="K6001">
        <v>1.1176619999999999</v>
      </c>
      <c r="L6001">
        <v>-60.807560000000002</v>
      </c>
      <c r="M6001">
        <v>0.96848650000000003</v>
      </c>
      <c r="N6001">
        <v>-1.431119E-2</v>
      </c>
      <c r="O6001">
        <v>0.24865480000000001</v>
      </c>
      <c r="P6001">
        <v>0.76946349999999997</v>
      </c>
      <c r="Q6001">
        <v>3.1266100000000002E-3</v>
      </c>
      <c r="R6001">
        <v>0.63868319999999901</v>
      </c>
      <c r="S6001">
        <v>2.0019230000000001</v>
      </c>
      <c r="T6001">
        <v>-0.15648310000000001</v>
      </c>
      <c r="U6001">
        <v>2.2912599999999999</v>
      </c>
      <c r="V6001">
        <v>-0.42750270000000001</v>
      </c>
      <c r="W6001">
        <v>7.6386850000000001E-3</v>
      </c>
      <c r="X6001">
        <v>0.90398179999999995</v>
      </c>
      <c r="Y6001">
        <v>-0.5650153</v>
      </c>
      <c r="Z6001">
        <v>1.048556E-2</v>
      </c>
      <c r="AA6001">
        <v>0.82501380000000002</v>
      </c>
      <c r="AB6001">
        <v>31</v>
      </c>
      <c r="AC6001">
        <v>0.494499999999988</v>
      </c>
      <c r="AD6001">
        <v>-5.0981000000000103E-2</v>
      </c>
      <c r="AE6001">
        <v>0.70094000000000201</v>
      </c>
      <c r="AF6001">
        <v>-0.55399129494338994</v>
      </c>
      <c r="AG6001">
        <v>-5.0981000000000103E-2</v>
      </c>
      <c r="AH6001">
        <v>0.65097624002284304</v>
      </c>
      <c r="AI6001">
        <v>93.413141478129404</v>
      </c>
      <c r="AJ6001">
        <v>130.39832005327</v>
      </c>
      <c r="AK6001">
        <v>0.85631506019007497</v>
      </c>
      <c r="AL6001">
        <v>89.562331332708894</v>
      </c>
      <c r="AM6001">
        <v>115.30996978026</v>
      </c>
      <c r="AN6001">
        <v>1.00000000137352</v>
      </c>
    </row>
    <row r="6002" spans="1:40" x14ac:dyDescent="0.25">
      <c r="A6002" t="str">
        <f>"20190305135943792"</f>
        <v>20190305135943792</v>
      </c>
      <c r="B6002" t="str">
        <f>"1551765583784883"</f>
        <v>1551765583784883</v>
      </c>
      <c r="C6002" t="s">
        <v>40</v>
      </c>
      <c r="D6002">
        <v>4.3064260000000001</v>
      </c>
      <c r="E6002">
        <v>0.43443120000000002</v>
      </c>
      <c r="F6002" t="s">
        <v>82</v>
      </c>
      <c r="G6002">
        <v>-193.58629999999999</v>
      </c>
      <c r="H6002" s="1">
        <v>-4.7371449999999997E-6</v>
      </c>
      <c r="I6002">
        <v>-44.828719999999997</v>
      </c>
      <c r="J6002">
        <v>-207.21860000000001</v>
      </c>
      <c r="K6002">
        <v>1.1177619999999999</v>
      </c>
      <c r="L6002">
        <v>-60.763150000000003</v>
      </c>
      <c r="M6002">
        <v>0.96716170000000001</v>
      </c>
      <c r="N6002">
        <v>-1.432494E-2</v>
      </c>
      <c r="O6002">
        <v>0.25375789999999998</v>
      </c>
      <c r="P6002">
        <v>0.76511619999999902</v>
      </c>
      <c r="Q6002">
        <v>2.6946510000000002E-3</v>
      </c>
      <c r="R6002">
        <v>0.64388669999999903</v>
      </c>
      <c r="S6002">
        <v>1.9874270000000001</v>
      </c>
      <c r="T6002">
        <v>-0.1611264</v>
      </c>
      <c r="U6002">
        <v>2.3035580000000002</v>
      </c>
      <c r="V6002">
        <v>-0.42885970000000001</v>
      </c>
      <c r="W6002">
        <v>7.0598129999999999E-3</v>
      </c>
      <c r="X6002">
        <v>0.90334360000000002</v>
      </c>
      <c r="Y6002">
        <v>-0.5657877</v>
      </c>
      <c r="Z6002">
        <v>1.0380159999999999E-2</v>
      </c>
      <c r="AA6002">
        <v>0.82448569999999999</v>
      </c>
      <c r="AB6002">
        <v>31</v>
      </c>
      <c r="AC6002">
        <v>13.632300000000001</v>
      </c>
      <c r="AD6002">
        <v>-1.117766737145</v>
      </c>
      <c r="AE6002">
        <v>15.934430000000001</v>
      </c>
      <c r="AF6002">
        <v>-11.919228051260401</v>
      </c>
      <c r="AG6002">
        <v>-1.117766737145</v>
      </c>
      <c r="AH6002">
        <v>17.181078825325699</v>
      </c>
      <c r="AI6002">
        <v>93.059793111862305</v>
      </c>
      <c r="AJ6002">
        <v>124.750651913119</v>
      </c>
      <c r="AK6002">
        <v>20.940555613896102</v>
      </c>
      <c r="AL6002">
        <v>89.595499179685504</v>
      </c>
      <c r="AM6002">
        <v>115.395891511017</v>
      </c>
      <c r="AN6002">
        <v>1.0000000714523201</v>
      </c>
    </row>
    <row r="6003" spans="1:40" x14ac:dyDescent="0.25">
      <c r="A6003" t="str">
        <f>"20190305135943804"</f>
        <v>20190305135943804</v>
      </c>
      <c r="B6003" t="str">
        <f>"1551765583794644"</f>
        <v>1551765583794644</v>
      </c>
      <c r="C6003" t="s">
        <v>40</v>
      </c>
      <c r="D6003">
        <v>4.6242460000000003</v>
      </c>
      <c r="E6003">
        <v>0.43443120000000002</v>
      </c>
      <c r="F6003" t="s">
        <v>41</v>
      </c>
      <c r="G6003">
        <v>-206.60849999999999</v>
      </c>
      <c r="H6003">
        <v>1.066767</v>
      </c>
      <c r="I6003">
        <v>-60.045400000000001</v>
      </c>
      <c r="J6003">
        <v>-207.07320000000001</v>
      </c>
      <c r="K6003">
        <v>1.1178520000000001</v>
      </c>
      <c r="L6003">
        <v>-60.72025</v>
      </c>
      <c r="M6003">
        <v>0.96587460000000003</v>
      </c>
      <c r="N6003">
        <v>-1.433479E-2</v>
      </c>
      <c r="O6003">
        <v>0.25861339999999999</v>
      </c>
      <c r="P6003">
        <v>0.76096540000000001</v>
      </c>
      <c r="Q6003">
        <v>2.397373E-3</v>
      </c>
      <c r="R6003">
        <v>0.64878800000000003</v>
      </c>
      <c r="S6003">
        <v>1.97081</v>
      </c>
      <c r="T6003">
        <v>-0.1647052</v>
      </c>
      <c r="U6003">
        <v>2.3180540000000001</v>
      </c>
      <c r="V6003">
        <v>-0.43011830000000001</v>
      </c>
      <c r="W6003">
        <v>6.6316279999999997E-3</v>
      </c>
      <c r="X6003">
        <v>0.9027482</v>
      </c>
      <c r="Y6003">
        <v>-0.56759329999999997</v>
      </c>
      <c r="Z6003">
        <v>1.0298750000000001E-2</v>
      </c>
      <c r="AA6003">
        <v>0.82324470000000005</v>
      </c>
      <c r="AB6003">
        <v>31</v>
      </c>
      <c r="AC6003">
        <v>0.46470000000002099</v>
      </c>
      <c r="AD6003">
        <v>-5.1084999999999998E-2</v>
      </c>
      <c r="AE6003">
        <v>0.67484999999999895</v>
      </c>
      <c r="AF6003">
        <v>-0.52963866733689602</v>
      </c>
      <c r="AG6003">
        <v>-5.1084999999999998E-2</v>
      </c>
      <c r="AH6003">
        <v>0.62101724241976497</v>
      </c>
      <c r="AI6003">
        <v>93.581411707080903</v>
      </c>
      <c r="AJ6003">
        <v>130.459422968697</v>
      </c>
      <c r="AK6003">
        <v>0.81779533536579396</v>
      </c>
      <c r="AL6003">
        <v>89.620032927387498</v>
      </c>
      <c r="AM6003">
        <v>115.47566768816</v>
      </c>
      <c r="AN6003">
        <v>1.0000000215440299</v>
      </c>
    </row>
    <row r="6004" spans="1:40" x14ac:dyDescent="0.25">
      <c r="A6004" t="str">
        <f>"20190305135943815"</f>
        <v>20190305135943815</v>
      </c>
      <c r="B6004" t="str">
        <f>"1551765583805379"</f>
        <v>1551765583805379</v>
      </c>
      <c r="C6004" t="s">
        <v>40</v>
      </c>
      <c r="D6004">
        <v>4.2028239999999997</v>
      </c>
      <c r="E6004">
        <v>0.43443989999999999</v>
      </c>
      <c r="F6004" t="s">
        <v>82</v>
      </c>
      <c r="G6004">
        <v>-193.9126</v>
      </c>
      <c r="H6004" s="1">
        <v>-4.6967560000000001E-6</v>
      </c>
      <c r="I6004">
        <v>-45.040140000000001</v>
      </c>
      <c r="J6004">
        <v>-206.92420000000001</v>
      </c>
      <c r="K6004">
        <v>1.117939</v>
      </c>
      <c r="L6004">
        <v>-60.675600000000003</v>
      </c>
      <c r="M6004">
        <v>0.96452550000000004</v>
      </c>
      <c r="N6004">
        <v>-1.4342199999999999E-2</v>
      </c>
      <c r="O6004">
        <v>0.26359969999999999</v>
      </c>
      <c r="P6004">
        <v>0.75660169999999904</v>
      </c>
      <c r="Q6004">
        <v>2.45963E-3</v>
      </c>
      <c r="R6004">
        <v>0.65387139999999999</v>
      </c>
      <c r="S6004">
        <v>1.955978</v>
      </c>
      <c r="T6004">
        <v>-0.1661407</v>
      </c>
      <c r="U6004">
        <v>2.330444</v>
      </c>
      <c r="V6004">
        <v>-0.43150490000000002</v>
      </c>
      <c r="W6004">
        <v>6.5629669999999899E-3</v>
      </c>
      <c r="X6004">
        <v>0.90208670000000002</v>
      </c>
      <c r="Y6004">
        <v>-0.56856079999999998</v>
      </c>
      <c r="Z6004">
        <v>1.013608E-2</v>
      </c>
      <c r="AA6004">
        <v>0.82257880000000005</v>
      </c>
      <c r="AB6004">
        <v>31</v>
      </c>
      <c r="AC6004">
        <v>13.0116</v>
      </c>
      <c r="AD6004">
        <v>-1.1179436967559999</v>
      </c>
      <c r="AE6004">
        <v>15.63546</v>
      </c>
      <c r="AF6004">
        <v>-11.6170553057416</v>
      </c>
      <c r="AG6004">
        <v>-1.1179436967559999</v>
      </c>
      <c r="AH6004">
        <v>16.6230278064583</v>
      </c>
      <c r="AI6004">
        <v>93.155250861143998</v>
      </c>
      <c r="AJ6004">
        <v>124.947895896424</v>
      </c>
      <c r="AK6004">
        <v>20.310854869750401</v>
      </c>
      <c r="AL6004">
        <v>89.623966983861905</v>
      </c>
      <c r="AM6004">
        <v>115.563693564971</v>
      </c>
      <c r="AN6004">
        <v>0.99999998278837099</v>
      </c>
    </row>
    <row r="6005" spans="1:40" x14ac:dyDescent="0.25">
      <c r="A6005" t="str">
        <f>"20190305135943828"</f>
        <v>20190305135943828</v>
      </c>
      <c r="B6005" t="str">
        <f>"1551765583815139"</f>
        <v>1551765583815139</v>
      </c>
      <c r="C6005" t="s">
        <v>40</v>
      </c>
      <c r="D6005">
        <v>4.2236960000000003</v>
      </c>
      <c r="E6005">
        <v>0.43454029999999999</v>
      </c>
      <c r="F6005" t="s">
        <v>41</v>
      </c>
      <c r="G6005">
        <v>-206.34350000000001</v>
      </c>
      <c r="H6005">
        <v>1.0674490000000001</v>
      </c>
      <c r="I6005">
        <v>-59.974640000000001</v>
      </c>
      <c r="J6005">
        <v>-206.76140000000001</v>
      </c>
      <c r="K6005">
        <v>1.118015</v>
      </c>
      <c r="L6005">
        <v>-60.625430000000001</v>
      </c>
      <c r="M6005">
        <v>0.96300459999999999</v>
      </c>
      <c r="N6005">
        <v>-1.434941E-2</v>
      </c>
      <c r="O6005">
        <v>0.26910269999999997</v>
      </c>
      <c r="P6005">
        <v>0.75195639999999997</v>
      </c>
      <c r="Q6005">
        <v>2.4540310000000002E-3</v>
      </c>
      <c r="R6005">
        <v>0.65920840000000003</v>
      </c>
      <c r="S6005">
        <v>1.9406589999999999</v>
      </c>
      <c r="T6005">
        <v>-0.16873729999999901</v>
      </c>
      <c r="U6005">
        <v>2.3431700000000002</v>
      </c>
      <c r="V6005">
        <v>-0.4327377</v>
      </c>
      <c r="W6005">
        <v>6.4451880000000001E-3</v>
      </c>
      <c r="X6005">
        <v>0.90149679999999999</v>
      </c>
      <c r="Y6005">
        <v>-0.56923269999999904</v>
      </c>
      <c r="Z6005">
        <v>9.9428989999999998E-3</v>
      </c>
      <c r="AA6005">
        <v>0.82211630000000002</v>
      </c>
      <c r="AB6005">
        <v>31</v>
      </c>
      <c r="AC6005">
        <v>0.41790000000000299</v>
      </c>
      <c r="AD6005">
        <v>-5.0566000000000097E-2</v>
      </c>
      <c r="AE6005">
        <v>0.65078999999999998</v>
      </c>
      <c r="AF6005">
        <v>-0.51211959131658802</v>
      </c>
      <c r="AG6005">
        <v>-5.0566000000000097E-2</v>
      </c>
      <c r="AH6005">
        <v>0.57516981928259503</v>
      </c>
      <c r="AI6005">
        <v>93.756636349054602</v>
      </c>
      <c r="AJ6005">
        <v>131.68122317959401</v>
      </c>
      <c r="AK6005">
        <v>0.77177957810494202</v>
      </c>
      <c r="AL6005">
        <v>89.630715361219501</v>
      </c>
      <c r="AM6005">
        <v>115.641999451052</v>
      </c>
      <c r="AN6005">
        <v>0.99999996892994203</v>
      </c>
    </row>
    <row r="6006" spans="1:40" x14ac:dyDescent="0.25">
      <c r="A6006" t="str">
        <f>"20190305135943842"</f>
        <v>20190305135943842</v>
      </c>
      <c r="B6006" t="str">
        <f>"1551765583834658"</f>
        <v>1551765583834658</v>
      </c>
      <c r="C6006" t="s">
        <v>40</v>
      </c>
      <c r="D6006">
        <v>4.2085839999999903</v>
      </c>
      <c r="E6006">
        <v>0.43404239999999999</v>
      </c>
      <c r="F6006" t="s">
        <v>41</v>
      </c>
      <c r="G6006">
        <v>-206.11500000000001</v>
      </c>
      <c r="H6006">
        <v>1.0608059999999999</v>
      </c>
      <c r="I6006">
        <v>-59.83428</v>
      </c>
      <c r="J6006">
        <v>-206.57749999999999</v>
      </c>
      <c r="K6006">
        <v>1.1180890000000001</v>
      </c>
      <c r="L6006">
        <v>-60.5678699999999</v>
      </c>
      <c r="M6006">
        <v>0.96123950000000002</v>
      </c>
      <c r="N6006">
        <v>-1.435725E-2</v>
      </c>
      <c r="O6006">
        <v>0.27534069999999999</v>
      </c>
      <c r="P6006">
        <v>0.74647779999999997</v>
      </c>
      <c r="Q6006">
        <v>2.489734E-3</v>
      </c>
      <c r="R6006">
        <v>0.66540559999999904</v>
      </c>
      <c r="S6006">
        <v>1.9247890000000001</v>
      </c>
      <c r="T6006">
        <v>-0.170366299999999</v>
      </c>
      <c r="U6006">
        <v>2.3559570000000001</v>
      </c>
      <c r="V6006">
        <v>-0.43435049999999997</v>
      </c>
      <c r="W6006">
        <v>6.3626949999999998E-3</v>
      </c>
      <c r="X6006">
        <v>0.90072149999999995</v>
      </c>
      <c r="Y6006">
        <v>-0.569403199999999</v>
      </c>
      <c r="Z6006">
        <v>9.6737409999999996E-3</v>
      </c>
      <c r="AA6006">
        <v>0.82200139999999999</v>
      </c>
      <c r="AB6006">
        <v>31</v>
      </c>
      <c r="AC6006">
        <v>0.46249999999997699</v>
      </c>
      <c r="AD6006">
        <v>-5.7282999999999903E-2</v>
      </c>
      <c r="AE6006">
        <v>0.73358999999998498</v>
      </c>
      <c r="AF6006">
        <v>-0.57535979736381204</v>
      </c>
      <c r="AG6006">
        <v>-5.7282999999999903E-2</v>
      </c>
      <c r="AH6006">
        <v>0.64381803315012298</v>
      </c>
      <c r="AI6006">
        <v>93.795568291725104</v>
      </c>
      <c r="AJ6006">
        <v>131.78615102648899</v>
      </c>
      <c r="AK6006">
        <v>0.86534495914682497</v>
      </c>
      <c r="AL6006">
        <v>89.635441981528899</v>
      </c>
      <c r="AM6006">
        <v>115.744530817171</v>
      </c>
      <c r="AN6006">
        <v>1.00000003065008</v>
      </c>
    </row>
    <row r="6007" spans="1:40" x14ac:dyDescent="0.25">
      <c r="A6007" t="str">
        <f>"20190305135943855"</f>
        <v>20190305135943855</v>
      </c>
      <c r="B6007" t="str">
        <f>"1551765583845395"</f>
        <v>1551765583845395</v>
      </c>
      <c r="C6007" t="s">
        <v>40</v>
      </c>
      <c r="D6007">
        <v>4.1701649999999999</v>
      </c>
      <c r="E6007">
        <v>0.43404239999999999</v>
      </c>
      <c r="F6007" t="s">
        <v>82</v>
      </c>
      <c r="G6007">
        <v>-194.1507</v>
      </c>
      <c r="H6007" s="1">
        <v>-4.73164E-6</v>
      </c>
      <c r="I6007">
        <v>-45.056220000000003</v>
      </c>
      <c r="J6007">
        <v>-206.39769999999999</v>
      </c>
      <c r="K6007">
        <v>1.118147</v>
      </c>
      <c r="L6007">
        <v>-60.510190000000001</v>
      </c>
      <c r="M6007">
        <v>0.95945619999999998</v>
      </c>
      <c r="N6007">
        <v>-1.4366179999999999E-2</v>
      </c>
      <c r="O6007">
        <v>0.28149150000000001</v>
      </c>
      <c r="P6007">
        <v>0.74120909999999995</v>
      </c>
      <c r="Q6007">
        <v>2.383184E-3</v>
      </c>
      <c r="R6007">
        <v>0.67127000000000003</v>
      </c>
      <c r="S6007">
        <v>1.902542</v>
      </c>
      <c r="T6007">
        <v>-0.1711791</v>
      </c>
      <c r="U6007">
        <v>2.3748170000000002</v>
      </c>
      <c r="V6007">
        <v>-0.43568069999999998</v>
      </c>
      <c r="W6007">
        <v>6.1714869999999998E-3</v>
      </c>
      <c r="X6007">
        <v>0.90008009999999905</v>
      </c>
      <c r="Y6007">
        <v>-0.5720075</v>
      </c>
      <c r="Z6007">
        <v>9.5063950000000008E-3</v>
      </c>
      <c r="AA6007">
        <v>0.82019330000000001</v>
      </c>
      <c r="AB6007">
        <v>31</v>
      </c>
      <c r="AC6007">
        <v>12.2469999999999</v>
      </c>
      <c r="AD6007">
        <v>-1.11815173163999</v>
      </c>
      <c r="AE6007">
        <v>15.453969999999901</v>
      </c>
      <c r="AF6007">
        <v>-11.3446754450868</v>
      </c>
      <c r="AG6007">
        <v>-1.11815173163999</v>
      </c>
      <c r="AH6007">
        <v>16.050670380991502</v>
      </c>
      <c r="AI6007">
        <v>93.255957580592195</v>
      </c>
      <c r="AJ6007">
        <v>125.25281649405601</v>
      </c>
      <c r="AK6007">
        <v>19.686948568240901</v>
      </c>
      <c r="AL6007">
        <v>89.646397587388094</v>
      </c>
      <c r="AM6007">
        <v>115.829144691387</v>
      </c>
      <c r="AN6007">
        <v>0.99999997301014498</v>
      </c>
    </row>
    <row r="6008" spans="1:40" x14ac:dyDescent="0.25">
      <c r="A6008" t="str">
        <f>"20190305135943872"</f>
        <v>20190305135943872</v>
      </c>
      <c r="B6008" t="str">
        <f>"1551765583864917"</f>
        <v>1551765583864917</v>
      </c>
      <c r="C6008" t="s">
        <v>40</v>
      </c>
      <c r="D6008">
        <v>4.1747959999999997</v>
      </c>
      <c r="E6008">
        <v>0.4090184</v>
      </c>
      <c r="F6008" t="s">
        <v>41</v>
      </c>
      <c r="G6008">
        <v>-205.83320000000001</v>
      </c>
      <c r="H6008">
        <v>1.066702</v>
      </c>
      <c r="I6008">
        <v>-59.794260000000001</v>
      </c>
      <c r="J6008">
        <v>-206.18860000000001</v>
      </c>
      <c r="K6008">
        <v>1.1181970000000001</v>
      </c>
      <c r="L6008">
        <v>-60.441249999999997</v>
      </c>
      <c r="M6008">
        <v>0.95731370000000005</v>
      </c>
      <c r="N6008">
        <v>-1.437833E-2</v>
      </c>
      <c r="O6008">
        <v>0.2886937</v>
      </c>
      <c r="P6008">
        <v>0.73396159999999999</v>
      </c>
      <c r="Q6008">
        <v>2.2277719999999998E-3</v>
      </c>
      <c r="R6008">
        <v>0.67918730000000005</v>
      </c>
      <c r="S6008">
        <v>1.8838809999999999</v>
      </c>
      <c r="T6008">
        <v>-0.1716886</v>
      </c>
      <c r="U6008">
        <v>2.3895870000000001</v>
      </c>
      <c r="V6008">
        <v>-0.43857230000000003</v>
      </c>
      <c r="W6008">
        <v>5.9030319999999999E-3</v>
      </c>
      <c r="X6008">
        <v>0.89867649999999999</v>
      </c>
      <c r="Y6008">
        <v>-0.57226239999999995</v>
      </c>
      <c r="Z6008">
        <v>9.1780739999999996E-3</v>
      </c>
      <c r="AA6008">
        <v>0.82001919999999995</v>
      </c>
      <c r="AB6008">
        <v>31</v>
      </c>
      <c r="AC6008">
        <v>0.35540000000000299</v>
      </c>
      <c r="AD6008">
        <v>-5.1494999999999798E-2</v>
      </c>
      <c r="AE6008">
        <v>0.64699000000000195</v>
      </c>
      <c r="AF6008">
        <v>-0.51432109586683705</v>
      </c>
      <c r="AG6008">
        <v>-5.1494999999999798E-2</v>
      </c>
      <c r="AH6008">
        <v>0.52451313048631898</v>
      </c>
      <c r="AI6008">
        <v>94.009827529814402</v>
      </c>
      <c r="AJ6008">
        <v>134.43788737607599</v>
      </c>
      <c r="AK6008">
        <v>0.73640474518516197</v>
      </c>
      <c r="AL6008">
        <v>89.661779208984299</v>
      </c>
      <c r="AM6008">
        <v>116.013311429273</v>
      </c>
      <c r="AN6008">
        <v>0.99999997988316602</v>
      </c>
    </row>
    <row r="6009" spans="1:40" x14ac:dyDescent="0.25">
      <c r="A6009" t="str">
        <f>"20190305135943882"</f>
        <v>20190305135943882</v>
      </c>
      <c r="B6009" t="str">
        <f>"1551765583875184"</f>
        <v>1551765583875184</v>
      </c>
      <c r="C6009" t="s">
        <v>40</v>
      </c>
      <c r="D6009">
        <v>4.1987949999999996</v>
      </c>
      <c r="E6009">
        <v>0.40893210000000002</v>
      </c>
      <c r="F6009" t="s">
        <v>82</v>
      </c>
      <c r="G6009">
        <v>-193.2955</v>
      </c>
      <c r="H6009" s="1">
        <v>-6.2490270000000003E-6</v>
      </c>
      <c r="I6009">
        <v>-41.244680000000002</v>
      </c>
      <c r="J6009">
        <v>-206.04079999999999</v>
      </c>
      <c r="K6009">
        <v>1.1182289999999999</v>
      </c>
      <c r="L6009">
        <v>-60.391629999999999</v>
      </c>
      <c r="M6009">
        <v>0.95575929999999998</v>
      </c>
      <c r="N6009">
        <v>-1.4387459999999999E-2</v>
      </c>
      <c r="O6009">
        <v>0.293798</v>
      </c>
      <c r="P6009">
        <v>0.72872669999999995</v>
      </c>
      <c r="Q6009">
        <v>2.4528729999999999E-3</v>
      </c>
      <c r="R6009">
        <v>0.68480030000000003</v>
      </c>
      <c r="S6009">
        <v>1.719193</v>
      </c>
      <c r="T6009">
        <v>-0.14910419999999999</v>
      </c>
      <c r="U6009">
        <v>2.559723</v>
      </c>
      <c r="V6009">
        <v>-0.44067780000000001</v>
      </c>
      <c r="W6009">
        <v>6.0537119999999897E-3</v>
      </c>
      <c r="X6009">
        <v>0.89764489999999997</v>
      </c>
      <c r="Y6009">
        <v>-0.62892320000000002</v>
      </c>
      <c r="Z6009">
        <v>1.1243980000000001E-2</v>
      </c>
      <c r="AA6009">
        <v>0.77738609999999997</v>
      </c>
      <c r="AB6009">
        <v>31</v>
      </c>
      <c r="AC6009">
        <v>12.745299999999901</v>
      </c>
      <c r="AD6009">
        <v>-1.118235249027</v>
      </c>
      <c r="AE6009">
        <v>19.14695</v>
      </c>
      <c r="AF6009">
        <v>-14.5225126573499</v>
      </c>
      <c r="AG6009">
        <v>-1.118235249027</v>
      </c>
      <c r="AH6009">
        <v>17.7666240781687</v>
      </c>
      <c r="AI6009">
        <v>92.789908575407196</v>
      </c>
      <c r="AJ6009">
        <v>129.262707322887</v>
      </c>
      <c r="AK6009">
        <v>22.974045248715299</v>
      </c>
      <c r="AL6009">
        <v>89.653145722570002</v>
      </c>
      <c r="AM6009">
        <v>116.14765173417599</v>
      </c>
      <c r="AN6009">
        <v>0.99999996866891405</v>
      </c>
    </row>
    <row r="6010" spans="1:40" x14ac:dyDescent="0.25">
      <c r="A6010" t="str">
        <f>"20190305135943893"</f>
        <v>20190305135943893</v>
      </c>
      <c r="B6010" t="str">
        <f>"1551765583884944"</f>
        <v>1551765583884944</v>
      </c>
      <c r="C6010" t="s">
        <v>40</v>
      </c>
      <c r="D6010">
        <v>4.1209850000000001</v>
      </c>
      <c r="E6010">
        <v>0.4099102</v>
      </c>
      <c r="F6010" t="s">
        <v>82</v>
      </c>
      <c r="G6010">
        <v>-192.97640000000001</v>
      </c>
      <c r="H6010" s="1">
        <v>-6.429252E-6</v>
      </c>
      <c r="I6010">
        <v>-40.599049999999998</v>
      </c>
      <c r="J6010">
        <v>-205.89510000000001</v>
      </c>
      <c r="K6010">
        <v>1.1182570000000001</v>
      </c>
      <c r="L6010">
        <v>-60.341830000000002</v>
      </c>
      <c r="M6010">
        <v>0.95419189999999998</v>
      </c>
      <c r="N6010">
        <v>-1.439703E-2</v>
      </c>
      <c r="O6010">
        <v>0.29884820000000001</v>
      </c>
      <c r="P6010">
        <v>0.72369799999999995</v>
      </c>
      <c r="Q6010">
        <v>3.0961410000000002E-3</v>
      </c>
      <c r="R6010">
        <v>0.6901098</v>
      </c>
      <c r="S6010">
        <v>1.6987759999999901</v>
      </c>
      <c r="T6010">
        <v>-0.1454047</v>
      </c>
      <c r="U6010">
        <v>2.573639</v>
      </c>
      <c r="V6010">
        <v>-0.44250719999999999</v>
      </c>
      <c r="W6010">
        <v>6.6378269999999998E-3</v>
      </c>
      <c r="X6010">
        <v>0.89674039999999999</v>
      </c>
      <c r="Y6010">
        <v>-0.63106490000000004</v>
      </c>
      <c r="Z6010">
        <v>1.108819E-2</v>
      </c>
      <c r="AA6010">
        <v>0.77565079999999997</v>
      </c>
      <c r="AB6010">
        <v>31</v>
      </c>
      <c r="AC6010">
        <v>12.918699999999999</v>
      </c>
      <c r="AD6010">
        <v>-1.118263429252</v>
      </c>
      <c r="AE6010">
        <v>19.74278</v>
      </c>
      <c r="AF6010">
        <v>-14.9456510694939</v>
      </c>
      <c r="AG6010">
        <v>-1.118263429252</v>
      </c>
      <c r="AH6010">
        <v>18.1880472311171</v>
      </c>
      <c r="AI6010">
        <v>92.719668339408699</v>
      </c>
      <c r="AJ6010">
        <v>129.410947095155</v>
      </c>
      <c r="AK6010">
        <v>23.567521317898802</v>
      </c>
      <c r="AL6010">
        <v>89.619677740131493</v>
      </c>
      <c r="AM6010">
        <v>116.26458259153701</v>
      </c>
      <c r="AN6010">
        <v>1.00000001389564</v>
      </c>
    </row>
    <row r="6011" spans="1:40" x14ac:dyDescent="0.25">
      <c r="A6011" t="str">
        <f>"20190305135943905"</f>
        <v>20190305135943905</v>
      </c>
      <c r="B6011" t="str">
        <f>"1551765583894704"</f>
        <v>1551765583894704</v>
      </c>
      <c r="C6011" t="s">
        <v>40</v>
      </c>
      <c r="D6011">
        <v>4.0985129999999996</v>
      </c>
      <c r="E6011">
        <v>0.41082999999999997</v>
      </c>
      <c r="F6011" t="s">
        <v>42</v>
      </c>
      <c r="G6011">
        <v>-192.07079999999999</v>
      </c>
      <c r="H6011" s="1">
        <v>-1.085398E-6</v>
      </c>
      <c r="I6011">
        <v>-39.165190000000003</v>
      </c>
      <c r="J6011">
        <v>-205.74940000000001</v>
      </c>
      <c r="K6011">
        <v>1.118285</v>
      </c>
      <c r="L6011">
        <v>-60.290990000000001</v>
      </c>
      <c r="M6011">
        <v>0.95259240000000001</v>
      </c>
      <c r="N6011">
        <v>-1.4406850000000001E-2</v>
      </c>
      <c r="O6011">
        <v>0.30390800000000001</v>
      </c>
      <c r="P6011">
        <v>0.71859189999999995</v>
      </c>
      <c r="Q6011">
        <v>4.1273500000000001E-3</v>
      </c>
      <c r="R6011">
        <v>0.69541980000000003</v>
      </c>
      <c r="S6011">
        <v>1.6848299999999901</v>
      </c>
      <c r="T6011">
        <v>-0.13628770000000001</v>
      </c>
      <c r="U6011">
        <v>2.580902</v>
      </c>
      <c r="V6011">
        <v>-0.44437379999999999</v>
      </c>
      <c r="W6011">
        <v>7.6115059999999997E-3</v>
      </c>
      <c r="X6011">
        <v>0.89580910000000002</v>
      </c>
      <c r="Y6011">
        <v>-0.63095249999999903</v>
      </c>
      <c r="Z6011">
        <v>1.0787420000000001E-2</v>
      </c>
      <c r="AA6011">
        <v>0.77574650000000001</v>
      </c>
      <c r="AB6011">
        <v>31</v>
      </c>
      <c r="AC6011">
        <v>13.678599999999999</v>
      </c>
      <c r="AD6011">
        <v>-1.1182860853979999</v>
      </c>
      <c r="AE6011">
        <v>21.125800000000002</v>
      </c>
      <c r="AF6011">
        <v>-15.9374324297881</v>
      </c>
      <c r="AG6011">
        <v>-1.1182860853979999</v>
      </c>
      <c r="AH6011">
        <v>19.414119380743401</v>
      </c>
      <c r="AI6011">
        <v>92.549207699824805</v>
      </c>
      <c r="AJ6011">
        <v>129.38324588131999</v>
      </c>
      <c r="AK6011">
        <v>25.142799119282898</v>
      </c>
      <c r="AL6011">
        <v>89.563888609077793</v>
      </c>
      <c r="AM6011">
        <v>116.384105627206</v>
      </c>
      <c r="AN6011">
        <v>0.99999997639641802</v>
      </c>
    </row>
    <row r="6012" spans="1:40" x14ac:dyDescent="0.25">
      <c r="A6012" t="str">
        <f>"20190305135943916"</f>
        <v>20190305135943916</v>
      </c>
      <c r="B6012" t="str">
        <f>"1551765583905440"</f>
        <v>1551765583905440</v>
      </c>
      <c r="C6012" t="s">
        <v>40</v>
      </c>
      <c r="D6012">
        <v>4.086627</v>
      </c>
      <c r="E6012">
        <v>0.41082999999999997</v>
      </c>
      <c r="F6012" t="s">
        <v>42</v>
      </c>
      <c r="G6012">
        <v>-190.90049999999999</v>
      </c>
      <c r="H6012" s="1">
        <v>-1.5835529999999999E-6</v>
      </c>
      <c r="I6012">
        <v>-37.27807</v>
      </c>
      <c r="J6012">
        <v>-205.60599999999999</v>
      </c>
      <c r="K6012">
        <v>1.1183129999999999</v>
      </c>
      <c r="L6012">
        <v>-60.240479999999998</v>
      </c>
      <c r="M6012">
        <v>0.95098970000000005</v>
      </c>
      <c r="N6012">
        <v>-1.44166E-2</v>
      </c>
      <c r="O6012">
        <v>0.30888649999999901</v>
      </c>
      <c r="P6012">
        <v>0.71366830000000003</v>
      </c>
      <c r="Q6012">
        <v>4.8902559999999999E-3</v>
      </c>
      <c r="R6012">
        <v>0.70046679999999995</v>
      </c>
      <c r="S6012">
        <v>1.6703490000000001</v>
      </c>
      <c r="T6012">
        <v>-0.12579560000000001</v>
      </c>
      <c r="U6012">
        <v>2.5887150000000001</v>
      </c>
      <c r="V6012">
        <v>-0.44601809999999997</v>
      </c>
      <c r="W6012">
        <v>8.3243509999999903E-3</v>
      </c>
      <c r="X6012">
        <v>0.89498519999999904</v>
      </c>
      <c r="Y6012">
        <v>-0.63109609999999905</v>
      </c>
      <c r="Z6012">
        <v>1.0518929999999999E-2</v>
      </c>
      <c r="AA6012">
        <v>0.77563329999999997</v>
      </c>
      <c r="AB6012">
        <v>31</v>
      </c>
      <c r="AC6012">
        <v>14.705500000000001</v>
      </c>
      <c r="AD6012">
        <v>-1.118314583553</v>
      </c>
      <c r="AE6012">
        <v>22.962409999999998</v>
      </c>
      <c r="AF6012">
        <v>-17.2674371856405</v>
      </c>
      <c r="AG6012">
        <v>-1.118314583553</v>
      </c>
      <c r="AH6012">
        <v>21.0443497862729</v>
      </c>
      <c r="AI6012">
        <v>92.352474181980199</v>
      </c>
      <c r="AJ6012">
        <v>129.36977021725801</v>
      </c>
      <c r="AK6012">
        <v>27.244810008418799</v>
      </c>
      <c r="AL6012">
        <v>89.523044299713803</v>
      </c>
      <c r="AM6012">
        <v>116.48948497635</v>
      </c>
      <c r="AN6012">
        <v>0.99999997428311005</v>
      </c>
    </row>
    <row r="6013" spans="1:40" x14ac:dyDescent="0.25">
      <c r="A6013" t="str">
        <f>"20190305135943926"</f>
        <v>20190305135943926</v>
      </c>
      <c r="B6013" t="str">
        <f>"1551765583915200"</f>
        <v>1551765583915200</v>
      </c>
      <c r="C6013" t="s">
        <v>40</v>
      </c>
      <c r="D6013">
        <v>4.1165089999999998</v>
      </c>
      <c r="E6013">
        <v>0.41192600000000001</v>
      </c>
      <c r="F6013" t="s">
        <v>41</v>
      </c>
      <c r="G6013">
        <v>-205.10659999999999</v>
      </c>
      <c r="H6013">
        <v>1.0808599999999999</v>
      </c>
      <c r="I6013">
        <v>-59.454300000000003</v>
      </c>
      <c r="J6013">
        <v>-205.47190000000001</v>
      </c>
      <c r="K6013">
        <v>1.1183350000000001</v>
      </c>
      <c r="L6013">
        <v>-60.192050000000002</v>
      </c>
      <c r="M6013">
        <v>0.94946109999999995</v>
      </c>
      <c r="N6013">
        <v>-1.44257E-2</v>
      </c>
      <c r="O6013">
        <v>0.31355309999999997</v>
      </c>
      <c r="P6013">
        <v>0.70894489999999999</v>
      </c>
      <c r="Q6013">
        <v>5.9434319999999898E-3</v>
      </c>
      <c r="R6013">
        <v>0.7052389</v>
      </c>
      <c r="S6013">
        <v>1.652115</v>
      </c>
      <c r="T6013">
        <v>-0.1238911</v>
      </c>
      <c r="U6013">
        <v>2.6004939999999999</v>
      </c>
      <c r="V6013">
        <v>-0.44765129999999997</v>
      </c>
      <c r="W6013">
        <v>9.3290140000000001E-3</v>
      </c>
      <c r="X6013">
        <v>0.89415959999999906</v>
      </c>
      <c r="Y6013">
        <v>-0.63276269999999901</v>
      </c>
      <c r="Z6013">
        <v>1.0419599999999999E-2</v>
      </c>
      <c r="AA6013">
        <v>0.77427570000000001</v>
      </c>
      <c r="AB6013">
        <v>31</v>
      </c>
      <c r="AC6013">
        <v>0.365300000000019</v>
      </c>
      <c r="AD6013">
        <v>-3.7475000000000099E-2</v>
      </c>
      <c r="AE6013">
        <v>0.73774999999999802</v>
      </c>
      <c r="AF6013">
        <v>-0.58477317396329398</v>
      </c>
      <c r="AG6013">
        <v>-3.7475000000000099E-2</v>
      </c>
      <c r="AH6013">
        <v>0.577026379537531</v>
      </c>
      <c r="AI6013">
        <v>92.611785195829796</v>
      </c>
      <c r="AJ6013">
        <v>135.38203840414599</v>
      </c>
      <c r="AK6013">
        <v>0.82238888811455602</v>
      </c>
      <c r="AL6013">
        <v>89.465479145962206</v>
      </c>
      <c r="AM6013">
        <v>116.59434005646099</v>
      </c>
      <c r="AN6013">
        <v>1.00000005358302</v>
      </c>
    </row>
    <row r="6014" spans="1:40" x14ac:dyDescent="0.25">
      <c r="A6014" t="str">
        <f>"20190305135943939"</f>
        <v>20190305135943939</v>
      </c>
      <c r="B6014" t="str">
        <f>"1551765583934720"</f>
        <v>1551765583934720</v>
      </c>
      <c r="C6014" t="s">
        <v>40</v>
      </c>
      <c r="D6014">
        <v>4.0893269999999999</v>
      </c>
      <c r="E6014">
        <v>0.41425679999999998</v>
      </c>
      <c r="F6014" t="s">
        <v>42</v>
      </c>
      <c r="G6014">
        <v>-189.88730000000001</v>
      </c>
      <c r="H6014" s="1">
        <v>-2.1332810000000001E-6</v>
      </c>
      <c r="I6014">
        <v>-35.441070000000003</v>
      </c>
      <c r="J6014">
        <v>-205.3186</v>
      </c>
      <c r="K6014">
        <v>1.1183609999999999</v>
      </c>
      <c r="L6014">
        <v>-60.136290000000002</v>
      </c>
      <c r="M6014">
        <v>0.94768240000000004</v>
      </c>
      <c r="N6014">
        <v>-1.4436010000000001E-2</v>
      </c>
      <c r="O6014">
        <v>0.31888810000000001</v>
      </c>
      <c r="P6014">
        <v>0.70386759999999904</v>
      </c>
      <c r="Q6014">
        <v>6.8961200000000004E-3</v>
      </c>
      <c r="R6014">
        <v>0.71029770000000003</v>
      </c>
      <c r="S6014">
        <v>1.640625</v>
      </c>
      <c r="T6014">
        <v>-0.1177299</v>
      </c>
      <c r="U6014">
        <v>2.605591</v>
      </c>
      <c r="V6014">
        <v>-0.44904820000000001</v>
      </c>
      <c r="W6014">
        <v>1.0238769999999999E-2</v>
      </c>
      <c r="X6014">
        <v>0.89344880000000004</v>
      </c>
      <c r="Y6014">
        <v>-0.63157589999999997</v>
      </c>
      <c r="Z6014">
        <v>1.017317E-2</v>
      </c>
      <c r="AA6014">
        <v>0.77524729999999997</v>
      </c>
      <c r="AB6014">
        <v>31</v>
      </c>
      <c r="AC6014">
        <v>15.431299999999901</v>
      </c>
      <c r="AD6014">
        <v>-1.118363133281</v>
      </c>
      <c r="AE6014">
        <v>24.695219999999999</v>
      </c>
      <c r="AF6014">
        <v>-18.457070566573101</v>
      </c>
      <c r="AG6014">
        <v>-1.118363133281</v>
      </c>
      <c r="AH6014">
        <v>22.468188799753399</v>
      </c>
      <c r="AI6014">
        <v>92.202617212923002</v>
      </c>
      <c r="AJ6014">
        <v>129.402272126501</v>
      </c>
      <c r="AK6014">
        <v>29.098688938484901</v>
      </c>
      <c r="AL6014">
        <v>89.413351405116103</v>
      </c>
      <c r="AM6014">
        <v>116.684145066279</v>
      </c>
      <c r="AN6014">
        <v>0.99999993827789402</v>
      </c>
    </row>
    <row r="6015" spans="1:40" x14ac:dyDescent="0.25">
      <c r="A6015" t="str">
        <f>"20190305135943951"</f>
        <v>20190305135943951</v>
      </c>
      <c r="B6015" t="str">
        <f>"1551765583944480"</f>
        <v>1551765583944480</v>
      </c>
      <c r="C6015" t="s">
        <v>40</v>
      </c>
      <c r="D6015">
        <v>4.0780519999999996</v>
      </c>
      <c r="E6015">
        <v>0.41518529999999998</v>
      </c>
      <c r="F6015" t="s">
        <v>42</v>
      </c>
      <c r="G6015">
        <v>-189.09899999999999</v>
      </c>
      <c r="H6015" s="1">
        <v>-2.7609469999999999E-6</v>
      </c>
      <c r="I6015">
        <v>-34.303939999999997</v>
      </c>
      <c r="J6015">
        <v>-205.15729999999999</v>
      </c>
      <c r="K6015">
        <v>1.11839</v>
      </c>
      <c r="L6015">
        <v>-60.07593</v>
      </c>
      <c r="M6015">
        <v>0.94576930000000003</v>
      </c>
      <c r="N6015">
        <v>-1.4446830000000001E-2</v>
      </c>
      <c r="O6015">
        <v>0.32451790000000003</v>
      </c>
      <c r="P6015">
        <v>0.6985403</v>
      </c>
      <c r="Q6015">
        <v>7.4721350000000004E-3</v>
      </c>
      <c r="R6015">
        <v>0.71553169999999899</v>
      </c>
      <c r="S6015">
        <v>1.6351929999999999</v>
      </c>
      <c r="T6015">
        <v>-0.11274869999999999</v>
      </c>
      <c r="U6015">
        <v>2.6043090000000002</v>
      </c>
      <c r="V6015">
        <v>-0.45041829999999999</v>
      </c>
      <c r="W6015">
        <v>1.0768979999999999E-2</v>
      </c>
      <c r="X6015">
        <v>0.89275269999999995</v>
      </c>
      <c r="Y6015">
        <v>-0.62798229999999999</v>
      </c>
      <c r="Z6015">
        <v>9.8656790000000005E-3</v>
      </c>
      <c r="AA6015">
        <v>0.77816509999999905</v>
      </c>
      <c r="AB6015">
        <v>31</v>
      </c>
      <c r="AC6015">
        <v>16.0582999999999</v>
      </c>
      <c r="AD6015">
        <v>-1.1183927609469999</v>
      </c>
      <c r="AE6015">
        <v>25.771989999999999</v>
      </c>
      <c r="AF6015">
        <v>-19.139187068182601</v>
      </c>
      <c r="AG6015">
        <v>-1.1183927609469999</v>
      </c>
      <c r="AH6015">
        <v>23.5214681115371</v>
      </c>
      <c r="AI6015">
        <v>92.112167101981996</v>
      </c>
      <c r="AJ6015">
        <v>129.13490998293901</v>
      </c>
      <c r="AK6015">
        <v>30.344995404855201</v>
      </c>
      <c r="AL6015">
        <v>89.382970969481306</v>
      </c>
      <c r="AM6015">
        <v>116.77220106054</v>
      </c>
      <c r="AN6015">
        <v>0.99999999963121</v>
      </c>
    </row>
    <row r="6016" spans="1:40" x14ac:dyDescent="0.25">
      <c r="A6016" t="str">
        <f>"20190305135943962"</f>
        <v>20190305135943962</v>
      </c>
      <c r="B6016" t="str">
        <f>"1551765583955217"</f>
        <v>1551765583955217</v>
      </c>
      <c r="C6016" t="s">
        <v>40</v>
      </c>
      <c r="D6016">
        <v>4.1043710000000004</v>
      </c>
      <c r="E6016">
        <v>0.41601510000000003</v>
      </c>
      <c r="F6016" t="s">
        <v>42</v>
      </c>
      <c r="G6016">
        <v>-188.65790000000001</v>
      </c>
      <c r="H6016" s="1">
        <v>-3.1879270000000001E-6</v>
      </c>
      <c r="I6016">
        <v>-33.491030000000002</v>
      </c>
      <c r="J6016">
        <v>-205.01910000000001</v>
      </c>
      <c r="K6016">
        <v>1.118414</v>
      </c>
      <c r="L6016">
        <v>-60.023739999999997</v>
      </c>
      <c r="M6016">
        <v>0.94410050000000001</v>
      </c>
      <c r="N6016">
        <v>-1.4456119999999999E-2</v>
      </c>
      <c r="O6016">
        <v>0.32934069999999999</v>
      </c>
      <c r="P6016">
        <v>0.69363750000000002</v>
      </c>
      <c r="Q6016">
        <v>8.2581010000000003E-3</v>
      </c>
      <c r="R6016">
        <v>0.7202769</v>
      </c>
      <c r="S6016">
        <v>1.6208039999999999</v>
      </c>
      <c r="T6016">
        <v>-0.1098642</v>
      </c>
      <c r="U6016">
        <v>2.611542</v>
      </c>
      <c r="V6016">
        <v>-0.4519669</v>
      </c>
      <c r="W6016">
        <v>1.150374E-2</v>
      </c>
      <c r="X6016">
        <v>0.89196049999999905</v>
      </c>
      <c r="Y6016">
        <v>-0.62808790000000003</v>
      </c>
      <c r="Z6016">
        <v>9.7343599999999992E-3</v>
      </c>
      <c r="AA6016">
        <v>0.77808149999999998</v>
      </c>
      <c r="AB6016">
        <v>31</v>
      </c>
      <c r="AC6016">
        <v>16.361199999999901</v>
      </c>
      <c r="AD6016">
        <v>-1.118417187927</v>
      </c>
      <c r="AE6016">
        <v>26.532709999999899</v>
      </c>
      <c r="AF6016">
        <v>-19.637909809631001</v>
      </c>
      <c r="AG6016">
        <v>-1.118417187927</v>
      </c>
      <c r="AH6016">
        <v>24.156348485858398</v>
      </c>
      <c r="AI6016">
        <v>92.057492467587295</v>
      </c>
      <c r="AJ6016">
        <v>129.10939500119201</v>
      </c>
      <c r="AK6016">
        <v>31.151685843107799</v>
      </c>
      <c r="AL6016">
        <v>89.340869694014998</v>
      </c>
      <c r="AM6016">
        <v>116.871870226184</v>
      </c>
      <c r="AN6016">
        <v>0.99999997414492303</v>
      </c>
    </row>
    <row r="6017" spans="1:40" x14ac:dyDescent="0.25">
      <c r="A6017" t="str">
        <f>"20190305135943973"</f>
        <v>20190305135943973</v>
      </c>
      <c r="B6017" t="str">
        <f>"1551765583964977"</f>
        <v>1551765583964977</v>
      </c>
      <c r="C6017" t="s">
        <v>40</v>
      </c>
      <c r="D6017">
        <v>4.0751749999999998</v>
      </c>
      <c r="E6017">
        <v>0.41671469999999999</v>
      </c>
      <c r="F6017" t="s">
        <v>42</v>
      </c>
      <c r="G6017">
        <v>-187.96680000000001</v>
      </c>
      <c r="H6017" s="1">
        <v>-3.8403899999999998E-6</v>
      </c>
      <c r="I6017">
        <v>-32.255870000000002</v>
      </c>
      <c r="J6017">
        <v>-204.86060000000001</v>
      </c>
      <c r="K6017">
        <v>1.118447</v>
      </c>
      <c r="L6017">
        <v>-59.9627699999999</v>
      </c>
      <c r="M6017">
        <v>0.94214810000000004</v>
      </c>
      <c r="N6017">
        <v>-1.4466990000000001E-2</v>
      </c>
      <c r="O6017">
        <v>0.33488459999999998</v>
      </c>
      <c r="P6017">
        <v>0.68834510000000004</v>
      </c>
      <c r="Q6017">
        <v>8.6052460000000004E-3</v>
      </c>
      <c r="R6017">
        <v>0.72533230000000004</v>
      </c>
      <c r="S6017">
        <v>1.6077269999999999</v>
      </c>
      <c r="T6017">
        <v>-0.1054467</v>
      </c>
      <c r="U6017">
        <v>2.6180110000000001</v>
      </c>
      <c r="V6017">
        <v>-0.45325779999999899</v>
      </c>
      <c r="W6017">
        <v>1.1802699999999999E-2</v>
      </c>
      <c r="X6017">
        <v>0.89130129999999996</v>
      </c>
      <c r="Y6017">
        <v>-0.62721990000000005</v>
      </c>
      <c r="Z6017">
        <v>9.5629949999999995E-3</v>
      </c>
      <c r="AA6017">
        <v>0.77878349999999996</v>
      </c>
      <c r="AB6017">
        <v>31</v>
      </c>
      <c r="AC6017">
        <v>16.893799999999999</v>
      </c>
      <c r="AD6017">
        <v>-1.11845084039</v>
      </c>
      <c r="AE6017">
        <v>27.706899999999901</v>
      </c>
      <c r="AF6017">
        <v>-20.424407512782199</v>
      </c>
      <c r="AG6017">
        <v>-1.11845084039</v>
      </c>
      <c r="AH6017">
        <v>25.167815759186499</v>
      </c>
      <c r="AI6017">
        <v>91.976303502800207</v>
      </c>
      <c r="AJ6017">
        <v>129.060324885369</v>
      </c>
      <c r="AK6017">
        <v>32.431871740911298</v>
      </c>
      <c r="AL6017">
        <v>89.323739382772999</v>
      </c>
      <c r="AM6017">
        <v>116.954924231812</v>
      </c>
      <c r="AN6017">
        <v>0.99999997218490899</v>
      </c>
    </row>
    <row r="6018" spans="1:40" x14ac:dyDescent="0.25">
      <c r="A6018" t="str">
        <f>"20190305135943985"</f>
        <v>20190305135943985</v>
      </c>
      <c r="B6018" t="str">
        <f>"1551765583974737"</f>
        <v>1551765583974737</v>
      </c>
      <c r="C6018" t="s">
        <v>40</v>
      </c>
      <c r="D6018">
        <v>4.1145129999999996</v>
      </c>
      <c r="E6018">
        <v>0.41749310000000001</v>
      </c>
      <c r="F6018" t="s">
        <v>42</v>
      </c>
      <c r="G6018">
        <v>-187.5668</v>
      </c>
      <c r="H6018" s="1">
        <v>-4.2588349999999997E-6</v>
      </c>
      <c r="I6018">
        <v>-31.44585</v>
      </c>
      <c r="J6018">
        <v>-204.72489999999999</v>
      </c>
      <c r="K6018">
        <v>1.118484</v>
      </c>
      <c r="L6018">
        <v>-59.909550000000003</v>
      </c>
      <c r="M6018">
        <v>0.9404401</v>
      </c>
      <c r="N6018">
        <v>-1.447641E-2</v>
      </c>
      <c r="O6018">
        <v>0.33965119999999999</v>
      </c>
      <c r="P6018">
        <v>0.6835753</v>
      </c>
      <c r="Q6018">
        <v>8.8911760000000006E-3</v>
      </c>
      <c r="R6018">
        <v>0.72982590000000003</v>
      </c>
      <c r="S6018">
        <v>1.5924990000000001</v>
      </c>
      <c r="T6018">
        <v>-0.1029924</v>
      </c>
      <c r="U6018">
        <v>2.6259769999999998</v>
      </c>
      <c r="V6018">
        <v>-0.45459060000000001</v>
      </c>
      <c r="W6018">
        <v>1.2037279999999999E-2</v>
      </c>
      <c r="X6018">
        <v>0.89061919999999895</v>
      </c>
      <c r="Y6018">
        <v>-0.62763819999999904</v>
      </c>
      <c r="Z6018">
        <v>9.4651960000000004E-3</v>
      </c>
      <c r="AA6018">
        <v>0.77844769999999996</v>
      </c>
      <c r="AB6018">
        <v>31</v>
      </c>
      <c r="AC6018">
        <v>17.158099999999902</v>
      </c>
      <c r="AD6018">
        <v>-1.118488258835</v>
      </c>
      <c r="AE6018">
        <v>28.463699999999999</v>
      </c>
      <c r="AF6018">
        <v>-20.919136928069001</v>
      </c>
      <c r="AG6018">
        <v>-1.118488258835</v>
      </c>
      <c r="AH6018">
        <v>25.777403587062899</v>
      </c>
      <c r="AI6018">
        <v>91.929666705635995</v>
      </c>
      <c r="AJ6018">
        <v>129.06036687461</v>
      </c>
      <c r="AK6018">
        <v>33.216499536988799</v>
      </c>
      <c r="AL6018">
        <v>89.3102980264824</v>
      </c>
      <c r="AM6018">
        <v>117.040713594065</v>
      </c>
      <c r="AN6018">
        <v>1.0000000345633899</v>
      </c>
    </row>
    <row r="6019" spans="1:40" x14ac:dyDescent="0.25">
      <c r="A6019" t="str">
        <f>"20190305135943996"</f>
        <v>20190305135943996</v>
      </c>
      <c r="B6019" t="str">
        <f>"1551765583984496"</f>
        <v>1551765583984496</v>
      </c>
      <c r="C6019" t="s">
        <v>40</v>
      </c>
      <c r="D6019">
        <v>4.1139760000000001</v>
      </c>
      <c r="E6019">
        <v>0.4184831</v>
      </c>
      <c r="F6019" t="s">
        <v>42</v>
      </c>
      <c r="G6019">
        <v>-187.57980000000001</v>
      </c>
      <c r="H6019" s="1">
        <v>-4.2993179999999997E-6</v>
      </c>
      <c r="I6019">
        <v>-31.346109999999999</v>
      </c>
      <c r="J6019">
        <v>-204.5797</v>
      </c>
      <c r="K6019">
        <v>1.1185179999999999</v>
      </c>
      <c r="L6019">
        <v>-59.852049999999998</v>
      </c>
      <c r="M6019">
        <v>0.93858030000000003</v>
      </c>
      <c r="N6019">
        <v>-1.448638E-2</v>
      </c>
      <c r="O6019">
        <v>0.34475660000000002</v>
      </c>
      <c r="P6019">
        <v>0.67898289999999994</v>
      </c>
      <c r="Q6019">
        <v>9.4735029999999994E-3</v>
      </c>
      <c r="R6019">
        <v>0.734093</v>
      </c>
      <c r="S6019">
        <v>1.57988</v>
      </c>
      <c r="T6019">
        <v>-0.103066</v>
      </c>
      <c r="U6019">
        <v>2.63205</v>
      </c>
      <c r="V6019">
        <v>-0.455345</v>
      </c>
      <c r="W6019">
        <v>1.258037E-2</v>
      </c>
      <c r="X6019">
        <v>0.89022619999999897</v>
      </c>
      <c r="Y6019">
        <v>-0.62694419999999995</v>
      </c>
      <c r="Z6019">
        <v>9.3200000000000002E-3</v>
      </c>
      <c r="AA6019">
        <v>0.77900839999999905</v>
      </c>
      <c r="AB6019">
        <v>31</v>
      </c>
      <c r="AC6019">
        <v>16.999899999999901</v>
      </c>
      <c r="AD6019">
        <v>-1.118522299318</v>
      </c>
      <c r="AE6019">
        <v>28.505939999999999</v>
      </c>
      <c r="AF6019">
        <v>-20.8727736463666</v>
      </c>
      <c r="AG6019">
        <v>-1.118522299318</v>
      </c>
      <c r="AH6019">
        <v>25.756836132520601</v>
      </c>
      <c r="AI6019">
        <v>91.932353073240606</v>
      </c>
      <c r="AJ6019">
        <v>129.020548125353</v>
      </c>
      <c r="AK6019">
        <v>33.171348772458003</v>
      </c>
      <c r="AL6019">
        <v>89.279178887783701</v>
      </c>
      <c r="AM6019">
        <v>117.089453179329</v>
      </c>
      <c r="AN6019">
        <v>1.0000000109503799</v>
      </c>
    </row>
    <row r="6020" spans="1:40" x14ac:dyDescent="0.25">
      <c r="A6020" t="str">
        <f>"20190305135944007"</f>
        <v>20190305135944007</v>
      </c>
      <c r="B6020" t="str">
        <f>"1551765583995232"</f>
        <v>1551765583995232</v>
      </c>
      <c r="C6020" t="s">
        <v>40</v>
      </c>
      <c r="D6020">
        <v>4.143535</v>
      </c>
      <c r="E6020">
        <v>0.41931410000000002</v>
      </c>
      <c r="F6020" t="s">
        <v>42</v>
      </c>
      <c r="G6020">
        <v>-187.52369999999999</v>
      </c>
      <c r="H6020" s="1">
        <v>-4.3720919999999998E-6</v>
      </c>
      <c r="I6020">
        <v>-31.1997</v>
      </c>
      <c r="J6020">
        <v>-204.4383</v>
      </c>
      <c r="K6020">
        <v>1.11856</v>
      </c>
      <c r="L6020">
        <v>-59.794649999999997</v>
      </c>
      <c r="M6020">
        <v>0.9367221</v>
      </c>
      <c r="N6020">
        <v>-1.449716E-2</v>
      </c>
      <c r="O6020">
        <v>0.34977360000000002</v>
      </c>
      <c r="P6020">
        <v>0.67471800000000004</v>
      </c>
      <c r="Q6020">
        <v>1.035149E-2</v>
      </c>
      <c r="R6020">
        <v>0.73800310000000002</v>
      </c>
      <c r="S6020">
        <v>1.5693969999999999</v>
      </c>
      <c r="T6020">
        <v>-0.1029196</v>
      </c>
      <c r="U6020">
        <v>2.6364139999999998</v>
      </c>
      <c r="V6020">
        <v>-0.45574910000000002</v>
      </c>
      <c r="W6020">
        <v>1.342191E-2</v>
      </c>
      <c r="X6020">
        <v>0.89000709999999905</v>
      </c>
      <c r="Y6020">
        <v>-0.62563089999999999</v>
      </c>
      <c r="Z6020">
        <v>9.1580580000000002E-3</v>
      </c>
      <c r="AA6020">
        <v>0.78006549999999997</v>
      </c>
      <c r="AB6020">
        <v>31</v>
      </c>
      <c r="AC6020">
        <v>16.9146</v>
      </c>
      <c r="AD6020">
        <v>-1.118564372092</v>
      </c>
      <c r="AE6020">
        <v>28.594950000000001</v>
      </c>
      <c r="AF6020">
        <v>-20.847802046324301</v>
      </c>
      <c r="AG6020">
        <v>-1.118564372092</v>
      </c>
      <c r="AH6020">
        <v>25.819486525167001</v>
      </c>
      <c r="AI6020">
        <v>91.930505275141897</v>
      </c>
      <c r="AJ6020">
        <v>128.918949367983</v>
      </c>
      <c r="AK6020">
        <v>33.204335874107201</v>
      </c>
      <c r="AL6020">
        <v>89.230958123350007</v>
      </c>
      <c r="AM6020">
        <v>117.11578541812599</v>
      </c>
      <c r="AN6020">
        <v>1.0000000139346299</v>
      </c>
    </row>
    <row r="6021" spans="1:40" x14ac:dyDescent="0.25">
      <c r="A6021" t="str">
        <f>"20190305135944019"</f>
        <v>20190305135944019</v>
      </c>
      <c r="B6021" t="str">
        <f>"1551765584014752"</f>
        <v>1551765584014752</v>
      </c>
      <c r="C6021" t="s">
        <v>40</v>
      </c>
      <c r="D6021">
        <v>4.1036570000000001</v>
      </c>
      <c r="E6021">
        <v>0.4203654</v>
      </c>
      <c r="F6021" t="s">
        <v>42</v>
      </c>
      <c r="G6021">
        <v>-187.16069999999999</v>
      </c>
      <c r="H6021" s="1">
        <v>-4.7237229999999998E-6</v>
      </c>
      <c r="I6021">
        <v>-30.530090000000001</v>
      </c>
      <c r="J6021">
        <v>-204.2912</v>
      </c>
      <c r="K6021">
        <v>1.118609</v>
      </c>
      <c r="L6021">
        <v>-59.734529999999999</v>
      </c>
      <c r="M6021">
        <v>0.9347529</v>
      </c>
      <c r="N6021">
        <v>-1.4508439999999999E-2</v>
      </c>
      <c r="O6021">
        <v>0.35500209999999999</v>
      </c>
      <c r="P6021">
        <v>0.67006889999999997</v>
      </c>
      <c r="Q6021">
        <v>1.1582250000000001E-2</v>
      </c>
      <c r="R6021">
        <v>0.742208599999999</v>
      </c>
      <c r="S6021">
        <v>1.559204</v>
      </c>
      <c r="T6021">
        <v>-0.1009442</v>
      </c>
      <c r="U6021">
        <v>2.6409609999999999</v>
      </c>
      <c r="V6021">
        <v>-0.45637759999999999</v>
      </c>
      <c r="W6021">
        <v>1.46053E-2</v>
      </c>
      <c r="X6021">
        <v>0.88966630000000002</v>
      </c>
      <c r="Y6021">
        <v>-0.62410399999999999</v>
      </c>
      <c r="Z6021">
        <v>9.0008559999999998E-3</v>
      </c>
      <c r="AA6021">
        <v>0.78128949999999997</v>
      </c>
      <c r="AB6021">
        <v>31</v>
      </c>
      <c r="AC6021">
        <v>17.130500000000001</v>
      </c>
      <c r="AD6021">
        <v>-1.1186137237230001</v>
      </c>
      <c r="AE6021">
        <v>29.204440000000002</v>
      </c>
      <c r="AF6021">
        <v>-21.196668150953499</v>
      </c>
      <c r="AG6021">
        <v>-1.1186137237230001</v>
      </c>
      <c r="AH6021">
        <v>26.354432331619201</v>
      </c>
      <c r="AI6021">
        <v>91.894344800128195</v>
      </c>
      <c r="AJ6021">
        <v>128.80945384165901</v>
      </c>
      <c r="AK6021">
        <v>33.839416970249999</v>
      </c>
      <c r="AL6021">
        <v>89.1631481782549</v>
      </c>
      <c r="AM6021">
        <v>117.156742128819</v>
      </c>
      <c r="AN6021">
        <v>0.99999997696276899</v>
      </c>
    </row>
    <row r="6022" spans="1:40" x14ac:dyDescent="0.25">
      <c r="A6022" t="str">
        <f>"20190305135944033"</f>
        <v>20190305135944033</v>
      </c>
      <c r="B6022" t="str">
        <f>"1551765584024512"</f>
        <v>1551765584024512</v>
      </c>
      <c r="C6022" t="s">
        <v>40</v>
      </c>
      <c r="D6022">
        <v>4.0934619999999997</v>
      </c>
      <c r="E6022">
        <v>0.42085289999999997</v>
      </c>
      <c r="F6022" t="s">
        <v>42</v>
      </c>
      <c r="G6022">
        <v>-188.28389999999999</v>
      </c>
      <c r="H6022" s="1">
        <v>-3.710104E-6</v>
      </c>
      <c r="I6022">
        <v>-32.428469999999997</v>
      </c>
      <c r="J6022">
        <v>-204.12190000000001</v>
      </c>
      <c r="K6022">
        <v>1.1186739999999999</v>
      </c>
      <c r="L6022">
        <v>-59.663569999999901</v>
      </c>
      <c r="M6022">
        <v>0.93241700000000005</v>
      </c>
      <c r="N6022">
        <v>-1.452357E-2</v>
      </c>
      <c r="O6022">
        <v>0.36109249999999998</v>
      </c>
      <c r="P6022">
        <v>0.66518900000000003</v>
      </c>
      <c r="Q6022">
        <v>1.2588709999999999E-2</v>
      </c>
      <c r="R6022">
        <v>0.74656899999999904</v>
      </c>
      <c r="S6022">
        <v>1.5501100000000001</v>
      </c>
      <c r="T6022">
        <v>-0.1083239</v>
      </c>
      <c r="U6022">
        <v>2.6442570000000001</v>
      </c>
      <c r="V6022">
        <v>-0.45641510000000002</v>
      </c>
      <c r="W6022">
        <v>1.5563169999999999E-2</v>
      </c>
      <c r="X6022">
        <v>0.8896309</v>
      </c>
      <c r="Y6022">
        <v>-0.62139180000000005</v>
      </c>
      <c r="Z6022">
        <v>8.6866140000000005E-3</v>
      </c>
      <c r="AA6022">
        <v>0.78345189999999998</v>
      </c>
      <c r="AB6022">
        <v>31</v>
      </c>
      <c r="AC6022">
        <v>15.837999999999999</v>
      </c>
      <c r="AD6022">
        <v>-1.118677710104</v>
      </c>
      <c r="AE6022">
        <v>27.2350999999999</v>
      </c>
      <c r="AF6022">
        <v>-19.652782993861202</v>
      </c>
      <c r="AG6022">
        <v>-1.118677710104</v>
      </c>
      <c r="AH6022">
        <v>24.573621678313501</v>
      </c>
      <c r="AI6022">
        <v>92.036134014224601</v>
      </c>
      <c r="AJ6022">
        <v>128.65111439618201</v>
      </c>
      <c r="AK6022">
        <v>31.485650725556901</v>
      </c>
      <c r="AL6022">
        <v>89.108260084209405</v>
      </c>
      <c r="AM6022">
        <v>117.159579962029</v>
      </c>
      <c r="AN6022">
        <v>1.0000000470016299</v>
      </c>
    </row>
    <row r="6023" spans="1:40" x14ac:dyDescent="0.25">
      <c r="A6023" t="str">
        <f>"20190305135944052"</f>
        <v>20190305135944052</v>
      </c>
      <c r="B6023" t="str">
        <f>"1551765584045009"</f>
        <v>1551765584045009</v>
      </c>
      <c r="C6023" t="s">
        <v>40</v>
      </c>
      <c r="D6023">
        <v>4.0985959999999997</v>
      </c>
      <c r="E6023">
        <v>0.4217089</v>
      </c>
      <c r="F6023" t="s">
        <v>42</v>
      </c>
      <c r="G6023">
        <v>-187.64089999999999</v>
      </c>
      <c r="H6023" s="1">
        <v>-4.3509479999999998E-6</v>
      </c>
      <c r="I6023">
        <v>-31.200479999999999</v>
      </c>
      <c r="J6023">
        <v>-203.88489999999999</v>
      </c>
      <c r="K6023">
        <v>1.1187720000000001</v>
      </c>
      <c r="L6023">
        <v>-59.56223</v>
      </c>
      <c r="M6023">
        <v>0.92903559999999996</v>
      </c>
      <c r="N6023">
        <v>-1.454715E-2</v>
      </c>
      <c r="O6023">
        <v>0.36970449999999999</v>
      </c>
      <c r="P6023">
        <v>0.65892689999999998</v>
      </c>
      <c r="Q6023">
        <v>1.324932E-2</v>
      </c>
      <c r="R6023">
        <v>0.75209029999999999</v>
      </c>
      <c r="S6023">
        <v>1.535568</v>
      </c>
      <c r="T6023">
        <v>-0.10423</v>
      </c>
      <c r="U6023">
        <v>2.6519780000000002</v>
      </c>
      <c r="V6023">
        <v>-0.45562540000000001</v>
      </c>
      <c r="W6023">
        <v>1.616772E-2</v>
      </c>
      <c r="X6023">
        <v>0.89002479999999995</v>
      </c>
      <c r="Y6023">
        <v>-0.61837149999999996</v>
      </c>
      <c r="Z6023">
        <v>8.4286299999999995E-3</v>
      </c>
      <c r="AA6023">
        <v>0.78584069999999995</v>
      </c>
      <c r="AB6023">
        <v>31</v>
      </c>
      <c r="AC6023">
        <v>16.244</v>
      </c>
      <c r="AD6023">
        <v>-1.118776350948</v>
      </c>
      <c r="AE6023">
        <v>28.361750000000001</v>
      </c>
      <c r="AF6023">
        <v>-20.321935644728701</v>
      </c>
      <c r="AG6023">
        <v>-1.118776350948</v>
      </c>
      <c r="AH6023">
        <v>25.5494892798515</v>
      </c>
      <c r="AI6023">
        <v>91.962758139383396</v>
      </c>
      <c r="AJ6023">
        <v>128.498563589567</v>
      </c>
      <c r="AK6023">
        <v>32.6651057144039</v>
      </c>
      <c r="AL6023">
        <v>89.073617538814005</v>
      </c>
      <c r="AM6023">
        <v>117.109013817551</v>
      </c>
      <c r="AN6023">
        <v>1.00000002245509</v>
      </c>
    </row>
    <row r="6024" spans="1:40" x14ac:dyDescent="0.25">
      <c r="A6024" t="str">
        <f>"20190305135944076"</f>
        <v>20190305135944076</v>
      </c>
      <c r="B6024" t="str">
        <f>"1551765584064527"</f>
        <v>1551765584064527</v>
      </c>
      <c r="C6024" t="s">
        <v>40</v>
      </c>
      <c r="D6024">
        <v>4.054125</v>
      </c>
      <c r="E6024">
        <v>0.42257420000000001</v>
      </c>
      <c r="F6024" t="s">
        <v>42</v>
      </c>
      <c r="G6024">
        <v>-187.0104</v>
      </c>
      <c r="H6024" s="1">
        <v>-9.172458E-7</v>
      </c>
      <c r="I6024">
        <v>-29.994019999999999</v>
      </c>
      <c r="J6024">
        <v>-203.5907</v>
      </c>
      <c r="K6024">
        <v>1.1189169999999999</v>
      </c>
      <c r="L6024">
        <v>-59.43271</v>
      </c>
      <c r="M6024">
        <v>0.92463200000000001</v>
      </c>
      <c r="N6024">
        <v>-1.457979E-2</v>
      </c>
      <c r="O6024">
        <v>0.38058259999999999</v>
      </c>
      <c r="P6024">
        <v>0.65083590000000002</v>
      </c>
      <c r="Q6024">
        <v>1.3146100000000001E-2</v>
      </c>
      <c r="R6024">
        <v>0.75910459999999902</v>
      </c>
      <c r="S6024">
        <v>1.518295</v>
      </c>
      <c r="T6024">
        <v>-0.1006628</v>
      </c>
      <c r="U6024">
        <v>2.660431</v>
      </c>
      <c r="V6024">
        <v>-0.45471450000000002</v>
      </c>
      <c r="W6024">
        <v>1.5968420000000001E-2</v>
      </c>
      <c r="X6024">
        <v>0.89049409999999896</v>
      </c>
      <c r="Y6024">
        <v>-0.61408629999999997</v>
      </c>
      <c r="Z6024">
        <v>8.1015610000000002E-3</v>
      </c>
      <c r="AA6024">
        <v>0.78919729999999999</v>
      </c>
      <c r="AB6024">
        <v>31</v>
      </c>
      <c r="AC6024">
        <v>16.580299999999902</v>
      </c>
      <c r="AD6024">
        <v>-1.1189179172457999</v>
      </c>
      <c r="AE6024">
        <v>29.438690000000001</v>
      </c>
      <c r="AF6024">
        <v>-20.889093727142001</v>
      </c>
      <c r="AG6024">
        <v>-1.1189179172457999</v>
      </c>
      <c r="AH6024">
        <v>26.508276800357699</v>
      </c>
      <c r="AI6024">
        <v>91.898854828646193</v>
      </c>
      <c r="AJ6024">
        <v>128.238872132078</v>
      </c>
      <c r="AK6024">
        <v>33.7682536263166</v>
      </c>
      <c r="AL6024">
        <v>89.085038045428405</v>
      </c>
      <c r="AM6024">
        <v>117.050296338286</v>
      </c>
      <c r="AN6024">
        <v>1.0000000045411701</v>
      </c>
    </row>
    <row r="6025" spans="1:40" x14ac:dyDescent="0.25">
      <c r="A6025" t="str">
        <f>"20190305135944099"</f>
        <v>20190305135944099</v>
      </c>
      <c r="B6025" t="str">
        <f>"1551765584094784"</f>
        <v>1551765584094784</v>
      </c>
      <c r="C6025" t="s">
        <v>40</v>
      </c>
      <c r="D6025">
        <v>4.326416</v>
      </c>
      <c r="E6025">
        <v>0.47210039999999998</v>
      </c>
      <c r="F6025" t="s">
        <v>42</v>
      </c>
      <c r="G6025">
        <v>-186.78219999999999</v>
      </c>
      <c r="H6025" s="1">
        <v>-1.186392E-6</v>
      </c>
      <c r="I6025">
        <v>-29.381550000000001</v>
      </c>
      <c r="J6025">
        <v>-203.2998</v>
      </c>
      <c r="K6025">
        <v>1.1191040000000001</v>
      </c>
      <c r="L6025">
        <v>-59.300260000000002</v>
      </c>
      <c r="M6025">
        <v>0.92001670000000002</v>
      </c>
      <c r="N6025">
        <v>-1.461754E-2</v>
      </c>
      <c r="O6025">
        <v>0.39160620000000002</v>
      </c>
      <c r="P6025">
        <v>0.64280309999999996</v>
      </c>
      <c r="Q6025">
        <v>1.258271E-2</v>
      </c>
      <c r="R6025">
        <v>0.7659281</v>
      </c>
      <c r="S6025">
        <v>1.494659</v>
      </c>
      <c r="T6025">
        <v>-9.9497680000000005E-2</v>
      </c>
      <c r="U6025">
        <v>2.6722410000000001</v>
      </c>
      <c r="V6025">
        <v>-0.4534552</v>
      </c>
      <c r="W6025">
        <v>1.5289489999999999E-2</v>
      </c>
      <c r="X6025">
        <v>0.89114789999999899</v>
      </c>
      <c r="Y6025">
        <v>-0.61146160000000005</v>
      </c>
      <c r="Z6025">
        <v>7.7988850000000002E-3</v>
      </c>
      <c r="AA6025">
        <v>0.79123559999999904</v>
      </c>
      <c r="AB6025">
        <v>31</v>
      </c>
      <c r="AC6025">
        <v>16.517600000000002</v>
      </c>
      <c r="AD6025">
        <v>-1.1191051863920001</v>
      </c>
      <c r="AE6025">
        <v>29.918709999999901</v>
      </c>
      <c r="AF6025">
        <v>-21.0370123952606</v>
      </c>
      <c r="AG6025">
        <v>-1.1191051863920001</v>
      </c>
      <c r="AH6025">
        <v>26.886867752252002</v>
      </c>
      <c r="AI6025">
        <v>91.877541078530896</v>
      </c>
      <c r="AJ6025">
        <v>128.04058729058301</v>
      </c>
      <c r="AK6025">
        <v>34.157165345848597</v>
      </c>
      <c r="AL6025">
        <v>89.1239426027566</v>
      </c>
      <c r="AM6025">
        <v>116.96899140192301</v>
      </c>
      <c r="AN6025">
        <v>0.99999998329295403</v>
      </c>
    </row>
    <row r="6026" spans="1:40" x14ac:dyDescent="0.25">
      <c r="A6026" t="str">
        <f>"20190305135944119"</f>
        <v>20190305135944119</v>
      </c>
      <c r="B6026" t="str">
        <f>"1551765584115282"</f>
        <v>1551765584115282</v>
      </c>
      <c r="C6026" t="s">
        <v>40</v>
      </c>
      <c r="D6026">
        <v>4.1930889999999996</v>
      </c>
      <c r="E6026">
        <v>0.49089349999999998</v>
      </c>
      <c r="F6026" t="s">
        <v>41</v>
      </c>
      <c r="G6026">
        <v>-202.6412</v>
      </c>
      <c r="H6026">
        <v>1.0704849999999999</v>
      </c>
      <c r="I6026">
        <v>-58.3983699999999</v>
      </c>
      <c r="J6026">
        <v>-203.0565</v>
      </c>
      <c r="K6026">
        <v>1.1192799999999901</v>
      </c>
      <c r="L6026">
        <v>-59.18591</v>
      </c>
      <c r="M6026">
        <v>0.91592519999999999</v>
      </c>
      <c r="N6026">
        <v>-1.465487E-2</v>
      </c>
      <c r="O6026">
        <v>0.40108129999999997</v>
      </c>
      <c r="P6026">
        <v>0.63631939999999998</v>
      </c>
      <c r="Q6026">
        <v>1.186767E-2</v>
      </c>
      <c r="R6026">
        <v>0.77133439999999998</v>
      </c>
      <c r="S6026">
        <v>1.774475</v>
      </c>
      <c r="T6026">
        <v>-0.1309961</v>
      </c>
      <c r="U6026">
        <v>2.4297789999999999</v>
      </c>
      <c r="V6026">
        <v>-0.45177469999999997</v>
      </c>
      <c r="W6026">
        <v>1.447275E-2</v>
      </c>
      <c r="X6026">
        <v>0.89201469999999905</v>
      </c>
      <c r="Y6026">
        <v>-0.50274600000000003</v>
      </c>
      <c r="Z6026">
        <v>2.7930770000000001E-3</v>
      </c>
      <c r="AA6026">
        <v>0.86442969999999897</v>
      </c>
      <c r="AB6026">
        <v>31</v>
      </c>
      <c r="AC6026">
        <v>0.415300000000002</v>
      </c>
      <c r="AD6026">
        <v>-4.87949999999997E-2</v>
      </c>
      <c r="AE6026">
        <v>0.78754000000000701</v>
      </c>
      <c r="AF6026">
        <v>-0.55315678950831904</v>
      </c>
      <c r="AG6026">
        <v>-4.87949999999997E-2</v>
      </c>
      <c r="AH6026">
        <v>0.69424086066602897</v>
      </c>
      <c r="AI6026">
        <v>93.146378662306503</v>
      </c>
      <c r="AJ6026">
        <v>128.54711366313401</v>
      </c>
      <c r="AK6026">
        <v>0.88900717568670895</v>
      </c>
      <c r="AL6026">
        <v>89.170743582904393</v>
      </c>
      <c r="AM6026">
        <v>116.860642264239</v>
      </c>
      <c r="AN6026">
        <v>1.0000000325343701</v>
      </c>
    </row>
    <row r="6027" spans="1:40" x14ac:dyDescent="0.25">
      <c r="A6027" t="str">
        <f>"20190305135944132"</f>
        <v>20190305135944132</v>
      </c>
      <c r="B6027" t="str">
        <f>"1551765584125040"</f>
        <v>1551765584125040</v>
      </c>
      <c r="C6027" t="s">
        <v>40</v>
      </c>
      <c r="D6027">
        <v>4.2613269999999996</v>
      </c>
      <c r="E6027">
        <v>0.49367</v>
      </c>
      <c r="F6027" t="s">
        <v>41</v>
      </c>
      <c r="G6027">
        <v>-202.37020000000001</v>
      </c>
      <c r="H6027">
        <v>1.0700369999999999</v>
      </c>
      <c r="I6027">
        <v>-58.324249999999999</v>
      </c>
      <c r="J6027">
        <v>-202.87200000000001</v>
      </c>
      <c r="K6027">
        <v>1.119418</v>
      </c>
      <c r="L6027">
        <v>-59.096620000000001</v>
      </c>
      <c r="M6027">
        <v>0.91267089999999995</v>
      </c>
      <c r="N6027">
        <v>-1.468707E-2</v>
      </c>
      <c r="O6027">
        <v>0.4084313</v>
      </c>
      <c r="P6027">
        <v>0.63100290000000003</v>
      </c>
      <c r="Q6027">
        <v>1.1663720000000001E-2</v>
      </c>
      <c r="R6027">
        <v>0.77569279999999996</v>
      </c>
      <c r="S6027">
        <v>1.8703460000000001</v>
      </c>
      <c r="T6027">
        <v>-0.1341965</v>
      </c>
      <c r="U6027">
        <v>2.3484799999999999</v>
      </c>
      <c r="V6027">
        <v>-0.45073750000000001</v>
      </c>
      <c r="W6027">
        <v>1.4185730000000001E-2</v>
      </c>
      <c r="X6027">
        <v>0.8925438</v>
      </c>
      <c r="Y6027">
        <v>-0.4591363</v>
      </c>
      <c r="Z6027">
        <v>9.2606250000000002E-4</v>
      </c>
      <c r="AA6027">
        <v>0.88836539999999997</v>
      </c>
      <c r="AB6027">
        <v>31</v>
      </c>
      <c r="AC6027">
        <v>0.50180000000000202</v>
      </c>
      <c r="AD6027">
        <v>-4.9380999999999897E-2</v>
      </c>
      <c r="AE6027">
        <v>0.772369999999995</v>
      </c>
      <c r="AF6027">
        <v>-0.49858960436077698</v>
      </c>
      <c r="AG6027">
        <v>-4.9380999999999897E-2</v>
      </c>
      <c r="AH6027">
        <v>0.77130476719374497</v>
      </c>
      <c r="AI6027">
        <v>93.077664767759799</v>
      </c>
      <c r="AJ6027">
        <v>122.879581013932</v>
      </c>
      <c r="AK6027">
        <v>0.91975057522865</v>
      </c>
      <c r="AL6027">
        <v>89.187190264452397</v>
      </c>
      <c r="AM6027">
        <v>116.793922990092</v>
      </c>
      <c r="AN6027">
        <v>0.99999998188016104</v>
      </c>
    </row>
    <row r="6028" spans="1:40" x14ac:dyDescent="0.25">
      <c r="A6028" t="str">
        <f>"20190305135944152"</f>
        <v>20190305135944152</v>
      </c>
      <c r="B6028" t="str">
        <f>"1551765584144560"</f>
        <v>1551765584144560</v>
      </c>
      <c r="C6028" t="s">
        <v>40</v>
      </c>
      <c r="D6028">
        <v>4.2368209999999999</v>
      </c>
      <c r="E6028">
        <v>0.49713289999999999</v>
      </c>
      <c r="F6028" t="s">
        <v>41</v>
      </c>
      <c r="G6028">
        <v>-202.2801</v>
      </c>
      <c r="H6028">
        <v>1.069258</v>
      </c>
      <c r="I6028">
        <v>-58.355780000000003</v>
      </c>
      <c r="J6028">
        <v>-202.6507</v>
      </c>
      <c r="K6028">
        <v>1.1195889999999999</v>
      </c>
      <c r="L6028">
        <v>-58.987209999999997</v>
      </c>
      <c r="M6028">
        <v>0.90860410000000003</v>
      </c>
      <c r="N6028">
        <v>-1.4725139999999999E-2</v>
      </c>
      <c r="O6028">
        <v>0.41739900000000002</v>
      </c>
      <c r="P6028">
        <v>0.62566379999999999</v>
      </c>
      <c r="Q6028">
        <v>1.091072E-2</v>
      </c>
      <c r="R6028">
        <v>0.7800165</v>
      </c>
      <c r="S6028">
        <v>1.8737790000000001</v>
      </c>
      <c r="T6028">
        <v>-0.15878800000000001</v>
      </c>
      <c r="U6028">
        <v>2.3456419999999998</v>
      </c>
      <c r="V6028">
        <v>-0.44807069999999999</v>
      </c>
      <c r="W6028">
        <v>1.3374230000000001E-2</v>
      </c>
      <c r="X6028">
        <v>0.89389810000000003</v>
      </c>
      <c r="Y6028">
        <v>-0.44897809999999999</v>
      </c>
      <c r="Z6028">
        <v>-1.3547310000000001E-3</v>
      </c>
      <c r="AA6028">
        <v>0.89354179999999905</v>
      </c>
      <c r="AB6028">
        <v>31</v>
      </c>
      <c r="AC6028">
        <v>0.37059999999999599</v>
      </c>
      <c r="AD6028">
        <v>-5.0330999999999897E-2</v>
      </c>
      <c r="AE6028">
        <v>0.63142999999999405</v>
      </c>
      <c r="AF6028">
        <v>-0.417106096068737</v>
      </c>
      <c r="AG6028">
        <v>-5.0330999999999897E-2</v>
      </c>
      <c r="AH6028">
        <v>0.59752822451962895</v>
      </c>
      <c r="AI6028">
        <v>93.951068968094702</v>
      </c>
      <c r="AJ6028">
        <v>124.917065004943</v>
      </c>
      <c r="AK6028">
        <v>0.73044553803571299</v>
      </c>
      <c r="AL6028">
        <v>89.233690234197894</v>
      </c>
      <c r="AM6028">
        <v>116.62253741610699</v>
      </c>
      <c r="AN6028">
        <v>1.0000000177050901</v>
      </c>
    </row>
    <row r="6029" spans="1:40" x14ac:dyDescent="0.25">
      <c r="A6029" t="str">
        <f>"20190305135944165"</f>
        <v>20190305135944165</v>
      </c>
      <c r="B6029" t="str">
        <f>"1551765584155296"</f>
        <v>1551765584155296</v>
      </c>
      <c r="C6029" t="s">
        <v>40</v>
      </c>
      <c r="D6029">
        <v>4.2397220000000004</v>
      </c>
      <c r="E6029">
        <v>0.49769279999999999</v>
      </c>
      <c r="F6029" t="s">
        <v>41</v>
      </c>
      <c r="G6029">
        <v>-202.036</v>
      </c>
      <c r="H6029">
        <v>1.0636840000000001</v>
      </c>
      <c r="I6029">
        <v>-58.221910000000001</v>
      </c>
      <c r="J6029">
        <v>-202.4974</v>
      </c>
      <c r="K6029">
        <v>1.119713</v>
      </c>
      <c r="L6029">
        <v>-58.909759999999999</v>
      </c>
      <c r="M6029">
        <v>0.90566500000000005</v>
      </c>
      <c r="N6029">
        <v>-1.475224E-2</v>
      </c>
      <c r="O6029">
        <v>0.42373729999999998</v>
      </c>
      <c r="P6029">
        <v>0.62140119999999999</v>
      </c>
      <c r="Q6029">
        <v>1.0277949999999999E-2</v>
      </c>
      <c r="R6029">
        <v>0.78342519999999904</v>
      </c>
      <c r="S6029">
        <v>1.88002</v>
      </c>
      <c r="T6029">
        <v>-0.17097689999999999</v>
      </c>
      <c r="U6029">
        <v>2.3404850000000001</v>
      </c>
      <c r="V6029">
        <v>-0.44669579999999998</v>
      </c>
      <c r="W6029">
        <v>1.267859E-2</v>
      </c>
      <c r="X6029">
        <v>0.89459599999999995</v>
      </c>
      <c r="Y6029">
        <v>-0.44028610000000001</v>
      </c>
      <c r="Z6029">
        <v>-2.8058100000000002E-3</v>
      </c>
      <c r="AA6029">
        <v>0.89785309999999896</v>
      </c>
      <c r="AB6029">
        <v>31</v>
      </c>
      <c r="AC6029">
        <v>0.46140000000002601</v>
      </c>
      <c r="AD6029">
        <v>-5.6028999999999801E-2</v>
      </c>
      <c r="AE6029">
        <v>0.68784999999999696</v>
      </c>
      <c r="AF6029">
        <v>-0.42554849427874702</v>
      </c>
      <c r="AG6029">
        <v>-5.6028999999999801E-2</v>
      </c>
      <c r="AH6029">
        <v>0.70618722575314596</v>
      </c>
      <c r="AI6029">
        <v>93.887588792478297</v>
      </c>
      <c r="AJ6029">
        <v>121.07317123567</v>
      </c>
      <c r="AK6029">
        <v>0.82639649541901705</v>
      </c>
      <c r="AL6029">
        <v>89.2735507987299</v>
      </c>
      <c r="AM6029">
        <v>116.534187808097</v>
      </c>
      <c r="AN6029">
        <v>0.99999994379901203</v>
      </c>
    </row>
    <row r="6030" spans="1:40" x14ac:dyDescent="0.25">
      <c r="A6030" t="str">
        <f>"20190305135944176"</f>
        <v>20190305135944176</v>
      </c>
      <c r="B6030" t="str">
        <f>"1551765584165057"</f>
        <v>1551765584165057</v>
      </c>
      <c r="C6030" t="s">
        <v>40</v>
      </c>
      <c r="D6030">
        <v>4.2140219999999999</v>
      </c>
      <c r="E6030">
        <v>0.49799330000000003</v>
      </c>
      <c r="F6030" t="s">
        <v>41</v>
      </c>
      <c r="G6030">
        <v>-201.86689999999999</v>
      </c>
      <c r="H6030">
        <v>1.0591120000000001</v>
      </c>
      <c r="I6030">
        <v>-58.11909</v>
      </c>
      <c r="J6030">
        <v>-202.3536</v>
      </c>
      <c r="K6030">
        <v>1.1198330000000001</v>
      </c>
      <c r="L6030">
        <v>-58.836030000000001</v>
      </c>
      <c r="M6030">
        <v>0.90282019999999996</v>
      </c>
      <c r="N6030">
        <v>-1.477784E-2</v>
      </c>
      <c r="O6030">
        <v>0.42976429999999999</v>
      </c>
      <c r="P6030">
        <v>0.617456</v>
      </c>
      <c r="Q6030">
        <v>1.0190080000000001E-2</v>
      </c>
      <c r="R6030">
        <v>0.7865394</v>
      </c>
      <c r="S6030">
        <v>1.8713070000000001</v>
      </c>
      <c r="T6030">
        <v>-0.17988029999999999</v>
      </c>
      <c r="U6030">
        <v>2.3474430000000002</v>
      </c>
      <c r="V6030">
        <v>-0.4452315</v>
      </c>
      <c r="W6030">
        <v>1.2530299999999999E-2</v>
      </c>
      <c r="X6030">
        <v>0.89532780000000001</v>
      </c>
      <c r="Y6030">
        <v>-0.43761729999999999</v>
      </c>
      <c r="Z6030">
        <v>-3.8482400000000002E-3</v>
      </c>
      <c r="AA6030">
        <v>0.89915309999999904</v>
      </c>
      <c r="AB6030">
        <v>31</v>
      </c>
      <c r="AC6030">
        <v>0.48670000000001301</v>
      </c>
      <c r="AD6030">
        <v>-6.0720999999999997E-2</v>
      </c>
      <c r="AE6030">
        <v>0.71694000000000802</v>
      </c>
      <c r="AF6030">
        <v>-0.43600853370734999</v>
      </c>
      <c r="AG6030">
        <v>-6.0720999999999997E-2</v>
      </c>
      <c r="AH6030">
        <v>0.74394643111168002</v>
      </c>
      <c r="AI6030">
        <v>94.027980117144196</v>
      </c>
      <c r="AJ6030">
        <v>120.37350872140701</v>
      </c>
      <c r="AK6030">
        <v>0.86443436631732795</v>
      </c>
      <c r="AL6030">
        <v>89.282047893671404</v>
      </c>
      <c r="AM6030">
        <v>116.440388322529</v>
      </c>
      <c r="AN6030">
        <v>0.99999998323158901</v>
      </c>
    </row>
    <row r="6031" spans="1:40" x14ac:dyDescent="0.25">
      <c r="A6031" t="str">
        <f>"20190305135944189"</f>
        <v>20190305135944189</v>
      </c>
      <c r="B6031" t="str">
        <f>"1551765584184576"</f>
        <v>1551765584184576</v>
      </c>
      <c r="C6031" t="s">
        <v>40</v>
      </c>
      <c r="D6031">
        <v>4.1385959999999997</v>
      </c>
      <c r="E6031">
        <v>0.4989384</v>
      </c>
      <c r="F6031" t="s">
        <v>82</v>
      </c>
      <c r="G6031">
        <v>-191.2619</v>
      </c>
      <c r="H6031" s="1">
        <v>-4.3320059999999999E-6</v>
      </c>
      <c r="I6031">
        <v>-44.810169999999999</v>
      </c>
      <c r="J6031">
        <v>-202.20830000000001</v>
      </c>
      <c r="K6031">
        <v>1.119964</v>
      </c>
      <c r="L6031">
        <v>-58.759549999999997</v>
      </c>
      <c r="M6031">
        <v>0.89981749999999905</v>
      </c>
      <c r="N6031">
        <v>-1.480948E-2</v>
      </c>
      <c r="O6031">
        <v>0.43601509999999999</v>
      </c>
      <c r="P6031">
        <v>0.61294469999999901</v>
      </c>
      <c r="Q6031">
        <v>9.9524650000000006E-3</v>
      </c>
      <c r="R6031">
        <v>0.79006319999999997</v>
      </c>
      <c r="S6031">
        <v>1.862152</v>
      </c>
      <c r="T6031">
        <v>-0.1880066</v>
      </c>
      <c r="U6031">
        <v>2.3547669999999998</v>
      </c>
      <c r="V6031">
        <v>-0.44414769999999998</v>
      </c>
      <c r="W6031">
        <v>1.2213699999999999E-2</v>
      </c>
      <c r="X6031">
        <v>0.89587030000000001</v>
      </c>
      <c r="Y6031">
        <v>-0.4348785</v>
      </c>
      <c r="Z6031">
        <v>-4.8901600000000002E-3</v>
      </c>
      <c r="AA6031">
        <v>0.9004759</v>
      </c>
      <c r="AB6031">
        <v>31</v>
      </c>
      <c r="AC6031">
        <v>10.946400000000001</v>
      </c>
      <c r="AD6031">
        <v>-1.1199683320060001</v>
      </c>
      <c r="AE6031">
        <v>13.9493799999999</v>
      </c>
      <c r="AF6031">
        <v>-7.7490389990291701</v>
      </c>
      <c r="AG6031">
        <v>-1.1199683320060001</v>
      </c>
      <c r="AH6031">
        <v>15.870335368958299</v>
      </c>
      <c r="AI6031">
        <v>93.628515630162099</v>
      </c>
      <c r="AJ6031">
        <v>116.024957450268</v>
      </c>
      <c r="AK6031">
        <v>17.696595130035</v>
      </c>
      <c r="AL6031">
        <v>89.3001891199509</v>
      </c>
      <c r="AM6031">
        <v>116.37094123886099</v>
      </c>
      <c r="AN6031">
        <v>0.99999997415253405</v>
      </c>
    </row>
    <row r="6032" spans="1:40" x14ac:dyDescent="0.25">
      <c r="A6032" t="str">
        <f>"20190305135944207"</f>
        <v>20190305135944207</v>
      </c>
      <c r="B6032" t="str">
        <f>"1551765584195312"</f>
        <v>1551765584195312</v>
      </c>
      <c r="C6032" t="s">
        <v>40</v>
      </c>
      <c r="D6032">
        <v>4.1900180000000002</v>
      </c>
      <c r="E6032">
        <v>0.49949120000000002</v>
      </c>
      <c r="F6032" t="s">
        <v>41</v>
      </c>
      <c r="G6032">
        <v>-201.59190000000001</v>
      </c>
      <c r="H6032">
        <v>1.058503</v>
      </c>
      <c r="I6032">
        <v>-57.974760000000003</v>
      </c>
      <c r="J6032">
        <v>-201.99260000000001</v>
      </c>
      <c r="K6032">
        <v>1.120182</v>
      </c>
      <c r="L6032">
        <v>-58.643979999999999</v>
      </c>
      <c r="M6032">
        <v>0.89517999999999998</v>
      </c>
      <c r="N6032">
        <v>-1.485991E-2</v>
      </c>
      <c r="O6032">
        <v>0.4454572</v>
      </c>
      <c r="P6032">
        <v>0.60679939999999999</v>
      </c>
      <c r="Q6032">
        <v>9.8432970000000009E-3</v>
      </c>
      <c r="R6032">
        <v>0.79479419999999901</v>
      </c>
      <c r="S6032">
        <v>1.8542019999999999</v>
      </c>
      <c r="T6032">
        <v>-0.1848813</v>
      </c>
      <c r="U6032">
        <v>2.3609619999999998</v>
      </c>
      <c r="V6032">
        <v>-0.44167459999999997</v>
      </c>
      <c r="W6032">
        <v>1.2006299999999999E-2</v>
      </c>
      <c r="X6032">
        <v>0.89709499999999998</v>
      </c>
      <c r="Y6032">
        <v>-0.42844979999999999</v>
      </c>
      <c r="Z6032">
        <v>-5.3971189999999997E-3</v>
      </c>
      <c r="AA6032">
        <v>0.90354939999999995</v>
      </c>
      <c r="AB6032">
        <v>31</v>
      </c>
      <c r="AC6032">
        <v>0.4007</v>
      </c>
      <c r="AD6032">
        <v>-6.1678999999999998E-2</v>
      </c>
      <c r="AE6032">
        <v>0.66922000000000903</v>
      </c>
      <c r="AF6032">
        <v>-0.41801033523730802</v>
      </c>
      <c r="AG6032">
        <v>-6.1678999999999998E-2</v>
      </c>
      <c r="AH6032">
        <v>0.65279815571528299</v>
      </c>
      <c r="AI6032">
        <v>94.549385545219707</v>
      </c>
      <c r="AJ6032">
        <v>122.63290924253999</v>
      </c>
      <c r="AK6032">
        <v>0.77761325317376295</v>
      </c>
      <c r="AL6032">
        <v>89.312073168808595</v>
      </c>
      <c r="AM6032">
        <v>116.21280873638101</v>
      </c>
      <c r="AN6032">
        <v>1.00000002127492</v>
      </c>
    </row>
    <row r="6033" spans="1:40" x14ac:dyDescent="0.25">
      <c r="A6033" t="str">
        <f>"20190305135944219"</f>
        <v>20190305135944219</v>
      </c>
      <c r="B6033" t="str">
        <f>"1551765584214832"</f>
        <v>1551765584214832</v>
      </c>
      <c r="C6033" t="s">
        <v>40</v>
      </c>
      <c r="D6033">
        <v>4.2764670000000002</v>
      </c>
      <c r="E6033">
        <v>0.50122120000000003</v>
      </c>
      <c r="F6033" t="s">
        <v>41</v>
      </c>
      <c r="G6033">
        <v>-201.37889999999999</v>
      </c>
      <c r="H6033">
        <v>1.059766</v>
      </c>
      <c r="I6033">
        <v>-57.852200000000003</v>
      </c>
      <c r="J6033">
        <v>-201.84780000000001</v>
      </c>
      <c r="K6033">
        <v>1.1203379999999901</v>
      </c>
      <c r="L6033">
        <v>-58.564970000000002</v>
      </c>
      <c r="M6033">
        <v>0.89194269999999998</v>
      </c>
      <c r="N6033">
        <v>-1.489565E-2</v>
      </c>
      <c r="O6033">
        <v>0.4519032</v>
      </c>
      <c r="P6033">
        <v>0.60193149999999995</v>
      </c>
      <c r="Q6033">
        <v>1.033189E-2</v>
      </c>
      <c r="R6033">
        <v>0.79848090000000005</v>
      </c>
      <c r="S6033">
        <v>1.8387150000000001</v>
      </c>
      <c r="T6033">
        <v>-0.1810399</v>
      </c>
      <c r="U6033">
        <v>2.3730159999999998</v>
      </c>
      <c r="V6033">
        <v>-0.44069639999999999</v>
      </c>
      <c r="W6033">
        <v>1.240205E-2</v>
      </c>
      <c r="X6033">
        <v>0.89757049999999905</v>
      </c>
      <c r="Y6033">
        <v>-0.42785600000000001</v>
      </c>
      <c r="Z6033">
        <v>-5.4330139999999999E-3</v>
      </c>
      <c r="AA6033">
        <v>0.90383060000000004</v>
      </c>
      <c r="AB6033">
        <v>31</v>
      </c>
      <c r="AC6033">
        <v>0.46890000000001902</v>
      </c>
      <c r="AD6033">
        <v>-6.05719999999998E-2</v>
      </c>
      <c r="AE6033">
        <v>0.71276999999999102</v>
      </c>
      <c r="AF6033">
        <v>-0.42177366486481699</v>
      </c>
      <c r="AG6033">
        <v>-6.05719999999998E-2</v>
      </c>
      <c r="AH6033">
        <v>0.73670376210729405</v>
      </c>
      <c r="AI6033">
        <v>94.081354480009495</v>
      </c>
      <c r="AJ6033">
        <v>119.79176762204899</v>
      </c>
      <c r="AK6033">
        <v>0.85105488933472395</v>
      </c>
      <c r="AL6033">
        <v>89.289396635708897</v>
      </c>
      <c r="AM6033">
        <v>116.150487149867</v>
      </c>
      <c r="AN6033">
        <v>0.99999996514370504</v>
      </c>
    </row>
    <row r="6034" spans="1:40" x14ac:dyDescent="0.25">
      <c r="A6034" t="str">
        <f>"20190305135944233"</f>
        <v>20190305135944233</v>
      </c>
      <c r="B6034" t="str">
        <f>"1551765584224592"</f>
        <v>1551765584224592</v>
      </c>
      <c r="C6034" t="s">
        <v>40</v>
      </c>
      <c r="D6034">
        <v>4.2594070000000004</v>
      </c>
      <c r="E6034">
        <v>0.50132100000000002</v>
      </c>
      <c r="F6034" t="s">
        <v>41</v>
      </c>
      <c r="G6034">
        <v>-201.18809999999999</v>
      </c>
      <c r="H6034">
        <v>1.057137</v>
      </c>
      <c r="I6034">
        <v>-57.710380000000001</v>
      </c>
      <c r="J6034">
        <v>-201.6902</v>
      </c>
      <c r="K6034">
        <v>1.1205069999999999</v>
      </c>
      <c r="L6034">
        <v>-58.476559999999999</v>
      </c>
      <c r="M6034">
        <v>0.88825279999999995</v>
      </c>
      <c r="N6034">
        <v>-1.493893E-2</v>
      </c>
      <c r="O6034">
        <v>0.45911200000000002</v>
      </c>
      <c r="P6034">
        <v>0.59661419999999998</v>
      </c>
      <c r="Q6034">
        <v>1.0629059999999999E-2</v>
      </c>
      <c r="R6034">
        <v>0.8024578</v>
      </c>
      <c r="S6034">
        <v>1.8347169999999999</v>
      </c>
      <c r="T6034">
        <v>-0.175759</v>
      </c>
      <c r="U6034">
        <v>2.376312</v>
      </c>
      <c r="V6034">
        <v>-0.4393994</v>
      </c>
      <c r="W6034">
        <v>1.260469E-2</v>
      </c>
      <c r="X6034">
        <v>0.89820339999999999</v>
      </c>
      <c r="Y6034">
        <v>-0.42211779999999999</v>
      </c>
      <c r="Z6034">
        <v>-5.5546789999999999E-3</v>
      </c>
      <c r="AA6034">
        <v>0.906524</v>
      </c>
      <c r="AB6034">
        <v>31</v>
      </c>
      <c r="AC6034">
        <v>0.50210000000001198</v>
      </c>
      <c r="AD6034">
        <v>-6.3369999999999899E-2</v>
      </c>
      <c r="AE6034">
        <v>0.76617999999999098</v>
      </c>
      <c r="AF6034">
        <v>-0.44794792097953201</v>
      </c>
      <c r="AG6034">
        <v>-6.3369999999999899E-2</v>
      </c>
      <c r="AH6034">
        <v>0.79404322063300004</v>
      </c>
      <c r="AI6034">
        <v>93.976175410420396</v>
      </c>
      <c r="AJ6034">
        <v>119.42888528993799</v>
      </c>
      <c r="AK6034">
        <v>0.91388059014463896</v>
      </c>
      <c r="AL6034">
        <v>89.277785357238201</v>
      </c>
      <c r="AM6034">
        <v>116.067792618268</v>
      </c>
      <c r="AN6034">
        <v>1.0000000293509499</v>
      </c>
    </row>
    <row r="6035" spans="1:40" x14ac:dyDescent="0.25">
      <c r="A6035" t="str">
        <f>"20190305135944254"</f>
        <v>20190305135944254</v>
      </c>
      <c r="B6035" t="str">
        <f>"1551765584245088"</f>
        <v>1551765584245088</v>
      </c>
      <c r="C6035" t="s">
        <v>40</v>
      </c>
      <c r="D6035">
        <v>4.1723710000000001</v>
      </c>
      <c r="E6035">
        <v>0.50172329999999998</v>
      </c>
      <c r="F6035" t="s">
        <v>82</v>
      </c>
      <c r="G6035">
        <v>-190.02250000000001</v>
      </c>
      <c r="H6035" s="1">
        <v>-4.8798399999999997E-6</v>
      </c>
      <c r="I6035">
        <v>-43.160449999999997</v>
      </c>
      <c r="J6035">
        <v>-201.4419</v>
      </c>
      <c r="K6035">
        <v>1.1207670000000001</v>
      </c>
      <c r="L6035">
        <v>-58.334110000000003</v>
      </c>
      <c r="M6035">
        <v>0.88216819999999896</v>
      </c>
      <c r="N6035">
        <v>-1.5007990000000001E-2</v>
      </c>
      <c r="O6035">
        <v>0.47069529999999898</v>
      </c>
      <c r="P6035">
        <v>0.588391199999999</v>
      </c>
      <c r="Q6035">
        <v>1.027555E-2</v>
      </c>
      <c r="R6035">
        <v>0.80851110000000004</v>
      </c>
      <c r="S6035">
        <v>1.819321</v>
      </c>
      <c r="T6035">
        <v>-0.1747195</v>
      </c>
      <c r="U6035">
        <v>2.3882140000000001</v>
      </c>
      <c r="V6035">
        <v>-0.43681789999999998</v>
      </c>
      <c r="W6035">
        <v>1.211834E-2</v>
      </c>
      <c r="X6035">
        <v>0.8994683</v>
      </c>
      <c r="Y6035">
        <v>-0.4161455</v>
      </c>
      <c r="Z6035">
        <v>-6.2391510000000001E-3</v>
      </c>
      <c r="AA6035">
        <v>0.90927659999999999</v>
      </c>
      <c r="AB6035">
        <v>31</v>
      </c>
      <c r="AC6035">
        <v>11.4193999999999</v>
      </c>
      <c r="AD6035">
        <v>-1.1207718798399999</v>
      </c>
      <c r="AE6035">
        <v>15.1736599999999</v>
      </c>
      <c r="AF6035">
        <v>-7.9837569054563504</v>
      </c>
      <c r="AG6035">
        <v>-1.1207718798399999</v>
      </c>
      <c r="AH6035">
        <v>17.158178380641999</v>
      </c>
      <c r="AI6035">
        <v>93.389256028152701</v>
      </c>
      <c r="AJ6035">
        <v>114.952713995484</v>
      </c>
      <c r="AK6035">
        <v>18.9578371465205</v>
      </c>
      <c r="AL6035">
        <v>89.305653252217894</v>
      </c>
      <c r="AM6035">
        <v>115.903070013723</v>
      </c>
      <c r="AN6035">
        <v>0.99999997731482704</v>
      </c>
    </row>
    <row r="6036" spans="1:40" x14ac:dyDescent="0.25">
      <c r="A6036" t="str">
        <f>"20190305135944269"</f>
        <v>20190305135944269</v>
      </c>
      <c r="B6036" t="str">
        <f>"1551765584264609"</f>
        <v>1551765584264609</v>
      </c>
      <c r="C6036" t="s">
        <v>40</v>
      </c>
      <c r="D6036">
        <v>4.1915579999999997</v>
      </c>
      <c r="E6036">
        <v>0.50244739999999999</v>
      </c>
      <c r="F6036" t="s">
        <v>82</v>
      </c>
      <c r="G6036">
        <v>-189.84690000000001</v>
      </c>
      <c r="H6036" s="1">
        <v>-6.8988459999999999E-6</v>
      </c>
      <c r="I6036">
        <v>-42.810609999999997</v>
      </c>
      <c r="J6036">
        <v>-201.26849999999999</v>
      </c>
      <c r="K6036">
        <v>1.1209519999999999</v>
      </c>
      <c r="L6036">
        <v>-58.231569999999998</v>
      </c>
      <c r="M6036">
        <v>0.87767580000000001</v>
      </c>
      <c r="N6036">
        <v>-1.5058439999999999E-2</v>
      </c>
      <c r="O6036">
        <v>0.47901830000000001</v>
      </c>
      <c r="P6036">
        <v>0.58177730000000005</v>
      </c>
      <c r="Q6036">
        <v>9.2320979999999993E-3</v>
      </c>
      <c r="R6036">
        <v>0.81329569999999995</v>
      </c>
      <c r="S6036">
        <v>1.79657</v>
      </c>
      <c r="T6036">
        <v>-0.17365729999999999</v>
      </c>
      <c r="U6036">
        <v>2.4052730000000002</v>
      </c>
      <c r="V6036">
        <v>-0.43563580000000002</v>
      </c>
      <c r="W6036">
        <v>1.095923E-2</v>
      </c>
      <c r="X6036">
        <v>0.90005630000000003</v>
      </c>
      <c r="Y6036">
        <v>-0.41616540000000002</v>
      </c>
      <c r="Z6036">
        <v>-6.5342050000000004E-3</v>
      </c>
      <c r="AA6036">
        <v>0.90926549999999995</v>
      </c>
      <c r="AB6036">
        <v>31</v>
      </c>
      <c r="AC6036">
        <v>11.4215999999999</v>
      </c>
      <c r="AD6036">
        <v>-1.120958898846</v>
      </c>
      <c r="AE6036">
        <v>15.420959999999999</v>
      </c>
      <c r="AF6036">
        <v>-8.0369388574466996</v>
      </c>
      <c r="AG6036">
        <v>-1.120958898846</v>
      </c>
      <c r="AH6036">
        <v>17.354142855424801</v>
      </c>
      <c r="AI6036">
        <v>93.354427559827201</v>
      </c>
      <c r="AJ6036">
        <v>114.849494238486</v>
      </c>
      <c r="AK6036">
        <v>19.157641015994901</v>
      </c>
      <c r="AL6036">
        <v>89.372069803709394</v>
      </c>
      <c r="AM6036">
        <v>115.82742313809</v>
      </c>
      <c r="AN6036">
        <v>0.99999999906676096</v>
      </c>
    </row>
    <row r="6037" spans="1:40" x14ac:dyDescent="0.25">
      <c r="A6037" t="str">
        <f>"20190305135944287"</f>
        <v>20190305135944287</v>
      </c>
      <c r="B6037" t="str">
        <f>"1551765584275343"</f>
        <v>1551765584275343</v>
      </c>
      <c r="C6037" t="s">
        <v>40</v>
      </c>
      <c r="D6037">
        <v>4.1910550000000004</v>
      </c>
      <c r="E6037">
        <v>0.50269699999999995</v>
      </c>
      <c r="F6037" t="s">
        <v>82</v>
      </c>
      <c r="G6037">
        <v>-189.5949</v>
      </c>
      <c r="H6037" s="1">
        <v>-7.0123669999999997E-6</v>
      </c>
      <c r="I6037">
        <v>-42.386809999999997</v>
      </c>
      <c r="J6037">
        <v>-201.06899999999999</v>
      </c>
      <c r="K6037">
        <v>1.1211610000000001</v>
      </c>
      <c r="L6037">
        <v>-58.110810000000001</v>
      </c>
      <c r="M6037">
        <v>0.872266599999999</v>
      </c>
      <c r="N6037">
        <v>-1.511887E-2</v>
      </c>
      <c r="O6037">
        <v>0.48879699999999998</v>
      </c>
      <c r="P6037">
        <v>0.57429770000000002</v>
      </c>
      <c r="Q6037">
        <v>6.8370899999999997E-3</v>
      </c>
      <c r="R6037">
        <v>0.81861799999999996</v>
      </c>
      <c r="S6037">
        <v>1.78064</v>
      </c>
      <c r="T6037">
        <v>-0.1709869</v>
      </c>
      <c r="U6037">
        <v>2.4169010000000002</v>
      </c>
      <c r="V6037">
        <v>-0.43378840000000002</v>
      </c>
      <c r="W6037">
        <v>8.4459429999999992E-3</v>
      </c>
      <c r="X6037">
        <v>0.90097519999999998</v>
      </c>
      <c r="Y6037">
        <v>-0.41199229999999998</v>
      </c>
      <c r="Z6037">
        <v>-6.8836189999999997E-3</v>
      </c>
      <c r="AA6037">
        <v>0.91116129999999995</v>
      </c>
      <c r="AB6037">
        <v>31</v>
      </c>
      <c r="AC6037">
        <v>11.4741</v>
      </c>
      <c r="AD6037">
        <v>-1.121168012367</v>
      </c>
      <c r="AE6037">
        <v>15.724</v>
      </c>
      <c r="AF6037">
        <v>-8.0811310551336195</v>
      </c>
      <c r="AG6037">
        <v>-1.121168012367</v>
      </c>
      <c r="AH6037">
        <v>17.6378254841824</v>
      </c>
      <c r="AI6037">
        <v>93.307403401314801</v>
      </c>
      <c r="AJ6037">
        <v>114.61585357424499</v>
      </c>
      <c r="AK6037">
        <v>19.433336940748799</v>
      </c>
      <c r="AL6037">
        <v>89.516077363690599</v>
      </c>
      <c r="AM6037">
        <v>115.709206550457</v>
      </c>
      <c r="AN6037">
        <v>1.00000001047137</v>
      </c>
    </row>
    <row r="6038" spans="1:40" x14ac:dyDescent="0.25">
      <c r="A6038" t="str">
        <f>"20190305135944298"</f>
        <v>20190305135944298</v>
      </c>
      <c r="B6038" t="str">
        <f>"1551765584294864"</f>
        <v>1551765584294864</v>
      </c>
      <c r="C6038" t="s">
        <v>40</v>
      </c>
      <c r="D6038">
        <v>4.1809019999999997</v>
      </c>
      <c r="E6038">
        <v>0.50284740000000006</v>
      </c>
      <c r="F6038" t="s">
        <v>41</v>
      </c>
      <c r="G6038">
        <v>-200.4374</v>
      </c>
      <c r="H6038">
        <v>1.0580039999999999</v>
      </c>
      <c r="I6038">
        <v>-57.237699999999997</v>
      </c>
      <c r="J6038">
        <v>-200.93469999999999</v>
      </c>
      <c r="K6038">
        <v>1.1213029999999999</v>
      </c>
      <c r="L6038">
        <v>-58.028199999999998</v>
      </c>
      <c r="M6038">
        <v>0.86849270000000001</v>
      </c>
      <c r="N6038">
        <v>-1.516025E-2</v>
      </c>
      <c r="O6038">
        <v>0.49547020000000003</v>
      </c>
      <c r="P6038">
        <v>0.56867970000000001</v>
      </c>
      <c r="Q6038">
        <v>4.9679629999999997E-3</v>
      </c>
      <c r="R6038">
        <v>0.82254400000000005</v>
      </c>
      <c r="S6038">
        <v>1.7590479999999999</v>
      </c>
      <c r="T6038">
        <v>-0.17589759999999999</v>
      </c>
      <c r="U6038">
        <v>2.4321290000000002</v>
      </c>
      <c r="V6038">
        <v>-0.4330118</v>
      </c>
      <c r="W6038">
        <v>6.4799949999999997E-3</v>
      </c>
      <c r="X6038">
        <v>0.90136499999999997</v>
      </c>
      <c r="Y6038">
        <v>-0.41301789999999999</v>
      </c>
      <c r="Z6038">
        <v>-7.6607609999999899E-3</v>
      </c>
      <c r="AA6038">
        <v>0.91069069999999996</v>
      </c>
      <c r="AB6038">
        <v>31</v>
      </c>
      <c r="AC6038">
        <v>0.49729999999999502</v>
      </c>
      <c r="AD6038">
        <v>-6.3298999999999994E-2</v>
      </c>
      <c r="AE6038">
        <v>0.79050000000000098</v>
      </c>
      <c r="AF6038">
        <v>-0.43818375096297102</v>
      </c>
      <c r="AG6038">
        <v>-6.3298999999999994E-2</v>
      </c>
      <c r="AH6038">
        <v>0.81989871140311499</v>
      </c>
      <c r="AI6038">
        <v>93.895226952075603</v>
      </c>
      <c r="AJ6038">
        <v>118.121671295688</v>
      </c>
      <c r="AK6038">
        <v>0.93179700577404101</v>
      </c>
      <c r="AL6038">
        <v>89.628721050307405</v>
      </c>
      <c r="AM6038">
        <v>115.65942583678201</v>
      </c>
      <c r="AN6038">
        <v>1.0000000362497099</v>
      </c>
    </row>
    <row r="6039" spans="1:40" x14ac:dyDescent="0.25">
      <c r="A6039" t="str">
        <f>"20190305135944312"</f>
        <v>20190305135944312</v>
      </c>
      <c r="B6039" t="str">
        <f>"1551765584304625"</f>
        <v>1551765584304625</v>
      </c>
      <c r="C6039" t="s">
        <v>40</v>
      </c>
      <c r="D6039">
        <v>4.1758129999999998</v>
      </c>
      <c r="E6039">
        <v>0.50305940000000005</v>
      </c>
      <c r="F6039" t="s">
        <v>41</v>
      </c>
      <c r="G6039">
        <v>-200.3031</v>
      </c>
      <c r="H6039">
        <v>1.055661</v>
      </c>
      <c r="I6039">
        <v>-57.142749999999999</v>
      </c>
      <c r="J6039">
        <v>-200.77959999999999</v>
      </c>
      <c r="K6039">
        <v>1.121467</v>
      </c>
      <c r="L6039">
        <v>-57.929749999999999</v>
      </c>
      <c r="M6039">
        <v>0.86391569999999995</v>
      </c>
      <c r="N6039">
        <v>-1.5213849999999999E-2</v>
      </c>
      <c r="O6039">
        <v>0.50340669999999998</v>
      </c>
      <c r="P6039">
        <v>0.56186269999999905</v>
      </c>
      <c r="Q6039">
        <v>3.3041289999999998E-3</v>
      </c>
      <c r="R6039">
        <v>0.82722399999999996</v>
      </c>
      <c r="S6039">
        <v>1.7428589999999999</v>
      </c>
      <c r="T6039">
        <v>-0.18113219999999999</v>
      </c>
      <c r="U6039">
        <v>2.4433590000000001</v>
      </c>
      <c r="V6039">
        <v>-0.4321661</v>
      </c>
      <c r="W6039">
        <v>4.7080960000000002E-3</v>
      </c>
      <c r="X6039">
        <v>0.90178170000000002</v>
      </c>
      <c r="Y6039">
        <v>-0.41065049999999997</v>
      </c>
      <c r="Z6039">
        <v>-8.6826159999999902E-3</v>
      </c>
      <c r="AA6039">
        <v>0.91175150000000005</v>
      </c>
      <c r="AB6039">
        <v>30</v>
      </c>
      <c r="AC6039">
        <v>0.47649999999998699</v>
      </c>
      <c r="AD6039">
        <v>-6.5806000000000003E-2</v>
      </c>
      <c r="AE6039">
        <v>0.78699999999999803</v>
      </c>
      <c r="AF6039">
        <v>-0.43783921706760698</v>
      </c>
      <c r="AG6039">
        <v>-6.5806000000000003E-2</v>
      </c>
      <c r="AH6039">
        <v>0.80381790585267898</v>
      </c>
      <c r="AI6039">
        <v>94.112108221076696</v>
      </c>
      <c r="AJ6039">
        <v>118.577108177699</v>
      </c>
      <c r="AK6039">
        <v>0.91769103483022096</v>
      </c>
      <c r="AL6039">
        <v>89.7302449647988</v>
      </c>
      <c r="AM6039">
        <v>115.60541019631</v>
      </c>
      <c r="AN6039">
        <v>0.99999996930602197</v>
      </c>
    </row>
    <row r="6040" spans="1:40" x14ac:dyDescent="0.25">
      <c r="A6040" t="str">
        <f>"20190305135944330"</f>
        <v>20190305135944330</v>
      </c>
      <c r="B6040" t="str">
        <f>"1551765584325121"</f>
        <v>1551765584325121</v>
      </c>
      <c r="C6040" t="s">
        <v>40</v>
      </c>
      <c r="D6040">
        <v>4.1660649999999997</v>
      </c>
      <c r="E6040">
        <v>0.50335559999999901</v>
      </c>
      <c r="F6040" t="s">
        <v>82</v>
      </c>
      <c r="G6040">
        <v>-190.26490000000001</v>
      </c>
      <c r="H6040" s="1">
        <v>-5.0238680000000003E-6</v>
      </c>
      <c r="I6040">
        <v>-42.943899999999999</v>
      </c>
      <c r="J6040">
        <v>-200.57069999999999</v>
      </c>
      <c r="K6040">
        <v>1.1216809999999999</v>
      </c>
      <c r="L6040">
        <v>-57.794280000000001</v>
      </c>
      <c r="M6040">
        <v>0.85749200000000003</v>
      </c>
      <c r="N6040">
        <v>-1.52865E-2</v>
      </c>
      <c r="O6040">
        <v>0.51427020000000001</v>
      </c>
      <c r="P6040">
        <v>0.55250350000000004</v>
      </c>
      <c r="Q6040">
        <v>-1.9071590000000001E-3</v>
      </c>
      <c r="R6040">
        <v>0.83350840000000004</v>
      </c>
      <c r="S6040">
        <v>1.7236479999999901</v>
      </c>
      <c r="T6040">
        <v>-0.183841</v>
      </c>
      <c r="U6040">
        <v>2.456604</v>
      </c>
      <c r="V6040">
        <v>-0.43080469999999998</v>
      </c>
      <c r="W6040">
        <v>-6.3877179999999995E-4</v>
      </c>
      <c r="X6040">
        <v>0.90244500000000005</v>
      </c>
      <c r="Y6040">
        <v>-0.40623870000000001</v>
      </c>
      <c r="Z6040">
        <v>-9.6905229999999995E-3</v>
      </c>
      <c r="AA6040">
        <v>0.91371559999999996</v>
      </c>
      <c r="AB6040">
        <v>30</v>
      </c>
      <c r="AC6040">
        <v>10.3057999999999</v>
      </c>
      <c r="AD6040">
        <v>-1.121686023868</v>
      </c>
      <c r="AE6040">
        <v>14.850379999999999</v>
      </c>
      <c r="AF6040">
        <v>-7.4064649653893397</v>
      </c>
      <c r="AG6040">
        <v>-1.121686023868</v>
      </c>
      <c r="AH6040">
        <v>16.412972846283701</v>
      </c>
      <c r="AI6040">
        <v>93.564502366458001</v>
      </c>
      <c r="AJ6040">
        <v>114.28759831332199</v>
      </c>
      <c r="AK6040">
        <v>18.041606926006502</v>
      </c>
      <c r="AL6040">
        <v>90.036598929317506</v>
      </c>
      <c r="AM6040">
        <v>115.518643814572</v>
      </c>
      <c r="AN6040">
        <v>1.0000000377982501</v>
      </c>
    </row>
    <row r="6041" spans="1:40" x14ac:dyDescent="0.25">
      <c r="A6041" t="str">
        <f>"20190305135944344"</f>
        <v>20190305135944344</v>
      </c>
      <c r="B6041" t="str">
        <f>"1551765584334881"</f>
        <v>1551765584334881</v>
      </c>
      <c r="C6041" t="s">
        <v>40</v>
      </c>
      <c r="D6041">
        <v>4.1928000000000001</v>
      </c>
      <c r="E6041">
        <v>0.50350829999999902</v>
      </c>
      <c r="F6041" t="s">
        <v>82</v>
      </c>
      <c r="G6041">
        <v>-190.86969999999999</v>
      </c>
      <c r="H6041" s="1">
        <v>-4.8026369999999999E-6</v>
      </c>
      <c r="I6041">
        <v>-43.64996</v>
      </c>
      <c r="J6041">
        <v>-200.4187</v>
      </c>
      <c r="K6041">
        <v>1.1218399999999999</v>
      </c>
      <c r="L6041">
        <v>-57.693269999999998</v>
      </c>
      <c r="M6041">
        <v>0.85260609999999903</v>
      </c>
      <c r="N6041">
        <v>-1.534021E-2</v>
      </c>
      <c r="O6041">
        <v>0.52232900000000004</v>
      </c>
      <c r="P6041">
        <v>0.54514189999999996</v>
      </c>
      <c r="Q6041">
        <v>-3.538355E-3</v>
      </c>
      <c r="R6041">
        <v>0.83833630000000003</v>
      </c>
      <c r="S6041">
        <v>1.696823</v>
      </c>
      <c r="T6041">
        <v>-0.1961977</v>
      </c>
      <c r="U6041">
        <v>2.47403</v>
      </c>
      <c r="V6041">
        <v>-0.43019499999999999</v>
      </c>
      <c r="W6041">
        <v>-2.3792129999999998E-3</v>
      </c>
      <c r="X6041">
        <v>0.9027328</v>
      </c>
      <c r="Y6041">
        <v>-0.40734860000000001</v>
      </c>
      <c r="Z6041">
        <v>-1.146692E-2</v>
      </c>
      <c r="AA6041">
        <v>0.91320080000000003</v>
      </c>
      <c r="AB6041">
        <v>30</v>
      </c>
      <c r="AC6041">
        <v>9.5489999999999995</v>
      </c>
      <c r="AD6041">
        <v>-1.121844802637</v>
      </c>
      <c r="AE6041">
        <v>14.0433099999999</v>
      </c>
      <c r="AF6041">
        <v>-6.9561581202619998</v>
      </c>
      <c r="AG6041">
        <v>-1.121844802637</v>
      </c>
      <c r="AH6041">
        <v>15.4113312342349</v>
      </c>
      <c r="AI6041">
        <v>93.795896487126498</v>
      </c>
      <c r="AJ6041">
        <v>114.292820331033</v>
      </c>
      <c r="AK6041">
        <v>16.9456720718476</v>
      </c>
      <c r="AL6041">
        <v>90.136318998419299</v>
      </c>
      <c r="AM6041">
        <v>115.480014518056</v>
      </c>
      <c r="AN6041">
        <v>0.99999995343766801</v>
      </c>
    </row>
    <row r="6042" spans="1:40" x14ac:dyDescent="0.25">
      <c r="A6042" t="str">
        <f>"20190305135944357"</f>
        <v>20190305135944357</v>
      </c>
      <c r="B6042" t="str">
        <f>"1551765584344641"</f>
        <v>1551765584344641</v>
      </c>
      <c r="C6042" t="s">
        <v>40</v>
      </c>
      <c r="D6042">
        <v>4.1583189999999997</v>
      </c>
      <c r="E6042">
        <v>0.50367689999999998</v>
      </c>
      <c r="F6042" t="s">
        <v>41</v>
      </c>
      <c r="G6042">
        <v>-199.80670000000001</v>
      </c>
      <c r="H6042">
        <v>1.048942</v>
      </c>
      <c r="I6042">
        <v>-56.784300000000002</v>
      </c>
      <c r="J6042">
        <v>-200.28129999999999</v>
      </c>
      <c r="K6042">
        <v>1.1219760000000001</v>
      </c>
      <c r="L6042">
        <v>-57.6004</v>
      </c>
      <c r="M6042">
        <v>0.84804049999999997</v>
      </c>
      <c r="N6042">
        <v>-1.538862E-2</v>
      </c>
      <c r="O6042">
        <v>0.52970810000000002</v>
      </c>
      <c r="P6042">
        <v>0.53856859999999995</v>
      </c>
      <c r="Q6042">
        <v>-4.8484340000000004E-3</v>
      </c>
      <c r="R6042">
        <v>0.84256769999999903</v>
      </c>
      <c r="S6042">
        <v>1.6755070000000001</v>
      </c>
      <c r="T6042">
        <v>-0.19954930000000001</v>
      </c>
      <c r="U6042">
        <v>2.4881289999999998</v>
      </c>
      <c r="V6042">
        <v>-0.42937730000000002</v>
      </c>
      <c r="W6042">
        <v>-3.7778019999999998E-3</v>
      </c>
      <c r="X6042">
        <v>0.90311730000000001</v>
      </c>
      <c r="Y6042">
        <v>-0.40720499999999998</v>
      </c>
      <c r="Z6042">
        <v>-1.227671E-2</v>
      </c>
      <c r="AA6042">
        <v>0.91325429999999996</v>
      </c>
      <c r="AB6042">
        <v>30</v>
      </c>
      <c r="AC6042">
        <v>0.47459999999998098</v>
      </c>
      <c r="AD6042">
        <v>-7.3034000000000002E-2</v>
      </c>
      <c r="AE6042">
        <v>0.81609999999999805</v>
      </c>
      <c r="AF6042">
        <v>-0.43811653533237899</v>
      </c>
      <c r="AG6042">
        <v>-7.3034000000000002E-2</v>
      </c>
      <c r="AH6042">
        <v>0.82990683179945302</v>
      </c>
      <c r="AI6042">
        <v>94.4500136692008</v>
      </c>
      <c r="AJ6042">
        <v>117.83004401385701</v>
      </c>
      <c r="AK6042">
        <v>0.94128922927814995</v>
      </c>
      <c r="AL6042">
        <v>90.216452625829206</v>
      </c>
      <c r="AM6042">
        <v>115.428242982136</v>
      </c>
      <c r="AN6042">
        <v>0.99999999755126501</v>
      </c>
    </row>
    <row r="6043" spans="1:40" x14ac:dyDescent="0.25">
      <c r="A6043" t="str">
        <f>"20190305135944376"</f>
        <v>20190305135944376</v>
      </c>
      <c r="B6043" t="str">
        <f>"1551765584365136"</f>
        <v>1551765584365136</v>
      </c>
      <c r="C6043" t="s">
        <v>40</v>
      </c>
      <c r="D6043">
        <v>4.155602</v>
      </c>
      <c r="E6043">
        <v>0.50407299999999999</v>
      </c>
      <c r="F6043" t="s">
        <v>82</v>
      </c>
      <c r="G6043">
        <v>-191.0308</v>
      </c>
      <c r="H6043" s="1">
        <v>-4.8365519999999999E-6</v>
      </c>
      <c r="I6043">
        <v>-43.638719999999999</v>
      </c>
      <c r="J6043">
        <v>-200.06720000000001</v>
      </c>
      <c r="K6043">
        <v>1.122198</v>
      </c>
      <c r="L6043">
        <v>-57.4512</v>
      </c>
      <c r="M6043">
        <v>0.84056710000000001</v>
      </c>
      <c r="N6043">
        <v>-1.5467959999999999E-2</v>
      </c>
      <c r="O6043">
        <v>0.54148660000000004</v>
      </c>
      <c r="P6043">
        <v>0.52837990000000001</v>
      </c>
      <c r="Q6043">
        <v>-5.7112350000000003E-3</v>
      </c>
      <c r="R6043">
        <v>0.84898890000000005</v>
      </c>
      <c r="S6043">
        <v>1.656693</v>
      </c>
      <c r="T6043">
        <v>-0.2009379</v>
      </c>
      <c r="U6043">
        <v>2.5004270000000002</v>
      </c>
      <c r="V6043">
        <v>-0.42762630000000001</v>
      </c>
      <c r="W6043">
        <v>-4.7525240000000002E-3</v>
      </c>
      <c r="X6043">
        <v>0.9039431</v>
      </c>
      <c r="Y6043">
        <v>-0.40132129999999999</v>
      </c>
      <c r="Z6043">
        <v>-1.335271E-2</v>
      </c>
      <c r="AA6043">
        <v>0.91583999999999999</v>
      </c>
      <c r="AB6043">
        <v>30</v>
      </c>
      <c r="AC6043">
        <v>9.0364000000000093</v>
      </c>
      <c r="AD6043">
        <v>-1.122202836552</v>
      </c>
      <c r="AE6043">
        <v>13.8124799999999</v>
      </c>
      <c r="AF6043">
        <v>-6.6871195897821503</v>
      </c>
      <c r="AG6043">
        <v>-1.122202836552</v>
      </c>
      <c r="AH6043">
        <v>15.0074061211814</v>
      </c>
      <c r="AI6043">
        <v>93.907387870996004</v>
      </c>
      <c r="AJ6043">
        <v>114.017177524022</v>
      </c>
      <c r="AK6043">
        <v>16.468125154385</v>
      </c>
      <c r="AL6043">
        <v>90.272300596789904</v>
      </c>
      <c r="AM6043">
        <v>115.317319780177</v>
      </c>
      <c r="AN6043">
        <v>0.99999998348683505</v>
      </c>
    </row>
    <row r="6044" spans="1:40" x14ac:dyDescent="0.25">
      <c r="A6044" t="str">
        <f>"20190305135944391"</f>
        <v>20190305135944391</v>
      </c>
      <c r="B6044" t="str">
        <f>"1551765584384657"</f>
        <v>1551765584384657</v>
      </c>
      <c r="C6044" t="s">
        <v>40</v>
      </c>
      <c r="D6044">
        <v>4.1852510000000001</v>
      </c>
      <c r="E6044">
        <v>0.50448779999999904</v>
      </c>
      <c r="F6044" t="s">
        <v>82</v>
      </c>
      <c r="G6044">
        <v>-190.8725</v>
      </c>
      <c r="H6044" s="1">
        <v>-4.9974330000000001E-6</v>
      </c>
      <c r="I6044">
        <v>-43.232860000000002</v>
      </c>
      <c r="J6044">
        <v>-199.91579999999999</v>
      </c>
      <c r="K6044">
        <v>1.1223620000000001</v>
      </c>
      <c r="L6044">
        <v>-57.342469999999999</v>
      </c>
      <c r="M6044">
        <v>0.83501639999999999</v>
      </c>
      <c r="N6044">
        <v>-1.5526359999999999E-2</v>
      </c>
      <c r="O6044">
        <v>0.55000599999999999</v>
      </c>
      <c r="P6044">
        <v>0.52056069999999999</v>
      </c>
      <c r="Q6044">
        <v>-5.7723239999999997E-3</v>
      </c>
      <c r="R6044">
        <v>0.85380519999999904</v>
      </c>
      <c r="S6044">
        <v>1.6287229999999999</v>
      </c>
      <c r="T6044">
        <v>-0.1987854</v>
      </c>
      <c r="U6044">
        <v>2.5186160000000002</v>
      </c>
      <c r="V6044">
        <v>-0.42673309999999998</v>
      </c>
      <c r="W6044">
        <v>-4.9003229999999998E-3</v>
      </c>
      <c r="X6044">
        <v>0.90436430000000001</v>
      </c>
      <c r="Y6044">
        <v>-0.4022018</v>
      </c>
      <c r="Z6044">
        <v>-1.354269E-2</v>
      </c>
      <c r="AA6044">
        <v>0.91545089999999996</v>
      </c>
      <c r="AB6044">
        <v>30</v>
      </c>
      <c r="AC6044">
        <v>9.0432999999999808</v>
      </c>
      <c r="AD6044">
        <v>-1.1223669974329999</v>
      </c>
      <c r="AE6044">
        <v>14.10961</v>
      </c>
      <c r="AF6044">
        <v>-6.7783053625359804</v>
      </c>
      <c r="AG6044">
        <v>-1.1223669974329999</v>
      </c>
      <c r="AH6044">
        <v>15.2451428135788</v>
      </c>
      <c r="AI6044">
        <v>93.848579065404294</v>
      </c>
      <c r="AJ6044">
        <v>113.97091913948</v>
      </c>
      <c r="AK6044">
        <v>16.7218273723634</v>
      </c>
      <c r="AL6044">
        <v>90.280768958425696</v>
      </c>
      <c r="AM6044">
        <v>115.260737826379</v>
      </c>
      <c r="AN6044">
        <v>0.99999996945780101</v>
      </c>
    </row>
    <row r="6045" spans="1:40" x14ac:dyDescent="0.25">
      <c r="A6045" t="str">
        <f>"20190305135944409"</f>
        <v>20190305135944409</v>
      </c>
      <c r="B6045" t="str">
        <f>"1551765584405154"</f>
        <v>1551765584405154</v>
      </c>
      <c r="C6045" t="s">
        <v>40</v>
      </c>
      <c r="D6045">
        <v>4.1257919999999997</v>
      </c>
      <c r="E6045">
        <v>0.50491160000000002</v>
      </c>
      <c r="F6045" t="s">
        <v>82</v>
      </c>
      <c r="G6045">
        <v>-190.61770000000001</v>
      </c>
      <c r="H6045" s="1">
        <v>-5.2001210000000004E-6</v>
      </c>
      <c r="I6045">
        <v>-42.700360000000003</v>
      </c>
      <c r="J6045">
        <v>-199.72399999999999</v>
      </c>
      <c r="K6045">
        <v>1.1225540000000001</v>
      </c>
      <c r="L6045">
        <v>-57.201630000000002</v>
      </c>
      <c r="M6045">
        <v>0.82769599999999899</v>
      </c>
      <c r="N6045">
        <v>-1.560098E-2</v>
      </c>
      <c r="O6045">
        <v>0.56095989999999996</v>
      </c>
      <c r="P6045">
        <v>0.51134789999999997</v>
      </c>
      <c r="Q6045">
        <v>-6.3716729999999996E-3</v>
      </c>
      <c r="R6045">
        <v>0.85935010000000001</v>
      </c>
      <c r="S6045">
        <v>1.60791</v>
      </c>
      <c r="T6045">
        <v>-0.19408990000000001</v>
      </c>
      <c r="U6045">
        <v>2.5320429999999998</v>
      </c>
      <c r="V6045">
        <v>-0.42452109999999899</v>
      </c>
      <c r="W6045">
        <v>-5.5636519999999997E-3</v>
      </c>
      <c r="X6045">
        <v>0.90540089999999995</v>
      </c>
      <c r="Y6045">
        <v>-0.39771709999999999</v>
      </c>
      <c r="Z6045">
        <v>-1.3733240000000001E-2</v>
      </c>
      <c r="AA6045">
        <v>0.91740529999999998</v>
      </c>
      <c r="AB6045">
        <v>30</v>
      </c>
      <c r="AC6045">
        <v>9.1062999999999992</v>
      </c>
      <c r="AD6045">
        <v>-1.1225592001209901</v>
      </c>
      <c r="AE6045">
        <v>14.50127</v>
      </c>
      <c r="AF6045">
        <v>-6.8657061287492303</v>
      </c>
      <c r="AG6045">
        <v>-1.1225592001209901</v>
      </c>
      <c r="AH6045">
        <v>15.606712879047</v>
      </c>
      <c r="AI6045">
        <v>93.766842792601096</v>
      </c>
      <c r="AJ6045">
        <v>113.745657252781</v>
      </c>
      <c r="AK6045">
        <v>17.087057871182299</v>
      </c>
      <c r="AL6045">
        <v>90.318775437485897</v>
      </c>
      <c r="AM6045">
        <v>115.120771392207</v>
      </c>
      <c r="AN6045">
        <v>0.99999995414479703</v>
      </c>
    </row>
    <row r="6046" spans="1:40" x14ac:dyDescent="0.25">
      <c r="A6046" t="str">
        <f>"20190305135944432"</f>
        <v>20190305135944432</v>
      </c>
      <c r="B6046" t="str">
        <f>"1551765584424672"</f>
        <v>1551765584424672</v>
      </c>
      <c r="C6046" t="s">
        <v>40</v>
      </c>
      <c r="D6046">
        <v>4.0982849999999997</v>
      </c>
      <c r="E6046">
        <v>0.50538989999999995</v>
      </c>
      <c r="F6046" t="s">
        <v>82</v>
      </c>
      <c r="G6046">
        <v>-190.4436</v>
      </c>
      <c r="H6046" s="1">
        <v>-5.3721819999999999E-6</v>
      </c>
      <c r="I6046">
        <v>-42.26444</v>
      </c>
      <c r="J6046">
        <v>-199.4812</v>
      </c>
      <c r="K6046">
        <v>1.122797</v>
      </c>
      <c r="L6046">
        <v>-57.017330000000001</v>
      </c>
      <c r="M6046">
        <v>0.81791849999999999</v>
      </c>
      <c r="N6046">
        <v>-1.5696769999999999E-2</v>
      </c>
      <c r="O6046">
        <v>0.57511990000000002</v>
      </c>
      <c r="P6046">
        <v>0.49899270000000001</v>
      </c>
      <c r="Q6046">
        <v>-7.7389980000000004E-3</v>
      </c>
      <c r="R6046">
        <v>0.86657169999999895</v>
      </c>
      <c r="S6046">
        <v>1.5829009999999999</v>
      </c>
      <c r="T6046">
        <v>-0.1914669</v>
      </c>
      <c r="U6046">
        <v>2.5477289999999999</v>
      </c>
      <c r="V6046">
        <v>-0.4218478</v>
      </c>
      <c r="W6046">
        <v>-7.0036539999999998E-3</v>
      </c>
      <c r="X6046">
        <v>0.90663959999999999</v>
      </c>
      <c r="Y6046">
        <v>-0.39097349999999997</v>
      </c>
      <c r="Z6046">
        <v>-1.4414079999999999E-2</v>
      </c>
      <c r="AA6046">
        <v>0.92028909999999997</v>
      </c>
      <c r="AB6046">
        <v>30</v>
      </c>
      <c r="AC6046">
        <v>9.0375999999999905</v>
      </c>
      <c r="AD6046">
        <v>-1.122802372182</v>
      </c>
      <c r="AE6046">
        <v>14.752889999999899</v>
      </c>
      <c r="AF6046">
        <v>-6.8409920344601902</v>
      </c>
      <c r="AG6046">
        <v>-1.122802372182</v>
      </c>
      <c r="AH6046">
        <v>15.812061055989901</v>
      </c>
      <c r="AI6046">
        <v>93.728767596403898</v>
      </c>
      <c r="AJ6046">
        <v>113.395428533239</v>
      </c>
      <c r="AK6046">
        <v>17.265026267598898</v>
      </c>
      <c r="AL6046">
        <v>90.401283099630206</v>
      </c>
      <c r="AM6046">
        <v>114.951955978304</v>
      </c>
      <c r="AN6046">
        <v>0.99999999091117497</v>
      </c>
    </row>
    <row r="6047" spans="1:40" x14ac:dyDescent="0.25">
      <c r="A6047" t="str">
        <f>"20190305135944448"</f>
        <v>20190305135944448</v>
      </c>
      <c r="B6047" t="str">
        <f>"1551765584435410"</f>
        <v>1551765584435410</v>
      </c>
      <c r="C6047" t="s">
        <v>40</v>
      </c>
      <c r="D6047">
        <v>4.1460970000000001</v>
      </c>
      <c r="E6047">
        <v>0.50573749999999995</v>
      </c>
      <c r="F6047" t="s">
        <v>82</v>
      </c>
      <c r="G6047">
        <v>-190.3751</v>
      </c>
      <c r="H6047" s="1">
        <v>-5.5196310000000003E-6</v>
      </c>
      <c r="I6047">
        <v>-41.92174</v>
      </c>
      <c r="J6047">
        <v>-199.32060000000001</v>
      </c>
      <c r="K6047">
        <v>1.122951</v>
      </c>
      <c r="L6047">
        <v>-56.891449999999999</v>
      </c>
      <c r="M6047">
        <v>0.8111199</v>
      </c>
      <c r="N6047">
        <v>-1.575992E-2</v>
      </c>
      <c r="O6047">
        <v>0.58466759999999995</v>
      </c>
      <c r="P6047">
        <v>0.48969509999999999</v>
      </c>
      <c r="Q6047">
        <v>-8.2254370000000004E-3</v>
      </c>
      <c r="R6047">
        <v>0.87185499999999905</v>
      </c>
      <c r="S6047">
        <v>1.5491790000000001</v>
      </c>
      <c r="T6047">
        <v>-0.1910174</v>
      </c>
      <c r="U6047">
        <v>2.568146</v>
      </c>
      <c r="V6047">
        <v>-0.4208983</v>
      </c>
      <c r="W6047">
        <v>-7.5595169999999904E-3</v>
      </c>
      <c r="X6047">
        <v>0.9070764</v>
      </c>
      <c r="Y6047">
        <v>-0.39228429999999997</v>
      </c>
      <c r="Z6047">
        <v>-1.4826850000000001E-2</v>
      </c>
      <c r="AA6047">
        <v>0.91972449999999994</v>
      </c>
      <c r="AB6047">
        <v>30</v>
      </c>
      <c r="AC6047">
        <v>8.9455000000000098</v>
      </c>
      <c r="AD6047">
        <v>-1.1229565196310001</v>
      </c>
      <c r="AE6047">
        <v>14.969709999999999</v>
      </c>
      <c r="AF6047">
        <v>-6.88439732764434</v>
      </c>
      <c r="AG6047">
        <v>-1.1229565196310001</v>
      </c>
      <c r="AH6047">
        <v>15.9440521533579</v>
      </c>
      <c r="AI6047">
        <v>93.699645994193304</v>
      </c>
      <c r="AJ6047">
        <v>113.35394660868801</v>
      </c>
      <c r="AK6047">
        <v>17.4031249199348</v>
      </c>
      <c r="AL6047">
        <v>90.433132518509296</v>
      </c>
      <c r="AM6047">
        <v>114.89207197348701</v>
      </c>
      <c r="AN6047">
        <v>1.0000000603385599</v>
      </c>
    </row>
    <row r="6048" spans="1:40" x14ac:dyDescent="0.25">
      <c r="A6048" t="str">
        <f>"20190305135944466"</f>
        <v>20190305135944466</v>
      </c>
      <c r="B6048" t="str">
        <f>"1551765584454928"</f>
        <v>1551765584454928</v>
      </c>
      <c r="C6048" t="s">
        <v>40</v>
      </c>
      <c r="D6048">
        <v>4.1734970000000002</v>
      </c>
      <c r="E6048">
        <v>0.506189</v>
      </c>
      <c r="F6048" t="s">
        <v>82</v>
      </c>
      <c r="G6048">
        <v>-190.27930000000001</v>
      </c>
      <c r="H6048" s="1">
        <v>-5.6698229999999999E-6</v>
      </c>
      <c r="I6048">
        <v>-41.562690000000003</v>
      </c>
      <c r="J6048">
        <v>-199.1217</v>
      </c>
      <c r="K6048">
        <v>1.1231329999999999</v>
      </c>
      <c r="L6048">
        <v>-56.731169999999999</v>
      </c>
      <c r="M6048">
        <v>0.8023323</v>
      </c>
      <c r="N6048">
        <v>-1.5836340000000001E-2</v>
      </c>
      <c r="O6048">
        <v>0.59666750000000002</v>
      </c>
      <c r="P6048">
        <v>0.47826879999999999</v>
      </c>
      <c r="Q6048">
        <v>-8.9313480000000004E-3</v>
      </c>
      <c r="R6048">
        <v>0.87816799999999995</v>
      </c>
      <c r="S6048">
        <v>1.5237270000000001</v>
      </c>
      <c r="T6048">
        <v>-0.18925110000000001</v>
      </c>
      <c r="U6048">
        <v>2.5833439999999999</v>
      </c>
      <c r="V6048">
        <v>-0.41922019999999999</v>
      </c>
      <c r="W6048">
        <v>-8.3206949999999995E-3</v>
      </c>
      <c r="X6048">
        <v>0.9078465</v>
      </c>
      <c r="Y6048">
        <v>-0.3877061</v>
      </c>
      <c r="Z6048">
        <v>-1.539505E-2</v>
      </c>
      <c r="AA6048">
        <v>0.92165450000000004</v>
      </c>
      <c r="AB6048">
        <v>30</v>
      </c>
      <c r="AC6048">
        <v>8.8423999999999907</v>
      </c>
      <c r="AD6048">
        <v>-1.1231386698229999</v>
      </c>
      <c r="AE6048">
        <v>15.168479999999899</v>
      </c>
      <c r="AF6048">
        <v>-6.8669538590528099</v>
      </c>
      <c r="AG6048">
        <v>-1.1231386698229999</v>
      </c>
      <c r="AH6048">
        <v>16.081302446134501</v>
      </c>
      <c r="AI6048">
        <v>93.675082852487407</v>
      </c>
      <c r="AJ6048">
        <v>113.123198504348</v>
      </c>
      <c r="AK6048">
        <v>17.522122706397901</v>
      </c>
      <c r="AL6048">
        <v>90.476746188893301</v>
      </c>
      <c r="AM6048">
        <v>114.786280116341</v>
      </c>
      <c r="AN6048">
        <v>1.0000000388077801</v>
      </c>
    </row>
    <row r="6049" spans="1:40" x14ac:dyDescent="0.25">
      <c r="A6049" t="str">
        <f>"20190305135944488"</f>
        <v>20190305135944488</v>
      </c>
      <c r="B6049" t="str">
        <f>"1551765584474448"</f>
        <v>1551765584474448</v>
      </c>
      <c r="C6049" t="s">
        <v>40</v>
      </c>
      <c r="D6049">
        <v>4.1625079999999999</v>
      </c>
      <c r="E6049">
        <v>0.50586160000000002</v>
      </c>
      <c r="F6049" t="s">
        <v>82</v>
      </c>
      <c r="G6049">
        <v>-190.16290000000001</v>
      </c>
      <c r="H6049" s="1">
        <v>-5.8561050000000001E-6</v>
      </c>
      <c r="I6049">
        <v>-41.118319999999997</v>
      </c>
      <c r="J6049">
        <v>-198.90969999999999</v>
      </c>
      <c r="K6049">
        <v>1.123316</v>
      </c>
      <c r="L6049">
        <v>-56.554569999999998</v>
      </c>
      <c r="M6049">
        <v>0.79249720000000001</v>
      </c>
      <c r="N6049">
        <v>-1.59148E-2</v>
      </c>
      <c r="O6049">
        <v>0.60966799999999999</v>
      </c>
      <c r="P6049">
        <v>0.46561859999999999</v>
      </c>
      <c r="Q6049">
        <v>-8.5621120000000002E-3</v>
      </c>
      <c r="R6049">
        <v>0.88494409999999901</v>
      </c>
      <c r="S6049">
        <v>1.4926759999999999</v>
      </c>
      <c r="T6049">
        <v>-0.18713279999999999</v>
      </c>
      <c r="U6049">
        <v>2.6013489999999999</v>
      </c>
      <c r="V6049">
        <v>-0.41746080000000002</v>
      </c>
      <c r="W6049">
        <v>-7.9950619999999903E-3</v>
      </c>
      <c r="X6049">
        <v>0.90865980000000002</v>
      </c>
      <c r="Y6049">
        <v>-0.38372260000000002</v>
      </c>
      <c r="Z6049">
        <v>-1.5927609999999998E-2</v>
      </c>
      <c r="AA6049">
        <v>0.92331110000000005</v>
      </c>
      <c r="AB6049">
        <v>30</v>
      </c>
      <c r="AC6049">
        <v>8.7467999999999702</v>
      </c>
      <c r="AD6049">
        <v>-1.123321856105</v>
      </c>
      <c r="AE6049">
        <v>15.4362499999999</v>
      </c>
      <c r="AF6049">
        <v>-6.8738596131611898</v>
      </c>
      <c r="AG6049">
        <v>-1.123321856105</v>
      </c>
      <c r="AH6049">
        <v>16.279612050170599</v>
      </c>
      <c r="AI6049">
        <v>93.637255323322705</v>
      </c>
      <c r="AJ6049">
        <v>112.891285364806</v>
      </c>
      <c r="AK6049">
        <v>17.7069920223033</v>
      </c>
      <c r="AL6049">
        <v>90.458088173228205</v>
      </c>
      <c r="AM6049">
        <v>114.67522101177001</v>
      </c>
      <c r="AN6049">
        <v>1.0000000363445301</v>
      </c>
    </row>
    <row r="6050" spans="1:40" x14ac:dyDescent="0.25">
      <c r="A6050" t="str">
        <f>"20190305135944504"</f>
        <v>20190305135944504</v>
      </c>
      <c r="B6050" t="str">
        <f>"1551765584494944"</f>
        <v>1551765584494944</v>
      </c>
      <c r="C6050" t="s">
        <v>40</v>
      </c>
      <c r="D6050">
        <v>4.1683469999999998</v>
      </c>
      <c r="E6050">
        <v>0.47975689999999999</v>
      </c>
      <c r="F6050" t="s">
        <v>82</v>
      </c>
      <c r="G6050">
        <v>-190.18879999999999</v>
      </c>
      <c r="H6050" s="1">
        <v>-6.0065720000000003E-6</v>
      </c>
      <c r="I6050">
        <v>-40.805199999999999</v>
      </c>
      <c r="J6050">
        <v>-198.74039999999999</v>
      </c>
      <c r="K6050">
        <v>1.1234390000000001</v>
      </c>
      <c r="L6050">
        <v>-56.409239999999997</v>
      </c>
      <c r="M6050">
        <v>0.78429780000000004</v>
      </c>
      <c r="N6050">
        <v>-1.5974490000000001E-2</v>
      </c>
      <c r="O6050">
        <v>0.62017880000000003</v>
      </c>
      <c r="P6050">
        <v>0.45505319999999999</v>
      </c>
      <c r="Q6050">
        <v>-7.9783500000000004E-3</v>
      </c>
      <c r="R6050">
        <v>0.89042849999999996</v>
      </c>
      <c r="S6050">
        <v>1.4528810000000001</v>
      </c>
      <c r="T6050">
        <v>-0.187143</v>
      </c>
      <c r="U6050">
        <v>2.6238100000000002</v>
      </c>
      <c r="V6050">
        <v>-0.41618529999999998</v>
      </c>
      <c r="W6050">
        <v>-7.4384439999999998E-3</v>
      </c>
      <c r="X6050">
        <v>0.90924939999999999</v>
      </c>
      <c r="Y6050">
        <v>-0.38548209999999999</v>
      </c>
      <c r="Z6050">
        <v>-1.6437420000000001E-2</v>
      </c>
      <c r="AA6050">
        <v>0.92256890000000003</v>
      </c>
      <c r="AB6050">
        <v>30</v>
      </c>
      <c r="AC6050">
        <v>8.5516000000000005</v>
      </c>
      <c r="AD6050">
        <v>-1.1234450065720001</v>
      </c>
      <c r="AE6050">
        <v>15.604039999999999</v>
      </c>
      <c r="AF6050">
        <v>-6.9080407322726698</v>
      </c>
      <c r="AG6050">
        <v>-1.1234450065720001</v>
      </c>
      <c r="AH6050">
        <v>16.321325210683199</v>
      </c>
      <c r="AI6050">
        <v>93.627063719206802</v>
      </c>
      <c r="AJ6050">
        <v>112.940629564785</v>
      </c>
      <c r="AK6050">
        <v>17.758626412941201</v>
      </c>
      <c r="AL6050">
        <v>90.426195376436695</v>
      </c>
      <c r="AM6050">
        <v>114.594708142622</v>
      </c>
      <c r="AN6050">
        <v>1.00000000289279</v>
      </c>
    </row>
    <row r="6051" spans="1:40" x14ac:dyDescent="0.25">
      <c r="A6051" t="str">
        <f>"20190305135944523"</f>
        <v>20190305135944523</v>
      </c>
      <c r="B6051" t="str">
        <f>"1551765584514464"</f>
        <v>1551765584514464</v>
      </c>
      <c r="C6051" t="s">
        <v>40</v>
      </c>
      <c r="D6051">
        <v>4.1424609999999999</v>
      </c>
      <c r="E6051">
        <v>0.48149890000000001</v>
      </c>
      <c r="F6051" t="s">
        <v>41</v>
      </c>
      <c r="G6051">
        <v>-198.32570000000001</v>
      </c>
      <c r="H6051">
        <v>1.0680449999999999</v>
      </c>
      <c r="I6051">
        <v>-55.488129999999998</v>
      </c>
      <c r="J6051">
        <v>-198.55680000000001</v>
      </c>
      <c r="K6051">
        <v>1.1235660000000001</v>
      </c>
      <c r="L6051">
        <v>-56.246830000000003</v>
      </c>
      <c r="M6051">
        <v>0.77503480000000002</v>
      </c>
      <c r="N6051">
        <v>-1.6035460000000001E-2</v>
      </c>
      <c r="O6051">
        <v>0.63171509999999997</v>
      </c>
      <c r="P6051">
        <v>0.4448394</v>
      </c>
      <c r="Q6051">
        <v>-7.2106030000000003E-3</v>
      </c>
      <c r="R6051">
        <v>0.89558130000000002</v>
      </c>
      <c r="S6051">
        <v>1.233139</v>
      </c>
      <c r="T6051">
        <v>-0.16465579999999999</v>
      </c>
      <c r="U6051">
        <v>2.7374879999999999</v>
      </c>
      <c r="V6051">
        <v>-0.41316130000000001</v>
      </c>
      <c r="W6051">
        <v>-6.6187679999999997E-3</v>
      </c>
      <c r="X6051">
        <v>0.91063380000000005</v>
      </c>
      <c r="Y6051">
        <v>-0.44690010000000002</v>
      </c>
      <c r="Z6051">
        <v>-1.1537540000000001E-2</v>
      </c>
      <c r="AA6051">
        <v>0.89450940000000001</v>
      </c>
      <c r="AB6051">
        <v>30</v>
      </c>
      <c r="AC6051">
        <v>0.231099999999997</v>
      </c>
      <c r="AD6051">
        <v>-5.5520999999999897E-2</v>
      </c>
      <c r="AE6051">
        <v>0.75869999999999704</v>
      </c>
      <c r="AF6051">
        <v>-0.43993049169477699</v>
      </c>
      <c r="AG6051">
        <v>-5.5520999999999897E-2</v>
      </c>
      <c r="AH6051">
        <v>0.65526630001922503</v>
      </c>
      <c r="AI6051">
        <v>94.023939459733896</v>
      </c>
      <c r="AJ6051">
        <v>123.87648916907401</v>
      </c>
      <c r="AK6051">
        <v>0.79119867473643601</v>
      </c>
      <c r="AL6051">
        <v>90.379230243631298</v>
      </c>
      <c r="AM6051">
        <v>114.404147644098</v>
      </c>
      <c r="AN6051">
        <v>0.99999999280498297</v>
      </c>
    </row>
    <row r="6052" spans="1:40" x14ac:dyDescent="0.25">
      <c r="A6052" t="str">
        <f>"20190305135944547"</f>
        <v>20190305135944547</v>
      </c>
      <c r="B6052" t="str">
        <f>"1551765584534964"</f>
        <v>1551765584534964</v>
      </c>
      <c r="C6052" t="s">
        <v>40</v>
      </c>
      <c r="D6052">
        <v>4.1370719999999999</v>
      </c>
      <c r="E6052">
        <v>0.4824987</v>
      </c>
      <c r="F6052" t="s">
        <v>41</v>
      </c>
      <c r="G6052">
        <v>-198.14240000000001</v>
      </c>
      <c r="H6052">
        <v>1.06969</v>
      </c>
      <c r="I6052">
        <v>-55.309939999999997</v>
      </c>
      <c r="J6052">
        <v>-198.33170000000001</v>
      </c>
      <c r="K6052">
        <v>1.123702</v>
      </c>
      <c r="L6052">
        <v>-56.040590000000002</v>
      </c>
      <c r="M6052">
        <v>0.76315059999999901</v>
      </c>
      <c r="N6052">
        <v>-1.6103200000000002E-2</v>
      </c>
      <c r="O6052">
        <v>0.64601999999999904</v>
      </c>
      <c r="P6052">
        <v>0.43180819999999998</v>
      </c>
      <c r="Q6052">
        <v>-5.0697490000000001E-3</v>
      </c>
      <c r="R6052">
        <v>0.90195130000000001</v>
      </c>
      <c r="S6052">
        <v>1.2138370000000001</v>
      </c>
      <c r="T6052">
        <v>-0.15786700000000001</v>
      </c>
      <c r="U6052">
        <v>2.7456049999999999</v>
      </c>
      <c r="V6052">
        <v>-0.40951070000000001</v>
      </c>
      <c r="W6052">
        <v>-4.3945540000000002E-3</v>
      </c>
      <c r="X6052">
        <v>0.91229470000000001</v>
      </c>
      <c r="Y6052">
        <v>-0.43650139999999998</v>
      </c>
      <c r="Z6052">
        <v>-1.150697E-2</v>
      </c>
      <c r="AA6052">
        <v>0.89962999999999904</v>
      </c>
      <c r="AB6052">
        <v>30</v>
      </c>
      <c r="AC6052">
        <v>0.18930000000000199</v>
      </c>
      <c r="AD6052">
        <v>-5.40119999999999E-2</v>
      </c>
      <c r="AE6052">
        <v>0.73064999999999702</v>
      </c>
      <c r="AF6052">
        <v>-0.43314277054592298</v>
      </c>
      <c r="AG6052">
        <v>-5.40119999999999E-2</v>
      </c>
      <c r="AH6052">
        <v>0.61341761797905703</v>
      </c>
      <c r="AI6052">
        <v>94.114025257927693</v>
      </c>
      <c r="AJ6052">
        <v>125.22645064952501</v>
      </c>
      <c r="AK6052">
        <v>0.75286860066501604</v>
      </c>
      <c r="AL6052">
        <v>90.251790214383107</v>
      </c>
      <c r="AM6052">
        <v>114.174350497292</v>
      </c>
      <c r="AN6052">
        <v>0.99999997258371898</v>
      </c>
    </row>
    <row r="6053" spans="1:40" x14ac:dyDescent="0.25">
      <c r="A6053" t="str">
        <f>"20190305135944569"</f>
        <v>20190305135944569</v>
      </c>
      <c r="B6053" t="str">
        <f>"1551765584554480"</f>
        <v>1551765584554480</v>
      </c>
      <c r="C6053" t="s">
        <v>40</v>
      </c>
      <c r="D6053">
        <v>4.141991</v>
      </c>
      <c r="E6053">
        <v>0.4843248</v>
      </c>
      <c r="F6053" t="s">
        <v>41</v>
      </c>
      <c r="G6053">
        <v>-197.94630000000001</v>
      </c>
      <c r="H6053">
        <v>1.0752649999999999</v>
      </c>
      <c r="I6053">
        <v>-55.14</v>
      </c>
      <c r="J6053">
        <v>-198.13200000000001</v>
      </c>
      <c r="K6053">
        <v>1.1237919999999999</v>
      </c>
      <c r="L6053">
        <v>-55.85098</v>
      </c>
      <c r="M6053">
        <v>0.75212489999999999</v>
      </c>
      <c r="N6053">
        <v>-1.6156090000000001E-2</v>
      </c>
      <c r="O6053">
        <v>0.65882249999999998</v>
      </c>
      <c r="P6053">
        <v>0.42102420000000002</v>
      </c>
      <c r="Q6053">
        <v>-3.2001859999999998E-3</v>
      </c>
      <c r="R6053">
        <v>0.90704379999999996</v>
      </c>
      <c r="S6053">
        <v>1.181076</v>
      </c>
      <c r="T6053">
        <v>-0.14844379999999999</v>
      </c>
      <c r="U6053">
        <v>2.7598569999999998</v>
      </c>
      <c r="V6053">
        <v>-0.40504099999999998</v>
      </c>
      <c r="W6053">
        <v>-2.381766E-3</v>
      </c>
      <c r="X6053">
        <v>0.91429539999999998</v>
      </c>
      <c r="Y6053">
        <v>-0.43202299999999899</v>
      </c>
      <c r="Z6053">
        <v>-1.0709959999999999E-2</v>
      </c>
      <c r="AA6053">
        <v>0.90179900000000002</v>
      </c>
      <c r="AB6053">
        <v>30</v>
      </c>
      <c r="AC6053">
        <v>0.18569999999999701</v>
      </c>
      <c r="AD6053">
        <v>-4.8526999999999897E-2</v>
      </c>
      <c r="AE6053">
        <v>0.71098000000000605</v>
      </c>
      <c r="AF6053">
        <v>-0.41066532799932898</v>
      </c>
      <c r="AG6053">
        <v>-4.8526999999999897E-2</v>
      </c>
      <c r="AH6053">
        <v>0.60551790253980697</v>
      </c>
      <c r="AI6053">
        <v>93.794658117807401</v>
      </c>
      <c r="AJ6053">
        <v>124.14532042991</v>
      </c>
      <c r="AK6053">
        <v>0.733248124202172</v>
      </c>
      <c r="AL6053">
        <v>90.1364652711394</v>
      </c>
      <c r="AM6053">
        <v>113.893768902339</v>
      </c>
      <c r="AN6053">
        <v>0.999999981475719</v>
      </c>
    </row>
    <row r="6054" spans="1:40" x14ac:dyDescent="0.25">
      <c r="A6054" t="str">
        <f>"20190305135944589"</f>
        <v>20190305135944589</v>
      </c>
      <c r="B6054" t="str">
        <f>"1551765584584737"</f>
        <v>1551765584584737</v>
      </c>
      <c r="C6054" t="s">
        <v>40</v>
      </c>
      <c r="D6054">
        <v>4.0793699999999999</v>
      </c>
      <c r="E6054">
        <v>0.48652430000000002</v>
      </c>
      <c r="F6054" t="s">
        <v>41</v>
      </c>
      <c r="G6054">
        <v>-197.7414</v>
      </c>
      <c r="H6054">
        <v>1.0762560000000001</v>
      </c>
      <c r="I6054">
        <v>-54.92013</v>
      </c>
      <c r="J6054">
        <v>-197.93879999999999</v>
      </c>
      <c r="K6054">
        <v>1.1238490000000001</v>
      </c>
      <c r="L6054">
        <v>-55.661250000000003</v>
      </c>
      <c r="M6054">
        <v>0.74101430000000001</v>
      </c>
      <c r="N6054">
        <v>-1.6200180000000002E-2</v>
      </c>
      <c r="O6054">
        <v>0.67129369999999999</v>
      </c>
      <c r="P6054">
        <v>0.41109509999999999</v>
      </c>
      <c r="Q6054">
        <v>-2.535332E-3</v>
      </c>
      <c r="R6054">
        <v>0.91158890000000004</v>
      </c>
      <c r="S6054">
        <v>1.1613309999999999</v>
      </c>
      <c r="T6054">
        <v>-0.141340299999999</v>
      </c>
      <c r="U6054">
        <v>2.7678829999999999</v>
      </c>
      <c r="V6054">
        <v>-0.39977410000000002</v>
      </c>
      <c r="W6054">
        <v>-1.5224629999999999E-3</v>
      </c>
      <c r="X6054">
        <v>0.91661239999999999</v>
      </c>
      <c r="Y6054">
        <v>-0.42336449999999998</v>
      </c>
      <c r="Z6054">
        <v>-1.030345E-2</v>
      </c>
      <c r="AA6054">
        <v>0.90590079999999995</v>
      </c>
      <c r="AB6054">
        <v>30</v>
      </c>
      <c r="AC6054">
        <v>0.197399999999987</v>
      </c>
      <c r="AD6054">
        <v>-4.7593000000000003E-2</v>
      </c>
      <c r="AE6054">
        <v>0.741119999999995</v>
      </c>
      <c r="AF6054">
        <v>-0.41512333093085002</v>
      </c>
      <c r="AG6054">
        <v>-4.7593000000000003E-2</v>
      </c>
      <c r="AH6054">
        <v>0.64140009374527396</v>
      </c>
      <c r="AI6054">
        <v>93.564528367158005</v>
      </c>
      <c r="AJ6054">
        <v>122.911522782185</v>
      </c>
      <c r="AK6054">
        <v>0.76549758574966797</v>
      </c>
      <c r="AL6054">
        <v>90.0872307406473</v>
      </c>
      <c r="AM6054">
        <v>113.564086840881</v>
      </c>
      <c r="AN6054">
        <v>0.99999997037907695</v>
      </c>
    </row>
    <row r="6055" spans="1:40" x14ac:dyDescent="0.25">
      <c r="A6055" t="str">
        <f>"20190305135944612"</f>
        <v>20190305135944612</v>
      </c>
      <c r="B6055" t="str">
        <f>"1551765584605232"</f>
        <v>1551765584605232</v>
      </c>
      <c r="C6055" t="s">
        <v>40</v>
      </c>
      <c r="D6055">
        <v>4.0919480000000004</v>
      </c>
      <c r="E6055">
        <v>0.48774909999999999</v>
      </c>
      <c r="F6055" t="s">
        <v>42</v>
      </c>
      <c r="G6055">
        <v>-188.7714</v>
      </c>
      <c r="H6055" s="1">
        <v>-3.1638850000000001E-6</v>
      </c>
      <c r="I6055">
        <v>-33.500129999999999</v>
      </c>
      <c r="J6055">
        <v>-197.7295</v>
      </c>
      <c r="K6055">
        <v>1.1238669999999999</v>
      </c>
      <c r="L6055">
        <v>-55.448360000000001</v>
      </c>
      <c r="M6055">
        <v>0.72849189999999997</v>
      </c>
      <c r="N6055">
        <v>-1.623875E-2</v>
      </c>
      <c r="O6055">
        <v>0.68486199999999997</v>
      </c>
      <c r="P6055">
        <v>0.3997889</v>
      </c>
      <c r="Q6055">
        <v>-5.4836939999999999E-3</v>
      </c>
      <c r="R6055">
        <v>0.91659089999999999</v>
      </c>
      <c r="S6055">
        <v>1.1472020000000001</v>
      </c>
      <c r="T6055">
        <v>-0.14063789999999901</v>
      </c>
      <c r="U6055">
        <v>2.7732239999999999</v>
      </c>
      <c r="V6055">
        <v>-0.394071</v>
      </c>
      <c r="W6055">
        <v>-4.2427029999999996E-3</v>
      </c>
      <c r="X6055">
        <v>0.91907019999999995</v>
      </c>
      <c r="Y6055">
        <v>-0.41117399999999998</v>
      </c>
      <c r="Z6055">
        <v>-1.107022E-2</v>
      </c>
      <c r="AA6055">
        <v>0.91148969999999896</v>
      </c>
      <c r="AB6055">
        <v>30</v>
      </c>
      <c r="AC6055">
        <v>8.9581</v>
      </c>
      <c r="AD6055">
        <v>-1.1238701638849999</v>
      </c>
      <c r="AE6055">
        <v>21.948229999999999</v>
      </c>
      <c r="AF6055">
        <v>-9.8332433639632004</v>
      </c>
      <c r="AG6055">
        <v>-1.1238701638849999</v>
      </c>
      <c r="AH6055">
        <v>21.511903765980701</v>
      </c>
      <c r="AI6055">
        <v>92.720381433198796</v>
      </c>
      <c r="AJ6055">
        <v>114.56547541836299</v>
      </c>
      <c r="AK6055">
        <v>23.679479783918602</v>
      </c>
      <c r="AL6055">
        <v>90.243089706611499</v>
      </c>
      <c r="AM6055">
        <v>113.20826857968</v>
      </c>
      <c r="AN6055">
        <v>0.99999999304889298</v>
      </c>
    </row>
    <row r="6056" spans="1:40" x14ac:dyDescent="0.25">
      <c r="A6056" t="str">
        <f>"20190305135944634"</f>
        <v>20190305135944634</v>
      </c>
      <c r="B6056" t="str">
        <f>"1551765584625728"</f>
        <v>1551765584625728</v>
      </c>
      <c r="C6056" t="s">
        <v>40</v>
      </c>
      <c r="D6056">
        <v>4.0733769999999998</v>
      </c>
      <c r="E6056">
        <v>0.49611090000000002</v>
      </c>
      <c r="F6056" t="s">
        <v>42</v>
      </c>
      <c r="G6056">
        <v>-189.47900000000001</v>
      </c>
      <c r="H6056" s="1">
        <v>-2.4020559999999999E-6</v>
      </c>
      <c r="I6056">
        <v>-34.98339</v>
      </c>
      <c r="J6056">
        <v>-197.53039999999999</v>
      </c>
      <c r="K6056">
        <v>1.1238589999999999</v>
      </c>
      <c r="L6056">
        <v>-55.238340000000001</v>
      </c>
      <c r="M6056">
        <v>0.71611199999999997</v>
      </c>
      <c r="N6056">
        <v>-1.6264810000000001E-2</v>
      </c>
      <c r="O6056">
        <v>0.69779590000000002</v>
      </c>
      <c r="P6056">
        <v>0.38846920000000001</v>
      </c>
      <c r="Q6056">
        <v>-9.5972290000000005E-3</v>
      </c>
      <c r="R6056">
        <v>0.92141169999999994</v>
      </c>
      <c r="S6056">
        <v>1.1218870000000001</v>
      </c>
      <c r="T6056">
        <v>-0.15282089999999901</v>
      </c>
      <c r="U6056">
        <v>2.7827760000000001</v>
      </c>
      <c r="V6056">
        <v>-0.38876549999999999</v>
      </c>
      <c r="W6056">
        <v>-8.1243459999999993E-3</v>
      </c>
      <c r="X6056">
        <v>0.92130089999999998</v>
      </c>
      <c r="Y6056">
        <v>-0.40305679999999999</v>
      </c>
      <c r="Z6056">
        <v>-1.404479E-2</v>
      </c>
      <c r="AA6056">
        <v>0.91506719999999997</v>
      </c>
      <c r="AB6056">
        <v>30</v>
      </c>
      <c r="AC6056">
        <v>8.0513999999999708</v>
      </c>
      <c r="AD6056">
        <v>-1.1238614020559901</v>
      </c>
      <c r="AE6056">
        <v>20.254950000000001</v>
      </c>
      <c r="AF6056">
        <v>-8.8641880193396201</v>
      </c>
      <c r="AG6056">
        <v>-1.1238614020559901</v>
      </c>
      <c r="AH6056">
        <v>19.849385925999901</v>
      </c>
      <c r="AI6056">
        <v>92.959476841648197</v>
      </c>
      <c r="AJ6056">
        <v>114.064220667108</v>
      </c>
      <c r="AK6056">
        <v>21.767751728934201</v>
      </c>
      <c r="AL6056">
        <v>90.465495865646204</v>
      </c>
      <c r="AM6056">
        <v>112.878505311593</v>
      </c>
      <c r="AN6056">
        <v>0.99999998366449305</v>
      </c>
    </row>
    <row r="6057" spans="1:40" x14ac:dyDescent="0.25">
      <c r="A6057" t="str">
        <f>"20190305135944658"</f>
        <v>20190305135944658</v>
      </c>
      <c r="B6057" t="str">
        <f>"1551765584655008"</f>
        <v>1551765584655008</v>
      </c>
      <c r="C6057" t="s">
        <v>40</v>
      </c>
      <c r="D6057">
        <v>4.0981519999999998</v>
      </c>
      <c r="E6057">
        <v>0.49688310000000002</v>
      </c>
      <c r="F6057" t="s">
        <v>42</v>
      </c>
      <c r="G6057">
        <v>-190.25450000000001</v>
      </c>
      <c r="H6057" s="1">
        <v>-1.2231209999999999E-6</v>
      </c>
      <c r="I6057">
        <v>-37.717619999999997</v>
      </c>
      <c r="J6057">
        <v>-197.3192</v>
      </c>
      <c r="K6057">
        <v>1.123802</v>
      </c>
      <c r="L6057">
        <v>-55.007599999999996</v>
      </c>
      <c r="M6057">
        <v>0.7025228</v>
      </c>
      <c r="N6057">
        <v>-1.6279249999999999E-2</v>
      </c>
      <c r="O6057">
        <v>0.71147510000000003</v>
      </c>
      <c r="P6057">
        <v>0.3753649</v>
      </c>
      <c r="Q6057">
        <v>-1.3194269999999999E-2</v>
      </c>
      <c r="R6057">
        <v>0.92678320000000003</v>
      </c>
      <c r="S6057">
        <v>1.1499629999999901</v>
      </c>
      <c r="T6057">
        <v>-0.17762900000000001</v>
      </c>
      <c r="U6057">
        <v>2.769196</v>
      </c>
      <c r="V6057">
        <v>-0.3839072</v>
      </c>
      <c r="W6057">
        <v>-1.1480499999999999E-2</v>
      </c>
      <c r="X6057">
        <v>0.92330029999999996</v>
      </c>
      <c r="Y6057">
        <v>-0.37578020000000001</v>
      </c>
      <c r="Z6057">
        <v>-2.0184549999999999E-2</v>
      </c>
      <c r="AA6057">
        <v>0.92648900000000001</v>
      </c>
      <c r="AB6057">
        <v>30</v>
      </c>
      <c r="AC6057">
        <v>7.0646999999999798</v>
      </c>
      <c r="AD6057">
        <v>-1.123803223121</v>
      </c>
      <c r="AE6057">
        <v>17.2899799999999</v>
      </c>
      <c r="AF6057">
        <v>-7.09550284114753</v>
      </c>
      <c r="AG6057">
        <v>-1.123803223121</v>
      </c>
      <c r="AH6057">
        <v>17.204505718532101</v>
      </c>
      <c r="AI6057">
        <v>93.4556821382198</v>
      </c>
      <c r="AJ6057">
        <v>112.41228884222301</v>
      </c>
      <c r="AK6057">
        <v>18.644144154989601</v>
      </c>
      <c r="AL6057">
        <v>90.657798652328196</v>
      </c>
      <c r="AM6057">
        <v>112.577484870121</v>
      </c>
      <c r="AN6057">
        <v>0.99999999203608902</v>
      </c>
    </row>
    <row r="6058" spans="1:40" x14ac:dyDescent="0.25">
      <c r="A6058" t="str">
        <f>"20190305135944681"</f>
        <v>20190305135944681</v>
      </c>
      <c r="B6058" t="str">
        <f>"1551765584674528"</f>
        <v>1551765584674528</v>
      </c>
      <c r="C6058" t="s">
        <v>40</v>
      </c>
      <c r="D6058">
        <v>4.1155650000000001</v>
      </c>
      <c r="E6058">
        <v>0.49725730000000001</v>
      </c>
      <c r="F6058" t="s">
        <v>42</v>
      </c>
      <c r="G6058">
        <v>-190.43430000000001</v>
      </c>
      <c r="H6058" s="1">
        <v>-1.221857E-6</v>
      </c>
      <c r="I6058">
        <v>-37.832059999999998</v>
      </c>
      <c r="J6058">
        <v>-197.13210000000001</v>
      </c>
      <c r="K6058">
        <v>1.123699</v>
      </c>
      <c r="L6058">
        <v>-54.794800000000002</v>
      </c>
      <c r="M6058">
        <v>0.69008959999999997</v>
      </c>
      <c r="N6058">
        <v>-1.6275789999999998E-2</v>
      </c>
      <c r="O6058">
        <v>0.72354079999999998</v>
      </c>
      <c r="P6058">
        <v>0.36282320000000001</v>
      </c>
      <c r="Q6058">
        <v>-1.7364750000000002E-2</v>
      </c>
      <c r="R6058">
        <v>0.93169619999999997</v>
      </c>
      <c r="S6058">
        <v>1.115448</v>
      </c>
      <c r="T6058">
        <v>-0.18207029999999999</v>
      </c>
      <c r="U6058">
        <v>2.782654</v>
      </c>
      <c r="V6058">
        <v>-0.38018079999999999</v>
      </c>
      <c r="W6058">
        <v>-1.543219E-2</v>
      </c>
      <c r="X6058">
        <v>0.92478340000000003</v>
      </c>
      <c r="Y6058">
        <v>-0.37118119999999999</v>
      </c>
      <c r="Z6058">
        <v>-2.190075E-2</v>
      </c>
      <c r="AA6058">
        <v>0.92830210000000002</v>
      </c>
      <c r="AB6058">
        <v>30</v>
      </c>
      <c r="AC6058">
        <v>6.6978</v>
      </c>
      <c r="AD6058">
        <v>-1.123700221857</v>
      </c>
      <c r="AE6058">
        <v>16.96274</v>
      </c>
      <c r="AF6058">
        <v>-6.8346403524044996</v>
      </c>
      <c r="AG6058">
        <v>-1.123700221857</v>
      </c>
      <c r="AH6058">
        <v>16.833646936153801</v>
      </c>
      <c r="AI6058">
        <v>93.5392236693082</v>
      </c>
      <c r="AJ6058">
        <v>112.097677522647</v>
      </c>
      <c r="AK6058">
        <v>18.202930536218499</v>
      </c>
      <c r="AL6058">
        <v>90.884234486028205</v>
      </c>
      <c r="AM6058">
        <v>112.34768800971599</v>
      </c>
      <c r="AN6058">
        <v>0.99999996504619704</v>
      </c>
    </row>
    <row r="6059" spans="1:40" x14ac:dyDescent="0.25">
      <c r="A6059" t="str">
        <f>"20190305135944700"</f>
        <v>20190305135944700</v>
      </c>
      <c r="B6059" t="str">
        <f>"1551765584695025"</f>
        <v>1551765584695025</v>
      </c>
      <c r="C6059" t="s">
        <v>40</v>
      </c>
      <c r="D6059">
        <v>4.1134820000000003</v>
      </c>
      <c r="E6059">
        <v>0.49797930000000001</v>
      </c>
      <c r="F6059" t="s">
        <v>42</v>
      </c>
      <c r="G6059">
        <v>-190.73519999999999</v>
      </c>
      <c r="H6059" s="1">
        <v>-1.1298040000000001E-6</v>
      </c>
      <c r="I6059">
        <v>-38.233260000000001</v>
      </c>
      <c r="J6059">
        <v>-196.958</v>
      </c>
      <c r="K6059">
        <v>1.1235630000000001</v>
      </c>
      <c r="L6059">
        <v>-54.590330000000002</v>
      </c>
      <c r="M6059">
        <v>0.67824449999999903</v>
      </c>
      <c r="N6059">
        <v>-1.6258740000000001E-2</v>
      </c>
      <c r="O6059">
        <v>0.73465649999999905</v>
      </c>
      <c r="P6059">
        <v>0.35085830000000001</v>
      </c>
      <c r="Q6059">
        <v>-2.111466E-2</v>
      </c>
      <c r="R6059">
        <v>0.93619050000000004</v>
      </c>
      <c r="S6059">
        <v>1.079895</v>
      </c>
      <c r="T6059">
        <v>-0.18969749999999999</v>
      </c>
      <c r="U6059">
        <v>2.7958370000000001</v>
      </c>
      <c r="V6059">
        <v>-0.37682789999999999</v>
      </c>
      <c r="W6059">
        <v>-1.8959009999999998E-2</v>
      </c>
      <c r="X6059">
        <v>0.92608919999999995</v>
      </c>
      <c r="Y6059">
        <v>-0.3678516</v>
      </c>
      <c r="Z6059">
        <v>-2.422521E-2</v>
      </c>
      <c r="AA6059">
        <v>0.92956890000000003</v>
      </c>
      <c r="AB6059">
        <v>30</v>
      </c>
      <c r="AC6059">
        <v>6.2228000000000003</v>
      </c>
      <c r="AD6059">
        <v>-1.12356412980399</v>
      </c>
      <c r="AE6059">
        <v>16.35707</v>
      </c>
      <c r="AF6059">
        <v>-6.49655699988684</v>
      </c>
      <c r="AG6059">
        <v>-1.12356412980399</v>
      </c>
      <c r="AH6059">
        <v>16.1728926835858</v>
      </c>
      <c r="AI6059">
        <v>93.688494683537698</v>
      </c>
      <c r="AJ6059">
        <v>111.885041467538</v>
      </c>
      <c r="AK6059">
        <v>17.465111135098599</v>
      </c>
      <c r="AL6059">
        <v>91.086336388186197</v>
      </c>
      <c r="AM6059">
        <v>112.141524643362</v>
      </c>
      <c r="AN6059">
        <v>0.99999995831761401</v>
      </c>
    </row>
    <row r="6060" spans="1:40" x14ac:dyDescent="0.25">
      <c r="A6060" t="str">
        <f>"20190305135944725"</f>
        <v>20190305135944725</v>
      </c>
      <c r="B6060" t="str">
        <f>"1551765584714545"</f>
        <v>1551765584714545</v>
      </c>
      <c r="C6060" t="s">
        <v>40</v>
      </c>
      <c r="D6060">
        <v>4.112044</v>
      </c>
      <c r="E6060">
        <v>0.50301019999999996</v>
      </c>
      <c r="F6060" t="s">
        <v>42</v>
      </c>
      <c r="G6060">
        <v>-190.93209999999999</v>
      </c>
      <c r="H6060" s="1">
        <v>-1.0831460000000001E-6</v>
      </c>
      <c r="I6060">
        <v>-38.464179999999999</v>
      </c>
      <c r="J6060">
        <v>-196.75819999999999</v>
      </c>
      <c r="K6060">
        <v>1.123372</v>
      </c>
      <c r="L6060">
        <v>-54.347050000000003</v>
      </c>
      <c r="M6060">
        <v>0.66430529999999999</v>
      </c>
      <c r="N6060">
        <v>-1.6225E-2</v>
      </c>
      <c r="O6060">
        <v>0.74728519999999998</v>
      </c>
      <c r="P6060">
        <v>0.33959020000000001</v>
      </c>
      <c r="Q6060">
        <v>-2.6149990000000001E-2</v>
      </c>
      <c r="R6060">
        <v>0.94020990000000004</v>
      </c>
      <c r="S6060">
        <v>1.048889</v>
      </c>
      <c r="T6060">
        <v>-0.19557169999999999</v>
      </c>
      <c r="U6060">
        <v>2.8069760000000001</v>
      </c>
      <c r="V6060">
        <v>-0.3702781</v>
      </c>
      <c r="W6060">
        <v>-2.3616999999999999E-2</v>
      </c>
      <c r="X6060">
        <v>0.92862060000000002</v>
      </c>
      <c r="Y6060">
        <v>-0.36059170000000001</v>
      </c>
      <c r="Z6060">
        <v>-2.6496370000000002E-2</v>
      </c>
      <c r="AA6060">
        <v>0.93234740000000005</v>
      </c>
      <c r="AB6060">
        <v>30</v>
      </c>
      <c r="AC6060">
        <v>5.8260999999999896</v>
      </c>
      <c r="AD6060">
        <v>-1.123373083146</v>
      </c>
      <c r="AE6060">
        <v>15.88287</v>
      </c>
      <c r="AF6060">
        <v>-6.1709233043210103</v>
      </c>
      <c r="AG6060">
        <v>-1.123373083146</v>
      </c>
      <c r="AH6060">
        <v>15.672312127982901</v>
      </c>
      <c r="AI6060">
        <v>93.815689249009395</v>
      </c>
      <c r="AJ6060">
        <v>111.49188305467599</v>
      </c>
      <c r="AK6060">
        <v>16.880865764191999</v>
      </c>
      <c r="AL6060">
        <v>91.353280345823293</v>
      </c>
      <c r="AM6060">
        <v>111.73914323346</v>
      </c>
      <c r="AN6060">
        <v>0.99999992638648205</v>
      </c>
    </row>
    <row r="6061" spans="1:40" x14ac:dyDescent="0.25">
      <c r="A6061" t="str">
        <f>"20190305135944746"</f>
        <v>20190305135944746</v>
      </c>
      <c r="B6061" t="str">
        <f>"1551765584735040"</f>
        <v>1551765584735040</v>
      </c>
      <c r="C6061" t="s">
        <v>40</v>
      </c>
      <c r="D6061">
        <v>4.105607</v>
      </c>
      <c r="E6061">
        <v>0.50363950000000002</v>
      </c>
      <c r="F6061" t="s">
        <v>42</v>
      </c>
      <c r="G6061">
        <v>-189.89920000000001</v>
      </c>
      <c r="H6061" s="1">
        <v>-1.891345E-6</v>
      </c>
      <c r="I6061">
        <v>-36.000140000000002</v>
      </c>
      <c r="J6061">
        <v>-196.58459999999999</v>
      </c>
      <c r="K6061">
        <v>1.1232070000000001</v>
      </c>
      <c r="L6061">
        <v>-54.128540000000001</v>
      </c>
      <c r="M6061">
        <v>0.65193730000000005</v>
      </c>
      <c r="N6061">
        <v>-1.618905E-2</v>
      </c>
      <c r="O6061">
        <v>0.75810010000000005</v>
      </c>
      <c r="P6061">
        <v>0.3268355</v>
      </c>
      <c r="Q6061">
        <v>-2.3611569999999998E-2</v>
      </c>
      <c r="R6061">
        <v>0.94478629999999997</v>
      </c>
      <c r="S6061">
        <v>1.049393</v>
      </c>
      <c r="T6061">
        <v>-0.1718701</v>
      </c>
      <c r="U6061">
        <v>2.8069760000000001</v>
      </c>
      <c r="V6061">
        <v>-0.36772440000000001</v>
      </c>
      <c r="W6061">
        <v>-2.0856059999999999E-2</v>
      </c>
      <c r="X6061">
        <v>0.92970090000000005</v>
      </c>
      <c r="Y6061">
        <v>-0.34508220000000001</v>
      </c>
      <c r="Z6061">
        <v>-2.26365E-2</v>
      </c>
      <c r="AA6061">
        <v>0.93829949999999995</v>
      </c>
      <c r="AB6061">
        <v>30</v>
      </c>
      <c r="AC6061">
        <v>6.68539999999998</v>
      </c>
      <c r="AD6061">
        <v>-1.123208891345</v>
      </c>
      <c r="AE6061">
        <v>18.128399999999999</v>
      </c>
      <c r="AF6061">
        <v>-6.7285246307546096</v>
      </c>
      <c r="AG6061">
        <v>-1.123208891345</v>
      </c>
      <c r="AH6061">
        <v>18.043002856541101</v>
      </c>
      <c r="AI6061">
        <v>93.338166910362702</v>
      </c>
      <c r="AJ6061">
        <v>110.45129074459901</v>
      </c>
      <c r="AK6061">
        <v>19.289494394654799</v>
      </c>
      <c r="AL6061">
        <v>91.195050878309701</v>
      </c>
      <c r="AM6061">
        <v>111.580272923496</v>
      </c>
      <c r="AN6061">
        <v>0.99999998652744604</v>
      </c>
    </row>
    <row r="6062" spans="1:40" x14ac:dyDescent="0.25">
      <c r="A6062" t="str">
        <f>"20190305135944769"</f>
        <v>20190305135944769</v>
      </c>
      <c r="B6062" t="str">
        <f>"1551765584765296"</f>
        <v>1551765584765296</v>
      </c>
      <c r="C6062" t="s">
        <v>40</v>
      </c>
      <c r="D6062">
        <v>4.108638</v>
      </c>
      <c r="E6062">
        <v>0.50811819999999996</v>
      </c>
      <c r="F6062" t="s">
        <v>42</v>
      </c>
      <c r="G6062">
        <v>-189.65729999999999</v>
      </c>
      <c r="H6062" s="1">
        <v>-2.404399E-6</v>
      </c>
      <c r="I6062">
        <v>-34.90419</v>
      </c>
      <c r="J6062">
        <v>-196.4127</v>
      </c>
      <c r="K6062">
        <v>1.123035</v>
      </c>
      <c r="L6062">
        <v>-53.904940000000003</v>
      </c>
      <c r="M6062">
        <v>0.63947679999999996</v>
      </c>
      <c r="N6062">
        <v>-1.6144909999999998E-2</v>
      </c>
      <c r="O6062">
        <v>0.76864089999999996</v>
      </c>
      <c r="P6062">
        <v>0.31436770000000003</v>
      </c>
      <c r="Q6062">
        <v>-1.9734169999999999E-2</v>
      </c>
      <c r="R6062">
        <v>0.9490961</v>
      </c>
      <c r="S6062">
        <v>1.016052</v>
      </c>
      <c r="T6062">
        <v>-0.16474510000000001</v>
      </c>
      <c r="U6062">
        <v>2.8197019999999999</v>
      </c>
      <c r="V6062">
        <v>-0.36498390000000003</v>
      </c>
      <c r="W6062">
        <v>-1.6733209999999998E-2</v>
      </c>
      <c r="X6062">
        <v>0.93086340000000001</v>
      </c>
      <c r="Y6062">
        <v>-0.34093770000000001</v>
      </c>
      <c r="Z6062">
        <v>-2.1817059999999999E-2</v>
      </c>
      <c r="AA6062">
        <v>0.93983269999999997</v>
      </c>
      <c r="AB6062">
        <v>30</v>
      </c>
      <c r="AC6062">
        <v>6.7553999999999998</v>
      </c>
      <c r="AD6062">
        <v>-1.1230374043989999</v>
      </c>
      <c r="AE6062">
        <v>19.00075</v>
      </c>
      <c r="AF6062">
        <v>-6.9374532763330299</v>
      </c>
      <c r="AG6062">
        <v>-1.1230374043989999</v>
      </c>
      <c r="AH6062">
        <v>18.868622945110001</v>
      </c>
      <c r="AI6062">
        <v>93.197368561629105</v>
      </c>
      <c r="AJ6062">
        <v>110.18703228638699</v>
      </c>
      <c r="AK6062">
        <v>20.134905085887901</v>
      </c>
      <c r="AL6062">
        <v>90.958787097479203</v>
      </c>
      <c r="AM6062">
        <v>111.409738136556</v>
      </c>
      <c r="AN6062">
        <v>0.99999995851783596</v>
      </c>
    </row>
    <row r="6063" spans="1:40" x14ac:dyDescent="0.25">
      <c r="A6063" t="str">
        <f>"20190305135944793"</f>
        <v>20190305135944793</v>
      </c>
      <c r="B6063" t="str">
        <f>"1551765584785322"</f>
        <v>1551765584785322</v>
      </c>
      <c r="C6063" t="s">
        <v>40</v>
      </c>
      <c r="D6063">
        <v>4.0806420000000001</v>
      </c>
      <c r="E6063">
        <v>0.50842770000000004</v>
      </c>
      <c r="F6063" t="s">
        <v>42</v>
      </c>
      <c r="G6063">
        <v>-188.48830000000001</v>
      </c>
      <c r="H6063" s="1">
        <v>-3.9428370000000001E-6</v>
      </c>
      <c r="I6063">
        <v>-31.801410000000001</v>
      </c>
      <c r="J6063">
        <v>-196.22489999999999</v>
      </c>
      <c r="K6063">
        <v>1.1227849999999999</v>
      </c>
      <c r="L6063">
        <v>-53.652470000000001</v>
      </c>
      <c r="M6063">
        <v>0.62567569999999995</v>
      </c>
      <c r="N6063">
        <v>-1.6084040000000001E-2</v>
      </c>
      <c r="O6063">
        <v>0.77991750000000004</v>
      </c>
      <c r="P6063">
        <v>0.30091449999999997</v>
      </c>
      <c r="Q6063">
        <v>-1.878784E-2</v>
      </c>
      <c r="R6063">
        <v>0.95346609999999998</v>
      </c>
      <c r="S6063">
        <v>1.011978</v>
      </c>
      <c r="T6063">
        <v>-0.1434174</v>
      </c>
      <c r="U6063">
        <v>2.8227229999999999</v>
      </c>
      <c r="V6063">
        <v>-0.36160740000000002</v>
      </c>
      <c r="W6063">
        <v>-1.5487229999999999E-2</v>
      </c>
      <c r="X6063">
        <v>0.93220179999999997</v>
      </c>
      <c r="Y6063">
        <v>-0.32567040000000003</v>
      </c>
      <c r="Z6063">
        <v>-1.8042200000000001E-2</v>
      </c>
      <c r="AA6063">
        <v>0.94531120000000002</v>
      </c>
      <c r="AB6063">
        <v>30</v>
      </c>
      <c r="AC6063">
        <v>7.7365999999999797</v>
      </c>
      <c r="AD6063">
        <v>-1.1227889428369999</v>
      </c>
      <c r="AE6063">
        <v>21.85106</v>
      </c>
      <c r="AF6063">
        <v>-7.6208754320489698</v>
      </c>
      <c r="AG6063">
        <v>-1.1227889428369999</v>
      </c>
      <c r="AH6063">
        <v>21.8342299104762</v>
      </c>
      <c r="AI6063">
        <v>92.779582479835199</v>
      </c>
      <c r="AJ6063">
        <v>109.240693019037</v>
      </c>
      <c r="AK6063">
        <v>23.1532285684847</v>
      </c>
      <c r="AL6063">
        <v>90.887388408628794</v>
      </c>
      <c r="AM6063">
        <v>111.201610809721</v>
      </c>
      <c r="AN6063">
        <v>0.999999980975536</v>
      </c>
    </row>
    <row r="6064" spans="1:40" x14ac:dyDescent="0.25">
      <c r="A6064" t="str">
        <f>"20190305135944814"</f>
        <v>20190305135944814</v>
      </c>
      <c r="B6064" t="str">
        <f>"1551765584804842"</f>
        <v>1551765584804842</v>
      </c>
      <c r="C6064" t="s">
        <v>40</v>
      </c>
      <c r="D6064">
        <v>4.3905760000000003</v>
      </c>
      <c r="E6064">
        <v>0.5101736</v>
      </c>
      <c r="F6064" t="s">
        <v>42</v>
      </c>
      <c r="G6064">
        <v>-188.4228</v>
      </c>
      <c r="H6064" s="1">
        <v>-4.3261529999999999E-6</v>
      </c>
      <c r="I6064">
        <v>-30.935009999999998</v>
      </c>
      <c r="J6064">
        <v>-196.06020000000001</v>
      </c>
      <c r="K6064">
        <v>1.122528</v>
      </c>
      <c r="L6064">
        <v>-53.423430000000003</v>
      </c>
      <c r="M6064">
        <v>0.61344209999999999</v>
      </c>
      <c r="N6064">
        <v>-1.601909E-2</v>
      </c>
      <c r="O6064">
        <v>0.78957719999999998</v>
      </c>
      <c r="P6064">
        <v>0.28917900000000002</v>
      </c>
      <c r="Q6064">
        <v>-1.8991460000000002E-2</v>
      </c>
      <c r="R6064">
        <v>0.95708660000000001</v>
      </c>
      <c r="S6064">
        <v>0.97409060000000003</v>
      </c>
      <c r="T6064">
        <v>-0.14017869999999999</v>
      </c>
      <c r="U6064">
        <v>2.8362430000000001</v>
      </c>
      <c r="V6064">
        <v>-0.35852580000000001</v>
      </c>
      <c r="W6064">
        <v>-1.5405739999999999E-2</v>
      </c>
      <c r="X6064">
        <v>0.93339269999999996</v>
      </c>
      <c r="Y6064">
        <v>-0.32361610000000002</v>
      </c>
      <c r="Z6064">
        <v>-1.7837499999999999E-2</v>
      </c>
      <c r="AA6064">
        <v>0.94602030000000004</v>
      </c>
      <c r="AB6064">
        <v>30</v>
      </c>
      <c r="AC6064">
        <v>7.6374000000000102</v>
      </c>
      <c r="AD6064">
        <v>-1.122532326153</v>
      </c>
      <c r="AE6064">
        <v>22.488420000000001</v>
      </c>
      <c r="AF6064">
        <v>-7.7487130351180404</v>
      </c>
      <c r="AG6064">
        <v>-1.122532326153</v>
      </c>
      <c r="AH6064">
        <v>22.3942988566472</v>
      </c>
      <c r="AI6064">
        <v>92.712088375061498</v>
      </c>
      <c r="AJ6064">
        <v>109.086272729394</v>
      </c>
      <c r="AK6064">
        <v>23.723559045908299</v>
      </c>
      <c r="AL6064">
        <v>90.882718793402901</v>
      </c>
      <c r="AM6064">
        <v>111.012299497632</v>
      </c>
      <c r="AN6064">
        <v>1.0000000092519301</v>
      </c>
    </row>
    <row r="6065" spans="1:40" x14ac:dyDescent="0.25">
      <c r="A6065" t="str">
        <f>"20190305135944837"</f>
        <v>20190305135944837</v>
      </c>
      <c r="B6065" t="str">
        <f>"1551765584825341"</f>
        <v>1551765584825341</v>
      </c>
      <c r="C6065" t="s">
        <v>40</v>
      </c>
      <c r="D6065">
        <v>4.0751999999999997</v>
      </c>
      <c r="E6065">
        <v>0.51118479999999999</v>
      </c>
      <c r="F6065" t="s">
        <v>42</v>
      </c>
      <c r="G6065">
        <v>-187.9999</v>
      </c>
      <c r="H6065" s="1">
        <v>-8.7685450000000004E-7</v>
      </c>
      <c r="I6065">
        <v>-29.339079999999999</v>
      </c>
      <c r="J6065">
        <v>-195.89570000000001</v>
      </c>
      <c r="K6065">
        <v>1.122242</v>
      </c>
      <c r="L6065">
        <v>-53.187620000000003</v>
      </c>
      <c r="M6065">
        <v>0.60115229999999997</v>
      </c>
      <c r="N6065">
        <v>-1.5945190000000001E-2</v>
      </c>
      <c r="O6065">
        <v>0.79897549999999995</v>
      </c>
      <c r="P6065">
        <v>0.27711730000000001</v>
      </c>
      <c r="Q6065">
        <v>-1.7948789999999999E-2</v>
      </c>
      <c r="R6065">
        <v>0.96066839999999998</v>
      </c>
      <c r="S6065">
        <v>0.95188899999999999</v>
      </c>
      <c r="T6065">
        <v>-0.132566299999999</v>
      </c>
      <c r="U6065">
        <v>2.8442690000000002</v>
      </c>
      <c r="V6065">
        <v>-0.35587780000000002</v>
      </c>
      <c r="W6065">
        <v>-1.4074969999999999E-2</v>
      </c>
      <c r="X6065">
        <v>0.93442650000000005</v>
      </c>
      <c r="Y6065">
        <v>-0.31641909999999901</v>
      </c>
      <c r="Z6065">
        <v>-1.6685530000000001E-2</v>
      </c>
      <c r="AA6065">
        <v>0.94847269999999995</v>
      </c>
      <c r="AB6065">
        <v>29</v>
      </c>
      <c r="AC6065">
        <v>7.8958000000000004</v>
      </c>
      <c r="AD6065">
        <v>-1.1222428768545001</v>
      </c>
      <c r="AE6065">
        <v>23.84854</v>
      </c>
      <c r="AF6065">
        <v>-8.0130828567679302</v>
      </c>
      <c r="AG6065">
        <v>-1.1222428768545001</v>
      </c>
      <c r="AH6065">
        <v>23.756592406468702</v>
      </c>
      <c r="AI6065">
        <v>92.562935182974698</v>
      </c>
      <c r="AJ6065">
        <v>108.639216638326</v>
      </c>
      <c r="AK6065">
        <v>25.096705136554601</v>
      </c>
      <c r="AL6065">
        <v>90.806463007753607</v>
      </c>
      <c r="AM6065">
        <v>110.84941386435899</v>
      </c>
      <c r="AN6065">
        <v>0.99999999860779498</v>
      </c>
    </row>
    <row r="6066" spans="1:40" x14ac:dyDescent="0.25">
      <c r="A6066" t="str">
        <f>"20190305135944863"</f>
        <v>20190305135944863</v>
      </c>
      <c r="B6066" t="str">
        <f>"1551765584854618"</f>
        <v>1551765584854618</v>
      </c>
      <c r="C6066" t="s">
        <v>40</v>
      </c>
      <c r="D6066">
        <v>4.1396790000000001</v>
      </c>
      <c r="E6066">
        <v>0.51309819999999995</v>
      </c>
      <c r="F6066" t="s">
        <v>42</v>
      </c>
      <c r="G6066">
        <v>-187.8322</v>
      </c>
      <c r="H6066" s="1">
        <v>-1.283067E-6</v>
      </c>
      <c r="I6066">
        <v>-28.276530000000001</v>
      </c>
      <c r="J6066">
        <v>-195.71279999999999</v>
      </c>
      <c r="K6066">
        <v>1.1218939999999999</v>
      </c>
      <c r="L6066">
        <v>-52.915990000000001</v>
      </c>
      <c r="M6066">
        <v>0.5874414</v>
      </c>
      <c r="N6066">
        <v>-1.5852669999999999E-2</v>
      </c>
      <c r="O6066">
        <v>0.80911140000000004</v>
      </c>
      <c r="P6066">
        <v>0.26372649999999997</v>
      </c>
      <c r="Q6066">
        <v>-1.6628919999999998E-2</v>
      </c>
      <c r="R6066">
        <v>0.96445420000000004</v>
      </c>
      <c r="S6066">
        <v>0.9237976</v>
      </c>
      <c r="T6066">
        <v>-0.12856999999999999</v>
      </c>
      <c r="U6066">
        <v>2.8539430000000001</v>
      </c>
      <c r="V6066">
        <v>-0.35300690000000001</v>
      </c>
      <c r="W6066">
        <v>-1.2420479999999999E-2</v>
      </c>
      <c r="X6066">
        <v>0.93553830000000004</v>
      </c>
      <c r="Y6066">
        <v>-0.30963689999999999</v>
      </c>
      <c r="Z6066">
        <v>-1.6361839999999999E-2</v>
      </c>
      <c r="AA6066">
        <v>0.95071410000000001</v>
      </c>
      <c r="AB6066">
        <v>29</v>
      </c>
      <c r="AC6066">
        <v>7.8805999999999798</v>
      </c>
      <c r="AD6066">
        <v>-1.1218952830669999</v>
      </c>
      <c r="AE6066">
        <v>24.63946</v>
      </c>
      <c r="AF6066">
        <v>-8.0837694453325994</v>
      </c>
      <c r="AG6066">
        <v>-1.1218952830669999</v>
      </c>
      <c r="AH6066">
        <v>24.522424492991799</v>
      </c>
      <c r="AI6066">
        <v>92.487927654433406</v>
      </c>
      <c r="AJ6066">
        <v>108.244703188454</v>
      </c>
      <c r="AK6066">
        <v>25.8448308271876</v>
      </c>
      <c r="AL6066">
        <v>90.711659364092597</v>
      </c>
      <c r="AM6066">
        <v>110.673008339886</v>
      </c>
      <c r="AN6066">
        <v>1.00000002526896</v>
      </c>
    </row>
    <row r="6067" spans="1:40" x14ac:dyDescent="0.25">
      <c r="A6067" t="str">
        <f>"20190305135944883"</f>
        <v>20190305135944883</v>
      </c>
      <c r="B6067" t="str">
        <f>"1551765584875114"</f>
        <v>1551765584875114</v>
      </c>
      <c r="C6067" t="s">
        <v>40</v>
      </c>
      <c r="D6067">
        <v>4.152101</v>
      </c>
      <c r="E6067">
        <v>0.51419219999999999</v>
      </c>
      <c r="F6067" t="s">
        <v>42</v>
      </c>
      <c r="G6067">
        <v>-187.55459999999999</v>
      </c>
      <c r="H6067" s="1">
        <v>-1.9090930000000001E-6</v>
      </c>
      <c r="I6067">
        <v>-26.928190000000001</v>
      </c>
      <c r="J6067">
        <v>-195.5642</v>
      </c>
      <c r="K6067">
        <v>1.1215930000000001</v>
      </c>
      <c r="L6067">
        <v>-52.688450000000003</v>
      </c>
      <c r="M6067">
        <v>0.57626679999999997</v>
      </c>
      <c r="N6067">
        <v>-1.5773760000000001E-2</v>
      </c>
      <c r="O6067">
        <v>0.81710930000000004</v>
      </c>
      <c r="P6067">
        <v>0.25378779999999901</v>
      </c>
      <c r="Q6067">
        <v>-1.5769310000000002E-2</v>
      </c>
      <c r="R6067">
        <v>0.96713139999999997</v>
      </c>
      <c r="S6067">
        <v>0.89866639999999998</v>
      </c>
      <c r="T6067">
        <v>-0.1235831</v>
      </c>
      <c r="U6067">
        <v>2.8627009999999999</v>
      </c>
      <c r="V6067">
        <v>-0.34981689999999999</v>
      </c>
      <c r="W6067">
        <v>-1.125715E-2</v>
      </c>
      <c r="X6067">
        <v>0.93675050000000004</v>
      </c>
      <c r="Y6067">
        <v>-0.30500110000000002</v>
      </c>
      <c r="Z6067">
        <v>-1.562379E-2</v>
      </c>
      <c r="AA6067">
        <v>0.95222379999999995</v>
      </c>
      <c r="AB6067">
        <v>29</v>
      </c>
      <c r="AC6067">
        <v>8.0096000000000007</v>
      </c>
      <c r="AD6067">
        <v>-1.121594909093</v>
      </c>
      <c r="AE6067">
        <v>25.760259999999999</v>
      </c>
      <c r="AF6067">
        <v>-8.2867728960013007</v>
      </c>
      <c r="AG6067">
        <v>-1.121594909093</v>
      </c>
      <c r="AH6067">
        <v>25.6235173366079</v>
      </c>
      <c r="AI6067">
        <v>92.384889676852495</v>
      </c>
      <c r="AJ6067">
        <v>107.92146521086801</v>
      </c>
      <c r="AK6067">
        <v>26.953538188324199</v>
      </c>
      <c r="AL6067">
        <v>90.645000779818801</v>
      </c>
      <c r="AM6067">
        <v>110.47747113635199</v>
      </c>
      <c r="AN6067">
        <v>1.0000000431009901</v>
      </c>
    </row>
    <row r="6068" spans="1:40" x14ac:dyDescent="0.25">
      <c r="A6068" t="str">
        <f>"20190305135944904"</f>
        <v>20190305135944904</v>
      </c>
      <c r="B6068" t="str">
        <f>"1551765584894634"</f>
        <v>1551765584894634</v>
      </c>
      <c r="C6068" t="s">
        <v>40</v>
      </c>
      <c r="D6068">
        <v>4.1542599999999998</v>
      </c>
      <c r="E6068">
        <v>0.51500140000000005</v>
      </c>
      <c r="F6068" t="s">
        <v>42</v>
      </c>
      <c r="G6068">
        <v>-187.35130000000001</v>
      </c>
      <c r="H6068" s="1">
        <v>-2.413322E-6</v>
      </c>
      <c r="I6068">
        <v>-25.83689</v>
      </c>
      <c r="J6068">
        <v>-195.4247</v>
      </c>
      <c r="K6068">
        <v>1.12131</v>
      </c>
      <c r="L6068">
        <v>-52.468989999999998</v>
      </c>
      <c r="M6068">
        <v>0.56572809999999996</v>
      </c>
      <c r="N6068">
        <v>-1.5700059999999998E-2</v>
      </c>
      <c r="O6068">
        <v>0.82444240000000002</v>
      </c>
      <c r="P6068">
        <v>0.24425649999999999</v>
      </c>
      <c r="Q6068">
        <v>-1.471774E-2</v>
      </c>
      <c r="R6068">
        <v>0.96959890000000004</v>
      </c>
      <c r="S6068">
        <v>0.87773129999999999</v>
      </c>
      <c r="T6068">
        <v>-0.1198676</v>
      </c>
      <c r="U6068">
        <v>2.8696899999999999</v>
      </c>
      <c r="V6068">
        <v>-0.34705439999999999</v>
      </c>
      <c r="W6068">
        <v>-9.9434689999999999E-3</v>
      </c>
      <c r="X6068">
        <v>0.93779230000000002</v>
      </c>
      <c r="Y6068">
        <v>-0.29977549999999997</v>
      </c>
      <c r="Z6068">
        <v>-1.514446E-2</v>
      </c>
      <c r="AA6068">
        <v>0.95388949999999995</v>
      </c>
      <c r="AB6068">
        <v>29</v>
      </c>
      <c r="AC6068">
        <v>8.0733999999999906</v>
      </c>
      <c r="AD6068">
        <v>-1.121312413322</v>
      </c>
      <c r="AE6068">
        <v>26.632100000000001</v>
      </c>
      <c r="AF6068">
        <v>-8.3978763989642395</v>
      </c>
      <c r="AG6068">
        <v>-1.121312413322</v>
      </c>
      <c r="AH6068">
        <v>26.4842526357032</v>
      </c>
      <c r="AI6068">
        <v>92.311116677258497</v>
      </c>
      <c r="AJ6068">
        <v>107.593270703296</v>
      </c>
      <c r="AK6068">
        <v>27.8064256461039</v>
      </c>
      <c r="AL6068">
        <v>90.569728188385099</v>
      </c>
      <c r="AM6068">
        <v>110.308302501643</v>
      </c>
      <c r="AN6068">
        <v>1.0000000135372</v>
      </c>
    </row>
    <row r="6069" spans="1:40" x14ac:dyDescent="0.25">
      <c r="A6069" t="str">
        <f>"20190305135944925"</f>
        <v>20190305135944925</v>
      </c>
      <c r="B6069" t="str">
        <f>"1551765584915134"</f>
        <v>1551765584915134</v>
      </c>
      <c r="C6069" t="s">
        <v>40</v>
      </c>
      <c r="D6069">
        <v>4.2914879999999904</v>
      </c>
      <c r="E6069">
        <v>0.51470109999999902</v>
      </c>
      <c r="F6069" t="s">
        <v>42</v>
      </c>
      <c r="G6069">
        <v>-186.97839999999999</v>
      </c>
      <c r="H6069" s="1">
        <v>-3.2425450000000001E-6</v>
      </c>
      <c r="I6069">
        <v>-24.058129999999998</v>
      </c>
      <c r="J6069">
        <v>-195.27279999999999</v>
      </c>
      <c r="K6069">
        <v>1.1210290000000001</v>
      </c>
      <c r="L6069">
        <v>-52.222929999999998</v>
      </c>
      <c r="M6069">
        <v>0.55419560000000001</v>
      </c>
      <c r="N6069">
        <v>-1.562236E-2</v>
      </c>
      <c r="O6069">
        <v>0.83223979999999997</v>
      </c>
      <c r="P6069">
        <v>0.23342679999999999</v>
      </c>
      <c r="Q6069">
        <v>-1.3772039999999999E-2</v>
      </c>
      <c r="R6069">
        <v>0.9722769</v>
      </c>
      <c r="S6069">
        <v>0.85527039999999999</v>
      </c>
      <c r="T6069">
        <v>-0.11354450000000001</v>
      </c>
      <c r="U6069">
        <v>2.8768919999999998</v>
      </c>
      <c r="V6069">
        <v>-0.34449689999999999</v>
      </c>
      <c r="W6069">
        <v>-8.7408580000000007E-3</v>
      </c>
      <c r="X6069">
        <v>0.93874679999999999</v>
      </c>
      <c r="Y6069">
        <v>-0.29398879999999999</v>
      </c>
      <c r="Z6069">
        <v>-1.4018630000000001E-2</v>
      </c>
      <c r="AA6069">
        <v>0.9557061</v>
      </c>
      <c r="AB6069">
        <v>29</v>
      </c>
      <c r="AC6069">
        <v>8.2943999999999907</v>
      </c>
      <c r="AD6069">
        <v>-1.1210322425449999</v>
      </c>
      <c r="AE6069">
        <v>28.1648</v>
      </c>
      <c r="AF6069">
        <v>-8.6942667852660591</v>
      </c>
      <c r="AG6069">
        <v>-1.1210322425449999</v>
      </c>
      <c r="AH6069">
        <v>27.999193102467501</v>
      </c>
      <c r="AI6069">
        <v>92.189751751344602</v>
      </c>
      <c r="AJ6069">
        <v>107.250534227183</v>
      </c>
      <c r="AK6069">
        <v>29.339424033396899</v>
      </c>
      <c r="AL6069">
        <v>90.500820632360103</v>
      </c>
      <c r="AM6069">
        <v>110.15189019559401</v>
      </c>
      <c r="AN6069">
        <v>1.00000003560921</v>
      </c>
    </row>
    <row r="6070" spans="1:40" x14ac:dyDescent="0.25">
      <c r="A6070" t="str">
        <f>"20190305135944950"</f>
        <v>20190305135944950</v>
      </c>
      <c r="B6070" t="str">
        <f>"1551765584945386"</f>
        <v>1551765584945386</v>
      </c>
      <c r="C6070" t="s">
        <v>40</v>
      </c>
      <c r="D6070">
        <v>4.3138110000000003</v>
      </c>
      <c r="E6070">
        <v>0.51455890000000004</v>
      </c>
      <c r="F6070" t="s">
        <v>42</v>
      </c>
      <c r="G6070">
        <v>-187.80340000000001</v>
      </c>
      <c r="H6070" s="1">
        <v>-2.2675549999999999E-6</v>
      </c>
      <c r="I6070">
        <v>-25.98977</v>
      </c>
      <c r="J6070">
        <v>-195.12010000000001</v>
      </c>
      <c r="K6070">
        <v>1.120757</v>
      </c>
      <c r="L6070">
        <v>-51.968440000000001</v>
      </c>
      <c r="M6070">
        <v>0.54255109999999995</v>
      </c>
      <c r="N6070">
        <v>-1.554414E-2</v>
      </c>
      <c r="O6070">
        <v>0.83987900000000004</v>
      </c>
      <c r="P6070">
        <v>0.22181609999999999</v>
      </c>
      <c r="Q6070">
        <v>-1.2954830000000001E-2</v>
      </c>
      <c r="R6070">
        <v>0.97500249999999999</v>
      </c>
      <c r="S6070">
        <v>0.82186890000000001</v>
      </c>
      <c r="T6070">
        <v>-0.12334870000000001</v>
      </c>
      <c r="U6070">
        <v>2.8864749999999999</v>
      </c>
      <c r="V6070">
        <v>-0.34264869999999997</v>
      </c>
      <c r="W6070">
        <v>-7.7013940000000003E-3</v>
      </c>
      <c r="X6070">
        <v>0.93943200000000004</v>
      </c>
      <c r="Y6070">
        <v>-0.29174719999999998</v>
      </c>
      <c r="Z6070">
        <v>-1.6865519999999998E-2</v>
      </c>
      <c r="AA6070">
        <v>0.95634680000000005</v>
      </c>
      <c r="AB6070">
        <v>29</v>
      </c>
      <c r="AC6070">
        <v>7.3166999999999902</v>
      </c>
      <c r="AD6070">
        <v>-1.120759267555</v>
      </c>
      <c r="AE6070">
        <v>25.978670000000001</v>
      </c>
      <c r="AF6070">
        <v>-7.93688725243583</v>
      </c>
      <c r="AG6070">
        <v>-1.120759267555</v>
      </c>
      <c r="AH6070">
        <v>25.747339573405199</v>
      </c>
      <c r="AI6070">
        <v>92.381992447549905</v>
      </c>
      <c r="AJ6070">
        <v>107.13246261634499</v>
      </c>
      <c r="AK6070">
        <v>26.966196908387499</v>
      </c>
      <c r="AL6070">
        <v>90.441261751013002</v>
      </c>
      <c r="AM6070">
        <v>110.03895012156001</v>
      </c>
      <c r="AN6070">
        <v>0.99999996285261505</v>
      </c>
    </row>
    <row r="6071" spans="1:40" x14ac:dyDescent="0.25">
      <c r="A6071" t="str">
        <f>"20190305135944971"</f>
        <v>20190305135944971</v>
      </c>
      <c r="B6071" t="str">
        <f>"1551765584964906"</f>
        <v>1551765584964906</v>
      </c>
      <c r="C6071" t="s">
        <v>40</v>
      </c>
      <c r="D6071">
        <v>4.3010440000000001</v>
      </c>
      <c r="E6071">
        <v>0.51470039999999995</v>
      </c>
      <c r="F6071" t="s">
        <v>42</v>
      </c>
      <c r="G6071">
        <v>-188.3563</v>
      </c>
      <c r="H6071" s="1">
        <v>-1.6995790000000001E-6</v>
      </c>
      <c r="I6071">
        <v>-27.085080000000001</v>
      </c>
      <c r="J6071">
        <v>-194.97929999999999</v>
      </c>
      <c r="K6071">
        <v>1.1205069999999999</v>
      </c>
      <c r="L6071">
        <v>-51.726590000000002</v>
      </c>
      <c r="M6071">
        <v>0.53173539999999997</v>
      </c>
      <c r="N6071">
        <v>-1.5471210000000001E-2</v>
      </c>
      <c r="O6071">
        <v>0.84676929999999995</v>
      </c>
      <c r="P6071">
        <v>0.21145739999999999</v>
      </c>
      <c r="Q6071">
        <v>-1.1517090000000001E-2</v>
      </c>
      <c r="R6071">
        <v>0.97731939999999995</v>
      </c>
      <c r="S6071">
        <v>0.78721619999999903</v>
      </c>
      <c r="T6071">
        <v>-0.13044120000000001</v>
      </c>
      <c r="U6071">
        <v>2.8960880000000002</v>
      </c>
      <c r="V6071">
        <v>-0.34062019999999998</v>
      </c>
      <c r="W6071">
        <v>-6.053559E-3</v>
      </c>
      <c r="X6071">
        <v>0.9401815</v>
      </c>
      <c r="Y6071">
        <v>-0.29094510000000001</v>
      </c>
      <c r="Z6071">
        <v>-1.9024599999999999E-2</v>
      </c>
      <c r="AA6071">
        <v>0.95655060000000003</v>
      </c>
      <c r="AB6071">
        <v>29</v>
      </c>
      <c r="AC6071">
        <v>6.6229999999999896</v>
      </c>
      <c r="AD6071">
        <v>-1.1205086995789999</v>
      </c>
      <c r="AE6071">
        <v>24.64151</v>
      </c>
      <c r="AF6071">
        <v>-7.48107993871698</v>
      </c>
      <c r="AG6071">
        <v>-1.1205086995789999</v>
      </c>
      <c r="AH6071">
        <v>24.343330761650599</v>
      </c>
      <c r="AI6071">
        <v>92.519308374664902</v>
      </c>
      <c r="AJ6071">
        <v>107.082998297035</v>
      </c>
      <c r="AK6071">
        <v>25.491564278530099</v>
      </c>
      <c r="AL6071">
        <v>90.346845496823605</v>
      </c>
      <c r="AM6071">
        <v>109.915044645742</v>
      </c>
      <c r="AN6071">
        <v>1.0000000095834201</v>
      </c>
    </row>
    <row r="6072" spans="1:40" x14ac:dyDescent="0.25">
      <c r="A6072" t="str">
        <f>"20190305135944994"</f>
        <v>20190305135944994</v>
      </c>
      <c r="B6072" t="str">
        <f>"1551765584984427"</f>
        <v>1551765584984427</v>
      </c>
      <c r="C6072" t="s">
        <v>40</v>
      </c>
      <c r="D6072">
        <v>4.3610439999999997</v>
      </c>
      <c r="E6072">
        <v>0.51522630000000003</v>
      </c>
      <c r="F6072" t="s">
        <v>42</v>
      </c>
      <c r="G6072">
        <v>-188.56309999999999</v>
      </c>
      <c r="H6072" s="1">
        <v>-1.634685E-6</v>
      </c>
      <c r="I6072">
        <v>-27.150860000000002</v>
      </c>
      <c r="J6072">
        <v>-194.83539999999999</v>
      </c>
      <c r="K6072">
        <v>1.120258</v>
      </c>
      <c r="L6072">
        <v>-51.472410000000004</v>
      </c>
      <c r="M6072">
        <v>0.52060640000000002</v>
      </c>
      <c r="N6072">
        <v>-1.539692E-2</v>
      </c>
      <c r="O6072">
        <v>0.85365800000000003</v>
      </c>
      <c r="P6072">
        <v>0.201125</v>
      </c>
      <c r="Q6072">
        <v>-1.164449E-2</v>
      </c>
      <c r="R6072">
        <v>0.97949640000000004</v>
      </c>
      <c r="S6072">
        <v>0.75817869999999998</v>
      </c>
      <c r="T6072">
        <v>-0.13240639999999901</v>
      </c>
      <c r="U6072">
        <v>2.9040219999999999</v>
      </c>
      <c r="V6072">
        <v>-0.33823969999999998</v>
      </c>
      <c r="W6072">
        <v>-5.9563979999999999E-3</v>
      </c>
      <c r="X6072">
        <v>0.94104120000000002</v>
      </c>
      <c r="Y6072">
        <v>-0.28801969999999999</v>
      </c>
      <c r="Z6072">
        <v>-1.993731E-2</v>
      </c>
      <c r="AA6072">
        <v>0.95741690000000002</v>
      </c>
      <c r="AB6072">
        <v>29</v>
      </c>
      <c r="AC6072">
        <v>6.2723000000000004</v>
      </c>
      <c r="AD6072">
        <v>-1.120259634685</v>
      </c>
      <c r="AE6072">
        <v>24.321549999999998</v>
      </c>
      <c r="AF6072">
        <v>-7.2939121297056104</v>
      </c>
      <c r="AG6072">
        <v>-1.120259634685</v>
      </c>
      <c r="AH6072">
        <v>23.9828249767796</v>
      </c>
      <c r="AI6072">
        <v>92.558835055679097</v>
      </c>
      <c r="AJ6072">
        <v>106.916123939451</v>
      </c>
      <c r="AK6072">
        <v>25.092469580968199</v>
      </c>
      <c r="AL6072">
        <v>90.341278465182697</v>
      </c>
      <c r="AM6072">
        <v>109.770027477637</v>
      </c>
      <c r="AN6072">
        <v>1.00000005671533</v>
      </c>
    </row>
    <row r="6073" spans="1:40" x14ac:dyDescent="0.25">
      <c r="A6073" t="str">
        <f>"20190305135945016"</f>
        <v>20190305135945016</v>
      </c>
      <c r="B6073" t="str">
        <f>"1551765585004922"</f>
        <v>1551765585004922</v>
      </c>
      <c r="C6073" t="s">
        <v>40</v>
      </c>
      <c r="D6073">
        <v>4.1866430000000001</v>
      </c>
      <c r="E6073">
        <v>0.51600329999999905</v>
      </c>
      <c r="F6073" t="s">
        <v>42</v>
      </c>
      <c r="G6073">
        <v>-188.93950000000001</v>
      </c>
      <c r="H6073" s="1">
        <v>-1.1928860000000001E-6</v>
      </c>
      <c r="I6073">
        <v>-28.025089999999999</v>
      </c>
      <c r="J6073">
        <v>-194.69839999999999</v>
      </c>
      <c r="K6073">
        <v>1.120018</v>
      </c>
      <c r="L6073">
        <v>-51.223390000000002</v>
      </c>
      <c r="M6073">
        <v>0.50993789999999894</v>
      </c>
      <c r="N6073">
        <v>-1.532596E-2</v>
      </c>
      <c r="O6073">
        <v>0.86007469999999997</v>
      </c>
      <c r="P6073">
        <v>0.19104199999999999</v>
      </c>
      <c r="Q6073">
        <v>-1.1584870000000001E-2</v>
      </c>
      <c r="R6073">
        <v>0.98151350000000004</v>
      </c>
      <c r="S6073">
        <v>0.73194890000000001</v>
      </c>
      <c r="T6073">
        <v>-0.13907410000000001</v>
      </c>
      <c r="U6073">
        <v>2.9108580000000002</v>
      </c>
      <c r="V6073">
        <v>-0.33620450000000002</v>
      </c>
      <c r="W6073">
        <v>-5.6862500000000003E-3</v>
      </c>
      <c r="X6073">
        <v>0.9417719</v>
      </c>
      <c r="Y6073">
        <v>-0.28475030000000001</v>
      </c>
      <c r="Z6073">
        <v>-2.2074949999999999E-2</v>
      </c>
      <c r="AA6073">
        <v>0.95834759999999997</v>
      </c>
      <c r="AB6073">
        <v>29</v>
      </c>
      <c r="AC6073">
        <v>5.7588999999999801</v>
      </c>
      <c r="AD6073">
        <v>-1.1200191928859999</v>
      </c>
      <c r="AE6073">
        <v>23.1983</v>
      </c>
      <c r="AF6073">
        <v>-6.8623483720927299</v>
      </c>
      <c r="AG6073">
        <v>-1.1200191928859999</v>
      </c>
      <c r="AH6073">
        <v>22.841488126570599</v>
      </c>
      <c r="AI6073">
        <v>92.688683342867705</v>
      </c>
      <c r="AJ6073">
        <v>106.722028756688</v>
      </c>
      <c r="AK6073">
        <v>23.876344946592202</v>
      </c>
      <c r="AL6073">
        <v>90.325799863913403</v>
      </c>
      <c r="AM6073">
        <v>109.646129161095</v>
      </c>
      <c r="AN6073">
        <v>1.0000000554444499</v>
      </c>
    </row>
    <row r="6074" spans="1:40" x14ac:dyDescent="0.25">
      <c r="A6074" t="str">
        <f>"20190305135945039"</f>
        <v>20190305135945039</v>
      </c>
      <c r="B6074" t="str">
        <f>"1551765585035178"</f>
        <v>1551765585035178</v>
      </c>
      <c r="C6074" t="s">
        <v>40</v>
      </c>
      <c r="D6074">
        <v>4.3856979999999997</v>
      </c>
      <c r="E6074">
        <v>0.51697599999999999</v>
      </c>
      <c r="F6074" t="s">
        <v>42</v>
      </c>
      <c r="G6074">
        <v>-189.05170000000001</v>
      </c>
      <c r="H6074" s="1">
        <v>-1.1968619999999999E-6</v>
      </c>
      <c r="I6074">
        <v>-27.96941</v>
      </c>
      <c r="J6074">
        <v>-194.5643</v>
      </c>
      <c r="K6074">
        <v>1.1197729999999999</v>
      </c>
      <c r="L6074">
        <v>-50.972720000000002</v>
      </c>
      <c r="M6074">
        <v>0.49942579999999998</v>
      </c>
      <c r="N6074">
        <v>-1.5255899999999999E-2</v>
      </c>
      <c r="O6074">
        <v>0.8662223</v>
      </c>
      <c r="P6074">
        <v>0.1805852</v>
      </c>
      <c r="Q6074">
        <v>-1.0744500000000001E-2</v>
      </c>
      <c r="R6074">
        <v>0.98350070000000001</v>
      </c>
      <c r="S6074">
        <v>0.70832819999999996</v>
      </c>
      <c r="T6074">
        <v>-0.14049589999999901</v>
      </c>
      <c r="U6074">
        <v>2.916992</v>
      </c>
      <c r="V6074">
        <v>-0.334785</v>
      </c>
      <c r="W6074">
        <v>-4.6496649999999999E-3</v>
      </c>
      <c r="X6074">
        <v>0.94228310000000004</v>
      </c>
      <c r="Y6074">
        <v>-0.28087069999999997</v>
      </c>
      <c r="Z6074">
        <v>-2.2860709999999999E-2</v>
      </c>
      <c r="AA6074">
        <v>0.95947329999999997</v>
      </c>
      <c r="AB6074">
        <v>29</v>
      </c>
      <c r="AC6074">
        <v>5.5125999999999902</v>
      </c>
      <c r="AD6074">
        <v>-1.1197741968620001</v>
      </c>
      <c r="AE6074">
        <v>23.003309999999999</v>
      </c>
      <c r="AF6074">
        <v>-6.6990788146580504</v>
      </c>
      <c r="AG6074">
        <v>-1.1197741968620001</v>
      </c>
      <c r="AH6074">
        <v>22.6310403828769</v>
      </c>
      <c r="AI6074">
        <v>92.716337373276104</v>
      </c>
      <c r="AJ6074">
        <v>106.489430765625</v>
      </c>
      <c r="AK6074">
        <v>23.6282783974703</v>
      </c>
      <c r="AL6074">
        <v>90.266407133101794</v>
      </c>
      <c r="AM6074">
        <v>109.559683918864</v>
      </c>
      <c r="AN6074">
        <v>1.00000002807761</v>
      </c>
    </row>
    <row r="6075" spans="1:40" x14ac:dyDescent="0.25">
      <c r="A6075" t="str">
        <f>"20190305135945063"</f>
        <v>20190305135945063</v>
      </c>
      <c r="B6075" t="str">
        <f>"1551765585054699"</f>
        <v>1551765585054699</v>
      </c>
      <c r="C6075" t="s">
        <v>40</v>
      </c>
      <c r="D6075">
        <v>4.374892</v>
      </c>
      <c r="E6075">
        <v>0.51715149999999999</v>
      </c>
      <c r="F6075" t="s">
        <v>42</v>
      </c>
      <c r="G6075">
        <v>-189.38910000000001</v>
      </c>
      <c r="H6075" s="1">
        <v>-7.2512589999999999E-7</v>
      </c>
      <c r="I6075">
        <v>-28.92953</v>
      </c>
      <c r="J6075">
        <v>-194.41980000000001</v>
      </c>
      <c r="K6075">
        <v>1.119516</v>
      </c>
      <c r="L6075">
        <v>-50.69415</v>
      </c>
      <c r="M6075">
        <v>0.48805359999999998</v>
      </c>
      <c r="N6075">
        <v>-1.5178499999999999E-2</v>
      </c>
      <c r="O6075">
        <v>0.87268169999999901</v>
      </c>
      <c r="P6075">
        <v>0.16925100000000001</v>
      </c>
      <c r="Q6075">
        <v>-8.4590610000000004E-3</v>
      </c>
      <c r="R6075">
        <v>0.98553670000000004</v>
      </c>
      <c r="S6075">
        <v>0.68617249999999996</v>
      </c>
      <c r="T6075">
        <v>-0.1484704</v>
      </c>
      <c r="U6075">
        <v>2.9226990000000002</v>
      </c>
      <c r="V6075">
        <v>-0.33337519999999998</v>
      </c>
      <c r="W6075">
        <v>-2.148872E-3</v>
      </c>
      <c r="X6075">
        <v>0.94279179999999996</v>
      </c>
      <c r="Y6075">
        <v>-0.27563739999999998</v>
      </c>
      <c r="Z6075">
        <v>-2.5447879999999999E-2</v>
      </c>
      <c r="AA6075">
        <v>0.96092480000000002</v>
      </c>
      <c r="AB6075">
        <v>29</v>
      </c>
      <c r="AC6075">
        <v>5.0306999999999897</v>
      </c>
      <c r="AD6075">
        <v>-1.1195167251258999</v>
      </c>
      <c r="AE6075">
        <v>21.764620000000001</v>
      </c>
      <c r="AF6075">
        <v>-6.2172038849515703</v>
      </c>
      <c r="AG6075">
        <v>-1.1195167251258999</v>
      </c>
      <c r="AH6075">
        <v>21.397564785722199</v>
      </c>
      <c r="AI6075">
        <v>92.876235585163698</v>
      </c>
      <c r="AJ6075">
        <v>106.201572030644</v>
      </c>
      <c r="AK6075">
        <v>22.310596599017099</v>
      </c>
      <c r="AL6075">
        <v>90.123121389851903</v>
      </c>
      <c r="AM6075">
        <v>109.473811524995</v>
      </c>
      <c r="AN6075">
        <v>1.00000000988657</v>
      </c>
    </row>
    <row r="6076" spans="1:40" x14ac:dyDescent="0.25">
      <c r="A6076" t="str">
        <f>"20190305135945086"</f>
        <v>20190305135945086</v>
      </c>
      <c r="B6076" t="str">
        <f>"1551765585075194"</f>
        <v>1551765585075194</v>
      </c>
      <c r="C6076" t="s">
        <v>40</v>
      </c>
      <c r="D6076">
        <v>4.3752620000000002</v>
      </c>
      <c r="E6076">
        <v>0.51766659999999998</v>
      </c>
      <c r="F6076" t="s">
        <v>42</v>
      </c>
      <c r="G6076">
        <v>-189.43049999999999</v>
      </c>
      <c r="H6076" s="1">
        <v>-9.5984489999999993E-7</v>
      </c>
      <c r="I6076">
        <v>-28.365259999999999</v>
      </c>
      <c r="J6076">
        <v>-194.28389999999999</v>
      </c>
      <c r="K6076">
        <v>1.119273</v>
      </c>
      <c r="L6076">
        <v>-50.424439999999997</v>
      </c>
      <c r="M6076">
        <v>0.47726180000000001</v>
      </c>
      <c r="N6076">
        <v>-1.510706E-2</v>
      </c>
      <c r="O6076">
        <v>0.87863139999999995</v>
      </c>
      <c r="P6076">
        <v>0.15972329999999901</v>
      </c>
      <c r="Q6076">
        <v>-5.2926880000000003E-3</v>
      </c>
      <c r="R6076">
        <v>0.98714760000000001</v>
      </c>
      <c r="S6076">
        <v>0.65476990000000002</v>
      </c>
      <c r="T6076">
        <v>-0.14691960000000001</v>
      </c>
      <c r="U6076">
        <v>2.9303279999999998</v>
      </c>
      <c r="V6076">
        <v>-0.33094669999999998</v>
      </c>
      <c r="W6076">
        <v>1.241507E-3</v>
      </c>
      <c r="X6076">
        <v>0.94364859999999995</v>
      </c>
      <c r="Y6076">
        <v>-0.27413470000000001</v>
      </c>
      <c r="Z6076">
        <v>-2.5417499999999999E-2</v>
      </c>
      <c r="AA6076">
        <v>0.96135530000000002</v>
      </c>
      <c r="AB6076">
        <v>29</v>
      </c>
      <c r="AC6076">
        <v>4.8533999999999899</v>
      </c>
      <c r="AD6076">
        <v>-1.1192739598449</v>
      </c>
      <c r="AE6076">
        <v>22.059180000000001</v>
      </c>
      <c r="AF6076">
        <v>-6.2490232879531602</v>
      </c>
      <c r="AG6076">
        <v>-1.1192739598449</v>
      </c>
      <c r="AH6076">
        <v>21.647546566068801</v>
      </c>
      <c r="AI6076">
        <v>92.843890663798007</v>
      </c>
      <c r="AJ6076">
        <v>106.10190576399</v>
      </c>
      <c r="AK6076">
        <v>22.559240647253201</v>
      </c>
      <c r="AL6076">
        <v>89.928866868251703</v>
      </c>
      <c r="AM6076">
        <v>109.326262483265</v>
      </c>
      <c r="AN6076">
        <v>0.99999996993123996</v>
      </c>
    </row>
    <row r="6077" spans="1:40" x14ac:dyDescent="0.25">
      <c r="A6077" t="str">
        <f>"20190305135945108"</f>
        <v>20190305135945108</v>
      </c>
      <c r="B6077" t="str">
        <f>"1551765585104474"</f>
        <v>1551765585104474</v>
      </c>
      <c r="C6077" t="s">
        <v>40</v>
      </c>
      <c r="D6077">
        <v>4.3523969999999998</v>
      </c>
      <c r="E6077">
        <v>0.51862079999999999</v>
      </c>
      <c r="F6077" t="s">
        <v>42</v>
      </c>
      <c r="G6077">
        <v>-189.21</v>
      </c>
      <c r="H6077" s="1">
        <v>-1.6705520000000001E-6</v>
      </c>
      <c r="I6077">
        <v>-26.799790000000002</v>
      </c>
      <c r="J6077">
        <v>-194.1609</v>
      </c>
      <c r="K6077">
        <v>1.119054</v>
      </c>
      <c r="L6077">
        <v>-50.173609999999996</v>
      </c>
      <c r="M6077">
        <v>0.4674315</v>
      </c>
      <c r="N6077">
        <v>-1.5045070000000001E-2</v>
      </c>
      <c r="O6077">
        <v>0.8839013</v>
      </c>
      <c r="P6077">
        <v>0.15171289999999901</v>
      </c>
      <c r="Q6077">
        <v>-3.0676810000000001E-3</v>
      </c>
      <c r="R6077">
        <v>0.98841979999999996</v>
      </c>
      <c r="S6077">
        <v>0.63063049999999998</v>
      </c>
      <c r="T6077">
        <v>-0.139113299999999</v>
      </c>
      <c r="U6077">
        <v>2.9362789999999999</v>
      </c>
      <c r="V6077">
        <v>-0.328125099999999</v>
      </c>
      <c r="W6077">
        <v>3.6805230000000002E-3</v>
      </c>
      <c r="X6077">
        <v>0.94462710000000005</v>
      </c>
      <c r="Y6077">
        <v>-0.27136130000000003</v>
      </c>
      <c r="Z6077">
        <v>-2.3652949999999999E-2</v>
      </c>
      <c r="AA6077">
        <v>0.96218689999999996</v>
      </c>
      <c r="AB6077">
        <v>29</v>
      </c>
      <c r="AC6077">
        <v>4.9508999999999901</v>
      </c>
      <c r="AD6077">
        <v>-1.1190556705520001</v>
      </c>
      <c r="AE6077">
        <v>23.373819999999899</v>
      </c>
      <c r="AF6077">
        <v>-6.5359558129942501</v>
      </c>
      <c r="AG6077">
        <v>-1.1190556705520001</v>
      </c>
      <c r="AH6077">
        <v>22.9266613383964</v>
      </c>
      <c r="AI6077">
        <v>92.687494154390606</v>
      </c>
      <c r="AJ6077">
        <v>105.911844782361</v>
      </c>
      <c r="AK6077">
        <v>23.866352970421101</v>
      </c>
      <c r="AL6077">
        <v>89.789121088071099</v>
      </c>
      <c r="AM6077">
        <v>109.15515108338199</v>
      </c>
      <c r="AN6077">
        <v>0.99999999277698604</v>
      </c>
    </row>
    <row r="6078" spans="1:40" x14ac:dyDescent="0.25">
      <c r="A6078" t="str">
        <f>"20190305135945128"</f>
        <v>20190305135945128</v>
      </c>
      <c r="B6078" t="str">
        <f>"1551765585124970"</f>
        <v>1551765585124970</v>
      </c>
      <c r="C6078" t="s">
        <v>40</v>
      </c>
      <c r="D6078">
        <v>4.3403710000000002</v>
      </c>
      <c r="E6078">
        <v>0.5193681</v>
      </c>
      <c r="F6078" t="s">
        <v>42</v>
      </c>
      <c r="G6078">
        <v>-189.05439999999999</v>
      </c>
      <c r="H6078" s="1">
        <v>-2.1561570000000001E-6</v>
      </c>
      <c r="I6078">
        <v>-25.732150000000001</v>
      </c>
      <c r="J6078">
        <v>-194.04689999999999</v>
      </c>
      <c r="K6078">
        <v>1.118846</v>
      </c>
      <c r="L6078">
        <v>-49.93524</v>
      </c>
      <c r="M6078">
        <v>0.458285</v>
      </c>
      <c r="N6078">
        <v>-1.498733E-2</v>
      </c>
      <c r="O6078">
        <v>0.88867890000000005</v>
      </c>
      <c r="P6078">
        <v>0.1445178</v>
      </c>
      <c r="Q6078">
        <v>-9.2892069999999998E-4</v>
      </c>
      <c r="R6078">
        <v>0.98950179999999999</v>
      </c>
      <c r="S6078">
        <v>0.61433409999999999</v>
      </c>
      <c r="T6078">
        <v>-0.1346281</v>
      </c>
      <c r="U6078">
        <v>2.9404300000000001</v>
      </c>
      <c r="V6078">
        <v>-0.32529429999999998</v>
      </c>
      <c r="W6078">
        <v>6.0193800000000004E-3</v>
      </c>
      <c r="X6078">
        <v>0.94559369999999998</v>
      </c>
      <c r="Y6078">
        <v>-0.2668103</v>
      </c>
      <c r="Z6078">
        <v>-2.2762230000000001E-2</v>
      </c>
      <c r="AA6078">
        <v>0.96348020000000001</v>
      </c>
      <c r="AB6078">
        <v>29</v>
      </c>
      <c r="AC6078">
        <v>4.9924999999999997</v>
      </c>
      <c r="AD6078">
        <v>-1.1188481561570001</v>
      </c>
      <c r="AE6078">
        <v>24.20309</v>
      </c>
      <c r="AF6078">
        <v>-6.6423162488147502</v>
      </c>
      <c r="AG6078">
        <v>-1.1188481561570001</v>
      </c>
      <c r="AH6078">
        <v>23.750753484625999</v>
      </c>
      <c r="AI6078">
        <v>92.597563828815396</v>
      </c>
      <c r="AJ6078">
        <v>105.62458445474</v>
      </c>
      <c r="AK6078">
        <v>24.687455872026899</v>
      </c>
      <c r="AL6078">
        <v>89.655112858332302</v>
      </c>
      <c r="AM6078">
        <v>108.98376250682099</v>
      </c>
      <c r="AN6078">
        <v>1.00000003001388</v>
      </c>
    </row>
    <row r="6079" spans="1:40" x14ac:dyDescent="0.25">
      <c r="A6079" t="str">
        <f>"20190305135945152"</f>
        <v>20190305135945152</v>
      </c>
      <c r="B6079" t="str">
        <f>"1551765585144490"</f>
        <v>1551765585144490</v>
      </c>
      <c r="C6079" t="s">
        <v>40</v>
      </c>
      <c r="D6079">
        <v>4.6314219999999997</v>
      </c>
      <c r="E6079">
        <v>0.51946179999999997</v>
      </c>
      <c r="F6079" t="s">
        <v>42</v>
      </c>
      <c r="G6079">
        <v>-188.90029999999999</v>
      </c>
      <c r="H6079" s="1">
        <v>-2.6550130000000001E-6</v>
      </c>
      <c r="I6079">
        <v>-24.633040000000001</v>
      </c>
      <c r="J6079">
        <v>-193.92349999999999</v>
      </c>
      <c r="K6079">
        <v>1.1186020000000001</v>
      </c>
      <c r="L6079">
        <v>-49.670529999999999</v>
      </c>
      <c r="M6079">
        <v>0.44835239999999998</v>
      </c>
      <c r="N6079">
        <v>-1.4923219999999999E-2</v>
      </c>
      <c r="O6079">
        <v>0.89373230000000004</v>
      </c>
      <c r="P6079">
        <v>0.13573209999999999</v>
      </c>
      <c r="Q6079">
        <v>2.1524539999999998E-3</v>
      </c>
      <c r="R6079">
        <v>0.99074320000000005</v>
      </c>
      <c r="S6079">
        <v>0.59887699999999999</v>
      </c>
      <c r="T6079">
        <v>-0.1301928</v>
      </c>
      <c r="U6079">
        <v>2.9442439999999999</v>
      </c>
      <c r="V6079">
        <v>-0.3232064</v>
      </c>
      <c r="W6079">
        <v>9.2894339999999992E-3</v>
      </c>
      <c r="X6079">
        <v>0.94628290000000004</v>
      </c>
      <c r="Y6079">
        <v>-0.2611695</v>
      </c>
      <c r="Z6079">
        <v>-2.1897710000000001E-2</v>
      </c>
      <c r="AA6079">
        <v>0.96504460000000003</v>
      </c>
      <c r="AB6079">
        <v>29</v>
      </c>
      <c r="AC6079">
        <v>5.0232000000000001</v>
      </c>
      <c r="AD6079">
        <v>-1.118604655013</v>
      </c>
      <c r="AE6079">
        <v>25.037489999999998</v>
      </c>
      <c r="AF6079">
        <v>-6.7240705934572702</v>
      </c>
      <c r="AG6079">
        <v>-1.118604655013</v>
      </c>
      <c r="AH6079">
        <v>24.584546979164699</v>
      </c>
      <c r="AI6079">
        <v>92.513004487287304</v>
      </c>
      <c r="AJ6079">
        <v>105.296746656753</v>
      </c>
      <c r="AK6079">
        <v>25.512043271576101</v>
      </c>
      <c r="AL6079">
        <v>89.467746981856706</v>
      </c>
      <c r="AM6079">
        <v>108.85779003947199</v>
      </c>
      <c r="AN6079">
        <v>0.99999999870870504</v>
      </c>
    </row>
    <row r="6080" spans="1:40" x14ac:dyDescent="0.25">
      <c r="A6080" t="str">
        <f>"20190305135945172"</f>
        <v>20190305135945172</v>
      </c>
      <c r="B6080" t="str">
        <f>"1551765585164986"</f>
        <v>1551765585164986</v>
      </c>
      <c r="C6080" t="s">
        <v>40</v>
      </c>
      <c r="D6080">
        <v>4.3379500000000002</v>
      </c>
      <c r="E6080">
        <v>0.5190496</v>
      </c>
      <c r="F6080" t="s">
        <v>42</v>
      </c>
      <c r="G6080">
        <v>-188.69460000000001</v>
      </c>
      <c r="H6080" s="1">
        <v>-3.4858839999999999E-6</v>
      </c>
      <c r="I6080">
        <v>-22.781300000000002</v>
      </c>
      <c r="J6080">
        <v>-193.81559999999999</v>
      </c>
      <c r="K6080">
        <v>1.118377</v>
      </c>
      <c r="L6080">
        <v>-49.4328</v>
      </c>
      <c r="M6080">
        <v>0.43963249999999998</v>
      </c>
      <c r="N6080">
        <v>-1.486667E-2</v>
      </c>
      <c r="O6080">
        <v>0.89805469999999898</v>
      </c>
      <c r="P6080">
        <v>0.12793119999999999</v>
      </c>
      <c r="Q6080">
        <v>3.1279279999999999E-3</v>
      </c>
      <c r="R6080">
        <v>0.9917781</v>
      </c>
      <c r="S6080">
        <v>0.57360840000000002</v>
      </c>
      <c r="T6080">
        <v>-0.12270929999999999</v>
      </c>
      <c r="U6080">
        <v>2.9497070000000001</v>
      </c>
      <c r="V6080">
        <v>-0.32145600000000002</v>
      </c>
      <c r="W6080">
        <v>1.042759E-2</v>
      </c>
      <c r="X6080">
        <v>0.94686709999999996</v>
      </c>
      <c r="Y6080">
        <v>-0.26007429999999998</v>
      </c>
      <c r="Z6080">
        <v>-2.0063609999999999E-2</v>
      </c>
      <c r="AA6080">
        <v>0.96538009999999996</v>
      </c>
      <c r="AB6080">
        <v>29</v>
      </c>
      <c r="AC6080">
        <v>5.12099999999998</v>
      </c>
      <c r="AD6080">
        <v>-1.1183804858840001</v>
      </c>
      <c r="AE6080">
        <v>26.651499999999999</v>
      </c>
      <c r="AF6080">
        <v>-7.1066456402791598</v>
      </c>
      <c r="AG6080">
        <v>-1.1183804858840001</v>
      </c>
      <c r="AH6080">
        <v>26.144358645690598</v>
      </c>
      <c r="AI6080">
        <v>92.363786518323394</v>
      </c>
      <c r="AJ6080">
        <v>105.206899139038</v>
      </c>
      <c r="AK6080">
        <v>27.116096255954702</v>
      </c>
      <c r="AL6080">
        <v>89.402532274491193</v>
      </c>
      <c r="AM6080">
        <v>108.75205802559501</v>
      </c>
      <c r="AN6080">
        <v>0.999999999815809</v>
      </c>
    </row>
    <row r="6081" spans="1:40" x14ac:dyDescent="0.25">
      <c r="A6081" t="str">
        <f>"20190305135945195"</f>
        <v>20190305135945195</v>
      </c>
      <c r="B6081" t="str">
        <f>"1551765585184506"</f>
        <v>1551765585184506</v>
      </c>
      <c r="C6081" t="s">
        <v>40</v>
      </c>
      <c r="D6081">
        <v>4.2456430000000003</v>
      </c>
      <c r="E6081">
        <v>0.50321850000000001</v>
      </c>
      <c r="F6081" t="s">
        <v>42</v>
      </c>
      <c r="G6081">
        <v>-188.7167</v>
      </c>
      <c r="H6081" s="1">
        <v>-3.8686999999999999E-6</v>
      </c>
      <c r="I6081">
        <v>-21.879809999999999</v>
      </c>
      <c r="J6081">
        <v>-193.69659999999999</v>
      </c>
      <c r="K6081">
        <v>1.1181239999999999</v>
      </c>
      <c r="L6081">
        <v>-49.164000000000001</v>
      </c>
      <c r="M6081">
        <v>0.42998960000000003</v>
      </c>
      <c r="N6081">
        <v>-1.480505E-2</v>
      </c>
      <c r="O6081">
        <v>0.90271250000000003</v>
      </c>
      <c r="P6081">
        <v>0.1191596</v>
      </c>
      <c r="Q6081">
        <v>-3.8162990000000001E-4</v>
      </c>
      <c r="R6081">
        <v>0.99287499999999995</v>
      </c>
      <c r="S6081">
        <v>0.54679869999999997</v>
      </c>
      <c r="T6081">
        <v>-0.11993230000000001</v>
      </c>
      <c r="U6081">
        <v>2.9547119999999998</v>
      </c>
      <c r="V6081">
        <v>-0.31960719999999998</v>
      </c>
      <c r="W6081">
        <v>7.0955790000000003E-3</v>
      </c>
      <c r="X6081">
        <v>0.94752349999999996</v>
      </c>
      <c r="Y6081">
        <v>-0.2584959</v>
      </c>
      <c r="Z6081">
        <v>-1.955467E-2</v>
      </c>
      <c r="AA6081">
        <v>0.96581439999999996</v>
      </c>
      <c r="AB6081">
        <v>29</v>
      </c>
      <c r="AC6081">
        <v>4.9798999999999802</v>
      </c>
      <c r="AD6081">
        <v>-1.11812786869999</v>
      </c>
      <c r="AE6081">
        <v>27.284189999999899</v>
      </c>
      <c r="AF6081">
        <v>-7.2255492489889903</v>
      </c>
      <c r="AG6081">
        <v>-1.11812786869999</v>
      </c>
      <c r="AH6081">
        <v>26.730572923214002</v>
      </c>
      <c r="AI6081">
        <v>92.312365077349796</v>
      </c>
      <c r="AJ6081">
        <v>105.126144818087</v>
      </c>
      <c r="AK6081">
        <v>27.712493584728001</v>
      </c>
      <c r="AL6081">
        <v>89.593449836768201</v>
      </c>
      <c r="AM6081">
        <v>108.639659232467</v>
      </c>
      <c r="AN6081">
        <v>0.99999994629271605</v>
      </c>
    </row>
    <row r="6082" spans="1:40" x14ac:dyDescent="0.25">
      <c r="A6082" t="str">
        <f>"20190305135945216"</f>
        <v>20190305135945216</v>
      </c>
      <c r="B6082" t="str">
        <f>"1551765585205005"</f>
        <v>1551765585205005</v>
      </c>
      <c r="C6082" t="s">
        <v>40</v>
      </c>
      <c r="D6082">
        <v>4.4857040000000001</v>
      </c>
      <c r="E6082">
        <v>0.50599119999999997</v>
      </c>
      <c r="F6082" t="s">
        <v>42</v>
      </c>
      <c r="G6082">
        <v>-188.3434</v>
      </c>
      <c r="H6082" s="1">
        <v>-1.150423E-6</v>
      </c>
      <c r="I6082">
        <v>-8.3705110000000005</v>
      </c>
      <c r="J6082">
        <v>-193.58690000000001</v>
      </c>
      <c r="K6082">
        <v>1.117883</v>
      </c>
      <c r="L6082">
        <v>-48.909669999999998</v>
      </c>
      <c r="M6082">
        <v>0.42108780000000001</v>
      </c>
      <c r="N6082">
        <v>-1.4748219999999999E-2</v>
      </c>
      <c r="O6082">
        <v>0.90690000000000004</v>
      </c>
      <c r="P6082">
        <v>0.1103811</v>
      </c>
      <c r="Q6082">
        <v>-3.6507929999999998E-3</v>
      </c>
      <c r="R6082">
        <v>0.99388270000000001</v>
      </c>
      <c r="S6082">
        <v>0.39035029999999998</v>
      </c>
      <c r="T6082">
        <v>-8.1533069999999999E-2</v>
      </c>
      <c r="U6082">
        <v>2.97464</v>
      </c>
      <c r="V6082">
        <v>-0.31858509999999901</v>
      </c>
      <c r="W6082">
        <v>3.9747300000000001E-3</v>
      </c>
      <c r="X6082">
        <v>0.94788589999999995</v>
      </c>
      <c r="Y6082">
        <v>-0.29944929999999997</v>
      </c>
      <c r="Z6082">
        <v>-8.5608590000000005E-3</v>
      </c>
      <c r="AA6082">
        <v>0.95407379999999997</v>
      </c>
      <c r="AB6082">
        <v>29</v>
      </c>
      <c r="AC6082">
        <v>5.2435000000000098</v>
      </c>
      <c r="AD6082">
        <v>-1.1178841504229999</v>
      </c>
      <c r="AE6082">
        <v>40.539158999999998</v>
      </c>
      <c r="AF6082">
        <v>-12.307349785225099</v>
      </c>
      <c r="AG6082">
        <v>-1.1178841504229999</v>
      </c>
      <c r="AH6082">
        <v>38.948046382861897</v>
      </c>
      <c r="AI6082">
        <v>91.567682784755803</v>
      </c>
      <c r="AJ6082">
        <v>107.536224700343</v>
      </c>
      <c r="AK6082">
        <v>40.861605949243</v>
      </c>
      <c r="AL6082">
        <v>89.772264140251593</v>
      </c>
      <c r="AM6082">
        <v>108.577531953018</v>
      </c>
      <c r="AN6082">
        <v>0.99999997191969503</v>
      </c>
    </row>
    <row r="6083" spans="1:40" x14ac:dyDescent="0.25">
      <c r="A6083" t="str">
        <f>"20190305135945241"</f>
        <v>20190305135945241</v>
      </c>
      <c r="B6083" t="str">
        <f>"1551765585235258"</f>
        <v>1551765585235258</v>
      </c>
      <c r="C6083" t="s">
        <v>40</v>
      </c>
      <c r="D6083">
        <v>4.232335</v>
      </c>
      <c r="E6083">
        <v>0.50754079999999901</v>
      </c>
      <c r="F6083" t="s">
        <v>42</v>
      </c>
      <c r="G6083">
        <v>-188.79669999999999</v>
      </c>
      <c r="H6083" s="1">
        <v>-3.808346E-6</v>
      </c>
      <c r="I6083">
        <v>-11.987410000000001</v>
      </c>
      <c r="J6083">
        <v>-193.47130000000001</v>
      </c>
      <c r="K6083">
        <v>1.11764</v>
      </c>
      <c r="L6083">
        <v>-48.634610000000002</v>
      </c>
      <c r="M6083">
        <v>0.41173130000000002</v>
      </c>
      <c r="N6083">
        <v>-1.4686889999999999E-2</v>
      </c>
      <c r="O6083">
        <v>0.91118690000000002</v>
      </c>
      <c r="P6083">
        <v>0.1008209</v>
      </c>
      <c r="Q6083">
        <v>-6.3119930000000001E-3</v>
      </c>
      <c r="R6083">
        <v>0.99488460000000001</v>
      </c>
      <c r="S6083">
        <v>0.3860016</v>
      </c>
      <c r="T6083">
        <v>-9.0081930000000004E-2</v>
      </c>
      <c r="U6083">
        <v>2.9752809999999998</v>
      </c>
      <c r="V6083">
        <v>-0.31788070000000002</v>
      </c>
      <c r="W6083">
        <v>1.46324E-3</v>
      </c>
      <c r="X6083">
        <v>0.94812960000000002</v>
      </c>
      <c r="Y6083">
        <v>-0.29101529999999998</v>
      </c>
      <c r="Z6083">
        <v>-1.1231339999999999E-2</v>
      </c>
      <c r="AA6083">
        <v>0.95665250000000002</v>
      </c>
      <c r="AB6083">
        <v>29</v>
      </c>
      <c r="AC6083">
        <v>4.6746000000000203</v>
      </c>
      <c r="AD6083">
        <v>-1.1176438083460001</v>
      </c>
      <c r="AE6083">
        <v>36.647199999999998</v>
      </c>
      <c r="AF6083">
        <v>-10.820630492518999</v>
      </c>
      <c r="AG6083">
        <v>-1.1176438083460001</v>
      </c>
      <c r="AH6083">
        <v>35.288642348535603</v>
      </c>
      <c r="AI6083">
        <v>91.7343835485688</v>
      </c>
      <c r="AJ6083">
        <v>107.047220651833</v>
      </c>
      <c r="AK6083">
        <v>36.927272451953797</v>
      </c>
      <c r="AL6083">
        <v>89.916162494460494</v>
      </c>
      <c r="AM6083">
        <v>108.534827300907</v>
      </c>
      <c r="AN6083">
        <v>1.0000000094499699</v>
      </c>
    </row>
    <row r="6084" spans="1:40" x14ac:dyDescent="0.25">
      <c r="A6084" t="str">
        <f>"20190305135945262"</f>
        <v>20190305135945262</v>
      </c>
      <c r="B6084" t="str">
        <f>"1551765585254778"</f>
        <v>1551765585254778</v>
      </c>
      <c r="C6084" t="s">
        <v>40</v>
      </c>
      <c r="D6084">
        <v>4.1938940000000002</v>
      </c>
      <c r="E6084">
        <v>0.50843209999999905</v>
      </c>
      <c r="F6084" t="s">
        <v>42</v>
      </c>
      <c r="G6084">
        <v>-189.4931</v>
      </c>
      <c r="H6084" s="1">
        <v>-1.679891E-6</v>
      </c>
      <c r="I6084">
        <v>-16.660959999999999</v>
      </c>
      <c r="J6084">
        <v>-193.3631</v>
      </c>
      <c r="K6084">
        <v>1.1174230000000001</v>
      </c>
      <c r="L6084">
        <v>-48.370179999999998</v>
      </c>
      <c r="M6084">
        <v>0.40299849999999998</v>
      </c>
      <c r="N6084">
        <v>-1.4620289999999999E-2</v>
      </c>
      <c r="O6084">
        <v>0.9150838</v>
      </c>
      <c r="P6084">
        <v>9.1481389999999996E-2</v>
      </c>
      <c r="Q6084">
        <v>-6.3467810000000001E-3</v>
      </c>
      <c r="R6084">
        <v>0.99578650000000002</v>
      </c>
      <c r="S6084">
        <v>0.37043759999999998</v>
      </c>
      <c r="T6084">
        <v>-0.1040695</v>
      </c>
      <c r="U6084">
        <v>2.9772340000000002</v>
      </c>
      <c r="V6084">
        <v>-0.31770619999999999</v>
      </c>
      <c r="W6084">
        <v>1.554312E-3</v>
      </c>
      <c r="X6084">
        <v>0.94818789999999997</v>
      </c>
      <c r="Y6084">
        <v>-0.28686279999999997</v>
      </c>
      <c r="Z6084">
        <v>-1.544126E-2</v>
      </c>
      <c r="AA6084">
        <v>0.95784720000000001</v>
      </c>
      <c r="AB6084">
        <v>29</v>
      </c>
      <c r="AC6084">
        <v>3.87</v>
      </c>
      <c r="AD6084">
        <v>-1.1174246798909999</v>
      </c>
      <c r="AE6084">
        <v>31.709219999999998</v>
      </c>
      <c r="AF6084">
        <v>-9.2270912573875492</v>
      </c>
      <c r="AG6084">
        <v>-1.1174246798909999</v>
      </c>
      <c r="AH6084">
        <v>30.542095870921099</v>
      </c>
      <c r="AI6084">
        <v>92.005849332619107</v>
      </c>
      <c r="AJ6084">
        <v>106.810123837706</v>
      </c>
      <c r="AK6084">
        <v>31.925028914253499</v>
      </c>
      <c r="AL6084">
        <v>89.910944443784103</v>
      </c>
      <c r="AM6084">
        <v>108.524285938359</v>
      </c>
      <c r="AN6084">
        <v>0.999999969555321</v>
      </c>
    </row>
    <row r="6085" spans="1:40" x14ac:dyDescent="0.25">
      <c r="A6085" t="str">
        <f>"20190305135945286"</f>
        <v>20190305135945286</v>
      </c>
      <c r="B6085" t="str">
        <f>"1551765585275274"</f>
        <v>1551765585275274</v>
      </c>
      <c r="C6085" t="s">
        <v>40</v>
      </c>
      <c r="D6085">
        <v>4.2058049999999998</v>
      </c>
      <c r="E6085">
        <v>0.51782029999999901</v>
      </c>
      <c r="F6085" t="s">
        <v>42</v>
      </c>
      <c r="G6085">
        <v>-189.62350000000001</v>
      </c>
      <c r="H6085" s="1">
        <v>-1.7254839999999901E-6</v>
      </c>
      <c r="I6085">
        <v>-16.50075</v>
      </c>
      <c r="J6085">
        <v>-193.2552</v>
      </c>
      <c r="K6085">
        <v>1.117224</v>
      </c>
      <c r="L6085">
        <v>-48.099980000000002</v>
      </c>
      <c r="M6085">
        <v>0.39429690000000001</v>
      </c>
      <c r="N6085">
        <v>-1.454664E-2</v>
      </c>
      <c r="O6085">
        <v>0.91886789999999996</v>
      </c>
      <c r="P6085">
        <v>8.2945350000000001E-2</v>
      </c>
      <c r="Q6085">
        <v>-4.2607519999999996E-3</v>
      </c>
      <c r="R6085">
        <v>0.99654500000000001</v>
      </c>
      <c r="S6085">
        <v>0.34967039999999999</v>
      </c>
      <c r="T6085">
        <v>-0.1044837</v>
      </c>
      <c r="U6085">
        <v>2.9799190000000002</v>
      </c>
      <c r="V6085">
        <v>-0.31687359999999998</v>
      </c>
      <c r="W6085">
        <v>3.7663520000000002E-3</v>
      </c>
      <c r="X6085">
        <v>0.94846030000000003</v>
      </c>
      <c r="Y6085">
        <v>-0.28445819999999999</v>
      </c>
      <c r="Z6085">
        <v>-1.5793829999999998E-2</v>
      </c>
      <c r="AA6085">
        <v>0.95855840000000003</v>
      </c>
      <c r="AB6085">
        <v>29</v>
      </c>
      <c r="AC6085">
        <v>3.6316999999999902</v>
      </c>
      <c r="AD6085">
        <v>-1.1172257254839999</v>
      </c>
      <c r="AE6085">
        <v>31.599229999999999</v>
      </c>
      <c r="AF6085">
        <v>-9.1121496256797894</v>
      </c>
      <c r="AG6085">
        <v>-1.1172257254839999</v>
      </c>
      <c r="AH6085">
        <v>30.433165072906998</v>
      </c>
      <c r="AI6085">
        <v>92.014160589391096</v>
      </c>
      <c r="AJ6085">
        <v>106.668494854391</v>
      </c>
      <c r="AK6085">
        <v>31.787686302674899</v>
      </c>
      <c r="AL6085">
        <v>89.784203416524804</v>
      </c>
      <c r="AM6085">
        <v>108.474094158117</v>
      </c>
      <c r="AN6085">
        <v>1.00000000223021</v>
      </c>
    </row>
    <row r="6086" spans="1:40" x14ac:dyDescent="0.25">
      <c r="A6086" t="str">
        <f>"20190305135945310"</f>
        <v>20190305135945310</v>
      </c>
      <c r="B6086" t="str">
        <f>"1551765585304555"</f>
        <v>1551765585304555</v>
      </c>
      <c r="C6086" t="s">
        <v>40</v>
      </c>
      <c r="D6086">
        <v>4.1793079999999998</v>
      </c>
      <c r="E6086">
        <v>0.51875159999999998</v>
      </c>
      <c r="F6086" t="s">
        <v>42</v>
      </c>
      <c r="G6086">
        <v>-187.4307</v>
      </c>
      <c r="H6086" s="1">
        <v>-2.9925449999999999E-6</v>
      </c>
      <c r="I6086">
        <v>-4.4538869999999999</v>
      </c>
      <c r="J6086">
        <v>-193.1472</v>
      </c>
      <c r="K6086">
        <v>1.1170180000000001</v>
      </c>
      <c r="L6086">
        <v>-47.822240000000001</v>
      </c>
      <c r="M6086">
        <v>0.38559900000000003</v>
      </c>
      <c r="N6086">
        <v>-1.44472E-2</v>
      </c>
      <c r="O6086">
        <v>0.92255339999999997</v>
      </c>
      <c r="P6086">
        <v>7.5289350000000005E-2</v>
      </c>
      <c r="Q6086">
        <v>-1.3167719999999999E-3</v>
      </c>
      <c r="R6086">
        <v>0.99716090000000002</v>
      </c>
      <c r="S6086">
        <v>0.39727780000000001</v>
      </c>
      <c r="T6086">
        <v>-7.6203229999999997E-2</v>
      </c>
      <c r="U6086">
        <v>2.9769899999999998</v>
      </c>
      <c r="V6086">
        <v>-0.31524849999999999</v>
      </c>
      <c r="W6086">
        <v>6.8266500000000001E-3</v>
      </c>
      <c r="X6086">
        <v>0.94898459999999996</v>
      </c>
      <c r="Y6086">
        <v>-0.2601309</v>
      </c>
      <c r="Z6086">
        <v>-8.0428540000000003E-3</v>
      </c>
      <c r="AA6086">
        <v>0.96553990000000001</v>
      </c>
      <c r="AB6086">
        <v>29</v>
      </c>
      <c r="AC6086">
        <v>5.7164999999999901</v>
      </c>
      <c r="AD6086">
        <v>-1.1170209925450001</v>
      </c>
      <c r="AE6086">
        <v>43.368352999999999</v>
      </c>
      <c r="AF6086">
        <v>-11.4427500557619</v>
      </c>
      <c r="AG6086">
        <v>-1.1170209925450001</v>
      </c>
      <c r="AH6086">
        <v>42.190791083730602</v>
      </c>
      <c r="AI6086">
        <v>91.463724023042701</v>
      </c>
      <c r="AJ6086">
        <v>105.174407503414</v>
      </c>
      <c r="AK6086">
        <v>43.7292478440623</v>
      </c>
      <c r="AL6086">
        <v>89.608858726905694</v>
      </c>
      <c r="AM6086">
        <v>108.376259758495</v>
      </c>
      <c r="AN6086">
        <v>0.99999999546981599</v>
      </c>
    </row>
    <row r="6087" spans="1:40" x14ac:dyDescent="0.25">
      <c r="A6087" t="str">
        <f>"20190305135945328"</f>
        <v>20190305135945328</v>
      </c>
      <c r="B6087" t="str">
        <f>"1551765585325049"</f>
        <v>1551765585325049</v>
      </c>
      <c r="C6087" t="s">
        <v>40</v>
      </c>
      <c r="D6087">
        <v>4.1585700000000001</v>
      </c>
      <c r="E6087">
        <v>0.519594</v>
      </c>
      <c r="F6087" t="s">
        <v>42</v>
      </c>
      <c r="G6087">
        <v>-186.1738</v>
      </c>
      <c r="H6087" s="1">
        <v>-3.709253E-6</v>
      </c>
      <c r="I6087">
        <v>6.6970799999999997</v>
      </c>
      <c r="J6087">
        <v>-193.05539999999999</v>
      </c>
      <c r="K6087">
        <v>1.116832</v>
      </c>
      <c r="L6087">
        <v>-47.580840000000002</v>
      </c>
      <c r="M6087">
        <v>0.37826019999999999</v>
      </c>
      <c r="N6087">
        <v>-1.43342E-2</v>
      </c>
      <c r="O6087">
        <v>0.92558839999999998</v>
      </c>
      <c r="P6087">
        <v>6.8229570000000003E-2</v>
      </c>
      <c r="Q6087">
        <v>1.65463E-3</v>
      </c>
      <c r="R6087">
        <v>0.99766829999999995</v>
      </c>
      <c r="S6087">
        <v>0.38111879999999998</v>
      </c>
      <c r="T6087">
        <v>-6.1049220000000001E-2</v>
      </c>
      <c r="U6087">
        <v>2.9796749999999999</v>
      </c>
      <c r="V6087">
        <v>-0.31447380000000003</v>
      </c>
      <c r="W6087">
        <v>9.8606609999999997E-3</v>
      </c>
      <c r="X6087">
        <v>0.94921489999999997</v>
      </c>
      <c r="Y6087">
        <v>-0.25773220000000002</v>
      </c>
      <c r="Z6087">
        <v>-3.8223150000000002E-3</v>
      </c>
      <c r="AA6087">
        <v>0.96620879999999998</v>
      </c>
      <c r="AB6087">
        <v>29</v>
      </c>
      <c r="AC6087">
        <v>6.8815999999999899</v>
      </c>
      <c r="AD6087">
        <v>-1.1168357092529999</v>
      </c>
      <c r="AE6087">
        <v>54.277919999999902</v>
      </c>
      <c r="AF6087">
        <v>-14.157202826980001</v>
      </c>
      <c r="AG6087">
        <v>-1.1168357092529999</v>
      </c>
      <c r="AH6087">
        <v>52.825462994188499</v>
      </c>
      <c r="AI6087">
        <v>91.169894114532696</v>
      </c>
      <c r="AJ6087">
        <v>105.00269451146001</v>
      </c>
      <c r="AK6087">
        <v>54.7010352227094</v>
      </c>
      <c r="AL6087">
        <v>89.435016565631798</v>
      </c>
      <c r="AM6087">
        <v>108.329974032386</v>
      </c>
      <c r="AN6087">
        <v>0.99999996495190202</v>
      </c>
    </row>
    <row r="6088" spans="1:40" x14ac:dyDescent="0.25">
      <c r="A6088" t="str">
        <f>"20190305135945352"</f>
        <v>20190305135945352</v>
      </c>
      <c r="B6088" t="str">
        <f>"1551765585344571"</f>
        <v>1551765585344571</v>
      </c>
      <c r="C6088" t="s">
        <v>40</v>
      </c>
      <c r="D6088">
        <v>4.2803620000000002</v>
      </c>
      <c r="E6088">
        <v>0.51797289999999996</v>
      </c>
      <c r="F6088" t="s">
        <v>42</v>
      </c>
      <c r="G6088">
        <v>-184.95760000000001</v>
      </c>
      <c r="H6088" s="1">
        <v>-4.5861610000000002E-6</v>
      </c>
      <c r="I6088">
        <v>18.23827</v>
      </c>
      <c r="J6088">
        <v>-192.95429999999999</v>
      </c>
      <c r="K6088">
        <v>1.116601</v>
      </c>
      <c r="L6088">
        <v>-47.308990000000001</v>
      </c>
      <c r="M6088">
        <v>0.37025380000000002</v>
      </c>
      <c r="N6088">
        <v>-1.4183670000000001E-2</v>
      </c>
      <c r="O6088">
        <v>0.92882240000000005</v>
      </c>
      <c r="P6088">
        <v>5.9484139999999998E-2</v>
      </c>
      <c r="Q6088">
        <v>4.7280159999999998E-3</v>
      </c>
      <c r="R6088">
        <v>0.9982181</v>
      </c>
      <c r="S6088">
        <v>0.36688229999999999</v>
      </c>
      <c r="T6088">
        <v>-5.0599810000000002E-2</v>
      </c>
      <c r="U6088">
        <v>2.9820250000000001</v>
      </c>
      <c r="V6088">
        <v>-0.31463429999999998</v>
      </c>
      <c r="W6088">
        <v>1.296753E-2</v>
      </c>
      <c r="X6088">
        <v>0.94912439999999998</v>
      </c>
      <c r="Y6088">
        <v>-0.25403150000000002</v>
      </c>
      <c r="Z6088">
        <v>-9.8334120000000006E-4</v>
      </c>
      <c r="AA6088">
        <v>0.96719549999999999</v>
      </c>
      <c r="AB6088">
        <v>29</v>
      </c>
      <c r="AC6088">
        <v>7.9966999999999704</v>
      </c>
      <c r="AD6088">
        <v>-1.116605586161</v>
      </c>
      <c r="AE6088">
        <v>65.547259999999994</v>
      </c>
      <c r="AF6088">
        <v>-16.838486669845199</v>
      </c>
      <c r="AG6088">
        <v>-1.116605586161</v>
      </c>
      <c r="AH6088">
        <v>63.830739648890599</v>
      </c>
      <c r="AI6088">
        <v>90.969041748185006</v>
      </c>
      <c r="AJ6088">
        <v>104.777912141597</v>
      </c>
      <c r="AK6088">
        <v>66.023819682672595</v>
      </c>
      <c r="AL6088">
        <v>89.256994445472301</v>
      </c>
      <c r="AM6088">
        <v>108.34033499269</v>
      </c>
      <c r="AN6088">
        <v>1.00000001312307</v>
      </c>
    </row>
    <row r="6089" spans="1:40" x14ac:dyDescent="0.25">
      <c r="A6089" t="str">
        <f>"20190305135945374"</f>
        <v>20190305135945374</v>
      </c>
      <c r="B6089" t="str">
        <f>"1551765585365066"</f>
        <v>1551765585365066</v>
      </c>
      <c r="C6089" t="s">
        <v>40</v>
      </c>
      <c r="D6089">
        <v>4.2892549999999998</v>
      </c>
      <c r="E6089">
        <v>0.5173257</v>
      </c>
      <c r="F6089" t="s">
        <v>42</v>
      </c>
      <c r="G6089">
        <v>-187.3946</v>
      </c>
      <c r="H6089" s="1">
        <v>-1.865733E-6</v>
      </c>
      <c r="I6089">
        <v>2.9045510000000001</v>
      </c>
      <c r="J6089">
        <v>-192.85470000000001</v>
      </c>
      <c r="K6089">
        <v>1.1163430000000001</v>
      </c>
      <c r="L6089">
        <v>-47.034700000000001</v>
      </c>
      <c r="M6089">
        <v>0.3624405</v>
      </c>
      <c r="N6089">
        <v>-1.4010679999999999E-2</v>
      </c>
      <c r="O6089">
        <v>0.9319016</v>
      </c>
      <c r="P6089">
        <v>5.0573609999999998E-2</v>
      </c>
      <c r="Q6089">
        <v>6.5593800000000001E-3</v>
      </c>
      <c r="R6089">
        <v>0.9986988</v>
      </c>
      <c r="S6089">
        <v>0.33061220000000002</v>
      </c>
      <c r="T6089">
        <v>-6.6399100000000003E-2</v>
      </c>
      <c r="U6089">
        <v>2.9859619999999998</v>
      </c>
      <c r="V6089">
        <v>-0.31514789999999998</v>
      </c>
      <c r="W6089">
        <v>1.481318E-2</v>
      </c>
      <c r="X6089">
        <v>0.94892690000000002</v>
      </c>
      <c r="Y6089">
        <v>-0.2576426</v>
      </c>
      <c r="Z6089">
        <v>-5.8223379999999998E-3</v>
      </c>
      <c r="AA6089">
        <v>0.96622280000000005</v>
      </c>
      <c r="AB6089">
        <v>29</v>
      </c>
      <c r="AC6089">
        <v>5.4601000000000104</v>
      </c>
      <c r="AD6089">
        <v>-1.116344865733</v>
      </c>
      <c r="AE6089">
        <v>49.939250999999999</v>
      </c>
      <c r="AF6089">
        <v>-13.0065857485364</v>
      </c>
      <c r="AG6089">
        <v>-1.116344865733</v>
      </c>
      <c r="AH6089">
        <v>48.498243296496</v>
      </c>
      <c r="AI6089">
        <v>91.273624604546498</v>
      </c>
      <c r="AJ6089">
        <v>105.012697971405</v>
      </c>
      <c r="AK6089">
        <v>50.224467160333297</v>
      </c>
      <c r="AL6089">
        <v>89.1512362157751</v>
      </c>
      <c r="AM6089">
        <v>108.37183146522101</v>
      </c>
      <c r="AN6089">
        <v>0.99999994535986403</v>
      </c>
    </row>
    <row r="6090" spans="1:40" x14ac:dyDescent="0.25">
      <c r="A6090" t="str">
        <f>"20190305135945397"</f>
        <v>20190305135945397</v>
      </c>
      <c r="B6090" t="str">
        <f>"1551765585385515"</f>
        <v>1551765585385515</v>
      </c>
      <c r="C6090" t="s">
        <v>40</v>
      </c>
      <c r="D6090">
        <v>4.2724500000000001</v>
      </c>
      <c r="E6090">
        <v>0.5173548</v>
      </c>
      <c r="F6090" t="s">
        <v>42</v>
      </c>
      <c r="G6090">
        <v>-188.43289999999999</v>
      </c>
      <c r="H6090" s="1">
        <v>-3.4147370000000001E-6</v>
      </c>
      <c r="I6090">
        <v>-3.0553319999999999</v>
      </c>
      <c r="J6090">
        <v>-192.7604</v>
      </c>
      <c r="K6090">
        <v>1.11609</v>
      </c>
      <c r="L6090">
        <v>-46.769170000000003</v>
      </c>
      <c r="M6090">
        <v>0.3551223</v>
      </c>
      <c r="N6090">
        <v>-1.3835480000000001E-2</v>
      </c>
      <c r="O6090">
        <v>0.93471749999999998</v>
      </c>
      <c r="P6090">
        <v>4.2592270000000002E-2</v>
      </c>
      <c r="Q6090">
        <v>7.769349E-3</v>
      </c>
      <c r="R6090">
        <v>0.99906229999999996</v>
      </c>
      <c r="S6090">
        <v>0.300537099999999</v>
      </c>
      <c r="T6090">
        <v>-7.5875999999999999E-2</v>
      </c>
      <c r="U6090">
        <v>2.9891969999999999</v>
      </c>
      <c r="V6090">
        <v>-0.3152932</v>
      </c>
      <c r="W6090">
        <v>1.6032790000000002E-2</v>
      </c>
      <c r="X6090">
        <v>0.94885889999999995</v>
      </c>
      <c r="Y6090">
        <v>-0.25978990000000002</v>
      </c>
      <c r="Z6090">
        <v>-8.8360550000000006E-3</v>
      </c>
      <c r="AA6090">
        <v>0.9656247</v>
      </c>
      <c r="AB6090">
        <v>29</v>
      </c>
      <c r="AC6090">
        <v>4.3275000000000103</v>
      </c>
      <c r="AD6090">
        <v>-1.1160934147370001</v>
      </c>
      <c r="AE6090">
        <v>43.713838000000003</v>
      </c>
      <c r="AF6090">
        <v>-11.4724610732894</v>
      </c>
      <c r="AG6090">
        <v>-1.1160934147370001</v>
      </c>
      <c r="AH6090">
        <v>42.373583836758598</v>
      </c>
      <c r="AI6090">
        <v>91.456375039149606</v>
      </c>
      <c r="AJ6090">
        <v>105.14938432876301</v>
      </c>
      <c r="AK6090">
        <v>43.913365104024699</v>
      </c>
      <c r="AL6090">
        <v>89.081349469335294</v>
      </c>
      <c r="AM6090">
        <v>108.380961381698</v>
      </c>
      <c r="AN6090">
        <v>1.00000003221531</v>
      </c>
    </row>
    <row r="6091" spans="1:40" x14ac:dyDescent="0.25">
      <c r="A6091" t="str">
        <f>"20190305135945419"</f>
        <v>20190305135945419</v>
      </c>
      <c r="B6091" t="str">
        <f>"1551765585414796"</f>
        <v>1551765585414796</v>
      </c>
      <c r="C6091" t="s">
        <v>40</v>
      </c>
      <c r="D6091">
        <v>4.2870400000000002</v>
      </c>
      <c r="E6091">
        <v>0.51742809999999995</v>
      </c>
      <c r="F6091" t="s">
        <v>42</v>
      </c>
      <c r="G6091">
        <v>-188.709</v>
      </c>
      <c r="H6091" s="1">
        <v>-3.3671529999999999E-6</v>
      </c>
      <c r="I6091">
        <v>-3.0521090000000002</v>
      </c>
      <c r="J6091">
        <v>-192.66720000000001</v>
      </c>
      <c r="K6091">
        <v>1.1158490000000001</v>
      </c>
      <c r="L6091">
        <v>-46.501069999999999</v>
      </c>
      <c r="M6091">
        <v>0.34796110000000002</v>
      </c>
      <c r="N6091">
        <v>-1.3666960000000001E-2</v>
      </c>
      <c r="O6091">
        <v>0.9374093</v>
      </c>
      <c r="P6091">
        <v>3.4861099999999999E-2</v>
      </c>
      <c r="Q6091">
        <v>7.720396E-3</v>
      </c>
      <c r="R6091">
        <v>0.99936230000000004</v>
      </c>
      <c r="S6091">
        <v>0.27723690000000001</v>
      </c>
      <c r="T6091">
        <v>-7.6374769999999995E-2</v>
      </c>
      <c r="U6091">
        <v>2.9915769999999999</v>
      </c>
      <c r="V6091">
        <v>-0.315363</v>
      </c>
      <c r="W6091">
        <v>1.598654E-2</v>
      </c>
      <c r="X6091">
        <v>0.94883640000000002</v>
      </c>
      <c r="Y6091">
        <v>-0.25993050000000001</v>
      </c>
      <c r="Z6091">
        <v>-9.2154369999999999E-3</v>
      </c>
      <c r="AA6091">
        <v>0.96558339999999998</v>
      </c>
      <c r="AB6091">
        <v>29</v>
      </c>
      <c r="AC6091">
        <v>3.9582000000000002</v>
      </c>
      <c r="AD6091">
        <v>-1.1158523671529901</v>
      </c>
      <c r="AE6091">
        <v>43.448960999999997</v>
      </c>
      <c r="AF6091">
        <v>-11.4017026615054</v>
      </c>
      <c r="AG6091">
        <v>-1.1158523671529901</v>
      </c>
      <c r="AH6091">
        <v>42.083166752618901</v>
      </c>
      <c r="AI6091">
        <v>91.466035420852293</v>
      </c>
      <c r="AJ6091">
        <v>105.15936791414001</v>
      </c>
      <c r="AK6091">
        <v>43.614640592527998</v>
      </c>
      <c r="AL6091">
        <v>89.083999665782798</v>
      </c>
      <c r="AM6091">
        <v>108.385163640264</v>
      </c>
      <c r="AN6091">
        <v>0.99999995259756402</v>
      </c>
    </row>
    <row r="6092" spans="1:40" x14ac:dyDescent="0.25">
      <c r="A6092" t="str">
        <f>"20190305135945442"</f>
        <v>20190305135945442</v>
      </c>
      <c r="B6092" t="str">
        <f>"1551765585435291"</f>
        <v>1551765585435291</v>
      </c>
      <c r="C6092" t="s">
        <v>40</v>
      </c>
      <c r="D6092">
        <v>4.3136269999999897</v>
      </c>
      <c r="E6092">
        <v>0.51775139999999997</v>
      </c>
      <c r="F6092" t="s">
        <v>42</v>
      </c>
      <c r="G6092">
        <v>-189.55539999999999</v>
      </c>
      <c r="H6092" s="1">
        <v>-1.878321E-7</v>
      </c>
      <c r="I6092">
        <v>-10.147589999999999</v>
      </c>
      <c r="J6092">
        <v>-192.5762</v>
      </c>
      <c r="K6092">
        <v>1.115631</v>
      </c>
      <c r="L6092">
        <v>-46.232939999999999</v>
      </c>
      <c r="M6092">
        <v>0.34099590000000002</v>
      </c>
      <c r="N6092">
        <v>-1.3510960000000001E-2</v>
      </c>
      <c r="O6092">
        <v>0.93996769999999996</v>
      </c>
      <c r="P6092">
        <v>2.7671020000000001E-2</v>
      </c>
      <c r="Q6092">
        <v>5.3191509999999899E-3</v>
      </c>
      <c r="R6092">
        <v>0.99960289999999996</v>
      </c>
      <c r="S6092">
        <v>0.25625609999999999</v>
      </c>
      <c r="T6092">
        <v>-9.1889380000000007E-2</v>
      </c>
      <c r="U6092">
        <v>2.9936829999999999</v>
      </c>
      <c r="V6092">
        <v>-0.31510959999999899</v>
      </c>
      <c r="W6092">
        <v>1.357735E-2</v>
      </c>
      <c r="X6092">
        <v>0.94895819999999997</v>
      </c>
      <c r="Y6092">
        <v>-0.25953720000000002</v>
      </c>
      <c r="Z6092">
        <v>-1.405385E-2</v>
      </c>
      <c r="AA6092">
        <v>0.96563080000000001</v>
      </c>
      <c r="AB6092">
        <v>29</v>
      </c>
      <c r="AC6092">
        <v>3.0207999999999999</v>
      </c>
      <c r="AD6092">
        <v>-1.1156311878320999</v>
      </c>
      <c r="AE6092">
        <v>36.085349999999998</v>
      </c>
      <c r="AF6092">
        <v>-9.4573891837959803</v>
      </c>
      <c r="AG6092">
        <v>-1.1156311878320999</v>
      </c>
      <c r="AH6092">
        <v>34.919189292425202</v>
      </c>
      <c r="AI6092">
        <v>91.766323931488898</v>
      </c>
      <c r="AJ6092">
        <v>105.154234294888</v>
      </c>
      <c r="AK6092">
        <v>36.194428078935999</v>
      </c>
      <c r="AL6092">
        <v>89.222051272174895</v>
      </c>
      <c r="AM6092">
        <v>108.369183405485</v>
      </c>
      <c r="AN6092">
        <v>1.0000000348962099</v>
      </c>
    </row>
    <row r="6093" spans="1:40" x14ac:dyDescent="0.25">
      <c r="A6093" t="str">
        <f>"20190305135945464"</f>
        <v>20190305135945464</v>
      </c>
      <c r="B6093" t="str">
        <f>"1551765585454812"</f>
        <v>1551765585454812</v>
      </c>
      <c r="C6093" t="s">
        <v>40</v>
      </c>
      <c r="D6093">
        <v>4.280951</v>
      </c>
      <c r="E6093">
        <v>0.51788909999999999</v>
      </c>
      <c r="F6093" t="s">
        <v>42</v>
      </c>
      <c r="G6093">
        <v>-189.98150000000001</v>
      </c>
      <c r="H6093" s="1">
        <v>-2.941351E-6</v>
      </c>
      <c r="I6093">
        <v>-13.54307</v>
      </c>
      <c r="J6093">
        <v>-192.4836</v>
      </c>
      <c r="K6093">
        <v>1.1154710000000001</v>
      </c>
      <c r="L6093">
        <v>-45.953670000000002</v>
      </c>
      <c r="M6093">
        <v>0.33388620000000002</v>
      </c>
      <c r="N6093">
        <v>-1.3361960000000001E-2</v>
      </c>
      <c r="O6093">
        <v>0.94251870000000004</v>
      </c>
      <c r="P6093">
        <v>2.1029840000000001E-2</v>
      </c>
      <c r="Q6093">
        <v>3.4618399999999999E-3</v>
      </c>
      <c r="R6093">
        <v>0.99977280000000002</v>
      </c>
      <c r="S6093">
        <v>0.2377319</v>
      </c>
      <c r="T6093">
        <v>-0.1022178</v>
      </c>
      <c r="U6093">
        <v>2.9951479999999999</v>
      </c>
      <c r="V6093">
        <v>-0.31421460000000001</v>
      </c>
      <c r="W6093">
        <v>1.169924E-2</v>
      </c>
      <c r="X6093">
        <v>0.94927989999999995</v>
      </c>
      <c r="Y6093">
        <v>-0.25821290000000002</v>
      </c>
      <c r="Z6093">
        <v>-1.738251E-2</v>
      </c>
      <c r="AA6093">
        <v>0.96593169999999995</v>
      </c>
      <c r="AB6093">
        <v>29</v>
      </c>
      <c r="AC6093">
        <v>2.50209999999998</v>
      </c>
      <c r="AD6093">
        <v>-1.115473941351</v>
      </c>
      <c r="AE6093">
        <v>32.410600000000002</v>
      </c>
      <c r="AF6093">
        <v>-8.4539768676942497</v>
      </c>
      <c r="AG6093">
        <v>-1.115473941351</v>
      </c>
      <c r="AH6093">
        <v>31.348901037046499</v>
      </c>
      <c r="AI6093">
        <v>91.967636978250496</v>
      </c>
      <c r="AJ6093">
        <v>105.092153042268</v>
      </c>
      <c r="AK6093">
        <v>32.487960896674899</v>
      </c>
      <c r="AL6093">
        <v>89.329667637483496</v>
      </c>
      <c r="AM6093">
        <v>108.314704219844</v>
      </c>
      <c r="AN6093">
        <v>1.00000000780687</v>
      </c>
    </row>
    <row r="6094" spans="1:40" x14ac:dyDescent="0.25">
      <c r="A6094" t="str">
        <f>"20190305135945487"</f>
        <v>20190305135945487</v>
      </c>
      <c r="B6094" t="str">
        <f>"1551765585475307"</f>
        <v>1551765585475307</v>
      </c>
      <c r="C6094" t="s">
        <v>40</v>
      </c>
      <c r="D6094">
        <v>4.2637519999999904</v>
      </c>
      <c r="E6094">
        <v>0.52165030000000001</v>
      </c>
      <c r="F6094" t="s">
        <v>42</v>
      </c>
      <c r="G6094">
        <v>-190.2595</v>
      </c>
      <c r="H6094" s="1">
        <v>-2.1807379999999999E-6</v>
      </c>
      <c r="I6094">
        <v>-15.488479999999999</v>
      </c>
      <c r="J6094">
        <v>-192.39340000000001</v>
      </c>
      <c r="K6094">
        <v>1.1153500000000001</v>
      </c>
      <c r="L6094">
        <v>-45.675420000000003</v>
      </c>
      <c r="M6094">
        <v>0.32690849999999999</v>
      </c>
      <c r="N6094">
        <v>-1.3230810000000001E-2</v>
      </c>
      <c r="O6094">
        <v>0.94496329999999995</v>
      </c>
      <c r="P6094">
        <v>1.5791039999999999E-2</v>
      </c>
      <c r="Q6094">
        <v>1.7131920000000001E-3</v>
      </c>
      <c r="R6094">
        <v>0.99987380000000003</v>
      </c>
      <c r="S6094">
        <v>0.21875</v>
      </c>
      <c r="T6094">
        <v>-0.1097144</v>
      </c>
      <c r="U6094">
        <v>2.9964599999999999</v>
      </c>
      <c r="V6094">
        <v>-0.31214170000000002</v>
      </c>
      <c r="W6094">
        <v>9.9345609999999997E-3</v>
      </c>
      <c r="X6094">
        <v>0.94998360000000004</v>
      </c>
      <c r="Y6094">
        <v>-0.25718639999999998</v>
      </c>
      <c r="Z6094">
        <v>-1.9863829999999999E-2</v>
      </c>
      <c r="AA6094">
        <v>0.96615759999999995</v>
      </c>
      <c r="AB6094">
        <v>29</v>
      </c>
      <c r="AC6094">
        <v>2.1339000000000099</v>
      </c>
      <c r="AD6094">
        <v>-1.115352180738</v>
      </c>
      <c r="AE6094">
        <v>30.18694</v>
      </c>
      <c r="AF6094">
        <v>-7.8419456468753301</v>
      </c>
      <c r="AG6094">
        <v>-1.115352180738</v>
      </c>
      <c r="AH6094">
        <v>29.186054951284401</v>
      </c>
      <c r="AI6094">
        <v>92.113613868698096</v>
      </c>
      <c r="AJ6094">
        <v>105.039492981915</v>
      </c>
      <c r="AK6094">
        <v>30.241791045422801</v>
      </c>
      <c r="AL6094">
        <v>89.4307822132713</v>
      </c>
      <c r="AM6094">
        <v>108.189276039566</v>
      </c>
      <c r="AN6094">
        <v>0.99999998832505599</v>
      </c>
    </row>
    <row r="6095" spans="1:40" x14ac:dyDescent="0.25">
      <c r="A6095" t="str">
        <f>"20190305135945512"</f>
        <v>20190305135945512</v>
      </c>
      <c r="B6095" t="str">
        <f>"1551765585505563"</f>
        <v>1551765585505563</v>
      </c>
      <c r="C6095" t="s">
        <v>40</v>
      </c>
      <c r="D6095">
        <v>4.2818050000000003</v>
      </c>
      <c r="E6095">
        <v>0.52268409999999998</v>
      </c>
      <c r="F6095" t="s">
        <v>42</v>
      </c>
      <c r="G6095">
        <v>-191.3689</v>
      </c>
      <c r="H6095" s="1">
        <v>-3.4156879999999998E-6</v>
      </c>
      <c r="I6095">
        <v>-33.297820000000002</v>
      </c>
      <c r="J6095">
        <v>-192.3</v>
      </c>
      <c r="K6095">
        <v>1.115267</v>
      </c>
      <c r="L6095">
        <v>-45.37997</v>
      </c>
      <c r="M6095">
        <v>0.31957219999999997</v>
      </c>
      <c r="N6095">
        <v>-1.312002E-2</v>
      </c>
      <c r="O6095">
        <v>0.94747110000000001</v>
      </c>
      <c r="P6095">
        <v>1.087571E-2</v>
      </c>
      <c r="Q6095">
        <v>-2.6118769999999999E-4</v>
      </c>
      <c r="R6095">
        <v>0.99994079999999996</v>
      </c>
      <c r="S6095">
        <v>0.24806210000000001</v>
      </c>
      <c r="T6095">
        <v>-0.27005449999999998</v>
      </c>
      <c r="U6095">
        <v>2.996918</v>
      </c>
      <c r="V6095">
        <v>-0.30941439999999998</v>
      </c>
      <c r="W6095">
        <v>7.9538600000000001E-3</v>
      </c>
      <c r="X6095">
        <v>0.95089400000000002</v>
      </c>
      <c r="Y6095">
        <v>-0.2403651</v>
      </c>
      <c r="Z6095">
        <v>-6.8376770000000003E-2</v>
      </c>
      <c r="AA6095">
        <v>0.96827129999999995</v>
      </c>
      <c r="AB6095">
        <v>29</v>
      </c>
      <c r="AC6095">
        <v>0.93110000000001403</v>
      </c>
      <c r="AD6095">
        <v>-1.115270415688</v>
      </c>
      <c r="AE6095">
        <v>12.08215</v>
      </c>
      <c r="AF6095">
        <v>-2.9541625884768301</v>
      </c>
      <c r="AG6095">
        <v>-1.115270415688</v>
      </c>
      <c r="AH6095">
        <v>11.647395276043801</v>
      </c>
      <c r="AI6095">
        <v>95.302656375914097</v>
      </c>
      <c r="AJ6095">
        <v>104.231980874377</v>
      </c>
      <c r="AK6095">
        <v>12.0678383074879</v>
      </c>
      <c r="AL6095">
        <v>89.544272570867093</v>
      </c>
      <c r="AM6095">
        <v>108.024533427017</v>
      </c>
      <c r="AN6095">
        <v>0.99999996702612903</v>
      </c>
    </row>
    <row r="6096" spans="1:40" x14ac:dyDescent="0.25">
      <c r="A6096" t="str">
        <f>"20190305135945532"</f>
        <v>20190305135945532</v>
      </c>
      <c r="B6096" t="str">
        <f>"1551765585525083"</f>
        <v>1551765585525083</v>
      </c>
      <c r="C6096" t="s">
        <v>40</v>
      </c>
      <c r="D6096">
        <v>4.1775539999999998</v>
      </c>
      <c r="E6096">
        <v>0.52318580000000003</v>
      </c>
      <c r="F6096" t="s">
        <v>42</v>
      </c>
      <c r="G6096">
        <v>-191.32390000000001</v>
      </c>
      <c r="H6096" s="1">
        <v>-3.4225330000000001E-6</v>
      </c>
      <c r="I6096">
        <v>-33.253970000000002</v>
      </c>
      <c r="J6096">
        <v>-192.22149999999999</v>
      </c>
      <c r="K6096">
        <v>1.115227</v>
      </c>
      <c r="L6096">
        <v>-45.125520000000002</v>
      </c>
      <c r="M6096">
        <v>0.31328030000000001</v>
      </c>
      <c r="N6096">
        <v>-1.304927E-2</v>
      </c>
      <c r="O6096">
        <v>0.9495711</v>
      </c>
      <c r="P6096">
        <v>7.1270689999999998E-3</v>
      </c>
      <c r="Q6096">
        <v>-1.51487E-3</v>
      </c>
      <c r="R6096">
        <v>0.99997349999999996</v>
      </c>
      <c r="S6096">
        <v>0.24128720000000001</v>
      </c>
      <c r="T6096">
        <v>-0.27568730000000002</v>
      </c>
      <c r="U6096">
        <v>2.9974669999999999</v>
      </c>
      <c r="V6096">
        <v>-0.30665140000000002</v>
      </c>
      <c r="W6096">
        <v>6.7093500000000002E-3</v>
      </c>
      <c r="X6096">
        <v>0.95179829999999999</v>
      </c>
      <c r="Y6096">
        <v>-0.23612520000000001</v>
      </c>
      <c r="Z6096">
        <v>-7.0446599999999998E-2</v>
      </c>
      <c r="AA6096">
        <v>0.96916570000000002</v>
      </c>
      <c r="AB6096">
        <v>29</v>
      </c>
      <c r="AC6096">
        <v>0.89759999999998197</v>
      </c>
      <c r="AD6096">
        <v>-1.1152304225330001</v>
      </c>
      <c r="AE6096">
        <v>11.871549999999999</v>
      </c>
      <c r="AF6096">
        <v>-2.8420928127531302</v>
      </c>
      <c r="AG6096">
        <v>-1.1152304225330001</v>
      </c>
      <c r="AH6096">
        <v>11.4545527063549</v>
      </c>
      <c r="AI6096">
        <v>95.398194180685707</v>
      </c>
      <c r="AJ6096">
        <v>103.93476797082999</v>
      </c>
      <c r="AK6096">
        <v>11.8544509849385</v>
      </c>
      <c r="AL6096">
        <v>89.615579696844193</v>
      </c>
      <c r="AM6096">
        <v>107.85795826618001</v>
      </c>
      <c r="AN6096">
        <v>1.0000000501911299</v>
      </c>
    </row>
    <row r="6097" spans="1:40" x14ac:dyDescent="0.25">
      <c r="A6097" t="str">
        <f>"20190305135945553"</f>
        <v>20190305135945553</v>
      </c>
      <c r="B6097" t="str">
        <f>"1551765585545579"</f>
        <v>1551765585545579</v>
      </c>
      <c r="C6097" t="s">
        <v>40</v>
      </c>
      <c r="D6097">
        <v>4.2625140000000004</v>
      </c>
      <c r="E6097">
        <v>0.52443479999999998</v>
      </c>
      <c r="F6097" t="s">
        <v>42</v>
      </c>
      <c r="G6097">
        <v>-191.26130000000001</v>
      </c>
      <c r="H6097" s="1">
        <v>-3.6055809999999999E-6</v>
      </c>
      <c r="I6097">
        <v>-32.788449999999997</v>
      </c>
      <c r="J6097">
        <v>-192.1446</v>
      </c>
      <c r="K6097">
        <v>1.115205</v>
      </c>
      <c r="L6097">
        <v>-44.869959999999999</v>
      </c>
      <c r="M6097">
        <v>0.30696449999999997</v>
      </c>
      <c r="N6097">
        <v>-1.299585E-2</v>
      </c>
      <c r="O6097">
        <v>0.95163229999999999</v>
      </c>
      <c r="P6097">
        <v>2.750719E-3</v>
      </c>
      <c r="Q6097">
        <v>-2.0349719999999999E-3</v>
      </c>
      <c r="R6097">
        <v>0.99999420000000006</v>
      </c>
      <c r="S6097">
        <v>0.2333527</v>
      </c>
      <c r="T6097">
        <v>-0.2710109</v>
      </c>
      <c r="U6097">
        <v>2.9980159999999998</v>
      </c>
      <c r="V6097">
        <v>-0.30448350000000002</v>
      </c>
      <c r="W6097">
        <v>6.1962869999999896E-3</v>
      </c>
      <c r="X6097">
        <v>0.95249740000000005</v>
      </c>
      <c r="Y6097">
        <v>-0.2322313</v>
      </c>
      <c r="Z6097">
        <v>-6.9397699999999896E-2</v>
      </c>
      <c r="AA6097">
        <v>0.97018170000000004</v>
      </c>
      <c r="AB6097">
        <v>29</v>
      </c>
      <c r="AC6097">
        <v>0.88329999999999098</v>
      </c>
      <c r="AD6097">
        <v>-1.115208605581</v>
      </c>
      <c r="AE6097">
        <v>12.08151</v>
      </c>
      <c r="AF6097">
        <v>-2.8441548666817802</v>
      </c>
      <c r="AG6097">
        <v>-1.115208605581</v>
      </c>
      <c r="AH6097">
        <v>11.6703801869347</v>
      </c>
      <c r="AI6097">
        <v>95.304225560301603</v>
      </c>
      <c r="AJ6097">
        <v>103.696398491325</v>
      </c>
      <c r="AK6097">
        <v>12.0636097768135</v>
      </c>
      <c r="AL6097">
        <v>89.644976615392494</v>
      </c>
      <c r="AM6097">
        <v>107.727445327053</v>
      </c>
      <c r="AN6097">
        <v>0.99999994637579603</v>
      </c>
    </row>
    <row r="6098" spans="1:40" x14ac:dyDescent="0.25">
      <c r="A6098" t="str">
        <f>"20190305135945574"</f>
        <v>20190305135945574</v>
      </c>
      <c r="B6098" t="str">
        <f>"1551765585565099"</f>
        <v>1551765585565099</v>
      </c>
      <c r="C6098" t="s">
        <v>40</v>
      </c>
      <c r="D6098">
        <v>4.2702</v>
      </c>
      <c r="E6098">
        <v>0.5252464</v>
      </c>
      <c r="F6098" t="s">
        <v>42</v>
      </c>
      <c r="G6098">
        <v>-191.09569999999999</v>
      </c>
      <c r="H6098" s="1">
        <v>-4.2621750000000004E-6</v>
      </c>
      <c r="I6098">
        <v>-31.059729999999998</v>
      </c>
      <c r="J6098">
        <v>-192.06639999999999</v>
      </c>
      <c r="K6098">
        <v>1.1152059999999999</v>
      </c>
      <c r="L6098">
        <v>-44.603729999999999</v>
      </c>
      <c r="M6098">
        <v>0.300384599999999</v>
      </c>
      <c r="N6098">
        <v>-1.2957130000000001E-2</v>
      </c>
      <c r="O6098">
        <v>0.95373019999999997</v>
      </c>
      <c r="P6098">
        <v>-1.709709E-3</v>
      </c>
      <c r="Q6098">
        <v>-1.9479359999999999E-3</v>
      </c>
      <c r="R6098">
        <v>0.99999669999999896</v>
      </c>
      <c r="S6098">
        <v>0.2277679</v>
      </c>
      <c r="T6098">
        <v>-0.24216840000000001</v>
      </c>
      <c r="U6098">
        <v>2.998901</v>
      </c>
      <c r="V6098">
        <v>-0.3021529</v>
      </c>
      <c r="W6098">
        <v>6.3026169999999999E-3</v>
      </c>
      <c r="X6098">
        <v>0.95323869999999999</v>
      </c>
      <c r="Y6098">
        <v>-0.22730739999999999</v>
      </c>
      <c r="Z6098">
        <v>-6.1010849999999998E-2</v>
      </c>
      <c r="AA6098">
        <v>0.97191000000000005</v>
      </c>
      <c r="AB6098">
        <v>29</v>
      </c>
      <c r="AC6098">
        <v>0.97069999999999301</v>
      </c>
      <c r="AD6098">
        <v>-1.115210262175</v>
      </c>
      <c r="AE6098">
        <v>13.544</v>
      </c>
      <c r="AF6098">
        <v>-3.12182946318377</v>
      </c>
      <c r="AG6098">
        <v>-1.115210262175</v>
      </c>
      <c r="AH6098">
        <v>13.1215063869648</v>
      </c>
      <c r="AI6098">
        <v>94.726641902261093</v>
      </c>
      <c r="AJ6098">
        <v>103.382833060951</v>
      </c>
      <c r="AK6098">
        <v>13.5337889369246</v>
      </c>
      <c r="AL6098">
        <v>89.638884276370305</v>
      </c>
      <c r="AM6098">
        <v>107.587316923914</v>
      </c>
      <c r="AN6098">
        <v>1.00000005856857</v>
      </c>
    </row>
    <row r="6099" spans="1:40" x14ac:dyDescent="0.25">
      <c r="A6099" t="str">
        <f>"20190305135945598"</f>
        <v>20190305135945598</v>
      </c>
      <c r="B6099" t="str">
        <f>"1551765585595355"</f>
        <v>1551765585595355</v>
      </c>
      <c r="C6099" t="s">
        <v>40</v>
      </c>
      <c r="D6099">
        <v>4.2645960000000001</v>
      </c>
      <c r="E6099">
        <v>0.52651969999999904</v>
      </c>
      <c r="F6099" t="s">
        <v>42</v>
      </c>
      <c r="G6099">
        <v>-190.97640000000001</v>
      </c>
      <c r="H6099" s="1">
        <v>-5.6862609999999996E-7</v>
      </c>
      <c r="I6099">
        <v>-29.69097</v>
      </c>
      <c r="J6099">
        <v>-191.9864</v>
      </c>
      <c r="K6099">
        <v>1.115211</v>
      </c>
      <c r="L6099">
        <v>-44.324649999999998</v>
      </c>
      <c r="M6099">
        <v>0.29349199999999998</v>
      </c>
      <c r="N6099">
        <v>-1.292803E-2</v>
      </c>
      <c r="O6099">
        <v>0.95587409999999995</v>
      </c>
      <c r="P6099">
        <v>-7.4260749999999999E-3</v>
      </c>
      <c r="Q6099">
        <v>-5.8453859999999999E-4</v>
      </c>
      <c r="R6099">
        <v>0.99997230000000004</v>
      </c>
      <c r="S6099">
        <v>0.21926880000000001</v>
      </c>
      <c r="T6099">
        <v>-0.2243415</v>
      </c>
      <c r="U6099">
        <v>2.9999389999999999</v>
      </c>
      <c r="V6099">
        <v>-0.30073879999999997</v>
      </c>
      <c r="W6099">
        <v>7.6787359999999898E-3</v>
      </c>
      <c r="X6099">
        <v>0.95367559999999996</v>
      </c>
      <c r="Y6099">
        <v>-0.22303010000000001</v>
      </c>
      <c r="Z6099">
        <v>-5.5881819999999999E-2</v>
      </c>
      <c r="AA6099">
        <v>0.97320850000000003</v>
      </c>
      <c r="AB6099">
        <v>29</v>
      </c>
      <c r="AC6099">
        <v>1.00999999999999</v>
      </c>
      <c r="AD6099">
        <v>-1.1152115686260999</v>
      </c>
      <c r="AE6099">
        <v>14.633679999999901</v>
      </c>
      <c r="AF6099">
        <v>-3.3105776334006398</v>
      </c>
      <c r="AG6099">
        <v>-1.1152115686260999</v>
      </c>
      <c r="AH6099">
        <v>14.2034775267678</v>
      </c>
      <c r="AI6099">
        <v>94.372734885498204</v>
      </c>
      <c r="AJ6099">
        <v>103.12037501592999</v>
      </c>
      <c r="AK6099">
        <v>14.626769806179601</v>
      </c>
      <c r="AL6099">
        <v>89.560036498086305</v>
      </c>
      <c r="AM6099">
        <v>107.502515791091</v>
      </c>
      <c r="AN6099">
        <v>0.99999996942367797</v>
      </c>
    </row>
    <row r="6100" spans="1:40" x14ac:dyDescent="0.25">
      <c r="A6100" t="str">
        <f>"20190305135945621"</f>
        <v>20190305135945621</v>
      </c>
      <c r="B6100" t="str">
        <f>"1551765585614875"</f>
        <v>1551765585614875</v>
      </c>
      <c r="C6100" t="s">
        <v>40</v>
      </c>
      <c r="D6100">
        <v>4.2660939999999998</v>
      </c>
      <c r="E6100">
        <v>0.52726600000000001</v>
      </c>
      <c r="F6100" t="s">
        <v>42</v>
      </c>
      <c r="G6100">
        <v>-190.80680000000001</v>
      </c>
      <c r="H6100" s="1">
        <v>-1.458834E-6</v>
      </c>
      <c r="I6100">
        <v>-27.510729999999999</v>
      </c>
      <c r="J6100">
        <v>-191.9074</v>
      </c>
      <c r="K6100">
        <v>1.1152059999999999</v>
      </c>
      <c r="L6100">
        <v>-44.040469999999999</v>
      </c>
      <c r="M6100">
        <v>0.2864987</v>
      </c>
      <c r="N6100">
        <v>-1.2905420000000001E-2</v>
      </c>
      <c r="O6100">
        <v>0.95799369999999995</v>
      </c>
      <c r="P6100">
        <v>-1.4312190000000001E-2</v>
      </c>
      <c r="Q6100">
        <v>1.0457089999999999E-3</v>
      </c>
      <c r="R6100">
        <v>0.99989700000000004</v>
      </c>
      <c r="S6100">
        <v>0.21057129999999999</v>
      </c>
      <c r="T6100">
        <v>-0.19908149999999999</v>
      </c>
      <c r="U6100">
        <v>3.0015260000000001</v>
      </c>
      <c r="V6100">
        <v>-0.300357599999999</v>
      </c>
      <c r="W6100">
        <v>9.3156560000000003E-3</v>
      </c>
      <c r="X6100">
        <v>0.9537812</v>
      </c>
      <c r="Y6100">
        <v>-0.21873580000000001</v>
      </c>
      <c r="Z6100">
        <v>-4.8409460000000001E-2</v>
      </c>
      <c r="AA6100">
        <v>0.97458259999999997</v>
      </c>
      <c r="AB6100">
        <v>29</v>
      </c>
      <c r="AC6100">
        <v>1.10059999999998</v>
      </c>
      <c r="AD6100">
        <v>-1.115207458834</v>
      </c>
      <c r="AE6100">
        <v>16.52974</v>
      </c>
      <c r="AF6100">
        <v>-3.66507886486349</v>
      </c>
      <c r="AG6100">
        <v>-1.115207458834</v>
      </c>
      <c r="AH6100">
        <v>16.079186942946301</v>
      </c>
      <c r="AI6100">
        <v>93.868607593620396</v>
      </c>
      <c r="AJ6100">
        <v>102.840577650241</v>
      </c>
      <c r="AK6100">
        <v>16.529269297465099</v>
      </c>
      <c r="AL6100">
        <v>89.466244520091806</v>
      </c>
      <c r="AM6100">
        <v>107.47986516645101</v>
      </c>
      <c r="AN6100">
        <v>1.0000000233989501</v>
      </c>
    </row>
    <row r="6101" spans="1:40" x14ac:dyDescent="0.25">
      <c r="A6101" t="str">
        <f>"20190305135945643"</f>
        <v>20190305135945643</v>
      </c>
      <c r="B6101" t="str">
        <f>"1551765585635371"</f>
        <v>1551765585635371</v>
      </c>
      <c r="C6101" t="s">
        <v>40</v>
      </c>
      <c r="D6101">
        <v>4.2858530000000004</v>
      </c>
      <c r="E6101">
        <v>0.52798269999999903</v>
      </c>
      <c r="F6101" t="s">
        <v>42</v>
      </c>
      <c r="G6101">
        <v>-190.715</v>
      </c>
      <c r="H6101" s="1">
        <v>-2.213659E-6</v>
      </c>
      <c r="I6101">
        <v>-25.694220000000001</v>
      </c>
      <c r="J6101">
        <v>-191.8364</v>
      </c>
      <c r="K6101">
        <v>1.1151930000000001</v>
      </c>
      <c r="L6101">
        <v>-43.778230000000001</v>
      </c>
      <c r="M6101">
        <v>0.28008480000000002</v>
      </c>
      <c r="N6101">
        <v>-1.2894020000000001E-2</v>
      </c>
      <c r="O6101">
        <v>0.95988859999999998</v>
      </c>
      <c r="P6101">
        <v>-2.1193340000000001E-2</v>
      </c>
      <c r="Q6101">
        <v>3.3921490000000001E-3</v>
      </c>
      <c r="R6101">
        <v>0.99976960000000004</v>
      </c>
      <c r="S6101">
        <v>0.19520570000000001</v>
      </c>
      <c r="T6101">
        <v>-0.18256040000000001</v>
      </c>
      <c r="U6101">
        <v>3.0032960000000002</v>
      </c>
      <c r="V6101">
        <v>-0.30057159999999999</v>
      </c>
      <c r="W6101">
        <v>1.1675400000000001E-2</v>
      </c>
      <c r="X6101">
        <v>0.95368779999999997</v>
      </c>
      <c r="Y6101">
        <v>-0.2172075</v>
      </c>
      <c r="Z6101">
        <v>-4.3505309999999998E-2</v>
      </c>
      <c r="AA6101">
        <v>0.97515549999999995</v>
      </c>
      <c r="AB6101">
        <v>29</v>
      </c>
      <c r="AC6101">
        <v>1.12139999999999</v>
      </c>
      <c r="AD6101">
        <v>-1.115195213659</v>
      </c>
      <c r="AE6101">
        <v>18.084009999999999</v>
      </c>
      <c r="AF6101">
        <v>-3.97391468383633</v>
      </c>
      <c r="AG6101">
        <v>-1.115195213659</v>
      </c>
      <c r="AH6101">
        <v>17.607489885099898</v>
      </c>
      <c r="AI6101">
        <v>93.535378052529495</v>
      </c>
      <c r="AJ6101">
        <v>102.718255651001</v>
      </c>
      <c r="AK6101">
        <v>18.084782507204</v>
      </c>
      <c r="AL6101">
        <v>89.331033664143902</v>
      </c>
      <c r="AM6101">
        <v>107.49316858589501</v>
      </c>
      <c r="AN6101">
        <v>1.00000001078027</v>
      </c>
    </row>
    <row r="6102" spans="1:40" x14ac:dyDescent="0.25">
      <c r="A6102" t="str">
        <f>"20190305135945665"</f>
        <v>20190305135945665</v>
      </c>
      <c r="B6102" t="str">
        <f>"1551765585654892"</f>
        <v>1551765585654892</v>
      </c>
      <c r="C6102" t="s">
        <v>40</v>
      </c>
      <c r="D6102">
        <v>4.2612030000000001</v>
      </c>
      <c r="E6102">
        <v>0.52834169999999903</v>
      </c>
      <c r="F6102" t="s">
        <v>42</v>
      </c>
      <c r="G6102">
        <v>-190.62899999999999</v>
      </c>
      <c r="H6102" s="1">
        <v>-3.1004309999999998E-6</v>
      </c>
      <c r="I6102">
        <v>-23.573820000000001</v>
      </c>
      <c r="J6102">
        <v>-191.76060000000001</v>
      </c>
      <c r="K6102">
        <v>1.115162</v>
      </c>
      <c r="L6102">
        <v>-43.49033</v>
      </c>
      <c r="M6102">
        <v>0.27308959999999999</v>
      </c>
      <c r="N6102">
        <v>-1.2890560000000001E-2</v>
      </c>
      <c r="O6102">
        <v>0.96190220000000004</v>
      </c>
      <c r="P6102">
        <v>-2.7747910000000001E-2</v>
      </c>
      <c r="Q6102">
        <v>5.5503540000000004E-3</v>
      </c>
      <c r="R6102">
        <v>0.99959949999999997</v>
      </c>
      <c r="S6102">
        <v>0.17958070000000001</v>
      </c>
      <c r="T6102">
        <v>-0.1658666</v>
      </c>
      <c r="U6102">
        <v>3.0050659999999998</v>
      </c>
      <c r="V6102">
        <v>-0.29990640000000002</v>
      </c>
      <c r="W6102">
        <v>1.3877260000000001E-2</v>
      </c>
      <c r="X6102">
        <v>0.95386769999999999</v>
      </c>
      <c r="Y6102">
        <v>-0.2151863</v>
      </c>
      <c r="Z6102">
        <v>-3.8519299999999999E-2</v>
      </c>
      <c r="AA6102">
        <v>0.97581300000000004</v>
      </c>
      <c r="AB6102">
        <v>29</v>
      </c>
      <c r="AC6102">
        <v>1.1315999999999899</v>
      </c>
      <c r="AD6102">
        <v>-1.1151651004309999</v>
      </c>
      <c r="AE6102">
        <v>19.916509999999999</v>
      </c>
      <c r="AF6102">
        <v>-4.3373106907783399</v>
      </c>
      <c r="AG6102">
        <v>-1.1151651004309999</v>
      </c>
      <c r="AH6102">
        <v>19.407731682579399</v>
      </c>
      <c r="AI6102">
        <v>93.209587019001603</v>
      </c>
      <c r="AJ6102">
        <v>102.597662551423</v>
      </c>
      <c r="AK6102">
        <v>19.9177284420829</v>
      </c>
      <c r="AL6102">
        <v>89.204866054916195</v>
      </c>
      <c r="AM6102">
        <v>107.453715902062</v>
      </c>
      <c r="AN6102">
        <v>1.00000000810467</v>
      </c>
    </row>
    <row r="6103" spans="1:40" x14ac:dyDescent="0.25">
      <c r="A6103" t="str">
        <f>"20190305135945690"</f>
        <v>20190305135945690</v>
      </c>
      <c r="B6103" t="str">
        <f>"1551765585685147"</f>
        <v>1551765585685147</v>
      </c>
      <c r="C6103" t="s">
        <v>40</v>
      </c>
      <c r="D6103">
        <v>4.2524059999999997</v>
      </c>
      <c r="E6103">
        <v>0.52907879999999996</v>
      </c>
      <c r="F6103" t="s">
        <v>42</v>
      </c>
      <c r="G6103">
        <v>-190.63640000000001</v>
      </c>
      <c r="H6103" s="1">
        <v>-3.4553530000000002E-6</v>
      </c>
      <c r="I6103">
        <v>-22.751059999999999</v>
      </c>
      <c r="J6103">
        <v>-191.68610000000001</v>
      </c>
      <c r="K6103">
        <v>1.115124</v>
      </c>
      <c r="L6103">
        <v>-43.199579999999997</v>
      </c>
      <c r="M6103">
        <v>0.26609149999999998</v>
      </c>
      <c r="N6103">
        <v>-1.2906020000000001E-2</v>
      </c>
      <c r="O6103">
        <v>0.96386130000000003</v>
      </c>
      <c r="P6103">
        <v>-3.4115529999999998E-2</v>
      </c>
      <c r="Q6103">
        <v>6.9553749999999998E-3</v>
      </c>
      <c r="R6103">
        <v>0.99939370000000005</v>
      </c>
      <c r="S6103">
        <v>0.16297909999999999</v>
      </c>
      <c r="T6103">
        <v>-0.16166829999999999</v>
      </c>
      <c r="U6103">
        <v>3.0066220000000001</v>
      </c>
      <c r="V6103">
        <v>-0.29906480000000002</v>
      </c>
      <c r="W6103">
        <v>1.5351470000000001E-2</v>
      </c>
      <c r="X6103">
        <v>0.95410930000000005</v>
      </c>
      <c r="Y6103">
        <v>-0.2134896</v>
      </c>
      <c r="Z6103">
        <v>-3.7344490000000001E-2</v>
      </c>
      <c r="AA6103">
        <v>0.97623130000000002</v>
      </c>
      <c r="AB6103">
        <v>29</v>
      </c>
      <c r="AC6103">
        <v>1.0497000000000001</v>
      </c>
      <c r="AD6103">
        <v>-1.115127455353</v>
      </c>
      <c r="AE6103">
        <v>20.448519999999998</v>
      </c>
      <c r="AF6103">
        <v>-4.41668119467798</v>
      </c>
      <c r="AG6103">
        <v>-1.115127455353</v>
      </c>
      <c r="AH6103">
        <v>19.931401617892401</v>
      </c>
      <c r="AI6103">
        <v>93.126573645110895</v>
      </c>
      <c r="AJ6103">
        <v>102.49450851141199</v>
      </c>
      <c r="AK6103">
        <v>20.445325932125101</v>
      </c>
      <c r="AL6103">
        <v>89.120390998720296</v>
      </c>
      <c r="AM6103">
        <v>107.40355803051</v>
      </c>
      <c r="AN6103">
        <v>0.99999998928834499</v>
      </c>
    </row>
    <row r="6104" spans="1:40" x14ac:dyDescent="0.25">
      <c r="A6104" t="str">
        <f>"20190305135945712"</f>
        <v>20190305135945712</v>
      </c>
      <c r="B6104" t="str">
        <f>"1551765585704668"</f>
        <v>1551765585704668</v>
      </c>
      <c r="C6104" t="s">
        <v>40</v>
      </c>
      <c r="D6104">
        <v>4.2606999999999999</v>
      </c>
      <c r="E6104">
        <v>0.52948030000000001</v>
      </c>
      <c r="F6104" t="s">
        <v>42</v>
      </c>
      <c r="G6104">
        <v>-190.63220000000001</v>
      </c>
      <c r="H6104" s="1">
        <v>-3.7693160000000001E-6</v>
      </c>
      <c r="I6104">
        <v>-22.01662</v>
      </c>
      <c r="J6104">
        <v>-191.6146</v>
      </c>
      <c r="K6104">
        <v>1.115075</v>
      </c>
      <c r="L6104">
        <v>-42.912199999999999</v>
      </c>
      <c r="M6104">
        <v>0.25925559999999997</v>
      </c>
      <c r="N6104">
        <v>-1.2941039999999999E-2</v>
      </c>
      <c r="O6104">
        <v>0.96572210000000003</v>
      </c>
      <c r="P6104">
        <v>-4.0815360000000002E-2</v>
      </c>
      <c r="Q6104">
        <v>6.9701349999999997E-3</v>
      </c>
      <c r="R6104">
        <v>0.99914239999999999</v>
      </c>
      <c r="S6104">
        <v>0.14965819999999999</v>
      </c>
      <c r="T6104">
        <v>-0.15835060000000001</v>
      </c>
      <c r="U6104">
        <v>3.0080260000000001</v>
      </c>
      <c r="V6104">
        <v>-0.29869950000000001</v>
      </c>
      <c r="W6104">
        <v>1.545112E-2</v>
      </c>
      <c r="X6104">
        <v>0.95422209999999996</v>
      </c>
      <c r="Y6104">
        <v>-0.21090410000000001</v>
      </c>
      <c r="Z6104">
        <v>-3.6415959999999997E-2</v>
      </c>
      <c r="AA6104">
        <v>0.97682820000000004</v>
      </c>
      <c r="AB6104">
        <v>29</v>
      </c>
      <c r="AC6104">
        <v>0.98239999999998395</v>
      </c>
      <c r="AD6104">
        <v>-1.115078769316</v>
      </c>
      <c r="AE6104">
        <v>20.895579999999999</v>
      </c>
      <c r="AF6104">
        <v>-4.4562823148153203</v>
      </c>
      <c r="AG6104">
        <v>-1.115078769316</v>
      </c>
      <c r="AH6104">
        <v>20.377823219184801</v>
      </c>
      <c r="AI6104">
        <v>93.059943521909005</v>
      </c>
      <c r="AJ6104">
        <v>102.33542049403</v>
      </c>
      <c r="AK6104">
        <v>20.8891725993028</v>
      </c>
      <c r="AL6104">
        <v>89.114680781889703</v>
      </c>
      <c r="AM6104">
        <v>107.381650338461</v>
      </c>
      <c r="AN6104">
        <v>0.99999997226895598</v>
      </c>
    </row>
    <row r="6105" spans="1:40" x14ac:dyDescent="0.25">
      <c r="A6105" t="str">
        <f>"20190305135945731"</f>
        <v>20190305135945731</v>
      </c>
      <c r="B6105" t="str">
        <f>"1551765585725163"</f>
        <v>1551765585725163</v>
      </c>
      <c r="C6105" t="s">
        <v>40</v>
      </c>
      <c r="D6105">
        <v>4.2629239999999999</v>
      </c>
      <c r="E6105">
        <v>0.52984960000000003</v>
      </c>
      <c r="F6105" t="s">
        <v>42</v>
      </c>
      <c r="G6105">
        <v>-190.72620000000001</v>
      </c>
      <c r="H6105" s="1">
        <v>-3.4211690000000002E-6</v>
      </c>
      <c r="I6105">
        <v>-22.886469999999999</v>
      </c>
      <c r="J6105">
        <v>-191.5549</v>
      </c>
      <c r="K6105">
        <v>1.1150199999999999</v>
      </c>
      <c r="L6105">
        <v>-42.665500000000002</v>
      </c>
      <c r="M6105">
        <v>0.25345980000000001</v>
      </c>
      <c r="N6105">
        <v>-1.298127E-2</v>
      </c>
      <c r="O6105">
        <v>0.96725879999999997</v>
      </c>
      <c r="P6105">
        <v>-4.6508470000000003E-2</v>
      </c>
      <c r="Q6105">
        <v>6.0848719999999999E-3</v>
      </c>
      <c r="R6105">
        <v>0.99889930000000005</v>
      </c>
      <c r="S6105">
        <v>0.13349910000000001</v>
      </c>
      <c r="T6105">
        <v>-0.16755829999999999</v>
      </c>
      <c r="U6105">
        <v>3.0091860000000001</v>
      </c>
      <c r="V6105">
        <v>-0.29840460000000002</v>
      </c>
      <c r="W6105">
        <v>1.4651549999999999E-2</v>
      </c>
      <c r="X6105">
        <v>0.95432700000000004</v>
      </c>
      <c r="Y6105">
        <v>-0.2102955</v>
      </c>
      <c r="Z6105">
        <v>-3.9340090000000001E-2</v>
      </c>
      <c r="AA6105">
        <v>0.97684599999999999</v>
      </c>
      <c r="AB6105">
        <v>29</v>
      </c>
      <c r="AC6105">
        <v>0.82869999999999699</v>
      </c>
      <c r="AD6105">
        <v>-1.115023421169</v>
      </c>
      <c r="AE6105">
        <v>19.779029999999999</v>
      </c>
      <c r="AF6105">
        <v>-4.1986565121482702</v>
      </c>
      <c r="AG6105">
        <v>-1.115023421169</v>
      </c>
      <c r="AH6105">
        <v>19.281941897948101</v>
      </c>
      <c r="AI6105">
        <v>93.233961457838603</v>
      </c>
      <c r="AJ6105">
        <v>102.28443535146199</v>
      </c>
      <c r="AK6105">
        <v>19.7652542885895</v>
      </c>
      <c r="AL6105">
        <v>89.160497982539297</v>
      </c>
      <c r="AM6105">
        <v>107.36372795490701</v>
      </c>
      <c r="AN6105">
        <v>0.99999999807378104</v>
      </c>
    </row>
    <row r="6106" spans="1:40" x14ac:dyDescent="0.25">
      <c r="A6106" t="str">
        <f>"20190305135945754"</f>
        <v>20190305135945754</v>
      </c>
      <c r="B6106" t="str">
        <f>"1551765585744684"</f>
        <v>1551765585744684</v>
      </c>
      <c r="C6106" t="s">
        <v>40</v>
      </c>
      <c r="D6106">
        <v>4.2952849999999998</v>
      </c>
      <c r="E6106">
        <v>0.53032309999999905</v>
      </c>
      <c r="F6106" t="s">
        <v>42</v>
      </c>
      <c r="G6106">
        <v>-190.8083</v>
      </c>
      <c r="H6106" s="1">
        <v>-2.9842659999999999E-6</v>
      </c>
      <c r="I6106">
        <v>-23.955819999999999</v>
      </c>
      <c r="J6106">
        <v>-191.49010000000001</v>
      </c>
      <c r="K6106">
        <v>1.114949</v>
      </c>
      <c r="L6106">
        <v>-42.390230000000003</v>
      </c>
      <c r="M6106">
        <v>0.24706919999999999</v>
      </c>
      <c r="N6106">
        <v>-1.3037109999999999E-2</v>
      </c>
      <c r="O6106">
        <v>0.9689101</v>
      </c>
      <c r="P6106">
        <v>-5.2246960000000002E-2</v>
      </c>
      <c r="Q6106">
        <v>4.8483229999999999E-3</v>
      </c>
      <c r="R6106">
        <v>0.99862240000000002</v>
      </c>
      <c r="S6106">
        <v>0.12011719999999999</v>
      </c>
      <c r="T6106">
        <v>-0.17938289999999901</v>
      </c>
      <c r="U6106">
        <v>3.009979</v>
      </c>
      <c r="V6106">
        <v>-0.2975719</v>
      </c>
      <c r="W6106">
        <v>1.353062E-2</v>
      </c>
      <c r="X6106">
        <v>0.9546036</v>
      </c>
      <c r="Y6106">
        <v>-0.20818919999999999</v>
      </c>
      <c r="Z6106">
        <v>-4.3101960000000002E-2</v>
      </c>
      <c r="AA6106">
        <v>0.97713839999999996</v>
      </c>
      <c r="AB6106">
        <v>29</v>
      </c>
      <c r="AC6106">
        <v>0.68180000000000895</v>
      </c>
      <c r="AD6106">
        <v>-1.1149519842659901</v>
      </c>
      <c r="AE6106">
        <v>18.43441</v>
      </c>
      <c r="AF6106">
        <v>-3.8801286575243199</v>
      </c>
      <c r="AG6106">
        <v>-1.1149519842659901</v>
      </c>
      <c r="AH6106">
        <v>17.9656407243776</v>
      </c>
      <c r="AI6106">
        <v>93.4713986044829</v>
      </c>
      <c r="AJ6106">
        <v>102.187262829253</v>
      </c>
      <c r="AK6106">
        <v>18.4136569687712</v>
      </c>
      <c r="AL6106">
        <v>89.224728979557099</v>
      </c>
      <c r="AM6106">
        <v>107.313457706951</v>
      </c>
      <c r="AN6106">
        <v>1.00000007324007</v>
      </c>
    </row>
    <row r="6107" spans="1:40" x14ac:dyDescent="0.25">
      <c r="A6107" t="str">
        <f>"20190305135945776"</f>
        <v>20190305135945776</v>
      </c>
      <c r="B6107" t="str">
        <f>"1551765585765180"</f>
        <v>1551765585765180</v>
      </c>
      <c r="C6107" t="s">
        <v>40</v>
      </c>
      <c r="D6107">
        <v>4.2887909999999998</v>
      </c>
      <c r="E6107">
        <v>0.53052790000000005</v>
      </c>
      <c r="F6107" t="s">
        <v>42</v>
      </c>
      <c r="G6107">
        <v>-190.86199999999999</v>
      </c>
      <c r="H6107" s="1">
        <v>-2.6459739999999999E-6</v>
      </c>
      <c r="I6107">
        <v>-24.77769</v>
      </c>
      <c r="J6107">
        <v>-191.42760000000001</v>
      </c>
      <c r="K6107">
        <v>1.1148819999999999</v>
      </c>
      <c r="L6107">
        <v>-42.117800000000003</v>
      </c>
      <c r="M6107">
        <v>0.24082219999999999</v>
      </c>
      <c r="N6107">
        <v>-1.3102290000000001E-2</v>
      </c>
      <c r="O6107">
        <v>0.97048080000000003</v>
      </c>
      <c r="P6107">
        <v>-5.6550660000000003E-2</v>
      </c>
      <c r="Q6107">
        <v>4.5398189999999996E-3</v>
      </c>
      <c r="R6107">
        <v>0.99838939999999998</v>
      </c>
      <c r="S6107">
        <v>0.10736080000000001</v>
      </c>
      <c r="T6107">
        <v>-0.19058939999999999</v>
      </c>
      <c r="U6107">
        <v>3.0106809999999999</v>
      </c>
      <c r="V6107">
        <v>-0.29553119999999999</v>
      </c>
      <c r="W6107">
        <v>1.33647E-2</v>
      </c>
      <c r="X6107">
        <v>0.95523959999999997</v>
      </c>
      <c r="Y6107">
        <v>-0.20603199999999999</v>
      </c>
      <c r="Z6107">
        <v>-4.6673270000000003E-2</v>
      </c>
      <c r="AA6107">
        <v>0.97743150000000001</v>
      </c>
      <c r="AB6107">
        <v>29</v>
      </c>
      <c r="AC6107">
        <v>0.56560000000001698</v>
      </c>
      <c r="AD6107">
        <v>-1.1148846459739901</v>
      </c>
      <c r="AE6107">
        <v>17.340109999999999</v>
      </c>
      <c r="AF6107">
        <v>-3.6123736964750002</v>
      </c>
      <c r="AG6107">
        <v>-1.1148846459739901</v>
      </c>
      <c r="AH6107">
        <v>16.8961372197864</v>
      </c>
      <c r="AI6107">
        <v>93.691967418074199</v>
      </c>
      <c r="AJ6107">
        <v>102.068080542844</v>
      </c>
      <c r="AK6107">
        <v>17.3139153413278</v>
      </c>
      <c r="AL6107">
        <v>89.234236297749902</v>
      </c>
      <c r="AM6107">
        <v>107.190976326369</v>
      </c>
      <c r="AN6107">
        <v>0.99999999939384399</v>
      </c>
    </row>
    <row r="6108" spans="1:40" x14ac:dyDescent="0.25">
      <c r="A6108" t="str">
        <f>"20190305135945810"</f>
        <v>20190305135945810</v>
      </c>
      <c r="B6108" t="str">
        <f>"1551765585805196"</f>
        <v>1551765585805196</v>
      </c>
      <c r="C6108" t="s">
        <v>40</v>
      </c>
      <c r="D6108">
        <v>4.3164800000000003</v>
      </c>
      <c r="E6108">
        <v>0.53130219999999995</v>
      </c>
      <c r="F6108" t="s">
        <v>42</v>
      </c>
      <c r="G6108">
        <v>-190.87809999999999</v>
      </c>
      <c r="H6108" s="1">
        <v>-2.5843029999999998E-6</v>
      </c>
      <c r="I6108">
        <v>-24.931419999999999</v>
      </c>
      <c r="J6108">
        <v>-191.33760000000001</v>
      </c>
      <c r="K6108">
        <v>1.1148119999999999</v>
      </c>
      <c r="L6108">
        <v>-41.709380000000003</v>
      </c>
      <c r="M6108">
        <v>0.2315788</v>
      </c>
      <c r="N6108">
        <v>-1.321115E-2</v>
      </c>
      <c r="O6108">
        <v>0.97272650000000005</v>
      </c>
      <c r="P6108">
        <v>-6.3620179999999998E-2</v>
      </c>
      <c r="Q6108">
        <v>2.574607E-3</v>
      </c>
      <c r="R6108">
        <v>0.99797089999999999</v>
      </c>
      <c r="S6108">
        <v>9.6282960000000001E-2</v>
      </c>
      <c r="T6108">
        <v>-0.19533539999999999</v>
      </c>
      <c r="U6108">
        <v>3.0111690000000002</v>
      </c>
      <c r="V6108">
        <v>-0.29318420000000001</v>
      </c>
      <c r="W6108">
        <v>1.160101E-2</v>
      </c>
      <c r="X6108">
        <v>0.95598559999999999</v>
      </c>
      <c r="Y6108">
        <v>-0.20031959999999999</v>
      </c>
      <c r="Z6108">
        <v>-4.8288169999999998E-2</v>
      </c>
      <c r="AA6108">
        <v>0.97853990000000002</v>
      </c>
      <c r="AB6108">
        <v>29</v>
      </c>
      <c r="AC6108">
        <v>0.459500000000019</v>
      </c>
      <c r="AD6108">
        <v>-1.114814584303</v>
      </c>
      <c r="AE6108">
        <v>16.777959999999901</v>
      </c>
      <c r="AF6108">
        <v>-3.4236479685032601</v>
      </c>
      <c r="AG6108">
        <v>-1.114814584303</v>
      </c>
      <c r="AH6108">
        <v>16.356052268863799</v>
      </c>
      <c r="AI6108">
        <v>93.816734850762103</v>
      </c>
      <c r="AJ6108">
        <v>101.822455511182</v>
      </c>
      <c r="AK6108">
        <v>16.7476751458648</v>
      </c>
      <c r="AL6108">
        <v>89.3352961872869</v>
      </c>
      <c r="AM6108">
        <v>107.049868180383</v>
      </c>
      <c r="AN6108">
        <v>1.00000001298501</v>
      </c>
    </row>
    <row r="6109" spans="1:40" x14ac:dyDescent="0.25">
      <c r="A6109" t="str">
        <f>"20190305135945832"</f>
        <v>20190305135945832</v>
      </c>
      <c r="B6109" t="str">
        <f>"1551765585824715"</f>
        <v>1551765585824715</v>
      </c>
      <c r="C6109" t="s">
        <v>40</v>
      </c>
      <c r="D6109">
        <v>4.288837</v>
      </c>
      <c r="E6109">
        <v>0.53076999999999996</v>
      </c>
      <c r="F6109" t="s">
        <v>42</v>
      </c>
      <c r="G6109">
        <v>-190.89940000000001</v>
      </c>
      <c r="H6109" s="1">
        <v>-2.2968089999999998E-6</v>
      </c>
      <c r="I6109">
        <v>-25.614799999999999</v>
      </c>
      <c r="J6109">
        <v>-191.27600000000001</v>
      </c>
      <c r="K6109">
        <v>1.1147739999999999</v>
      </c>
      <c r="L6109">
        <v>-41.419589999999999</v>
      </c>
      <c r="M6109">
        <v>0.2250751</v>
      </c>
      <c r="N6109">
        <v>-1.3284839999999999E-2</v>
      </c>
      <c r="O6109">
        <v>0.97425090000000003</v>
      </c>
      <c r="P6109">
        <v>-6.9162409999999994E-2</v>
      </c>
      <c r="Q6109">
        <v>1.896939E-3</v>
      </c>
      <c r="R6109">
        <v>0.99760360000000003</v>
      </c>
      <c r="S6109">
        <v>8.2000729999999994E-2</v>
      </c>
      <c r="T6109">
        <v>-0.20862149999999999</v>
      </c>
      <c r="U6109">
        <v>3.0118710000000002</v>
      </c>
      <c r="V6109">
        <v>-0.2920991</v>
      </c>
      <c r="W6109">
        <v>1.1044099999999999E-2</v>
      </c>
      <c r="X6109">
        <v>0.95632430000000002</v>
      </c>
      <c r="Y6109">
        <v>-0.1984175</v>
      </c>
      <c r="Z6109">
        <v>-5.2528789999999999E-2</v>
      </c>
      <c r="AA6109">
        <v>0.97870889999999999</v>
      </c>
      <c r="AB6109">
        <v>29</v>
      </c>
      <c r="AC6109">
        <v>0.37659999999996702</v>
      </c>
      <c r="AD6109">
        <v>-1.114776296809</v>
      </c>
      <c r="AE6109">
        <v>15.804789999999899</v>
      </c>
      <c r="AF6109">
        <v>-3.17485707184859</v>
      </c>
      <c r="AG6109">
        <v>-1.114776296809</v>
      </c>
      <c r="AH6109">
        <v>15.407350840734001</v>
      </c>
      <c r="AI6109">
        <v>94.053470625960699</v>
      </c>
      <c r="AJ6109">
        <v>101.64346367480201</v>
      </c>
      <c r="AK6109">
        <v>15.7705073966585</v>
      </c>
      <c r="AL6109">
        <v>89.367206824498496</v>
      </c>
      <c r="AM6109">
        <v>106.984735054165</v>
      </c>
      <c r="AN6109">
        <v>1.0000000115680501</v>
      </c>
    </row>
    <row r="6110" spans="1:40" x14ac:dyDescent="0.25">
      <c r="A6110" t="str">
        <f>"20190305135945854"</f>
        <v>20190305135945854</v>
      </c>
      <c r="B6110" t="str">
        <f>"1551765585845211"</f>
        <v>1551765585845211</v>
      </c>
      <c r="C6110" t="s">
        <v>40</v>
      </c>
      <c r="D6110">
        <v>4.2988839999999904</v>
      </c>
      <c r="E6110">
        <v>0.53031649999999997</v>
      </c>
      <c r="F6110" t="s">
        <v>42</v>
      </c>
      <c r="G6110">
        <v>-190.95009999999999</v>
      </c>
      <c r="H6110" s="1">
        <v>-2.4079299999999998E-6</v>
      </c>
      <c r="I6110">
        <v>-25.387239999999998</v>
      </c>
      <c r="J6110">
        <v>-191.21969999999999</v>
      </c>
      <c r="K6110">
        <v>1.114754</v>
      </c>
      <c r="L6110">
        <v>-41.145780000000002</v>
      </c>
      <c r="M6110">
        <v>0.21896170000000001</v>
      </c>
      <c r="N6110">
        <v>-1.3349450000000001E-2</v>
      </c>
      <c r="O6110">
        <v>0.97564209999999996</v>
      </c>
      <c r="P6110">
        <v>-7.3465589999999997E-2</v>
      </c>
      <c r="Q6110">
        <v>1.4913909999999999E-3</v>
      </c>
      <c r="R6110">
        <v>0.99729659999999998</v>
      </c>
      <c r="S6110">
        <v>6.1218259999999997E-2</v>
      </c>
      <c r="T6110">
        <v>-0.2094222</v>
      </c>
      <c r="U6110">
        <v>3.011841</v>
      </c>
      <c r="V6110">
        <v>-0.29022290000000001</v>
      </c>
      <c r="W6110">
        <v>1.0754680000000001E-2</v>
      </c>
      <c r="X6110">
        <v>0.95689860000000004</v>
      </c>
      <c r="Y6110">
        <v>-0.19902020000000001</v>
      </c>
      <c r="Z6110">
        <v>-5.2850199999999903E-2</v>
      </c>
      <c r="AA6110">
        <v>0.97856929999999998</v>
      </c>
      <c r="AB6110">
        <v>29</v>
      </c>
      <c r="AC6110">
        <v>0.26959999999999601</v>
      </c>
      <c r="AD6110">
        <v>-1.1147564079300001</v>
      </c>
      <c r="AE6110">
        <v>15.75854</v>
      </c>
      <c r="AF6110">
        <v>-3.1718998135122498</v>
      </c>
      <c r="AG6110">
        <v>-1.1147564079300001</v>
      </c>
      <c r="AH6110">
        <v>15.3582707841796</v>
      </c>
      <c r="AI6110">
        <v>94.065934876067402</v>
      </c>
      <c r="AJ6110">
        <v>101.669071050271</v>
      </c>
      <c r="AK6110">
        <v>15.7219627195896</v>
      </c>
      <c r="AL6110">
        <v>89.383790323854001</v>
      </c>
      <c r="AM6110">
        <v>106.872306833469</v>
      </c>
      <c r="AN6110">
        <v>0.99999996275413505</v>
      </c>
    </row>
    <row r="6111" spans="1:40" x14ac:dyDescent="0.25">
      <c r="A6111" t="str">
        <f>"20190305135945879"</f>
        <v>20190305135945879</v>
      </c>
      <c r="B6111" t="str">
        <f>"1551765585875468"</f>
        <v>1551765585875468</v>
      </c>
      <c r="C6111" t="s">
        <v>40</v>
      </c>
      <c r="D6111">
        <v>4.2461799999999998</v>
      </c>
      <c r="E6111">
        <v>0.52991769999999905</v>
      </c>
      <c r="F6111" t="s">
        <v>42</v>
      </c>
      <c r="G6111">
        <v>-190.97890000000001</v>
      </c>
      <c r="H6111" s="1">
        <v>-2.672784E-6</v>
      </c>
      <c r="I6111">
        <v>-24.787690000000001</v>
      </c>
      <c r="J6111">
        <v>-191.16069999999999</v>
      </c>
      <c r="K6111">
        <v>1.114735</v>
      </c>
      <c r="L6111">
        <v>-40.850070000000002</v>
      </c>
      <c r="M6111">
        <v>0.21238290000000001</v>
      </c>
      <c r="N6111">
        <v>-1.3413499999999899E-2</v>
      </c>
      <c r="O6111">
        <v>0.97709449999999998</v>
      </c>
      <c r="P6111">
        <v>-7.7594999999999997E-2</v>
      </c>
      <c r="Q6111">
        <v>3.438637E-3</v>
      </c>
      <c r="R6111">
        <v>0.99697910000000001</v>
      </c>
      <c r="S6111">
        <v>4.4326780000000003E-2</v>
      </c>
      <c r="T6111">
        <v>-0.2052379</v>
      </c>
      <c r="U6111">
        <v>3.0116879999999999</v>
      </c>
      <c r="V6111">
        <v>-0.28776010000000002</v>
      </c>
      <c r="W6111">
        <v>1.282544E-2</v>
      </c>
      <c r="X6111">
        <v>0.95761660000000004</v>
      </c>
      <c r="Y6111">
        <v>-0.1979041</v>
      </c>
      <c r="Z6111">
        <v>-5.1622330000000001E-2</v>
      </c>
      <c r="AA6111">
        <v>0.97886119999999999</v>
      </c>
      <c r="AB6111">
        <v>29</v>
      </c>
      <c r="AC6111">
        <v>0.181799999999981</v>
      </c>
      <c r="AD6111">
        <v>-1.1147376727839999</v>
      </c>
      <c r="AE6111">
        <v>16.062380000000001</v>
      </c>
      <c r="AF6111">
        <v>-3.21853003511823</v>
      </c>
      <c r="AG6111">
        <v>-1.1147376727839999</v>
      </c>
      <c r="AH6111">
        <v>15.659078042827399</v>
      </c>
      <c r="AI6111">
        <v>93.988794370041404</v>
      </c>
      <c r="AJ6111">
        <v>101.614685563763</v>
      </c>
      <c r="AK6111">
        <v>16.025239493294301</v>
      </c>
      <c r="AL6111">
        <v>89.265136240617906</v>
      </c>
      <c r="AM6111">
        <v>106.725320682974</v>
      </c>
      <c r="AN6111">
        <v>0.99999995982938095</v>
      </c>
    </row>
    <row r="6112" spans="1:40" x14ac:dyDescent="0.25">
      <c r="A6112" t="str">
        <f>"20190305135945902"</f>
        <v>20190305135945902</v>
      </c>
      <c r="B6112" t="str">
        <f>"1551765585894987"</f>
        <v>1551765585894987</v>
      </c>
      <c r="C6112" t="s">
        <v>40</v>
      </c>
      <c r="D6112">
        <v>4.2353180000000004</v>
      </c>
      <c r="E6112">
        <v>0.52971610000000002</v>
      </c>
      <c r="F6112" t="s">
        <v>42</v>
      </c>
      <c r="G6112">
        <v>-190.99889999999999</v>
      </c>
      <c r="H6112" s="1">
        <v>-3.290687E-6</v>
      </c>
      <c r="I6112">
        <v>-23.359760000000001</v>
      </c>
      <c r="J6112">
        <v>-191.10489999999999</v>
      </c>
      <c r="K6112">
        <v>1.114727</v>
      </c>
      <c r="L6112">
        <v>-40.559109999999997</v>
      </c>
      <c r="M6112">
        <v>0.20592569999999999</v>
      </c>
      <c r="N6112">
        <v>-1.3469099999999999E-2</v>
      </c>
      <c r="O6112">
        <v>0.97847490000000004</v>
      </c>
      <c r="P6112">
        <v>-8.127914E-2</v>
      </c>
      <c r="Q6112">
        <v>6.2112560000000001E-3</v>
      </c>
      <c r="R6112">
        <v>0.996672</v>
      </c>
      <c r="S6112">
        <v>2.786255E-2</v>
      </c>
      <c r="T6112">
        <v>-0.19196440000000001</v>
      </c>
      <c r="U6112">
        <v>3.0119319999999998</v>
      </c>
      <c r="V6112">
        <v>-0.28500379999999997</v>
      </c>
      <c r="W6112">
        <v>1.5715730000000001E-2</v>
      </c>
      <c r="X6112">
        <v>0.95839759999999996</v>
      </c>
      <c r="Y6112">
        <v>-0.19678689999999999</v>
      </c>
      <c r="Z6112">
        <v>-4.7504780000000003E-2</v>
      </c>
      <c r="AA6112">
        <v>0.97929480000000002</v>
      </c>
      <c r="AB6112">
        <v>29</v>
      </c>
      <c r="AC6112">
        <v>0.105999999999994</v>
      </c>
      <c r="AD6112">
        <v>-1.114730290687</v>
      </c>
      <c r="AE6112">
        <v>17.1993499999999</v>
      </c>
      <c r="AF6112">
        <v>-3.4239994101983</v>
      </c>
      <c r="AG6112">
        <v>-1.114730290687</v>
      </c>
      <c r="AH6112">
        <v>16.781997164502702</v>
      </c>
      <c r="AI6112">
        <v>93.723749856092496</v>
      </c>
      <c r="AJ6112">
        <v>101.531677425087</v>
      </c>
      <c r="AK6112">
        <v>17.163968783803799</v>
      </c>
      <c r="AL6112">
        <v>89.099517978441</v>
      </c>
      <c r="AM6112">
        <v>106.56117901467201</v>
      </c>
      <c r="AN6112">
        <v>1.00000005493481</v>
      </c>
    </row>
    <row r="6113" spans="1:40" x14ac:dyDescent="0.25">
      <c r="A6113" t="str">
        <f>"20190305135945925"</f>
        <v>20190305135945925</v>
      </c>
      <c r="B6113" t="str">
        <f>"1551765585915484"</f>
        <v>1551765585915484</v>
      </c>
      <c r="C6113" t="s">
        <v>40</v>
      </c>
      <c r="D6113">
        <v>4.4591949999999896</v>
      </c>
      <c r="E6113">
        <v>0.5297695</v>
      </c>
      <c r="F6113" t="s">
        <v>42</v>
      </c>
      <c r="G6113">
        <v>-191.01419999999999</v>
      </c>
      <c r="H6113" s="1">
        <v>-3.9286489999999998E-6</v>
      </c>
      <c r="I6113">
        <v>-21.88213</v>
      </c>
      <c r="J6113">
        <v>-191.05109999999999</v>
      </c>
      <c r="K6113">
        <v>1.114719</v>
      </c>
      <c r="L6113">
        <v>-40.268009999999997</v>
      </c>
      <c r="M6113">
        <v>0.19947139999999999</v>
      </c>
      <c r="N6113">
        <v>-1.351839E-2</v>
      </c>
      <c r="O6113">
        <v>0.97981039999999997</v>
      </c>
      <c r="P6113">
        <v>-8.4473759999999995E-2</v>
      </c>
      <c r="Q6113">
        <v>8.1107269999999999E-3</v>
      </c>
      <c r="R6113">
        <v>0.99639270000000002</v>
      </c>
      <c r="S6113">
        <v>1.4633180000000001E-2</v>
      </c>
      <c r="T6113">
        <v>-0.17979010000000001</v>
      </c>
      <c r="U6113">
        <v>3.0123289999999998</v>
      </c>
      <c r="V6113">
        <v>-0.28177629999999998</v>
      </c>
      <c r="W6113">
        <v>1.773247E-2</v>
      </c>
      <c r="X6113">
        <v>0.95931630000000001</v>
      </c>
      <c r="Y6113">
        <v>-0.19463150000000001</v>
      </c>
      <c r="Z6113">
        <v>-4.3720719999999998E-2</v>
      </c>
      <c r="AA6113">
        <v>0.97990160000000004</v>
      </c>
      <c r="AB6113">
        <v>29</v>
      </c>
      <c r="AC6113">
        <v>3.6900000000002799E-2</v>
      </c>
      <c r="AD6113">
        <v>-1.1147229286489999</v>
      </c>
      <c r="AE6113">
        <v>18.38588</v>
      </c>
      <c r="AF6113">
        <v>-3.6183334395056099</v>
      </c>
      <c r="AG6113">
        <v>-1.1147229286489999</v>
      </c>
      <c r="AH6113">
        <v>17.957673288093201</v>
      </c>
      <c r="AI6113">
        <v>93.482270980042301</v>
      </c>
      <c r="AJ6113">
        <v>101.392124439208</v>
      </c>
      <c r="AK6113">
        <v>18.352465066279098</v>
      </c>
      <c r="AL6113">
        <v>88.983951100385298</v>
      </c>
      <c r="AM6113">
        <v>106.36889384649599</v>
      </c>
      <c r="AN6113">
        <v>1.00000004358983</v>
      </c>
    </row>
    <row r="6114" spans="1:40" x14ac:dyDescent="0.25">
      <c r="A6114" t="str">
        <f>"20190305135945944"</f>
        <v>20190305135945944</v>
      </c>
      <c r="B6114" t="str">
        <f>"1551765585935003"</f>
        <v>1551765585935003</v>
      </c>
      <c r="C6114" t="s">
        <v>40</v>
      </c>
      <c r="D6114">
        <v>4.2284879999999996</v>
      </c>
      <c r="E6114">
        <v>0.52980909999999903</v>
      </c>
      <c r="F6114" t="s">
        <v>42</v>
      </c>
      <c r="G6114">
        <v>-191.01820000000001</v>
      </c>
      <c r="H6114" s="1">
        <v>-4.3997679999999997E-6</v>
      </c>
      <c r="I6114">
        <v>-20.615020000000001</v>
      </c>
      <c r="J6114">
        <v>-191.0085</v>
      </c>
      <c r="K6114">
        <v>1.1147020000000001</v>
      </c>
      <c r="L6114">
        <v>-40.03058</v>
      </c>
      <c r="M6114">
        <v>0.19421459999999999</v>
      </c>
      <c r="N6114">
        <v>-1.3554139999999999E-2</v>
      </c>
      <c r="O6114">
        <v>0.9808654</v>
      </c>
      <c r="P6114">
        <v>-8.5671800000000006E-2</v>
      </c>
      <c r="Q6114">
        <v>8.5666549999999994E-3</v>
      </c>
      <c r="R6114">
        <v>0.99628660000000002</v>
      </c>
      <c r="S6114">
        <v>5.0353999999999998E-3</v>
      </c>
      <c r="T6114">
        <v>-0.17088100000000001</v>
      </c>
      <c r="U6114">
        <v>3.0126949999999999</v>
      </c>
      <c r="V6114">
        <v>-0.27778770000000003</v>
      </c>
      <c r="W6114">
        <v>1.830124E-2</v>
      </c>
      <c r="X6114">
        <v>0.96046819999999999</v>
      </c>
      <c r="Y6114">
        <v>-0.19249869999999999</v>
      </c>
      <c r="Z6114">
        <v>-4.0947709999999998E-2</v>
      </c>
      <c r="AA6114">
        <v>0.98044249999999999</v>
      </c>
      <c r="AB6114">
        <v>29</v>
      </c>
      <c r="AC6114">
        <v>-9.7000000000093695E-3</v>
      </c>
      <c r="AD6114">
        <v>-1.114706399768</v>
      </c>
      <c r="AE6114">
        <v>19.415559999999999</v>
      </c>
      <c r="AF6114">
        <v>-3.7682259478514402</v>
      </c>
      <c r="AG6114">
        <v>-1.114706399768</v>
      </c>
      <c r="AH6114">
        <v>18.9813495411973</v>
      </c>
      <c r="AI6114">
        <v>93.296724832847602</v>
      </c>
      <c r="AJ6114">
        <v>101.22851367906</v>
      </c>
      <c r="AK6114">
        <v>19.3838522372839</v>
      </c>
      <c r="AL6114">
        <v>88.951357699673295</v>
      </c>
      <c r="AM6114">
        <v>106.130986481468</v>
      </c>
      <c r="AN6114">
        <v>1.00000005243403</v>
      </c>
    </row>
    <row r="6115" spans="1:40" x14ac:dyDescent="0.25">
      <c r="A6115" t="str">
        <f>"20190305135945967"</f>
        <v>20190305135945967</v>
      </c>
      <c r="B6115" t="str">
        <f>"1551765585955500"</f>
        <v>1551765585955500</v>
      </c>
      <c r="C6115" t="s">
        <v>40</v>
      </c>
      <c r="D6115">
        <v>4.1976559999999896</v>
      </c>
      <c r="E6115">
        <v>0.52986290000000003</v>
      </c>
      <c r="F6115" t="s">
        <v>42</v>
      </c>
      <c r="G6115">
        <v>-191.0033</v>
      </c>
      <c r="H6115" s="1">
        <v>-5.525122E-7</v>
      </c>
      <c r="I6115">
        <v>-19.745259999999998</v>
      </c>
      <c r="J6115">
        <v>-190.96029999999999</v>
      </c>
      <c r="K6115">
        <v>1.1146720000000001</v>
      </c>
      <c r="L6115">
        <v>-39.752229999999997</v>
      </c>
      <c r="M6115">
        <v>0.18807389999999999</v>
      </c>
      <c r="N6115">
        <v>-1.35905E-2</v>
      </c>
      <c r="O6115">
        <v>0.98206079999999996</v>
      </c>
      <c r="P6115">
        <v>-8.7497140000000001E-2</v>
      </c>
      <c r="Q6115">
        <v>7.9932319999999994E-3</v>
      </c>
      <c r="R6115">
        <v>0.99613269999999998</v>
      </c>
      <c r="S6115">
        <v>7.6293949999999998E-4</v>
      </c>
      <c r="T6115">
        <v>-0.16555120000000001</v>
      </c>
      <c r="U6115">
        <v>3.0126949999999999</v>
      </c>
      <c r="V6115">
        <v>-0.2735284</v>
      </c>
      <c r="W6115">
        <v>1.7850230000000002E-2</v>
      </c>
      <c r="X6115">
        <v>0.96169830000000001</v>
      </c>
      <c r="Y6115">
        <v>-0.18775220000000001</v>
      </c>
      <c r="Z6115">
        <v>-3.9337660000000003E-2</v>
      </c>
      <c r="AA6115">
        <v>0.98142839999999998</v>
      </c>
      <c r="AB6115">
        <v>28</v>
      </c>
      <c r="AC6115">
        <v>-4.3000000000006297E-2</v>
      </c>
      <c r="AD6115">
        <v>-1.1146725525122001</v>
      </c>
      <c r="AE6115">
        <v>20.0069699999999</v>
      </c>
      <c r="AF6115">
        <v>-3.7935935707339699</v>
      </c>
      <c r="AG6115">
        <v>-1.1146725525122001</v>
      </c>
      <c r="AH6115">
        <v>19.581008100534302</v>
      </c>
      <c r="AI6115">
        <v>93.198762983713294</v>
      </c>
      <c r="AJ6115">
        <v>100.964557202203</v>
      </c>
      <c r="AK6115">
        <v>19.9762290063072</v>
      </c>
      <c r="AL6115">
        <v>88.977202855681995</v>
      </c>
      <c r="AM6115">
        <v>105.87693172092</v>
      </c>
      <c r="AN6115">
        <v>1.00000001827025</v>
      </c>
    </row>
    <row r="6116" spans="1:40" x14ac:dyDescent="0.25">
      <c r="A6116" t="str">
        <f>"20190305135945989"</f>
        <v>20190305135945989</v>
      </c>
      <c r="B6116" t="str">
        <f>"1551765585984780"</f>
        <v>1551765585984780</v>
      </c>
      <c r="C6116" t="s">
        <v>40</v>
      </c>
      <c r="D6116">
        <v>4.2177309999999997</v>
      </c>
      <c r="E6116">
        <v>0.52995119999999996</v>
      </c>
      <c r="F6116" t="s">
        <v>42</v>
      </c>
      <c r="G6116">
        <v>-190.99250000000001</v>
      </c>
      <c r="H6116" s="1">
        <v>-7.6850529999999999E-7</v>
      </c>
      <c r="I6116">
        <v>-19.23507</v>
      </c>
      <c r="J6116">
        <v>-190.9145</v>
      </c>
      <c r="K6116">
        <v>1.1146400000000001</v>
      </c>
      <c r="L6116">
        <v>-39.477910000000001</v>
      </c>
      <c r="M6116">
        <v>0.18206149999999999</v>
      </c>
      <c r="N6116">
        <v>-1.362063E-2</v>
      </c>
      <c r="O6116">
        <v>0.98319279999999998</v>
      </c>
      <c r="P6116">
        <v>-8.9674820000000002E-2</v>
      </c>
      <c r="Q6116">
        <v>7.39542699999999E-3</v>
      </c>
      <c r="R6116">
        <v>0.99594369999999999</v>
      </c>
      <c r="S6116">
        <v>-4.7302250000000002E-3</v>
      </c>
      <c r="T6116">
        <v>-0.1636678</v>
      </c>
      <c r="U6116">
        <v>3.012543</v>
      </c>
      <c r="V6116">
        <v>-0.26973659999999999</v>
      </c>
      <c r="W6116">
        <v>1.736679E-2</v>
      </c>
      <c r="X6116">
        <v>0.96277760000000001</v>
      </c>
      <c r="Y6116">
        <v>-0.1835331</v>
      </c>
      <c r="Z6116">
        <v>-3.8820929999999997E-2</v>
      </c>
      <c r="AA6116">
        <v>0.98224670000000003</v>
      </c>
      <c r="AB6116">
        <v>28</v>
      </c>
      <c r="AC6116">
        <v>-7.80000000000029E-2</v>
      </c>
      <c r="AD6116">
        <v>-1.1146407685052999</v>
      </c>
      <c r="AE6116">
        <v>20.242839999999902</v>
      </c>
      <c r="AF6116">
        <v>-3.75110676407308</v>
      </c>
      <c r="AG6116">
        <v>-1.1146407685052999</v>
      </c>
      <c r="AH6116">
        <v>19.830135162813502</v>
      </c>
      <c r="AI6116">
        <v>93.161234047115997</v>
      </c>
      <c r="AJ6116">
        <v>100.711615496497</v>
      </c>
      <c r="AK6116">
        <v>20.212557645526701</v>
      </c>
      <c r="AL6116">
        <v>89.004906276659497</v>
      </c>
      <c r="AM6116">
        <v>105.651013346621</v>
      </c>
      <c r="AN6116">
        <v>1.0000000729181</v>
      </c>
    </row>
    <row r="6117" spans="1:40" x14ac:dyDescent="0.25">
      <c r="A6117" t="str">
        <f>"20190305135946012"</f>
        <v>20190305135946012</v>
      </c>
      <c r="B6117" t="str">
        <f>"1551765586005276"</f>
        <v>1551765586005276</v>
      </c>
      <c r="C6117" t="s">
        <v>40</v>
      </c>
      <c r="D6117">
        <v>4.2137989999999999</v>
      </c>
      <c r="E6117">
        <v>0.53004240000000002</v>
      </c>
      <c r="F6117" t="s">
        <v>42</v>
      </c>
      <c r="G6117">
        <v>-190.99279999999999</v>
      </c>
      <c r="H6117" s="1">
        <v>-1.1126649999999901E-6</v>
      </c>
      <c r="I6117">
        <v>-18.432960000000001</v>
      </c>
      <c r="J6117">
        <v>-190.86859999999999</v>
      </c>
      <c r="K6117">
        <v>1.114584</v>
      </c>
      <c r="L6117">
        <v>-39.192320000000002</v>
      </c>
      <c r="M6117">
        <v>0.17586660000000001</v>
      </c>
      <c r="N6117">
        <v>-1.364608E-2</v>
      </c>
      <c r="O6117">
        <v>0.98431939999999996</v>
      </c>
      <c r="P6117">
        <v>-9.2082109999999995E-2</v>
      </c>
      <c r="Q6117">
        <v>7.1316829999999998E-3</v>
      </c>
      <c r="R6117">
        <v>0.99572590000000005</v>
      </c>
      <c r="S6117">
        <v>-1.119995E-2</v>
      </c>
      <c r="T6117">
        <v>-0.15955050000000001</v>
      </c>
      <c r="U6117">
        <v>3.0123899999999999</v>
      </c>
      <c r="V6117">
        <v>-0.26599410000000001</v>
      </c>
      <c r="W6117">
        <v>1.7222330000000001E-2</v>
      </c>
      <c r="X6117">
        <v>0.96382080000000003</v>
      </c>
      <c r="Y6117">
        <v>-0.179455</v>
      </c>
      <c r="Z6117">
        <v>-3.7588549999999998E-2</v>
      </c>
      <c r="AA6117">
        <v>0.98304780000000003</v>
      </c>
      <c r="AB6117">
        <v>28</v>
      </c>
      <c r="AC6117">
        <v>-0.124200000000001</v>
      </c>
      <c r="AD6117">
        <v>-1.1145851126649999</v>
      </c>
      <c r="AE6117">
        <v>20.759360000000001</v>
      </c>
      <c r="AF6117">
        <v>-3.7626358276526202</v>
      </c>
      <c r="AG6117">
        <v>-1.1145851126649999</v>
      </c>
      <c r="AH6117">
        <v>20.355223578153801</v>
      </c>
      <c r="AI6117">
        <v>93.082088104423093</v>
      </c>
      <c r="AJ6117">
        <v>100.47283379165999</v>
      </c>
      <c r="AK6117">
        <v>20.730047160137801</v>
      </c>
      <c r="AL6117">
        <v>89.013184392680699</v>
      </c>
      <c r="AM6117">
        <v>105.428375920164</v>
      </c>
      <c r="AN6117">
        <v>1.0000000021990301</v>
      </c>
    </row>
    <row r="6118" spans="1:40" x14ac:dyDescent="0.25">
      <c r="A6118" t="str">
        <f>"20190305135946033"</f>
        <v>20190305135946033</v>
      </c>
      <c r="B6118" t="str">
        <f>"1551765586024796"</f>
        <v>1551765586024796</v>
      </c>
      <c r="C6118" t="s">
        <v>40</v>
      </c>
      <c r="D6118">
        <v>4.1701269999999999</v>
      </c>
      <c r="E6118">
        <v>0.53017230000000004</v>
      </c>
      <c r="F6118" t="s">
        <v>42</v>
      </c>
      <c r="G6118">
        <v>-190.9974</v>
      </c>
      <c r="H6118" s="1">
        <v>-1.413043E-6</v>
      </c>
      <c r="I6118">
        <v>-17.73565</v>
      </c>
      <c r="J6118">
        <v>-190.82730000000001</v>
      </c>
      <c r="K6118">
        <v>1.1145069999999999</v>
      </c>
      <c r="L6118">
        <v>-38.925840000000001</v>
      </c>
      <c r="M6118">
        <v>0.17017460000000001</v>
      </c>
      <c r="N6118">
        <v>-1.3664559999999999E-2</v>
      </c>
      <c r="O6118">
        <v>0.98531919999999995</v>
      </c>
      <c r="P6118">
        <v>-9.3580979999999994E-2</v>
      </c>
      <c r="Q6118">
        <v>6.9296829999999998E-3</v>
      </c>
      <c r="R6118">
        <v>0.99558749999999996</v>
      </c>
      <c r="S6118">
        <v>-1.8081670000000001E-2</v>
      </c>
      <c r="T6118">
        <v>-0.15647800000000001</v>
      </c>
      <c r="U6118">
        <v>3.0123289999999998</v>
      </c>
      <c r="V6118">
        <v>-0.26186680000000001</v>
      </c>
      <c r="W6118">
        <v>1.7147949999999999E-2</v>
      </c>
      <c r="X6118">
        <v>0.96495169999999997</v>
      </c>
      <c r="Y6118">
        <v>-0.17601710000000001</v>
      </c>
      <c r="Z6118">
        <v>-3.6677679999999997E-2</v>
      </c>
      <c r="AA6118">
        <v>0.98370360000000001</v>
      </c>
      <c r="AB6118">
        <v>28</v>
      </c>
      <c r="AC6118">
        <v>-0.17009999999999001</v>
      </c>
      <c r="AD6118">
        <v>-1.1145084130430001</v>
      </c>
      <c r="AE6118">
        <v>21.190190000000001</v>
      </c>
      <c r="AF6118">
        <v>-3.7635767258825599</v>
      </c>
      <c r="AG6118">
        <v>-1.1145084130430001</v>
      </c>
      <c r="AH6118">
        <v>20.794580740431599</v>
      </c>
      <c r="AI6118">
        <v>93.018940951577406</v>
      </c>
      <c r="AJ6118">
        <v>100.25881501224799</v>
      </c>
      <c r="AK6118">
        <v>21.1617869506494</v>
      </c>
      <c r="AL6118">
        <v>89.017446707769295</v>
      </c>
      <c r="AM6118">
        <v>105.183146128803</v>
      </c>
      <c r="AN6118">
        <v>1.0000000282321599</v>
      </c>
    </row>
    <row r="6119" spans="1:40" x14ac:dyDescent="0.25">
      <c r="A6119" t="str">
        <f>"20190305135946057"</f>
        <v>20190305135946057</v>
      </c>
      <c r="B6119" t="str">
        <f>"1551765586045292"</f>
        <v>1551765586045292</v>
      </c>
      <c r="C6119" t="s">
        <v>40</v>
      </c>
      <c r="D6119">
        <v>4.1451710000000004</v>
      </c>
      <c r="E6119">
        <v>0.53024230000000006</v>
      </c>
      <c r="F6119" t="s">
        <v>42</v>
      </c>
      <c r="G6119">
        <v>-190.9862</v>
      </c>
      <c r="H6119" s="1">
        <v>-1.696862E-6</v>
      </c>
      <c r="I6119">
        <v>-17.067119999999999</v>
      </c>
      <c r="J6119">
        <v>-190.78370000000001</v>
      </c>
      <c r="K6119">
        <v>1.1144019999999999</v>
      </c>
      <c r="L6119">
        <v>-38.633699999999997</v>
      </c>
      <c r="M6119">
        <v>0.16406960000000001</v>
      </c>
      <c r="N6119">
        <v>-1.3679480000000001E-2</v>
      </c>
      <c r="O6119">
        <v>0.98635390000000001</v>
      </c>
      <c r="P6119">
        <v>-9.4610360000000004E-2</v>
      </c>
      <c r="Q6119">
        <v>6.2047279999999996E-3</v>
      </c>
      <c r="R6119">
        <v>0.99549500000000002</v>
      </c>
      <c r="S6119">
        <v>-2.189636E-2</v>
      </c>
      <c r="T6119">
        <v>-0.15358769999999999</v>
      </c>
      <c r="U6119">
        <v>3.0122990000000001</v>
      </c>
      <c r="V6119">
        <v>-0.25687339999999997</v>
      </c>
      <c r="W6119">
        <v>1.657869E-2</v>
      </c>
      <c r="X6119">
        <v>0.96630289999999996</v>
      </c>
      <c r="Y6119">
        <v>-0.1711685</v>
      </c>
      <c r="Z6119">
        <v>-3.5834709999999999E-2</v>
      </c>
      <c r="AA6119">
        <v>0.98458990000000002</v>
      </c>
      <c r="AB6119">
        <v>28</v>
      </c>
      <c r="AC6119">
        <v>-0.202499999999986</v>
      </c>
      <c r="AD6119">
        <v>-1.1144036968619999</v>
      </c>
      <c r="AE6119">
        <v>21.566579999999899</v>
      </c>
      <c r="AF6119">
        <v>-3.7285520518429398</v>
      </c>
      <c r="AG6119">
        <v>-1.1144036968619999</v>
      </c>
      <c r="AH6119">
        <v>21.184484870243502</v>
      </c>
      <c r="AI6119">
        <v>92.965750333699802</v>
      </c>
      <c r="AJ6119">
        <v>99.982046277110598</v>
      </c>
      <c r="AK6119">
        <v>21.5389506527235</v>
      </c>
      <c r="AL6119">
        <v>89.050067557753593</v>
      </c>
      <c r="AM6119">
        <v>104.886713888092</v>
      </c>
      <c r="AN6119">
        <v>1.0000000455690401</v>
      </c>
    </row>
    <row r="6120" spans="1:40" x14ac:dyDescent="0.25">
      <c r="A6120" t="str">
        <f>"20190305135946080"</f>
        <v>20190305135946080</v>
      </c>
      <c r="B6120" t="str">
        <f>"1551765586075548"</f>
        <v>1551765586075548</v>
      </c>
      <c r="C6120" t="s">
        <v>40</v>
      </c>
      <c r="D6120">
        <v>4.122941</v>
      </c>
      <c r="E6120">
        <v>0.53039369999999997</v>
      </c>
      <c r="F6120" t="s">
        <v>42</v>
      </c>
      <c r="G6120">
        <v>-190.96250000000001</v>
      </c>
      <c r="H6120" s="1">
        <v>-1.834569E-6</v>
      </c>
      <c r="I6120">
        <v>-16.731449999999999</v>
      </c>
      <c r="J6120">
        <v>-190.7431</v>
      </c>
      <c r="K6120">
        <v>1.114266</v>
      </c>
      <c r="L6120">
        <v>-38.351230000000001</v>
      </c>
      <c r="M6120">
        <v>0.1583599</v>
      </c>
      <c r="N6120">
        <v>-1.3687879999999999E-2</v>
      </c>
      <c r="O6120">
        <v>0.98728660000000001</v>
      </c>
      <c r="P6120">
        <v>-9.5314700000000002E-2</v>
      </c>
      <c r="Q6120">
        <v>4.8765359999999999E-3</v>
      </c>
      <c r="R6120">
        <v>0.99543519999999996</v>
      </c>
      <c r="S6120">
        <v>-2.4597170000000002E-2</v>
      </c>
      <c r="T6120">
        <v>-0.15326189999999901</v>
      </c>
      <c r="U6120">
        <v>3.0121769999999999</v>
      </c>
      <c r="V6120">
        <v>-0.25194369999999999</v>
      </c>
      <c r="W6120">
        <v>1.54144E-2</v>
      </c>
      <c r="X6120">
        <v>0.96761909999999896</v>
      </c>
      <c r="Y6120">
        <v>-0.16635139999999901</v>
      </c>
      <c r="Z6120">
        <v>-3.5814640000000002E-2</v>
      </c>
      <c r="AA6120">
        <v>0.98541590000000001</v>
      </c>
      <c r="AB6120">
        <v>28</v>
      </c>
      <c r="AC6120">
        <v>-0.21940000000000701</v>
      </c>
      <c r="AD6120">
        <v>-1.114267834569</v>
      </c>
      <c r="AE6120">
        <v>21.619779999999999</v>
      </c>
      <c r="AF6120">
        <v>-3.6310138051953</v>
      </c>
      <c r="AG6120">
        <v>-1.114267834569</v>
      </c>
      <c r="AH6120">
        <v>21.255715347188598</v>
      </c>
      <c r="AI6120">
        <v>92.958042873064201</v>
      </c>
      <c r="AJ6120">
        <v>99.693996678695598</v>
      </c>
      <c r="AK6120">
        <v>21.592389607947201</v>
      </c>
      <c r="AL6120">
        <v>89.116784937907397</v>
      </c>
      <c r="AM6120">
        <v>104.594332967311</v>
      </c>
      <c r="AN6120">
        <v>0.99999997719092903</v>
      </c>
    </row>
    <row r="6121" spans="1:40" x14ac:dyDescent="0.25">
      <c r="A6121" t="str">
        <f>"20190305135946104"</f>
        <v>20190305135946104</v>
      </c>
      <c r="B6121" t="str">
        <f>"1551765586095068"</f>
        <v>1551765586095068</v>
      </c>
      <c r="C6121" t="s">
        <v>40</v>
      </c>
      <c r="D6121">
        <v>4.1123770000000004</v>
      </c>
      <c r="E6121">
        <v>0.53049769999999996</v>
      </c>
      <c r="F6121" t="s">
        <v>42</v>
      </c>
      <c r="G6121">
        <v>-190.93100000000001</v>
      </c>
      <c r="H6121" s="1">
        <v>-1.9324400000000002E-6</v>
      </c>
      <c r="I6121">
        <v>-16.48376</v>
      </c>
      <c r="J6121">
        <v>-190.70099999999999</v>
      </c>
      <c r="K6121">
        <v>1.114096</v>
      </c>
      <c r="L6121">
        <v>-38.045990000000003</v>
      </c>
      <c r="M6121">
        <v>0.15244569999999999</v>
      </c>
      <c r="N6121">
        <v>-1.3691160000000001E-2</v>
      </c>
      <c r="O6121">
        <v>0.98821700000000001</v>
      </c>
      <c r="P6121">
        <v>-9.5887269999999997E-2</v>
      </c>
      <c r="Q6121">
        <v>3.7942710000000001E-3</v>
      </c>
      <c r="R6121">
        <v>0.99538499999999996</v>
      </c>
      <c r="S6121">
        <v>-2.5878910000000001E-2</v>
      </c>
      <c r="T6121">
        <v>-0.15347920000000001</v>
      </c>
      <c r="U6121">
        <v>3.0120239999999998</v>
      </c>
      <c r="V6121">
        <v>-0.24668609999999999</v>
      </c>
      <c r="W6121">
        <v>1.4516619999999999E-2</v>
      </c>
      <c r="X6121">
        <v>0.96898669999999998</v>
      </c>
      <c r="Y6121">
        <v>-0.16086710000000001</v>
      </c>
      <c r="Z6121">
        <v>-3.5977879999999997E-2</v>
      </c>
      <c r="AA6121">
        <v>0.98632010000000003</v>
      </c>
      <c r="AB6121">
        <v>28</v>
      </c>
      <c r="AC6121">
        <v>-0.22999999999998899</v>
      </c>
      <c r="AD6121">
        <v>-1.11409793244</v>
      </c>
      <c r="AE6121">
        <v>21.56223</v>
      </c>
      <c r="AF6121">
        <v>-3.5053315669405101</v>
      </c>
      <c r="AG6121">
        <v>-1.11409793244</v>
      </c>
      <c r="AH6121">
        <v>21.218453980442199</v>
      </c>
      <c r="AI6121">
        <v>92.965495881741901</v>
      </c>
      <c r="AJ6121">
        <v>99.380653133677797</v>
      </c>
      <c r="AK6121">
        <v>21.534886879605398</v>
      </c>
      <c r="AL6121">
        <v>89.168229721400195</v>
      </c>
      <c r="AM6121">
        <v>104.283035990149</v>
      </c>
      <c r="AN6121">
        <v>0.99999999448316201</v>
      </c>
    </row>
    <row r="6122" spans="1:40" x14ac:dyDescent="0.25">
      <c r="A6122" t="str">
        <f>"20190305135946127"</f>
        <v>20190305135946127</v>
      </c>
      <c r="B6122" t="str">
        <f>"1551765586114588"</f>
        <v>1551765586114588</v>
      </c>
      <c r="C6122" t="s">
        <v>40</v>
      </c>
      <c r="D6122">
        <v>4.0851089999999903</v>
      </c>
      <c r="E6122">
        <v>0.5306516</v>
      </c>
      <c r="F6122" t="s">
        <v>42</v>
      </c>
      <c r="G6122">
        <v>-190.89400000000001</v>
      </c>
      <c r="H6122" s="1">
        <v>-2.005013E-6</v>
      </c>
      <c r="I6122">
        <v>-16.291620000000002</v>
      </c>
      <c r="J6122">
        <v>-190.6635</v>
      </c>
      <c r="K6122">
        <v>1.113934</v>
      </c>
      <c r="L6122">
        <v>-37.764040000000001</v>
      </c>
      <c r="M6122">
        <v>0.1471885</v>
      </c>
      <c r="N6122">
        <v>-1.3691460000000001E-2</v>
      </c>
      <c r="O6122">
        <v>0.9890137</v>
      </c>
      <c r="P6122">
        <v>-9.5340159999999993E-2</v>
      </c>
      <c r="Q6122">
        <v>2.7208689999999999E-3</v>
      </c>
      <c r="R6122">
        <v>0.99544100000000002</v>
      </c>
      <c r="S6122">
        <v>-2.6718140000000001E-2</v>
      </c>
      <c r="T6122">
        <v>-0.154249</v>
      </c>
      <c r="U6122">
        <v>3.0119319999999998</v>
      </c>
      <c r="V6122">
        <v>-0.24097950000000001</v>
      </c>
      <c r="W6122">
        <v>1.361883E-2</v>
      </c>
      <c r="X6122">
        <v>0.97043469999999998</v>
      </c>
      <c r="Y6122">
        <v>-0.1558937</v>
      </c>
      <c r="Z6122">
        <v>-3.630916E-2</v>
      </c>
      <c r="AA6122">
        <v>0.98710629999999999</v>
      </c>
      <c r="AB6122">
        <v>28</v>
      </c>
      <c r="AC6122">
        <v>-0.23050000000000601</v>
      </c>
      <c r="AD6122">
        <v>-1.1139360050130001</v>
      </c>
      <c r="AE6122">
        <v>21.47242</v>
      </c>
      <c r="AF6122">
        <v>-3.3796839518494899</v>
      </c>
      <c r="AG6122">
        <v>-1.1139360050130001</v>
      </c>
      <c r="AH6122">
        <v>21.1476703660976</v>
      </c>
      <c r="AI6122">
        <v>92.977506811459406</v>
      </c>
      <c r="AJ6122">
        <v>99.079859618301199</v>
      </c>
      <c r="AK6122">
        <v>21.444977942417601</v>
      </c>
      <c r="AL6122">
        <v>89.219674434927299</v>
      </c>
      <c r="AM6122">
        <v>103.94567722783501</v>
      </c>
      <c r="AN6122">
        <v>1.0000000494574499</v>
      </c>
    </row>
    <row r="6123" spans="1:40" x14ac:dyDescent="0.25">
      <c r="A6123" t="str">
        <f>"20190305135946145"</f>
        <v>20190305135946145</v>
      </c>
      <c r="B6123" t="str">
        <f>"1551765586135085"</f>
        <v>1551765586135085</v>
      </c>
      <c r="C6123" t="s">
        <v>40</v>
      </c>
      <c r="D6123">
        <v>4.0766730000000004</v>
      </c>
      <c r="E6123">
        <v>0.53074949999999999</v>
      </c>
      <c r="F6123" t="s">
        <v>42</v>
      </c>
      <c r="G6123">
        <v>-190.834</v>
      </c>
      <c r="H6123" s="1">
        <v>-2.0743979999999999E-6</v>
      </c>
      <c r="I6123">
        <v>-16.092669999999998</v>
      </c>
      <c r="J6123">
        <v>-190.63300000000001</v>
      </c>
      <c r="K6123">
        <v>1.1138030000000001</v>
      </c>
      <c r="L6123">
        <v>-37.527769999999997</v>
      </c>
      <c r="M6123">
        <v>0.14296099999999901</v>
      </c>
      <c r="N6123">
        <v>-1.369019E-2</v>
      </c>
      <c r="O6123">
        <v>0.9896336</v>
      </c>
      <c r="P6123">
        <v>-9.3316769999999993E-2</v>
      </c>
      <c r="Q6123">
        <v>3.9069359999999997E-3</v>
      </c>
      <c r="R6123">
        <v>0.99562879999999998</v>
      </c>
      <c r="S6123">
        <v>-2.36969E-2</v>
      </c>
      <c r="T6123">
        <v>-0.1548156</v>
      </c>
      <c r="U6123">
        <v>3.0119020000000001</v>
      </c>
      <c r="V6123">
        <v>-0.23486170000000001</v>
      </c>
      <c r="W6123">
        <v>1.4966230000000001E-2</v>
      </c>
      <c r="X6123">
        <v>0.97191360000000004</v>
      </c>
      <c r="Y6123">
        <v>-0.15068290000000001</v>
      </c>
      <c r="Z6123">
        <v>-3.656417E-2</v>
      </c>
      <c r="AA6123">
        <v>0.9879057</v>
      </c>
      <c r="AB6123">
        <v>28</v>
      </c>
      <c r="AC6123">
        <v>-0.201000000000021</v>
      </c>
      <c r="AD6123">
        <v>-1.1138050743979999</v>
      </c>
      <c r="AE6123">
        <v>21.435099999999998</v>
      </c>
      <c r="AF6123">
        <v>-3.2548183366042198</v>
      </c>
      <c r="AG6123">
        <v>-1.1138050743979999</v>
      </c>
      <c r="AH6123">
        <v>21.1291021773424</v>
      </c>
      <c r="AI6123">
        <v>92.982398372493805</v>
      </c>
      <c r="AJ6123">
        <v>98.757253916624506</v>
      </c>
      <c r="AK6123">
        <v>21.407320312655401</v>
      </c>
      <c r="AL6123">
        <v>89.142466193170407</v>
      </c>
      <c r="AM6123">
        <v>103.585020934925</v>
      </c>
      <c r="AN6123">
        <v>1.0000000260161299</v>
      </c>
    </row>
    <row r="6124" spans="1:40" x14ac:dyDescent="0.25">
      <c r="A6124" t="str">
        <f>"20190305135946168"</f>
        <v>20190305135946168</v>
      </c>
      <c r="B6124" t="str">
        <f>"1551765586165340"</f>
        <v>1551765586165340</v>
      </c>
      <c r="C6124" t="s">
        <v>40</v>
      </c>
      <c r="D6124">
        <v>4.0623950000000004</v>
      </c>
      <c r="E6124">
        <v>0.53095999999999999</v>
      </c>
      <c r="F6124" t="s">
        <v>42</v>
      </c>
      <c r="G6124">
        <v>-190.75899999999999</v>
      </c>
      <c r="H6124" s="1">
        <v>-2.5270020000000002E-6</v>
      </c>
      <c r="I6124">
        <v>-14.99114</v>
      </c>
      <c r="J6124">
        <v>-190.5984</v>
      </c>
      <c r="K6124">
        <v>1.113642</v>
      </c>
      <c r="L6124">
        <v>-37.25159</v>
      </c>
      <c r="M6124">
        <v>0.138259299999999</v>
      </c>
      <c r="N6124">
        <v>-1.3685849999999999E-2</v>
      </c>
      <c r="O6124">
        <v>0.99030149999999995</v>
      </c>
      <c r="P6124">
        <v>-9.1750970000000001E-2</v>
      </c>
      <c r="Q6124">
        <v>5.9583329999999997E-3</v>
      </c>
      <c r="R6124">
        <v>0.99576410000000004</v>
      </c>
      <c r="S6124">
        <v>-1.6845699999999901E-2</v>
      </c>
      <c r="T6124">
        <v>-0.14886779999999999</v>
      </c>
      <c r="U6124">
        <v>3.0121769999999999</v>
      </c>
      <c r="V6124">
        <v>-0.22872300000000001</v>
      </c>
      <c r="W6124">
        <v>1.7191339999999999E-2</v>
      </c>
      <c r="X6124">
        <v>0.97333970000000003</v>
      </c>
      <c r="Y6124">
        <v>-0.14374219999999999</v>
      </c>
      <c r="Z6124">
        <v>-3.4715009999999998E-2</v>
      </c>
      <c r="AA6124">
        <v>0.9890061</v>
      </c>
      <c r="AB6124">
        <v>28</v>
      </c>
      <c r="AC6124">
        <v>-0.16060000000001601</v>
      </c>
      <c r="AD6124">
        <v>-1.1136445270019999</v>
      </c>
      <c r="AE6124">
        <v>22.260449999999999</v>
      </c>
      <c r="AF6124">
        <v>-3.2289787770017599</v>
      </c>
      <c r="AG6124">
        <v>-1.1136445270019999</v>
      </c>
      <c r="AH6124">
        <v>21.969433193111701</v>
      </c>
      <c r="AI6124">
        <v>92.871083320696002</v>
      </c>
      <c r="AJ6124">
        <v>98.361239460236604</v>
      </c>
      <c r="AK6124">
        <v>22.233364632943999</v>
      </c>
      <c r="AL6124">
        <v>89.014960212440101</v>
      </c>
      <c r="AM6124">
        <v>103.22389128832501</v>
      </c>
      <c r="AN6124">
        <v>0.999999962248042</v>
      </c>
    </row>
    <row r="6125" spans="1:40" x14ac:dyDescent="0.25">
      <c r="A6125" t="str">
        <f>"20190305135946191"</f>
        <v>20190305135946191</v>
      </c>
      <c r="B6125" t="str">
        <f>"1551765586184859"</f>
        <v>1551765586184859</v>
      </c>
      <c r="C6125" t="s">
        <v>40</v>
      </c>
      <c r="D6125">
        <v>4.0628979999999997</v>
      </c>
      <c r="E6125">
        <v>0.53107219999999999</v>
      </c>
      <c r="F6125" t="s">
        <v>42</v>
      </c>
      <c r="G6125">
        <v>-190.68289999999999</v>
      </c>
      <c r="H6125" s="1">
        <v>-3.2756800000000001E-6</v>
      </c>
      <c r="I6125">
        <v>-13.19872</v>
      </c>
      <c r="J6125">
        <v>-190.56299999999999</v>
      </c>
      <c r="K6125">
        <v>1.1134409999999999</v>
      </c>
      <c r="L6125">
        <v>-36.959560000000003</v>
      </c>
      <c r="M6125">
        <v>0.13357529999999901</v>
      </c>
      <c r="N6125">
        <v>-1.36781E-2</v>
      </c>
      <c r="O6125">
        <v>0.9909443</v>
      </c>
      <c r="P6125">
        <v>-9.1172630000000005E-2</v>
      </c>
      <c r="Q6125">
        <v>5.867138E-3</v>
      </c>
      <c r="R6125">
        <v>0.99581779999999998</v>
      </c>
      <c r="S6125">
        <v>-1.057434E-2</v>
      </c>
      <c r="T6125">
        <v>-0.1394832</v>
      </c>
      <c r="U6125">
        <v>3.0126040000000001</v>
      </c>
      <c r="V6125">
        <v>-0.22354170000000001</v>
      </c>
      <c r="W6125">
        <v>1.7270009999999999E-2</v>
      </c>
      <c r="X6125">
        <v>0.9745414</v>
      </c>
      <c r="Y6125">
        <v>-0.13700670000000001</v>
      </c>
      <c r="Z6125">
        <v>-3.173956E-2</v>
      </c>
      <c r="AA6125">
        <v>0.99006150000000004</v>
      </c>
      <c r="AB6125">
        <v>28</v>
      </c>
      <c r="AC6125">
        <v>-0.11990000000000101</v>
      </c>
      <c r="AD6125">
        <v>-1.11344427567999</v>
      </c>
      <c r="AE6125">
        <v>23.760839999999899</v>
      </c>
      <c r="AF6125">
        <v>-3.2857684672490901</v>
      </c>
      <c r="AG6125">
        <v>-1.11344427567999</v>
      </c>
      <c r="AH6125">
        <v>23.480294842738498</v>
      </c>
      <c r="AI6125">
        <v>92.688793348033698</v>
      </c>
      <c r="AJ6125">
        <v>97.9660855500031</v>
      </c>
      <c r="AK6125">
        <v>23.735211784969302</v>
      </c>
      <c r="AL6125">
        <v>89.010452163540904</v>
      </c>
      <c r="AM6125">
        <v>102.919099178092</v>
      </c>
      <c r="AN6125">
        <v>1.00000004259912</v>
      </c>
    </row>
    <row r="6126" spans="1:40" x14ac:dyDescent="0.25">
      <c r="A6126" t="str">
        <f>"20190305135946212"</f>
        <v>20190305135946212</v>
      </c>
      <c r="B6126" t="str">
        <f>"1551765586205356"</f>
        <v>1551765586205356</v>
      </c>
      <c r="C6126" t="s">
        <v>40</v>
      </c>
      <c r="D6126">
        <v>4.0591400000000002</v>
      </c>
      <c r="E6126">
        <v>0.53114989999999995</v>
      </c>
      <c r="F6126" t="s">
        <v>42</v>
      </c>
      <c r="G6126">
        <v>-190.62629999999999</v>
      </c>
      <c r="H6126" s="1">
        <v>-3.555165E-6</v>
      </c>
      <c r="I6126">
        <v>-12.51216</v>
      </c>
      <c r="J6126">
        <v>-190.53309999999999</v>
      </c>
      <c r="K6126">
        <v>1.113235</v>
      </c>
      <c r="L6126">
        <v>-36.704650000000001</v>
      </c>
      <c r="M6126">
        <v>0.1297373</v>
      </c>
      <c r="N6126">
        <v>-1.3660169999999999E-2</v>
      </c>
      <c r="O6126">
        <v>0.99145430000000001</v>
      </c>
      <c r="P6126">
        <v>-9.0198120000000007E-2</v>
      </c>
      <c r="Q6126">
        <v>4.2528369999999998E-3</v>
      </c>
      <c r="R6126">
        <v>0.99591479999999999</v>
      </c>
      <c r="S6126">
        <v>-7.7972409999999999E-3</v>
      </c>
      <c r="T6126">
        <v>-0.13721169999999999</v>
      </c>
      <c r="U6126">
        <v>3.0126949999999999</v>
      </c>
      <c r="V6126">
        <v>-0.21879100000000001</v>
      </c>
      <c r="W6126">
        <v>1.579821E-2</v>
      </c>
      <c r="X6126">
        <v>0.97564379999999995</v>
      </c>
      <c r="Y6126">
        <v>-0.13225970000000001</v>
      </c>
      <c r="Z6126">
        <v>-3.1068160000000001E-2</v>
      </c>
      <c r="AA6126">
        <v>0.9907281</v>
      </c>
      <c r="AB6126">
        <v>28</v>
      </c>
      <c r="AC6126">
        <v>-9.3199999999995897E-2</v>
      </c>
      <c r="AD6126">
        <v>-1.1132385551649999</v>
      </c>
      <c r="AE6126">
        <v>24.192489999999999</v>
      </c>
      <c r="AF6126">
        <v>-3.2245456343096701</v>
      </c>
      <c r="AG6126">
        <v>-1.1132385551649999</v>
      </c>
      <c r="AH6126">
        <v>23.925233836985001</v>
      </c>
      <c r="AI6126">
        <v>92.640208036101498</v>
      </c>
      <c r="AJ6126">
        <v>97.675838904302694</v>
      </c>
      <c r="AK6126">
        <v>24.1672052331845</v>
      </c>
      <c r="AL6126">
        <v>89.094791545384595</v>
      </c>
      <c r="AM6126">
        <v>102.639636630255</v>
      </c>
      <c r="AN6126">
        <v>0.99999995479932102</v>
      </c>
    </row>
    <row r="6127" spans="1:40" x14ac:dyDescent="0.25">
      <c r="A6127" t="str">
        <f>"20190305135946234"</f>
        <v>20190305135946234</v>
      </c>
      <c r="B6127" t="str">
        <f>"1551765586224876"</f>
        <v>1551765586224876</v>
      </c>
      <c r="C6127" t="s">
        <v>40</v>
      </c>
      <c r="D6127">
        <v>4.0951409999999999</v>
      </c>
      <c r="E6127">
        <v>0.53125159999999905</v>
      </c>
      <c r="F6127" t="s">
        <v>42</v>
      </c>
      <c r="G6127">
        <v>-190.56729999999999</v>
      </c>
      <c r="H6127" s="1">
        <v>-3.3988529999999902E-6</v>
      </c>
      <c r="I6127">
        <v>-12.8399</v>
      </c>
      <c r="J6127">
        <v>-190.50040000000001</v>
      </c>
      <c r="K6127">
        <v>1.1129800000000001</v>
      </c>
      <c r="L6127">
        <v>-36.419800000000002</v>
      </c>
      <c r="M6127">
        <v>0.12572630000000001</v>
      </c>
      <c r="N6127">
        <v>-1.359166E-2</v>
      </c>
      <c r="O6127">
        <v>0.99197190000000002</v>
      </c>
      <c r="P6127">
        <v>-8.9229749999999997E-2</v>
      </c>
      <c r="Q6127">
        <v>1.743882E-3</v>
      </c>
      <c r="R6127">
        <v>0.99600949999999999</v>
      </c>
      <c r="S6127">
        <v>-4.3182369999999999E-3</v>
      </c>
      <c r="T6127">
        <v>-0.14052709999999999</v>
      </c>
      <c r="U6127">
        <v>3.0125120000000001</v>
      </c>
      <c r="V6127">
        <v>-0.21386530000000001</v>
      </c>
      <c r="W6127">
        <v>1.339855E-2</v>
      </c>
      <c r="X6127">
        <v>0.97677119999999995</v>
      </c>
      <c r="Y6127">
        <v>-0.12710639999999901</v>
      </c>
      <c r="Z6127">
        <v>-3.2271229999999998E-2</v>
      </c>
      <c r="AA6127">
        <v>0.99136400000000002</v>
      </c>
      <c r="AB6127">
        <v>28</v>
      </c>
      <c r="AC6127">
        <v>-6.6899999999975507E-2</v>
      </c>
      <c r="AD6127">
        <v>-1.11298339885299</v>
      </c>
      <c r="AE6127">
        <v>23.579899999999999</v>
      </c>
      <c r="AF6127">
        <v>-3.0245181357622002</v>
      </c>
      <c r="AG6127">
        <v>-1.11298339885299</v>
      </c>
      <c r="AH6127">
        <v>23.332364651985799</v>
      </c>
      <c r="AI6127">
        <v>92.708385284586797</v>
      </c>
      <c r="AJ6127">
        <v>97.385928068016398</v>
      </c>
      <c r="AK6127">
        <v>23.553888898713002</v>
      </c>
      <c r="AL6127">
        <v>89.232296610520294</v>
      </c>
      <c r="AM6127">
        <v>102.350092410966</v>
      </c>
      <c r="AN6127">
        <v>0.99999993241781304</v>
      </c>
    </row>
    <row r="6128" spans="1:40" x14ac:dyDescent="0.25">
      <c r="A6128" t="str">
        <f>"20190305135946256"</f>
        <v>20190305135946256</v>
      </c>
      <c r="B6128" t="str">
        <f>"1551765586245372"</f>
        <v>1551765586245372</v>
      </c>
      <c r="C6128" t="s">
        <v>40</v>
      </c>
      <c r="D6128">
        <v>4.023663</v>
      </c>
      <c r="E6128">
        <v>0.53134320000000002</v>
      </c>
      <c r="F6128" t="s">
        <v>42</v>
      </c>
      <c r="G6128">
        <v>-190.50630000000001</v>
      </c>
      <c r="H6128" s="1">
        <v>-3.1010009999999999E-6</v>
      </c>
      <c r="I6128">
        <v>-13.4964</v>
      </c>
      <c r="J6128">
        <v>-190.47059999999999</v>
      </c>
      <c r="K6128">
        <v>1.1126969999999901</v>
      </c>
      <c r="L6128">
        <v>-36.153779999999998</v>
      </c>
      <c r="M6128">
        <v>0.1222765</v>
      </c>
      <c r="N6128">
        <v>-1.3464800000000001E-2</v>
      </c>
      <c r="O6128">
        <v>0.99240479999999998</v>
      </c>
      <c r="P6128">
        <v>-8.8529449999999996E-2</v>
      </c>
      <c r="Q6128">
        <v>-1.281489E-3</v>
      </c>
      <c r="R6128">
        <v>0.99607270000000003</v>
      </c>
      <c r="S6128">
        <v>-7.7819819999999998E-4</v>
      </c>
      <c r="T6128">
        <v>-0.14624949999999901</v>
      </c>
      <c r="U6128">
        <v>3.0122070000000001</v>
      </c>
      <c r="V6128">
        <v>-0.2097512</v>
      </c>
      <c r="W6128">
        <v>1.040756E-2</v>
      </c>
      <c r="X6128">
        <v>0.9776994</v>
      </c>
      <c r="Y6128">
        <v>-0.122492</v>
      </c>
      <c r="Z6128">
        <v>-3.4313299999999998E-2</v>
      </c>
      <c r="AA6128">
        <v>0.99187610000000004</v>
      </c>
      <c r="AB6128">
        <v>28</v>
      </c>
      <c r="AC6128">
        <v>-3.5700000000019799E-2</v>
      </c>
      <c r="AD6128">
        <v>-1.11270010100099</v>
      </c>
      <c r="AE6128">
        <v>22.65738</v>
      </c>
      <c r="AF6128">
        <v>-2.7993966844990701</v>
      </c>
      <c r="AG6128">
        <v>-1.11270010100099</v>
      </c>
      <c r="AH6128">
        <v>22.428870846620502</v>
      </c>
      <c r="AI6128">
        <v>92.818293582782502</v>
      </c>
      <c r="AJ6128">
        <v>97.114421423560898</v>
      </c>
      <c r="AK6128">
        <v>22.630266696756699</v>
      </c>
      <c r="AL6128">
        <v>89.4036799713341</v>
      </c>
      <c r="AM6128">
        <v>102.10843806672599</v>
      </c>
      <c r="AN6128">
        <v>0.999999999983476</v>
      </c>
    </row>
    <row r="6129" spans="1:40" x14ac:dyDescent="0.25">
      <c r="A6129" t="str">
        <f>"20190305135946281"</f>
        <v>20190305135946281</v>
      </c>
      <c r="B6129" t="str">
        <f>"1551765586274653"</f>
        <v>1551765586274653</v>
      </c>
      <c r="C6129" t="s">
        <v>40</v>
      </c>
      <c r="D6129">
        <v>4.0283389999999999</v>
      </c>
      <c r="E6129">
        <v>0.531474</v>
      </c>
      <c r="F6129" t="s">
        <v>42</v>
      </c>
      <c r="G6129">
        <v>-190.45359999999999</v>
      </c>
      <c r="H6129" s="1">
        <v>-2.726275E-6</v>
      </c>
      <c r="I6129">
        <v>-14.337199999999999</v>
      </c>
      <c r="J6129">
        <v>-190.43770000000001</v>
      </c>
      <c r="K6129">
        <v>1.1123730000000001</v>
      </c>
      <c r="L6129">
        <v>-35.852290000000004</v>
      </c>
      <c r="M6129">
        <v>0.11873590000000001</v>
      </c>
      <c r="N6129">
        <v>-1.326636E-2</v>
      </c>
      <c r="O6129">
        <v>0.99283730000000003</v>
      </c>
      <c r="P6129">
        <v>-8.9224170000000005E-2</v>
      </c>
      <c r="Q6129">
        <v>-3.4782189999999998E-3</v>
      </c>
      <c r="R6129">
        <v>0.99600549999999999</v>
      </c>
      <c r="S6129">
        <v>2.3498540000000002E-3</v>
      </c>
      <c r="T6129">
        <v>-0.15361140000000001</v>
      </c>
      <c r="U6129">
        <v>3.011841</v>
      </c>
      <c r="V6129">
        <v>-0.20692150000000001</v>
      </c>
      <c r="W6129">
        <v>8.1789229999999994E-3</v>
      </c>
      <c r="X6129">
        <v>0.97832330000000001</v>
      </c>
      <c r="Y6129">
        <v>-0.1179212</v>
      </c>
      <c r="Z6129">
        <v>-3.6965289999999998E-2</v>
      </c>
      <c r="AA6129">
        <v>0.99233470000000001</v>
      </c>
      <c r="AB6129">
        <v>28</v>
      </c>
      <c r="AC6129">
        <v>-1.5899999999987799E-2</v>
      </c>
      <c r="AD6129">
        <v>-1.112375726275</v>
      </c>
      <c r="AE6129">
        <v>21.515090000000001</v>
      </c>
      <c r="AF6129">
        <v>-2.5637725211340201</v>
      </c>
      <c r="AG6129">
        <v>-1.112375726275</v>
      </c>
      <c r="AH6129">
        <v>21.304026595076401</v>
      </c>
      <c r="AI6129">
        <v>92.967574467161896</v>
      </c>
      <c r="AJ6129">
        <v>96.862098510284099</v>
      </c>
      <c r="AK6129">
        <v>21.486550641279099</v>
      </c>
      <c r="AL6129">
        <v>89.531376978478406</v>
      </c>
      <c r="AM6129">
        <v>101.942411063642</v>
      </c>
      <c r="AN6129">
        <v>0.99999994063328801</v>
      </c>
    </row>
    <row r="6130" spans="1:40" x14ac:dyDescent="0.25">
      <c r="A6130" t="str">
        <f>"20190305135946304"</f>
        <v>20190305135946304</v>
      </c>
      <c r="B6130" t="str">
        <f>"1551765586295148"</f>
        <v>1551765586295148</v>
      </c>
      <c r="C6130" t="s">
        <v>40</v>
      </c>
      <c r="D6130">
        <v>4.045369</v>
      </c>
      <c r="E6130">
        <v>0.53155609999999998</v>
      </c>
      <c r="F6130" t="s">
        <v>42</v>
      </c>
      <c r="G6130">
        <v>-190.428</v>
      </c>
      <c r="H6130" s="1">
        <v>-2.6127130000000001E-6</v>
      </c>
      <c r="I6130">
        <v>-14.58602</v>
      </c>
      <c r="J6130">
        <v>-190.4059</v>
      </c>
      <c r="K6130">
        <v>1.112069</v>
      </c>
      <c r="L6130">
        <v>-35.555599999999998</v>
      </c>
      <c r="M6130">
        <v>0.1156261</v>
      </c>
      <c r="N6130">
        <v>-1.303674E-2</v>
      </c>
      <c r="O6130">
        <v>0.99320730000000002</v>
      </c>
      <c r="P6130">
        <v>-9.0148439999999996E-2</v>
      </c>
      <c r="Q6130">
        <v>-3.89179E-3</v>
      </c>
      <c r="R6130">
        <v>0.99592069999999999</v>
      </c>
      <c r="S6130">
        <v>1.373291E-3</v>
      </c>
      <c r="T6130">
        <v>-0.15752769999999999</v>
      </c>
      <c r="U6130">
        <v>3.0115970000000001</v>
      </c>
      <c r="V6130">
        <v>-0.20475589999999999</v>
      </c>
      <c r="W6130">
        <v>7.6925650000000002E-3</v>
      </c>
      <c r="X6130">
        <v>0.97878279999999995</v>
      </c>
      <c r="Y6130">
        <v>-0.1151336</v>
      </c>
      <c r="Z6130">
        <v>-3.8513569999999997E-2</v>
      </c>
      <c r="AA6130">
        <v>0.99260309999999896</v>
      </c>
      <c r="AB6130">
        <v>28</v>
      </c>
      <c r="AC6130">
        <v>-2.20999999999946E-2</v>
      </c>
      <c r="AD6130">
        <v>-1.1120716127129999</v>
      </c>
      <c r="AE6130">
        <v>20.969580000000001</v>
      </c>
      <c r="AF6130">
        <v>-2.43992627256356</v>
      </c>
      <c r="AG6130">
        <v>-1.1120716127129999</v>
      </c>
      <c r="AH6130">
        <v>20.767944591412501</v>
      </c>
      <c r="AI6130">
        <v>93.044221131464298</v>
      </c>
      <c r="AJ6130">
        <v>96.700689818241301</v>
      </c>
      <c r="AK6130">
        <v>20.940331087146799</v>
      </c>
      <c r="AL6130">
        <v>89.559244127990098</v>
      </c>
      <c r="AM6130">
        <v>101.815565143786</v>
      </c>
      <c r="AN6130">
        <v>0.99999996185846396</v>
      </c>
    </row>
    <row r="6131" spans="1:40" x14ac:dyDescent="0.25">
      <c r="A6131" t="str">
        <f>"20190305135946326"</f>
        <v>20190305135946326</v>
      </c>
      <c r="B6131" t="str">
        <f>"1551765586314668"</f>
        <v>1551765586314668</v>
      </c>
      <c r="C6131" t="s">
        <v>40</v>
      </c>
      <c r="D6131">
        <v>4.0090760000000003</v>
      </c>
      <c r="E6131">
        <v>0.53162749999999903</v>
      </c>
      <c r="F6131" t="s">
        <v>42</v>
      </c>
      <c r="G6131">
        <v>-190.41069999999999</v>
      </c>
      <c r="H6131" s="1">
        <v>-2.7650510000000001E-6</v>
      </c>
      <c r="I6131">
        <v>-14.220179999999999</v>
      </c>
      <c r="J6131">
        <v>-190.3775</v>
      </c>
      <c r="K6131">
        <v>1.1118140000000001</v>
      </c>
      <c r="L6131">
        <v>-35.286009999999997</v>
      </c>
      <c r="M6131">
        <v>0.1130555</v>
      </c>
      <c r="N6131">
        <v>-1.28197E-2</v>
      </c>
      <c r="O6131">
        <v>0.993506</v>
      </c>
      <c r="P6131">
        <v>-9.1052209999999995E-2</v>
      </c>
      <c r="Q6131">
        <v>-2.5799410000000001E-3</v>
      </c>
      <c r="R6131">
        <v>0.99584280000000003</v>
      </c>
      <c r="S6131">
        <v>-6.7138669999999997E-4</v>
      </c>
      <c r="T6131">
        <v>-0.15697420000000001</v>
      </c>
      <c r="U6131">
        <v>3.0115970000000001</v>
      </c>
      <c r="V6131">
        <v>-0.20311209999999999</v>
      </c>
      <c r="W6131">
        <v>8.9146569999999994E-3</v>
      </c>
      <c r="X6131">
        <v>0.97911490000000001</v>
      </c>
      <c r="Y6131">
        <v>-0.1132384</v>
      </c>
      <c r="Z6131">
        <v>-3.8578019999999998E-2</v>
      </c>
      <c r="AA6131">
        <v>0.9928186</v>
      </c>
      <c r="AB6131">
        <v>28</v>
      </c>
      <c r="AC6131">
        <v>-3.3199999999993603E-2</v>
      </c>
      <c r="AD6131">
        <v>-1.11181676505099</v>
      </c>
      <c r="AE6131">
        <v>21.065829999999998</v>
      </c>
      <c r="AF6131">
        <v>-2.4080829112223201</v>
      </c>
      <c r="AG6131">
        <v>-1.11181676505099</v>
      </c>
      <c r="AH6131">
        <v>20.8688631972556</v>
      </c>
      <c r="AI6131">
        <v>93.029561621824996</v>
      </c>
      <c r="AJ6131">
        <v>96.582316275804203</v>
      </c>
      <c r="AK6131">
        <v>21.0367405025621</v>
      </c>
      <c r="AL6131">
        <v>89.489221008410098</v>
      </c>
      <c r="AM6131">
        <v>101.719477845594</v>
      </c>
      <c r="AN6131">
        <v>0.99999999183892296</v>
      </c>
    </row>
    <row r="6132" spans="1:40" x14ac:dyDescent="0.25">
      <c r="A6132" t="str">
        <f>"20190305135946346"</f>
        <v>20190305135946346</v>
      </c>
      <c r="B6132" t="str">
        <f>"1551765586335164"</f>
        <v>1551765586335164</v>
      </c>
      <c r="C6132" t="s">
        <v>40</v>
      </c>
      <c r="D6132">
        <v>4.0025940000000002</v>
      </c>
      <c r="E6132">
        <v>0.5317016</v>
      </c>
      <c r="F6132" t="s">
        <v>42</v>
      </c>
      <c r="G6132">
        <v>-190.39779999999999</v>
      </c>
      <c r="H6132" s="1">
        <v>-3.0914370000000001E-6</v>
      </c>
      <c r="I6132">
        <v>-13.451420000000001</v>
      </c>
      <c r="J6132">
        <v>-190.35</v>
      </c>
      <c r="K6132">
        <v>1.1115660000000001</v>
      </c>
      <c r="L6132">
        <v>-35.021999999999998</v>
      </c>
      <c r="M6132">
        <v>0.1108166</v>
      </c>
      <c r="N6132">
        <v>-1.2580350000000001E-2</v>
      </c>
      <c r="O6132">
        <v>0.99376120000000001</v>
      </c>
      <c r="P6132">
        <v>-9.0603429999999999E-2</v>
      </c>
      <c r="Q6132">
        <v>-2.3676830000000002E-3</v>
      </c>
      <c r="R6132">
        <v>0.9958842</v>
      </c>
      <c r="S6132">
        <v>-2.8076170000000001E-3</v>
      </c>
      <c r="T6132">
        <v>-0.15336440000000001</v>
      </c>
      <c r="U6132">
        <v>3.0118710000000002</v>
      </c>
      <c r="V6132">
        <v>-0.20045879999999999</v>
      </c>
      <c r="W6132">
        <v>9.0171680000000008E-3</v>
      </c>
      <c r="X6132">
        <v>0.97966059999999999</v>
      </c>
      <c r="Y6132">
        <v>-0.111706</v>
      </c>
      <c r="Z6132">
        <v>-3.7656530000000001E-2</v>
      </c>
      <c r="AA6132">
        <v>0.99302760000000001</v>
      </c>
      <c r="AB6132">
        <v>28</v>
      </c>
      <c r="AC6132">
        <v>-4.7799999999995103E-2</v>
      </c>
      <c r="AD6132">
        <v>-1.111569091437</v>
      </c>
      <c r="AE6132">
        <v>21.57058</v>
      </c>
      <c r="AF6132">
        <v>-2.4316160046882001</v>
      </c>
      <c r="AG6132">
        <v>-1.111569091437</v>
      </c>
      <c r="AH6132">
        <v>21.375642373250599</v>
      </c>
      <c r="AI6132">
        <v>92.957753155667902</v>
      </c>
      <c r="AJ6132">
        <v>96.489863183090193</v>
      </c>
      <c r="AK6132">
        <v>21.542201120322002</v>
      </c>
      <c r="AL6132">
        <v>89.483347311009297</v>
      </c>
      <c r="AM6132">
        <v>101.564266727966</v>
      </c>
      <c r="AN6132">
        <v>0.99999996550426895</v>
      </c>
    </row>
    <row r="6133" spans="1:40" x14ac:dyDescent="0.25">
      <c r="A6133" t="str">
        <f>"20190305135946371"</f>
        <v>20190305135946371</v>
      </c>
      <c r="B6133" t="str">
        <f>"1551765586365420"</f>
        <v>1551765586365420</v>
      </c>
      <c r="C6133" t="s">
        <v>40</v>
      </c>
      <c r="D6133">
        <v>4.0077720000000001</v>
      </c>
      <c r="E6133">
        <v>0.53183519999999995</v>
      </c>
      <c r="F6133" t="s">
        <v>42</v>
      </c>
      <c r="G6133">
        <v>-190.35749999999999</v>
      </c>
      <c r="H6133" s="1">
        <v>-3.1220879999999998E-6</v>
      </c>
      <c r="I6133">
        <v>-13.354950000000001</v>
      </c>
      <c r="J6133">
        <v>-190.3193</v>
      </c>
      <c r="K6133">
        <v>1.111254</v>
      </c>
      <c r="L6133">
        <v>-34.722990000000003</v>
      </c>
      <c r="M6133">
        <v>0.10867889999999999</v>
      </c>
      <c r="N6133">
        <v>-1.228917E-2</v>
      </c>
      <c r="O6133">
        <v>0.99400100000000002</v>
      </c>
      <c r="P6133">
        <v>-9.0102940000000006E-2</v>
      </c>
      <c r="Q6133">
        <v>-3.7438060000000001E-3</v>
      </c>
      <c r="R6133">
        <v>0.99592539999999996</v>
      </c>
      <c r="S6133">
        <v>-1.037598E-3</v>
      </c>
      <c r="T6133">
        <v>-0.15451899999999999</v>
      </c>
      <c r="U6133">
        <v>3.0119319999999998</v>
      </c>
      <c r="V6133">
        <v>-0.19784550000000001</v>
      </c>
      <c r="W6133">
        <v>7.5046969999999899E-3</v>
      </c>
      <c r="X6133">
        <v>0.98020450000000003</v>
      </c>
      <c r="Y6133">
        <v>-0.10898620000000001</v>
      </c>
      <c r="Z6133">
        <v>-3.8350120000000001E-2</v>
      </c>
      <c r="AA6133">
        <v>0.99330320000000005</v>
      </c>
      <c r="AB6133">
        <v>28</v>
      </c>
      <c r="AC6133">
        <v>-3.8199999999989097E-2</v>
      </c>
      <c r="AD6133">
        <v>-1.1112571220880001</v>
      </c>
      <c r="AE6133">
        <v>21.368040000000001</v>
      </c>
      <c r="AF6133">
        <v>-2.35403736934789</v>
      </c>
      <c r="AG6133">
        <v>-1.1112571220880001</v>
      </c>
      <c r="AH6133">
        <v>21.180021234984999</v>
      </c>
      <c r="AI6133">
        <v>92.985050055857599</v>
      </c>
      <c r="AJ6133">
        <v>96.342066752526193</v>
      </c>
      <c r="AK6133">
        <v>21.339392771166001</v>
      </c>
      <c r="AL6133">
        <v>89.570008504285994</v>
      </c>
      <c r="AM6133">
        <v>101.41132346490301</v>
      </c>
      <c r="AN6133">
        <v>1.00000001208378</v>
      </c>
    </row>
    <row r="6134" spans="1:40" x14ac:dyDescent="0.25">
      <c r="A6134" t="str">
        <f>"20190305135946391"</f>
        <v>20190305135946391</v>
      </c>
      <c r="B6134" t="str">
        <f>"1551765586384940"</f>
        <v>1551765586384940</v>
      </c>
      <c r="C6134" t="s">
        <v>40</v>
      </c>
      <c r="D6134">
        <v>4.0249930000000003</v>
      </c>
      <c r="E6134">
        <v>0.53191769999999905</v>
      </c>
      <c r="F6134" t="s">
        <v>42</v>
      </c>
      <c r="G6134">
        <v>-190.30760000000001</v>
      </c>
      <c r="H6134" s="1">
        <v>-2.8715270000000001E-6</v>
      </c>
      <c r="I6134">
        <v>-13.908060000000001</v>
      </c>
      <c r="J6134">
        <v>-190.2921</v>
      </c>
      <c r="K6134">
        <v>1.1109560000000001</v>
      </c>
      <c r="L6134">
        <v>-34.456509999999902</v>
      </c>
      <c r="M6134">
        <v>0.1071565</v>
      </c>
      <c r="N6134">
        <v>-1.202758E-2</v>
      </c>
      <c r="O6134">
        <v>0.99416939999999998</v>
      </c>
      <c r="P6134">
        <v>-8.8930590000000004E-2</v>
      </c>
      <c r="Q6134">
        <v>-6.3855020000000004E-3</v>
      </c>
      <c r="R6134">
        <v>0.99601729999999999</v>
      </c>
      <c r="S6134">
        <v>1.693726E-3</v>
      </c>
      <c r="T6134">
        <v>-0.16079289999999999</v>
      </c>
      <c r="U6134">
        <v>3.0118100000000001</v>
      </c>
      <c r="V6134">
        <v>-0.1951727</v>
      </c>
      <c r="W6134">
        <v>4.754828E-3</v>
      </c>
      <c r="X6134">
        <v>0.9807574</v>
      </c>
      <c r="Y6134">
        <v>-0.10656309999999999</v>
      </c>
      <c r="Z6134">
        <v>-4.0685550000000001E-2</v>
      </c>
      <c r="AA6134">
        <v>0.99347319999999995</v>
      </c>
      <c r="AB6134">
        <v>28</v>
      </c>
      <c r="AC6134">
        <v>-1.55000000000029E-2</v>
      </c>
      <c r="AD6134">
        <v>-1.110958871527</v>
      </c>
      <c r="AE6134">
        <v>20.5484499999999</v>
      </c>
      <c r="AF6134">
        <v>-2.2110071309908501</v>
      </c>
      <c r="AG6134">
        <v>-1.110958871527</v>
      </c>
      <c r="AH6134">
        <v>20.368917669819002</v>
      </c>
      <c r="AI6134">
        <v>93.103730089875199</v>
      </c>
      <c r="AJ6134">
        <v>96.195091865849705</v>
      </c>
      <c r="AK6134">
        <v>20.518664410418602</v>
      </c>
      <c r="AL6134">
        <v>89.727567406120201</v>
      </c>
      <c r="AM6134">
        <v>101.25494091775001</v>
      </c>
      <c r="AN6134">
        <v>1.00000003443467</v>
      </c>
    </row>
    <row r="6135" spans="1:40" x14ac:dyDescent="0.25">
      <c r="A6135" t="str">
        <f>"20190305135946412"</f>
        <v>20190305135946412</v>
      </c>
      <c r="B6135" t="str">
        <f>"1551765586405436"</f>
        <v>1551765586405436</v>
      </c>
      <c r="C6135" t="s">
        <v>40</v>
      </c>
      <c r="D6135">
        <v>4.0360740000000002</v>
      </c>
      <c r="E6135">
        <v>0.53201999999999905</v>
      </c>
      <c r="F6135" t="s">
        <v>42</v>
      </c>
      <c r="G6135">
        <v>-190.25200000000001</v>
      </c>
      <c r="H6135" s="1">
        <v>-2.5072860000000002E-6</v>
      </c>
      <c r="I6135">
        <v>-14.7226</v>
      </c>
      <c r="J6135">
        <v>-190.2654</v>
      </c>
      <c r="K6135">
        <v>1.110641</v>
      </c>
      <c r="L6135">
        <v>-34.195709999999998</v>
      </c>
      <c r="M6135">
        <v>0.1060353</v>
      </c>
      <c r="N6135">
        <v>-1.1764109999999999E-2</v>
      </c>
      <c r="O6135">
        <v>0.99429279999999998</v>
      </c>
      <c r="P6135">
        <v>-8.8871019999999995E-2</v>
      </c>
      <c r="Q6135">
        <v>-7.6391660000000002E-3</v>
      </c>
      <c r="R6135">
        <v>0.99601379999999995</v>
      </c>
      <c r="S6135">
        <v>6.1187739999999996E-3</v>
      </c>
      <c r="T6135">
        <v>-0.16953499999999999</v>
      </c>
      <c r="U6135">
        <v>3.011444</v>
      </c>
      <c r="V6135">
        <v>-0.19399930000000001</v>
      </c>
      <c r="W6135">
        <v>3.3910849999999998E-3</v>
      </c>
      <c r="X6135">
        <v>0.98099579999999997</v>
      </c>
      <c r="Y6135">
        <v>-0.1039819</v>
      </c>
      <c r="Z6135">
        <v>-4.3832309999999999E-2</v>
      </c>
      <c r="AA6135">
        <v>0.99361279999999996</v>
      </c>
      <c r="AB6135">
        <v>28</v>
      </c>
      <c r="AC6135">
        <v>1.339999999999E-2</v>
      </c>
      <c r="AD6135">
        <v>-1.1106435072859999</v>
      </c>
      <c r="AE6135">
        <v>19.473109999999998</v>
      </c>
      <c r="AF6135">
        <v>-2.0450031478829001</v>
      </c>
      <c r="AG6135">
        <v>-1.1106435072859999</v>
      </c>
      <c r="AH6135">
        <v>19.301945047394199</v>
      </c>
      <c r="AI6135">
        <v>93.274907457192</v>
      </c>
      <c r="AJ6135">
        <v>96.047813713878497</v>
      </c>
      <c r="AK6135">
        <v>19.441724447377499</v>
      </c>
      <c r="AL6135">
        <v>89.805704767930294</v>
      </c>
      <c r="AM6135">
        <v>101.18633663716901</v>
      </c>
      <c r="AN6135">
        <v>0.99999999373780302</v>
      </c>
    </row>
    <row r="6136" spans="1:40" x14ac:dyDescent="0.25">
      <c r="A6136" t="str">
        <f>"20190305135946435"</f>
        <v>20190305135946435</v>
      </c>
      <c r="B6136" t="str">
        <f>"1551765586424955"</f>
        <v>1551765586424955</v>
      </c>
      <c r="C6136" t="s">
        <v>40</v>
      </c>
      <c r="D6136">
        <v>4.0099470000000004</v>
      </c>
      <c r="E6136">
        <v>0.53211129999999995</v>
      </c>
      <c r="F6136" t="s">
        <v>42</v>
      </c>
      <c r="G6136">
        <v>-190.21870000000001</v>
      </c>
      <c r="H6136" s="1">
        <v>-2.4318300000000001E-6</v>
      </c>
      <c r="I6136">
        <v>-14.877840000000001</v>
      </c>
      <c r="J6136">
        <v>-190.23580000000001</v>
      </c>
      <c r="K6136">
        <v>1.1102780000000001</v>
      </c>
      <c r="L6136">
        <v>-33.90784</v>
      </c>
      <c r="M6136">
        <v>0.10521989999999901</v>
      </c>
      <c r="N6136">
        <v>-1.146557E-2</v>
      </c>
      <c r="O6136">
        <v>0.99438289999999996</v>
      </c>
      <c r="P6136">
        <v>-9.0203099999999994E-2</v>
      </c>
      <c r="Q6136">
        <v>-7.5756909999999998E-3</v>
      </c>
      <c r="R6136">
        <v>0.99589459999999996</v>
      </c>
      <c r="S6136">
        <v>7.27844199999999E-3</v>
      </c>
      <c r="T6136">
        <v>-0.17313020000000001</v>
      </c>
      <c r="U6136">
        <v>3.0113219999999998</v>
      </c>
      <c r="V6136">
        <v>-0.1945036</v>
      </c>
      <c r="W6136">
        <v>3.32242E-3</v>
      </c>
      <c r="X6136">
        <v>0.9808962</v>
      </c>
      <c r="Y6136">
        <v>-0.10278420000000001</v>
      </c>
      <c r="Z6136">
        <v>-4.5319560000000002E-2</v>
      </c>
      <c r="AA6136">
        <v>0.99367079999999997</v>
      </c>
      <c r="AB6136">
        <v>28</v>
      </c>
      <c r="AC6136">
        <v>1.7099999999999199E-2</v>
      </c>
      <c r="AD6136">
        <v>-1.1102804318299999</v>
      </c>
      <c r="AE6136">
        <v>19.03</v>
      </c>
      <c r="AF6136">
        <v>-1.9787256696829501</v>
      </c>
      <c r="AG6136">
        <v>-1.1102804318299999</v>
      </c>
      <c r="AH6136">
        <v>18.861943788204702</v>
      </c>
      <c r="AI6136">
        <v>93.350400871313298</v>
      </c>
      <c r="AJ6136">
        <v>95.988749584009497</v>
      </c>
      <c r="AK6136">
        <v>18.997920975268801</v>
      </c>
      <c r="AL6136">
        <v>89.809639010206993</v>
      </c>
      <c r="AM6136">
        <v>101.21578920715901</v>
      </c>
      <c r="AN6136">
        <v>1.0000000220310199</v>
      </c>
    </row>
    <row r="6137" spans="1:40" x14ac:dyDescent="0.25">
      <c r="A6137" t="str">
        <f>"20190305135946459"</f>
        <v>20190305135946459</v>
      </c>
      <c r="B6137" t="str">
        <f>"1551765586455212"</f>
        <v>1551765586455212</v>
      </c>
      <c r="C6137" t="s">
        <v>40</v>
      </c>
      <c r="D6137">
        <v>4.037585</v>
      </c>
      <c r="E6137">
        <v>0.53222729999999996</v>
      </c>
      <c r="F6137" t="s">
        <v>42</v>
      </c>
      <c r="G6137">
        <v>-190.2089</v>
      </c>
      <c r="H6137" s="1">
        <v>-2.5384679999999999E-6</v>
      </c>
      <c r="I6137">
        <v>-14.62322</v>
      </c>
      <c r="J6137">
        <v>-190.2055</v>
      </c>
      <c r="K6137">
        <v>1.1099129999999999</v>
      </c>
      <c r="L6137">
        <v>-33.615359999999903</v>
      </c>
      <c r="M6137">
        <v>0.1048511</v>
      </c>
      <c r="N6137">
        <v>-1.1161000000000001E-2</v>
      </c>
      <c r="O6137">
        <v>0.99442529999999996</v>
      </c>
      <c r="P6137">
        <v>-9.2198509999999997E-2</v>
      </c>
      <c r="Q6137">
        <v>-5.1330739999999996E-3</v>
      </c>
      <c r="R6137">
        <v>0.99572740000000004</v>
      </c>
      <c r="S6137">
        <v>4.1961669999999998E-3</v>
      </c>
      <c r="T6137">
        <v>-0.1733789</v>
      </c>
      <c r="U6137">
        <v>3.011444</v>
      </c>
      <c r="V6137">
        <v>-0.19610520000000001</v>
      </c>
      <c r="W6137">
        <v>5.6250440000000001E-3</v>
      </c>
      <c r="X6137">
        <v>0.98056670000000001</v>
      </c>
      <c r="Y6137">
        <v>-0.103433</v>
      </c>
      <c r="Z6137">
        <v>-4.5703710000000002E-2</v>
      </c>
      <c r="AA6137">
        <v>0.99358579999999996</v>
      </c>
      <c r="AB6137">
        <v>28</v>
      </c>
      <c r="AC6137">
        <v>-3.3999999999991802E-3</v>
      </c>
      <c r="AD6137">
        <v>-1.109915538468</v>
      </c>
      <c r="AE6137">
        <v>18.9921399999999</v>
      </c>
      <c r="AF6137">
        <v>-1.98806219056367</v>
      </c>
      <c r="AG6137">
        <v>-1.109915538468</v>
      </c>
      <c r="AH6137">
        <v>18.822798462819801</v>
      </c>
      <c r="AI6137">
        <v>93.356002856709907</v>
      </c>
      <c r="AJ6137">
        <v>96.0292213235047</v>
      </c>
      <c r="AK6137">
        <v>18.9600117549545</v>
      </c>
      <c r="AL6137">
        <v>89.677707010524003</v>
      </c>
      <c r="AM6137">
        <v>101.30947513605901</v>
      </c>
      <c r="AN6137">
        <v>0.99999997186796497</v>
      </c>
    </row>
    <row r="6138" spans="1:40" x14ac:dyDescent="0.25">
      <c r="A6138" t="str">
        <f>"20190305135946480"</f>
        <v>20190305135946480</v>
      </c>
      <c r="B6138" t="str">
        <f>"1551765586474732"</f>
        <v>1551765586474732</v>
      </c>
      <c r="C6138" t="s">
        <v>40</v>
      </c>
      <c r="D6138">
        <v>4.03348</v>
      </c>
      <c r="E6138">
        <v>0.53231600000000001</v>
      </c>
      <c r="F6138" t="s">
        <v>42</v>
      </c>
      <c r="G6138">
        <v>-190.2097</v>
      </c>
      <c r="H6138" s="1">
        <v>-2.980397E-6</v>
      </c>
      <c r="I6138">
        <v>-13.59357</v>
      </c>
      <c r="J6138">
        <v>-190.17609999999999</v>
      </c>
      <c r="K6138">
        <v>1.1095729999999999</v>
      </c>
      <c r="L6138">
        <v>-33.335720000000002</v>
      </c>
      <c r="M6138">
        <v>0.10497089999999901</v>
      </c>
      <c r="N6138">
        <v>-1.0865939999999999E-2</v>
      </c>
      <c r="O6138">
        <v>0.99441590000000002</v>
      </c>
      <c r="P6138">
        <v>-9.3054120000000004E-2</v>
      </c>
      <c r="Q6138">
        <v>-1.9060800000000001E-3</v>
      </c>
      <c r="R6138">
        <v>0.99565919999999997</v>
      </c>
      <c r="S6138">
        <v>-6.408691E-4</v>
      </c>
      <c r="T6138">
        <v>-0.16696939999999999</v>
      </c>
      <c r="U6138">
        <v>3.0119630000000002</v>
      </c>
      <c r="V6138">
        <v>-0.19706299999999999</v>
      </c>
      <c r="W6138">
        <v>8.7105759999999994E-3</v>
      </c>
      <c r="X6138">
        <v>0.98035220000000001</v>
      </c>
      <c r="Y6138">
        <v>-0.1051501</v>
      </c>
      <c r="Z6138">
        <v>-4.3885849999999997E-2</v>
      </c>
      <c r="AA6138">
        <v>0.99348749999999997</v>
      </c>
      <c r="AB6138">
        <v>29</v>
      </c>
      <c r="AC6138">
        <v>-3.3600000000006902E-2</v>
      </c>
      <c r="AD6138">
        <v>-1.109575980397</v>
      </c>
      <c r="AE6138">
        <v>19.742149999999999</v>
      </c>
      <c r="AF6138">
        <v>-2.0992568532895799</v>
      </c>
      <c r="AG6138">
        <v>-1.109575980397</v>
      </c>
      <c r="AH6138">
        <v>19.5677294694888</v>
      </c>
      <c r="AI6138">
        <v>93.226968677079697</v>
      </c>
      <c r="AJ6138">
        <v>96.123361242976003</v>
      </c>
      <c r="AK6138">
        <v>19.7112677112219</v>
      </c>
      <c r="AL6138">
        <v>89.500914480631295</v>
      </c>
      <c r="AM6138">
        <v>101.365699726385</v>
      </c>
      <c r="AN6138">
        <v>1.00000006807404</v>
      </c>
    </row>
    <row r="6139" spans="1:40" x14ac:dyDescent="0.25">
      <c r="A6139" t="str">
        <f>"20190305135946504"</f>
        <v>20190305135946504</v>
      </c>
      <c r="B6139" t="str">
        <f>"1551765586495228"</f>
        <v>1551765586495228</v>
      </c>
      <c r="C6139" t="s">
        <v>40</v>
      </c>
      <c r="D6139">
        <v>4.0629229999999996</v>
      </c>
      <c r="E6139">
        <v>0.53241490000000002</v>
      </c>
      <c r="F6139" t="s">
        <v>42</v>
      </c>
      <c r="G6139">
        <v>-190.19550000000001</v>
      </c>
      <c r="H6139" s="1">
        <v>-3.55117E-6</v>
      </c>
      <c r="I6139">
        <v>-12.25428</v>
      </c>
      <c r="J6139">
        <v>-190.14250000000001</v>
      </c>
      <c r="K6139">
        <v>1.109227</v>
      </c>
      <c r="L6139">
        <v>-33.020449999999997</v>
      </c>
      <c r="M6139">
        <v>0.1055132</v>
      </c>
      <c r="N6139">
        <v>-1.054829E-2</v>
      </c>
      <c r="O6139">
        <v>0.99436190000000002</v>
      </c>
      <c r="P6139">
        <v>-9.2186309999999994E-2</v>
      </c>
      <c r="Q6139">
        <v>-1.4793530000000001E-3</v>
      </c>
      <c r="R6139">
        <v>0.99574070000000003</v>
      </c>
      <c r="S6139">
        <v>-2.7770999999999998E-3</v>
      </c>
      <c r="T6139">
        <v>-0.15855720000000001</v>
      </c>
      <c r="U6139">
        <v>3.0125120000000001</v>
      </c>
      <c r="V6139">
        <v>-0.19673669999999999</v>
      </c>
      <c r="W6139">
        <v>8.9723489999999993E-3</v>
      </c>
      <c r="X6139">
        <v>0.98041529999999999</v>
      </c>
      <c r="Y6139">
        <v>-0.10639899999999999</v>
      </c>
      <c r="Z6139">
        <v>-4.1433860000000003E-2</v>
      </c>
      <c r="AA6139">
        <v>0.99345989999999995</v>
      </c>
      <c r="AB6139">
        <v>29</v>
      </c>
      <c r="AC6139">
        <v>-5.2999999999997202E-2</v>
      </c>
      <c r="AD6139">
        <v>-1.10923055117</v>
      </c>
      <c r="AE6139">
        <v>20.766169999999899</v>
      </c>
      <c r="AF6139">
        <v>-2.2375470856990001</v>
      </c>
      <c r="AG6139">
        <v>-1.10923055117</v>
      </c>
      <c r="AH6139">
        <v>20.585910602148399</v>
      </c>
      <c r="AI6139">
        <v>93.066260896878504</v>
      </c>
      <c r="AJ6139">
        <v>96.203305157406703</v>
      </c>
      <c r="AK6139">
        <v>20.736844617636802</v>
      </c>
      <c r="AL6139">
        <v>89.485915370371103</v>
      </c>
      <c r="AM6139">
        <v>101.34665749876901</v>
      </c>
      <c r="AN6139">
        <v>0.99999999632377801</v>
      </c>
    </row>
    <row r="6140" spans="1:40" x14ac:dyDescent="0.25">
      <c r="A6140" t="str">
        <f>"20190305135946526"</f>
        <v>20190305135946526</v>
      </c>
      <c r="B6140" t="str">
        <f>"1551765586514748"</f>
        <v>1551765586514748</v>
      </c>
      <c r="C6140" t="s">
        <v>40</v>
      </c>
      <c r="D6140">
        <v>4.0282559999999998</v>
      </c>
      <c r="E6140">
        <v>0.53251590000000004</v>
      </c>
      <c r="F6140" t="s">
        <v>42</v>
      </c>
      <c r="G6140">
        <v>-190.13929999999999</v>
      </c>
      <c r="H6140" s="1">
        <v>-3.6231149999999999E-6</v>
      </c>
      <c r="I6140">
        <v>-12.051690000000001</v>
      </c>
      <c r="J6140">
        <v>-190.1129</v>
      </c>
      <c r="K6140">
        <v>1.1089439999999999</v>
      </c>
      <c r="L6140">
        <v>-32.747990000000001</v>
      </c>
      <c r="M6140">
        <v>0.1062839</v>
      </c>
      <c r="N6140">
        <v>-1.027344E-2</v>
      </c>
      <c r="O6140">
        <v>0.99428269999999996</v>
      </c>
      <c r="P6140">
        <v>-8.9834129999999998E-2</v>
      </c>
      <c r="Q6140">
        <v>-4.3715719999999998E-3</v>
      </c>
      <c r="R6140">
        <v>0.99594709999999997</v>
      </c>
      <c r="S6140">
        <v>4.577637E-4</v>
      </c>
      <c r="T6140">
        <v>-0.15936589999999901</v>
      </c>
      <c r="U6140">
        <v>3.0126339999999998</v>
      </c>
      <c r="V6140">
        <v>-0.1951775</v>
      </c>
      <c r="W6140">
        <v>5.9216329999999999E-3</v>
      </c>
      <c r="X6140">
        <v>0.98075000000000001</v>
      </c>
      <c r="Y6140">
        <v>-0.1061037</v>
      </c>
      <c r="Z6140">
        <v>-4.1965799999999998E-2</v>
      </c>
      <c r="AA6140">
        <v>0.99346909999999999</v>
      </c>
      <c r="AB6140">
        <v>29</v>
      </c>
      <c r="AC6140">
        <v>-2.6399999999995299E-2</v>
      </c>
      <c r="AD6140">
        <v>-1.1089476231149999</v>
      </c>
      <c r="AE6140">
        <v>20.696300000000001</v>
      </c>
      <c r="AF6140">
        <v>-2.2196773974532502</v>
      </c>
      <c r="AG6140">
        <v>-1.1089476231149999</v>
      </c>
      <c r="AH6140">
        <v>20.517348387878201</v>
      </c>
      <c r="AI6140">
        <v>93.075871535390405</v>
      </c>
      <c r="AJ6140">
        <v>96.174551998742899</v>
      </c>
      <c r="AK6140">
        <v>20.666841012819201</v>
      </c>
      <c r="AL6140">
        <v>89.660713418813302</v>
      </c>
      <c r="AM6140">
        <v>101.255293406603</v>
      </c>
      <c r="AN6140">
        <v>0.999999942371816</v>
      </c>
    </row>
    <row r="6141" spans="1:40" x14ac:dyDescent="0.25">
      <c r="A6141" t="str">
        <f>"20190305135946546"</f>
        <v>20190305135946546</v>
      </c>
      <c r="B6141" t="str">
        <f>"1551765586535243"</f>
        <v>1551765586535243</v>
      </c>
      <c r="C6141" t="s">
        <v>40</v>
      </c>
      <c r="D6141">
        <v>4.0685799999999999</v>
      </c>
      <c r="E6141">
        <v>0.53265459999999998</v>
      </c>
      <c r="F6141" t="s">
        <v>42</v>
      </c>
      <c r="G6141">
        <v>-190.06200000000001</v>
      </c>
      <c r="H6141" s="1">
        <v>-3.1438100000000001E-6</v>
      </c>
      <c r="I6141">
        <v>-13.12106</v>
      </c>
      <c r="J6141">
        <v>-190.08369999999999</v>
      </c>
      <c r="K6141">
        <v>1.1086879999999999</v>
      </c>
      <c r="L6141">
        <v>-32.48218</v>
      </c>
      <c r="M6141">
        <v>0.1072816</v>
      </c>
      <c r="N6141">
        <v>-1.0003420000000001E-2</v>
      </c>
      <c r="O6141">
        <v>0.99417840000000002</v>
      </c>
      <c r="P6141">
        <v>-8.6989739999999996E-2</v>
      </c>
      <c r="Q6141">
        <v>-8.4215959999999999E-3</v>
      </c>
      <c r="R6141">
        <v>0.99617359999999999</v>
      </c>
      <c r="S6141">
        <v>7.8125E-3</v>
      </c>
      <c r="T6141">
        <v>-0.17019189999999901</v>
      </c>
      <c r="U6141">
        <v>3.0121769999999999</v>
      </c>
      <c r="V6141">
        <v>-0.19336159999999999</v>
      </c>
      <c r="W6141">
        <v>1.70404E-3</v>
      </c>
      <c r="X6141">
        <v>0.9811261</v>
      </c>
      <c r="Y6141">
        <v>-0.1046753</v>
      </c>
      <c r="Z6141">
        <v>-4.5779279999999999E-2</v>
      </c>
      <c r="AA6141">
        <v>0.99345229999999995</v>
      </c>
      <c r="AB6141">
        <v>29</v>
      </c>
      <c r="AC6141">
        <v>2.1699999999981401E-2</v>
      </c>
      <c r="AD6141">
        <v>-1.10869114381</v>
      </c>
      <c r="AE6141">
        <v>19.36112</v>
      </c>
      <c r="AF6141">
        <v>-2.0489023770122201</v>
      </c>
      <c r="AG6141">
        <v>-1.10869114381</v>
      </c>
      <c r="AH6141">
        <v>19.188774972507399</v>
      </c>
      <c r="AI6141">
        <v>93.288115790878294</v>
      </c>
      <c r="AJ6141">
        <v>96.094727087396095</v>
      </c>
      <c r="AK6141">
        <v>19.3296736120509</v>
      </c>
      <c r="AL6141">
        <v>89.902365654394998</v>
      </c>
      <c r="AM6141">
        <v>101.14904488518501</v>
      </c>
      <c r="AN6141">
        <v>1.00000001810404</v>
      </c>
    </row>
    <row r="6142" spans="1:40" x14ac:dyDescent="0.25">
      <c r="A6142" t="str">
        <f>"20190305135946568"</f>
        <v>20190305135946568</v>
      </c>
      <c r="B6142" t="str">
        <f>"1551765586565501"</f>
        <v>1551765586565501</v>
      </c>
      <c r="C6142" t="s">
        <v>40</v>
      </c>
      <c r="D6142">
        <v>4.0458850000000002</v>
      </c>
      <c r="E6142">
        <v>0.53285119999999997</v>
      </c>
      <c r="F6142" t="s">
        <v>42</v>
      </c>
      <c r="G6142">
        <v>-189.98179999999999</v>
      </c>
      <c r="H6142" s="1">
        <v>-2.6865839999999998E-6</v>
      </c>
      <c r="I6142">
        <v>-14.13711</v>
      </c>
      <c r="J6142">
        <v>-190.05260000000001</v>
      </c>
      <c r="K6142">
        <v>1.1084499999999999</v>
      </c>
      <c r="L6142">
        <v>-32.203949999999999</v>
      </c>
      <c r="M6142">
        <v>0.1085303</v>
      </c>
      <c r="N6142">
        <v>-9.7221389999999994E-3</v>
      </c>
      <c r="O6142">
        <v>0.99404559999999997</v>
      </c>
      <c r="P6142">
        <v>-8.4222030000000003E-2</v>
      </c>
      <c r="Q6142">
        <v>-1.114308E-2</v>
      </c>
      <c r="R6142">
        <v>0.99638470000000001</v>
      </c>
      <c r="S6142">
        <v>1.672363E-2</v>
      </c>
      <c r="T6142">
        <v>-0.18199770000000001</v>
      </c>
      <c r="U6142">
        <v>3.011444</v>
      </c>
      <c r="V6142">
        <v>-0.1918705</v>
      </c>
      <c r="W6142">
        <v>-1.2061039999999999E-3</v>
      </c>
      <c r="X6142">
        <v>0.9814195</v>
      </c>
      <c r="Y6142">
        <v>-0.10298450000000001</v>
      </c>
      <c r="Z6142">
        <v>-4.9925949999999997E-2</v>
      </c>
      <c r="AA6142">
        <v>0.99342920000000001</v>
      </c>
      <c r="AB6142">
        <v>29</v>
      </c>
      <c r="AC6142">
        <v>7.0800000000019694E-2</v>
      </c>
      <c r="AD6142">
        <v>-1.1084526865840001</v>
      </c>
      <c r="AE6142">
        <v>18.066839999999999</v>
      </c>
      <c r="AF6142">
        <v>-1.8834210640254501</v>
      </c>
      <c r="AG6142">
        <v>-1.1084526865840001</v>
      </c>
      <c r="AH6142">
        <v>17.900416638843801</v>
      </c>
      <c r="AI6142">
        <v>93.524015457642506</v>
      </c>
      <c r="AJ6142">
        <v>96.006367881970505</v>
      </c>
      <c r="AK6142">
        <v>18.033326318430699</v>
      </c>
      <c r="AL6142">
        <v>90.0691046863531</v>
      </c>
      <c r="AM6142">
        <v>101.061972872556</v>
      </c>
      <c r="AN6142">
        <v>0.99999998921867905</v>
      </c>
    </row>
    <row r="6143" spans="1:40" x14ac:dyDescent="0.25">
      <c r="A6143" t="str">
        <f>"20190305135946591"</f>
        <v>20190305135946591</v>
      </c>
      <c r="B6143" t="str">
        <f>"1551765586585020"</f>
        <v>1551765586585020</v>
      </c>
      <c r="C6143" t="s">
        <v>40</v>
      </c>
      <c r="D6143">
        <v>4.0797679999999996</v>
      </c>
      <c r="E6143">
        <v>0.53293480000000004</v>
      </c>
      <c r="F6143" t="s">
        <v>42</v>
      </c>
      <c r="G6143">
        <v>-189.90110000000001</v>
      </c>
      <c r="H6143" s="1">
        <v>-2.4558880000000002E-6</v>
      </c>
      <c r="I6143">
        <v>-14.68338</v>
      </c>
      <c r="J6143">
        <v>-190.01849999999999</v>
      </c>
      <c r="K6143">
        <v>1.108233</v>
      </c>
      <c r="L6143">
        <v>-31.90457</v>
      </c>
      <c r="M6143">
        <v>0.11003110000000001</v>
      </c>
      <c r="N6143">
        <v>-9.4207570000000001E-3</v>
      </c>
      <c r="O6143">
        <v>0.99388350000000003</v>
      </c>
      <c r="P6143">
        <v>-8.0795329999999999E-2</v>
      </c>
      <c r="Q6143">
        <v>-1.2399200000000001E-2</v>
      </c>
      <c r="R6143">
        <v>0.99665360000000003</v>
      </c>
      <c r="S6143">
        <v>2.6031490000000001E-2</v>
      </c>
      <c r="T6143">
        <v>-0.19049050000000001</v>
      </c>
      <c r="U6143">
        <v>3.0109560000000002</v>
      </c>
      <c r="V6143">
        <v>-0.1899795</v>
      </c>
      <c r="W6143">
        <v>-2.6838370000000001E-3</v>
      </c>
      <c r="X6143">
        <v>0.9817844</v>
      </c>
      <c r="Y6143">
        <v>-0.1014159</v>
      </c>
      <c r="Z6143">
        <v>-5.3000739999999998E-2</v>
      </c>
      <c r="AA6143">
        <v>0.99343130000000002</v>
      </c>
      <c r="AB6143">
        <v>29</v>
      </c>
      <c r="AC6143">
        <v>0.117399999999975</v>
      </c>
      <c r="AD6143">
        <v>-1.1082354558879901</v>
      </c>
      <c r="AE6143">
        <v>17.22119</v>
      </c>
      <c r="AF6143">
        <v>-1.7709298352586</v>
      </c>
      <c r="AG6143">
        <v>-1.1082354558879901</v>
      </c>
      <c r="AH6143">
        <v>17.058891465032598</v>
      </c>
      <c r="AI6143">
        <v>93.697198783493505</v>
      </c>
      <c r="AJ6143">
        <v>95.926800066981301</v>
      </c>
      <c r="AK6143">
        <v>17.186336326362898</v>
      </c>
      <c r="AL6143">
        <v>90.153772715953195</v>
      </c>
      <c r="AM6143">
        <v>100.951627655732</v>
      </c>
      <c r="AN6143">
        <v>1.0000000107423199</v>
      </c>
    </row>
    <row r="6144" spans="1:40" x14ac:dyDescent="0.25">
      <c r="A6144" t="str">
        <f>"20190305135946615"</f>
        <v>20190305135946615</v>
      </c>
      <c r="B6144" t="str">
        <f>"1551765586604540"</f>
        <v>1551765586604540</v>
      </c>
      <c r="C6144" t="s">
        <v>40</v>
      </c>
      <c r="D6144">
        <v>4.0633470000000003</v>
      </c>
      <c r="E6144">
        <v>0.53307040000000006</v>
      </c>
      <c r="F6144" t="s">
        <v>42</v>
      </c>
      <c r="G6144">
        <v>-189.81200000000001</v>
      </c>
      <c r="H6144" s="1">
        <v>-2.3910449999999998E-6</v>
      </c>
      <c r="I6144">
        <v>-14.871379999999901</v>
      </c>
      <c r="J6144">
        <v>-189.98339999999999</v>
      </c>
      <c r="K6144">
        <v>1.108069</v>
      </c>
      <c r="L6144">
        <v>-31.602049999999998</v>
      </c>
      <c r="M6144">
        <v>0.11164449999999999</v>
      </c>
      <c r="N6144">
        <v>-9.1121910000000004E-3</v>
      </c>
      <c r="O6144">
        <v>0.99370650000000005</v>
      </c>
      <c r="P6144">
        <v>-7.7220239999999996E-2</v>
      </c>
      <c r="Q6144">
        <v>-1.3835760000000001E-2</v>
      </c>
      <c r="R6144">
        <v>0.99691810000000003</v>
      </c>
      <c r="S6144">
        <v>3.649902E-2</v>
      </c>
      <c r="T6144">
        <v>-0.19587889999999999</v>
      </c>
      <c r="U6144">
        <v>3.0105900000000001</v>
      </c>
      <c r="V6144">
        <v>-0.18805530000000001</v>
      </c>
      <c r="W6144">
        <v>-4.372842E-3</v>
      </c>
      <c r="X6144">
        <v>0.98214869999999999</v>
      </c>
      <c r="Y6144">
        <v>-9.9578260000000002E-2</v>
      </c>
      <c r="Z6144">
        <v>-5.506453E-2</v>
      </c>
      <c r="AA6144">
        <v>0.99350490000000002</v>
      </c>
      <c r="AB6144">
        <v>29</v>
      </c>
      <c r="AC6144">
        <v>0.17139999999997699</v>
      </c>
      <c r="AD6144">
        <v>-1.108071391045</v>
      </c>
      <c r="AE6144">
        <v>16.73067</v>
      </c>
      <c r="AF6144">
        <v>-1.69022313236507</v>
      </c>
      <c r="AG6144">
        <v>-1.108071391045</v>
      </c>
      <c r="AH6144">
        <v>16.572515182667701</v>
      </c>
      <c r="AI6144">
        <v>93.805533869873599</v>
      </c>
      <c r="AJ6144">
        <v>95.823434140875307</v>
      </c>
      <c r="AK6144">
        <v>16.6952968204996</v>
      </c>
      <c r="AL6144">
        <v>90.250546191251004</v>
      </c>
      <c r="AM6144">
        <v>100.83942039781201</v>
      </c>
      <c r="AN6144">
        <v>0.999999993258468</v>
      </c>
    </row>
    <row r="6145" spans="1:40" x14ac:dyDescent="0.25">
      <c r="A6145" t="str">
        <f>"20190305135946636"</f>
        <v>20190305135946636</v>
      </c>
      <c r="B6145" t="str">
        <f>"1551765586625036"</f>
        <v>1551765586625036</v>
      </c>
      <c r="C6145" t="s">
        <v>40</v>
      </c>
      <c r="D6145">
        <v>4.1080420000000002</v>
      </c>
      <c r="E6145">
        <v>0.53315140000000005</v>
      </c>
      <c r="F6145" t="s">
        <v>42</v>
      </c>
      <c r="G6145">
        <v>-189.71950000000001</v>
      </c>
      <c r="H6145" s="1">
        <v>-2.396354E-6</v>
      </c>
      <c r="I6145">
        <v>-14.89724</v>
      </c>
      <c r="J6145">
        <v>-189.95150000000001</v>
      </c>
      <c r="K6145">
        <v>1.1079639999999999</v>
      </c>
      <c r="L6145">
        <v>-31.330439999999999</v>
      </c>
      <c r="M6145">
        <v>0.11313330000000001</v>
      </c>
      <c r="N6145">
        <v>-8.8193230000000004E-3</v>
      </c>
      <c r="O6145">
        <v>0.99354070000000005</v>
      </c>
      <c r="P6145">
        <v>-7.4778300000000006E-2</v>
      </c>
      <c r="Q6145">
        <v>-1.474729E-2</v>
      </c>
      <c r="R6145">
        <v>0.99709110000000001</v>
      </c>
      <c r="S6145">
        <v>4.7561649999999997E-2</v>
      </c>
      <c r="T6145">
        <v>-0.1996735</v>
      </c>
      <c r="U6145">
        <v>3.0101930000000001</v>
      </c>
      <c r="V6145">
        <v>-0.1871235</v>
      </c>
      <c r="W6145">
        <v>-5.5466059999999999E-3</v>
      </c>
      <c r="X6145">
        <v>0.98232070000000005</v>
      </c>
      <c r="Y6145">
        <v>-9.7419359999999997E-2</v>
      </c>
      <c r="Z6145">
        <v>-5.6594150000000003E-2</v>
      </c>
      <c r="AA6145">
        <v>0.99363299999999999</v>
      </c>
      <c r="AB6145">
        <v>29</v>
      </c>
      <c r="AC6145">
        <v>0.23199999999999901</v>
      </c>
      <c r="AD6145">
        <v>-1.1079663963539901</v>
      </c>
      <c r="AE6145">
        <v>16.433199999999999</v>
      </c>
      <c r="AF6145">
        <v>-1.62133523433778</v>
      </c>
      <c r="AG6145">
        <v>-1.1079663963539901</v>
      </c>
      <c r="AH6145">
        <v>16.2799452121481</v>
      </c>
      <c r="AI6145">
        <v>93.874275783647704</v>
      </c>
      <c r="AJ6145">
        <v>95.6873874943511</v>
      </c>
      <c r="AK6145">
        <v>16.3979551648399</v>
      </c>
      <c r="AL6145">
        <v>90.317798755581805</v>
      </c>
      <c r="AM6145">
        <v>100.785130613422</v>
      </c>
      <c r="AN6145">
        <v>0.99999996336942898</v>
      </c>
    </row>
    <row r="6146" spans="1:40" x14ac:dyDescent="0.25">
      <c r="A6146" t="str">
        <f>"20190305135946660"</f>
        <v>20190305135946660</v>
      </c>
      <c r="B6146" t="str">
        <f>"1551765586655292"</f>
        <v>1551765586655292</v>
      </c>
      <c r="C6146" t="s">
        <v>40</v>
      </c>
      <c r="D6146">
        <v>4.0480589999999896</v>
      </c>
      <c r="E6146">
        <v>0.53323549999999997</v>
      </c>
      <c r="F6146" t="s">
        <v>42</v>
      </c>
      <c r="G6146">
        <v>-189.65029999999999</v>
      </c>
      <c r="H6146" s="1">
        <v>-2.3887469999999999E-6</v>
      </c>
      <c r="I6146">
        <v>-14.943569999999999</v>
      </c>
      <c r="J6146">
        <v>-189.91630000000001</v>
      </c>
      <c r="K6146">
        <v>1.1078840000000001</v>
      </c>
      <c r="L6146">
        <v>-31.035250000000001</v>
      </c>
      <c r="M6146">
        <v>0.11475829999999999</v>
      </c>
      <c r="N6146">
        <v>-8.4785780000000005E-3</v>
      </c>
      <c r="O6146">
        <v>0.99335720000000005</v>
      </c>
      <c r="P6146">
        <v>-7.3142600000000002E-2</v>
      </c>
      <c r="Q6146">
        <v>-1.480769E-2</v>
      </c>
      <c r="R6146">
        <v>0.99721159999999998</v>
      </c>
      <c r="S6146">
        <v>5.5313109999999999E-2</v>
      </c>
      <c r="T6146">
        <v>-0.20350770000000001</v>
      </c>
      <c r="U6146">
        <v>3.0098880000000001</v>
      </c>
      <c r="V6146">
        <v>-0.18711990000000001</v>
      </c>
      <c r="W6146">
        <v>-5.9286149999999999E-3</v>
      </c>
      <c r="X6146">
        <v>0.98231919999999995</v>
      </c>
      <c r="Y6146">
        <v>-9.6489930000000002E-2</v>
      </c>
      <c r="Z6146">
        <v>-5.8175560000000001E-2</v>
      </c>
      <c r="AA6146">
        <v>0.99363239999999997</v>
      </c>
      <c r="AB6146">
        <v>29</v>
      </c>
      <c r="AC6146">
        <v>0.266000000000019</v>
      </c>
      <c r="AD6146">
        <v>-1.1078863887469901</v>
      </c>
      <c r="AE6146">
        <v>16.09168</v>
      </c>
      <c r="AF6146">
        <v>-1.57501411261155</v>
      </c>
      <c r="AG6146">
        <v>-1.1078863887469901</v>
      </c>
      <c r="AH6146">
        <v>15.940350280749399</v>
      </c>
      <c r="AI6146">
        <v>93.956573360665502</v>
      </c>
      <c r="AJ6146">
        <v>95.642893565395099</v>
      </c>
      <c r="AK6146">
        <v>16.056240181882099</v>
      </c>
      <c r="AL6146">
        <v>90.339686605047405</v>
      </c>
      <c r="AM6146">
        <v>100.78494407116</v>
      </c>
      <c r="AN6146">
        <v>1.00000000807023</v>
      </c>
    </row>
    <row r="6147" spans="1:40" x14ac:dyDescent="0.25">
      <c r="A6147" t="str">
        <f>"20190305135946681"</f>
        <v>20190305135946681</v>
      </c>
      <c r="B6147" t="str">
        <f>"1551765586674813"</f>
        <v>1551765586674813</v>
      </c>
      <c r="C6147" t="s">
        <v>40</v>
      </c>
      <c r="D6147">
        <v>4.0747739999999997</v>
      </c>
      <c r="E6147">
        <v>0.53328589999999998</v>
      </c>
      <c r="F6147" t="s">
        <v>42</v>
      </c>
      <c r="G6147">
        <v>-189.5848</v>
      </c>
      <c r="H6147" s="1">
        <v>-2.5173699999999998E-6</v>
      </c>
      <c r="I6147">
        <v>-14.67085</v>
      </c>
      <c r="J6147">
        <v>-189.87970000000001</v>
      </c>
      <c r="K6147">
        <v>1.1078410000000001</v>
      </c>
      <c r="L6147">
        <v>-30.732849999999999</v>
      </c>
      <c r="M6147">
        <v>0.1164047</v>
      </c>
      <c r="N6147">
        <v>-8.1047919999999996E-3</v>
      </c>
      <c r="O6147">
        <v>0.99316879999999996</v>
      </c>
      <c r="P6147">
        <v>-7.2213689999999997E-2</v>
      </c>
      <c r="Q6147">
        <v>-1.1805049999999999E-2</v>
      </c>
      <c r="R6147">
        <v>0.99731930000000002</v>
      </c>
      <c r="S6147">
        <v>6.097412E-2</v>
      </c>
      <c r="T6147">
        <v>-0.20376849999999999</v>
      </c>
      <c r="U6147">
        <v>3.009827</v>
      </c>
      <c r="V6147">
        <v>-0.18782940000000001</v>
      </c>
      <c r="W6147">
        <v>-3.288287E-3</v>
      </c>
      <c r="X6147">
        <v>0.98219619999999996</v>
      </c>
      <c r="Y6147">
        <v>-9.6272940000000001E-2</v>
      </c>
      <c r="Z6147">
        <v>-5.861587E-2</v>
      </c>
      <c r="AA6147">
        <v>0.9936275</v>
      </c>
      <c r="AB6147">
        <v>29</v>
      </c>
      <c r="AC6147">
        <v>0.29490000000001199</v>
      </c>
      <c r="AD6147">
        <v>-1.1078435173700001</v>
      </c>
      <c r="AE6147">
        <v>16.061999999999902</v>
      </c>
      <c r="AF6147">
        <v>-1.56939508082401</v>
      </c>
      <c r="AG6147">
        <v>-1.1078435173700001</v>
      </c>
      <c r="AH6147">
        <v>15.911460471210599</v>
      </c>
      <c r="AI6147">
        <v>93.963648495651</v>
      </c>
      <c r="AJ6147">
        <v>95.6330348361397</v>
      </c>
      <c r="AK6147">
        <v>16.0270051009411</v>
      </c>
      <c r="AL6147">
        <v>90.188405299713395</v>
      </c>
      <c r="AM6147">
        <v>100.826196333203</v>
      </c>
      <c r="AN6147">
        <v>1.00000003581509</v>
      </c>
    </row>
    <row r="6148" spans="1:40" x14ac:dyDescent="0.25">
      <c r="A6148" t="str">
        <f>"20190305135946706"</f>
        <v>20190305135946706</v>
      </c>
      <c r="B6148" t="str">
        <f>"1551765586695308"</f>
        <v>1551765586695308</v>
      </c>
      <c r="C6148" t="s">
        <v>40</v>
      </c>
      <c r="D6148">
        <v>4.0597810000000001</v>
      </c>
      <c r="E6148">
        <v>0.5333272</v>
      </c>
      <c r="F6148" t="s">
        <v>42</v>
      </c>
      <c r="G6148">
        <v>-189.51300000000001</v>
      </c>
      <c r="H6148" s="1">
        <v>-3.0062729999999998E-6</v>
      </c>
      <c r="I6148">
        <v>-13.56091</v>
      </c>
      <c r="J6148">
        <v>-189.8408</v>
      </c>
      <c r="K6148">
        <v>1.107809</v>
      </c>
      <c r="L6148">
        <v>-30.41553</v>
      </c>
      <c r="M6148">
        <v>0.11809890000000001</v>
      </c>
      <c r="N6148">
        <v>-7.7187080000000003E-3</v>
      </c>
      <c r="O6148">
        <v>0.99297179999999996</v>
      </c>
      <c r="P6148">
        <v>-7.1520609999999998E-2</v>
      </c>
      <c r="Q6148">
        <v>-7.4689959999999899E-3</v>
      </c>
      <c r="R6148">
        <v>0.99741109999999999</v>
      </c>
      <c r="S6148">
        <v>6.4300540000000003E-2</v>
      </c>
      <c r="T6148">
        <v>-0.19421769999999999</v>
      </c>
      <c r="U6148">
        <v>3.010437</v>
      </c>
      <c r="V6148">
        <v>-0.1888157</v>
      </c>
      <c r="W6148">
        <v>6.7168939999999997E-4</v>
      </c>
      <c r="X6148">
        <v>0.98201229999999995</v>
      </c>
      <c r="Y6148">
        <v>-9.6876539999999997E-2</v>
      </c>
      <c r="Z6148">
        <v>-5.5852400000000003E-2</v>
      </c>
      <c r="AA6148">
        <v>0.99372799999999994</v>
      </c>
      <c r="AB6148">
        <v>30</v>
      </c>
      <c r="AC6148">
        <v>0.32779999999999598</v>
      </c>
      <c r="AD6148">
        <v>-1.1078120062729999</v>
      </c>
      <c r="AE6148">
        <v>16.854620000000001</v>
      </c>
      <c r="AF6148">
        <v>-1.65790597258457</v>
      </c>
      <c r="AG6148">
        <v>-1.1078120062729999</v>
      </c>
      <c r="AH6148">
        <v>16.703243084107299</v>
      </c>
      <c r="AI6148">
        <v>93.775979929053307</v>
      </c>
      <c r="AJ6148">
        <v>95.668414189000103</v>
      </c>
      <c r="AK6148">
        <v>16.821837865761001</v>
      </c>
      <c r="AL6148">
        <v>89.961515028901502</v>
      </c>
      <c r="AM6148">
        <v>100.883680485949</v>
      </c>
      <c r="AN6148">
        <v>0.99999998854221395</v>
      </c>
    </row>
    <row r="6149" spans="1:40" x14ac:dyDescent="0.25">
      <c r="A6149" t="str">
        <f>"20190305135946727"</f>
        <v>20190305135946727</v>
      </c>
      <c r="B6149" t="str">
        <f>"1551765586714828"</f>
        <v>1551765586714828</v>
      </c>
      <c r="C6149" t="s">
        <v>40</v>
      </c>
      <c r="D6149">
        <v>4.0545140000000002</v>
      </c>
      <c r="E6149">
        <v>0.53335929999999998</v>
      </c>
      <c r="F6149" t="s">
        <v>42</v>
      </c>
      <c r="G6149">
        <v>-189.43219999999999</v>
      </c>
      <c r="H6149" s="1">
        <v>-3.7045240000000001E-6</v>
      </c>
      <c r="I6149">
        <v>-11.966659999999999</v>
      </c>
      <c r="J6149">
        <v>-189.80600000000001</v>
      </c>
      <c r="K6149">
        <v>1.107783</v>
      </c>
      <c r="L6149">
        <v>-30.13428</v>
      </c>
      <c r="M6149">
        <v>0.1195739</v>
      </c>
      <c r="N6149">
        <v>-7.3643650000000003E-3</v>
      </c>
      <c r="O6149">
        <v>0.99279799999999996</v>
      </c>
      <c r="P6149">
        <v>-7.0391759999999998E-2</v>
      </c>
      <c r="Q6149">
        <v>-2.5733959999999999E-3</v>
      </c>
      <c r="R6149">
        <v>0.99751610000000002</v>
      </c>
      <c r="S6149">
        <v>6.6696169999999999E-2</v>
      </c>
      <c r="T6149">
        <v>-0.18081749999999999</v>
      </c>
      <c r="U6149">
        <v>3.0112299999999999</v>
      </c>
      <c r="V6149">
        <v>-0.18915219999999999</v>
      </c>
      <c r="W6149">
        <v>5.2206900000000001E-3</v>
      </c>
      <c r="X6149">
        <v>0.98193390000000003</v>
      </c>
      <c r="Y6149">
        <v>-9.7568150000000006E-2</v>
      </c>
      <c r="Z6149">
        <v>-5.180216E-2</v>
      </c>
      <c r="AA6149">
        <v>0.99387979999999998</v>
      </c>
      <c r="AB6149">
        <v>30</v>
      </c>
      <c r="AC6149">
        <v>0.37379999999998798</v>
      </c>
      <c r="AD6149">
        <v>-1.107786704524</v>
      </c>
      <c r="AE6149">
        <v>18.167619999999999</v>
      </c>
      <c r="AF6149">
        <v>-1.79464434409797</v>
      </c>
      <c r="AG6149">
        <v>-1.107786704524</v>
      </c>
      <c r="AH6149">
        <v>18.0150111530766</v>
      </c>
      <c r="AI6149">
        <v>93.501537234939804</v>
      </c>
      <c r="AJ6149">
        <v>95.689000647465207</v>
      </c>
      <c r="AK6149">
        <v>18.1380419712271</v>
      </c>
      <c r="AL6149">
        <v>89.700875137191701</v>
      </c>
      <c r="AM6149">
        <v>100.90346214515201</v>
      </c>
      <c r="AN6149">
        <v>0.99999999716906296</v>
      </c>
    </row>
    <row r="6150" spans="1:40" x14ac:dyDescent="0.25">
      <c r="A6150" t="str">
        <f>"20190305135946748"</f>
        <v>20190305135946748</v>
      </c>
      <c r="B6150" t="str">
        <f>"1551765586745085"</f>
        <v>1551765586745085</v>
      </c>
      <c r="C6150" t="s">
        <v>40</v>
      </c>
      <c r="D6150">
        <v>4.0457280000000004</v>
      </c>
      <c r="E6150">
        <v>0.53341359999999904</v>
      </c>
      <c r="F6150" t="s">
        <v>42</v>
      </c>
      <c r="G6150">
        <v>-189.3409</v>
      </c>
      <c r="H6150" s="1">
        <v>-2.5909430000000001E-7</v>
      </c>
      <c r="I6150">
        <v>-10.10586</v>
      </c>
      <c r="J6150">
        <v>-189.76949999999999</v>
      </c>
      <c r="K6150">
        <v>1.107734</v>
      </c>
      <c r="L6150">
        <v>-29.844180000000001</v>
      </c>
      <c r="M6150">
        <v>0.1210731</v>
      </c>
      <c r="N6150">
        <v>-6.9816790000000002E-3</v>
      </c>
      <c r="O6150">
        <v>0.99261900000000003</v>
      </c>
      <c r="P6150">
        <v>-6.8199979999999993E-2</v>
      </c>
      <c r="Q6150">
        <v>-2.6748450000000002E-4</v>
      </c>
      <c r="R6150">
        <v>0.99767169999999905</v>
      </c>
      <c r="S6150">
        <v>6.9931030000000005E-2</v>
      </c>
      <c r="T6150">
        <v>-0.1665934</v>
      </c>
      <c r="U6150">
        <v>3.0119630000000002</v>
      </c>
      <c r="V6150">
        <v>-0.18847179999999999</v>
      </c>
      <c r="W6150">
        <v>7.1518459999999999E-3</v>
      </c>
      <c r="X6150">
        <v>0.98205260000000005</v>
      </c>
      <c r="Y6150">
        <v>-9.8007289999999997E-2</v>
      </c>
      <c r="Z6150">
        <v>-4.7514599999999997E-2</v>
      </c>
      <c r="AA6150">
        <v>0.99405080000000001</v>
      </c>
      <c r="AB6150">
        <v>30</v>
      </c>
      <c r="AC6150">
        <v>0.42859999999998799</v>
      </c>
      <c r="AD6150">
        <v>-1.1077342590943</v>
      </c>
      <c r="AE6150">
        <v>19.738320000000002</v>
      </c>
      <c r="AF6150">
        <v>-1.9582263864864</v>
      </c>
      <c r="AG6150">
        <v>-1.1077342590943</v>
      </c>
      <c r="AH6150">
        <v>19.5833529757452</v>
      </c>
      <c r="AI6150">
        <v>93.221459999355901</v>
      </c>
      <c r="AJ6150">
        <v>95.710277646813196</v>
      </c>
      <c r="AK6150">
        <v>19.712164760424798</v>
      </c>
      <c r="AL6150">
        <v>89.590225931044301</v>
      </c>
      <c r="AM6150">
        <v>100.863894407796</v>
      </c>
      <c r="AN6150">
        <v>1.0000000387315999</v>
      </c>
    </row>
    <row r="6151" spans="1:40" x14ac:dyDescent="0.25">
      <c r="A6151" t="str">
        <f>"20190305135946769"</f>
        <v>20190305135946769</v>
      </c>
      <c r="B6151" t="str">
        <f>"1551765586764606"</f>
        <v>1551765586764606</v>
      </c>
      <c r="C6151" t="s">
        <v>40</v>
      </c>
      <c r="D6151">
        <v>4.0510440000000001</v>
      </c>
      <c r="E6151">
        <v>0.53345149999999997</v>
      </c>
      <c r="F6151" t="s">
        <v>42</v>
      </c>
      <c r="G6151">
        <v>-189.23990000000001</v>
      </c>
      <c r="H6151" s="1">
        <v>-7.1376249999999997E-7</v>
      </c>
      <c r="I6151">
        <v>-9.0176979999999993</v>
      </c>
      <c r="J6151">
        <v>-189.73400000000001</v>
      </c>
      <c r="K6151">
        <v>1.10768</v>
      </c>
      <c r="L6151">
        <v>-29.564330000000002</v>
      </c>
      <c r="M6151">
        <v>0.12250179999999999</v>
      </c>
      <c r="N6151">
        <v>-6.6100019999999898E-3</v>
      </c>
      <c r="O6151">
        <v>0.9924463</v>
      </c>
      <c r="P6151">
        <v>-6.6389050000000005E-2</v>
      </c>
      <c r="Q6151">
        <v>-3.8794680000000002E-4</v>
      </c>
      <c r="R6151">
        <v>0.99779370000000001</v>
      </c>
      <c r="S6151">
        <v>7.6599120000000007E-2</v>
      </c>
      <c r="T6151">
        <v>-0.16021560000000001</v>
      </c>
      <c r="U6151">
        <v>3.0122070000000001</v>
      </c>
      <c r="V6151">
        <v>-0.1881044</v>
      </c>
      <c r="W6151">
        <v>6.6673899999999996E-3</v>
      </c>
      <c r="X6151">
        <v>0.98212639999999995</v>
      </c>
      <c r="Y6151">
        <v>-9.7242190000000006E-2</v>
      </c>
      <c r="Z6151">
        <v>-4.578844E-2</v>
      </c>
      <c r="AA6151">
        <v>0.9942069</v>
      </c>
      <c r="AB6151">
        <v>30</v>
      </c>
      <c r="AC6151">
        <v>0.49410000000000298</v>
      </c>
      <c r="AD6151">
        <v>-1.1076807137625</v>
      </c>
      <c r="AE6151">
        <v>20.546631999999999</v>
      </c>
      <c r="AF6151">
        <v>-2.0208061450677701</v>
      </c>
      <c r="AG6151">
        <v>-1.1076807137625</v>
      </c>
      <c r="AH6151">
        <v>20.393168003146901</v>
      </c>
      <c r="AI6151">
        <v>93.093914395099404</v>
      </c>
      <c r="AJ6151">
        <v>95.659096690150193</v>
      </c>
      <c r="AK6151">
        <v>20.522960684174201</v>
      </c>
      <c r="AL6151">
        <v>89.617983859361601</v>
      </c>
      <c r="AM6151">
        <v>100.842423773901</v>
      </c>
      <c r="AN6151">
        <v>0.99999999248286597</v>
      </c>
    </row>
    <row r="6152" spans="1:40" x14ac:dyDescent="0.25">
      <c r="A6152" t="str">
        <f>"20190305135946792"</f>
        <v>20190305135946792</v>
      </c>
      <c r="B6152" t="str">
        <f>"1551765586785101"</f>
        <v>1551765586785101</v>
      </c>
      <c r="C6152" t="s">
        <v>40</v>
      </c>
      <c r="D6152">
        <v>4.0776389999999996</v>
      </c>
      <c r="E6152">
        <v>0.53347800000000001</v>
      </c>
      <c r="F6152" t="s">
        <v>42</v>
      </c>
      <c r="G6152">
        <v>-189.1695</v>
      </c>
      <c r="H6152" s="1">
        <v>-7.9454619999999996E-7</v>
      </c>
      <c r="I6152">
        <v>-8.8584940000000003</v>
      </c>
      <c r="J6152">
        <v>-189.6942</v>
      </c>
      <c r="K6152">
        <v>1.1076330000000001</v>
      </c>
      <c r="L6152">
        <v>-29.25479</v>
      </c>
      <c r="M6152">
        <v>0.1240629</v>
      </c>
      <c r="N6152">
        <v>-6.2148480000000002E-3</v>
      </c>
      <c r="O6152">
        <v>0.99225490000000005</v>
      </c>
      <c r="P6152">
        <v>-6.4807500000000004E-2</v>
      </c>
      <c r="Q6152">
        <v>-6.5641110000000001E-4</v>
      </c>
      <c r="R6152">
        <v>0.99789760000000005</v>
      </c>
      <c r="S6152">
        <v>8.2107540000000007E-2</v>
      </c>
      <c r="T6152">
        <v>-0.16113150000000001</v>
      </c>
      <c r="U6152">
        <v>3.0120239999999998</v>
      </c>
      <c r="V6152">
        <v>-0.18809400000000001</v>
      </c>
      <c r="W6152">
        <v>6.012229E-3</v>
      </c>
      <c r="X6152">
        <v>0.98213260000000002</v>
      </c>
      <c r="Y6152">
        <v>-9.6991110000000005E-2</v>
      </c>
      <c r="Z6152">
        <v>-4.6469160000000002E-2</v>
      </c>
      <c r="AA6152">
        <v>0.99419990000000003</v>
      </c>
      <c r="AB6152">
        <v>30</v>
      </c>
      <c r="AC6152">
        <v>0.52469999999999495</v>
      </c>
      <c r="AD6152">
        <v>-1.10763379454619</v>
      </c>
      <c r="AE6152">
        <v>20.396296</v>
      </c>
      <c r="AF6152">
        <v>-2.0039204281548</v>
      </c>
      <c r="AG6152">
        <v>-1.10763379454619</v>
      </c>
      <c r="AH6152">
        <v>20.244149845709799</v>
      </c>
      <c r="AI6152">
        <v>93.116544291602295</v>
      </c>
      <c r="AJ6152">
        <v>95.653157211632006</v>
      </c>
      <c r="AK6152">
        <v>20.3732214605533</v>
      </c>
      <c r="AL6152">
        <v>89.655522567819801</v>
      </c>
      <c r="AM6152">
        <v>100.841771700896</v>
      </c>
      <c r="AN6152">
        <v>0.99999997185815304</v>
      </c>
    </row>
    <row r="6153" spans="1:40" x14ac:dyDescent="0.25">
      <c r="A6153" t="str">
        <f>"20190305135946816"</f>
        <v>20190305135946816</v>
      </c>
      <c r="B6153" t="str">
        <f>"1551765586805363"</f>
        <v>1551765586805363</v>
      </c>
      <c r="C6153" t="s">
        <v>40</v>
      </c>
      <c r="D6153">
        <v>4.0518260000000001</v>
      </c>
      <c r="E6153">
        <v>0.53349080000000004</v>
      </c>
      <c r="F6153" t="s">
        <v>42</v>
      </c>
      <c r="G6153">
        <v>-189.09649999999999</v>
      </c>
      <c r="H6153" s="1">
        <v>-8.8650940000000001E-7</v>
      </c>
      <c r="I6153">
        <v>-8.6743240000000004</v>
      </c>
      <c r="J6153">
        <v>-189.65360000000001</v>
      </c>
      <c r="K6153">
        <v>1.107586</v>
      </c>
      <c r="L6153">
        <v>-28.942229999999999</v>
      </c>
      <c r="M6153">
        <v>0.1256099</v>
      </c>
      <c r="N6153">
        <v>-5.8445469999999899E-3</v>
      </c>
      <c r="O6153">
        <v>0.99206249999999996</v>
      </c>
      <c r="P6153">
        <v>-6.4840239999999993E-2</v>
      </c>
      <c r="Q6153">
        <v>-5.0553890000000002E-4</v>
      </c>
      <c r="R6153">
        <v>0.99789550000000005</v>
      </c>
      <c r="S6153">
        <v>8.7478639999999996E-2</v>
      </c>
      <c r="T6153">
        <v>-0.16209960000000001</v>
      </c>
      <c r="U6153">
        <v>3.0119020000000001</v>
      </c>
      <c r="V6153">
        <v>-0.1896581</v>
      </c>
      <c r="W6153">
        <v>5.8000400000000002E-3</v>
      </c>
      <c r="X6153">
        <v>0.98183299999999996</v>
      </c>
      <c r="Y6153">
        <v>-9.6772189999999994E-2</v>
      </c>
      <c r="Z6153">
        <v>-4.7140559999999998E-2</v>
      </c>
      <c r="AA6153">
        <v>0.99418960000000001</v>
      </c>
      <c r="AB6153">
        <v>30</v>
      </c>
      <c r="AC6153">
        <v>0.55710000000001902</v>
      </c>
      <c r="AD6153">
        <v>-1.1075868865093901</v>
      </c>
      <c r="AE6153">
        <v>20.267906</v>
      </c>
      <c r="AF6153">
        <v>-1.9872754798393499</v>
      </c>
      <c r="AG6153">
        <v>-1.1075868865093901</v>
      </c>
      <c r="AH6153">
        <v>20.1173196867828</v>
      </c>
      <c r="AI6153">
        <v>93.1360832937807</v>
      </c>
      <c r="AJ6153">
        <v>95.641620423510602</v>
      </c>
      <c r="AK6153">
        <v>20.245556646438601</v>
      </c>
      <c r="AL6153">
        <v>89.667680303014905</v>
      </c>
      <c r="AM6153">
        <v>100.933018836526</v>
      </c>
      <c r="AN6153">
        <v>0.99999993762430295</v>
      </c>
    </row>
    <row r="6154" spans="1:40" x14ac:dyDescent="0.25">
      <c r="A6154" t="str">
        <f>"20190305135946836"</f>
        <v>20190305135946836</v>
      </c>
      <c r="B6154" t="str">
        <f>"1551765586824886"</f>
        <v>1551765586824886</v>
      </c>
      <c r="C6154" t="s">
        <v>40</v>
      </c>
      <c r="D6154">
        <v>4.0529120000000001</v>
      </c>
      <c r="E6154">
        <v>0.53351329999999997</v>
      </c>
      <c r="F6154" t="s">
        <v>42</v>
      </c>
      <c r="G6154">
        <v>-189.05330000000001</v>
      </c>
      <c r="H6154" s="1">
        <v>-1.054914E-6</v>
      </c>
      <c r="I6154">
        <v>-8.2996479999999995</v>
      </c>
      <c r="J6154">
        <v>-189.61699999999999</v>
      </c>
      <c r="K6154">
        <v>1.107569</v>
      </c>
      <c r="L6154">
        <v>-28.662780000000001</v>
      </c>
      <c r="M6154">
        <v>0.12694749999999999</v>
      </c>
      <c r="N6154">
        <v>-5.5430740000000003E-3</v>
      </c>
      <c r="O6154">
        <v>0.9918939</v>
      </c>
      <c r="P6154">
        <v>-6.4999180000000004E-2</v>
      </c>
      <c r="Q6154">
        <v>-1.541352E-3</v>
      </c>
      <c r="R6154">
        <v>0.9978842</v>
      </c>
      <c r="S6154">
        <v>8.7600709999999998E-2</v>
      </c>
      <c r="T6154">
        <v>-0.16160669999999999</v>
      </c>
      <c r="U6154">
        <v>3.0119319999999998</v>
      </c>
      <c r="V6154">
        <v>-0.1911419</v>
      </c>
      <c r="W6154">
        <v>4.4625309999999996E-3</v>
      </c>
      <c r="X6154">
        <v>0.98155219999999999</v>
      </c>
      <c r="Y6154">
        <v>-9.8074939999999999E-2</v>
      </c>
      <c r="Z6154">
        <v>-4.7262980000000003E-2</v>
      </c>
      <c r="AA6154">
        <v>0.9940561</v>
      </c>
      <c r="AB6154">
        <v>30</v>
      </c>
      <c r="AC6154">
        <v>0.56370000000001097</v>
      </c>
      <c r="AD6154">
        <v>-1.107570054914</v>
      </c>
      <c r="AE6154">
        <v>20.363132</v>
      </c>
      <c r="AF6154">
        <v>-2.0199780545222201</v>
      </c>
      <c r="AG6154">
        <v>-1.107570054914</v>
      </c>
      <c r="AH6154">
        <v>20.210195558332298</v>
      </c>
      <c r="AI6154">
        <v>93.121295810581302</v>
      </c>
      <c r="AJ6154">
        <v>95.707669706961696</v>
      </c>
      <c r="AK6154">
        <v>20.341067505746299</v>
      </c>
      <c r="AL6154">
        <v>89.744314941408902</v>
      </c>
      <c r="AM6154">
        <v>101.019543542883</v>
      </c>
      <c r="AN6154">
        <v>0.99999993072168503</v>
      </c>
    </row>
    <row r="6155" spans="1:40" x14ac:dyDescent="0.25">
      <c r="A6155" t="str">
        <f>"20190305135946860"</f>
        <v>20190305135946860</v>
      </c>
      <c r="B6155" t="str">
        <f>"1551765586855139"</f>
        <v>1551765586855139</v>
      </c>
      <c r="C6155" t="s">
        <v>40</v>
      </c>
      <c r="D6155">
        <v>4.0392089999999996</v>
      </c>
      <c r="E6155">
        <v>0.53351579999999998</v>
      </c>
      <c r="F6155" t="s">
        <v>42</v>
      </c>
      <c r="G6155">
        <v>-189.03</v>
      </c>
      <c r="H6155" s="1">
        <v>-9.9759379999999994E-7</v>
      </c>
      <c r="I6155">
        <v>-8.4428900000000002</v>
      </c>
      <c r="J6155">
        <v>-189.57570000000001</v>
      </c>
      <c r="K6155">
        <v>1.1075649999999999</v>
      </c>
      <c r="L6155">
        <v>-28.350950000000001</v>
      </c>
      <c r="M6155">
        <v>0.12834909999999999</v>
      </c>
      <c r="N6155">
        <v>-5.2259000000000003E-3</v>
      </c>
      <c r="O6155">
        <v>0.99171529999999997</v>
      </c>
      <c r="P6155">
        <v>-6.5034640000000005E-2</v>
      </c>
      <c r="Q6155">
        <v>-2.5709769999999999E-3</v>
      </c>
      <c r="R6155">
        <v>0.99787969999999904</v>
      </c>
      <c r="S6155">
        <v>8.7432860000000001E-2</v>
      </c>
      <c r="T6155">
        <v>-0.1649756</v>
      </c>
      <c r="U6155">
        <v>3.0118100000000001</v>
      </c>
      <c r="V6155">
        <v>-0.19256699999999999</v>
      </c>
      <c r="W6155">
        <v>3.1021239999999999E-3</v>
      </c>
      <c r="X6155">
        <v>0.98127900000000001</v>
      </c>
      <c r="Y6155">
        <v>-9.9537509999999996E-2</v>
      </c>
      <c r="Z6155">
        <v>-4.8660290000000002E-2</v>
      </c>
      <c r="AA6155">
        <v>0.99384329999999999</v>
      </c>
      <c r="AB6155">
        <v>30</v>
      </c>
      <c r="AC6155">
        <v>0.54570000000000995</v>
      </c>
      <c r="AD6155">
        <v>-1.1075659975937999</v>
      </c>
      <c r="AE6155">
        <v>19.908059999999999</v>
      </c>
      <c r="AF6155">
        <v>-2.0078201746103401</v>
      </c>
      <c r="AG6155">
        <v>-1.1075659975937999</v>
      </c>
      <c r="AH6155">
        <v>19.752347452626999</v>
      </c>
      <c r="AI6155">
        <v>93.192944976415603</v>
      </c>
      <c r="AJ6155">
        <v>95.804162716059494</v>
      </c>
      <c r="AK6155">
        <v>19.885001236658201</v>
      </c>
      <c r="AL6155">
        <v>89.822261115401702</v>
      </c>
      <c r="AM6155">
        <v>101.102682694866</v>
      </c>
      <c r="AN6155">
        <v>1.0000000742516499</v>
      </c>
    </row>
    <row r="6156" spans="1:40" x14ac:dyDescent="0.25">
      <c r="A6156" t="str">
        <f>"20190305135946881"</f>
        <v>20190305135946881</v>
      </c>
      <c r="B6156" t="str">
        <f>"1551765586874659"</f>
        <v>1551765586874659</v>
      </c>
      <c r="C6156" t="s">
        <v>40</v>
      </c>
      <c r="D6156">
        <v>4.0540760000000002</v>
      </c>
      <c r="E6156">
        <v>0.5335105</v>
      </c>
      <c r="F6156" t="s">
        <v>42</v>
      </c>
      <c r="G6156">
        <v>-189.00120000000001</v>
      </c>
      <c r="H6156" s="1">
        <v>-9.5246119999999995E-7</v>
      </c>
      <c r="I6156">
        <v>-8.5599989999999995</v>
      </c>
      <c r="J6156">
        <v>-189.53489999999999</v>
      </c>
      <c r="K6156">
        <v>1.107599</v>
      </c>
      <c r="L6156">
        <v>-28.045470000000002</v>
      </c>
      <c r="M6156">
        <v>0.12957449999999901</v>
      </c>
      <c r="N6156">
        <v>-4.9277009999999996E-3</v>
      </c>
      <c r="O6156">
        <v>0.99155740000000003</v>
      </c>
      <c r="P6156">
        <v>-6.4865129999999993E-2</v>
      </c>
      <c r="Q6156">
        <v>-2.8431039999999999E-3</v>
      </c>
      <c r="R6156">
        <v>0.99789000000000005</v>
      </c>
      <c r="S6156">
        <v>8.7417599999999998E-2</v>
      </c>
      <c r="T6156">
        <v>-0.16854050000000001</v>
      </c>
      <c r="U6156">
        <v>3.0116269999999998</v>
      </c>
      <c r="V6156">
        <v>-0.19361529999999999</v>
      </c>
      <c r="W6156">
        <v>2.5003569999999999E-3</v>
      </c>
      <c r="X6156">
        <v>0.98107429999999995</v>
      </c>
      <c r="Y6156">
        <v>-0.10077270000000001</v>
      </c>
      <c r="Z6156">
        <v>-5.0104950000000002E-2</v>
      </c>
      <c r="AA6156">
        <v>0.99364699999999995</v>
      </c>
      <c r="AB6156">
        <v>31</v>
      </c>
      <c r="AC6156">
        <v>0.53369999999998097</v>
      </c>
      <c r="AD6156">
        <v>-1.1075999524611999</v>
      </c>
      <c r="AE6156">
        <v>19.485471</v>
      </c>
      <c r="AF6156">
        <v>-1.98922781451362</v>
      </c>
      <c r="AG6156">
        <v>-1.1075999524611999</v>
      </c>
      <c r="AH6156">
        <v>19.327950348231401</v>
      </c>
      <c r="AI6156">
        <v>93.262586054518707</v>
      </c>
      <c r="AJ6156">
        <v>95.876177820679999</v>
      </c>
      <c r="AK6156">
        <v>19.461589596341401</v>
      </c>
      <c r="AL6156">
        <v>89.856739941499697</v>
      </c>
      <c r="AM6156">
        <v>101.163880425027</v>
      </c>
      <c r="AN6156">
        <v>0.99999995914985196</v>
      </c>
    </row>
    <row r="6157" spans="1:40" x14ac:dyDescent="0.25">
      <c r="A6157" t="str">
        <f>"20190305135946905"</f>
        <v>20190305135946905</v>
      </c>
      <c r="B6157" t="str">
        <f>"1551765586895158"</f>
        <v>1551765586895158</v>
      </c>
      <c r="C6157" t="s">
        <v>40</v>
      </c>
      <c r="D6157">
        <v>4.0464349999999998</v>
      </c>
      <c r="E6157">
        <v>0.53354509999999999</v>
      </c>
      <c r="F6157" t="s">
        <v>42</v>
      </c>
      <c r="G6157">
        <v>-188.9639</v>
      </c>
      <c r="H6157" s="1">
        <v>-1.0161619999999999E-6</v>
      </c>
      <c r="I6157">
        <v>-8.4269239999999996</v>
      </c>
      <c r="J6157">
        <v>-189.48920000000001</v>
      </c>
      <c r="K6157">
        <v>1.107664</v>
      </c>
      <c r="L6157">
        <v>-27.705439999999999</v>
      </c>
      <c r="M6157">
        <v>0.13076860000000001</v>
      </c>
      <c r="N6157">
        <v>-4.6199969999999998E-3</v>
      </c>
      <c r="O6157">
        <v>0.99140209999999995</v>
      </c>
      <c r="P6157">
        <v>-6.440005E-2</v>
      </c>
      <c r="Q6157">
        <v>-2.9522519999999998E-3</v>
      </c>
      <c r="R6157">
        <v>0.99791980000000002</v>
      </c>
      <c r="S6157">
        <v>8.7646479999999999E-2</v>
      </c>
      <c r="T6157">
        <v>-0.17002329999999999</v>
      </c>
      <c r="U6157">
        <v>3.0115660000000002</v>
      </c>
      <c r="V6157">
        <v>-0.19434100000000001</v>
      </c>
      <c r="W6157">
        <v>2.0378250000000001E-3</v>
      </c>
      <c r="X6157">
        <v>0.98093189999999997</v>
      </c>
      <c r="Y6157">
        <v>-0.1018965</v>
      </c>
      <c r="Z6157">
        <v>-5.0879019999999997E-2</v>
      </c>
      <c r="AA6157">
        <v>0.99349299999999996</v>
      </c>
      <c r="AB6157">
        <v>31</v>
      </c>
      <c r="AC6157">
        <v>0.52530000000001498</v>
      </c>
      <c r="AD6157">
        <v>-1.1076650161620001</v>
      </c>
      <c r="AE6157">
        <v>19.278516</v>
      </c>
      <c r="AF6157">
        <v>-1.99368583641874</v>
      </c>
      <c r="AG6157">
        <v>-1.1076650161620001</v>
      </c>
      <c r="AH6157">
        <v>19.118592551361399</v>
      </c>
      <c r="AI6157">
        <v>93.297968995943094</v>
      </c>
      <c r="AJ6157">
        <v>95.9532838483902</v>
      </c>
      <c r="AK6157">
        <v>19.254149842237599</v>
      </c>
      <c r="AL6157">
        <v>89.883241145518795</v>
      </c>
      <c r="AM6157">
        <v>101.206252968407</v>
      </c>
      <c r="AN6157">
        <v>0.99999998472467</v>
      </c>
    </row>
    <row r="6158" spans="1:40" x14ac:dyDescent="0.25">
      <c r="A6158" t="str">
        <f>"20190305135946928"</f>
        <v>20190305135946928</v>
      </c>
      <c r="B6158" t="str">
        <f>"1551765586925414"</f>
        <v>1551765586925414</v>
      </c>
      <c r="C6158" t="s">
        <v>40</v>
      </c>
      <c r="D6158">
        <v>4.0475050000000001</v>
      </c>
      <c r="E6158">
        <v>0.53361969999999903</v>
      </c>
      <c r="F6158" t="s">
        <v>42</v>
      </c>
      <c r="G6158">
        <v>-188.90960000000001</v>
      </c>
      <c r="H6158" s="1">
        <v>-1.158271E-6</v>
      </c>
      <c r="I6158">
        <v>-8.1181160000000006</v>
      </c>
      <c r="J6158">
        <v>-189.44739999999999</v>
      </c>
      <c r="K6158">
        <v>1.107758</v>
      </c>
      <c r="L6158">
        <v>-27.395720000000001</v>
      </c>
      <c r="M6158">
        <v>0.13164200000000001</v>
      </c>
      <c r="N6158">
        <v>-4.3617980000000001E-3</v>
      </c>
      <c r="O6158">
        <v>0.99128769999999999</v>
      </c>
      <c r="P6158">
        <v>-6.4286099999999999E-2</v>
      </c>
      <c r="Q6158">
        <v>-3.7708099999999999E-3</v>
      </c>
      <c r="R6158">
        <v>0.99792440000000004</v>
      </c>
      <c r="S6158">
        <v>8.9111330000000002E-2</v>
      </c>
      <c r="T6158">
        <v>-0.170300799999999</v>
      </c>
      <c r="U6158">
        <v>3.0115050000000001</v>
      </c>
      <c r="V6158">
        <v>-0.19509480000000001</v>
      </c>
      <c r="W6158">
        <v>9.0390909999999997E-4</v>
      </c>
      <c r="X6158">
        <v>0.98078390000000004</v>
      </c>
      <c r="Y6158">
        <v>-0.1022907</v>
      </c>
      <c r="Z6158">
        <v>-5.12166999999999E-2</v>
      </c>
      <c r="AA6158">
        <v>0.99343519999999996</v>
      </c>
      <c r="AB6158">
        <v>31</v>
      </c>
      <c r="AC6158">
        <v>0.53779999999997496</v>
      </c>
      <c r="AD6158">
        <v>-1.107759158271</v>
      </c>
      <c r="AE6158">
        <v>19.277604</v>
      </c>
      <c r="AF6158">
        <v>-1.9980543858252</v>
      </c>
      <c r="AG6158">
        <v>-1.107759158271</v>
      </c>
      <c r="AH6158">
        <v>19.1175536164838</v>
      </c>
      <c r="AI6158">
        <v>93.298347931138295</v>
      </c>
      <c r="AJ6158">
        <v>95.966556540841196</v>
      </c>
      <c r="AK6158">
        <v>19.253576497902401</v>
      </c>
      <c r="AL6158">
        <v>89.948209812738995</v>
      </c>
      <c r="AM6158">
        <v>101.250267069735</v>
      </c>
      <c r="AN6158">
        <v>0.99999992826895301</v>
      </c>
    </row>
    <row r="6159" spans="1:40" x14ac:dyDescent="0.25">
      <c r="A6159" t="str">
        <f>"20190305135946950"</f>
        <v>20190305135946950</v>
      </c>
      <c r="B6159" t="str">
        <f>"1551765586944935"</f>
        <v>1551765586944935</v>
      </c>
      <c r="C6159" t="s">
        <v>40</v>
      </c>
      <c r="D6159">
        <v>4.0573730000000001</v>
      </c>
      <c r="E6159">
        <v>0.53367169999999997</v>
      </c>
      <c r="F6159" t="s">
        <v>42</v>
      </c>
      <c r="G6159">
        <v>-188.8724</v>
      </c>
      <c r="H6159" s="1">
        <v>-1.1592240000000001E-6</v>
      </c>
      <c r="I6159">
        <v>-8.1312789999999993</v>
      </c>
      <c r="J6159">
        <v>-189.40530000000001</v>
      </c>
      <c r="K6159">
        <v>1.1079000000000001</v>
      </c>
      <c r="L6159">
        <v>-27.083189999999998</v>
      </c>
      <c r="M6159">
        <v>0.13224469999999999</v>
      </c>
      <c r="N6159">
        <v>-4.1261930000000002E-3</v>
      </c>
      <c r="O6159">
        <v>0.99120850000000005</v>
      </c>
      <c r="P6159">
        <v>-6.4296909999999999E-2</v>
      </c>
      <c r="Q6159">
        <v>-5.0494140000000003E-3</v>
      </c>
      <c r="R6159">
        <v>0.99791799999999997</v>
      </c>
      <c r="S6159">
        <v>8.9889529999999995E-2</v>
      </c>
      <c r="T6159">
        <v>-0.17316289999999901</v>
      </c>
      <c r="U6159">
        <v>3.0113829999999999</v>
      </c>
      <c r="V6159">
        <v>-0.19570419999999999</v>
      </c>
      <c r="W6159">
        <v>-6.8945300000000003E-4</v>
      </c>
      <c r="X6159">
        <v>0.9806627</v>
      </c>
      <c r="Y6159">
        <v>-0.1026401</v>
      </c>
      <c r="Z6159">
        <v>-5.2376770000000003E-2</v>
      </c>
      <c r="AA6159">
        <v>0.99333859999999996</v>
      </c>
      <c r="AB6159">
        <v>31</v>
      </c>
      <c r="AC6159">
        <v>0.53290000000001203</v>
      </c>
      <c r="AD6159">
        <v>-1.107901159224</v>
      </c>
      <c r="AE6159">
        <v>18.951910999999999</v>
      </c>
      <c r="AF6159">
        <v>-1.9713600305936001</v>
      </c>
      <c r="AG6159">
        <v>-1.107901159224</v>
      </c>
      <c r="AH6159">
        <v>18.791760952726801</v>
      </c>
      <c r="AI6159">
        <v>93.355695227683796</v>
      </c>
      <c r="AJ6159">
        <v>95.988740359708899</v>
      </c>
      <c r="AK6159">
        <v>18.9273343356443</v>
      </c>
      <c r="AL6159">
        <v>90.039502751379104</v>
      </c>
      <c r="AM6159">
        <v>101.285866983177</v>
      </c>
      <c r="AN6159">
        <v>0.99999997020718401</v>
      </c>
    </row>
    <row r="6160" spans="1:40" x14ac:dyDescent="0.25">
      <c r="A6160" t="str">
        <f>"20190305135946971"</f>
        <v>20190305135946971</v>
      </c>
      <c r="B6160" t="str">
        <f>"1551765586965431"</f>
        <v>1551765586965431</v>
      </c>
      <c r="C6160" t="s">
        <v>40</v>
      </c>
      <c r="D6160">
        <v>4.0782389999999999</v>
      </c>
      <c r="E6160">
        <v>0.53371950000000001</v>
      </c>
      <c r="F6160" t="s">
        <v>42</v>
      </c>
      <c r="G6160">
        <v>-188.84280000000001</v>
      </c>
      <c r="H6160" s="1">
        <v>-1.1063859999999999E-6</v>
      </c>
      <c r="I6160">
        <v>-8.2666769999999996</v>
      </c>
      <c r="J6160">
        <v>-189.36660000000001</v>
      </c>
      <c r="K6160">
        <v>1.1080810000000001</v>
      </c>
      <c r="L6160">
        <v>-26.795750000000002</v>
      </c>
      <c r="M6160">
        <v>0.1325057</v>
      </c>
      <c r="N6160">
        <v>-3.9334259999999899E-3</v>
      </c>
      <c r="O6160">
        <v>0.99117449999999996</v>
      </c>
      <c r="P6160">
        <v>-6.4614999999999895E-2</v>
      </c>
      <c r="Q6160">
        <v>-6.0023339999999998E-3</v>
      </c>
      <c r="R6160">
        <v>0.99789220000000001</v>
      </c>
      <c r="S6160">
        <v>9.0011599999999997E-2</v>
      </c>
      <c r="T6160">
        <v>-0.17729519999999999</v>
      </c>
      <c r="U6160">
        <v>3.0111690000000002</v>
      </c>
      <c r="V6160">
        <v>-0.1962748</v>
      </c>
      <c r="W6160">
        <v>-1.9285260000000001E-3</v>
      </c>
      <c r="X6160">
        <v>0.98054699999999995</v>
      </c>
      <c r="Y6160">
        <v>-0.1028623</v>
      </c>
      <c r="Z6160">
        <v>-5.3912960000000003E-2</v>
      </c>
      <c r="AA6160">
        <v>0.99323349999999999</v>
      </c>
      <c r="AB6160">
        <v>31</v>
      </c>
      <c r="AC6160">
        <v>0.52379999999999405</v>
      </c>
      <c r="AD6160">
        <v>-1.10808210638599</v>
      </c>
      <c r="AE6160">
        <v>18.529073</v>
      </c>
      <c r="AF6160">
        <v>-1.9291516876346699</v>
      </c>
      <c r="AG6160">
        <v>-1.10808210638599</v>
      </c>
      <c r="AH6160">
        <v>18.3694500487527</v>
      </c>
      <c r="AI6160">
        <v>93.433178504747005</v>
      </c>
      <c r="AJ6160">
        <v>95.995201820204301</v>
      </c>
      <c r="AK6160">
        <v>18.503679830834098</v>
      </c>
      <c r="AL6160">
        <v>90.110496472536099</v>
      </c>
      <c r="AM6160">
        <v>101.31922518203601</v>
      </c>
      <c r="AN6160">
        <v>0.99999996776828504</v>
      </c>
    </row>
    <row r="6161" spans="1:40" x14ac:dyDescent="0.25">
      <c r="A6161" t="str">
        <f>"20190305135946994"</f>
        <v>20190305135946994</v>
      </c>
      <c r="B6161" t="str">
        <f>"1551765586984950"</f>
        <v>1551765586984950</v>
      </c>
      <c r="C6161" t="s">
        <v>40</v>
      </c>
      <c r="D6161">
        <v>4.0540779999999996</v>
      </c>
      <c r="E6161">
        <v>0.53377739999999996</v>
      </c>
      <c r="F6161" t="s">
        <v>42</v>
      </c>
      <c r="G6161">
        <v>-188.81720000000001</v>
      </c>
      <c r="H6161" s="1">
        <v>-1.107754E-6</v>
      </c>
      <c r="I6161">
        <v>-8.2740980000000004</v>
      </c>
      <c r="J6161">
        <v>-189.32259999999999</v>
      </c>
      <c r="K6161">
        <v>1.108339</v>
      </c>
      <c r="L6161">
        <v>-26.46725</v>
      </c>
      <c r="M6161">
        <v>0.13242999999999999</v>
      </c>
      <c r="N6161">
        <v>-3.739816E-3</v>
      </c>
      <c r="O6161">
        <v>0.99118530000000005</v>
      </c>
      <c r="P6161">
        <v>-6.6324960000000002E-2</v>
      </c>
      <c r="Q6161">
        <v>-5.8333179999999997E-3</v>
      </c>
      <c r="R6161">
        <v>0.99778100000000003</v>
      </c>
      <c r="S6161">
        <v>8.932495E-2</v>
      </c>
      <c r="T6161">
        <v>-0.18013989999999999</v>
      </c>
      <c r="U6161">
        <v>3.011047</v>
      </c>
      <c r="V6161">
        <v>-0.19787869999999999</v>
      </c>
      <c r="W6161">
        <v>-2.0818329999999999E-3</v>
      </c>
      <c r="X6161">
        <v>0.98022430000000005</v>
      </c>
      <c r="Y6161">
        <v>-0.1030136</v>
      </c>
      <c r="Z6161">
        <v>-5.5033690000000003E-2</v>
      </c>
      <c r="AA6161">
        <v>0.99315629999999999</v>
      </c>
      <c r="AB6161">
        <v>32</v>
      </c>
      <c r="AC6161">
        <v>0.50539999999997998</v>
      </c>
      <c r="AD6161">
        <v>-1.108340107754</v>
      </c>
      <c r="AE6161">
        <v>18.193152000000001</v>
      </c>
      <c r="AF6161">
        <v>-1.90133636826221</v>
      </c>
      <c r="AG6161">
        <v>-1.108340107754</v>
      </c>
      <c r="AH6161">
        <v>18.0329668296915</v>
      </c>
      <c r="AI6161">
        <v>93.497742564570999</v>
      </c>
      <c r="AJ6161">
        <v>96.018839585897794</v>
      </c>
      <c r="AK6161">
        <v>18.166766098028798</v>
      </c>
      <c r="AL6161">
        <v>90.119280331173897</v>
      </c>
      <c r="AM6161">
        <v>101.41296363201801</v>
      </c>
      <c r="AN6161">
        <v>0.99999999612641</v>
      </c>
    </row>
    <row r="6162" spans="1:40" x14ac:dyDescent="0.25">
      <c r="A6162" t="str">
        <f>"20190305135947016"</f>
        <v>20190305135947016</v>
      </c>
      <c r="B6162" t="str">
        <f>"1551765587005446"</f>
        <v>1551765587005446</v>
      </c>
      <c r="C6162" t="s">
        <v>40</v>
      </c>
      <c r="D6162">
        <v>4.0118660000000004</v>
      </c>
      <c r="E6162">
        <v>0.53383400000000003</v>
      </c>
      <c r="F6162" t="s">
        <v>42</v>
      </c>
      <c r="G6162">
        <v>-188.79740000000001</v>
      </c>
      <c r="H6162" s="1">
        <v>-1.305536E-6</v>
      </c>
      <c r="I6162">
        <v>-7.8212369999999902</v>
      </c>
      <c r="J6162">
        <v>-189.2817</v>
      </c>
      <c r="K6162">
        <v>1.1086149999999999</v>
      </c>
      <c r="L6162">
        <v>-26.158999999999999</v>
      </c>
      <c r="M6162">
        <v>0.131969</v>
      </c>
      <c r="N6162">
        <v>-3.5828219999999998E-3</v>
      </c>
      <c r="O6162">
        <v>0.9912474</v>
      </c>
      <c r="P6162">
        <v>-6.9553729999999994E-2</v>
      </c>
      <c r="Q6162">
        <v>-4.2462369999999999E-3</v>
      </c>
      <c r="R6162">
        <v>0.99756909999999999</v>
      </c>
      <c r="S6162">
        <v>8.4823609999999994E-2</v>
      </c>
      <c r="T6162">
        <v>-0.1789927</v>
      </c>
      <c r="U6162">
        <v>3.0112610000000002</v>
      </c>
      <c r="V6162">
        <v>-0.20059440000000001</v>
      </c>
      <c r="W6162">
        <v>-7.8996079999999998E-4</v>
      </c>
      <c r="X6162">
        <v>0.97967400000000004</v>
      </c>
      <c r="Y6162">
        <v>-0.1040365</v>
      </c>
      <c r="Z6162">
        <v>-5.4816209999999997E-2</v>
      </c>
      <c r="AA6162">
        <v>0.99306170000000005</v>
      </c>
      <c r="AB6162">
        <v>32</v>
      </c>
      <c r="AC6162">
        <v>0.48429999999999002</v>
      </c>
      <c r="AD6162">
        <v>-1.1086163055360001</v>
      </c>
      <c r="AE6162">
        <v>18.337762999999999</v>
      </c>
      <c r="AF6162">
        <v>-1.93290795231984</v>
      </c>
      <c r="AG6162">
        <v>-1.1086163055360001</v>
      </c>
      <c r="AH6162">
        <v>18.174908694515299</v>
      </c>
      <c r="AI6162">
        <v>93.471024451913394</v>
      </c>
      <c r="AJ6162">
        <v>96.070607993932001</v>
      </c>
      <c r="AK6162">
        <v>18.3109931275999</v>
      </c>
      <c r="AL6162">
        <v>90.045261427161904</v>
      </c>
      <c r="AM6162">
        <v>101.57172441390701</v>
      </c>
      <c r="AN6162">
        <v>0.99999994181271101</v>
      </c>
    </row>
    <row r="6163" spans="1:40" x14ac:dyDescent="0.25">
      <c r="A6163" t="str">
        <f>"20190305135947038"</f>
        <v>20190305135947038</v>
      </c>
      <c r="B6163" t="str">
        <f>"1551765587034727"</f>
        <v>1551765587034727</v>
      </c>
      <c r="C6163" t="s">
        <v>40</v>
      </c>
      <c r="D6163">
        <v>4.0435600000000003</v>
      </c>
      <c r="E6163">
        <v>0.5339026</v>
      </c>
      <c r="F6163" t="s">
        <v>42</v>
      </c>
      <c r="G6163">
        <v>-188.8004</v>
      </c>
      <c r="H6163" s="1">
        <v>-1.6760280000000001E-6</v>
      </c>
      <c r="I6163">
        <v>-6.9563479999999904</v>
      </c>
      <c r="J6163">
        <v>-189.24</v>
      </c>
      <c r="K6163">
        <v>1.1089089999999999</v>
      </c>
      <c r="L6163">
        <v>-25.840610000000002</v>
      </c>
      <c r="M6163">
        <v>0.13109689999999999</v>
      </c>
      <c r="N6163">
        <v>-3.4430009999999998E-3</v>
      </c>
      <c r="O6163">
        <v>0.99136360000000001</v>
      </c>
      <c r="P6163">
        <v>-7.2365949999999998E-2</v>
      </c>
      <c r="Q6163">
        <v>-2.562744E-3</v>
      </c>
      <c r="R6163">
        <v>0.99737480000000001</v>
      </c>
      <c r="S6163">
        <v>7.548523E-2</v>
      </c>
      <c r="T6163">
        <v>-0.17388110000000001</v>
      </c>
      <c r="U6163">
        <v>3.011841</v>
      </c>
      <c r="V6163">
        <v>-0.20249529999999999</v>
      </c>
      <c r="W6163">
        <v>6.0159340000000001E-4</v>
      </c>
      <c r="X6163">
        <v>0.97928300000000001</v>
      </c>
      <c r="Y6163">
        <v>-0.1062419</v>
      </c>
      <c r="Z6163">
        <v>-5.3287330000000001E-2</v>
      </c>
      <c r="AA6163">
        <v>0.99291149999999995</v>
      </c>
      <c r="AB6163">
        <v>32</v>
      </c>
      <c r="AC6163">
        <v>0.43960000000001198</v>
      </c>
      <c r="AD6163">
        <v>-1.1089106760280001</v>
      </c>
      <c r="AE6163">
        <v>18.884262</v>
      </c>
      <c r="AF6163">
        <v>-2.0328708601954601</v>
      </c>
      <c r="AG6163">
        <v>-1.1089106760280001</v>
      </c>
      <c r="AH6163">
        <v>18.714414905957501</v>
      </c>
      <c r="AI6163">
        <v>93.371274328178103</v>
      </c>
      <c r="AJ6163">
        <v>96.1995001455156</v>
      </c>
      <c r="AK6163">
        <v>18.857135840152502</v>
      </c>
      <c r="AL6163">
        <v>89.965531233438</v>
      </c>
      <c r="AM6163">
        <v>101.682918167018</v>
      </c>
      <c r="AN6163">
        <v>0.99999995126285302</v>
      </c>
    </row>
    <row r="6164" spans="1:40" x14ac:dyDescent="0.25">
      <c r="A6164" t="str">
        <f>"20190305135947063"</f>
        <v>20190305135947063</v>
      </c>
      <c r="B6164" t="str">
        <f>"1551765587055223"</f>
        <v>1551765587055223</v>
      </c>
      <c r="C6164" t="s">
        <v>40</v>
      </c>
      <c r="D6164">
        <v>4.0107559999999998</v>
      </c>
      <c r="E6164">
        <v>0.53396549999999998</v>
      </c>
      <c r="F6164" t="s">
        <v>42</v>
      </c>
      <c r="G6164">
        <v>-188.79830000000001</v>
      </c>
      <c r="H6164" s="1">
        <v>-2.071438E-6</v>
      </c>
      <c r="I6164">
        <v>-6.0355080000000001</v>
      </c>
      <c r="J6164">
        <v>-189.19589999999999</v>
      </c>
      <c r="K6164">
        <v>1.1092310000000001</v>
      </c>
      <c r="L6164">
        <v>-25.498169999999998</v>
      </c>
      <c r="M6164">
        <v>0.12968950000000001</v>
      </c>
      <c r="N6164">
        <v>-3.3174250000000001E-3</v>
      </c>
      <c r="O6164">
        <v>0.99154909999999996</v>
      </c>
      <c r="P6164">
        <v>-7.4186929999999998E-2</v>
      </c>
      <c r="Q6164">
        <v>-1.61234299999999E-3</v>
      </c>
      <c r="R6164">
        <v>0.99724299999999999</v>
      </c>
      <c r="S6164">
        <v>6.7169190000000004E-2</v>
      </c>
      <c r="T6164">
        <v>-0.16866400000000001</v>
      </c>
      <c r="U6164">
        <v>3.0123289999999998</v>
      </c>
      <c r="V6164">
        <v>-0.20289579999999999</v>
      </c>
      <c r="W6164">
        <v>1.26392E-3</v>
      </c>
      <c r="X6164">
        <v>0.9791995</v>
      </c>
      <c r="Y6164">
        <v>-0.1075725</v>
      </c>
      <c r="Z6164">
        <v>-5.1719469999999997E-2</v>
      </c>
      <c r="AA6164">
        <v>0.99285109999999999</v>
      </c>
      <c r="AB6164">
        <v>32</v>
      </c>
      <c r="AC6164">
        <v>0.39759999999998202</v>
      </c>
      <c r="AD6164">
        <v>-1.1092330714380001</v>
      </c>
      <c r="AE6164">
        <v>19.462661999999899</v>
      </c>
      <c r="AF6164">
        <v>-2.1229817457231301</v>
      </c>
      <c r="AG6164">
        <v>-1.1092330714380001</v>
      </c>
      <c r="AH6164">
        <v>19.287233689584401</v>
      </c>
      <c r="AI6164">
        <v>93.271809266038105</v>
      </c>
      <c r="AJ6164">
        <v>96.281366683035998</v>
      </c>
      <c r="AK6164">
        <v>19.435401536785498</v>
      </c>
      <c r="AL6164">
        <v>89.927582697771498</v>
      </c>
      <c r="AM6164">
        <v>101.706358537258</v>
      </c>
      <c r="AN6164">
        <v>0.99999998197582796</v>
      </c>
    </row>
    <row r="6165" spans="1:40" x14ac:dyDescent="0.25">
      <c r="A6165" t="str">
        <f>"20190305135947084"</f>
        <v>20190305135947084</v>
      </c>
      <c r="B6165" t="str">
        <f>"1551765587074742"</f>
        <v>1551765587074742</v>
      </c>
      <c r="C6165" t="s">
        <v>40</v>
      </c>
      <c r="D6165">
        <v>4.2367429999999997</v>
      </c>
      <c r="E6165">
        <v>0.5340414</v>
      </c>
      <c r="F6165" t="s">
        <v>42</v>
      </c>
      <c r="G6165">
        <v>-188.7841</v>
      </c>
      <c r="H6165" s="1">
        <v>-2.350639E-6</v>
      </c>
      <c r="I6165">
        <v>-5.3905750000000001</v>
      </c>
      <c r="J6165">
        <v>-189.15639999999999</v>
      </c>
      <c r="K6165">
        <v>1.1094809999999999</v>
      </c>
      <c r="L6165">
        <v>-25.186489999999999</v>
      </c>
      <c r="M6165">
        <v>0.12810879999999999</v>
      </c>
      <c r="N6165">
        <v>-3.2181390000000001E-3</v>
      </c>
      <c r="O6165">
        <v>0.99175489999999999</v>
      </c>
      <c r="P6165">
        <v>-7.5541179999999999E-2</v>
      </c>
      <c r="Q6165">
        <v>-1.833269E-3</v>
      </c>
      <c r="R6165">
        <v>0.99714100000000006</v>
      </c>
      <c r="S6165">
        <v>6.1691280000000001E-2</v>
      </c>
      <c r="T6165">
        <v>-0.1661899</v>
      </c>
      <c r="U6165">
        <v>3.0126040000000001</v>
      </c>
      <c r="V6165">
        <v>-0.20266439999999999</v>
      </c>
      <c r="W6165">
        <v>8.123545E-4</v>
      </c>
      <c r="X6165">
        <v>0.97924789999999995</v>
      </c>
      <c r="Y6165">
        <v>-0.1077941</v>
      </c>
      <c r="Z6165">
        <v>-5.1025569999999999E-2</v>
      </c>
      <c r="AA6165">
        <v>0.99286289999999999</v>
      </c>
      <c r="AB6165">
        <v>32</v>
      </c>
      <c r="AC6165">
        <v>0.37229999999999502</v>
      </c>
      <c r="AD6165">
        <v>-1.1094833506389901</v>
      </c>
      <c r="AE6165">
        <v>19.795915000000001</v>
      </c>
      <c r="AF6165">
        <v>-2.1600291796872999</v>
      </c>
      <c r="AG6165">
        <v>-1.1094833506389901</v>
      </c>
      <c r="AH6165">
        <v>19.618888162249998</v>
      </c>
      <c r="AI6165">
        <v>93.217331548318796</v>
      </c>
      <c r="AJ6165">
        <v>96.282929478011496</v>
      </c>
      <c r="AK6165">
        <v>19.768597625661801</v>
      </c>
      <c r="AL6165">
        <v>89.9534555098315</v>
      </c>
      <c r="AM6165">
        <v>101.69281340256499</v>
      </c>
      <c r="AN6165">
        <v>0.99999998430080095</v>
      </c>
    </row>
    <row r="6166" spans="1:40" x14ac:dyDescent="0.25">
      <c r="A6166" t="str">
        <f>"20190305135947108"</f>
        <v>20190305135947108</v>
      </c>
      <c r="B6166" t="str">
        <f>"1551765587104999"</f>
        <v>1551765587104999</v>
      </c>
      <c r="C6166" t="s">
        <v>40</v>
      </c>
      <c r="D6166">
        <v>4.0500629999999997</v>
      </c>
      <c r="E6166">
        <v>0.53417680000000001</v>
      </c>
      <c r="F6166" t="s">
        <v>42</v>
      </c>
      <c r="G6166">
        <v>-188.7714</v>
      </c>
      <c r="H6166" s="1">
        <v>-2.448994E-6</v>
      </c>
      <c r="I6166">
        <v>-5.1665679999999998</v>
      </c>
      <c r="J6166">
        <v>-189.11160000000001</v>
      </c>
      <c r="K6166">
        <v>1.1097349999999999</v>
      </c>
      <c r="L6166">
        <v>-24.825620000000001</v>
      </c>
      <c r="M6166">
        <v>0.1259497</v>
      </c>
      <c r="N6166">
        <v>-3.1197059999999999E-3</v>
      </c>
      <c r="O6166">
        <v>0.99203169999999996</v>
      </c>
      <c r="P6166">
        <v>-7.6898330000000001E-2</v>
      </c>
      <c r="Q6166">
        <v>-2.7871689999999999E-3</v>
      </c>
      <c r="R6166">
        <v>0.997035</v>
      </c>
      <c r="S6166">
        <v>5.7937620000000002E-2</v>
      </c>
      <c r="T6166">
        <v>-0.16695869999999999</v>
      </c>
      <c r="U6166">
        <v>3.0126650000000001</v>
      </c>
      <c r="V6166">
        <v>-0.2018626</v>
      </c>
      <c r="W6166">
        <v>-3.7398279999999997E-4</v>
      </c>
      <c r="X6166">
        <v>0.9794138</v>
      </c>
      <c r="Y6166">
        <v>-0.1068677</v>
      </c>
      <c r="Z6166">
        <v>-5.139883E-2</v>
      </c>
      <c r="AA6166">
        <v>0.99294380000000004</v>
      </c>
      <c r="AB6166">
        <v>33</v>
      </c>
      <c r="AC6166">
        <v>0.34020000000000999</v>
      </c>
      <c r="AD6166">
        <v>-1.109737448994</v>
      </c>
      <c r="AE6166">
        <v>19.659051999999999</v>
      </c>
      <c r="AF6166">
        <v>-2.13178206211176</v>
      </c>
      <c r="AG6166">
        <v>-1.109737448994</v>
      </c>
      <c r="AH6166">
        <v>19.483281341174798</v>
      </c>
      <c r="AI6166">
        <v>93.240657248773104</v>
      </c>
      <c r="AJ6166">
        <v>96.244233807638594</v>
      </c>
      <c r="AK6166">
        <v>19.630951678036698</v>
      </c>
      <c r="AL6166">
        <v>90.021427636113103</v>
      </c>
      <c r="AM6166">
        <v>101.64590056910799</v>
      </c>
      <c r="AN6166">
        <v>1.0000000203861601</v>
      </c>
    </row>
    <row r="6167" spans="1:40" x14ac:dyDescent="0.25">
      <c r="A6167" t="str">
        <f>"20190305135947131"</f>
        <v>20190305135947131</v>
      </c>
      <c r="B6167" t="str">
        <f>"1551765587125496"</f>
        <v>1551765587125496</v>
      </c>
      <c r="C6167" t="s">
        <v>40</v>
      </c>
      <c r="D6167">
        <v>4.0094900000000004</v>
      </c>
      <c r="E6167">
        <v>0.53425579999999995</v>
      </c>
      <c r="F6167" t="s">
        <v>42</v>
      </c>
      <c r="G6167">
        <v>-188.7518</v>
      </c>
      <c r="H6167" s="1">
        <v>-2.4702169999999999E-6</v>
      </c>
      <c r="I6167">
        <v>-5.125197</v>
      </c>
      <c r="J6167">
        <v>-189.07310000000001</v>
      </c>
      <c r="K6167">
        <v>1.109939</v>
      </c>
      <c r="L6167">
        <v>-24.508880000000001</v>
      </c>
      <c r="M6167">
        <v>0.123805</v>
      </c>
      <c r="N6167">
        <v>-3.0465790000000002E-3</v>
      </c>
      <c r="O6167">
        <v>0.99230189999999996</v>
      </c>
      <c r="P6167">
        <v>-7.7854720000000002E-2</v>
      </c>
      <c r="Q6167">
        <v>-4.3733859999999999E-3</v>
      </c>
      <c r="R6167">
        <v>0.99695509999999998</v>
      </c>
      <c r="S6167">
        <v>5.502319E-2</v>
      </c>
      <c r="T6167">
        <v>-0.1697071</v>
      </c>
      <c r="U6167">
        <v>3.0126949999999999</v>
      </c>
      <c r="V6167">
        <v>-0.2006781</v>
      </c>
      <c r="W6167">
        <v>-2.1381350000000002E-3</v>
      </c>
      <c r="X6167">
        <v>0.9796549</v>
      </c>
      <c r="Y6167">
        <v>-0.1056798</v>
      </c>
      <c r="Z6167">
        <v>-5.2392429999999997E-2</v>
      </c>
      <c r="AA6167">
        <v>0.99301899999999999</v>
      </c>
      <c r="AB6167">
        <v>33</v>
      </c>
      <c r="AC6167">
        <v>0.32130000000000702</v>
      </c>
      <c r="AD6167">
        <v>-1.1099414702169901</v>
      </c>
      <c r="AE6167">
        <v>19.383683000000001</v>
      </c>
      <c r="AF6167">
        <v>-2.0741807560223</v>
      </c>
      <c r="AG6167">
        <v>-1.1099414702169901</v>
      </c>
      <c r="AH6167">
        <v>19.211358536817599</v>
      </c>
      <c r="AI6167">
        <v>93.287540191973704</v>
      </c>
      <c r="AJ6167">
        <v>96.162148124940899</v>
      </c>
      <c r="AK6167">
        <v>19.354857083071298</v>
      </c>
      <c r="AL6167">
        <v>90.122506205205994</v>
      </c>
      <c r="AM6167">
        <v>101.576642127573</v>
      </c>
      <c r="AN6167">
        <v>0.99999999726744904</v>
      </c>
    </row>
    <row r="6168" spans="1:40" x14ac:dyDescent="0.25">
      <c r="A6168" t="str">
        <f>"20190305135947152"</f>
        <v>20190305135947152</v>
      </c>
      <c r="B6168" t="str">
        <f>"1551765587145016"</f>
        <v>1551765587145016</v>
      </c>
      <c r="C6168" t="s">
        <v>40</v>
      </c>
      <c r="D6168">
        <v>3.9461379999999999</v>
      </c>
      <c r="E6168">
        <v>0.53433869999999895</v>
      </c>
      <c r="F6168" t="s">
        <v>42</v>
      </c>
      <c r="G6168">
        <v>-188.7347</v>
      </c>
      <c r="H6168" s="1">
        <v>-2.4428589999999999E-6</v>
      </c>
      <c r="I6168">
        <v>-5.1960449999999998</v>
      </c>
      <c r="J6168">
        <v>-189.0341</v>
      </c>
      <c r="K6168">
        <v>1.1101350000000001</v>
      </c>
      <c r="L6168">
        <v>-24.180510000000002</v>
      </c>
      <c r="M6168">
        <v>0.1213808</v>
      </c>
      <c r="N6168">
        <v>-2.982354E-3</v>
      </c>
      <c r="O6168">
        <v>0.99260150000000003</v>
      </c>
      <c r="P6168">
        <v>-7.8742850000000003E-2</v>
      </c>
      <c r="Q6168">
        <v>-4.8221360000000003E-3</v>
      </c>
      <c r="R6168">
        <v>0.99688330000000003</v>
      </c>
      <c r="S6168">
        <v>5.2795410000000001E-2</v>
      </c>
      <c r="T6168">
        <v>-0.17313419999999999</v>
      </c>
      <c r="U6168">
        <v>3.0125120000000001</v>
      </c>
      <c r="V6168">
        <v>-0.19915369999999999</v>
      </c>
      <c r="W6168">
        <v>-2.7467519999999999E-3</v>
      </c>
      <c r="X6168">
        <v>0.97996439999999996</v>
      </c>
      <c r="Y6168">
        <v>-0.10398499999999999</v>
      </c>
      <c r="Z6168">
        <v>-5.3606899999999999E-2</v>
      </c>
      <c r="AA6168">
        <v>0.99313309999999999</v>
      </c>
      <c r="AB6168">
        <v>33</v>
      </c>
      <c r="AC6168">
        <v>0.29939999999999101</v>
      </c>
      <c r="AD6168">
        <v>-1.1101374428590001</v>
      </c>
      <c r="AE6168">
        <v>18.984465</v>
      </c>
      <c r="AF6168">
        <v>-2.0003353020411598</v>
      </c>
      <c r="AG6168">
        <v>-1.1101374428590001</v>
      </c>
      <c r="AH6168">
        <v>18.816109641468099</v>
      </c>
      <c r="AI6168">
        <v>93.357620641553893</v>
      </c>
      <c r="AJ6168">
        <v>96.068305794743395</v>
      </c>
      <c r="AK6168">
        <v>18.9546756369603</v>
      </c>
      <c r="AL6168">
        <v>90.157377497526994</v>
      </c>
      <c r="AM6168">
        <v>101.487518205478</v>
      </c>
      <c r="AN6168">
        <v>0.999999983068799</v>
      </c>
    </row>
    <row r="6169" spans="1:40" x14ac:dyDescent="0.25">
      <c r="A6169" t="str">
        <f>"20190305135947172"</f>
        <v>20190305135947172</v>
      </c>
      <c r="B6169" t="str">
        <f>"1551765587164534"</f>
        <v>1551765587164534</v>
      </c>
      <c r="C6169" t="s">
        <v>40</v>
      </c>
      <c r="D6169">
        <v>3.9532449999999999</v>
      </c>
      <c r="E6169">
        <v>0.53442939999999906</v>
      </c>
      <c r="F6169" t="s">
        <v>42</v>
      </c>
      <c r="G6169">
        <v>-188.7099</v>
      </c>
      <c r="H6169" s="1">
        <v>-2.5496410000000002E-6</v>
      </c>
      <c r="I6169">
        <v>-4.9573700000000001</v>
      </c>
      <c r="J6169">
        <v>-189.0009</v>
      </c>
      <c r="K6169">
        <v>1.1102890000000001</v>
      </c>
      <c r="L6169">
        <v>-23.893339999999998</v>
      </c>
      <c r="M6169">
        <v>0.11913410000000001</v>
      </c>
      <c r="N6169">
        <v>-2.9343949999999998E-3</v>
      </c>
      <c r="O6169">
        <v>0.99287380000000003</v>
      </c>
      <c r="P6169">
        <v>-7.9222089999999995E-2</v>
      </c>
      <c r="Q6169">
        <v>-4.3589359999999999E-3</v>
      </c>
      <c r="R6169">
        <v>0.9968475</v>
      </c>
      <c r="S6169">
        <v>5.0811769999999999E-2</v>
      </c>
      <c r="T6169">
        <v>-0.173974499999999</v>
      </c>
      <c r="U6169">
        <v>3.012543</v>
      </c>
      <c r="V6169">
        <v>-0.19740779999999999</v>
      </c>
      <c r="W6169">
        <v>-2.400489E-3</v>
      </c>
      <c r="X6169">
        <v>0.98031849999999998</v>
      </c>
      <c r="Y6169">
        <v>-0.10238849999999999</v>
      </c>
      <c r="Z6169">
        <v>-5.3956339999999998E-2</v>
      </c>
      <c r="AA6169">
        <v>0.9932801</v>
      </c>
      <c r="AB6169">
        <v>33</v>
      </c>
      <c r="AC6169">
        <v>0.29099999999999598</v>
      </c>
      <c r="AD6169">
        <v>-1.110291549641</v>
      </c>
      <c r="AE6169">
        <v>18.935970000000001</v>
      </c>
      <c r="AF6169">
        <v>-1.96026431782293</v>
      </c>
      <c r="AG6169">
        <v>-1.110291549641</v>
      </c>
      <c r="AH6169">
        <v>18.771258970599799</v>
      </c>
      <c r="AI6169">
        <v>93.366749079068995</v>
      </c>
      <c r="AJ6169">
        <v>95.961733457140497</v>
      </c>
      <c r="AK6169">
        <v>18.9059659066195</v>
      </c>
      <c r="AL6169">
        <v>90.137538023082499</v>
      </c>
      <c r="AM6169">
        <v>101.38544846550801</v>
      </c>
      <c r="AN6169">
        <v>0.99999998164526405</v>
      </c>
    </row>
    <row r="6170" spans="1:40" x14ac:dyDescent="0.25">
      <c r="A6170" t="str">
        <f>"20190305135947194"</f>
        <v>20190305135947194</v>
      </c>
      <c r="B6170" t="str">
        <f>"1551765587185031"</f>
        <v>1551765587185031</v>
      </c>
      <c r="C6170" t="s">
        <v>40</v>
      </c>
      <c r="D6170">
        <v>3.938158</v>
      </c>
      <c r="E6170">
        <v>0.53451539999999997</v>
      </c>
      <c r="F6170" t="s">
        <v>42</v>
      </c>
      <c r="G6170">
        <v>-188.6763</v>
      </c>
      <c r="H6170" s="1">
        <v>-2.7712829999999998E-6</v>
      </c>
      <c r="I6170">
        <v>-4.4546199999999896</v>
      </c>
      <c r="J6170">
        <v>-188.96360000000001</v>
      </c>
      <c r="K6170">
        <v>1.110425</v>
      </c>
      <c r="L6170">
        <v>-23.5639</v>
      </c>
      <c r="M6170">
        <v>0.11646289999999999</v>
      </c>
      <c r="N6170">
        <v>-2.8866690000000001E-3</v>
      </c>
      <c r="O6170">
        <v>0.99319080000000004</v>
      </c>
      <c r="P6170">
        <v>-8.0452750000000003E-2</v>
      </c>
      <c r="Q6170">
        <v>-4.2585059999999996E-3</v>
      </c>
      <c r="R6170">
        <v>0.99674929999999995</v>
      </c>
      <c r="S6170">
        <v>5.0308230000000002E-2</v>
      </c>
      <c r="T6170">
        <v>-0.17207939999999999</v>
      </c>
      <c r="U6170">
        <v>3.0127259999999998</v>
      </c>
      <c r="V6170">
        <v>-0.1959805</v>
      </c>
      <c r="W6170">
        <v>-2.414462E-3</v>
      </c>
      <c r="X6170">
        <v>0.98060480000000005</v>
      </c>
      <c r="Y6170">
        <v>-9.9879350000000006E-2</v>
      </c>
      <c r="Z6170">
        <v>-5.3417159999999998E-2</v>
      </c>
      <c r="AA6170">
        <v>0.99356469999999997</v>
      </c>
      <c r="AB6170">
        <v>33</v>
      </c>
      <c r="AC6170">
        <v>0.28730000000001599</v>
      </c>
      <c r="AD6170">
        <v>-1.110427771283</v>
      </c>
      <c r="AE6170">
        <v>19.109279999999998</v>
      </c>
      <c r="AF6170">
        <v>-1.9336587221758901</v>
      </c>
      <c r="AG6170">
        <v>-1.110427771283</v>
      </c>
      <c r="AH6170">
        <v>18.948731350396599</v>
      </c>
      <c r="AI6170">
        <v>93.336506124233594</v>
      </c>
      <c r="AJ6170">
        <v>95.826685297197997</v>
      </c>
      <c r="AK6170">
        <v>19.079478653217599</v>
      </c>
      <c r="AL6170">
        <v>90.138338619586605</v>
      </c>
      <c r="AM6170">
        <v>101.30204096780599</v>
      </c>
      <c r="AN6170">
        <v>0.99999997989501899</v>
      </c>
    </row>
    <row r="6171" spans="1:40" x14ac:dyDescent="0.25">
      <c r="A6171" t="str">
        <f>"20190305135947216"</f>
        <v>20190305135947216</v>
      </c>
      <c r="B6171" t="str">
        <f>"1551765587205058"</f>
        <v>1551765587205058</v>
      </c>
      <c r="C6171" t="s">
        <v>40</v>
      </c>
      <c r="D6171">
        <v>3.9417810000000002</v>
      </c>
      <c r="E6171">
        <v>0.53444380000000002</v>
      </c>
      <c r="F6171" t="s">
        <v>42</v>
      </c>
      <c r="G6171">
        <v>-188.65620000000001</v>
      </c>
      <c r="H6171" s="1">
        <v>-2.9589679999999999E-6</v>
      </c>
      <c r="I6171">
        <v>-4.0254240000000001</v>
      </c>
      <c r="J6171">
        <v>-188.9265</v>
      </c>
      <c r="K6171">
        <v>1.110535</v>
      </c>
      <c r="L6171">
        <v>-23.228149999999999</v>
      </c>
      <c r="M6171">
        <v>0.11367240000000001</v>
      </c>
      <c r="N6171">
        <v>-2.8453100000000002E-3</v>
      </c>
      <c r="O6171">
        <v>0.99351420000000001</v>
      </c>
      <c r="P6171">
        <v>-8.1893149999999998E-2</v>
      </c>
      <c r="Q6171">
        <v>-4.111951E-3</v>
      </c>
      <c r="R6171">
        <v>0.99663259999999998</v>
      </c>
      <c r="S6171">
        <v>4.73938E-2</v>
      </c>
      <c r="T6171">
        <v>-0.17123060000000001</v>
      </c>
      <c r="U6171">
        <v>3.0128780000000002</v>
      </c>
      <c r="V6171">
        <v>-0.1946426</v>
      </c>
      <c r="W6171">
        <v>-2.3614700000000001E-3</v>
      </c>
      <c r="X6171">
        <v>0.98087139999999995</v>
      </c>
      <c r="Y6171">
        <v>-9.8045919999999995E-2</v>
      </c>
      <c r="Z6171">
        <v>-5.3211580000000001E-2</v>
      </c>
      <c r="AA6171">
        <v>0.99375829999999998</v>
      </c>
      <c r="AB6171">
        <v>33</v>
      </c>
      <c r="AC6171">
        <v>0.27029999999999099</v>
      </c>
      <c r="AD6171">
        <v>-1.110537958968</v>
      </c>
      <c r="AE6171">
        <v>19.202725999999998</v>
      </c>
      <c r="AF6171">
        <v>-1.9079009791945101</v>
      </c>
      <c r="AG6171">
        <v>-1.110537958968</v>
      </c>
      <c r="AH6171">
        <v>19.045298365113201</v>
      </c>
      <c r="AI6171">
        <v>93.320575353904502</v>
      </c>
      <c r="AJ6171">
        <v>95.720634276906793</v>
      </c>
      <c r="AK6171">
        <v>19.172813317844199</v>
      </c>
      <c r="AL6171">
        <v>90.135302388737998</v>
      </c>
      <c r="AM6171">
        <v>101.223877619676</v>
      </c>
      <c r="AN6171">
        <v>1.00000001080664</v>
      </c>
    </row>
    <row r="6172" spans="1:40" x14ac:dyDescent="0.25">
      <c r="A6172" t="str">
        <f>"20190305135947241"</f>
        <v>20190305135947241</v>
      </c>
      <c r="B6172" t="str">
        <f>"1551765587235314"</f>
        <v>1551765587235314</v>
      </c>
      <c r="C6172" t="s">
        <v>40</v>
      </c>
      <c r="D6172">
        <v>4.2539259999999999</v>
      </c>
      <c r="E6172">
        <v>0.518204</v>
      </c>
      <c r="F6172" t="s">
        <v>42</v>
      </c>
      <c r="G6172">
        <v>-188.64940000000001</v>
      </c>
      <c r="H6172" s="1">
        <v>-3.1557370000000001E-6</v>
      </c>
      <c r="I6172">
        <v>-3.5695839999999999</v>
      </c>
      <c r="J6172">
        <v>-188.88890000000001</v>
      </c>
      <c r="K6172">
        <v>1.1106259999999999</v>
      </c>
      <c r="L6172">
        <v>-22.876799999999999</v>
      </c>
      <c r="M6172">
        <v>0.11070820000000001</v>
      </c>
      <c r="N6172">
        <v>-2.809878E-3</v>
      </c>
      <c r="O6172">
        <v>0.99384899999999998</v>
      </c>
      <c r="P6172">
        <v>-8.358815E-2</v>
      </c>
      <c r="Q6172">
        <v>-5.0261050000000003E-3</v>
      </c>
      <c r="R6172">
        <v>0.99648769999999998</v>
      </c>
      <c r="S6172">
        <v>4.2480469999999999E-2</v>
      </c>
      <c r="T6172">
        <v>-0.17020489999999999</v>
      </c>
      <c r="U6172">
        <v>3.0129389999999998</v>
      </c>
      <c r="V6172">
        <v>-0.1933781</v>
      </c>
      <c r="W6172">
        <v>-3.3510150000000002E-3</v>
      </c>
      <c r="X6172">
        <v>0.98111859999999995</v>
      </c>
      <c r="Y6172">
        <v>-9.6697729999999996E-2</v>
      </c>
      <c r="Z6172">
        <v>-5.294343E-2</v>
      </c>
      <c r="AA6172">
        <v>0.99390469999999997</v>
      </c>
      <c r="AB6172">
        <v>34</v>
      </c>
      <c r="AC6172">
        <v>0.239499999999992</v>
      </c>
      <c r="AD6172">
        <v>-1.1106291557370001</v>
      </c>
      <c r="AE6172">
        <v>19.307216</v>
      </c>
      <c r="AF6172">
        <v>-1.8931841471106201</v>
      </c>
      <c r="AG6172">
        <v>-1.1106291557370001</v>
      </c>
      <c r="AH6172">
        <v>19.151683967128498</v>
      </c>
      <c r="AI6172">
        <v>93.302871632809897</v>
      </c>
      <c r="AJ6172">
        <v>95.645467031280802</v>
      </c>
      <c r="AK6172">
        <v>19.2770496215892</v>
      </c>
      <c r="AL6172">
        <v>90.191999373414404</v>
      </c>
      <c r="AM6172">
        <v>101.15005552066999</v>
      </c>
      <c r="AN6172">
        <v>1.00000001306355</v>
      </c>
    </row>
    <row r="6173" spans="1:40" x14ac:dyDescent="0.25">
      <c r="A6173" t="str">
        <f>"20190305135947261"</f>
        <v>20190305135947261</v>
      </c>
      <c r="B6173" t="str">
        <f>"1551765587254834"</f>
        <v>1551765587254834</v>
      </c>
      <c r="C6173" t="s">
        <v>40</v>
      </c>
      <c r="D6173">
        <v>4.1274509999999998</v>
      </c>
      <c r="E6173">
        <v>0.51875400000000005</v>
      </c>
      <c r="F6173" t="s">
        <v>42</v>
      </c>
      <c r="G6173">
        <v>-189.65299999999999</v>
      </c>
      <c r="H6173" s="1">
        <v>-7.4711880000000002E-7</v>
      </c>
      <c r="I6173">
        <v>1.230866</v>
      </c>
      <c r="J6173">
        <v>-188.85550000000001</v>
      </c>
      <c r="K6173">
        <v>1.110681</v>
      </c>
      <c r="L6173">
        <v>-22.55658</v>
      </c>
      <c r="M6173">
        <v>0.10798969999999999</v>
      </c>
      <c r="N6173">
        <v>-2.7837130000000002E-3</v>
      </c>
      <c r="O6173">
        <v>0.99414809999999998</v>
      </c>
      <c r="P6173">
        <v>-8.5082669999999999E-2</v>
      </c>
      <c r="Q6173">
        <v>-5.1820169999999997E-3</v>
      </c>
      <c r="R6173">
        <v>0.99636040000000003</v>
      </c>
      <c r="S6173">
        <v>-9.5153810000000005E-2</v>
      </c>
      <c r="T6173">
        <v>-0.13829549999999999</v>
      </c>
      <c r="U6173">
        <v>3.0018919999999998</v>
      </c>
      <c r="V6173">
        <v>-0.19216520000000001</v>
      </c>
      <c r="W6173">
        <v>-3.5594839999999999E-3</v>
      </c>
      <c r="X6173">
        <v>0.98135609999999995</v>
      </c>
      <c r="Y6173">
        <v>-0.13939370000000001</v>
      </c>
      <c r="Z6173">
        <v>-4.2595090000000002E-2</v>
      </c>
      <c r="AA6173">
        <v>0.98932050000000005</v>
      </c>
      <c r="AB6173">
        <v>34</v>
      </c>
      <c r="AC6173">
        <v>-0.797499999999985</v>
      </c>
      <c r="AD6173">
        <v>-1.1106817471188</v>
      </c>
      <c r="AE6173">
        <v>23.787445999999999</v>
      </c>
      <c r="AF6173">
        <v>-3.35434063464254</v>
      </c>
      <c r="AG6173">
        <v>-1.1106817471188</v>
      </c>
      <c r="AH6173">
        <v>23.511014448902898</v>
      </c>
      <c r="AI6173">
        <v>92.677619843831295</v>
      </c>
      <c r="AJ6173">
        <v>98.119651839020506</v>
      </c>
      <c r="AK6173">
        <v>23.775050272357301</v>
      </c>
      <c r="AL6173">
        <v>90.203943848342306</v>
      </c>
      <c r="AM6173">
        <v>101.07924130847</v>
      </c>
      <c r="AN6173">
        <v>0.999999964512297</v>
      </c>
    </row>
    <row r="6174" spans="1:40" x14ac:dyDescent="0.25">
      <c r="A6174" t="str">
        <f>"20190305135947284"</f>
        <v>20190305135947284</v>
      </c>
      <c r="B6174" t="str">
        <f>"1551765587275331"</f>
        <v>1551765587275331</v>
      </c>
      <c r="C6174" t="s">
        <v>40</v>
      </c>
      <c r="D6174">
        <v>4.1203050000000001</v>
      </c>
      <c r="E6174">
        <v>0.5195845</v>
      </c>
      <c r="F6174" t="s">
        <v>42</v>
      </c>
      <c r="G6174">
        <v>-189.6619</v>
      </c>
      <c r="H6174" s="1">
        <v>-1.3861730000000001E-6</v>
      </c>
      <c r="I6174">
        <v>2.7241960000000001</v>
      </c>
      <c r="J6174">
        <v>-188.82079999999999</v>
      </c>
      <c r="K6174">
        <v>1.110724</v>
      </c>
      <c r="L6174">
        <v>-22.214390000000002</v>
      </c>
      <c r="M6174">
        <v>0.1050799</v>
      </c>
      <c r="N6174">
        <v>-2.7615259999999998E-3</v>
      </c>
      <c r="O6174">
        <v>0.99445989999999995</v>
      </c>
      <c r="P6174">
        <v>-8.648583E-2</v>
      </c>
      <c r="Q6174">
        <v>-5.9488900000000001E-3</v>
      </c>
      <c r="R6174">
        <v>0.99623530000000005</v>
      </c>
      <c r="S6174">
        <v>-9.5764160000000001E-2</v>
      </c>
      <c r="T6174">
        <v>-0.13189409999999999</v>
      </c>
      <c r="U6174">
        <v>3.0021059999999999</v>
      </c>
      <c r="V6174">
        <v>-0.19066930000000001</v>
      </c>
      <c r="W6174">
        <v>-4.3686289999999997E-3</v>
      </c>
      <c r="X6174">
        <v>0.98164459999999998</v>
      </c>
      <c r="Y6174">
        <v>-0.1366975</v>
      </c>
      <c r="Z6174">
        <v>-4.0546249999999999E-2</v>
      </c>
      <c r="AA6174">
        <v>0.98978270000000002</v>
      </c>
      <c r="AB6174">
        <v>34</v>
      </c>
      <c r="AC6174">
        <v>-0.84110000000001095</v>
      </c>
      <c r="AD6174">
        <v>-1.110725386173</v>
      </c>
      <c r="AE6174">
        <v>24.938586000000001</v>
      </c>
      <c r="AF6174">
        <v>-3.4501614815808002</v>
      </c>
      <c r="AG6174">
        <v>-1.110725386173</v>
      </c>
      <c r="AH6174">
        <v>24.6632682148248</v>
      </c>
      <c r="AI6174">
        <v>92.553774686781097</v>
      </c>
      <c r="AJ6174">
        <v>97.963467407010697</v>
      </c>
      <c r="AK6174">
        <v>24.928179319173299</v>
      </c>
      <c r="AL6174">
        <v>90.250304801690206</v>
      </c>
      <c r="AM6174">
        <v>100.99195261551201</v>
      </c>
      <c r="AN6174">
        <v>0.99999999379549398</v>
      </c>
    </row>
    <row r="6175" spans="1:40" x14ac:dyDescent="0.25">
      <c r="A6175" t="str">
        <f>"20190305135947306"</f>
        <v>20190305135947306</v>
      </c>
      <c r="B6175" t="str">
        <f>"1551765587295826"</f>
        <v>1551765587295826</v>
      </c>
      <c r="C6175" t="s">
        <v>40</v>
      </c>
      <c r="D6175">
        <v>3.9651230000000002</v>
      </c>
      <c r="E6175">
        <v>0.52027449999999997</v>
      </c>
      <c r="F6175" t="s">
        <v>42</v>
      </c>
      <c r="G6175">
        <v>-189.67949999999999</v>
      </c>
      <c r="H6175" s="1">
        <v>-2.3926749999999999E-6</v>
      </c>
      <c r="I6175">
        <v>5.0776529999999998</v>
      </c>
      <c r="J6175">
        <v>-188.78729999999999</v>
      </c>
      <c r="K6175">
        <v>1.110754</v>
      </c>
      <c r="L6175">
        <v>-21.87424</v>
      </c>
      <c r="M6175">
        <v>0.1021894</v>
      </c>
      <c r="N6175">
        <v>-2.7416979999999999E-3</v>
      </c>
      <c r="O6175">
        <v>0.99476120000000001</v>
      </c>
      <c r="P6175">
        <v>-8.8086730000000002E-2</v>
      </c>
      <c r="Q6175">
        <v>-8.6072270000000003E-3</v>
      </c>
      <c r="R6175">
        <v>0.99607559999999995</v>
      </c>
      <c r="S6175">
        <v>-9.4467159999999994E-2</v>
      </c>
      <c r="T6175">
        <v>-0.12219149999999999</v>
      </c>
      <c r="U6175">
        <v>3.0024109999999999</v>
      </c>
      <c r="V6175">
        <v>-0.18937519999999999</v>
      </c>
      <c r="W6175">
        <v>-7.0629959999999898E-3</v>
      </c>
      <c r="X6175">
        <v>0.98187939999999996</v>
      </c>
      <c r="Y6175">
        <v>-0.13339239999999999</v>
      </c>
      <c r="Z6175">
        <v>-3.7409100000000001E-2</v>
      </c>
      <c r="AA6175">
        <v>0.99035700000000004</v>
      </c>
      <c r="AB6175">
        <v>34</v>
      </c>
      <c r="AC6175">
        <v>-0.89220000000000199</v>
      </c>
      <c r="AD6175">
        <v>-1.1107563926749999</v>
      </c>
      <c r="AE6175">
        <v>26.951892999999998</v>
      </c>
      <c r="AF6175">
        <v>-3.6355691768806202</v>
      </c>
      <c r="AG6175">
        <v>-1.1107563926749999</v>
      </c>
      <c r="AH6175">
        <v>26.674367844990801</v>
      </c>
      <c r="AI6175">
        <v>92.362676686647504</v>
      </c>
      <c r="AJ6175">
        <v>97.761276123139396</v>
      </c>
      <c r="AK6175">
        <v>26.943886930686801</v>
      </c>
      <c r="AL6175">
        <v>90.404683224524504</v>
      </c>
      <c r="AM6175">
        <v>100.91659943142</v>
      </c>
      <c r="AN6175">
        <v>1.00000000421594</v>
      </c>
    </row>
    <row r="6176" spans="1:40" x14ac:dyDescent="0.25">
      <c r="A6176" t="str">
        <f>"20190305135947332"</f>
        <v>20190305135947332</v>
      </c>
      <c r="B6176" t="str">
        <f>"1551765587325105"</f>
        <v>1551765587325105</v>
      </c>
      <c r="C6176" t="s">
        <v>40</v>
      </c>
      <c r="D6176">
        <v>3.8852099999999998</v>
      </c>
      <c r="E6176">
        <v>0.521088</v>
      </c>
      <c r="F6176" t="s">
        <v>42</v>
      </c>
      <c r="G6176">
        <v>-189.6148</v>
      </c>
      <c r="H6176" s="1">
        <v>-2.161224E-6</v>
      </c>
      <c r="I6176">
        <v>4.5113779999999997</v>
      </c>
      <c r="J6176">
        <v>-188.74959999999999</v>
      </c>
      <c r="K6176">
        <v>1.110779</v>
      </c>
      <c r="L6176">
        <v>-21.479310000000002</v>
      </c>
      <c r="M6176">
        <v>9.8839440000000001E-2</v>
      </c>
      <c r="N6176">
        <v>-2.7152080000000002E-3</v>
      </c>
      <c r="O6176">
        <v>0.99509970000000003</v>
      </c>
      <c r="P6176">
        <v>-9.072144E-2</v>
      </c>
      <c r="Q6176">
        <v>-1.274605E-2</v>
      </c>
      <c r="R6176">
        <v>0.99579470000000003</v>
      </c>
      <c r="S6176">
        <v>-9.4161990000000001E-2</v>
      </c>
      <c r="T6176">
        <v>-0.12639259999999999</v>
      </c>
      <c r="U6176">
        <v>3.0024109999999999</v>
      </c>
      <c r="V6176">
        <v>-0.1886352</v>
      </c>
      <c r="W6176">
        <v>-1.124751E-2</v>
      </c>
      <c r="X6176">
        <v>0.98198280000000004</v>
      </c>
      <c r="Y6176">
        <v>-0.1299524</v>
      </c>
      <c r="Z6176">
        <v>-3.8845060000000001E-2</v>
      </c>
      <c r="AA6176">
        <v>0.99075899999999995</v>
      </c>
      <c r="AB6176">
        <v>34</v>
      </c>
      <c r="AC6176">
        <v>-0.86520000000001496</v>
      </c>
      <c r="AD6176">
        <v>-1.1107811612239999</v>
      </c>
      <c r="AE6176">
        <v>25.990687999999999</v>
      </c>
      <c r="AF6176">
        <v>-3.4236315493038201</v>
      </c>
      <c r="AG6176">
        <v>-1.1107811612239999</v>
      </c>
      <c r="AH6176">
        <v>25.730958943310998</v>
      </c>
      <c r="AI6176">
        <v>92.450302089713801</v>
      </c>
      <c r="AJ6176">
        <v>97.578971418185503</v>
      </c>
      <c r="AK6176">
        <v>25.981480633633499</v>
      </c>
      <c r="AL6176">
        <v>90.644448452724802</v>
      </c>
      <c r="AM6176">
        <v>100.873843140822</v>
      </c>
      <c r="AN6176">
        <v>0.99999998232803999</v>
      </c>
    </row>
    <row r="6177" spans="1:40" x14ac:dyDescent="0.25">
      <c r="A6177" t="str">
        <f>"20190305135947353"</f>
        <v>20190305135947353</v>
      </c>
      <c r="B6177" t="str">
        <f>"1551765587344628"</f>
        <v>1551765587344628</v>
      </c>
      <c r="C6177" t="s">
        <v>40</v>
      </c>
      <c r="D6177">
        <v>3.9141550000000001</v>
      </c>
      <c r="E6177">
        <v>0.52130069999999995</v>
      </c>
      <c r="F6177" t="s">
        <v>42</v>
      </c>
      <c r="G6177">
        <v>-189.5317</v>
      </c>
      <c r="H6177" s="1">
        <v>-1.540764E-6</v>
      </c>
      <c r="I6177">
        <v>3.030716</v>
      </c>
      <c r="J6177">
        <v>-188.71960000000001</v>
      </c>
      <c r="K6177">
        <v>1.110795</v>
      </c>
      <c r="L6177">
        <v>-21.153659999999999</v>
      </c>
      <c r="M6177">
        <v>9.6085009999999998E-2</v>
      </c>
      <c r="N6177">
        <v>-2.6938909999999999E-3</v>
      </c>
      <c r="O6177">
        <v>0.99536950000000002</v>
      </c>
      <c r="P6177">
        <v>-9.2944200000000005E-2</v>
      </c>
      <c r="Q6177">
        <v>-1.508989E-2</v>
      </c>
      <c r="R6177">
        <v>0.99555700000000003</v>
      </c>
      <c r="S6177">
        <v>-9.5794679999999993E-2</v>
      </c>
      <c r="T6177">
        <v>-0.13605789999999901</v>
      </c>
      <c r="U6177">
        <v>3.0021969999999998</v>
      </c>
      <c r="V6177">
        <v>-0.18809110000000001</v>
      </c>
      <c r="W6177">
        <v>-1.3625989999999999E-2</v>
      </c>
      <c r="X6177">
        <v>0.98205699999999996</v>
      </c>
      <c r="Y6177">
        <v>-0.12774379999999999</v>
      </c>
      <c r="Z6177">
        <v>-4.2066409999999999E-2</v>
      </c>
      <c r="AA6177">
        <v>0.99091470000000004</v>
      </c>
      <c r="AB6177">
        <v>34</v>
      </c>
      <c r="AC6177">
        <v>-0.81209999999998606</v>
      </c>
      <c r="AD6177">
        <v>-1.1107965407639999</v>
      </c>
      <c r="AE6177">
        <v>24.184376</v>
      </c>
      <c r="AF6177">
        <v>-3.1255207431123901</v>
      </c>
      <c r="AG6177">
        <v>-1.1107965407639999</v>
      </c>
      <c r="AH6177">
        <v>23.943991090360502</v>
      </c>
      <c r="AI6177">
        <v>92.633817530852795</v>
      </c>
      <c r="AJ6177">
        <v>97.437034738307901</v>
      </c>
      <c r="AK6177">
        <v>24.1726593118312</v>
      </c>
      <c r="AL6177">
        <v>90.780735926071998</v>
      </c>
      <c r="AM6177">
        <v>100.84242332489301</v>
      </c>
      <c r="AN6177">
        <v>0.99999994037584305</v>
      </c>
    </row>
    <row r="6178" spans="1:40" x14ac:dyDescent="0.25">
      <c r="A6178" t="str">
        <f>"20190305135947373"</f>
        <v>20190305135947373</v>
      </c>
      <c r="B6178" t="str">
        <f>"1551765587365124"</f>
        <v>1551765587365124</v>
      </c>
      <c r="C6178" t="s">
        <v>40</v>
      </c>
      <c r="D6178">
        <v>3.9189850000000002</v>
      </c>
      <c r="E6178">
        <v>0.52149909999999999</v>
      </c>
      <c r="F6178" t="s">
        <v>42</v>
      </c>
      <c r="G6178">
        <v>-189.4804</v>
      </c>
      <c r="H6178" s="1">
        <v>-9.3076660000000002E-7</v>
      </c>
      <c r="I6178">
        <v>1.5875939999999999</v>
      </c>
      <c r="J6178">
        <v>-188.69120000000001</v>
      </c>
      <c r="K6178">
        <v>1.110795</v>
      </c>
      <c r="L6178">
        <v>-20.837589999999999</v>
      </c>
      <c r="M6178">
        <v>9.3426670000000003E-2</v>
      </c>
      <c r="N6178">
        <v>-2.6756269999999999E-3</v>
      </c>
      <c r="O6178">
        <v>0.99562260000000002</v>
      </c>
      <c r="P6178">
        <v>-9.4809749999999998E-2</v>
      </c>
      <c r="Q6178">
        <v>-1.6779659999999998E-2</v>
      </c>
      <c r="R6178">
        <v>0.99535399999999996</v>
      </c>
      <c r="S6178">
        <v>-0.1004333</v>
      </c>
      <c r="T6178">
        <v>-0.1466229</v>
      </c>
      <c r="U6178">
        <v>3.0018009999999999</v>
      </c>
      <c r="V6178">
        <v>-0.18729409999999999</v>
      </c>
      <c r="W6178">
        <v>-1.5341550000000001E-2</v>
      </c>
      <c r="X6178">
        <v>0.9821841</v>
      </c>
      <c r="Y6178">
        <v>-0.1266234</v>
      </c>
      <c r="Z6178">
        <v>-4.5580049999999997E-2</v>
      </c>
      <c r="AA6178">
        <v>0.99090310000000004</v>
      </c>
      <c r="AB6178">
        <v>35</v>
      </c>
      <c r="AC6178">
        <v>-0.78919999999999302</v>
      </c>
      <c r="AD6178">
        <v>-1.1107959307666</v>
      </c>
      <c r="AE6178">
        <v>22.425184000000002</v>
      </c>
      <c r="AF6178">
        <v>-2.8738234683536001</v>
      </c>
      <c r="AG6178">
        <v>-1.1107959307666</v>
      </c>
      <c r="AH6178">
        <v>22.1989675180311</v>
      </c>
      <c r="AI6178">
        <v>92.840919709145297</v>
      </c>
      <c r="AJ6178">
        <v>97.376345224447604</v>
      </c>
      <c r="AK6178">
        <v>22.411757802405202</v>
      </c>
      <c r="AL6178">
        <v>90.879040529092407</v>
      </c>
      <c r="AM6178">
        <v>100.796198478691</v>
      </c>
      <c r="AN6178">
        <v>1.00000002467201</v>
      </c>
    </row>
    <row r="6179" spans="1:40" x14ac:dyDescent="0.25">
      <c r="A6179" t="str">
        <f>"20190305135947396"</f>
        <v>20190305135947396</v>
      </c>
      <c r="B6179" t="str">
        <f>"1551765587384642"</f>
        <v>1551765587384642</v>
      </c>
      <c r="C6179" t="s">
        <v>40</v>
      </c>
      <c r="D6179">
        <v>3.9424600000000001</v>
      </c>
      <c r="E6179">
        <v>0.52153450000000001</v>
      </c>
      <c r="F6179" t="s">
        <v>42</v>
      </c>
      <c r="G6179">
        <v>-189.45189999999999</v>
      </c>
      <c r="H6179" s="1">
        <v>-6.7418099999999899E-7</v>
      </c>
      <c r="I6179">
        <v>0.97769170000000005</v>
      </c>
      <c r="J6179">
        <v>-188.66059999999999</v>
      </c>
      <c r="K6179">
        <v>1.1108049999999901</v>
      </c>
      <c r="L6179">
        <v>-20.48508</v>
      </c>
      <c r="M6179">
        <v>9.0495950000000006E-2</v>
      </c>
      <c r="N6179">
        <v>-2.6577409999999999E-3</v>
      </c>
      <c r="O6179">
        <v>0.99589329999999998</v>
      </c>
      <c r="P6179">
        <v>-9.7088889999999997E-2</v>
      </c>
      <c r="Q6179">
        <v>-1.7359940000000001E-2</v>
      </c>
      <c r="R6179">
        <v>0.99512429999999996</v>
      </c>
      <c r="S6179">
        <v>-0.10466</v>
      </c>
      <c r="T6179">
        <v>-0.1528293</v>
      </c>
      <c r="U6179">
        <v>3.001465</v>
      </c>
      <c r="V6179">
        <v>-0.18664739999999999</v>
      </c>
      <c r="W6179">
        <v>-1.5943209999999999E-2</v>
      </c>
      <c r="X6179">
        <v>0.98229759999999999</v>
      </c>
      <c r="Y6179">
        <v>-0.12509769999999901</v>
      </c>
      <c r="Z6179">
        <v>-4.766563E-2</v>
      </c>
      <c r="AA6179">
        <v>0.99099870000000001</v>
      </c>
      <c r="AB6179">
        <v>35</v>
      </c>
      <c r="AC6179">
        <v>-0.791300000000006</v>
      </c>
      <c r="AD6179">
        <v>-1.11080567418099</v>
      </c>
      <c r="AE6179">
        <v>21.462771700000001</v>
      </c>
      <c r="AF6179">
        <v>-2.7230698055244398</v>
      </c>
      <c r="AG6179">
        <v>-1.11080567418099</v>
      </c>
      <c r="AH6179">
        <v>21.246263286370699</v>
      </c>
      <c r="AI6179">
        <v>92.968597068593994</v>
      </c>
      <c r="AJ6179">
        <v>97.303610208170696</v>
      </c>
      <c r="AK6179">
        <v>21.448839177105501</v>
      </c>
      <c r="AL6179">
        <v>90.913517342359199</v>
      </c>
      <c r="AM6179">
        <v>100.758578237002</v>
      </c>
      <c r="AN6179">
        <v>1.0000000064188099</v>
      </c>
    </row>
    <row r="6180" spans="1:40" x14ac:dyDescent="0.25">
      <c r="A6180" t="str">
        <f>"20190305135947420"</f>
        <v>20190305135947420</v>
      </c>
      <c r="B6180" t="str">
        <f>"1551765587414898"</f>
        <v>1551765587414898</v>
      </c>
      <c r="C6180" t="s">
        <v>40</v>
      </c>
      <c r="D6180">
        <v>3.9257650000000002</v>
      </c>
      <c r="E6180">
        <v>0.5217733</v>
      </c>
      <c r="F6180" t="s">
        <v>42</v>
      </c>
      <c r="G6180">
        <v>-189.4537</v>
      </c>
      <c r="H6180" s="1">
        <v>-6.4576640000000001E-7</v>
      </c>
      <c r="I6180">
        <v>0.91218319999999997</v>
      </c>
      <c r="J6180">
        <v>-188.63069999999999</v>
      </c>
      <c r="K6180">
        <v>1.1107880000000001</v>
      </c>
      <c r="L6180">
        <v>-20.130130000000001</v>
      </c>
      <c r="M6180">
        <v>8.7611590000000003E-2</v>
      </c>
      <c r="N6180">
        <v>-2.6419529999999998E-3</v>
      </c>
      <c r="O6180">
        <v>0.99615120000000001</v>
      </c>
      <c r="P6180">
        <v>-9.8803810000000006E-2</v>
      </c>
      <c r="Q6180">
        <v>-1.7502940000000002E-2</v>
      </c>
      <c r="R6180">
        <v>0.99495299999999998</v>
      </c>
      <c r="S6180">
        <v>-0.1112366</v>
      </c>
      <c r="T6180">
        <v>-0.15579889999999999</v>
      </c>
      <c r="U6180">
        <v>3.0011290000000002</v>
      </c>
      <c r="V6180">
        <v>-0.18549450000000001</v>
      </c>
      <c r="W6180">
        <v>-1.6091749999999998E-2</v>
      </c>
      <c r="X6180">
        <v>0.98251350000000004</v>
      </c>
      <c r="Y6180">
        <v>-0.1243953</v>
      </c>
      <c r="Z6180">
        <v>-4.8682719999999999E-2</v>
      </c>
      <c r="AA6180">
        <v>0.99103770000000002</v>
      </c>
      <c r="AB6180">
        <v>35</v>
      </c>
      <c r="AC6180">
        <v>-0.82300000000000695</v>
      </c>
      <c r="AD6180">
        <v>-1.11078864576639</v>
      </c>
      <c r="AE6180">
        <v>21.042313199999999</v>
      </c>
      <c r="AF6180">
        <v>-2.6560023377325899</v>
      </c>
      <c r="AG6180">
        <v>-1.11078864576639</v>
      </c>
      <c r="AH6180">
        <v>20.8313341749726</v>
      </c>
      <c r="AI6180">
        <v>93.027825231253601</v>
      </c>
      <c r="AJ6180">
        <v>97.266028015879002</v>
      </c>
      <c r="AK6180">
        <v>21.0293291225133</v>
      </c>
      <c r="AL6180">
        <v>90.922029186805304</v>
      </c>
      <c r="AM6180">
        <v>100.691365168133</v>
      </c>
      <c r="AN6180">
        <v>0.99999996581527995</v>
      </c>
    </row>
    <row r="6181" spans="1:40" x14ac:dyDescent="0.25">
      <c r="A6181" t="str">
        <f>"20190305135947442"</f>
        <v>20190305135947442</v>
      </c>
      <c r="B6181" t="str">
        <f>"1551765587435394"</f>
        <v>1551765587435394</v>
      </c>
      <c r="C6181" t="s">
        <v>40</v>
      </c>
      <c r="D6181">
        <v>3.9519359999999999</v>
      </c>
      <c r="E6181">
        <v>0.52216090000000004</v>
      </c>
      <c r="F6181" t="s">
        <v>42</v>
      </c>
      <c r="G6181">
        <v>-189.50980000000001</v>
      </c>
      <c r="H6181" s="1">
        <v>-1.4160990000000001E-6</v>
      </c>
      <c r="I6181">
        <v>2.731055</v>
      </c>
      <c r="J6181">
        <v>-188.6019</v>
      </c>
      <c r="K6181">
        <v>1.1107419999999999</v>
      </c>
      <c r="L6181">
        <v>-19.775510000000001</v>
      </c>
      <c r="M6181">
        <v>8.4836330000000001E-2</v>
      </c>
      <c r="N6181">
        <v>-2.628151E-3</v>
      </c>
      <c r="O6181">
        <v>0.99639140000000004</v>
      </c>
      <c r="P6181">
        <v>-0.1002749</v>
      </c>
      <c r="Q6181">
        <v>-1.7943939999999999E-2</v>
      </c>
      <c r="R6181">
        <v>0.99479790000000001</v>
      </c>
      <c r="S6181">
        <v>-0.1154022</v>
      </c>
      <c r="T6181">
        <v>-0.14582319999999999</v>
      </c>
      <c r="U6181">
        <v>3.0011899999999998</v>
      </c>
      <c r="V6181">
        <v>-0.1842085</v>
      </c>
      <c r="W6181">
        <v>-1.6522169999999999E-2</v>
      </c>
      <c r="X6181">
        <v>0.98274830000000002</v>
      </c>
      <c r="Y6181">
        <v>-0.1230107</v>
      </c>
      <c r="Z6181">
        <v>-4.5437180000000001E-2</v>
      </c>
      <c r="AA6181">
        <v>0.99136460000000004</v>
      </c>
      <c r="AB6181">
        <v>35</v>
      </c>
      <c r="AC6181">
        <v>-0.90790000000001203</v>
      </c>
      <c r="AD6181">
        <v>-1.110743416099</v>
      </c>
      <c r="AE6181">
        <v>22.506564999999998</v>
      </c>
      <c r="AF6181">
        <v>-2.8071818286812902</v>
      </c>
      <c r="AG6181">
        <v>-1.110743416099</v>
      </c>
      <c r="AH6181">
        <v>22.294190945512199</v>
      </c>
      <c r="AI6181">
        <v>92.829928809435799</v>
      </c>
      <c r="AJ6181">
        <v>97.176651814099003</v>
      </c>
      <c r="AK6181">
        <v>22.4976658938354</v>
      </c>
      <c r="AL6181">
        <v>90.946693696432206</v>
      </c>
      <c r="AM6181">
        <v>100.616455827905</v>
      </c>
      <c r="AN6181">
        <v>0.99999998736332396</v>
      </c>
    </row>
    <row r="6182" spans="1:40" x14ac:dyDescent="0.25">
      <c r="A6182" t="str">
        <f>"20190305135947462"</f>
        <v>20190305135947462</v>
      </c>
      <c r="B6182" t="str">
        <f>"1551765587454915"</f>
        <v>1551765587454915</v>
      </c>
      <c r="C6182" t="s">
        <v>40</v>
      </c>
      <c r="D6182">
        <v>3.959686</v>
      </c>
      <c r="E6182">
        <v>0.52431119999999898</v>
      </c>
      <c r="F6182" t="s">
        <v>42</v>
      </c>
      <c r="G6182">
        <v>-189.53479999999999</v>
      </c>
      <c r="H6182" s="1">
        <v>-1.9773239999999999E-6</v>
      </c>
      <c r="I6182">
        <v>4.0496339999999904</v>
      </c>
      <c r="J6182">
        <v>-188.5761</v>
      </c>
      <c r="K6182">
        <v>1.1106830000000001</v>
      </c>
      <c r="L6182">
        <v>-19.44913</v>
      </c>
      <c r="M6182">
        <v>8.2372520000000005E-2</v>
      </c>
      <c r="N6182">
        <v>-2.6175650000000001E-3</v>
      </c>
      <c r="O6182">
        <v>0.99659819999999999</v>
      </c>
      <c r="P6182">
        <v>-0.10066070000000001</v>
      </c>
      <c r="Q6182">
        <v>-1.8468249999999999E-2</v>
      </c>
      <c r="R6182">
        <v>0.99474940000000001</v>
      </c>
      <c r="S6182">
        <v>-0.11752319999999999</v>
      </c>
      <c r="T6182">
        <v>-0.13992309999999999</v>
      </c>
      <c r="U6182">
        <v>3.001312</v>
      </c>
      <c r="V6182">
        <v>-0.18215680000000001</v>
      </c>
      <c r="W6182">
        <v>-1.7023E-2</v>
      </c>
      <c r="X6182">
        <v>0.9831221</v>
      </c>
      <c r="Y6182">
        <v>-0.1212587</v>
      </c>
      <c r="Z6182">
        <v>-4.3524019999999997E-2</v>
      </c>
      <c r="AA6182">
        <v>0.9916663</v>
      </c>
      <c r="AB6182">
        <v>35</v>
      </c>
      <c r="AC6182">
        <v>-0.958699999999993</v>
      </c>
      <c r="AD6182">
        <v>-1.110684977324</v>
      </c>
      <c r="AE6182">
        <v>23.498764000000001</v>
      </c>
      <c r="AF6182">
        <v>-2.88466716038667</v>
      </c>
      <c r="AG6182">
        <v>-1.110684977324</v>
      </c>
      <c r="AH6182">
        <v>23.287994718941999</v>
      </c>
      <c r="AI6182">
        <v>92.709885353548103</v>
      </c>
      <c r="AJ6182">
        <v>97.061218765856694</v>
      </c>
      <c r="AK6182">
        <v>23.492246035118399</v>
      </c>
      <c r="AL6182">
        <v>90.975393193593604</v>
      </c>
      <c r="AM6182">
        <v>100.496951137883</v>
      </c>
      <c r="AN6182">
        <v>0.99999997291182396</v>
      </c>
    </row>
    <row r="6183" spans="1:40" x14ac:dyDescent="0.25">
      <c r="A6183" t="str">
        <f>"20190305135947485"</f>
        <v>20190305135947485</v>
      </c>
      <c r="B6183" t="str">
        <f>"1551765587475411"</f>
        <v>1551765587475411</v>
      </c>
      <c r="C6183" t="s">
        <v>40</v>
      </c>
      <c r="D6183">
        <v>4.0031230000000004</v>
      </c>
      <c r="E6183">
        <v>0.52334729999999996</v>
      </c>
      <c r="F6183" t="s">
        <v>42</v>
      </c>
      <c r="G6183">
        <v>-190.08519999999999</v>
      </c>
      <c r="H6183" s="1">
        <v>-1.5189040000000001E-6</v>
      </c>
      <c r="I6183">
        <v>23.076889999999999</v>
      </c>
      <c r="J6183">
        <v>-188.54849999999999</v>
      </c>
      <c r="K6183">
        <v>1.1105959999999999</v>
      </c>
      <c r="L6183">
        <v>-19.088750000000001</v>
      </c>
      <c r="M6183">
        <v>7.9793790000000003E-2</v>
      </c>
      <c r="N6183">
        <v>-2.6082100000000001E-3</v>
      </c>
      <c r="O6183">
        <v>0.99680800000000003</v>
      </c>
      <c r="P6183">
        <v>-0.10110230000000001</v>
      </c>
      <c r="Q6183">
        <v>-1.9044510000000001E-2</v>
      </c>
      <c r="R6183">
        <v>0.99469379999999996</v>
      </c>
      <c r="S6183">
        <v>-0.1065826</v>
      </c>
      <c r="T6183">
        <v>-7.8447340000000004E-2</v>
      </c>
      <c r="U6183">
        <v>3.0036010000000002</v>
      </c>
      <c r="V6183">
        <v>-0.18004800000000001</v>
      </c>
      <c r="W6183">
        <v>-1.7562399999999999E-2</v>
      </c>
      <c r="X6183">
        <v>0.98350099999999996</v>
      </c>
      <c r="Y6183">
        <v>-0.115079399999999</v>
      </c>
      <c r="Z6183">
        <v>-2.3277949999999999E-2</v>
      </c>
      <c r="AA6183">
        <v>0.99308350000000001</v>
      </c>
      <c r="AB6183">
        <v>36</v>
      </c>
      <c r="AC6183">
        <v>-1.53669999999999</v>
      </c>
      <c r="AD6183">
        <v>-1.1105975189039901</v>
      </c>
      <c r="AE6183">
        <v>42.165640000000003</v>
      </c>
      <c r="AF6183">
        <v>-4.8929776860190604</v>
      </c>
      <c r="AG6183">
        <v>-1.1105975189039901</v>
      </c>
      <c r="AH6183">
        <v>41.879554921499903</v>
      </c>
      <c r="AI6183">
        <v>91.508803877478897</v>
      </c>
      <c r="AJ6183">
        <v>96.663912991104894</v>
      </c>
      <c r="AK6183">
        <v>42.179044298179697</v>
      </c>
      <c r="AL6183">
        <v>91.006303164580302</v>
      </c>
      <c r="AM6183">
        <v>100.374173741429</v>
      </c>
      <c r="AN6183">
        <v>0.99999996859937901</v>
      </c>
    </row>
    <row r="6184" spans="1:40" x14ac:dyDescent="0.25">
      <c r="A6184" t="str">
        <f>"20190305135947507"</f>
        <v>20190305135947507</v>
      </c>
      <c r="B6184" t="str">
        <f>"1551765587494934"</f>
        <v>1551765587494934</v>
      </c>
      <c r="C6184" t="s">
        <v>40</v>
      </c>
      <c r="D6184">
        <v>3.977973</v>
      </c>
      <c r="E6184">
        <v>0.52292099999999997</v>
      </c>
      <c r="F6184" t="s">
        <v>42</v>
      </c>
      <c r="G6184">
        <v>-190.14959999999999</v>
      </c>
      <c r="H6184" s="1">
        <v>-1.280964E-6</v>
      </c>
      <c r="I6184">
        <v>22.482309999999998</v>
      </c>
      <c r="J6184">
        <v>-188.5222</v>
      </c>
      <c r="K6184">
        <v>1.1104860000000001</v>
      </c>
      <c r="L6184">
        <v>-18.735440000000001</v>
      </c>
      <c r="M6184">
        <v>7.7450430000000001E-2</v>
      </c>
      <c r="N6184">
        <v>-2.6008509999999999E-3</v>
      </c>
      <c r="O6184">
        <v>0.99699280000000001</v>
      </c>
      <c r="P6184">
        <v>-0.1021526</v>
      </c>
      <c r="Q6184">
        <v>-1.8396590000000001E-2</v>
      </c>
      <c r="R6184">
        <v>0.9945986</v>
      </c>
      <c r="S6184">
        <v>-0.1156464</v>
      </c>
      <c r="T6184">
        <v>-8.0219509999999994E-2</v>
      </c>
      <c r="U6184">
        <v>3.0027159999999999</v>
      </c>
      <c r="V6184">
        <v>-0.17878379999999999</v>
      </c>
      <c r="W6184">
        <v>-1.6869060000000002E-2</v>
      </c>
      <c r="X6184">
        <v>0.98374379999999995</v>
      </c>
      <c r="Y6184">
        <v>-0.11574760000000001</v>
      </c>
      <c r="Z6184">
        <v>-2.3882279999999999E-2</v>
      </c>
      <c r="AA6184">
        <v>0.99299150000000003</v>
      </c>
      <c r="AB6184">
        <v>36</v>
      </c>
      <c r="AC6184">
        <v>-1.62739999999999</v>
      </c>
      <c r="AD6184">
        <v>-1.1104872809639901</v>
      </c>
      <c r="AE6184">
        <v>41.217750000000002</v>
      </c>
      <c r="AF6184">
        <v>-4.8113678947735199</v>
      </c>
      <c r="AG6184">
        <v>-1.1104872809639901</v>
      </c>
      <c r="AH6184">
        <v>40.938226627700701</v>
      </c>
      <c r="AI6184">
        <v>91.543203829123499</v>
      </c>
      <c r="AJ6184">
        <v>96.703080657998498</v>
      </c>
      <c r="AK6184">
        <v>41.2349468587147</v>
      </c>
      <c r="AL6184">
        <v>90.966571751252701</v>
      </c>
      <c r="AM6184">
        <v>100.30040888062101</v>
      </c>
      <c r="AN6184">
        <v>1.00000003818308</v>
      </c>
    </row>
    <row r="6185" spans="1:40" x14ac:dyDescent="0.25">
      <c r="A6185" t="str">
        <f>"20190305135947532"</f>
        <v>20190305135947532</v>
      </c>
      <c r="B6185" t="str">
        <f>"1551765587525187"</f>
        <v>1551765587525187</v>
      </c>
      <c r="C6185" t="s">
        <v>40</v>
      </c>
      <c r="D6185">
        <v>4.0317059999999998</v>
      </c>
      <c r="E6185">
        <v>0.52334519999999995</v>
      </c>
      <c r="F6185" t="s">
        <v>42</v>
      </c>
      <c r="G6185">
        <v>-190.13640000000001</v>
      </c>
      <c r="H6185" s="1">
        <v>-7.0176139999999995E-7</v>
      </c>
      <c r="I6185">
        <v>21.140339999999998</v>
      </c>
      <c r="J6185">
        <v>-188.49209999999999</v>
      </c>
      <c r="K6185">
        <v>1.1103240000000001</v>
      </c>
      <c r="L6185">
        <v>-18.321380000000001</v>
      </c>
      <c r="M6185">
        <v>7.4971469999999998E-2</v>
      </c>
      <c r="N6185">
        <v>-2.5943659999999999E-3</v>
      </c>
      <c r="O6185">
        <v>0.99718229999999997</v>
      </c>
      <c r="P6185">
        <v>-0.1035025</v>
      </c>
      <c r="Q6185">
        <v>-1.7784540000000001E-2</v>
      </c>
      <c r="R6185">
        <v>0.99447019999999997</v>
      </c>
      <c r="S6185">
        <v>-0.1215363</v>
      </c>
      <c r="T6185">
        <v>-8.3608870000000002E-2</v>
      </c>
      <c r="U6185">
        <v>3.0022579999999999</v>
      </c>
      <c r="V6185">
        <v>-0.1776838</v>
      </c>
      <c r="W6185">
        <v>-1.6188850000000001E-2</v>
      </c>
      <c r="X6185">
        <v>0.98395449999999995</v>
      </c>
      <c r="Y6185">
        <v>-0.1152277</v>
      </c>
      <c r="Z6185">
        <v>-2.501888E-2</v>
      </c>
      <c r="AA6185">
        <v>0.99302400000000002</v>
      </c>
      <c r="AB6185">
        <v>36</v>
      </c>
      <c r="AC6185">
        <v>-1.6443000000000101</v>
      </c>
      <c r="AD6185">
        <v>-1.1103247017614</v>
      </c>
      <c r="AE6185">
        <v>39.46172</v>
      </c>
      <c r="AF6185">
        <v>-4.5945544090064496</v>
      </c>
      <c r="AG6185">
        <v>-1.1103247017614</v>
      </c>
      <c r="AH6185">
        <v>39.196408197438302</v>
      </c>
      <c r="AI6185">
        <v>91.611567386357393</v>
      </c>
      <c r="AJ6185">
        <v>96.685630967312903</v>
      </c>
      <c r="AK6185">
        <v>39.4803896477843</v>
      </c>
      <c r="AL6185">
        <v>90.927593267941802</v>
      </c>
      <c r="AM6185">
        <v>100.236232208844</v>
      </c>
      <c r="AN6185">
        <v>1.0000000348585001</v>
      </c>
    </row>
    <row r="6186" spans="1:40" x14ac:dyDescent="0.25">
      <c r="A6186" t="str">
        <f>"20190305135947554"</f>
        <v>20190305135947554</v>
      </c>
      <c r="B6186" t="str">
        <f>"1551765587544707"</f>
        <v>1551765587544707</v>
      </c>
      <c r="C6186" t="s">
        <v>40</v>
      </c>
      <c r="D6186">
        <v>4.0598999999999998</v>
      </c>
      <c r="E6186">
        <v>0.52358629999999995</v>
      </c>
      <c r="F6186" t="s">
        <v>42</v>
      </c>
      <c r="G6186">
        <v>-190.4812</v>
      </c>
      <c r="H6186" s="1">
        <v>-3.30126E-7</v>
      </c>
      <c r="I6186">
        <v>30.060189999999999</v>
      </c>
      <c r="J6186">
        <v>-188.46709999999999</v>
      </c>
      <c r="K6186">
        <v>1.1101559999999999</v>
      </c>
      <c r="L6186">
        <v>-17.9682</v>
      </c>
      <c r="M6186">
        <v>7.3109850000000004E-2</v>
      </c>
      <c r="N6186">
        <v>-2.5908960000000001E-3</v>
      </c>
      <c r="O6186">
        <v>0.99732050000000005</v>
      </c>
      <c r="P6186">
        <v>-0.1033486</v>
      </c>
      <c r="Q6186">
        <v>-1.738673E-2</v>
      </c>
      <c r="R6186">
        <v>0.99449319999999997</v>
      </c>
      <c r="S6186">
        <v>-0.1234436</v>
      </c>
      <c r="T6186">
        <v>-6.8907499999999997E-2</v>
      </c>
      <c r="U6186">
        <v>3.0025940000000002</v>
      </c>
      <c r="V6186">
        <v>-0.17570339999999901</v>
      </c>
      <c r="W6186">
        <v>-1.571469E-2</v>
      </c>
      <c r="X6186">
        <v>0.98431769999999996</v>
      </c>
      <c r="Y6186">
        <v>-0.11400390000000001</v>
      </c>
      <c r="Z6186">
        <v>-2.0172550000000001E-2</v>
      </c>
      <c r="AA6186">
        <v>0.99327549999999998</v>
      </c>
      <c r="AB6186">
        <v>36</v>
      </c>
      <c r="AC6186">
        <v>-2.0141000000000102</v>
      </c>
      <c r="AD6186">
        <v>-1.110156330126</v>
      </c>
      <c r="AE6186">
        <v>48.028390000000002</v>
      </c>
      <c r="AF6186">
        <v>-5.51712775475991</v>
      </c>
      <c r="AG6186">
        <v>-1.110156330126</v>
      </c>
      <c r="AH6186">
        <v>47.727153933021697</v>
      </c>
      <c r="AI6186">
        <v>91.323675400669401</v>
      </c>
      <c r="AJ6186">
        <v>96.593967372043096</v>
      </c>
      <c r="AK6186">
        <v>48.057802366379697</v>
      </c>
      <c r="AL6186">
        <v>90.900422489213895</v>
      </c>
      <c r="AM6186">
        <v>100.12085729746001</v>
      </c>
      <c r="AN6186">
        <v>0.99999998539332202</v>
      </c>
    </row>
    <row r="6187" spans="1:40" x14ac:dyDescent="0.25">
      <c r="A6187" t="str">
        <f>"20190305135947574"</f>
        <v>20190305135947574</v>
      </c>
      <c r="B6187" t="str">
        <f>"1551765587565203"</f>
        <v>1551765587565203</v>
      </c>
      <c r="C6187" t="s">
        <v>40</v>
      </c>
      <c r="D6187">
        <v>4.0373580000000002</v>
      </c>
      <c r="E6187">
        <v>0.52369849999999996</v>
      </c>
      <c r="F6187" t="s">
        <v>42</v>
      </c>
      <c r="G6187">
        <v>-190.5592</v>
      </c>
      <c r="H6187" s="1">
        <v>-1.9789260000000001E-6</v>
      </c>
      <c r="I6187">
        <v>33.855170000000001</v>
      </c>
      <c r="J6187">
        <v>-188.44370000000001</v>
      </c>
      <c r="K6187">
        <v>1.1099889999999999</v>
      </c>
      <c r="L6187">
        <v>-17.6326</v>
      </c>
      <c r="M6187">
        <v>7.1571040000000002E-2</v>
      </c>
      <c r="N6187">
        <v>-2.5896040000000001E-3</v>
      </c>
      <c r="O6187">
        <v>0.99743219999999999</v>
      </c>
      <c r="P6187">
        <v>-0.1026792</v>
      </c>
      <c r="Q6187">
        <v>-1.764027E-2</v>
      </c>
      <c r="R6187">
        <v>0.9945581</v>
      </c>
      <c r="S6187">
        <v>-0.12123109999999999</v>
      </c>
      <c r="T6187">
        <v>-6.4327960000000003E-2</v>
      </c>
      <c r="U6187">
        <v>3.0028990000000002</v>
      </c>
      <c r="V6187">
        <v>-0.1735265</v>
      </c>
      <c r="W6187">
        <v>-1.5886589999999999E-2</v>
      </c>
      <c r="X6187">
        <v>0.98470100000000005</v>
      </c>
      <c r="Y6187">
        <v>-0.1117375</v>
      </c>
      <c r="Z6187">
        <v>-1.866607E-2</v>
      </c>
      <c r="AA6187">
        <v>0.99356250000000002</v>
      </c>
      <c r="AB6187">
        <v>36</v>
      </c>
      <c r="AC6187">
        <v>-2.1154999999999902</v>
      </c>
      <c r="AD6187">
        <v>-1.1099909789259901</v>
      </c>
      <c r="AE6187">
        <v>51.487769999999998</v>
      </c>
      <c r="AF6187">
        <v>-5.7924326016438501</v>
      </c>
      <c r="AG6187">
        <v>-1.1099909789259901</v>
      </c>
      <c r="AH6187">
        <v>51.180573251464601</v>
      </c>
      <c r="AI6187">
        <v>91.234542272802699</v>
      </c>
      <c r="AJ6187">
        <v>96.457053879095</v>
      </c>
      <c r="AK6187">
        <v>51.519272449894103</v>
      </c>
      <c r="AL6187">
        <v>90.910272900638404</v>
      </c>
      <c r="AM6187">
        <v>99.994195683479305</v>
      </c>
      <c r="AN6187">
        <v>0.99999994467253694</v>
      </c>
    </row>
    <row r="6188" spans="1:40" x14ac:dyDescent="0.25">
      <c r="A6188" t="str">
        <f>"20190305135947597"</f>
        <v>20190305135947597</v>
      </c>
      <c r="B6188" t="str">
        <f>"1551765587584726"</f>
        <v>1551765587584726</v>
      </c>
      <c r="C6188" t="s">
        <v>40</v>
      </c>
      <c r="D6188">
        <v>4.0667499999999999</v>
      </c>
      <c r="E6188">
        <v>0.52369109999999996</v>
      </c>
      <c r="F6188" t="s">
        <v>42</v>
      </c>
      <c r="G6188">
        <v>-190.5384</v>
      </c>
      <c r="H6188" s="1">
        <v>-2.6523239999999998E-6</v>
      </c>
      <c r="I6188">
        <v>35.437820000000002</v>
      </c>
      <c r="J6188">
        <v>-188.4188</v>
      </c>
      <c r="K6188">
        <v>1.1097809999999999</v>
      </c>
      <c r="L6188">
        <v>-17.269200000000001</v>
      </c>
      <c r="M6188">
        <v>7.0144299999999896E-2</v>
      </c>
      <c r="N6188">
        <v>-2.5903390000000001E-3</v>
      </c>
      <c r="O6188">
        <v>0.99753349999999996</v>
      </c>
      <c r="P6188">
        <v>-0.1022486</v>
      </c>
      <c r="Q6188">
        <v>-1.717542E-2</v>
      </c>
      <c r="R6188">
        <v>0.99461060000000001</v>
      </c>
      <c r="S6188">
        <v>-0.11853030000000001</v>
      </c>
      <c r="T6188">
        <v>-6.2810179999999993E-2</v>
      </c>
      <c r="U6188">
        <v>3.0030519999999998</v>
      </c>
      <c r="V6188">
        <v>-0.17170170000000001</v>
      </c>
      <c r="W6188">
        <v>-1.5332139999999999E-2</v>
      </c>
      <c r="X6188">
        <v>0.98502970000000001</v>
      </c>
      <c r="Y6188">
        <v>-0.1094222</v>
      </c>
      <c r="Z6188">
        <v>-1.8169290000000001E-2</v>
      </c>
      <c r="AA6188">
        <v>0.99382930000000003</v>
      </c>
      <c r="AB6188">
        <v>36</v>
      </c>
      <c r="AC6188">
        <v>-2.1195999999999899</v>
      </c>
      <c r="AD6188">
        <v>-1.1097836523239999</v>
      </c>
      <c r="AE6188">
        <v>52.707019999999901</v>
      </c>
      <c r="AF6188">
        <v>-5.8089172955401098</v>
      </c>
      <c r="AG6188">
        <v>-1.1097836523239999</v>
      </c>
      <c r="AH6188">
        <v>52.405319732484998</v>
      </c>
      <c r="AI6188">
        <v>91.205784417841002</v>
      </c>
      <c r="AJ6188">
        <v>96.325183804996897</v>
      </c>
      <c r="AK6188">
        <v>52.737962381621998</v>
      </c>
      <c r="AL6188">
        <v>90.8785013085174</v>
      </c>
      <c r="AM6188">
        <v>99.887947901329596</v>
      </c>
      <c r="AN6188">
        <v>1.0000000290909701</v>
      </c>
    </row>
    <row r="6189" spans="1:40" x14ac:dyDescent="0.25">
      <c r="A6189" t="str">
        <f>"20190305135947618"</f>
        <v>20190305135947618</v>
      </c>
      <c r="B6189" t="str">
        <f>"1551765587614979"</f>
        <v>1551765587614979</v>
      </c>
      <c r="C6189" t="s">
        <v>40</v>
      </c>
      <c r="D6189">
        <v>4.0832639999999998</v>
      </c>
      <c r="E6189">
        <v>0.52351590000000003</v>
      </c>
      <c r="F6189" t="s">
        <v>42</v>
      </c>
      <c r="G6189">
        <v>-190.38399999999999</v>
      </c>
      <c r="H6189" s="1">
        <v>-1.62989E-6</v>
      </c>
      <c r="I6189">
        <v>33.15025</v>
      </c>
      <c r="J6189">
        <v>-188.39529999999999</v>
      </c>
      <c r="K6189">
        <v>1.1095889999999999</v>
      </c>
      <c r="L6189">
        <v>-16.92221</v>
      </c>
      <c r="M6189">
        <v>6.9008810000000004E-2</v>
      </c>
      <c r="N6189">
        <v>-2.5929550000000001E-3</v>
      </c>
      <c r="O6189">
        <v>0.99761270000000002</v>
      </c>
      <c r="P6189">
        <v>-0.1022532</v>
      </c>
      <c r="Q6189">
        <v>-1.7897449999999999E-2</v>
      </c>
      <c r="R6189">
        <v>0.99459739999999996</v>
      </c>
      <c r="S6189">
        <v>-0.11705019999999999</v>
      </c>
      <c r="T6189">
        <v>-6.6100839999999994E-2</v>
      </c>
      <c r="U6189">
        <v>3.003082</v>
      </c>
      <c r="V6189">
        <v>-0.17058809999999999</v>
      </c>
      <c r="W6189">
        <v>-1.5971869999999999E-2</v>
      </c>
      <c r="X6189">
        <v>0.98521300000000001</v>
      </c>
      <c r="Y6189">
        <v>-0.1078002</v>
      </c>
      <c r="Z6189">
        <v>-1.925864E-2</v>
      </c>
      <c r="AA6189">
        <v>0.99398600000000004</v>
      </c>
      <c r="AB6189">
        <v>37</v>
      </c>
      <c r="AC6189">
        <v>-1.9887000000000199</v>
      </c>
      <c r="AD6189">
        <v>-1.10959062989</v>
      </c>
      <c r="AE6189">
        <v>50.07246</v>
      </c>
      <c r="AF6189">
        <v>-5.4367459142386796</v>
      </c>
      <c r="AG6189">
        <v>-1.10959062989</v>
      </c>
      <c r="AH6189">
        <v>49.791439012867002</v>
      </c>
      <c r="AI6189">
        <v>91.269071441331405</v>
      </c>
      <c r="AJ6189">
        <v>96.231460974845305</v>
      </c>
      <c r="AK6189">
        <v>50.099668626388997</v>
      </c>
      <c r="AL6189">
        <v>90.915159628815104</v>
      </c>
      <c r="AM6189">
        <v>99.823279369895303</v>
      </c>
      <c r="AN6189">
        <v>1.00000002793095</v>
      </c>
    </row>
    <row r="6190" spans="1:40" x14ac:dyDescent="0.25">
      <c r="A6190" t="str">
        <f>"20190305135947641"</f>
        <v>20190305135947641</v>
      </c>
      <c r="B6190" t="str">
        <f>"1551765587635474"</f>
        <v>1551765587635474</v>
      </c>
      <c r="C6190" t="s">
        <v>40</v>
      </c>
      <c r="D6190">
        <v>4.0525799999999998</v>
      </c>
      <c r="E6190">
        <v>0.5235417</v>
      </c>
      <c r="F6190" t="s">
        <v>42</v>
      </c>
      <c r="G6190">
        <v>-190.27690000000001</v>
      </c>
      <c r="H6190" s="1">
        <v>-6.0657649999999897E-7</v>
      </c>
      <c r="I6190">
        <v>30.831320000000002</v>
      </c>
      <c r="J6190">
        <v>-188.37090000000001</v>
      </c>
      <c r="K6190">
        <v>1.1093999999999999</v>
      </c>
      <c r="L6190">
        <v>-16.556370000000001</v>
      </c>
      <c r="M6190">
        <v>6.8023529999999999E-2</v>
      </c>
      <c r="N6190">
        <v>-2.5975460000000001E-3</v>
      </c>
      <c r="O6190">
        <v>0.99768029999999996</v>
      </c>
      <c r="P6190">
        <v>-0.1023423</v>
      </c>
      <c r="Q6190">
        <v>-1.998772E-2</v>
      </c>
      <c r="R6190">
        <v>0.9945484</v>
      </c>
      <c r="S6190">
        <v>-0.1183167</v>
      </c>
      <c r="T6190">
        <v>-6.9773909999999995E-2</v>
      </c>
      <c r="U6190">
        <v>3.002869</v>
      </c>
      <c r="V6190">
        <v>-0.1697004</v>
      </c>
      <c r="W6190">
        <v>-1.7981150000000001E-2</v>
      </c>
      <c r="X6190">
        <v>0.98533170000000003</v>
      </c>
      <c r="Y6190">
        <v>-0.1072386</v>
      </c>
      <c r="Z6190">
        <v>-2.047241E-2</v>
      </c>
      <c r="AA6190">
        <v>0.99402250000000003</v>
      </c>
      <c r="AB6190">
        <v>37</v>
      </c>
      <c r="AC6190">
        <v>-1.9059999999999999</v>
      </c>
      <c r="AD6190">
        <v>-1.1094006065765001</v>
      </c>
      <c r="AE6190">
        <v>47.387689999999999</v>
      </c>
      <c r="AF6190">
        <v>-5.1222711850758804</v>
      </c>
      <c r="AG6190">
        <v>-1.1094006065765001</v>
      </c>
      <c r="AH6190">
        <v>47.122487381061099</v>
      </c>
      <c r="AI6190">
        <v>91.340765359253496</v>
      </c>
      <c r="AJ6190">
        <v>96.2037623690224</v>
      </c>
      <c r="AK6190">
        <v>47.413049351181698</v>
      </c>
      <c r="AL6190">
        <v>91.030299475697106</v>
      </c>
      <c r="AM6190">
        <v>99.771994988945394</v>
      </c>
      <c r="AN6190">
        <v>1.00000005327018</v>
      </c>
    </row>
    <row r="6191" spans="1:40" x14ac:dyDescent="0.25">
      <c r="A6191" t="str">
        <f>"20190305135947663"</f>
        <v>20190305135947663</v>
      </c>
      <c r="B6191" t="str">
        <f>"1551765587654995"</f>
        <v>1551765587654995</v>
      </c>
      <c r="C6191" t="s">
        <v>40</v>
      </c>
      <c r="D6191">
        <v>4.0714240000000004</v>
      </c>
      <c r="E6191">
        <v>0.52363510000000002</v>
      </c>
      <c r="F6191" t="s">
        <v>42</v>
      </c>
      <c r="G6191">
        <v>-190.08</v>
      </c>
      <c r="H6191" s="1">
        <v>-3.135681E-6</v>
      </c>
      <c r="I6191">
        <v>26.84881</v>
      </c>
      <c r="J6191">
        <v>-188.34569999999999</v>
      </c>
      <c r="K6191">
        <v>1.1092229999999901</v>
      </c>
      <c r="L6191">
        <v>-16.176389999999898</v>
      </c>
      <c r="M6191">
        <v>6.7167240000000003E-2</v>
      </c>
      <c r="N6191">
        <v>-2.6037690000000001E-3</v>
      </c>
      <c r="O6191">
        <v>0.99773840000000003</v>
      </c>
      <c r="P6191">
        <v>-0.10278089999999999</v>
      </c>
      <c r="Q6191">
        <v>-2.2337570000000001E-2</v>
      </c>
      <c r="R6191">
        <v>0.99445320000000004</v>
      </c>
      <c r="S6191">
        <v>-0.1182404</v>
      </c>
      <c r="T6191">
        <v>-7.6747889999999999E-2</v>
      </c>
      <c r="U6191">
        <v>3.0027469999999998</v>
      </c>
      <c r="V6191">
        <v>-0.16928660000000001</v>
      </c>
      <c r="W6191">
        <v>-2.025826E-2</v>
      </c>
      <c r="X6191">
        <v>0.98535870000000003</v>
      </c>
      <c r="Y6191">
        <v>-0.1063593</v>
      </c>
      <c r="Z6191">
        <v>-2.277556E-2</v>
      </c>
      <c r="AA6191">
        <v>0.99406689999999998</v>
      </c>
      <c r="AB6191">
        <v>37</v>
      </c>
      <c r="AC6191">
        <v>-1.7343000000000099</v>
      </c>
      <c r="AD6191">
        <v>-1.10922613568099</v>
      </c>
      <c r="AE6191">
        <v>43.025199999999998</v>
      </c>
      <c r="AF6191">
        <v>-4.61721313487896</v>
      </c>
      <c r="AG6191">
        <v>-1.10922613568099</v>
      </c>
      <c r="AH6191">
        <v>42.783158559661601</v>
      </c>
      <c r="AI6191">
        <v>91.476587612533606</v>
      </c>
      <c r="AJ6191">
        <v>96.159593951991297</v>
      </c>
      <c r="AK6191">
        <v>43.045878967609902</v>
      </c>
      <c r="AL6191">
        <v>91.160792136814393</v>
      </c>
      <c r="AM6191">
        <v>99.748362574045501</v>
      </c>
      <c r="AN6191">
        <v>1.0000000588517299</v>
      </c>
    </row>
    <row r="6192" spans="1:40" x14ac:dyDescent="0.25">
      <c r="A6192" t="str">
        <f>"20190305135947686"</f>
        <v>20190305135947686</v>
      </c>
      <c r="B6192" t="str">
        <f>"1551765587675490"</f>
        <v>1551765587675490</v>
      </c>
      <c r="C6192" t="s">
        <v>40</v>
      </c>
      <c r="D6192">
        <v>3.9778889999999998</v>
      </c>
      <c r="E6192">
        <v>0.52381979999999995</v>
      </c>
      <c r="F6192" t="s">
        <v>42</v>
      </c>
      <c r="G6192">
        <v>-189.91990000000001</v>
      </c>
      <c r="H6192" s="1">
        <v>-1.7245179999999901E-6</v>
      </c>
      <c r="I6192">
        <v>23.61955</v>
      </c>
      <c r="J6192">
        <v>-188.32149999999999</v>
      </c>
      <c r="K6192">
        <v>1.1090739999999999</v>
      </c>
      <c r="L6192">
        <v>-15.80728</v>
      </c>
      <c r="M6192">
        <v>6.6458989999999996E-2</v>
      </c>
      <c r="N6192">
        <v>-2.6110420000000001E-3</v>
      </c>
      <c r="O6192">
        <v>0.9977857</v>
      </c>
      <c r="P6192">
        <v>-0.10394050000000001</v>
      </c>
      <c r="Q6192">
        <v>-2.418203E-2</v>
      </c>
      <c r="R6192">
        <v>0.99428950000000005</v>
      </c>
      <c r="S6192">
        <v>-0.1187744</v>
      </c>
      <c r="T6192">
        <v>-8.3690760000000003E-2</v>
      </c>
      <c r="U6192">
        <v>3.0025940000000002</v>
      </c>
      <c r="V6192">
        <v>-0.16973450000000001</v>
      </c>
      <c r="W6192">
        <v>-2.2043509999999999E-2</v>
      </c>
      <c r="X6192">
        <v>0.98524330000000004</v>
      </c>
      <c r="Y6192">
        <v>-0.10582950000000001</v>
      </c>
      <c r="Z6192">
        <v>-2.5066959999999999E-2</v>
      </c>
      <c r="AA6192">
        <v>0.99406830000000002</v>
      </c>
      <c r="AB6192">
        <v>37</v>
      </c>
      <c r="AC6192">
        <v>-1.59840000000002</v>
      </c>
      <c r="AD6192">
        <v>-1.1090757245180001</v>
      </c>
      <c r="AE6192">
        <v>39.426830000000002</v>
      </c>
      <c r="AF6192">
        <v>-4.2118151832506303</v>
      </c>
      <c r="AG6192">
        <v>-1.1090757245180001</v>
      </c>
      <c r="AH6192">
        <v>39.202464635315202</v>
      </c>
      <c r="AI6192">
        <v>91.611253298265098</v>
      </c>
      <c r="AJ6192">
        <v>96.132193802504901</v>
      </c>
      <c r="AK6192">
        <v>39.443664505009103</v>
      </c>
      <c r="AL6192">
        <v>91.263102347773298</v>
      </c>
      <c r="AM6192">
        <v>99.774780766756194</v>
      </c>
      <c r="AN6192">
        <v>1.0000000385091199</v>
      </c>
    </row>
    <row r="6193" spans="1:40" x14ac:dyDescent="0.25">
      <c r="A6193" t="str">
        <f>"20190305135947707"</f>
        <v>20190305135947707</v>
      </c>
      <c r="B6193" t="str">
        <f>"1551765587704771"</f>
        <v>1551765587704771</v>
      </c>
      <c r="C6193" t="s">
        <v>40</v>
      </c>
      <c r="D6193">
        <v>3.8787349999999998</v>
      </c>
      <c r="E6193">
        <v>0.52395340000000001</v>
      </c>
      <c r="F6193" t="s">
        <v>42</v>
      </c>
      <c r="G6193">
        <v>-189.82480000000001</v>
      </c>
      <c r="H6193" s="1">
        <v>-8.5988859999999996E-7</v>
      </c>
      <c r="I6193">
        <v>21.56474</v>
      </c>
      <c r="J6193">
        <v>-188.29730000000001</v>
      </c>
      <c r="K6193">
        <v>1.1089500000000001</v>
      </c>
      <c r="L6193">
        <v>-15.43576</v>
      </c>
      <c r="M6193">
        <v>6.5836790000000006E-2</v>
      </c>
      <c r="N6193">
        <v>-2.6194500000000002E-3</v>
      </c>
      <c r="O6193">
        <v>0.99782700000000002</v>
      </c>
      <c r="P6193">
        <v>-0.10521229999999999</v>
      </c>
      <c r="Q6193">
        <v>-2.630509E-2</v>
      </c>
      <c r="R6193">
        <v>0.99410180000000004</v>
      </c>
      <c r="S6193">
        <v>-0.1207733</v>
      </c>
      <c r="T6193">
        <v>-8.9102269999999997E-2</v>
      </c>
      <c r="U6193">
        <v>3.0024410000000001</v>
      </c>
      <c r="V6193">
        <v>-0.170378</v>
      </c>
      <c r="W6193">
        <v>-2.41152E-2</v>
      </c>
      <c r="X6193">
        <v>0.98508359999999995</v>
      </c>
      <c r="Y6193">
        <v>-0.10587009999999999</v>
      </c>
      <c r="Z6193">
        <v>-2.6849850000000001E-2</v>
      </c>
      <c r="AA6193">
        <v>0.99401740000000005</v>
      </c>
      <c r="AB6193">
        <v>37</v>
      </c>
      <c r="AC6193">
        <v>-1.5275000000000001</v>
      </c>
      <c r="AD6193">
        <v>-1.1089508598886</v>
      </c>
      <c r="AE6193">
        <v>37.000500000000002</v>
      </c>
      <c r="AF6193">
        <v>-3.956640241139</v>
      </c>
      <c r="AG6193">
        <v>-1.1089508598886</v>
      </c>
      <c r="AH6193">
        <v>36.786668983672499</v>
      </c>
      <c r="AI6193">
        <v>91.716788713334395</v>
      </c>
      <c r="AJ6193">
        <v>96.138925664425997</v>
      </c>
      <c r="AK6193">
        <v>37.015453379929497</v>
      </c>
      <c r="AL6193">
        <v>91.381833202550197</v>
      </c>
      <c r="AM6193">
        <v>99.8126798485618</v>
      </c>
      <c r="AN6193">
        <v>0.99999995237199801</v>
      </c>
    </row>
    <row r="6194" spans="1:40" x14ac:dyDescent="0.25">
      <c r="A6194" t="str">
        <f>"20190305135947734"</f>
        <v>20190305135947734</v>
      </c>
      <c r="B6194" t="str">
        <f>"1551765587725267"</f>
        <v>1551765587725267</v>
      </c>
      <c r="C6194" t="s">
        <v>40</v>
      </c>
      <c r="D6194">
        <v>3.9446099999999999</v>
      </c>
      <c r="E6194">
        <v>0.52391279999999996</v>
      </c>
      <c r="F6194" t="s">
        <v>42</v>
      </c>
      <c r="G6194">
        <v>-189.72800000000001</v>
      </c>
      <c r="H6194" s="1">
        <v>-4.2131450000000001E-6</v>
      </c>
      <c r="I6194">
        <v>19.341229999999999</v>
      </c>
      <c r="J6194">
        <v>-188.27</v>
      </c>
      <c r="K6194">
        <v>1.1088279999999999</v>
      </c>
      <c r="L6194">
        <v>-15.01239</v>
      </c>
      <c r="M6194">
        <v>6.5199430000000003E-2</v>
      </c>
      <c r="N6194">
        <v>-2.6300669999999998E-3</v>
      </c>
      <c r="O6194">
        <v>0.9978688</v>
      </c>
      <c r="P6194">
        <v>-0.1059056</v>
      </c>
      <c r="Q6194">
        <v>-2.7206419999999999E-2</v>
      </c>
      <c r="R6194">
        <v>0.994004</v>
      </c>
      <c r="S6194">
        <v>-0.12350460000000001</v>
      </c>
      <c r="T6194">
        <v>-9.5732810000000002E-2</v>
      </c>
      <c r="U6194">
        <v>3.0021969999999998</v>
      </c>
      <c r="V6194">
        <v>-0.1704388</v>
      </c>
      <c r="W6194">
        <v>-2.4964529999999999E-2</v>
      </c>
      <c r="X6194">
        <v>0.98505200000000004</v>
      </c>
      <c r="Y6194">
        <v>-0.1061382</v>
      </c>
      <c r="Z6194">
        <v>-2.9033860000000002E-2</v>
      </c>
      <c r="AA6194">
        <v>0.99392740000000002</v>
      </c>
      <c r="AB6194">
        <v>38</v>
      </c>
      <c r="AC6194">
        <v>-1.45799999999997</v>
      </c>
      <c r="AD6194">
        <v>-1.1088322131449999</v>
      </c>
      <c r="AE6194">
        <v>34.353619999999999</v>
      </c>
      <c r="AF6194">
        <v>-3.6909035954407301</v>
      </c>
      <c r="AG6194">
        <v>-1.1088322131449999</v>
      </c>
      <c r="AH6194">
        <v>34.149948967841603</v>
      </c>
      <c r="AI6194">
        <v>91.848952650904806</v>
      </c>
      <c r="AJ6194">
        <v>96.168545259971907</v>
      </c>
      <c r="AK6194">
        <v>34.366717805660997</v>
      </c>
      <c r="AL6194">
        <v>91.430510782430204</v>
      </c>
      <c r="AM6194">
        <v>99.816422201164102</v>
      </c>
      <c r="AN6194">
        <v>1.0000000275037799</v>
      </c>
    </row>
    <row r="6195" spans="1:40" x14ac:dyDescent="0.25">
      <c r="A6195" t="str">
        <f>"20190305135947764"</f>
        <v>20190305135947764</v>
      </c>
      <c r="B6195" t="str">
        <f>"1551765587755523"</f>
        <v>1551765587755523</v>
      </c>
      <c r="C6195" t="s">
        <v>40</v>
      </c>
      <c r="D6195">
        <v>3.9233359999999999</v>
      </c>
      <c r="E6195">
        <v>0.52390839999999905</v>
      </c>
      <c r="F6195" t="s">
        <v>42</v>
      </c>
      <c r="G6195">
        <v>-189.67250000000001</v>
      </c>
      <c r="H6195" s="1">
        <v>-3.8323359999999999E-6</v>
      </c>
      <c r="I6195">
        <v>18.43064</v>
      </c>
      <c r="J6195">
        <v>-188.23609999999999</v>
      </c>
      <c r="K6195">
        <v>1.108719</v>
      </c>
      <c r="L6195">
        <v>-14.48352</v>
      </c>
      <c r="M6195">
        <v>6.4463060000000003E-2</v>
      </c>
      <c r="N6195">
        <v>-2.6447649999999999E-3</v>
      </c>
      <c r="O6195">
        <v>0.99791660000000004</v>
      </c>
      <c r="P6195">
        <v>-0.106045899999999</v>
      </c>
      <c r="Q6195">
        <v>-2.7870619999999999E-2</v>
      </c>
      <c r="R6195">
        <v>0.99397060000000004</v>
      </c>
      <c r="S6195">
        <v>-0.12590029999999999</v>
      </c>
      <c r="T6195">
        <v>-9.9532250000000003E-2</v>
      </c>
      <c r="U6195">
        <v>3.0019529999999999</v>
      </c>
      <c r="V6195">
        <v>-0.16985420000000001</v>
      </c>
      <c r="W6195">
        <v>-2.557297E-2</v>
      </c>
      <c r="X6195">
        <v>0.98513729999999999</v>
      </c>
      <c r="Y6195">
        <v>-0.10619779999999999</v>
      </c>
      <c r="Z6195">
        <v>-3.027904E-2</v>
      </c>
      <c r="AA6195">
        <v>0.99388390000000004</v>
      </c>
      <c r="AB6195">
        <v>38</v>
      </c>
      <c r="AC6195">
        <v>-1.4364000000000201</v>
      </c>
      <c r="AD6195">
        <v>-1.1087228323360001</v>
      </c>
      <c r="AE6195">
        <v>32.914159999999903</v>
      </c>
      <c r="AF6195">
        <v>-3.5511454515655201</v>
      </c>
      <c r="AG6195">
        <v>-1.1087228323360001</v>
      </c>
      <c r="AH6195">
        <v>32.7160538130235</v>
      </c>
      <c r="AI6195">
        <v>91.929643208128695</v>
      </c>
      <c r="AJ6195">
        <v>96.194884609348605</v>
      </c>
      <c r="AK6195">
        <v>32.926889884010798</v>
      </c>
      <c r="AL6195">
        <v>91.465383055601194</v>
      </c>
      <c r="AM6195">
        <v>99.7825731643795</v>
      </c>
      <c r="AN6195">
        <v>0.99999996295177396</v>
      </c>
    </row>
    <row r="6196" spans="1:40" x14ac:dyDescent="0.25">
      <c r="A6196" t="str">
        <f>"20190305135947797"</f>
        <v>20190305135947797</v>
      </c>
      <c r="B6196" t="str">
        <f>"1551765587784806"</f>
        <v>1551765587784806</v>
      </c>
      <c r="C6196" t="s">
        <v>40</v>
      </c>
      <c r="D6196">
        <v>3.9285450000000002</v>
      </c>
      <c r="E6196">
        <v>0.52393909999999999</v>
      </c>
      <c r="F6196" t="s">
        <v>42</v>
      </c>
      <c r="G6196">
        <v>-189.62540000000001</v>
      </c>
      <c r="H6196" s="1">
        <v>-3.8617660000000004E-6</v>
      </c>
      <c r="I6196">
        <v>18.47973</v>
      </c>
      <c r="J6196">
        <v>-188.20060000000001</v>
      </c>
      <c r="K6196">
        <v>1.108627</v>
      </c>
      <c r="L6196">
        <v>-13.921810000000001</v>
      </c>
      <c r="M6196">
        <v>6.3712249999999998E-2</v>
      </c>
      <c r="N6196">
        <v>-2.6618810000000001E-3</v>
      </c>
      <c r="O6196">
        <v>0.99796470000000004</v>
      </c>
      <c r="P6196">
        <v>-0.10429769999999899</v>
      </c>
      <c r="Q6196">
        <v>-3.048756E-2</v>
      </c>
      <c r="R6196">
        <v>0.99407869999999998</v>
      </c>
      <c r="S6196">
        <v>-0.1265106</v>
      </c>
      <c r="T6196">
        <v>-0.100968</v>
      </c>
      <c r="U6196">
        <v>3.001862</v>
      </c>
      <c r="V6196">
        <v>-0.16737539999999901</v>
      </c>
      <c r="W6196">
        <v>-2.8136749999999999E-2</v>
      </c>
      <c r="X6196">
        <v>0.98549160000000002</v>
      </c>
      <c r="Y6196">
        <v>-0.105652</v>
      </c>
      <c r="Z6196">
        <v>-3.0740679999999999E-2</v>
      </c>
      <c r="AA6196">
        <v>0.99392789999999998</v>
      </c>
      <c r="AB6196">
        <v>38</v>
      </c>
      <c r="AC6196">
        <v>-1.4248000000000001</v>
      </c>
      <c r="AD6196">
        <v>-1.1086308617659999</v>
      </c>
      <c r="AE6196">
        <v>32.401539999999997</v>
      </c>
      <c r="AF6196">
        <v>-3.48221894573294</v>
      </c>
      <c r="AG6196">
        <v>-1.1086308617659999</v>
      </c>
      <c r="AH6196">
        <v>32.207300063462</v>
      </c>
      <c r="AI6196">
        <v>91.960027454351106</v>
      </c>
      <c r="AJ6196">
        <v>96.170788199278107</v>
      </c>
      <c r="AK6196">
        <v>32.4139644065881</v>
      </c>
      <c r="AL6196">
        <v>91.612329897364603</v>
      </c>
      <c r="AM6196">
        <v>99.639107371507805</v>
      </c>
      <c r="AN6196">
        <v>0.99999994744813903</v>
      </c>
    </row>
    <row r="6197" spans="1:40" x14ac:dyDescent="0.25">
      <c r="A6197" t="str">
        <f>"20190305135947819"</f>
        <v>20190305135947819</v>
      </c>
      <c r="B6197" t="str">
        <f>"1551765587815059"</f>
        <v>1551765587815059</v>
      </c>
      <c r="C6197" t="s">
        <v>40</v>
      </c>
      <c r="D6197">
        <v>3.9099819999999998</v>
      </c>
      <c r="E6197">
        <v>0.52402159999999998</v>
      </c>
      <c r="F6197" t="s">
        <v>42</v>
      </c>
      <c r="G6197">
        <v>-189.43199999999999</v>
      </c>
      <c r="H6197" s="1">
        <v>-3.0843709999999999E-6</v>
      </c>
      <c r="I6197">
        <v>16.58765</v>
      </c>
      <c r="J6197">
        <v>-188.17660000000001</v>
      </c>
      <c r="K6197">
        <v>1.108579</v>
      </c>
      <c r="L6197">
        <v>-13.53937</v>
      </c>
      <c r="M6197">
        <v>6.3208020000000004E-2</v>
      </c>
      <c r="N6197">
        <v>-2.6742530000000001E-3</v>
      </c>
      <c r="O6197">
        <v>0.99799680000000002</v>
      </c>
      <c r="P6197">
        <v>-0.1027846</v>
      </c>
      <c r="Q6197">
        <v>-3.2698900000000003E-2</v>
      </c>
      <c r="R6197">
        <v>0.99416599999999999</v>
      </c>
      <c r="S6197">
        <v>-0.12115480000000001</v>
      </c>
      <c r="T6197">
        <v>-0.1090772</v>
      </c>
      <c r="U6197">
        <v>3.0018009999999999</v>
      </c>
      <c r="V6197">
        <v>-0.16537260000000001</v>
      </c>
      <c r="W6197">
        <v>-3.0316349999999999E-2</v>
      </c>
      <c r="X6197">
        <v>0.98576509999999995</v>
      </c>
      <c r="Y6197">
        <v>-0.103376</v>
      </c>
      <c r="Z6197">
        <v>-3.3416359999999999E-2</v>
      </c>
      <c r="AA6197">
        <v>0.99408079999999999</v>
      </c>
      <c r="AB6197">
        <v>38</v>
      </c>
      <c r="AC6197">
        <v>-1.2554000000000001</v>
      </c>
      <c r="AD6197">
        <v>-1.1085820843709999</v>
      </c>
      <c r="AE6197">
        <v>30.127020000000002</v>
      </c>
      <c r="AF6197">
        <v>-3.1529040478755701</v>
      </c>
      <c r="AG6197">
        <v>-1.1085820843709999</v>
      </c>
      <c r="AH6197">
        <v>29.946946843985401</v>
      </c>
      <c r="AI6197">
        <v>92.108376273932805</v>
      </c>
      <c r="AJ6197">
        <v>96.010129690251205</v>
      </c>
      <c r="AK6197">
        <v>30.1328621848205</v>
      </c>
      <c r="AL6197">
        <v>91.737265080212794</v>
      </c>
      <c r="AM6197">
        <v>99.523298268107098</v>
      </c>
      <c r="AN6197">
        <v>1.00000000514304</v>
      </c>
    </row>
    <row r="6198" spans="1:40" x14ac:dyDescent="0.25">
      <c r="A6198" t="str">
        <f>"20190305135947841"</f>
        <v>20190305135947841</v>
      </c>
      <c r="B6198" t="str">
        <f>"1551765587835554"</f>
        <v>1551765587835554</v>
      </c>
      <c r="C6198" t="s">
        <v>40</v>
      </c>
      <c r="D6198">
        <v>3.887661</v>
      </c>
      <c r="E6198">
        <v>0.52408849999999996</v>
      </c>
      <c r="F6198" t="s">
        <v>42</v>
      </c>
      <c r="G6198">
        <v>-189.29130000000001</v>
      </c>
      <c r="H6198" s="1">
        <v>-2.5658539999999999E-6</v>
      </c>
      <c r="I6198">
        <v>15.320779999999999</v>
      </c>
      <c r="J6198">
        <v>-188.15299999999999</v>
      </c>
      <c r="K6198">
        <v>1.1085389999999999</v>
      </c>
      <c r="L6198">
        <v>-13.16052</v>
      </c>
      <c r="M6198">
        <v>6.271032E-2</v>
      </c>
      <c r="N6198">
        <v>-2.6869820000000001E-3</v>
      </c>
      <c r="O6198">
        <v>0.99802820000000003</v>
      </c>
      <c r="P6198">
        <v>-0.1006078</v>
      </c>
      <c r="Q6198">
        <v>-3.340924E-2</v>
      </c>
      <c r="R6198">
        <v>0.9943651</v>
      </c>
      <c r="S6198">
        <v>-0.11593630000000001</v>
      </c>
      <c r="T6198">
        <v>-0.1153069</v>
      </c>
      <c r="U6198">
        <v>3.0018310000000001</v>
      </c>
      <c r="V6198">
        <v>-0.16272220000000001</v>
      </c>
      <c r="W6198">
        <v>-3.0997070000000002E-2</v>
      </c>
      <c r="X6198">
        <v>0.98618490000000003</v>
      </c>
      <c r="Y6198">
        <v>-0.1011509</v>
      </c>
      <c r="Z6198">
        <v>-3.5469479999999998E-2</v>
      </c>
      <c r="AA6198">
        <v>0.99423859999999997</v>
      </c>
      <c r="AB6198">
        <v>38</v>
      </c>
      <c r="AC6198">
        <v>-1.1383000000000101</v>
      </c>
      <c r="AD6198">
        <v>-1.1085415658540001</v>
      </c>
      <c r="AE6198">
        <v>28.481300000000001</v>
      </c>
      <c r="AF6198">
        <v>-2.9177243358031801</v>
      </c>
      <c r="AG6198">
        <v>-1.1085415658540001</v>
      </c>
      <c r="AH6198">
        <v>28.311038433246601</v>
      </c>
      <c r="AI6198">
        <v>92.230514866626805</v>
      </c>
      <c r="AJ6198">
        <v>95.884106625018305</v>
      </c>
      <c r="AK6198">
        <v>28.4825714582046</v>
      </c>
      <c r="AL6198">
        <v>91.776285822888397</v>
      </c>
      <c r="AM6198">
        <v>99.369480765344605</v>
      </c>
      <c r="AN6198">
        <v>0.99999999485471702</v>
      </c>
    </row>
    <row r="6199" spans="1:40" x14ac:dyDescent="0.25">
      <c r="A6199" t="str">
        <f>"20190305135947863"</f>
        <v>20190305135947863</v>
      </c>
      <c r="B6199" t="str">
        <f>"1551765587855075"</f>
        <v>1551765587855075</v>
      </c>
      <c r="C6199" t="s">
        <v>40</v>
      </c>
      <c r="D6199">
        <v>3.888147</v>
      </c>
      <c r="E6199">
        <v>0.52417579999999997</v>
      </c>
      <c r="F6199" t="s">
        <v>42</v>
      </c>
      <c r="G6199">
        <v>-189.18389999999999</v>
      </c>
      <c r="H6199" s="1">
        <v>-2.5609630000000002E-6</v>
      </c>
      <c r="I6199">
        <v>15.265000000000001</v>
      </c>
      <c r="J6199">
        <v>-188.12860000000001</v>
      </c>
      <c r="K6199">
        <v>1.108514</v>
      </c>
      <c r="L6199">
        <v>-12.764889999999999</v>
      </c>
      <c r="M6199">
        <v>6.2191940000000001E-2</v>
      </c>
      <c r="N6199">
        <v>-2.7007540000000001E-3</v>
      </c>
      <c r="O6199">
        <v>0.99806050000000002</v>
      </c>
      <c r="P6199">
        <v>-9.8743360000000002E-2</v>
      </c>
      <c r="Q6199">
        <v>-3.3052140000000001E-2</v>
      </c>
      <c r="R6199">
        <v>0.99456389999999995</v>
      </c>
      <c r="S6199">
        <v>-0.1088715</v>
      </c>
      <c r="T6199">
        <v>-0.117074</v>
      </c>
      <c r="U6199">
        <v>3.0020449999999999</v>
      </c>
      <c r="V6199">
        <v>-0.16036349999999999</v>
      </c>
      <c r="W6199">
        <v>-3.0612549999999999E-2</v>
      </c>
      <c r="X6199">
        <v>0.98658319999999999</v>
      </c>
      <c r="Y6199">
        <v>-9.8293839999999993E-2</v>
      </c>
      <c r="Z6199">
        <v>-3.6046330000000001E-2</v>
      </c>
      <c r="AA6199">
        <v>0.99450439999999996</v>
      </c>
      <c r="AB6199">
        <v>39</v>
      </c>
      <c r="AC6199">
        <v>-1.0552999999999799</v>
      </c>
      <c r="AD6199">
        <v>-1.1085165609630001</v>
      </c>
      <c r="AE6199">
        <v>28.029890000000002</v>
      </c>
      <c r="AF6199">
        <v>-2.7921360628680798</v>
      </c>
      <c r="AG6199">
        <v>-1.1085165609630001</v>
      </c>
      <c r="AH6199">
        <v>27.8664761906767</v>
      </c>
      <c r="AI6199">
        <v>92.266662985927894</v>
      </c>
      <c r="AJ6199">
        <v>95.7217658841667</v>
      </c>
      <c r="AK6199">
        <v>28.027938348102701</v>
      </c>
      <c r="AL6199">
        <v>91.754243987849705</v>
      </c>
      <c r="AM6199">
        <v>99.232360507852206</v>
      </c>
      <c r="AN6199">
        <v>0.99999999543599605</v>
      </c>
    </row>
    <row r="6200" spans="1:40" x14ac:dyDescent="0.25">
      <c r="A6200" t="str">
        <f>"20190305135947887"</f>
        <v>20190305135947887</v>
      </c>
      <c r="B6200" t="str">
        <f>"1551765587885330"</f>
        <v>1551765587885330</v>
      </c>
      <c r="C6200" t="s">
        <v>40</v>
      </c>
      <c r="D6200">
        <v>3.8724280000000002</v>
      </c>
      <c r="E6200">
        <v>0.52423249999999999</v>
      </c>
      <c r="F6200" t="s">
        <v>42</v>
      </c>
      <c r="G6200">
        <v>-189.11799999999999</v>
      </c>
      <c r="H6200" s="1">
        <v>-2.9499360000000001E-6</v>
      </c>
      <c r="I6200">
        <v>16.144449999999999</v>
      </c>
      <c r="J6200">
        <v>-188.10390000000001</v>
      </c>
      <c r="K6200">
        <v>1.1084889999999901</v>
      </c>
      <c r="L6200">
        <v>-12.36145</v>
      </c>
      <c r="M6200">
        <v>6.1664400000000001E-2</v>
      </c>
      <c r="N6200">
        <v>-2.7152389999999999E-3</v>
      </c>
      <c r="O6200">
        <v>0.99809320000000001</v>
      </c>
      <c r="P6200">
        <v>-9.7739709999999994E-2</v>
      </c>
      <c r="Q6200">
        <v>-3.3902939999999999E-2</v>
      </c>
      <c r="R6200">
        <v>0.99463440000000003</v>
      </c>
      <c r="S6200">
        <v>-0.1027527</v>
      </c>
      <c r="T6200">
        <v>-0.11512509999999999</v>
      </c>
      <c r="U6200">
        <v>3.00238</v>
      </c>
      <c r="V6200">
        <v>-0.15884479999999901</v>
      </c>
      <c r="W6200">
        <v>-3.1439429999999997E-2</v>
      </c>
      <c r="X6200">
        <v>0.98680290000000004</v>
      </c>
      <c r="Y6200">
        <v>-9.5740259999999994E-2</v>
      </c>
      <c r="Z6200">
        <v>-3.5391640000000002E-2</v>
      </c>
      <c r="AA6200">
        <v>0.99477700000000002</v>
      </c>
      <c r="AB6200">
        <v>39</v>
      </c>
      <c r="AC6200">
        <v>-1.01409999999998</v>
      </c>
      <c r="AD6200">
        <v>-1.10849194993599</v>
      </c>
      <c r="AE6200">
        <v>28.5059</v>
      </c>
      <c r="AF6200">
        <v>-2.7657988511869802</v>
      </c>
      <c r="AG6200">
        <v>-1.10849194993599</v>
      </c>
      <c r="AH6200">
        <v>28.3463072989342</v>
      </c>
      <c r="AI6200">
        <v>92.228856054175196</v>
      </c>
      <c r="AJ6200">
        <v>95.572809394083706</v>
      </c>
      <c r="AK6200">
        <v>28.502482965066601</v>
      </c>
      <c r="AL6200">
        <v>91.801643469938696</v>
      </c>
      <c r="AM6200">
        <v>99.144409525272906</v>
      </c>
      <c r="AN6200">
        <v>1.00000003584708</v>
      </c>
    </row>
    <row r="6201" spans="1:40" x14ac:dyDescent="0.25">
      <c r="A6201" t="str">
        <f>"20190305135947910"</f>
        <v>20190305135947910</v>
      </c>
      <c r="B6201" t="str">
        <f>"1551765587904851"</f>
        <v>1551765587904851</v>
      </c>
      <c r="C6201" t="s">
        <v>40</v>
      </c>
      <c r="D6201">
        <v>3.8660969999999999</v>
      </c>
      <c r="E6201">
        <v>0.52428039999999998</v>
      </c>
      <c r="F6201" t="s">
        <v>42</v>
      </c>
      <c r="G6201">
        <v>-189.05109999999999</v>
      </c>
      <c r="H6201" s="1">
        <v>-3.0187719999999999E-6</v>
      </c>
      <c r="I6201">
        <v>16.277239999999999</v>
      </c>
      <c r="J6201">
        <v>-188.08</v>
      </c>
      <c r="K6201">
        <v>1.108473</v>
      </c>
      <c r="L6201">
        <v>-11.967499999999999</v>
      </c>
      <c r="M6201">
        <v>6.1151009999999999E-2</v>
      </c>
      <c r="N6201">
        <v>-2.7297810000000001E-3</v>
      </c>
      <c r="O6201">
        <v>0.99812480000000003</v>
      </c>
      <c r="P6201">
        <v>-9.7907949999999994E-2</v>
      </c>
      <c r="Q6201">
        <v>-3.4151460000000002E-2</v>
      </c>
      <c r="R6201">
        <v>0.99460939999999998</v>
      </c>
      <c r="S6201">
        <v>-9.9304199999999995E-2</v>
      </c>
      <c r="T6201">
        <v>-0.11621389999999999</v>
      </c>
      <c r="U6201">
        <v>3.002472</v>
      </c>
      <c r="V6201">
        <v>-0.1585039</v>
      </c>
      <c r="W6201">
        <v>-3.1668349999999998E-2</v>
      </c>
      <c r="X6201">
        <v>0.98685040000000002</v>
      </c>
      <c r="Y6201">
        <v>-9.4085459999999996E-2</v>
      </c>
      <c r="Z6201">
        <v>-3.5741599999999998E-2</v>
      </c>
      <c r="AA6201">
        <v>0.99492230000000004</v>
      </c>
      <c r="AB6201">
        <v>39</v>
      </c>
      <c r="AC6201">
        <v>-0.97109999999997798</v>
      </c>
      <c r="AD6201">
        <v>-1.108476018772</v>
      </c>
      <c r="AE6201">
        <v>28.24474</v>
      </c>
      <c r="AF6201">
        <v>-2.6923415477091002</v>
      </c>
      <c r="AG6201">
        <v>-1.108476018772</v>
      </c>
      <c r="AH6201">
        <v>28.089284270174002</v>
      </c>
      <c r="AI6201">
        <v>92.249568246644003</v>
      </c>
      <c r="AJ6201">
        <v>95.475041392623694</v>
      </c>
      <c r="AK6201">
        <v>28.2397824514346</v>
      </c>
      <c r="AL6201">
        <v>91.814766143778499</v>
      </c>
      <c r="AM6201">
        <v>99.124683217952196</v>
      </c>
      <c r="AN6201">
        <v>1.0000000413435399</v>
      </c>
    </row>
    <row r="6202" spans="1:40" x14ac:dyDescent="0.25">
      <c r="A6202" t="str">
        <f>"20190305135947934"</f>
        <v>20190305135947934</v>
      </c>
      <c r="B6202" t="str">
        <f>"1551765587925346"</f>
        <v>1551765587925346</v>
      </c>
      <c r="C6202" t="s">
        <v>40</v>
      </c>
      <c r="D6202">
        <v>3.8713869999999999</v>
      </c>
      <c r="E6202">
        <v>0.52434999999999998</v>
      </c>
      <c r="F6202" t="s">
        <v>42</v>
      </c>
      <c r="G6202">
        <v>-189.03550000000001</v>
      </c>
      <c r="H6202" s="1">
        <v>-3.2734400000000001E-6</v>
      </c>
      <c r="I6202">
        <v>16.864409999999999</v>
      </c>
      <c r="J6202">
        <v>-188.05449999999999</v>
      </c>
      <c r="K6202">
        <v>1.1084590000000001</v>
      </c>
      <c r="L6202">
        <v>-11.544589999999999</v>
      </c>
      <c r="M6202">
        <v>6.0601380000000003E-2</v>
      </c>
      <c r="N6202">
        <v>-2.745819E-3</v>
      </c>
      <c r="O6202">
        <v>0.99815830000000005</v>
      </c>
      <c r="P6202">
        <v>-9.8111240000000002E-2</v>
      </c>
      <c r="Q6202">
        <v>-3.4032159999999999E-2</v>
      </c>
      <c r="R6202">
        <v>0.99459339999999996</v>
      </c>
      <c r="S6202">
        <v>-9.9502560000000004E-2</v>
      </c>
      <c r="T6202">
        <v>-0.1154346</v>
      </c>
      <c r="U6202">
        <v>3.0025019999999998</v>
      </c>
      <c r="V6202">
        <v>-0.15816340000000001</v>
      </c>
      <c r="W6202">
        <v>-3.1529340000000003E-2</v>
      </c>
      <c r="X6202">
        <v>0.98690940000000005</v>
      </c>
      <c r="Y6202">
        <v>-9.3602900000000003E-2</v>
      </c>
      <c r="Z6202">
        <v>-3.5470330000000001E-2</v>
      </c>
      <c r="AA6202">
        <v>0.99497760000000002</v>
      </c>
      <c r="AB6202">
        <v>39</v>
      </c>
      <c r="AC6202">
        <v>-0.98100000000002296</v>
      </c>
      <c r="AD6202">
        <v>-1.10846227344</v>
      </c>
      <c r="AE6202">
        <v>28.408999999999999</v>
      </c>
      <c r="AF6202">
        <v>-2.69672737988558</v>
      </c>
      <c r="AG6202">
        <v>-1.10846227344</v>
      </c>
      <c r="AH6202">
        <v>28.254371694857799</v>
      </c>
      <c r="AI6202">
        <v>92.236495650639995</v>
      </c>
      <c r="AJ6202">
        <v>95.452057652009501</v>
      </c>
      <c r="AK6202">
        <v>28.404410697006998</v>
      </c>
      <c r="AL6202">
        <v>91.806797621728293</v>
      </c>
      <c r="AM6202">
        <v>99.1048749499883</v>
      </c>
      <c r="AN6202">
        <v>0.99999996209437703</v>
      </c>
    </row>
    <row r="6203" spans="1:40" x14ac:dyDescent="0.25">
      <c r="A6203" t="str">
        <f>"20190305135947955"</f>
        <v>20190305135947955</v>
      </c>
      <c r="B6203" t="str">
        <f>"1551765587944867"</f>
        <v>1551765587944867</v>
      </c>
      <c r="C6203" t="s">
        <v>40</v>
      </c>
      <c r="D6203">
        <v>3.8532440000000001</v>
      </c>
      <c r="E6203">
        <v>0.52440059999999999</v>
      </c>
      <c r="F6203" t="s">
        <v>42</v>
      </c>
      <c r="G6203">
        <v>-189.02869999999999</v>
      </c>
      <c r="H6203" s="1">
        <v>-3.6809720000000001E-6</v>
      </c>
      <c r="I6203">
        <v>17.81157</v>
      </c>
      <c r="J6203">
        <v>-188.03200000000001</v>
      </c>
      <c r="K6203">
        <v>1.108447</v>
      </c>
      <c r="L6203">
        <v>-11.16953</v>
      </c>
      <c r="M6203">
        <v>6.0115479999999999E-2</v>
      </c>
      <c r="N6203">
        <v>-2.7603829999999999E-3</v>
      </c>
      <c r="O6203">
        <v>0.99818759999999995</v>
      </c>
      <c r="P6203">
        <v>-9.8600019999999997E-2</v>
      </c>
      <c r="Q6203">
        <v>-3.3166019999999997E-2</v>
      </c>
      <c r="R6203">
        <v>0.99457430000000002</v>
      </c>
      <c r="S6203">
        <v>-9.9639889999999995E-2</v>
      </c>
      <c r="T6203">
        <v>-0.1133753</v>
      </c>
      <c r="U6203">
        <v>3.0025940000000002</v>
      </c>
      <c r="V6203">
        <v>-0.1581716</v>
      </c>
      <c r="W6203">
        <v>-3.0647089999999998E-2</v>
      </c>
      <c r="X6203">
        <v>0.98693589999999998</v>
      </c>
      <c r="Y6203">
        <v>-9.3163590000000004E-2</v>
      </c>
      <c r="Z6203">
        <v>-3.4776170000000002E-2</v>
      </c>
      <c r="AA6203">
        <v>0.99504329999999996</v>
      </c>
      <c r="AB6203">
        <v>39</v>
      </c>
      <c r="AC6203">
        <v>-0.99669999999997505</v>
      </c>
      <c r="AD6203">
        <v>-1.1084506809720001</v>
      </c>
      <c r="AE6203">
        <v>28.981100000000001</v>
      </c>
      <c r="AF6203">
        <v>-2.7331233242078699</v>
      </c>
      <c r="AG6203">
        <v>-1.1084506809720001</v>
      </c>
      <c r="AH6203">
        <v>28.826648338226001</v>
      </c>
      <c r="AI6203">
        <v>92.1922473451542</v>
      </c>
      <c r="AJ6203">
        <v>95.416158995871498</v>
      </c>
      <c r="AK6203">
        <v>28.977133751170498</v>
      </c>
      <c r="AL6203">
        <v>91.756223931508401</v>
      </c>
      <c r="AM6203">
        <v>99.105098695859496</v>
      </c>
      <c r="AN6203">
        <v>0.99999998494041797</v>
      </c>
    </row>
    <row r="6204" spans="1:40" x14ac:dyDescent="0.25">
      <c r="A6204" t="str">
        <f>"20190305135947977"</f>
        <v>20190305135947977</v>
      </c>
      <c r="B6204" t="str">
        <f>"1551765587965363"</f>
        <v>1551765587965363</v>
      </c>
      <c r="C6204" t="s">
        <v>40</v>
      </c>
      <c r="D6204">
        <v>3.795658</v>
      </c>
      <c r="E6204">
        <v>0.52447959999999905</v>
      </c>
      <c r="F6204" t="s">
        <v>42</v>
      </c>
      <c r="G6204">
        <v>-189.0538</v>
      </c>
      <c r="H6204" s="1">
        <v>-4.3117989999999997E-6</v>
      </c>
      <c r="I6204">
        <v>19.292459999999998</v>
      </c>
      <c r="J6204">
        <v>-188.0094</v>
      </c>
      <c r="K6204">
        <v>1.10843799999999</v>
      </c>
      <c r="L6204">
        <v>-10.787660000000001</v>
      </c>
      <c r="M6204">
        <v>5.9622290000000001E-2</v>
      </c>
      <c r="N6204">
        <v>-2.7753790000000001E-3</v>
      </c>
      <c r="O6204">
        <v>0.99821720000000003</v>
      </c>
      <c r="P6204">
        <v>-9.9697869999999994E-2</v>
      </c>
      <c r="Q6204">
        <v>-3.304646E-2</v>
      </c>
      <c r="R6204">
        <v>0.99446880000000004</v>
      </c>
      <c r="S6204">
        <v>-0.1007233</v>
      </c>
      <c r="T6204">
        <v>-0.109264</v>
      </c>
      <c r="U6204">
        <v>3.0027469999999998</v>
      </c>
      <c r="V6204">
        <v>-0.1587741</v>
      </c>
      <c r="W6204">
        <v>-3.0512890000000001E-2</v>
      </c>
      <c r="X6204">
        <v>0.98684329999999998</v>
      </c>
      <c r="Y6204">
        <v>-9.3030360000000006E-2</v>
      </c>
      <c r="Z6204">
        <v>-3.3401430000000003E-2</v>
      </c>
      <c r="AA6204">
        <v>0.99510290000000001</v>
      </c>
      <c r="AB6204">
        <v>39</v>
      </c>
      <c r="AC6204">
        <v>-1.04439999999999</v>
      </c>
      <c r="AD6204">
        <v>-1.1084423117990001</v>
      </c>
      <c r="AE6204">
        <v>30.080120000000001</v>
      </c>
      <c r="AF6204">
        <v>-2.8321533202685201</v>
      </c>
      <c r="AG6204">
        <v>-1.1084423117990001</v>
      </c>
      <c r="AH6204">
        <v>29.9237530984425</v>
      </c>
      <c r="AI6204">
        <v>92.111963497840506</v>
      </c>
      <c r="AJ6204">
        <v>95.4066911514292</v>
      </c>
      <c r="AK6204">
        <v>30.077911102412699</v>
      </c>
      <c r="AL6204">
        <v>91.748531257429207</v>
      </c>
      <c r="AM6204">
        <v>99.140040293434595</v>
      </c>
      <c r="AN6204">
        <v>0.99999997502092497</v>
      </c>
    </row>
    <row r="6205" spans="1:40" x14ac:dyDescent="0.25">
      <c r="A6205" t="str">
        <f>"20190305135947999"</f>
        <v>20190305135947999</v>
      </c>
      <c r="B6205" t="str">
        <f>"1551765587995619"</f>
        <v>1551765587995619</v>
      </c>
      <c r="C6205" t="s">
        <v>40</v>
      </c>
      <c r="D6205">
        <v>3.861208</v>
      </c>
      <c r="E6205">
        <v>0.52450759999999996</v>
      </c>
      <c r="F6205" t="s">
        <v>42</v>
      </c>
      <c r="G6205">
        <v>-189.08260000000001</v>
      </c>
      <c r="H6205" s="1">
        <v>-4.70282E-7</v>
      </c>
      <c r="I6205">
        <v>20.312760000000001</v>
      </c>
      <c r="J6205">
        <v>-187.9864</v>
      </c>
      <c r="K6205">
        <v>1.10843799999999</v>
      </c>
      <c r="L6205">
        <v>-10.39636</v>
      </c>
      <c r="M6205">
        <v>5.9118160000000003E-2</v>
      </c>
      <c r="N6205">
        <v>-2.7909179999999999E-3</v>
      </c>
      <c r="O6205">
        <v>0.99824710000000005</v>
      </c>
      <c r="P6205">
        <v>-0.1009763</v>
      </c>
      <c r="Q6205">
        <v>-3.347601E-2</v>
      </c>
      <c r="R6205">
        <v>0.99432549999999997</v>
      </c>
      <c r="S6205">
        <v>-0.1036224</v>
      </c>
      <c r="T6205">
        <v>-0.1070198</v>
      </c>
      <c r="U6205">
        <v>3.0027469999999998</v>
      </c>
      <c r="V6205">
        <v>-0.15954279999999901</v>
      </c>
      <c r="W6205">
        <v>-3.0928230000000001E-2</v>
      </c>
      <c r="X6205">
        <v>0.98670639999999998</v>
      </c>
      <c r="Y6205">
        <v>-9.3488080000000001E-2</v>
      </c>
      <c r="Z6205">
        <v>-3.2643890000000002E-2</v>
      </c>
      <c r="AA6205">
        <v>0.99508509999999994</v>
      </c>
      <c r="AB6205">
        <v>40</v>
      </c>
      <c r="AC6205">
        <v>-1.0962000000000101</v>
      </c>
      <c r="AD6205">
        <v>-1.1084384702819901</v>
      </c>
      <c r="AE6205">
        <v>30.709119999999999</v>
      </c>
      <c r="AF6205">
        <v>-2.90597526610471</v>
      </c>
      <c r="AG6205">
        <v>-1.1084384702819901</v>
      </c>
      <c r="AH6205">
        <v>30.550851532856399</v>
      </c>
      <c r="AI6205">
        <v>92.068551372454706</v>
      </c>
      <c r="AJ6205">
        <v>95.433586028080001</v>
      </c>
      <c r="AK6205">
        <v>30.708758644273601</v>
      </c>
      <c r="AL6205">
        <v>91.772339697792106</v>
      </c>
      <c r="AM6205">
        <v>99.184791728493707</v>
      </c>
      <c r="AN6205">
        <v>0.99999999012186602</v>
      </c>
    </row>
    <row r="6206" spans="1:40" x14ac:dyDescent="0.25">
      <c r="A6206" t="str">
        <f>"20190305135948020"</f>
        <v>20190305135948020</v>
      </c>
      <c r="B6206" t="str">
        <f>"1551765588015139"</f>
        <v>1551765588015139</v>
      </c>
      <c r="C6206" t="s">
        <v>40</v>
      </c>
      <c r="D6206">
        <v>3.8336839999999999</v>
      </c>
      <c r="E6206">
        <v>0.52456190000000003</v>
      </c>
      <c r="F6206" t="s">
        <v>42</v>
      </c>
      <c r="G6206">
        <v>-189.10249999999999</v>
      </c>
      <c r="H6206" s="1">
        <v>-6.6844369999999899E-7</v>
      </c>
      <c r="I6206">
        <v>20.819839999999999</v>
      </c>
      <c r="J6206">
        <v>-187.96420000000001</v>
      </c>
      <c r="K6206">
        <v>1.1084400000000001</v>
      </c>
      <c r="L6206">
        <v>-10.01657</v>
      </c>
      <c r="M6206">
        <v>5.8629929999999997E-2</v>
      </c>
      <c r="N6206">
        <v>-2.8060709999999998E-3</v>
      </c>
      <c r="O6206">
        <v>0.99827580000000005</v>
      </c>
      <c r="P6206">
        <v>-0.1021899</v>
      </c>
      <c r="Q6206">
        <v>-3.3849310000000001E-2</v>
      </c>
      <c r="R6206">
        <v>0.99418879999999998</v>
      </c>
      <c r="S6206">
        <v>-0.10736080000000001</v>
      </c>
      <c r="T6206">
        <v>-0.1066185</v>
      </c>
      <c r="U6206">
        <v>3.0026250000000001</v>
      </c>
      <c r="V6206">
        <v>-0.16026370000000001</v>
      </c>
      <c r="W6206">
        <v>-3.1288070000000001E-2</v>
      </c>
      <c r="X6206">
        <v>0.98657819999999996</v>
      </c>
      <c r="Y6206">
        <v>-9.4240050000000006E-2</v>
      </c>
      <c r="Z6206">
        <v>-3.2496869999999997E-2</v>
      </c>
      <c r="AA6206">
        <v>0.99501899999999999</v>
      </c>
      <c r="AB6206">
        <v>40</v>
      </c>
      <c r="AC6206">
        <v>-1.1382999999999801</v>
      </c>
      <c r="AD6206">
        <v>-1.10844066844369</v>
      </c>
      <c r="AE6206">
        <v>30.836409999999901</v>
      </c>
      <c r="AF6206">
        <v>-2.9404913701360198</v>
      </c>
      <c r="AG6206">
        <v>-1.10844066844369</v>
      </c>
      <c r="AH6206">
        <v>30.6770416694884</v>
      </c>
      <c r="AI6206">
        <v>92.059910881350206</v>
      </c>
      <c r="AJ6206">
        <v>95.475253820162905</v>
      </c>
      <c r="AK6206">
        <v>30.837574739347399</v>
      </c>
      <c r="AL6206">
        <v>91.792967029191402</v>
      </c>
      <c r="AM6206">
        <v>99.226759682681603</v>
      </c>
      <c r="AN6206">
        <v>0.99999997078862701</v>
      </c>
    </row>
    <row r="6207" spans="1:40" x14ac:dyDescent="0.25">
      <c r="A6207" t="str">
        <f>"20190305135948043"</f>
        <v>20190305135948043</v>
      </c>
      <c r="B6207" t="str">
        <f>"1551765588035636"</f>
        <v>1551765588035636</v>
      </c>
      <c r="C6207" t="s">
        <v>40</v>
      </c>
      <c r="D6207">
        <v>3.8201429999999998</v>
      </c>
      <c r="E6207">
        <v>0.5246596</v>
      </c>
      <c r="F6207" t="s">
        <v>42</v>
      </c>
      <c r="G6207">
        <v>-189.11009999999999</v>
      </c>
      <c r="H6207" s="1">
        <v>-7.7257379999999996E-7</v>
      </c>
      <c r="I6207">
        <v>21.06569</v>
      </c>
      <c r="J6207">
        <v>-187.94</v>
      </c>
      <c r="K6207">
        <v>1.108439</v>
      </c>
      <c r="L6207">
        <v>-9.5973509999999997</v>
      </c>
      <c r="M6207">
        <v>5.8092089999999999E-2</v>
      </c>
      <c r="N6207">
        <v>-2.823107E-3</v>
      </c>
      <c r="O6207">
        <v>0.99830719999999995</v>
      </c>
      <c r="P6207">
        <v>-0.10317750000000001</v>
      </c>
      <c r="Q6207">
        <v>-3.3666410000000001E-2</v>
      </c>
      <c r="R6207">
        <v>0.99409309999999995</v>
      </c>
      <c r="S6207">
        <v>-0.1106873</v>
      </c>
      <c r="T6207">
        <v>-0.1070738</v>
      </c>
      <c r="U6207">
        <v>3.0025019999999998</v>
      </c>
      <c r="V6207">
        <v>-0.16071199999999999</v>
      </c>
      <c r="W6207">
        <v>-3.1089700000000001E-2</v>
      </c>
      <c r="X6207">
        <v>0.98651160000000004</v>
      </c>
      <c r="Y6207">
        <v>-9.4805749999999994E-2</v>
      </c>
      <c r="Z6207">
        <v>-3.2631790000000001E-2</v>
      </c>
      <c r="AA6207">
        <v>0.99496079999999998</v>
      </c>
      <c r="AB6207">
        <v>40</v>
      </c>
      <c r="AC6207">
        <v>-1.1700999999999899</v>
      </c>
      <c r="AD6207">
        <v>-1.1084397725738</v>
      </c>
      <c r="AE6207">
        <v>30.6630409999999</v>
      </c>
      <c r="AF6207">
        <v>-2.9455677192287602</v>
      </c>
      <c r="AG6207">
        <v>-1.1084397725738</v>
      </c>
      <c r="AH6207">
        <v>30.5034813088166</v>
      </c>
      <c r="AI6207">
        <v>92.071479176336695</v>
      </c>
      <c r="AJ6207">
        <v>95.515663441499697</v>
      </c>
      <c r="AK6207">
        <v>30.665410153384698</v>
      </c>
      <c r="AL6207">
        <v>91.781595633441697</v>
      </c>
      <c r="AM6207">
        <v>99.252737453413701</v>
      </c>
      <c r="AN6207">
        <v>1.0000000266623199</v>
      </c>
    </row>
    <row r="6208" spans="1:40" x14ac:dyDescent="0.25">
      <c r="A6208" t="str">
        <f>"20190305135948065"</f>
        <v>20190305135948065</v>
      </c>
      <c r="B6208" t="str">
        <f>"1551765588055156"</f>
        <v>1551765588055156</v>
      </c>
      <c r="C6208" t="s">
        <v>40</v>
      </c>
      <c r="D6208">
        <v>3.8271130000000002</v>
      </c>
      <c r="E6208">
        <v>0.52470530000000004</v>
      </c>
      <c r="F6208" t="s">
        <v>42</v>
      </c>
      <c r="G6208">
        <v>-189.12260000000001</v>
      </c>
      <c r="H6208" s="1">
        <v>-1.117797E-6</v>
      </c>
      <c r="I6208">
        <v>21.875589999999999</v>
      </c>
      <c r="J6208">
        <v>-187.91659999999999</v>
      </c>
      <c r="K6208">
        <v>1.1084400000000001</v>
      </c>
      <c r="L6208">
        <v>-9.1887209999999993</v>
      </c>
      <c r="M6208">
        <v>5.756882E-2</v>
      </c>
      <c r="N6208">
        <v>-2.8400140000000001E-3</v>
      </c>
      <c r="O6208">
        <v>0.99833749999999999</v>
      </c>
      <c r="P6208">
        <v>-0.10386670000000001</v>
      </c>
      <c r="Q6208">
        <v>-3.3447419999999999E-2</v>
      </c>
      <c r="R6208">
        <v>0.99402860000000004</v>
      </c>
      <c r="S6208">
        <v>-0.11282349999999999</v>
      </c>
      <c r="T6208">
        <v>-0.105745699999999</v>
      </c>
      <c r="U6208">
        <v>3.0025330000000001</v>
      </c>
      <c r="V6208">
        <v>-0.1608802</v>
      </c>
      <c r="W6208">
        <v>-3.08551E-2</v>
      </c>
      <c r="X6208">
        <v>0.98649149999999997</v>
      </c>
      <c r="Y6208">
        <v>-9.4991099999999995E-2</v>
      </c>
      <c r="Z6208">
        <v>-3.2176040000000003E-2</v>
      </c>
      <c r="AA6208">
        <v>0.99495800000000001</v>
      </c>
      <c r="AB6208">
        <v>40</v>
      </c>
      <c r="AC6208">
        <v>-1.20600000000001</v>
      </c>
      <c r="AD6208">
        <v>-1.1084411177969999</v>
      </c>
      <c r="AE6208">
        <v>31.064311</v>
      </c>
      <c r="AF6208">
        <v>-2.9885434905593602</v>
      </c>
      <c r="AG6208">
        <v>-1.1084411177969999</v>
      </c>
      <c r="AH6208">
        <v>30.904075075455101</v>
      </c>
      <c r="AI6208">
        <v>92.044625901242796</v>
      </c>
      <c r="AJ6208">
        <v>95.523547958351003</v>
      </c>
      <c r="AK6208">
        <v>31.068020377486999</v>
      </c>
      <c r="AL6208">
        <v>91.768147678558904</v>
      </c>
      <c r="AM6208">
        <v>99.2624390037236</v>
      </c>
      <c r="AN6208">
        <v>0.99999997776014904</v>
      </c>
    </row>
    <row r="6209" spans="1:40" x14ac:dyDescent="0.25">
      <c r="A6209" t="str">
        <f>"20190305135948177"</f>
        <v>20190305135948177</v>
      </c>
      <c r="B6209" t="str">
        <f>"1551765588165443"</f>
        <v>1551765588165443</v>
      </c>
      <c r="C6209" t="s">
        <v>40</v>
      </c>
      <c r="D6209">
        <v>3.6623019999999999</v>
      </c>
      <c r="E6209">
        <v>0.52505579999999996</v>
      </c>
      <c r="F6209" t="s">
        <v>42</v>
      </c>
      <c r="G6209">
        <v>-189.1283</v>
      </c>
      <c r="H6209" s="1">
        <v>-1.4027130000000001E-6</v>
      </c>
      <c r="I6209">
        <v>22.542069999999999</v>
      </c>
      <c r="J6209">
        <v>-187.80359999999999</v>
      </c>
      <c r="K6209">
        <v>1.1084179999999999</v>
      </c>
      <c r="L6209">
        <v>-7.1640929999999896</v>
      </c>
      <c r="M6209">
        <v>5.4988990000000001E-2</v>
      </c>
      <c r="N6209">
        <v>-2.9267120000000002E-3</v>
      </c>
      <c r="O6209">
        <v>0.9984826</v>
      </c>
      <c r="P6209">
        <v>-0.10087409999999999</v>
      </c>
      <c r="Q6209">
        <v>-3.6217989999999999E-2</v>
      </c>
      <c r="R6209">
        <v>0.99423969999999995</v>
      </c>
      <c r="S6209">
        <v>-0.11465450000000001</v>
      </c>
      <c r="T6209">
        <v>-0.10488550000000001</v>
      </c>
      <c r="U6209">
        <v>3.0025019999999998</v>
      </c>
      <c r="V6209">
        <v>-0.1553494</v>
      </c>
      <c r="W6209">
        <v>-3.353631E-2</v>
      </c>
      <c r="X6209">
        <v>0.98729020000000001</v>
      </c>
      <c r="Y6209">
        <v>-9.3025389999999999E-2</v>
      </c>
      <c r="Z6209">
        <v>-3.1815639999999999E-2</v>
      </c>
      <c r="AA6209">
        <v>0.99515529999999996</v>
      </c>
      <c r="AB6209">
        <v>41</v>
      </c>
      <c r="AC6209">
        <v>-1.3247</v>
      </c>
      <c r="AD6209">
        <v>-1.1084194027130001</v>
      </c>
      <c r="AE6209">
        <v>29.706163</v>
      </c>
      <c r="AF6209">
        <v>-2.9521127703323899</v>
      </c>
      <c r="AG6209">
        <v>-1.1084194027130001</v>
      </c>
      <c r="AH6209">
        <v>29.547316378426899</v>
      </c>
      <c r="AI6209">
        <v>92.137717175112698</v>
      </c>
      <c r="AJ6209">
        <v>95.705565076311501</v>
      </c>
      <c r="AK6209">
        <v>29.715105056989501</v>
      </c>
      <c r="AL6209">
        <v>91.9218493269817</v>
      </c>
      <c r="AM6209">
        <v>98.942131753134504</v>
      </c>
      <c r="AN6209">
        <v>1.0000000295924001</v>
      </c>
    </row>
    <row r="6210" spans="1:40" x14ac:dyDescent="0.25">
      <c r="A6210" t="str">
        <f>"20190305135948199"</f>
        <v>20190305135948199</v>
      </c>
      <c r="B6210" t="str">
        <f>"1551765588195699"</f>
        <v>1551765588195699</v>
      </c>
      <c r="C6210" t="s">
        <v>40</v>
      </c>
      <c r="D6210">
        <v>3.6371030000000002</v>
      </c>
      <c r="E6210">
        <v>0.59464810000000001</v>
      </c>
      <c r="F6210" t="s">
        <v>42</v>
      </c>
      <c r="G6210">
        <v>-188.81700000000001</v>
      </c>
      <c r="H6210" s="1">
        <v>-1.4002050000000001E-6</v>
      </c>
      <c r="I6210">
        <v>22.407520000000002</v>
      </c>
      <c r="J6210">
        <v>-187.78110000000001</v>
      </c>
      <c r="K6210">
        <v>1.1084149999999999</v>
      </c>
      <c r="L6210">
        <v>-6.7501829999999998</v>
      </c>
      <c r="M6210">
        <v>5.4463659999999997E-2</v>
      </c>
      <c r="N6210">
        <v>-2.944838E-3</v>
      </c>
      <c r="O6210">
        <v>0.99851140000000005</v>
      </c>
      <c r="P6210">
        <v>-0.10106519999999999</v>
      </c>
      <c r="Q6210">
        <v>-3.6197729999999997E-2</v>
      </c>
      <c r="R6210">
        <v>0.99422109999999997</v>
      </c>
      <c r="S6210">
        <v>-0.10290530000000001</v>
      </c>
      <c r="T6210">
        <v>-0.1125541</v>
      </c>
      <c r="U6210">
        <v>3.0028380000000001</v>
      </c>
      <c r="V6210">
        <v>-0.1550195</v>
      </c>
      <c r="W6210">
        <v>-3.349883E-2</v>
      </c>
      <c r="X6210">
        <v>0.98734330000000003</v>
      </c>
      <c r="Y6210">
        <v>-8.8604760000000005E-2</v>
      </c>
      <c r="Z6210">
        <v>-3.4342579999999998E-2</v>
      </c>
      <c r="AA6210">
        <v>0.99547459999999999</v>
      </c>
      <c r="AB6210">
        <v>41</v>
      </c>
      <c r="AC6210">
        <v>-1.0358999999999901</v>
      </c>
      <c r="AD6210">
        <v>-1.1084164002050001</v>
      </c>
      <c r="AE6210">
        <v>29.157703000000001</v>
      </c>
      <c r="AF6210">
        <v>-2.6186251644351599</v>
      </c>
      <c r="AG6210">
        <v>-1.1084164002050001</v>
      </c>
      <c r="AH6210">
        <v>29.016127771270199</v>
      </c>
      <c r="AI6210">
        <v>92.178789660116294</v>
      </c>
      <c r="AJ6210">
        <v>95.156815681725604</v>
      </c>
      <c r="AK6210">
        <v>29.155127430809401</v>
      </c>
      <c r="AL6210">
        <v>91.919700722105205</v>
      </c>
      <c r="AM6210">
        <v>98.922975958772099</v>
      </c>
      <c r="AN6210">
        <v>1.00000000452325</v>
      </c>
    </row>
    <row r="6211" spans="1:40" x14ac:dyDescent="0.25">
      <c r="A6211" t="str">
        <f>"20190305135948221"</f>
        <v>20190305135948221</v>
      </c>
      <c r="B6211" t="str">
        <f>"1551765588215220"</f>
        <v>1551765588215220</v>
      </c>
      <c r="C6211" t="s">
        <v>40</v>
      </c>
      <c r="D6211">
        <v>3.8433929999999998</v>
      </c>
      <c r="E6211">
        <v>0.58589499999999906</v>
      </c>
      <c r="F6211" t="s">
        <v>97</v>
      </c>
      <c r="G6211">
        <v>-173.23830000000001</v>
      </c>
      <c r="H6211">
        <v>4.9192960000000001</v>
      </c>
      <c r="I6211">
        <v>96.304919999999996</v>
      </c>
      <c r="J6211">
        <v>-187.76</v>
      </c>
      <c r="K6211">
        <v>1.1084099999999999</v>
      </c>
      <c r="L6211">
        <v>-6.3574519999999897</v>
      </c>
      <c r="M6211">
        <v>5.3966100000000003E-2</v>
      </c>
      <c r="N6211">
        <v>-2.962148E-3</v>
      </c>
      <c r="O6211">
        <v>0.99853840000000005</v>
      </c>
      <c r="P6211">
        <v>-0.10097349999999999</v>
      </c>
      <c r="Q6211">
        <v>-3.5868299999999999E-2</v>
      </c>
      <c r="R6211">
        <v>0.99424230000000002</v>
      </c>
      <c r="S6211">
        <v>0.43260189999999998</v>
      </c>
      <c r="T6211">
        <v>0.113362</v>
      </c>
      <c r="U6211">
        <v>3.0655519999999998</v>
      </c>
      <c r="V6211">
        <v>-0.15443750000000001</v>
      </c>
      <c r="W6211">
        <v>-3.3152540000000001E-2</v>
      </c>
      <c r="X6211">
        <v>0.98744620000000005</v>
      </c>
      <c r="Y6211">
        <v>8.5986919999999994E-2</v>
      </c>
      <c r="Z6211">
        <v>3.9572589999999998E-2</v>
      </c>
      <c r="AA6211">
        <v>0.99551000000000001</v>
      </c>
      <c r="AB6211">
        <v>41</v>
      </c>
      <c r="AC6211">
        <v>14.5216999999999</v>
      </c>
      <c r="AD6211">
        <v>3.810886</v>
      </c>
      <c r="AE6211">
        <v>102.662372</v>
      </c>
      <c r="AF6211">
        <v>8.94813822720036</v>
      </c>
      <c r="AG6211">
        <v>3.810886</v>
      </c>
      <c r="AH6211">
        <v>103.15709507766699</v>
      </c>
      <c r="AI6211">
        <v>87.892217765946199</v>
      </c>
      <c r="AJ6211">
        <v>85.042411319999701</v>
      </c>
      <c r="AK6211">
        <v>103.614566035384</v>
      </c>
      <c r="AL6211">
        <v>91.8998487196166</v>
      </c>
      <c r="AM6211">
        <v>98.889100288542906</v>
      </c>
      <c r="AN6211">
        <v>1.00000001510457</v>
      </c>
    </row>
    <row r="6212" spans="1:40" x14ac:dyDescent="0.25">
      <c r="A6212" t="str">
        <f>"20190305135948244"</f>
        <v>20190305135948244</v>
      </c>
      <c r="B6212" t="str">
        <f>"1551765588234739"</f>
        <v>1551765588234739</v>
      </c>
      <c r="C6212" t="s">
        <v>40</v>
      </c>
      <c r="D6212">
        <v>3.8092929999999998</v>
      </c>
      <c r="E6212">
        <v>0.58152389999999998</v>
      </c>
      <c r="F6212" t="s">
        <v>70</v>
      </c>
      <c r="G6212">
        <v>-166.3297</v>
      </c>
      <c r="H6212">
        <v>3.0660539999999998</v>
      </c>
      <c r="I6212">
        <v>170.8663</v>
      </c>
      <c r="J6212">
        <v>-187.73650000000001</v>
      </c>
      <c r="K6212">
        <v>1.1084080000000001</v>
      </c>
      <c r="L6212">
        <v>-5.9156190000000004</v>
      </c>
      <c r="M6212">
        <v>5.3407080000000003E-2</v>
      </c>
      <c r="N6212">
        <v>-2.9818029999999999E-3</v>
      </c>
      <c r="O6212">
        <v>0.99856840000000002</v>
      </c>
      <c r="P6212">
        <v>-0.1010611</v>
      </c>
      <c r="Q6212">
        <v>-3.6209539999999998E-2</v>
      </c>
      <c r="R6212">
        <v>0.99422100000000002</v>
      </c>
      <c r="S6212">
        <v>0.36955260000000001</v>
      </c>
      <c r="T6212">
        <v>3.3758999999999997E-2</v>
      </c>
      <c r="U6212">
        <v>3.0561219999999998</v>
      </c>
      <c r="V6212">
        <v>-0.15396969999999999</v>
      </c>
      <c r="W6212">
        <v>-3.3475049999999999E-2</v>
      </c>
      <c r="X6212">
        <v>0.98750839999999995</v>
      </c>
      <c r="Y6212">
        <v>6.6844290000000001E-2</v>
      </c>
      <c r="Z6212">
        <v>1.3941749999999999E-2</v>
      </c>
      <c r="AA6212">
        <v>0.99766600000000005</v>
      </c>
      <c r="AB6212">
        <v>42</v>
      </c>
      <c r="AC6212">
        <v>21.4068</v>
      </c>
      <c r="AD6212">
        <v>1.957646</v>
      </c>
      <c r="AE6212">
        <v>176.78191899999999</v>
      </c>
      <c r="AF6212">
        <v>11.9333584262742</v>
      </c>
      <c r="AG6212">
        <v>1.957646</v>
      </c>
      <c r="AH6212">
        <v>177.65142713131101</v>
      </c>
      <c r="AI6212">
        <v>89.370068991740496</v>
      </c>
      <c r="AJ6212">
        <v>86.157050448560398</v>
      </c>
      <c r="AK6212">
        <v>178.06253671949901</v>
      </c>
      <c r="AL6212">
        <v>91.918337388561298</v>
      </c>
      <c r="AM6212">
        <v>98.862053400989595</v>
      </c>
      <c r="AN6212">
        <v>1.0000000437805701</v>
      </c>
    </row>
    <row r="6213" spans="1:40" x14ac:dyDescent="0.25">
      <c r="A6213" t="str">
        <f>"20190305135948266"</f>
        <v>20190305135948266</v>
      </c>
      <c r="B6213" t="str">
        <f>"1551765588255235"</f>
        <v>1551765588255235</v>
      </c>
      <c r="C6213" t="s">
        <v>40</v>
      </c>
      <c r="D6213">
        <v>3.8572039999999999</v>
      </c>
      <c r="E6213">
        <v>0.57895090000000005</v>
      </c>
      <c r="F6213" t="s">
        <v>70</v>
      </c>
      <c r="G6213">
        <v>-168.0205</v>
      </c>
      <c r="H6213">
        <v>0.95509619999999995</v>
      </c>
      <c r="I6213">
        <v>172.55680000000001</v>
      </c>
      <c r="J6213">
        <v>-187.7141</v>
      </c>
      <c r="K6213">
        <v>1.1084099999999999</v>
      </c>
      <c r="L6213">
        <v>-5.4915159999999998</v>
      </c>
      <c r="M6213">
        <v>5.28712E-2</v>
      </c>
      <c r="N6213">
        <v>-3.0008040000000001E-3</v>
      </c>
      <c r="O6213">
        <v>0.99859679999999995</v>
      </c>
      <c r="P6213">
        <v>-0.1010696</v>
      </c>
      <c r="Q6213">
        <v>-3.6590699999999997E-2</v>
      </c>
      <c r="R6213">
        <v>0.99420620000000004</v>
      </c>
      <c r="S6213">
        <v>0.33711239999999998</v>
      </c>
      <c r="T6213">
        <v>-2.6208160000000002E-3</v>
      </c>
      <c r="U6213">
        <v>3.0516049999999999</v>
      </c>
      <c r="V6213">
        <v>-0.15344739999999901</v>
      </c>
      <c r="W6213">
        <v>-3.3837970000000002E-2</v>
      </c>
      <c r="X6213">
        <v>0.98757729999999999</v>
      </c>
      <c r="Y6213">
        <v>5.709666E-2</v>
      </c>
      <c r="Z6213">
        <v>2.1383420000000001E-3</v>
      </c>
      <c r="AA6213">
        <v>0.99836639999999999</v>
      </c>
      <c r="AB6213">
        <v>42</v>
      </c>
      <c r="AC6213">
        <v>19.6936</v>
      </c>
      <c r="AD6213">
        <v>-0.1533138</v>
      </c>
      <c r="AE6213">
        <v>178.048316</v>
      </c>
      <c r="AF6213">
        <v>10.252376786268499</v>
      </c>
      <c r="AG6213">
        <v>-0.1533138</v>
      </c>
      <c r="AH6213">
        <v>178.840382664087</v>
      </c>
      <c r="AI6213">
        <v>90.049037206915898</v>
      </c>
      <c r="AJ6213">
        <v>86.718997779418004</v>
      </c>
      <c r="AK6213">
        <v>179.13407606127299</v>
      </c>
      <c r="AL6213">
        <v>91.9391430090336</v>
      </c>
      <c r="AM6213">
        <v>98.831859607947806</v>
      </c>
      <c r="AN6213">
        <v>1.0000000181278801</v>
      </c>
    </row>
    <row r="6214" spans="1:40" x14ac:dyDescent="0.25">
      <c r="A6214" t="str">
        <f>"20190305135948288"</f>
        <v>20190305135948288</v>
      </c>
      <c r="B6214" t="str">
        <f>"1551765588285491"</f>
        <v>1551765588285491</v>
      </c>
      <c r="C6214" t="s">
        <v>40</v>
      </c>
      <c r="D6214">
        <v>3.8736730000000001</v>
      </c>
      <c r="E6214">
        <v>0.57625780000000004</v>
      </c>
      <c r="F6214" t="s">
        <v>42</v>
      </c>
      <c r="G6214">
        <v>-176.31970000000001</v>
      </c>
      <c r="H6214">
        <v>7.9986650000000006E-2</v>
      </c>
      <c r="I6214">
        <v>103.504</v>
      </c>
      <c r="J6214">
        <v>-187.69319999999999</v>
      </c>
      <c r="K6214">
        <v>1.1084039999999999</v>
      </c>
      <c r="L6214">
        <v>-5.0902710000000004</v>
      </c>
      <c r="M6214">
        <v>5.2365080000000001E-2</v>
      </c>
      <c r="N6214">
        <v>-3.0188950000000002E-3</v>
      </c>
      <c r="O6214">
        <v>0.99862340000000005</v>
      </c>
      <c r="P6214">
        <v>-0.1009727</v>
      </c>
      <c r="Q6214">
        <v>-3.7137150000000001E-2</v>
      </c>
      <c r="R6214">
        <v>0.99419579999999996</v>
      </c>
      <c r="S6214">
        <v>0.3187256</v>
      </c>
      <c r="T6214">
        <v>-2.8767109999999999E-2</v>
      </c>
      <c r="U6214">
        <v>3.0488279999999999</v>
      </c>
      <c r="V6214">
        <v>-0.15284800000000001</v>
      </c>
      <c r="W6214">
        <v>-3.4366939999999999E-2</v>
      </c>
      <c r="X6214">
        <v>0.98765190000000003</v>
      </c>
      <c r="Y6214">
        <v>5.1746529999999999E-2</v>
      </c>
      <c r="Z6214">
        <v>-6.3731909999999899E-3</v>
      </c>
      <c r="AA6214">
        <v>0.99863990000000002</v>
      </c>
      <c r="AB6214">
        <v>42</v>
      </c>
      <c r="AC6214">
        <v>11.3734999999999</v>
      </c>
      <c r="AD6214">
        <v>-1.02841735</v>
      </c>
      <c r="AE6214">
        <v>108.59427100000001</v>
      </c>
      <c r="AF6214">
        <v>5.67081857406742</v>
      </c>
      <c r="AG6214">
        <v>-1.02841735</v>
      </c>
      <c r="AH6214">
        <v>109.031183658283</v>
      </c>
      <c r="AI6214">
        <v>90.539686848598507</v>
      </c>
      <c r="AJ6214">
        <v>87.022673193722795</v>
      </c>
      <c r="AK6214">
        <v>109.183399999597</v>
      </c>
      <c r="AL6214">
        <v>91.969468556916098</v>
      </c>
      <c r="AM6214">
        <v>98.797247016982098</v>
      </c>
      <c r="AN6214">
        <v>0.99999993662128395</v>
      </c>
    </row>
    <row r="6215" spans="1:40" x14ac:dyDescent="0.25">
      <c r="A6215" t="str">
        <f>"20190305135948310"</f>
        <v>20190305135948310</v>
      </c>
      <c r="B6215" t="str">
        <f>"1551765588305011"</f>
        <v>1551765588305011</v>
      </c>
      <c r="C6215" t="s">
        <v>40</v>
      </c>
      <c r="D6215">
        <v>3.919645</v>
      </c>
      <c r="E6215">
        <v>0.57501630000000004</v>
      </c>
      <c r="F6215" t="s">
        <v>42</v>
      </c>
      <c r="G6215">
        <v>-181.24430000000001</v>
      </c>
      <c r="H6215" s="1">
        <v>-2.6332699999999999E-6</v>
      </c>
      <c r="I6215">
        <v>60.540199999999999</v>
      </c>
      <c r="J6215">
        <v>-187.67150000000001</v>
      </c>
      <c r="K6215">
        <v>1.1084020000000001</v>
      </c>
      <c r="L6215">
        <v>-4.6708679999999996</v>
      </c>
      <c r="M6215">
        <v>5.1836809999999997E-2</v>
      </c>
      <c r="N6215">
        <v>-3.0379209999999999E-3</v>
      </c>
      <c r="O6215">
        <v>0.99865099999999996</v>
      </c>
      <c r="P6215">
        <v>-0.1010308</v>
      </c>
      <c r="Q6215">
        <v>-3.7810660000000003E-2</v>
      </c>
      <c r="R6215">
        <v>0.99416450000000001</v>
      </c>
      <c r="S6215">
        <v>0.29930109999999999</v>
      </c>
      <c r="T6215">
        <v>-5.1442500000000002E-2</v>
      </c>
      <c r="U6215">
        <v>3.0459900000000002</v>
      </c>
      <c r="V6215">
        <v>-0.15238109999999999</v>
      </c>
      <c r="W6215">
        <v>-3.5022369999999997E-2</v>
      </c>
      <c r="X6215">
        <v>0.9877011</v>
      </c>
      <c r="Y6215">
        <v>4.6059009999999997E-2</v>
      </c>
      <c r="Z6215">
        <v>-1.3772909999999999E-2</v>
      </c>
      <c r="AA6215">
        <v>0.99884379999999995</v>
      </c>
      <c r="AB6215">
        <v>42</v>
      </c>
      <c r="AC6215">
        <v>6.4271999999999903</v>
      </c>
      <c r="AD6215">
        <v>-1.1084046332699999</v>
      </c>
      <c r="AE6215">
        <v>65.211067999999997</v>
      </c>
      <c r="AF6215">
        <v>3.0373407689667098</v>
      </c>
      <c r="AG6215">
        <v>-1.1084046332699999</v>
      </c>
      <c r="AH6215">
        <v>65.437839077211294</v>
      </c>
      <c r="AI6215">
        <v>90.969355891843406</v>
      </c>
      <c r="AJ6215">
        <v>87.342485700913997</v>
      </c>
      <c r="AK6215">
        <v>65.517667715455801</v>
      </c>
      <c r="AL6215">
        <v>92.007044398674793</v>
      </c>
      <c r="AM6215">
        <v>98.770362708905296</v>
      </c>
      <c r="AN6215">
        <v>1.0000000144894099</v>
      </c>
    </row>
    <row r="6216" spans="1:40" x14ac:dyDescent="0.25">
      <c r="A6216" t="str">
        <f>"20190305135948335"</f>
        <v>20190305135948335</v>
      </c>
      <c r="B6216" t="str">
        <f>"1551765588325507"</f>
        <v>1551765588325507</v>
      </c>
      <c r="C6216" t="s">
        <v>40</v>
      </c>
      <c r="D6216">
        <v>3.9095930000000001</v>
      </c>
      <c r="E6216">
        <v>0.57389699999999999</v>
      </c>
      <c r="F6216" t="s">
        <v>42</v>
      </c>
      <c r="G6216">
        <v>-182.61080000000001</v>
      </c>
      <c r="H6216" s="1">
        <v>-5.1068690000000004E-6</v>
      </c>
      <c r="I6216">
        <v>48.481670000000001</v>
      </c>
      <c r="J6216">
        <v>-187.64750000000001</v>
      </c>
      <c r="K6216">
        <v>1.1083940000000001</v>
      </c>
      <c r="L6216">
        <v>-4.2012330000000002</v>
      </c>
      <c r="M6216">
        <v>5.1246029999999998E-2</v>
      </c>
      <c r="N6216">
        <v>-3.0593320000000001E-3</v>
      </c>
      <c r="O6216">
        <v>0.99868140000000005</v>
      </c>
      <c r="P6216">
        <v>-0.1005437</v>
      </c>
      <c r="Q6216">
        <v>-3.8504040000000003E-2</v>
      </c>
      <c r="R6216">
        <v>0.9941873</v>
      </c>
      <c r="S6216">
        <v>0.28988649999999999</v>
      </c>
      <c r="T6216">
        <v>-6.3490989999999997E-2</v>
      </c>
      <c r="U6216">
        <v>3.0446469999999999</v>
      </c>
      <c r="V6216">
        <v>-0.15130969999999999</v>
      </c>
      <c r="W6216">
        <v>-3.5694320000000002E-2</v>
      </c>
      <c r="X6216">
        <v>0.98784170000000004</v>
      </c>
      <c r="Y6216">
        <v>4.3626659999999998E-2</v>
      </c>
      <c r="Z6216">
        <v>-1.7699579999999999E-2</v>
      </c>
      <c r="AA6216">
        <v>0.99889110000000003</v>
      </c>
      <c r="AB6216">
        <v>42</v>
      </c>
      <c r="AC6216">
        <v>5.03669999999999</v>
      </c>
      <c r="AD6216">
        <v>-1.108399106869</v>
      </c>
      <c r="AE6216">
        <v>52.682903000000003</v>
      </c>
      <c r="AF6216">
        <v>2.3292581323778498</v>
      </c>
      <c r="AG6216">
        <v>-1.108399106869</v>
      </c>
      <c r="AH6216">
        <v>52.848611055461099</v>
      </c>
      <c r="AI6216">
        <v>91.200328929334304</v>
      </c>
      <c r="AJ6216">
        <v>87.476369885516803</v>
      </c>
      <c r="AK6216">
        <v>52.911526934296198</v>
      </c>
      <c r="AL6216">
        <v>92.045568484136197</v>
      </c>
      <c r="AM6216">
        <v>98.708425995715402</v>
      </c>
      <c r="AN6216">
        <v>0.99999996702661997</v>
      </c>
    </row>
    <row r="6217" spans="1:40" x14ac:dyDescent="0.25">
      <c r="A6217" t="str">
        <f>"20190305135948359"</f>
        <v>20190305135948359</v>
      </c>
      <c r="B6217" t="str">
        <f>"1551765588354789"</f>
        <v>1551765588354789</v>
      </c>
      <c r="C6217" t="s">
        <v>40</v>
      </c>
      <c r="D6217">
        <v>3.9125130000000001</v>
      </c>
      <c r="E6217">
        <v>0.57279009999999997</v>
      </c>
      <c r="F6217" t="s">
        <v>42</v>
      </c>
      <c r="G6217">
        <v>-183.5061</v>
      </c>
      <c r="H6217" s="1">
        <v>-1.9528690000000002E-6</v>
      </c>
      <c r="I6217">
        <v>40.30921</v>
      </c>
      <c r="J6217">
        <v>-187.62469999999999</v>
      </c>
      <c r="K6217">
        <v>1.1083889999999901</v>
      </c>
      <c r="L6217">
        <v>-3.7503660000000001</v>
      </c>
      <c r="M6217">
        <v>5.0679750000000003E-2</v>
      </c>
      <c r="N6217">
        <v>-3.0799680000000002E-3</v>
      </c>
      <c r="O6217">
        <v>0.99871019999999999</v>
      </c>
      <c r="P6217">
        <v>-0.10010040000000001</v>
      </c>
      <c r="Q6217">
        <v>-3.8871839999999998E-2</v>
      </c>
      <c r="R6217">
        <v>0.99421780000000004</v>
      </c>
      <c r="S6217">
        <v>0.2831573</v>
      </c>
      <c r="T6217">
        <v>-7.5782660000000002E-2</v>
      </c>
      <c r="U6217">
        <v>3.0432429999999999</v>
      </c>
      <c r="V6217">
        <v>-0.1503082</v>
      </c>
      <c r="W6217">
        <v>-3.6041509999999999E-2</v>
      </c>
      <c r="X6217">
        <v>0.98798200000000003</v>
      </c>
      <c r="Y6217">
        <v>4.2039699999999999E-2</v>
      </c>
      <c r="Z6217">
        <v>-2.1709900000000001E-2</v>
      </c>
      <c r="AA6217">
        <v>0.99887999999999999</v>
      </c>
      <c r="AB6217">
        <v>42</v>
      </c>
      <c r="AC6217">
        <v>4.1185999999999803</v>
      </c>
      <c r="AD6217">
        <v>-1.1083909528689999</v>
      </c>
      <c r="AE6217">
        <v>44.059576</v>
      </c>
      <c r="AF6217">
        <v>1.8791895084760999</v>
      </c>
      <c r="AG6217">
        <v>-1.1083909528689999</v>
      </c>
      <c r="AH6217">
        <v>44.183967673306</v>
      </c>
      <c r="AI6217">
        <v>91.435712696148599</v>
      </c>
      <c r="AJ6217">
        <v>87.564619408285296</v>
      </c>
      <c r="AK6217">
        <v>44.237799256618899</v>
      </c>
      <c r="AL6217">
        <v>92.065473769728996</v>
      </c>
      <c r="AM6217">
        <v>98.650451019486596</v>
      </c>
      <c r="AN6217">
        <v>0.99999998887715902</v>
      </c>
    </row>
    <row r="6218" spans="1:40" x14ac:dyDescent="0.25">
      <c r="A6218" t="str">
        <f>"20190305135948381"</f>
        <v>20190305135948381</v>
      </c>
      <c r="B6218" t="str">
        <f>"1551765588375283"</f>
        <v>1551765588375283</v>
      </c>
      <c r="C6218" t="s">
        <v>40</v>
      </c>
      <c r="D6218">
        <v>3.962971</v>
      </c>
      <c r="E6218">
        <v>0.57256189999999996</v>
      </c>
      <c r="F6218" t="s">
        <v>42</v>
      </c>
      <c r="G6218">
        <v>-184.04150000000001</v>
      </c>
      <c r="H6218" s="1">
        <v>-3.649615E-6</v>
      </c>
      <c r="I6218">
        <v>35.676359999999903</v>
      </c>
      <c r="J6218">
        <v>-187.60329999999999</v>
      </c>
      <c r="K6218">
        <v>1.1083799999999999</v>
      </c>
      <c r="L6218">
        <v>-3.3221129999999999</v>
      </c>
      <c r="M6218">
        <v>5.0142409999999998E-2</v>
      </c>
      <c r="N6218">
        <v>-3.0996169999999998E-3</v>
      </c>
      <c r="O6218">
        <v>0.99873730000000005</v>
      </c>
      <c r="P6218">
        <v>-9.9383529999999998E-2</v>
      </c>
      <c r="Q6218">
        <v>-3.8669540000000002E-2</v>
      </c>
      <c r="R6218">
        <v>0.99429749999999995</v>
      </c>
      <c r="S6218">
        <v>0.2764587</v>
      </c>
      <c r="T6218">
        <v>-8.5516930000000005E-2</v>
      </c>
      <c r="U6218">
        <v>3.0419309999999999</v>
      </c>
      <c r="V6218">
        <v>-0.14906420000000001</v>
      </c>
      <c r="W6218">
        <v>-3.5818879999999997E-2</v>
      </c>
      <c r="X6218">
        <v>0.98817860000000002</v>
      </c>
      <c r="Y6218">
        <v>4.0428909999999998E-2</v>
      </c>
      <c r="Z6218">
        <v>-2.488806E-2</v>
      </c>
      <c r="AA6218">
        <v>0.99887239999999999</v>
      </c>
      <c r="AB6218">
        <v>43</v>
      </c>
      <c r="AC6218">
        <v>3.5617999999999701</v>
      </c>
      <c r="AD6218">
        <v>-1.1083836496149999</v>
      </c>
      <c r="AE6218">
        <v>38.998472999999997</v>
      </c>
      <c r="AF6218">
        <v>1.60055056337212</v>
      </c>
      <c r="AG6218">
        <v>-1.1083836496149999</v>
      </c>
      <c r="AH6218">
        <v>39.096693902564802</v>
      </c>
      <c r="AI6218">
        <v>91.622530889098101</v>
      </c>
      <c r="AJ6218">
        <v>87.655719604998097</v>
      </c>
      <c r="AK6218">
        <v>39.145136997224697</v>
      </c>
      <c r="AL6218">
        <v>92.052709670286305</v>
      </c>
      <c r="AM6218">
        <v>98.578245305732906</v>
      </c>
      <c r="AN6218">
        <v>1.0000000366920201</v>
      </c>
    </row>
    <row r="6219" spans="1:40" x14ac:dyDescent="0.25">
      <c r="A6219" t="str">
        <f>"20190305135948400"</f>
        <v>20190305135948400</v>
      </c>
      <c r="B6219" t="str">
        <f>"1551765588394803"</f>
        <v>1551765588394803</v>
      </c>
      <c r="C6219" t="s">
        <v>40</v>
      </c>
      <c r="D6219">
        <v>3.9176090000000001</v>
      </c>
      <c r="E6219">
        <v>0.57232399999999894</v>
      </c>
      <c r="F6219" t="s">
        <v>42</v>
      </c>
      <c r="G6219">
        <v>-183.98509999999999</v>
      </c>
      <c r="H6219" s="1">
        <v>-3.9804930000000003E-6</v>
      </c>
      <c r="I6219">
        <v>36.424320000000002</v>
      </c>
      <c r="J6219">
        <v>-187.5848</v>
      </c>
      <c r="K6219">
        <v>1.1083750000000001</v>
      </c>
      <c r="L6219">
        <v>-2.9493710000000002</v>
      </c>
      <c r="M6219">
        <v>4.9675169999999998E-2</v>
      </c>
      <c r="N6219">
        <v>-3.1168060000000002E-3</v>
      </c>
      <c r="O6219">
        <v>0.9987606</v>
      </c>
      <c r="P6219">
        <v>-9.8284979999999994E-2</v>
      </c>
      <c r="Q6219">
        <v>-3.8820960000000002E-2</v>
      </c>
      <c r="R6219">
        <v>0.99440079999999997</v>
      </c>
      <c r="S6219">
        <v>0.27688600000000002</v>
      </c>
      <c r="T6219">
        <v>-8.4819080000000005E-2</v>
      </c>
      <c r="U6219">
        <v>3.041595</v>
      </c>
      <c r="V6219">
        <v>-0.14750969999999999</v>
      </c>
      <c r="W6219">
        <v>-3.5951629999999998E-2</v>
      </c>
      <c r="X6219">
        <v>0.98840700000000004</v>
      </c>
      <c r="Y6219">
        <v>4.1045970000000001E-2</v>
      </c>
      <c r="Z6219">
        <v>-2.464618E-2</v>
      </c>
      <c r="AA6219">
        <v>0.99885330000000006</v>
      </c>
      <c r="AB6219">
        <v>43</v>
      </c>
      <c r="AC6219">
        <v>3.5997000000000101</v>
      </c>
      <c r="AD6219">
        <v>-1.108378980493</v>
      </c>
      <c r="AE6219">
        <v>39.373691000000001</v>
      </c>
      <c r="AF6219">
        <v>1.63806433892611</v>
      </c>
      <c r="AG6219">
        <v>-1.108378980493</v>
      </c>
      <c r="AH6219">
        <v>39.472876936434503</v>
      </c>
      <c r="AI6219">
        <v>91.607032256773493</v>
      </c>
      <c r="AJ6219">
        <v>87.6236758020775</v>
      </c>
      <c r="AK6219">
        <v>39.522395833018102</v>
      </c>
      <c r="AL6219">
        <v>92.060320632607599</v>
      </c>
      <c r="AM6219">
        <v>98.488165163825897</v>
      </c>
      <c r="AN6219">
        <v>1.0000000144713701</v>
      </c>
    </row>
    <row r="6220" spans="1:40" x14ac:dyDescent="0.25">
      <c r="A6220" t="str">
        <f>"20190305135948423"</f>
        <v>20190305135948423</v>
      </c>
      <c r="B6220" t="str">
        <f>"1551765588415299"</f>
        <v>1551765588415299</v>
      </c>
      <c r="C6220" t="s">
        <v>40</v>
      </c>
      <c r="D6220">
        <v>3.9520270000000002</v>
      </c>
      <c r="E6220">
        <v>0.57198260000000001</v>
      </c>
      <c r="F6220" t="s">
        <v>42</v>
      </c>
      <c r="G6220">
        <v>-183.9348</v>
      </c>
      <c r="H6220" s="1">
        <v>-4.2161479999999998E-6</v>
      </c>
      <c r="I6220">
        <v>36.952840000000002</v>
      </c>
      <c r="J6220">
        <v>-187.56399999999999</v>
      </c>
      <c r="K6220">
        <v>1.1083719999999999</v>
      </c>
      <c r="L6220">
        <v>-2.5238339999999999</v>
      </c>
      <c r="M6220">
        <v>4.9142350000000001E-2</v>
      </c>
      <c r="N6220">
        <v>-3.1365E-3</v>
      </c>
      <c r="O6220">
        <v>0.99878690000000003</v>
      </c>
      <c r="P6220">
        <v>-9.7602990000000001E-2</v>
      </c>
      <c r="Q6220">
        <v>-3.9509120000000002E-2</v>
      </c>
      <c r="R6220">
        <v>0.99444089999999996</v>
      </c>
      <c r="S6220">
        <v>0.27818300000000001</v>
      </c>
      <c r="T6220">
        <v>-8.4473129999999994E-2</v>
      </c>
      <c r="U6220">
        <v>3.041077</v>
      </c>
      <c r="V6220">
        <v>-0.14630190000000001</v>
      </c>
      <c r="W6220">
        <v>-3.6619510000000001E-2</v>
      </c>
      <c r="X6220">
        <v>0.98856200000000005</v>
      </c>
      <c r="Y6220">
        <v>4.201705E-2</v>
      </c>
      <c r="Z6220">
        <v>-2.4518069999999999E-2</v>
      </c>
      <c r="AA6220">
        <v>0.99881600000000004</v>
      </c>
      <c r="AB6220">
        <v>43</v>
      </c>
      <c r="AC6220">
        <v>3.62920000000002</v>
      </c>
      <c r="AD6220">
        <v>-1.108376216148</v>
      </c>
      <c r="AE6220">
        <v>39.476673999999903</v>
      </c>
      <c r="AF6220">
        <v>1.6835131106502801</v>
      </c>
      <c r="AG6220">
        <v>-1.108376216148</v>
      </c>
      <c r="AH6220">
        <v>39.576388776812401</v>
      </c>
      <c r="AI6220">
        <v>91.602757402099598</v>
      </c>
      <c r="AJ6220">
        <v>87.564202257672505</v>
      </c>
      <c r="AK6220">
        <v>39.627683036529596</v>
      </c>
      <c r="AL6220">
        <v>92.098612519662197</v>
      </c>
      <c r="AM6220">
        <v>98.418363641866605</v>
      </c>
      <c r="AN6220">
        <v>1.00000003115012</v>
      </c>
    </row>
    <row r="6221" spans="1:40" x14ac:dyDescent="0.25">
      <c r="A6221" t="str">
        <f>"20190305135948444"</f>
        <v>20190305135948444</v>
      </c>
      <c r="B6221" t="str">
        <f>"1551765588434819"</f>
        <v>1551765588434819</v>
      </c>
      <c r="C6221" t="s">
        <v>40</v>
      </c>
      <c r="D6221">
        <v>3.9820570000000002</v>
      </c>
      <c r="E6221">
        <v>0.57170509999999997</v>
      </c>
      <c r="F6221" t="s">
        <v>42</v>
      </c>
      <c r="G6221">
        <v>-184.16399999999999</v>
      </c>
      <c r="H6221" s="1">
        <v>-3.270826E-6</v>
      </c>
      <c r="I6221">
        <v>34.6965</v>
      </c>
      <c r="J6221">
        <v>-187.54300000000001</v>
      </c>
      <c r="K6221">
        <v>1.108368</v>
      </c>
      <c r="L6221">
        <v>-2.090973</v>
      </c>
      <c r="M6221">
        <v>4.8600949999999997E-2</v>
      </c>
      <c r="N6221">
        <v>-3.1566239999999998E-3</v>
      </c>
      <c r="O6221">
        <v>0.99881330000000002</v>
      </c>
      <c r="P6221">
        <v>-9.6998719999999997E-2</v>
      </c>
      <c r="Q6221">
        <v>-3.988179E-2</v>
      </c>
      <c r="R6221">
        <v>0.99448510000000001</v>
      </c>
      <c r="S6221">
        <v>0.2777405</v>
      </c>
      <c r="T6221">
        <v>-9.0540410000000002E-2</v>
      </c>
      <c r="U6221">
        <v>3.0404360000000001</v>
      </c>
      <c r="V6221">
        <v>-0.14516389999999901</v>
      </c>
      <c r="W6221">
        <v>-3.6971579999999997E-2</v>
      </c>
      <c r="X6221">
        <v>0.98871659999999995</v>
      </c>
      <c r="Y6221">
        <v>4.2428830000000001E-2</v>
      </c>
      <c r="Z6221">
        <v>-2.648942E-2</v>
      </c>
      <c r="AA6221">
        <v>0.99874819999999997</v>
      </c>
      <c r="AB6221">
        <v>43</v>
      </c>
      <c r="AC6221">
        <v>3.3789999999999898</v>
      </c>
      <c r="AD6221">
        <v>-1.1083712708260001</v>
      </c>
      <c r="AE6221">
        <v>36.787472999999999</v>
      </c>
      <c r="AF6221">
        <v>1.58566453310214</v>
      </c>
      <c r="AG6221">
        <v>-1.1083712708260001</v>
      </c>
      <c r="AH6221">
        <v>36.875029742498299</v>
      </c>
      <c r="AI6221">
        <v>91.720061058266793</v>
      </c>
      <c r="AJ6221">
        <v>87.537738941444601</v>
      </c>
      <c r="AK6221">
        <v>36.925744913212903</v>
      </c>
      <c r="AL6221">
        <v>92.118798410833705</v>
      </c>
      <c r="AM6221">
        <v>98.3525217408814</v>
      </c>
      <c r="AN6221">
        <v>0.99999998535323298</v>
      </c>
    </row>
    <row r="6222" spans="1:40" x14ac:dyDescent="0.25">
      <c r="A6222" t="str">
        <f>"20190305135948468"</f>
        <v>20190305135948468</v>
      </c>
      <c r="B6222" t="str">
        <f>"1551765588465075"</f>
        <v>1551765588465075</v>
      </c>
      <c r="C6222" t="s">
        <v>40</v>
      </c>
      <c r="D6222">
        <v>3.9766330000000001</v>
      </c>
      <c r="E6222">
        <v>0.57128449999999997</v>
      </c>
      <c r="F6222" t="s">
        <v>42</v>
      </c>
      <c r="G6222">
        <v>-184.1824</v>
      </c>
      <c r="H6222" s="1">
        <v>-3.2778440000000001E-6</v>
      </c>
      <c r="I6222">
        <v>34.731520000000003</v>
      </c>
      <c r="J6222">
        <v>-187.52180000000001</v>
      </c>
      <c r="K6222">
        <v>1.1083620000000001</v>
      </c>
      <c r="L6222">
        <v>-1.6491389999999999</v>
      </c>
      <c r="M6222">
        <v>4.8049050000000003E-2</v>
      </c>
      <c r="N6222">
        <v>-3.1772139999999998E-3</v>
      </c>
      <c r="O6222">
        <v>0.9988399</v>
      </c>
      <c r="P6222">
        <v>-9.6246999999999999E-2</v>
      </c>
      <c r="Q6222">
        <v>-4.0501099999999998E-2</v>
      </c>
      <c r="R6222">
        <v>0.99453309999999995</v>
      </c>
      <c r="S6222">
        <v>0.27745059999999999</v>
      </c>
      <c r="T6222">
        <v>-9.1506359999999995E-2</v>
      </c>
      <c r="U6222">
        <v>3.0400390000000002</v>
      </c>
      <c r="V6222">
        <v>-0.143867299999999</v>
      </c>
      <c r="W6222">
        <v>-3.7569569999999997E-2</v>
      </c>
      <c r="X6222">
        <v>0.98888359999999997</v>
      </c>
      <c r="Y6222">
        <v>4.2897409999999997E-2</v>
      </c>
      <c r="Z6222">
        <v>-2.678966E-2</v>
      </c>
      <c r="AA6222">
        <v>0.99872019999999995</v>
      </c>
      <c r="AB6222">
        <v>43</v>
      </c>
      <c r="AC6222">
        <v>3.3394000000000101</v>
      </c>
      <c r="AD6222">
        <v>-1.1083652778440001</v>
      </c>
      <c r="AE6222">
        <v>36.380659000000001</v>
      </c>
      <c r="AF6222">
        <v>1.58601812418305</v>
      </c>
      <c r="AG6222">
        <v>-1.1083652778440001</v>
      </c>
      <c r="AH6222">
        <v>36.4655306954716</v>
      </c>
      <c r="AI6222">
        <v>91.739318766014904</v>
      </c>
      <c r="AJ6222">
        <v>87.5095684292111</v>
      </c>
      <c r="AK6222">
        <v>36.516829763572701</v>
      </c>
      <c r="AL6222">
        <v>92.153084454555994</v>
      </c>
      <c r="AM6222">
        <v>98.277577155487805</v>
      </c>
      <c r="AN6222">
        <v>1.00000002347411</v>
      </c>
    </row>
    <row r="6223" spans="1:40" x14ac:dyDescent="0.25">
      <c r="A6223" t="str">
        <f>"20190305135948489"</f>
        <v>20190305135948489</v>
      </c>
      <c r="B6223" t="str">
        <f>"1551765588485571"</f>
        <v>1551765588485571</v>
      </c>
      <c r="C6223" t="s">
        <v>40</v>
      </c>
      <c r="D6223">
        <v>4.005782</v>
      </c>
      <c r="E6223">
        <v>0.57098470000000001</v>
      </c>
      <c r="F6223" t="s">
        <v>42</v>
      </c>
      <c r="G6223">
        <v>-184.36789999999999</v>
      </c>
      <c r="H6223" s="1">
        <v>-2.6416939999999999E-6</v>
      </c>
      <c r="I6223">
        <v>33.007190000000001</v>
      </c>
      <c r="J6223">
        <v>-187.5016</v>
      </c>
      <c r="K6223">
        <v>1.1083670000000001</v>
      </c>
      <c r="L6223">
        <v>-1.222351</v>
      </c>
      <c r="M6223">
        <v>4.7516540000000003E-2</v>
      </c>
      <c r="N6223">
        <v>-3.1972160000000001E-3</v>
      </c>
      <c r="O6223">
        <v>0.99886529999999996</v>
      </c>
      <c r="P6223">
        <v>-9.5391740000000003E-2</v>
      </c>
      <c r="Q6223">
        <v>-4.093741E-2</v>
      </c>
      <c r="R6223">
        <v>0.99459770000000003</v>
      </c>
      <c r="S6223">
        <v>0.27659610000000001</v>
      </c>
      <c r="T6223">
        <v>-9.7201819999999994E-2</v>
      </c>
      <c r="U6223">
        <v>3.039307</v>
      </c>
      <c r="V6223">
        <v>-0.14248859999999999</v>
      </c>
      <c r="W6223">
        <v>-3.7984900000000002E-2</v>
      </c>
      <c r="X6223">
        <v>0.98906729999999998</v>
      </c>
      <c r="Y6223">
        <v>4.3168529999999997E-2</v>
      </c>
      <c r="Z6223">
        <v>-2.8641670000000001E-2</v>
      </c>
      <c r="AA6223">
        <v>0.99865720000000002</v>
      </c>
      <c r="AB6223">
        <v>43</v>
      </c>
      <c r="AC6223">
        <v>3.1337000000000002</v>
      </c>
      <c r="AD6223">
        <v>-1.1083696416940001</v>
      </c>
      <c r="AE6223">
        <v>34.229540999999998</v>
      </c>
      <c r="AF6223">
        <v>1.5021206955572699</v>
      </c>
      <c r="AG6223">
        <v>-1.1083696416940001</v>
      </c>
      <c r="AH6223">
        <v>34.304111217316198</v>
      </c>
      <c r="AI6223">
        <v>91.848818804654002</v>
      </c>
      <c r="AJ6223">
        <v>87.492713595687206</v>
      </c>
      <c r="AK6223">
        <v>34.354867140721801</v>
      </c>
      <c r="AL6223">
        <v>92.176898184229003</v>
      </c>
      <c r="AM6223">
        <v>98.197833520774907</v>
      </c>
      <c r="AN6223">
        <v>0.99999998884362995</v>
      </c>
    </row>
    <row r="6224" spans="1:40" x14ac:dyDescent="0.25">
      <c r="A6224" t="str">
        <f>"20190305135948512"</f>
        <v>20190305135948512</v>
      </c>
      <c r="B6224" t="str">
        <f>"1551765588505565"</f>
        <v>1551765588505565</v>
      </c>
      <c r="C6224" t="s">
        <v>40</v>
      </c>
      <c r="D6224">
        <v>4.0191100000000004</v>
      </c>
      <c r="E6224">
        <v>0.57055319999999898</v>
      </c>
      <c r="F6224" t="s">
        <v>42</v>
      </c>
      <c r="G6224">
        <v>-184.50640000000001</v>
      </c>
      <c r="H6224" s="1">
        <v>-2.1343940000000001E-6</v>
      </c>
      <c r="I6224">
        <v>31.624759999999998</v>
      </c>
      <c r="J6224">
        <v>-187.4804</v>
      </c>
      <c r="K6224">
        <v>1.108363</v>
      </c>
      <c r="L6224">
        <v>-0.77145390000000003</v>
      </c>
      <c r="M6224">
        <v>4.6954650000000001E-2</v>
      </c>
      <c r="N6224">
        <v>-3.2183870000000001E-3</v>
      </c>
      <c r="O6224">
        <v>0.9988918</v>
      </c>
      <c r="P6224">
        <v>-9.4740630000000006E-2</v>
      </c>
      <c r="Q6224">
        <v>-4.12036E-2</v>
      </c>
      <c r="R6224">
        <v>0.99464889999999995</v>
      </c>
      <c r="S6224">
        <v>0.27708440000000001</v>
      </c>
      <c r="T6224">
        <v>-0.1025345</v>
      </c>
      <c r="U6224">
        <v>3.0386660000000001</v>
      </c>
      <c r="V6224">
        <v>-0.14128299999999999</v>
      </c>
      <c r="W6224">
        <v>-3.8229260000000001E-2</v>
      </c>
      <c r="X6224">
        <v>0.98923079999999997</v>
      </c>
      <c r="Y6224">
        <v>4.3903860000000003E-2</v>
      </c>
      <c r="Z6224">
        <v>-3.0372639999999999E-2</v>
      </c>
      <c r="AA6224">
        <v>0.99857399999999996</v>
      </c>
      <c r="AB6224">
        <v>44</v>
      </c>
      <c r="AC6224">
        <v>2.9739999999999802</v>
      </c>
      <c r="AD6224">
        <v>-1.108365134394</v>
      </c>
      <c r="AE6224">
        <v>32.396213899999999</v>
      </c>
      <c r="AF6224">
        <v>1.4478782886586901</v>
      </c>
      <c r="AG6224">
        <v>-1.108365134394</v>
      </c>
      <c r="AH6224">
        <v>32.462444827111199</v>
      </c>
      <c r="AI6224">
        <v>91.953549326804804</v>
      </c>
      <c r="AJ6224">
        <v>87.446206777563901</v>
      </c>
      <c r="AK6224">
        <v>32.513614824610798</v>
      </c>
      <c r="AL6224">
        <v>92.190909201224201</v>
      </c>
      <c r="AM6224">
        <v>98.128076782246893</v>
      </c>
      <c r="AN6224">
        <v>0.99999996903889299</v>
      </c>
    </row>
    <row r="6225" spans="1:40" x14ac:dyDescent="0.25">
      <c r="A6225" t="str">
        <f>"20190305135948535"</f>
        <v>20190305135948535</v>
      </c>
      <c r="B6225" t="str">
        <f>"1551765588525085"</f>
        <v>1551765588525085</v>
      </c>
      <c r="C6225" t="s">
        <v>40</v>
      </c>
      <c r="D6225">
        <v>4.0454410000000003</v>
      </c>
      <c r="E6225">
        <v>0.57021250000000001</v>
      </c>
      <c r="F6225" t="s">
        <v>42</v>
      </c>
      <c r="G6225">
        <v>-184.60849999999999</v>
      </c>
      <c r="H6225" s="1">
        <v>-1.839785E-6</v>
      </c>
      <c r="I6225">
        <v>30.838909999999998</v>
      </c>
      <c r="J6225">
        <v>-187.4599</v>
      </c>
      <c r="K6225">
        <v>1.1083609999999999</v>
      </c>
      <c r="L6225">
        <v>-0.32885740000000002</v>
      </c>
      <c r="M6225">
        <v>4.6403750000000001E-2</v>
      </c>
      <c r="N6225">
        <v>-3.2390850000000001E-3</v>
      </c>
      <c r="O6225">
        <v>0.99891750000000001</v>
      </c>
      <c r="P6225">
        <v>-9.4326069999999998E-2</v>
      </c>
      <c r="Q6225">
        <v>-4.1326170000000002E-2</v>
      </c>
      <c r="R6225">
        <v>0.99468330000000005</v>
      </c>
      <c r="S6225">
        <v>0.27601619999999999</v>
      </c>
      <c r="T6225">
        <v>-0.1065233</v>
      </c>
      <c r="U6225">
        <v>3.0380250000000002</v>
      </c>
      <c r="V6225">
        <v>-0.14032439999999999</v>
      </c>
      <c r="W6225">
        <v>-3.8330910000000003E-2</v>
      </c>
      <c r="X6225">
        <v>0.98936329999999995</v>
      </c>
      <c r="Y6225">
        <v>4.4121920000000002E-2</v>
      </c>
      <c r="Z6225">
        <v>-3.1665930000000002E-2</v>
      </c>
      <c r="AA6225">
        <v>0.99852419999999997</v>
      </c>
      <c r="AB6225">
        <v>44</v>
      </c>
      <c r="AC6225">
        <v>2.8514000000000101</v>
      </c>
      <c r="AD6225">
        <v>-1.1083628397849901</v>
      </c>
      <c r="AE6225">
        <v>31.167767399999999</v>
      </c>
      <c r="AF6225">
        <v>1.40026337500911</v>
      </c>
      <c r="AG6225">
        <v>-1.1083628397849901</v>
      </c>
      <c r="AH6225">
        <v>31.227346139688699</v>
      </c>
      <c r="AI6225">
        <v>92.030726442451595</v>
      </c>
      <c r="AJ6225">
        <v>87.432523612705694</v>
      </c>
      <c r="AK6225">
        <v>31.2783687655213</v>
      </c>
      <c r="AL6225">
        <v>92.196737592388502</v>
      </c>
      <c r="AM6225">
        <v>98.072590636066593</v>
      </c>
      <c r="AN6225">
        <v>0.99999996764183796</v>
      </c>
    </row>
    <row r="6226" spans="1:40" x14ac:dyDescent="0.25">
      <c r="A6226" t="str">
        <f>"20190305135948560"</f>
        <v>20190305135948560</v>
      </c>
      <c r="B6226" t="str">
        <f>"1551765588555341"</f>
        <v>1551765588555341</v>
      </c>
      <c r="C6226" t="s">
        <v>40</v>
      </c>
      <c r="D6226">
        <v>4.0255619999999999</v>
      </c>
      <c r="E6226">
        <v>0.56977670000000002</v>
      </c>
      <c r="F6226" t="s">
        <v>42</v>
      </c>
      <c r="G6226">
        <v>-184.67179999999999</v>
      </c>
      <c r="H6226" s="1">
        <v>-1.7046820000000001E-6</v>
      </c>
      <c r="I6226">
        <v>30.491340000000001</v>
      </c>
      <c r="J6226">
        <v>-187.43799999999999</v>
      </c>
      <c r="K6226">
        <v>1.108368</v>
      </c>
      <c r="L6226">
        <v>0.15118409999999999</v>
      </c>
      <c r="M6226">
        <v>4.5807100000000003E-2</v>
      </c>
      <c r="N6226">
        <v>-3.2615159999999999E-3</v>
      </c>
      <c r="O6226">
        <v>0.99894499999999997</v>
      </c>
      <c r="P6226">
        <v>-9.3995460000000003E-2</v>
      </c>
      <c r="Q6226">
        <v>-4.1363560000000001E-2</v>
      </c>
      <c r="R6226">
        <v>0.99471299999999996</v>
      </c>
      <c r="S6226">
        <v>0.27479550000000003</v>
      </c>
      <c r="T6226">
        <v>-0.10923769999999999</v>
      </c>
      <c r="U6226">
        <v>3.0375670000000001</v>
      </c>
      <c r="V6226">
        <v>-0.13940429999999901</v>
      </c>
      <c r="W6226">
        <v>-3.8345810000000001E-2</v>
      </c>
      <c r="X6226">
        <v>0.98949279999999995</v>
      </c>
      <c r="Y6226">
        <v>4.4331549999999997E-2</v>
      </c>
      <c r="Z6226">
        <v>-3.2538949999999997E-2</v>
      </c>
      <c r="AA6226">
        <v>0.99848680000000001</v>
      </c>
      <c r="AB6226">
        <v>44</v>
      </c>
      <c r="AC6226">
        <v>2.7661999999999898</v>
      </c>
      <c r="AD6226">
        <v>-1.108369704682</v>
      </c>
      <c r="AE6226">
        <v>30.340155899999999</v>
      </c>
      <c r="AF6226">
        <v>1.3716789028721501</v>
      </c>
      <c r="AG6226">
        <v>-1.108369704682</v>
      </c>
      <c r="AH6226">
        <v>30.394791032715801</v>
      </c>
      <c r="AI6226">
        <v>92.086288307405994</v>
      </c>
      <c r="AJ6226">
        <v>87.416066331787206</v>
      </c>
      <c r="AK6226">
        <v>30.445907907915998</v>
      </c>
      <c r="AL6226">
        <v>92.197591899074496</v>
      </c>
      <c r="AM6226">
        <v>98.019314035827804</v>
      </c>
      <c r="AN6226">
        <v>0.999999980627442</v>
      </c>
    </row>
    <row r="6227" spans="1:40" x14ac:dyDescent="0.25">
      <c r="A6227" t="str">
        <f>"20190305135948580"</f>
        <v>20190305135948580</v>
      </c>
      <c r="B6227" t="str">
        <f>"1551765588574861"</f>
        <v>1551765588574861</v>
      </c>
      <c r="C6227" t="s">
        <v>40</v>
      </c>
      <c r="D6227">
        <v>4.0388769999999896</v>
      </c>
      <c r="E6227">
        <v>0.56955080000000002</v>
      </c>
      <c r="F6227" t="s">
        <v>42</v>
      </c>
      <c r="G6227">
        <v>-184.76730000000001</v>
      </c>
      <c r="H6227" s="1">
        <v>-1.480942E-6</v>
      </c>
      <c r="I6227">
        <v>29.908550000000002</v>
      </c>
      <c r="J6227">
        <v>-187.4196</v>
      </c>
      <c r="K6227">
        <v>1.108371</v>
      </c>
      <c r="L6227">
        <v>0.55822749999999999</v>
      </c>
      <c r="M6227">
        <v>4.5301800000000003E-2</v>
      </c>
      <c r="N6227">
        <v>-3.2805619999999999E-3</v>
      </c>
      <c r="O6227">
        <v>0.99896790000000002</v>
      </c>
      <c r="P6227">
        <v>-9.3244030000000006E-2</v>
      </c>
      <c r="Q6227">
        <v>-4.1174820000000001E-2</v>
      </c>
      <c r="R6227">
        <v>0.99479150000000005</v>
      </c>
      <c r="S6227">
        <v>0.27256770000000002</v>
      </c>
      <c r="T6227">
        <v>-0.11311839999999999</v>
      </c>
      <c r="U6227">
        <v>3.0369869999999999</v>
      </c>
      <c r="V6227">
        <v>-0.1381569</v>
      </c>
      <c r="W6227">
        <v>-3.8137020000000001E-2</v>
      </c>
      <c r="X6227">
        <v>0.98967579999999999</v>
      </c>
      <c r="Y6227">
        <v>4.4123599999999999E-2</v>
      </c>
      <c r="Z6227">
        <v>-3.3799490000000001E-2</v>
      </c>
      <c r="AA6227">
        <v>0.99845419999999996</v>
      </c>
      <c r="AB6227">
        <v>44</v>
      </c>
      <c r="AC6227">
        <v>2.6522999999999901</v>
      </c>
      <c r="AD6227">
        <v>-1.1083724809419999</v>
      </c>
      <c r="AE6227">
        <v>29.350322499999901</v>
      </c>
      <c r="AF6227">
        <v>1.3180828291770901</v>
      </c>
      <c r="AG6227">
        <v>-1.1083724809419999</v>
      </c>
      <c r="AH6227">
        <v>29.398758614854</v>
      </c>
      <c r="AI6227">
        <v>92.156940110329501</v>
      </c>
      <c r="AJ6227">
        <v>87.432883386409998</v>
      </c>
      <c r="AK6227">
        <v>29.449156863916102</v>
      </c>
      <c r="AL6227">
        <v>92.185620368035003</v>
      </c>
      <c r="AM6227">
        <v>97.947026829740494</v>
      </c>
      <c r="AN6227">
        <v>0.99999997520886497</v>
      </c>
    </row>
    <row r="6228" spans="1:40" x14ac:dyDescent="0.25">
      <c r="A6228" t="str">
        <f>"20190305135948601"</f>
        <v>20190305135948601</v>
      </c>
      <c r="B6228" t="str">
        <f>"1551765588595357"</f>
        <v>1551765588595357</v>
      </c>
      <c r="C6228" t="s">
        <v>40</v>
      </c>
      <c r="D6228">
        <v>4.0204000000000004</v>
      </c>
      <c r="E6228">
        <v>0.5694129</v>
      </c>
      <c r="F6228" t="s">
        <v>42</v>
      </c>
      <c r="G6228">
        <v>-184.7876</v>
      </c>
      <c r="H6228" s="1">
        <v>-1.442303E-6</v>
      </c>
      <c r="I6228">
        <v>29.81091</v>
      </c>
      <c r="J6228">
        <v>-187.40129999999999</v>
      </c>
      <c r="K6228">
        <v>1.1083750000000001</v>
      </c>
      <c r="L6228">
        <v>0.96676640000000003</v>
      </c>
      <c r="M6228">
        <v>4.47952E-2</v>
      </c>
      <c r="N6228">
        <v>-3.299752E-3</v>
      </c>
      <c r="O6228">
        <v>0.99899070000000001</v>
      </c>
      <c r="P6228">
        <v>-9.2820319999999998E-2</v>
      </c>
      <c r="Q6228">
        <v>-4.1464689999999998E-2</v>
      </c>
      <c r="R6228">
        <v>0.99481909999999896</v>
      </c>
      <c r="S6228">
        <v>0.27320860000000002</v>
      </c>
      <c r="T6228">
        <v>-0.115054</v>
      </c>
      <c r="U6228">
        <v>3.0365600000000001</v>
      </c>
      <c r="V6228">
        <v>-0.137232299999999</v>
      </c>
      <c r="W6228">
        <v>-3.840735E-2</v>
      </c>
      <c r="X6228">
        <v>0.98979399999999995</v>
      </c>
      <c r="Y6228">
        <v>4.4849739999999999E-2</v>
      </c>
      <c r="Z6228">
        <v>-3.4419409999999998E-2</v>
      </c>
      <c r="AA6228">
        <v>0.99840059999999997</v>
      </c>
      <c r="AB6228">
        <v>44</v>
      </c>
      <c r="AC6228">
        <v>2.6136999999999899</v>
      </c>
      <c r="AD6228">
        <v>-1.108376442303</v>
      </c>
      <c r="AE6228">
        <v>28.844143599999899</v>
      </c>
      <c r="AF6228">
        <v>1.3170611287423299</v>
      </c>
      <c r="AG6228">
        <v>-1.108376442303</v>
      </c>
      <c r="AH6228">
        <v>28.8899599883914</v>
      </c>
      <c r="AI6228">
        <v>92.194823676129303</v>
      </c>
      <c r="AJ6228">
        <v>87.389756496670003</v>
      </c>
      <c r="AK6228">
        <v>28.941197910341401</v>
      </c>
      <c r="AL6228">
        <v>92.201120447853199</v>
      </c>
      <c r="AM6228">
        <v>97.893584144079199</v>
      </c>
      <c r="AN6228">
        <v>0.99999999556665597</v>
      </c>
    </row>
    <row r="6229" spans="1:40" x14ac:dyDescent="0.25">
      <c r="A6229" t="str">
        <f>"20190305135948624"</f>
        <v>20190305135948624</v>
      </c>
      <c r="B6229" t="str">
        <f>"1551765588614877"</f>
        <v>1551765588614877</v>
      </c>
      <c r="C6229" t="s">
        <v>40</v>
      </c>
      <c r="D6229">
        <v>3.981195</v>
      </c>
      <c r="E6229">
        <v>0.56929859999999999</v>
      </c>
      <c r="F6229" t="s">
        <v>42</v>
      </c>
      <c r="G6229">
        <v>-184.81389999999999</v>
      </c>
      <c r="H6229" s="1">
        <v>-1.3962479999999999E-6</v>
      </c>
      <c r="I6229">
        <v>29.696120000000001</v>
      </c>
      <c r="J6229">
        <v>-187.38069999999999</v>
      </c>
      <c r="K6229">
        <v>1.108366</v>
      </c>
      <c r="L6229">
        <v>1.4331969999999901</v>
      </c>
      <c r="M6229">
        <v>4.4217380000000001E-2</v>
      </c>
      <c r="N6229">
        <v>-3.3219E-3</v>
      </c>
      <c r="O6229">
        <v>0.99901640000000003</v>
      </c>
      <c r="P6229">
        <v>-9.2565889999999998E-2</v>
      </c>
      <c r="Q6229">
        <v>-4.1630880000000002E-2</v>
      </c>
      <c r="R6229">
        <v>0.9948359</v>
      </c>
      <c r="S6229">
        <v>0.2734528</v>
      </c>
      <c r="T6229">
        <v>-0.11713850000000001</v>
      </c>
      <c r="U6229">
        <v>3.0362550000000001</v>
      </c>
      <c r="V6229">
        <v>-0.136406</v>
      </c>
      <c r="W6229">
        <v>-3.8551410000000001E-2</v>
      </c>
      <c r="X6229">
        <v>0.98990259999999997</v>
      </c>
      <c r="Y6229">
        <v>4.5513940000000003E-2</v>
      </c>
      <c r="Z6229">
        <v>-3.508414E-2</v>
      </c>
      <c r="AA6229">
        <v>0.9983474</v>
      </c>
      <c r="AB6229">
        <v>45</v>
      </c>
      <c r="AC6229">
        <v>2.5668000000000002</v>
      </c>
      <c r="AD6229">
        <v>-1.1083673962480001</v>
      </c>
      <c r="AE6229">
        <v>28.262922999999901</v>
      </c>
      <c r="AF6229">
        <v>1.31256804688116</v>
      </c>
      <c r="AG6229">
        <v>-1.1083673962480001</v>
      </c>
      <c r="AH6229">
        <v>28.305601873427001</v>
      </c>
      <c r="AI6229">
        <v>92.239990661280601</v>
      </c>
      <c r="AJ6229">
        <v>87.345021135692306</v>
      </c>
      <c r="AK6229">
        <v>28.357686975134602</v>
      </c>
      <c r="AL6229">
        <v>92.209380623696504</v>
      </c>
      <c r="AM6229">
        <v>97.845799165493005</v>
      </c>
      <c r="AN6229">
        <v>0.99999998276787305</v>
      </c>
    </row>
    <row r="6230" spans="1:40" x14ac:dyDescent="0.25">
      <c r="A6230" t="str">
        <f>"20190305135948645"</f>
        <v>20190305135948645</v>
      </c>
      <c r="B6230" t="str">
        <f>"1551765588635373"</f>
        <v>1551765588635373</v>
      </c>
      <c r="C6230" t="s">
        <v>40</v>
      </c>
      <c r="D6230">
        <v>4.0210860000000004</v>
      </c>
      <c r="E6230">
        <v>0.56923469999999998</v>
      </c>
      <c r="F6230" t="s">
        <v>42</v>
      </c>
      <c r="G6230">
        <v>-184.78129999999999</v>
      </c>
      <c r="H6230" s="1">
        <v>-1.615835E-6</v>
      </c>
      <c r="I6230">
        <v>30.31588</v>
      </c>
      <c r="J6230">
        <v>-187.36199999999999</v>
      </c>
      <c r="K6230">
        <v>1.108366</v>
      </c>
      <c r="L6230">
        <v>1.8634029999999999</v>
      </c>
      <c r="M6230">
        <v>4.3685090000000003E-2</v>
      </c>
      <c r="N6230">
        <v>-3.3423749999999999E-3</v>
      </c>
      <c r="O6230">
        <v>0.99903980000000003</v>
      </c>
      <c r="P6230">
        <v>-9.2873129999999998E-2</v>
      </c>
      <c r="Q6230">
        <v>-4.1983720000000002E-2</v>
      </c>
      <c r="R6230">
        <v>0.99479240000000002</v>
      </c>
      <c r="S6230">
        <v>0.27325440000000001</v>
      </c>
      <c r="T6230">
        <v>-0.116511</v>
      </c>
      <c r="U6230">
        <v>3.036133</v>
      </c>
      <c r="V6230">
        <v>-0.1361829</v>
      </c>
      <c r="W6230">
        <v>-3.8884910000000002E-2</v>
      </c>
      <c r="X6230">
        <v>0.98992029999999998</v>
      </c>
      <c r="Y6230">
        <v>4.5985730000000002E-2</v>
      </c>
      <c r="Z6230">
        <v>-3.4860790000000003E-2</v>
      </c>
      <c r="AA6230">
        <v>0.99833360000000004</v>
      </c>
      <c r="AB6230">
        <v>45</v>
      </c>
      <c r="AC6230">
        <v>2.5807000000000002</v>
      </c>
      <c r="AD6230">
        <v>-1.108367615835</v>
      </c>
      <c r="AE6230">
        <v>28.452476999999998</v>
      </c>
      <c r="AF6230">
        <v>1.3332736700833301</v>
      </c>
      <c r="AG6230">
        <v>-1.108367615835</v>
      </c>
      <c r="AH6230">
        <v>28.4951648458336</v>
      </c>
      <c r="AI6230">
        <v>92.225061477266294</v>
      </c>
      <c r="AJ6230">
        <v>87.321114605164297</v>
      </c>
      <c r="AK6230">
        <v>28.5478636160816</v>
      </c>
      <c r="AL6230">
        <v>92.228503045762295</v>
      </c>
      <c r="AM6230">
        <v>97.832988009146106</v>
      </c>
      <c r="AN6230">
        <v>1.0000000094151</v>
      </c>
    </row>
    <row r="6231" spans="1:40" x14ac:dyDescent="0.25">
      <c r="A6231" t="str">
        <f>"20190305135948668"</f>
        <v>20190305135948668</v>
      </c>
      <c r="B6231" t="str">
        <f>"1551765588665629"</f>
        <v>1551765588665629</v>
      </c>
      <c r="C6231" t="s">
        <v>40</v>
      </c>
      <c r="D6231">
        <v>4.1503930000000002</v>
      </c>
      <c r="E6231">
        <v>0.5692121</v>
      </c>
      <c r="F6231" t="s">
        <v>42</v>
      </c>
      <c r="G6231">
        <v>-184.81530000000001</v>
      </c>
      <c r="H6231" s="1">
        <v>-1.606276E-6</v>
      </c>
      <c r="I6231">
        <v>30.314409999999999</v>
      </c>
      <c r="J6231">
        <v>-187.34219999999999</v>
      </c>
      <c r="K6231">
        <v>1.108368</v>
      </c>
      <c r="L6231">
        <v>2.3231199999999999</v>
      </c>
      <c r="M6231">
        <v>4.3116500000000002E-2</v>
      </c>
      <c r="N6231">
        <v>-3.3642519999999999E-3</v>
      </c>
      <c r="O6231">
        <v>0.99906439999999996</v>
      </c>
      <c r="P6231">
        <v>-9.3520679999999995E-2</v>
      </c>
      <c r="Q6231">
        <v>-4.203614E-2</v>
      </c>
      <c r="R6231">
        <v>0.99472950000000004</v>
      </c>
      <c r="S6231">
        <v>0.27175899999999997</v>
      </c>
      <c r="T6231">
        <v>-0.11827650000000001</v>
      </c>
      <c r="U6231">
        <v>3.0360719999999999</v>
      </c>
      <c r="V6231">
        <v>-0.13626350000000001</v>
      </c>
      <c r="W6231">
        <v>-3.8917340000000002E-2</v>
      </c>
      <c r="X6231">
        <v>0.98990789999999995</v>
      </c>
      <c r="Y6231">
        <v>4.606644E-2</v>
      </c>
      <c r="Z6231">
        <v>-3.5419800000000001E-2</v>
      </c>
      <c r="AA6231">
        <v>0.99831020000000004</v>
      </c>
      <c r="AB6231">
        <v>45</v>
      </c>
      <c r="AC6231">
        <v>2.5268999999999799</v>
      </c>
      <c r="AD6231">
        <v>-1.108369606276</v>
      </c>
      <c r="AE6231">
        <v>27.991289999999999</v>
      </c>
      <c r="AF6231">
        <v>1.3156107213329999</v>
      </c>
      <c r="AG6231">
        <v>-1.108369606276</v>
      </c>
      <c r="AH6231">
        <v>28.030616501343001</v>
      </c>
      <c r="AI6231">
        <v>92.261887893711801</v>
      </c>
      <c r="AJ6231">
        <v>87.312807416534199</v>
      </c>
      <c r="AK6231">
        <v>28.0833540767402</v>
      </c>
      <c r="AL6231">
        <v>92.230362630785706</v>
      </c>
      <c r="AM6231">
        <v>97.837663329292596</v>
      </c>
      <c r="AN6231">
        <v>0.99999997563366705</v>
      </c>
    </row>
    <row r="6232" spans="1:40" x14ac:dyDescent="0.25">
      <c r="A6232" t="str">
        <f>"20190305135948690"</f>
        <v>20190305135948690</v>
      </c>
      <c r="B6232" t="str">
        <f>"1551765588685149"</f>
        <v>1551765588685149</v>
      </c>
      <c r="C6232" t="s">
        <v>40</v>
      </c>
      <c r="D6232">
        <v>4.0309049999999997</v>
      </c>
      <c r="E6232">
        <v>0.52928149999999996</v>
      </c>
      <c r="F6232" t="s">
        <v>42</v>
      </c>
      <c r="G6232">
        <v>-184.8107</v>
      </c>
      <c r="H6232" s="1">
        <v>-1.781346E-6</v>
      </c>
      <c r="I6232">
        <v>30.825279999999999</v>
      </c>
      <c r="J6232">
        <v>-187.32409999999999</v>
      </c>
      <c r="K6232">
        <v>1.1083700000000001</v>
      </c>
      <c r="L6232">
        <v>2.7487490000000001</v>
      </c>
      <c r="M6232">
        <v>4.2590160000000002E-2</v>
      </c>
      <c r="N6232">
        <v>-3.3845049999999999E-3</v>
      </c>
      <c r="O6232">
        <v>0.9990869</v>
      </c>
      <c r="P6232">
        <v>-9.4556109999999999E-2</v>
      </c>
      <c r="Q6232">
        <v>-4.1896059999999999E-2</v>
      </c>
      <c r="R6232">
        <v>0.99463749999999995</v>
      </c>
      <c r="S6232">
        <v>0.26966859999999998</v>
      </c>
      <c r="T6232">
        <v>-0.1180716</v>
      </c>
      <c r="U6232">
        <v>3.0362550000000001</v>
      </c>
      <c r="V6232">
        <v>-0.1367717</v>
      </c>
      <c r="W6232">
        <v>-3.8759599999999998E-2</v>
      </c>
      <c r="X6232">
        <v>0.98984399999999995</v>
      </c>
      <c r="Y6232">
        <v>4.5905719999999997E-2</v>
      </c>
      <c r="Z6232">
        <v>-3.533269E-2</v>
      </c>
      <c r="AA6232">
        <v>0.99832069999999995</v>
      </c>
      <c r="AB6232">
        <v>45</v>
      </c>
      <c r="AC6232">
        <v>2.5133999999999901</v>
      </c>
      <c r="AD6232">
        <v>-1.1083717813459999</v>
      </c>
      <c r="AE6232">
        <v>28.076530999999999</v>
      </c>
      <c r="AF6232">
        <v>1.31329819683163</v>
      </c>
      <c r="AG6232">
        <v>-1.1083717813459999</v>
      </c>
      <c r="AH6232">
        <v>28.1146355213688</v>
      </c>
      <c r="AI6232">
        <v>92.255163198933403</v>
      </c>
      <c r="AJ6232">
        <v>87.325528717152906</v>
      </c>
      <c r="AK6232">
        <v>28.167107956957501</v>
      </c>
      <c r="AL6232">
        <v>92.221317972804101</v>
      </c>
      <c r="AM6232">
        <v>97.867030374487001</v>
      </c>
      <c r="AN6232">
        <v>0.99999997442452404</v>
      </c>
    </row>
    <row r="6233" spans="1:40" x14ac:dyDescent="0.25">
      <c r="A6233" t="str">
        <f>"20190305135948713"</f>
        <v>20190305135948713</v>
      </c>
      <c r="B6233" t="str">
        <f>"1551765588705645"</f>
        <v>1551765588705645</v>
      </c>
      <c r="C6233" t="s">
        <v>40</v>
      </c>
      <c r="D6233">
        <v>4.0224289999999998</v>
      </c>
      <c r="E6233">
        <v>0.52323989999999998</v>
      </c>
      <c r="F6233" t="s">
        <v>42</v>
      </c>
      <c r="G6233">
        <v>-187.79400000000001</v>
      </c>
      <c r="H6233" s="1">
        <v>-8.5487430000000001E-7</v>
      </c>
      <c r="I6233">
        <v>30.43535</v>
      </c>
      <c r="J6233">
        <v>-187.30369999999999</v>
      </c>
      <c r="K6233">
        <v>1.108374</v>
      </c>
      <c r="L6233">
        <v>3.2339169999999999</v>
      </c>
      <c r="M6233">
        <v>4.1990729999999997E-2</v>
      </c>
      <c r="N6233">
        <v>-3.407668E-3</v>
      </c>
      <c r="O6233">
        <v>0.99911220000000001</v>
      </c>
      <c r="P6233">
        <v>-9.595969E-2</v>
      </c>
      <c r="Q6233">
        <v>-4.1322060000000001E-2</v>
      </c>
      <c r="R6233">
        <v>0.99452719999999994</v>
      </c>
      <c r="S6233">
        <v>-5.1025389999999997E-2</v>
      </c>
      <c r="T6233">
        <v>-0.1203487</v>
      </c>
      <c r="U6233">
        <v>3.006256</v>
      </c>
      <c r="V6233">
        <v>-0.13757629999999901</v>
      </c>
      <c r="W6233">
        <v>-3.8165850000000001E-2</v>
      </c>
      <c r="X6233">
        <v>0.98975559999999996</v>
      </c>
      <c r="Y6233">
        <v>-5.8924879999999999E-2</v>
      </c>
      <c r="Z6233">
        <v>-3.6503790000000001E-2</v>
      </c>
      <c r="AA6233">
        <v>0.9975948</v>
      </c>
      <c r="AB6233">
        <v>45</v>
      </c>
      <c r="AC6233">
        <v>-0.490300000000019</v>
      </c>
      <c r="AD6233">
        <v>-1.1083748548743</v>
      </c>
      <c r="AE6233">
        <v>27.201433000000002</v>
      </c>
      <c r="AF6233">
        <v>-1.62937780143137</v>
      </c>
      <c r="AG6233">
        <v>-1.1083748548743</v>
      </c>
      <c r="AH6233">
        <v>27.1118533716173</v>
      </c>
      <c r="AI6233">
        <v>92.336825626444394</v>
      </c>
      <c r="AJ6233">
        <v>93.439245468350506</v>
      </c>
      <c r="AK6233">
        <v>27.183376539399799</v>
      </c>
      <c r="AL6233">
        <v>92.187273334743793</v>
      </c>
      <c r="AM6233">
        <v>97.9134237500284</v>
      </c>
      <c r="AN6233">
        <v>1.0000000090796299</v>
      </c>
    </row>
    <row r="6234" spans="1:40" x14ac:dyDescent="0.25">
      <c r="A6234" t="str">
        <f>"20190305135948737"</f>
        <v>20190305135948737</v>
      </c>
      <c r="B6234" t="str">
        <f>"1551765588725165"</f>
        <v>1551765588725165</v>
      </c>
      <c r="C6234" t="s">
        <v>40</v>
      </c>
      <c r="D6234">
        <v>3.9880849999999999</v>
      </c>
      <c r="E6234">
        <v>0.52177109999999904</v>
      </c>
      <c r="F6234" t="s">
        <v>42</v>
      </c>
      <c r="G6234">
        <v>-188.25919999999999</v>
      </c>
      <c r="H6234" s="1">
        <v>-9.2359329999999998E-7</v>
      </c>
      <c r="I6234">
        <v>31.00102</v>
      </c>
      <c r="J6234">
        <v>-187.28399999999999</v>
      </c>
      <c r="K6234">
        <v>1.1083730000000001</v>
      </c>
      <c r="L6234">
        <v>3.7106629999999998</v>
      </c>
      <c r="M6234">
        <v>4.140216E-2</v>
      </c>
      <c r="N6234">
        <v>-3.4305329999999999E-3</v>
      </c>
      <c r="O6234">
        <v>0.99913669999999999</v>
      </c>
      <c r="P6234">
        <v>-9.7652870000000003E-2</v>
      </c>
      <c r="Q6234">
        <v>-4.0683789999999997E-2</v>
      </c>
      <c r="R6234">
        <v>0.99438859999999996</v>
      </c>
      <c r="S6234">
        <v>-0.1032867</v>
      </c>
      <c r="T6234">
        <v>-0.11981260000000001</v>
      </c>
      <c r="U6234">
        <v>3.0015559999999999</v>
      </c>
      <c r="V6234">
        <v>-0.13867969999999999</v>
      </c>
      <c r="W6234">
        <v>-3.750875E-2</v>
      </c>
      <c r="X6234">
        <v>0.98962669999999997</v>
      </c>
      <c r="Y6234">
        <v>-7.5710739999999999E-2</v>
      </c>
      <c r="Z6234">
        <v>-3.6334289999999998E-2</v>
      </c>
      <c r="AA6234">
        <v>0.99646760000000001</v>
      </c>
      <c r="AB6234">
        <v>45</v>
      </c>
      <c r="AC6234">
        <v>-0.97519999999997198</v>
      </c>
      <c r="AD6234">
        <v>-1.1083739235932999</v>
      </c>
      <c r="AE6234">
        <v>27.290357</v>
      </c>
      <c r="AF6234">
        <v>-2.1007893159735902</v>
      </c>
      <c r="AG6234">
        <v>-1.1083739235932999</v>
      </c>
      <c r="AH6234">
        <v>27.181801947790099</v>
      </c>
      <c r="AI6234">
        <v>92.328082558868701</v>
      </c>
      <c r="AJ6234">
        <v>94.419411144992495</v>
      </c>
      <c r="AK6234">
        <v>27.2853837362332</v>
      </c>
      <c r="AL6234">
        <v>92.149597349214602</v>
      </c>
      <c r="AM6234">
        <v>97.977103508262104</v>
      </c>
      <c r="AN6234">
        <v>0.99999998543577096</v>
      </c>
    </row>
    <row r="6235" spans="1:40" x14ac:dyDescent="0.25">
      <c r="A6235" t="str">
        <f>"20190305135948761"</f>
        <v>20190305135948761</v>
      </c>
      <c r="B6235" t="str">
        <f>"1551765588755421"</f>
        <v>1551765588755421</v>
      </c>
      <c r="C6235" t="s">
        <v>40</v>
      </c>
      <c r="D6235">
        <v>3.9947010000000001</v>
      </c>
      <c r="E6235">
        <v>0.52146629999999905</v>
      </c>
      <c r="F6235" t="s">
        <v>42</v>
      </c>
      <c r="G6235">
        <v>-188.4511</v>
      </c>
      <c r="H6235" s="1">
        <v>-1.635207E-6</v>
      </c>
      <c r="I6235">
        <v>32.804020000000001</v>
      </c>
      <c r="J6235">
        <v>-187.2646</v>
      </c>
      <c r="K6235">
        <v>1.1083780000000001</v>
      </c>
      <c r="L6235">
        <v>4.1876829999999998</v>
      </c>
      <c r="M6235">
        <v>4.0811390000000003E-2</v>
      </c>
      <c r="N6235">
        <v>-3.4534850000000001E-3</v>
      </c>
      <c r="O6235">
        <v>0.99916090000000002</v>
      </c>
      <c r="P6235">
        <v>-9.9833469999999994E-2</v>
      </c>
      <c r="Q6235">
        <v>-4.0212739999999997E-2</v>
      </c>
      <c r="R6235">
        <v>0.99419120000000005</v>
      </c>
      <c r="S6235">
        <v>-0.1203613</v>
      </c>
      <c r="T6235">
        <v>-0.1143078</v>
      </c>
      <c r="U6235">
        <v>3.0004270000000002</v>
      </c>
      <c r="V6235">
        <v>-0.1402658</v>
      </c>
      <c r="W6235">
        <v>-3.7020099999999903E-2</v>
      </c>
      <c r="X6235">
        <v>0.98942149999999995</v>
      </c>
      <c r="Y6235">
        <v>-8.0798209999999995E-2</v>
      </c>
      <c r="Z6235">
        <v>-3.4490449999999999E-2</v>
      </c>
      <c r="AA6235">
        <v>0.99613359999999995</v>
      </c>
      <c r="AB6235">
        <v>45</v>
      </c>
      <c r="AC6235">
        <v>-1.1864999999999899</v>
      </c>
      <c r="AD6235">
        <v>-1.1083796352069999</v>
      </c>
      <c r="AE6235">
        <v>28.616336999999898</v>
      </c>
      <c r="AF6235">
        <v>-2.3498717050900599</v>
      </c>
      <c r="AG6235">
        <v>-1.1083796352069999</v>
      </c>
      <c r="AH6235">
        <v>28.5013881452345</v>
      </c>
      <c r="AI6235">
        <v>92.219508218822497</v>
      </c>
      <c r="AJ6235">
        <v>94.7132405284801</v>
      </c>
      <c r="AK6235">
        <v>28.6195654867686</v>
      </c>
      <c r="AL6235">
        <v>92.121580395240699</v>
      </c>
      <c r="AM6235">
        <v>98.068795499737703</v>
      </c>
      <c r="AN6235">
        <v>0.99999994355794797</v>
      </c>
    </row>
    <row r="6236" spans="1:40" x14ac:dyDescent="0.25">
      <c r="A6236" t="str">
        <f>"20190305135948779"</f>
        <v>20190305135948779</v>
      </c>
      <c r="B6236" t="str">
        <f>"1551765588774940"</f>
        <v>1551765588774940</v>
      </c>
      <c r="C6236" t="s">
        <v>40</v>
      </c>
      <c r="D6236">
        <v>3.9292280000000002</v>
      </c>
      <c r="E6236">
        <v>0.52129300000000001</v>
      </c>
      <c r="F6236" t="s">
        <v>42</v>
      </c>
      <c r="G6236">
        <v>-188.56190000000001</v>
      </c>
      <c r="H6236" s="1">
        <v>-2.2400440000000001E-6</v>
      </c>
      <c r="I6236">
        <v>34.259729999999998</v>
      </c>
      <c r="J6236">
        <v>-187.2484</v>
      </c>
      <c r="K6236">
        <v>1.1083860000000001</v>
      </c>
      <c r="L6236">
        <v>4.5901489999999896</v>
      </c>
      <c r="M6236">
        <v>4.0309600000000001E-2</v>
      </c>
      <c r="N6236">
        <v>-3.4728670000000001E-3</v>
      </c>
      <c r="O6236">
        <v>0.99918119999999999</v>
      </c>
      <c r="P6236">
        <v>-0.1019058</v>
      </c>
      <c r="Q6236">
        <v>-3.919827E-2</v>
      </c>
      <c r="R6236">
        <v>0.9940215</v>
      </c>
      <c r="S6236">
        <v>-0.12942500000000001</v>
      </c>
      <c r="T6236">
        <v>-0.1105747</v>
      </c>
      <c r="U6236">
        <v>3.0000610000000001</v>
      </c>
      <c r="V6236">
        <v>-0.14183399999999999</v>
      </c>
      <c r="W6236">
        <v>-3.5991679999999998E-2</v>
      </c>
      <c r="X6236">
        <v>0.98923589999999995</v>
      </c>
      <c r="Y6236">
        <v>-8.3308359999999998E-2</v>
      </c>
      <c r="Z6236">
        <v>-3.3232749999999998E-2</v>
      </c>
      <c r="AA6236">
        <v>0.99596949999999995</v>
      </c>
      <c r="AB6236">
        <v>46</v>
      </c>
      <c r="AC6236">
        <v>-1.3134999999999999</v>
      </c>
      <c r="AD6236">
        <v>-1.1083882400439999</v>
      </c>
      <c r="AE6236">
        <v>29.669581000000001</v>
      </c>
      <c r="AF6236">
        <v>-2.5049195536109901</v>
      </c>
      <c r="AG6236">
        <v>-1.1083882400439999</v>
      </c>
      <c r="AH6236">
        <v>29.551358209435801</v>
      </c>
      <c r="AI6236">
        <v>92.140328188864899</v>
      </c>
      <c r="AJ6236">
        <v>94.845092178556598</v>
      </c>
      <c r="AK6236">
        <v>29.678037645422499</v>
      </c>
      <c r="AL6236">
        <v>92.062616895610404</v>
      </c>
      <c r="AM6236">
        <v>98.159308543760304</v>
      </c>
      <c r="AN6236">
        <v>0.999999975217015</v>
      </c>
    </row>
    <row r="6237" spans="1:40" x14ac:dyDescent="0.25">
      <c r="A6237" t="str">
        <f>"20190305135948803"</f>
        <v>20190305135948803</v>
      </c>
      <c r="B6237" t="str">
        <f>"1551765588795437"</f>
        <v>1551765588795437</v>
      </c>
      <c r="C6237" t="s">
        <v>40</v>
      </c>
      <c r="D6237">
        <v>3.9144749999999999</v>
      </c>
      <c r="E6237">
        <v>0.5215417</v>
      </c>
      <c r="F6237" t="s">
        <v>42</v>
      </c>
      <c r="G6237">
        <v>-188.6944</v>
      </c>
      <c r="H6237" s="1">
        <v>-3.0538869999999898E-6</v>
      </c>
      <c r="I6237">
        <v>36.211590000000001</v>
      </c>
      <c r="J6237">
        <v>-187.23009999999999</v>
      </c>
      <c r="K6237">
        <v>1.1083970000000001</v>
      </c>
      <c r="L6237">
        <v>5.0497740000000002</v>
      </c>
      <c r="M6237">
        <v>3.9731500000000003E-2</v>
      </c>
      <c r="N6237">
        <v>-3.4951090000000001E-3</v>
      </c>
      <c r="O6237">
        <v>0.99920430000000005</v>
      </c>
      <c r="P6237">
        <v>-0.1039499</v>
      </c>
      <c r="Q6237">
        <v>-3.8102509999999999E-2</v>
      </c>
      <c r="R6237">
        <v>0.99385239999999997</v>
      </c>
      <c r="S6237">
        <v>-0.13717650000000001</v>
      </c>
      <c r="T6237">
        <v>-0.10514900000000001</v>
      </c>
      <c r="U6237">
        <v>2.9998170000000002</v>
      </c>
      <c r="V6237">
        <v>-0.14329890000000001</v>
      </c>
      <c r="W6237">
        <v>-3.4879649999999998E-2</v>
      </c>
      <c r="X6237">
        <v>0.98906459999999996</v>
      </c>
      <c r="Y6237">
        <v>-8.5306430000000003E-2</v>
      </c>
      <c r="Z6237">
        <v>-3.1410390000000003E-2</v>
      </c>
      <c r="AA6237">
        <v>0.99585950000000001</v>
      </c>
      <c r="AB6237">
        <v>46</v>
      </c>
      <c r="AC6237">
        <v>-1.4642999999999999</v>
      </c>
      <c r="AD6237">
        <v>-1.10840005388699</v>
      </c>
      <c r="AE6237">
        <v>31.161815999999899</v>
      </c>
      <c r="AF6237">
        <v>-2.6978512825299399</v>
      </c>
      <c r="AG6237">
        <v>-1.10840005388699</v>
      </c>
      <c r="AH6237">
        <v>31.039846856516501</v>
      </c>
      <c r="AI6237">
        <v>92.037427909977197</v>
      </c>
      <c r="AJ6237">
        <v>94.967421677106699</v>
      </c>
      <c r="AK6237">
        <v>31.176578470032599</v>
      </c>
      <c r="AL6237">
        <v>91.998862227264297</v>
      </c>
      <c r="AM6237">
        <v>98.243835941097302</v>
      </c>
      <c r="AN6237">
        <v>0.99999997384924499</v>
      </c>
    </row>
    <row r="6238" spans="1:40" x14ac:dyDescent="0.25">
      <c r="A6238" t="str">
        <f>"20190305135948826"</f>
        <v>20190305135948826</v>
      </c>
      <c r="B6238" t="str">
        <f>"1551765588814958"</f>
        <v>1551765588814958</v>
      </c>
      <c r="C6238" t="s">
        <v>40</v>
      </c>
      <c r="D6238">
        <v>3.9546950000000001</v>
      </c>
      <c r="E6238">
        <v>0.52179770000000003</v>
      </c>
      <c r="F6238" t="s">
        <v>42</v>
      </c>
      <c r="G6238">
        <v>-188.79329999999999</v>
      </c>
      <c r="H6238" s="1">
        <v>-3.8826680000000001E-6</v>
      </c>
      <c r="I6238">
        <v>38.18441</v>
      </c>
      <c r="J6238">
        <v>-187.21109999999999</v>
      </c>
      <c r="K6238">
        <v>1.1084099999999999</v>
      </c>
      <c r="L6238">
        <v>5.5366210000000002</v>
      </c>
      <c r="M6238">
        <v>3.9108839999999999E-2</v>
      </c>
      <c r="N6238">
        <v>-3.5187310000000002E-3</v>
      </c>
      <c r="O6238">
        <v>0.99922880000000003</v>
      </c>
      <c r="P6238">
        <v>-0.106406</v>
      </c>
      <c r="Q6238">
        <v>-3.7266580000000001E-2</v>
      </c>
      <c r="R6238">
        <v>0.99362419999999996</v>
      </c>
      <c r="S6238">
        <v>-0.14152529999999999</v>
      </c>
      <c r="T6238">
        <v>-0.1003512</v>
      </c>
      <c r="U6238">
        <v>2.999908</v>
      </c>
      <c r="V6238">
        <v>-0.1451276</v>
      </c>
      <c r="W6238">
        <v>-3.4028290000000003E-2</v>
      </c>
      <c r="X6238">
        <v>0.98882760000000003</v>
      </c>
      <c r="Y6238">
        <v>-8.6127120000000001E-2</v>
      </c>
      <c r="Z6238">
        <v>-2.9793509999999999E-2</v>
      </c>
      <c r="AA6238">
        <v>0.99583860000000002</v>
      </c>
      <c r="AB6238">
        <v>46</v>
      </c>
      <c r="AC6238">
        <v>-1.5822000000000001</v>
      </c>
      <c r="AD6238">
        <v>-1.1084138826679999</v>
      </c>
      <c r="AE6238">
        <v>32.647789000000003</v>
      </c>
      <c r="AF6238">
        <v>-2.85453198637896</v>
      </c>
      <c r="AG6238">
        <v>-1.1084138826679999</v>
      </c>
      <c r="AH6238">
        <v>32.523533015573598</v>
      </c>
      <c r="AI6238">
        <v>91.944436521249202</v>
      </c>
      <c r="AJ6238">
        <v>95.015894275394103</v>
      </c>
      <c r="AK6238">
        <v>32.667371091222698</v>
      </c>
      <c r="AL6238">
        <v>91.950053892324405</v>
      </c>
      <c r="AM6238">
        <v>98.349538387439196</v>
      </c>
      <c r="AN6238">
        <v>0.999999983661922</v>
      </c>
    </row>
    <row r="6239" spans="1:40" x14ac:dyDescent="0.25">
      <c r="A6239" t="str">
        <f>"20190305135948859"</f>
        <v>20190305135948859</v>
      </c>
      <c r="B6239" t="str">
        <f>"1551765588854973"</f>
        <v>1551765588854973</v>
      </c>
      <c r="C6239" t="s">
        <v>40</v>
      </c>
      <c r="D6239">
        <v>3.9242910000000002</v>
      </c>
      <c r="E6239">
        <v>0.52216099999999999</v>
      </c>
      <c r="F6239" t="s">
        <v>42</v>
      </c>
      <c r="G6239">
        <v>-188.84610000000001</v>
      </c>
      <c r="H6239" s="1">
        <v>-4.198374E-6</v>
      </c>
      <c r="I6239">
        <v>38.942149999999998</v>
      </c>
      <c r="J6239">
        <v>-187.185</v>
      </c>
      <c r="K6239">
        <v>1.1084339999999999</v>
      </c>
      <c r="L6239">
        <v>6.2174990000000001</v>
      </c>
      <c r="M6239">
        <v>3.8205080000000002E-2</v>
      </c>
      <c r="N6239">
        <v>-3.551883E-3</v>
      </c>
      <c r="O6239">
        <v>0.99926360000000003</v>
      </c>
      <c r="P6239">
        <v>-0.10818319999999999</v>
      </c>
      <c r="Q6239">
        <v>-3.6979650000000003E-2</v>
      </c>
      <c r="R6239">
        <v>0.99344299999999996</v>
      </c>
      <c r="S6239">
        <v>-0.14682010000000001</v>
      </c>
      <c r="T6239">
        <v>-9.9534629999999999E-2</v>
      </c>
      <c r="U6239">
        <v>2.9997859999999998</v>
      </c>
      <c r="V6239">
        <v>-0.1460014</v>
      </c>
      <c r="W6239">
        <v>-3.3719440000000003E-2</v>
      </c>
      <c r="X6239">
        <v>0.98870959999999997</v>
      </c>
      <c r="Y6239">
        <v>-8.6981970000000006E-2</v>
      </c>
      <c r="Z6239">
        <v>-2.9489939999999999E-2</v>
      </c>
      <c r="AA6239">
        <v>0.99577329999999997</v>
      </c>
      <c r="AB6239">
        <v>46</v>
      </c>
      <c r="AC6239">
        <v>-1.6611</v>
      </c>
      <c r="AD6239">
        <v>-1.1084381983739999</v>
      </c>
      <c r="AE6239">
        <v>32.724650999999902</v>
      </c>
      <c r="AF6239">
        <v>-2.9068166635688999</v>
      </c>
      <c r="AG6239">
        <v>-1.1084381983739999</v>
      </c>
      <c r="AH6239">
        <v>32.599990708475197</v>
      </c>
      <c r="AI6239">
        <v>91.939684329449804</v>
      </c>
      <c r="AJ6239">
        <v>95.095370578800299</v>
      </c>
      <c r="AK6239">
        <v>32.748093265835898</v>
      </c>
      <c r="AL6239">
        <v>91.932347817904002</v>
      </c>
      <c r="AM6239">
        <v>98.400083289942202</v>
      </c>
      <c r="AN6239">
        <v>1.00000004128401</v>
      </c>
    </row>
    <row r="6240" spans="1:40" x14ac:dyDescent="0.25">
      <c r="A6240" t="str">
        <f>"20190305135948880"</f>
        <v>20190305135948880</v>
      </c>
      <c r="B6240" t="str">
        <f>"1551765588875469"</f>
        <v>1551765588875469</v>
      </c>
      <c r="C6240" t="s">
        <v>40</v>
      </c>
      <c r="D6240">
        <v>3.934717</v>
      </c>
      <c r="E6240">
        <v>0.52243419999999996</v>
      </c>
      <c r="F6240" t="s">
        <v>42</v>
      </c>
      <c r="G6240">
        <v>-188.83879999999999</v>
      </c>
      <c r="H6240" s="1">
        <v>-4.4169650000000003E-6</v>
      </c>
      <c r="I6240">
        <v>39.448680000000003</v>
      </c>
      <c r="J6240">
        <v>-187.16849999999999</v>
      </c>
      <c r="K6240">
        <v>1.1084560000000001</v>
      </c>
      <c r="L6240">
        <v>6.6568909999999999</v>
      </c>
      <c r="M6240">
        <v>3.7579309999999998E-2</v>
      </c>
      <c r="N6240">
        <v>-3.573428E-3</v>
      </c>
      <c r="O6240">
        <v>0.99928720000000004</v>
      </c>
      <c r="P6240">
        <v>-0.1081323</v>
      </c>
      <c r="Q6240">
        <v>-3.6721869999999997E-2</v>
      </c>
      <c r="R6240">
        <v>0.99345799999999995</v>
      </c>
      <c r="S6240">
        <v>-0.14929200000000001</v>
      </c>
      <c r="T6240">
        <v>-0.10006</v>
      </c>
      <c r="U6240">
        <v>2.9998170000000002</v>
      </c>
      <c r="V6240">
        <v>-0.1453304</v>
      </c>
      <c r="W6240">
        <v>-3.3448810000000002E-2</v>
      </c>
      <c r="X6240">
        <v>0.98881759999999996</v>
      </c>
      <c r="Y6240">
        <v>-8.7175870000000003E-2</v>
      </c>
      <c r="Z6240">
        <v>-2.964251E-2</v>
      </c>
      <c r="AA6240">
        <v>0.99575179999999996</v>
      </c>
      <c r="AB6240">
        <v>46</v>
      </c>
      <c r="AC6240">
        <v>-1.6702999999999899</v>
      </c>
      <c r="AD6240">
        <v>-1.1084604169650001</v>
      </c>
      <c r="AE6240">
        <v>32.791788999999902</v>
      </c>
      <c r="AF6240">
        <v>-2.8981179688309999</v>
      </c>
      <c r="AG6240">
        <v>-1.1084604169650001</v>
      </c>
      <c r="AH6240">
        <v>32.668625096911001</v>
      </c>
      <c r="AI6240">
        <v>91.935728487526305</v>
      </c>
      <c r="AJ6240">
        <v>95.069585055165902</v>
      </c>
      <c r="AK6240">
        <v>32.815649284750698</v>
      </c>
      <c r="AL6240">
        <v>91.916833194547905</v>
      </c>
      <c r="AM6240">
        <v>98.361124494497005</v>
      </c>
      <c r="AN6240">
        <v>0.99999999706216802</v>
      </c>
    </row>
    <row r="6241" spans="1:40" x14ac:dyDescent="0.25">
      <c r="A6241" t="str">
        <f>"20190305135948903"</f>
        <v>20190305135948903</v>
      </c>
      <c r="B6241" t="str">
        <f>"1551765588894989"</f>
        <v>1551765588894989</v>
      </c>
      <c r="C6241" t="s">
        <v>40</v>
      </c>
      <c r="D6241">
        <v>3.9106429999999999</v>
      </c>
      <c r="E6241">
        <v>0.52262259999999905</v>
      </c>
      <c r="F6241" t="s">
        <v>42</v>
      </c>
      <c r="G6241">
        <v>-188.7807</v>
      </c>
      <c r="H6241" s="1">
        <v>-3.20322E-7</v>
      </c>
      <c r="I6241">
        <v>39.636040000000001</v>
      </c>
      <c r="J6241">
        <v>-187.15049999999999</v>
      </c>
      <c r="K6241">
        <v>1.1084879999999999</v>
      </c>
      <c r="L6241">
        <v>7.1457519999999999</v>
      </c>
      <c r="M6241">
        <v>3.6836849999999997E-2</v>
      </c>
      <c r="N6241">
        <v>-3.5976630000000001E-3</v>
      </c>
      <c r="O6241">
        <v>0.99931479999999995</v>
      </c>
      <c r="P6241">
        <v>-0.10774880000000001</v>
      </c>
      <c r="Q6241">
        <v>-3.7879999999999997E-2</v>
      </c>
      <c r="R6241">
        <v>0.99345620000000001</v>
      </c>
      <c r="S6241">
        <v>-0.14666750000000001</v>
      </c>
      <c r="T6241">
        <v>-0.10083449999999999</v>
      </c>
      <c r="U6241">
        <v>3.0000610000000001</v>
      </c>
      <c r="V6241">
        <v>-0.14420669999999999</v>
      </c>
      <c r="W6241">
        <v>-3.4594350000000003E-2</v>
      </c>
      <c r="X6241">
        <v>0.98894269999999995</v>
      </c>
      <c r="Y6241">
        <v>-8.5562299999999994E-2</v>
      </c>
      <c r="Z6241">
        <v>-2.9876989999999999E-2</v>
      </c>
      <c r="AA6241">
        <v>0.99588480000000001</v>
      </c>
      <c r="AB6241">
        <v>47</v>
      </c>
      <c r="AC6241">
        <v>-1.6302000000000001</v>
      </c>
      <c r="AD6241">
        <v>-1.108488320322</v>
      </c>
      <c r="AE6241">
        <v>32.490288</v>
      </c>
      <c r="AF6241">
        <v>-2.8226638425376098</v>
      </c>
      <c r="AG6241">
        <v>-1.108488320322</v>
      </c>
      <c r="AH6241">
        <v>32.370599560316499</v>
      </c>
      <c r="AI6241">
        <v>91.953843502015502</v>
      </c>
      <c r="AJ6241">
        <v>94.983493904625107</v>
      </c>
      <c r="AK6241">
        <v>32.512334481218403</v>
      </c>
      <c r="AL6241">
        <v>91.982505812551494</v>
      </c>
      <c r="AM6241">
        <v>98.296344485618704</v>
      </c>
      <c r="AN6241">
        <v>1.00000000263005</v>
      </c>
    </row>
    <row r="6242" spans="1:40" x14ac:dyDescent="0.25">
      <c r="A6242" t="str">
        <f>"20190305135948925"</f>
        <v>20190305135948925</v>
      </c>
      <c r="B6242" t="str">
        <f>"1551765588915485"</f>
        <v>1551765588915485</v>
      </c>
      <c r="C6242" t="s">
        <v>40</v>
      </c>
      <c r="D6242">
        <v>3.9155829999999998</v>
      </c>
      <c r="E6242">
        <v>0.52281520000000004</v>
      </c>
      <c r="F6242" t="s">
        <v>42</v>
      </c>
      <c r="G6242">
        <v>-188.672</v>
      </c>
      <c r="H6242" s="1">
        <v>-4.178405E-6</v>
      </c>
      <c r="I6242">
        <v>38.823650000000001</v>
      </c>
      <c r="J6242">
        <v>-187.13419999999999</v>
      </c>
      <c r="K6242">
        <v>1.108525</v>
      </c>
      <c r="L6242">
        <v>7.5979919999999996</v>
      </c>
      <c r="M6242">
        <v>3.6087090000000002E-2</v>
      </c>
      <c r="N6242">
        <v>-3.6203780000000001E-3</v>
      </c>
      <c r="O6242">
        <v>0.99934210000000001</v>
      </c>
      <c r="P6242">
        <v>-0.10647810000000001</v>
      </c>
      <c r="Q6242">
        <v>-4.0103809999999997E-2</v>
      </c>
      <c r="R6242">
        <v>0.993506</v>
      </c>
      <c r="S6242">
        <v>-0.14410400000000001</v>
      </c>
      <c r="T6242">
        <v>-0.10498209999999999</v>
      </c>
      <c r="U6242">
        <v>3.0001220000000002</v>
      </c>
      <c r="V6242">
        <v>-0.1421878</v>
      </c>
      <c r="W6242">
        <v>-3.6808500000000001E-2</v>
      </c>
      <c r="X6242">
        <v>0.98915509999999995</v>
      </c>
      <c r="Y6242">
        <v>-8.3962599999999998E-2</v>
      </c>
      <c r="Z6242">
        <v>-3.12337E-2</v>
      </c>
      <c r="AA6242">
        <v>0.99597930000000001</v>
      </c>
      <c r="AB6242">
        <v>47</v>
      </c>
      <c r="AC6242">
        <v>-1.5378000000000001</v>
      </c>
      <c r="AD6242">
        <v>-1.108529178405</v>
      </c>
      <c r="AE6242">
        <v>31.225657999999999</v>
      </c>
      <c r="AF6242">
        <v>-2.6603041971803401</v>
      </c>
      <c r="AG6242">
        <v>-1.108529178405</v>
      </c>
      <c r="AH6242">
        <v>31.110710071501799</v>
      </c>
      <c r="AI6242">
        <v>92.033271846632204</v>
      </c>
      <c r="AJ6242">
        <v>94.887522966431305</v>
      </c>
      <c r="AK6242">
        <v>31.243916792136599</v>
      </c>
      <c r="AL6242">
        <v>92.109448169040206</v>
      </c>
      <c r="AM6242">
        <v>98.180045689143995</v>
      </c>
      <c r="AN6242">
        <v>1.00000002399854</v>
      </c>
    </row>
    <row r="6243" spans="1:40" x14ac:dyDescent="0.25">
      <c r="A6243" t="str">
        <f>"20190305135948951"</f>
        <v>20190305135948951</v>
      </c>
      <c r="B6243" t="str">
        <f>"1551765588944765"</f>
        <v>1551765588944765</v>
      </c>
      <c r="C6243" t="s">
        <v>40</v>
      </c>
      <c r="D6243">
        <v>3.9422329999999999</v>
      </c>
      <c r="E6243">
        <v>0.52299119999999999</v>
      </c>
      <c r="F6243" t="s">
        <v>42</v>
      </c>
      <c r="G6243">
        <v>-188.50470000000001</v>
      </c>
      <c r="H6243" s="1">
        <v>-3.5343409999999998E-6</v>
      </c>
      <c r="I6243">
        <v>37.253120000000003</v>
      </c>
      <c r="J6243">
        <v>-187.1148</v>
      </c>
      <c r="K6243">
        <v>1.1085940000000001</v>
      </c>
      <c r="L6243">
        <v>8.1499330000000008</v>
      </c>
      <c r="M6243">
        <v>3.5058930000000002E-2</v>
      </c>
      <c r="N6243">
        <v>-3.6487939999999999E-3</v>
      </c>
      <c r="O6243">
        <v>0.99937860000000001</v>
      </c>
      <c r="P6243">
        <v>-0.106041</v>
      </c>
      <c r="Q6243">
        <v>-4.2236219999999998E-2</v>
      </c>
      <c r="R6243">
        <v>0.99346440000000003</v>
      </c>
      <c r="S6243">
        <v>-0.13865659999999999</v>
      </c>
      <c r="T6243">
        <v>-0.11215</v>
      </c>
      <c r="U6243">
        <v>3.0002140000000002</v>
      </c>
      <c r="V6243">
        <v>-0.14072019999999999</v>
      </c>
      <c r="W6243">
        <v>-3.893812E-2</v>
      </c>
      <c r="X6243">
        <v>0.98928340000000003</v>
      </c>
      <c r="Y6243">
        <v>-8.1127539999999998E-2</v>
      </c>
      <c r="Z6243">
        <v>-3.3589250000000001E-2</v>
      </c>
      <c r="AA6243">
        <v>0.99613759999999996</v>
      </c>
      <c r="AB6243">
        <v>47</v>
      </c>
      <c r="AC6243">
        <v>-1.3899000000000099</v>
      </c>
      <c r="AD6243">
        <v>-1.1085975343409999</v>
      </c>
      <c r="AE6243">
        <v>29.103186999999998</v>
      </c>
      <c r="AF6243">
        <v>-2.4058959112906702</v>
      </c>
      <c r="AG6243">
        <v>-1.1085975343409999</v>
      </c>
      <c r="AH6243">
        <v>28.994591405376301</v>
      </c>
      <c r="AI6243">
        <v>92.182124411816602</v>
      </c>
      <c r="AJ6243">
        <v>94.743388462847307</v>
      </c>
      <c r="AK6243">
        <v>29.115350837553599</v>
      </c>
      <c r="AL6243">
        <v>92.231554088751395</v>
      </c>
      <c r="AM6243">
        <v>98.095703988827694</v>
      </c>
      <c r="AN6243">
        <v>0.99999999869636702</v>
      </c>
    </row>
    <row r="6244" spans="1:40" x14ac:dyDescent="0.25">
      <c r="A6244" t="str">
        <f>"20190305135948973"</f>
        <v>20190305135948973</v>
      </c>
      <c r="B6244" t="str">
        <f>"1551765588965262"</f>
        <v>1551765588965262</v>
      </c>
      <c r="C6244" t="s">
        <v>40</v>
      </c>
      <c r="D6244">
        <v>3.92293</v>
      </c>
      <c r="E6244">
        <v>0.5231538</v>
      </c>
      <c r="F6244" t="s">
        <v>42</v>
      </c>
      <c r="G6244">
        <v>-188.3723</v>
      </c>
      <c r="H6244" s="1">
        <v>-2.9908889999999999E-6</v>
      </c>
      <c r="I6244">
        <v>35.93159</v>
      </c>
      <c r="J6244">
        <v>-187.09950000000001</v>
      </c>
      <c r="K6244">
        <v>1.1086659999999999</v>
      </c>
      <c r="L6244">
        <v>8.6006160000000005</v>
      </c>
      <c r="M6244">
        <v>3.4110269999999998E-2</v>
      </c>
      <c r="N6244">
        <v>-3.67265E-3</v>
      </c>
      <c r="O6244">
        <v>0.9994113</v>
      </c>
      <c r="P6244">
        <v>-0.10623639999999999</v>
      </c>
      <c r="Q6244">
        <v>-4.2912440000000003E-2</v>
      </c>
      <c r="R6244">
        <v>0.99341449999999998</v>
      </c>
      <c r="S6244">
        <v>-0.13580320000000001</v>
      </c>
      <c r="T6244">
        <v>-0.1197178</v>
      </c>
      <c r="U6244">
        <v>3.0001530000000001</v>
      </c>
      <c r="V6244">
        <v>-0.13996500000000001</v>
      </c>
      <c r="W6244">
        <v>-3.9618189999999998E-2</v>
      </c>
      <c r="X6244">
        <v>0.98936360000000001</v>
      </c>
      <c r="Y6244">
        <v>-7.92326E-2</v>
      </c>
      <c r="Z6244">
        <v>-3.6081549999999997E-2</v>
      </c>
      <c r="AA6244">
        <v>0.9962029</v>
      </c>
      <c r="AB6244">
        <v>47</v>
      </c>
      <c r="AC6244">
        <v>-1.2727999999999799</v>
      </c>
      <c r="AD6244">
        <v>-1.108668990889</v>
      </c>
      <c r="AE6244">
        <v>27.330974000000001</v>
      </c>
      <c r="AF6244">
        <v>-2.2007191209007999</v>
      </c>
      <c r="AG6244">
        <v>-1.108668990889</v>
      </c>
      <c r="AH6244">
        <v>27.226948826159902</v>
      </c>
      <c r="AI6244">
        <v>92.324198329123206</v>
      </c>
      <c r="AJ6244">
        <v>94.621097714622906</v>
      </c>
      <c r="AK6244">
        <v>27.338234287583099</v>
      </c>
      <c r="AL6244">
        <v>92.270549165806699</v>
      </c>
      <c r="AM6244">
        <v>98.052184146969296</v>
      </c>
      <c r="AN6244">
        <v>1.0000000676044101</v>
      </c>
    </row>
    <row r="6245" spans="1:40" x14ac:dyDescent="0.25">
      <c r="A6245" t="str">
        <f>"20190305135948992"</f>
        <v>20190305135948992</v>
      </c>
      <c r="B6245" t="str">
        <f>"1551765588984781"</f>
        <v>1551765588984781</v>
      </c>
      <c r="C6245" t="s">
        <v>40</v>
      </c>
      <c r="D6245">
        <v>3.9527510000000001</v>
      </c>
      <c r="E6245">
        <v>0.52321890000000004</v>
      </c>
      <c r="F6245" t="s">
        <v>42</v>
      </c>
      <c r="G6245">
        <v>-188.3314</v>
      </c>
      <c r="H6245" s="1">
        <v>-3.000113E-6</v>
      </c>
      <c r="I6245">
        <v>35.936160000000001</v>
      </c>
      <c r="J6245">
        <v>-187.08539999999999</v>
      </c>
      <c r="K6245">
        <v>1.1087579999999999</v>
      </c>
      <c r="L6245">
        <v>9.0282900000000001</v>
      </c>
      <c r="M6245">
        <v>3.3111389999999997E-2</v>
      </c>
      <c r="N6245">
        <v>-3.695589E-3</v>
      </c>
      <c r="O6245">
        <v>0.99944480000000002</v>
      </c>
      <c r="P6245">
        <v>-0.1068559</v>
      </c>
      <c r="Q6245">
        <v>-4.2865970000000003E-2</v>
      </c>
      <c r="R6245">
        <v>0.99334999999999996</v>
      </c>
      <c r="S6245">
        <v>-0.1352081</v>
      </c>
      <c r="T6245">
        <v>-0.1216807</v>
      </c>
      <c r="U6245">
        <v>3.0001829999999998</v>
      </c>
      <c r="V6245">
        <v>-0.1395845</v>
      </c>
      <c r="W6245">
        <v>-3.9579639999999999E-2</v>
      </c>
      <c r="X6245">
        <v>0.98941889999999999</v>
      </c>
      <c r="Y6245">
        <v>-7.8037510000000004E-2</v>
      </c>
      <c r="Z6245">
        <v>-3.6713259999999998E-2</v>
      </c>
      <c r="AA6245">
        <v>0.9962742</v>
      </c>
      <c r="AB6245">
        <v>47</v>
      </c>
      <c r="AC6245">
        <v>-1.246</v>
      </c>
      <c r="AD6245">
        <v>-1.1087610001129999</v>
      </c>
      <c r="AE6245">
        <v>26.907869999999999</v>
      </c>
      <c r="AF6245">
        <v>-2.1326665121831501</v>
      </c>
      <c r="AG6245">
        <v>-1.1087610001129999</v>
      </c>
      <c r="AH6245">
        <v>26.8064404594897</v>
      </c>
      <c r="AI6245">
        <v>92.361051197335101</v>
      </c>
      <c r="AJ6245">
        <v>94.548756100180697</v>
      </c>
      <c r="AK6245">
        <v>26.9139901819802</v>
      </c>
      <c r="AL6245">
        <v>92.268338674186694</v>
      </c>
      <c r="AM6245">
        <v>98.030136945300598</v>
      </c>
      <c r="AN6245">
        <v>1.00000007010999</v>
      </c>
    </row>
    <row r="6246" spans="1:40" x14ac:dyDescent="0.25">
      <c r="A6246" t="str">
        <f>"20190305135949015"</f>
        <v>20190305135949015</v>
      </c>
      <c r="B6246" t="str">
        <f>"1551765589005277"</f>
        <v>1551765589005277</v>
      </c>
      <c r="C6246" t="s">
        <v>40</v>
      </c>
      <c r="D6246">
        <v>3.9447459999999999</v>
      </c>
      <c r="E6246">
        <v>0.52330239999999995</v>
      </c>
      <c r="F6246" t="s">
        <v>42</v>
      </c>
      <c r="G6246">
        <v>-188.32849999999999</v>
      </c>
      <c r="H6246" s="1">
        <v>-3.1797580000000001E-6</v>
      </c>
      <c r="I6246">
        <v>36.353729999999999</v>
      </c>
      <c r="J6246">
        <v>-187.07060000000001</v>
      </c>
      <c r="K6246">
        <v>1.1088639999999901</v>
      </c>
      <c r="L6246">
        <v>9.4931640000000002</v>
      </c>
      <c r="M6246">
        <v>3.1921129999999999E-2</v>
      </c>
      <c r="N6246">
        <v>-3.7205070000000001E-3</v>
      </c>
      <c r="O6246">
        <v>0.99948349999999997</v>
      </c>
      <c r="P6246">
        <v>-0.10804610000000001</v>
      </c>
      <c r="Q6246">
        <v>-4.2423870000000002E-2</v>
      </c>
      <c r="R6246">
        <v>0.99324029999999996</v>
      </c>
      <c r="S6246">
        <v>-0.1364899</v>
      </c>
      <c r="T6246">
        <v>-0.1217346</v>
      </c>
      <c r="U6246">
        <v>3.0001530000000001</v>
      </c>
      <c r="V6246">
        <v>-0.1395835</v>
      </c>
      <c r="W6246">
        <v>-3.9149639999999999E-2</v>
      </c>
      <c r="X6246">
        <v>0.98943610000000004</v>
      </c>
      <c r="Y6246">
        <v>-7.7275460000000004E-2</v>
      </c>
      <c r="Z6246">
        <v>-3.6709859999999997E-2</v>
      </c>
      <c r="AA6246">
        <v>0.99633369999999999</v>
      </c>
      <c r="AB6246">
        <v>47</v>
      </c>
      <c r="AC6246">
        <v>-1.25789999999997</v>
      </c>
      <c r="AD6246">
        <v>-1.1088671797580001</v>
      </c>
      <c r="AE6246">
        <v>26.860565999999999</v>
      </c>
      <c r="AF6246">
        <v>-2.1110945564460399</v>
      </c>
      <c r="AG6246">
        <v>-1.1088671797580001</v>
      </c>
      <c r="AH6246">
        <v>26.761216036126001</v>
      </c>
      <c r="AI6246">
        <v>92.365387826090597</v>
      </c>
      <c r="AJ6246">
        <v>94.510513789530407</v>
      </c>
      <c r="AK6246">
        <v>26.867247540096301</v>
      </c>
      <c r="AL6246">
        <v>92.243682488001099</v>
      </c>
      <c r="AM6246">
        <v>98.029942395545802</v>
      </c>
      <c r="AN6246">
        <v>1.0000000218837899</v>
      </c>
    </row>
    <row r="6247" spans="1:40" x14ac:dyDescent="0.25">
      <c r="A6247" t="str">
        <f>"20190305135949037"</f>
        <v>20190305135949037</v>
      </c>
      <c r="B6247" t="str">
        <f>"1551765589024797"</f>
        <v>1551765589024797</v>
      </c>
      <c r="C6247" t="s">
        <v>40</v>
      </c>
      <c r="D6247">
        <v>3.9241000000000001</v>
      </c>
      <c r="E6247">
        <v>0.52336720000000003</v>
      </c>
      <c r="F6247" t="s">
        <v>42</v>
      </c>
      <c r="G6247">
        <v>-188.3614</v>
      </c>
      <c r="H6247" s="1">
        <v>-3.564472E-6</v>
      </c>
      <c r="I6247">
        <v>37.264110000000002</v>
      </c>
      <c r="J6247">
        <v>-187.0558</v>
      </c>
      <c r="K6247">
        <v>1.108973</v>
      </c>
      <c r="L6247">
        <v>9.9772029999999994</v>
      </c>
      <c r="M6247">
        <v>3.0577750000000001E-2</v>
      </c>
      <c r="N6247">
        <v>-3.7462519999999998E-3</v>
      </c>
      <c r="O6247">
        <v>0.99952540000000001</v>
      </c>
      <c r="P6247">
        <v>-0.1096158</v>
      </c>
      <c r="Q6247">
        <v>-4.1354109999999999E-2</v>
      </c>
      <c r="R6247">
        <v>0.99311340000000004</v>
      </c>
      <c r="S6247">
        <v>-0.13945009999999999</v>
      </c>
      <c r="T6247">
        <v>-0.119792</v>
      </c>
      <c r="U6247">
        <v>3.0001220000000002</v>
      </c>
      <c r="V6247">
        <v>-0.13981099999999999</v>
      </c>
      <c r="W6247">
        <v>-3.8093460000000003E-2</v>
      </c>
      <c r="X6247">
        <v>0.98944520000000002</v>
      </c>
      <c r="Y6247">
        <v>-7.6918100000000003E-2</v>
      </c>
      <c r="Z6247">
        <v>-3.6042499999999998E-2</v>
      </c>
      <c r="AA6247">
        <v>0.99638579999999999</v>
      </c>
      <c r="AB6247">
        <v>47</v>
      </c>
      <c r="AC6247">
        <v>-1.3055999999999901</v>
      </c>
      <c r="AD6247">
        <v>-1.108976564472</v>
      </c>
      <c r="AE6247">
        <v>27.286906999999999</v>
      </c>
      <c r="AF6247">
        <v>-2.1358477706804102</v>
      </c>
      <c r="AG6247">
        <v>-1.108976564472</v>
      </c>
      <c r="AH6247">
        <v>27.189417941356599</v>
      </c>
      <c r="AI6247">
        <v>92.328466840226895</v>
      </c>
      <c r="AJ6247">
        <v>94.491610454948301</v>
      </c>
      <c r="AK6247">
        <v>27.295716197048801</v>
      </c>
      <c r="AL6247">
        <v>92.183122660680795</v>
      </c>
      <c r="AM6247">
        <v>98.042785870360404</v>
      </c>
      <c r="AN6247">
        <v>1.0000000156094</v>
      </c>
    </row>
    <row r="6248" spans="1:40" x14ac:dyDescent="0.25">
      <c r="A6248" t="str">
        <f>"20190305135949060"</f>
        <v>20190305135949060</v>
      </c>
      <c r="B6248" t="str">
        <f>"1551765589055053"</f>
        <v>1551765589055053</v>
      </c>
      <c r="C6248" t="s">
        <v>40</v>
      </c>
      <c r="D6248">
        <v>3.9281760000000001</v>
      </c>
      <c r="E6248">
        <v>0.52344919999999995</v>
      </c>
      <c r="F6248" t="s">
        <v>42</v>
      </c>
      <c r="G6248">
        <v>-188.42150000000001</v>
      </c>
      <c r="H6248" s="1">
        <v>-4.0769369999999901E-6</v>
      </c>
      <c r="I6248">
        <v>38.483539999999998</v>
      </c>
      <c r="J6248">
        <v>-187.04140000000001</v>
      </c>
      <c r="K6248">
        <v>1.1090789999999999</v>
      </c>
      <c r="L6248">
        <v>10.471220000000001</v>
      </c>
      <c r="M6248">
        <v>2.9109550000000001E-2</v>
      </c>
      <c r="N6248">
        <v>-3.7719720000000002E-3</v>
      </c>
      <c r="O6248">
        <v>0.99956909999999999</v>
      </c>
      <c r="P6248">
        <v>-0.11093790000000001</v>
      </c>
      <c r="Q6248">
        <v>-4.1072699999999997E-2</v>
      </c>
      <c r="R6248">
        <v>0.99297829999999998</v>
      </c>
      <c r="S6248">
        <v>-0.1437378</v>
      </c>
      <c r="T6248">
        <v>-0.1167121</v>
      </c>
      <c r="U6248">
        <v>3.000092</v>
      </c>
      <c r="V6248">
        <v>-0.1396666</v>
      </c>
      <c r="W6248">
        <v>-3.7822769999999999E-2</v>
      </c>
      <c r="X6248">
        <v>0.98947600000000002</v>
      </c>
      <c r="Y6248">
        <v>-7.6876829999999993E-2</v>
      </c>
      <c r="Z6248">
        <v>-3.4996979999999997E-2</v>
      </c>
      <c r="AA6248">
        <v>0.99642620000000004</v>
      </c>
      <c r="AB6248">
        <v>48</v>
      </c>
      <c r="AC6248">
        <v>-1.3800999999999899</v>
      </c>
      <c r="AD6248">
        <v>-1.1090830769369999</v>
      </c>
      <c r="AE6248">
        <v>28.012319999999999</v>
      </c>
      <c r="AF6248">
        <v>-2.1915199153504799</v>
      </c>
      <c r="AG6248">
        <v>-1.1090830769369999</v>
      </c>
      <c r="AH6248">
        <v>27.916618999712199</v>
      </c>
      <c r="AI6248">
        <v>92.268103492304903</v>
      </c>
      <c r="AJ6248">
        <v>94.488647260707495</v>
      </c>
      <c r="AK6248">
        <v>28.024461478965399</v>
      </c>
      <c r="AL6248">
        <v>92.167602032929196</v>
      </c>
      <c r="AM6248">
        <v>98.034340791616899</v>
      </c>
      <c r="AN6248">
        <v>1.0000000378310101</v>
      </c>
    </row>
    <row r="6249" spans="1:40" x14ac:dyDescent="0.25">
      <c r="A6249" t="str">
        <f>"20190305135949082"</f>
        <v>20190305135949082</v>
      </c>
      <c r="B6249" t="str">
        <f>"1551765589075550"</f>
        <v>1551765589075550</v>
      </c>
      <c r="C6249" t="s">
        <v>40</v>
      </c>
      <c r="D6249">
        <v>3.9351289999999999</v>
      </c>
      <c r="E6249">
        <v>0.5235282</v>
      </c>
      <c r="F6249" t="s">
        <v>42</v>
      </c>
      <c r="G6249">
        <v>-188.45240000000001</v>
      </c>
      <c r="H6249" s="1">
        <v>-4.412855E-6</v>
      </c>
      <c r="I6249">
        <v>39.279350000000001</v>
      </c>
      <c r="J6249">
        <v>-187.02860000000001</v>
      </c>
      <c r="K6249">
        <v>1.1091709999999999</v>
      </c>
      <c r="L6249">
        <v>10.93521</v>
      </c>
      <c r="M6249">
        <v>2.7667799999999999E-2</v>
      </c>
      <c r="N6249">
        <v>-3.7955850000000002E-3</v>
      </c>
      <c r="O6249">
        <v>0.99960990000000005</v>
      </c>
      <c r="P6249">
        <v>-0.11250830000000001</v>
      </c>
      <c r="Q6249">
        <v>-4.0889790000000002E-2</v>
      </c>
      <c r="R6249">
        <v>0.9928091</v>
      </c>
      <c r="S6249">
        <v>-0.14694209999999999</v>
      </c>
      <c r="T6249">
        <v>-0.11549810000000001</v>
      </c>
      <c r="U6249">
        <v>3.0000309999999999</v>
      </c>
      <c r="V6249">
        <v>-0.13979730000000001</v>
      </c>
      <c r="W6249">
        <v>-3.76482E-2</v>
      </c>
      <c r="X6249">
        <v>0.98946420000000002</v>
      </c>
      <c r="Y6249">
        <v>-7.6502290000000001E-2</v>
      </c>
      <c r="Z6249">
        <v>-3.4573420000000001E-2</v>
      </c>
      <c r="AA6249">
        <v>0.99646979999999996</v>
      </c>
      <c r="AB6249">
        <v>48</v>
      </c>
      <c r="AC6249">
        <v>-1.4238</v>
      </c>
      <c r="AD6249">
        <v>-1.109175412855</v>
      </c>
      <c r="AE6249">
        <v>28.344139999999999</v>
      </c>
      <c r="AF6249">
        <v>-2.2041138515435299</v>
      </c>
      <c r="AG6249">
        <v>-1.109175412855</v>
      </c>
      <c r="AH6249">
        <v>28.250742414054201</v>
      </c>
      <c r="AI6249">
        <v>92.241576479195899</v>
      </c>
      <c r="AJ6249">
        <v>94.461161165205496</v>
      </c>
      <c r="AK6249">
        <v>28.358293935148598</v>
      </c>
      <c r="AL6249">
        <v>92.157592780676893</v>
      </c>
      <c r="AM6249">
        <v>98.041855668077304</v>
      </c>
      <c r="AN6249">
        <v>1.00000003756608</v>
      </c>
    </row>
    <row r="6250" spans="1:40" x14ac:dyDescent="0.25">
      <c r="A6250" t="str">
        <f>"20190305135949105"</f>
        <v>20190305135949105</v>
      </c>
      <c r="B6250" t="str">
        <f>"1551765589095070"</f>
        <v>1551765589095070</v>
      </c>
      <c r="C6250" t="s">
        <v>40</v>
      </c>
      <c r="D6250">
        <v>3.927241</v>
      </c>
      <c r="E6250">
        <v>0.52359129999999998</v>
      </c>
      <c r="F6250" t="s">
        <v>42</v>
      </c>
      <c r="G6250">
        <v>-188.48660000000001</v>
      </c>
      <c r="H6250" s="1">
        <v>-4.7180820000000002E-7</v>
      </c>
      <c r="I6250">
        <v>39.851210000000002</v>
      </c>
      <c r="J6250">
        <v>-187.0154</v>
      </c>
      <c r="K6250">
        <v>1.10927</v>
      </c>
      <c r="L6250">
        <v>11.44012</v>
      </c>
      <c r="M6250">
        <v>2.6049900000000001E-2</v>
      </c>
      <c r="N6250">
        <v>-3.82103E-3</v>
      </c>
      <c r="O6250">
        <v>0.99965329999999997</v>
      </c>
      <c r="P6250">
        <v>-0.11395470000000001</v>
      </c>
      <c r="Q6250">
        <v>-3.9727350000000002E-2</v>
      </c>
      <c r="R6250">
        <v>0.99269130000000005</v>
      </c>
      <c r="S6250">
        <v>-0.15126039999999999</v>
      </c>
      <c r="T6250">
        <v>-0.1150694</v>
      </c>
      <c r="U6250">
        <v>2.9998469999999999</v>
      </c>
      <c r="V6250">
        <v>-0.1396348</v>
      </c>
      <c r="W6250">
        <v>-3.6489769999999998E-2</v>
      </c>
      <c r="X6250">
        <v>0.98953049999999998</v>
      </c>
      <c r="Y6250">
        <v>-7.6322650000000006E-2</v>
      </c>
      <c r="Z6250">
        <v>-3.4409549999999997E-2</v>
      </c>
      <c r="AA6250">
        <v>0.99648919999999996</v>
      </c>
      <c r="AB6250">
        <v>48</v>
      </c>
      <c r="AC6250">
        <v>-1.4712000000000101</v>
      </c>
      <c r="AD6250">
        <v>-1.1092704718081901</v>
      </c>
      <c r="AE6250">
        <v>28.411089999999898</v>
      </c>
      <c r="AF6250">
        <v>-2.2074561700528901</v>
      </c>
      <c r="AG6250">
        <v>-1.1092704718081901</v>
      </c>
      <c r="AH6250">
        <v>28.320067806422799</v>
      </c>
      <c r="AI6250">
        <v>92.236298925000895</v>
      </c>
      <c r="AJ6250">
        <v>94.457005742944901</v>
      </c>
      <c r="AK6250">
        <v>28.427620095300199</v>
      </c>
      <c r="AL6250">
        <v>92.091174068421793</v>
      </c>
      <c r="AM6250">
        <v>98.032098738624398</v>
      </c>
      <c r="AN6250">
        <v>0.99999999555797103</v>
      </c>
    </row>
    <row r="6251" spans="1:40" x14ac:dyDescent="0.25">
      <c r="A6251" t="str">
        <f>"20190305135949127"</f>
        <v>20190305135949127</v>
      </c>
      <c r="B6251" t="str">
        <f>"1551765589115566"</f>
        <v>1551765589115566</v>
      </c>
      <c r="C6251" t="s">
        <v>40</v>
      </c>
      <c r="D6251">
        <v>3.9380649999999999</v>
      </c>
      <c r="E6251">
        <v>0.52369619999999995</v>
      </c>
      <c r="F6251" t="s">
        <v>42</v>
      </c>
      <c r="G6251">
        <v>-188.55670000000001</v>
      </c>
      <c r="H6251" s="1">
        <v>-9.4494990000000001E-7</v>
      </c>
      <c r="I6251">
        <v>41.238689999999998</v>
      </c>
      <c r="J6251">
        <v>-187.00399999999999</v>
      </c>
      <c r="K6251">
        <v>1.1093459999999999</v>
      </c>
      <c r="L6251">
        <v>11.901210000000001</v>
      </c>
      <c r="M6251">
        <v>2.4543700000000002E-2</v>
      </c>
      <c r="N6251">
        <v>-3.8439360000000001E-3</v>
      </c>
      <c r="O6251">
        <v>0.99969140000000001</v>
      </c>
      <c r="P6251">
        <v>-0.1149191</v>
      </c>
      <c r="Q6251">
        <v>-3.8184530000000001E-2</v>
      </c>
      <c r="R6251">
        <v>0.99264070000000004</v>
      </c>
      <c r="S6251">
        <v>-0.15516659999999999</v>
      </c>
      <c r="T6251">
        <v>-0.11167009999999999</v>
      </c>
      <c r="U6251">
        <v>2.9998170000000002</v>
      </c>
      <c r="V6251">
        <v>-0.13910699999999901</v>
      </c>
      <c r="W6251">
        <v>-3.4946119999999997E-2</v>
      </c>
      <c r="X6251">
        <v>0.9896606</v>
      </c>
      <c r="Y6251">
        <v>-7.6117249999999997E-2</v>
      </c>
      <c r="Z6251">
        <v>-3.3260360000000003E-2</v>
      </c>
      <c r="AA6251">
        <v>0.99654399999999999</v>
      </c>
      <c r="AB6251">
        <v>48</v>
      </c>
      <c r="AC6251">
        <v>-1.55269999999998</v>
      </c>
      <c r="AD6251">
        <v>-1.1093469449498901</v>
      </c>
      <c r="AE6251">
        <v>29.337479999999999</v>
      </c>
      <c r="AF6251">
        <v>-2.2690525266975499</v>
      </c>
      <c r="AG6251">
        <v>-1.1093469449498901</v>
      </c>
      <c r="AH6251">
        <v>29.248828413611399</v>
      </c>
      <c r="AI6251">
        <v>92.165567573917002</v>
      </c>
      <c r="AJ6251">
        <v>94.435981601458906</v>
      </c>
      <c r="AK6251">
        <v>29.3576772511393</v>
      </c>
      <c r="AL6251">
        <v>92.002672856533806</v>
      </c>
      <c r="AM6251">
        <v>98.001094194817895</v>
      </c>
      <c r="AN6251">
        <v>1.0000000459722</v>
      </c>
    </row>
    <row r="6252" spans="1:40" x14ac:dyDescent="0.25">
      <c r="A6252" t="str">
        <f>"20190305135949148"</f>
        <v>20190305135949148</v>
      </c>
      <c r="B6252" t="str">
        <f>"1551765589144845"</f>
        <v>1551765589144845</v>
      </c>
      <c r="C6252" t="s">
        <v>40</v>
      </c>
      <c r="D6252">
        <v>3.940169</v>
      </c>
      <c r="E6252">
        <v>0.52390179999999997</v>
      </c>
      <c r="F6252" t="s">
        <v>42</v>
      </c>
      <c r="G6252">
        <v>-188.63310000000001</v>
      </c>
      <c r="H6252" s="1">
        <v>-1.6875280000000001E-6</v>
      </c>
      <c r="I6252">
        <v>43.001269999999998</v>
      </c>
      <c r="J6252">
        <v>-186.99299999999999</v>
      </c>
      <c r="K6252">
        <v>1.1094109999999999</v>
      </c>
      <c r="L6252">
        <v>12.376250000000001</v>
      </c>
      <c r="M6252">
        <v>2.2973859999999999E-2</v>
      </c>
      <c r="N6252">
        <v>-3.867321E-3</v>
      </c>
      <c r="O6252">
        <v>0.99972859999999997</v>
      </c>
      <c r="P6252">
        <v>-0.1158168</v>
      </c>
      <c r="Q6252">
        <v>-3.7127960000000002E-2</v>
      </c>
      <c r="R6252">
        <v>0.99257640000000003</v>
      </c>
      <c r="S6252">
        <v>-0.15715029999999999</v>
      </c>
      <c r="T6252">
        <v>-0.1070087</v>
      </c>
      <c r="U6252">
        <v>2.9999389999999999</v>
      </c>
      <c r="V6252">
        <v>-0.13844799999999999</v>
      </c>
      <c r="W6252">
        <v>-3.388588E-2</v>
      </c>
      <c r="X6252">
        <v>0.98978980000000005</v>
      </c>
      <c r="Y6252">
        <v>-7.5209490000000004E-2</v>
      </c>
      <c r="Z6252">
        <v>-3.1691219999999999E-2</v>
      </c>
      <c r="AA6252">
        <v>0.99666399999999999</v>
      </c>
      <c r="AB6252">
        <v>48</v>
      </c>
      <c r="AC6252">
        <v>-1.6401000000000101</v>
      </c>
      <c r="AD6252">
        <v>-1.1094126875279999</v>
      </c>
      <c r="AE6252">
        <v>30.625019999999999</v>
      </c>
      <c r="AF6252">
        <v>-2.34018504429089</v>
      </c>
      <c r="AG6252">
        <v>-1.1094126875279999</v>
      </c>
      <c r="AH6252">
        <v>30.539295050795499</v>
      </c>
      <c r="AI6252">
        <v>92.074414712980996</v>
      </c>
      <c r="AJ6252">
        <v>94.381934962410199</v>
      </c>
      <c r="AK6252">
        <v>30.6489119668597</v>
      </c>
      <c r="AL6252">
        <v>91.941889708931399</v>
      </c>
      <c r="AM6252">
        <v>97.962651367878607</v>
      </c>
      <c r="AN6252">
        <v>0.99999997487570602</v>
      </c>
    </row>
    <row r="6253" spans="1:40" x14ac:dyDescent="0.25">
      <c r="A6253" t="str">
        <f>"20190305135949173"</f>
        <v>20190305135949173</v>
      </c>
      <c r="B6253" t="str">
        <f>"1551765589165341"</f>
        <v>1551765589165341</v>
      </c>
      <c r="C6253" t="s">
        <v>40</v>
      </c>
      <c r="D6253">
        <v>3.9234140000000002</v>
      </c>
      <c r="E6253">
        <v>0.52402190000000004</v>
      </c>
      <c r="F6253" t="s">
        <v>42</v>
      </c>
      <c r="G6253">
        <v>-188.68809999999999</v>
      </c>
      <c r="H6253" s="1">
        <v>-2.3426319999999999E-6</v>
      </c>
      <c r="I6253">
        <v>44.55106</v>
      </c>
      <c r="J6253">
        <v>-186.9819</v>
      </c>
      <c r="K6253">
        <v>1.1094740000000001</v>
      </c>
      <c r="L6253">
        <v>12.884370000000001</v>
      </c>
      <c r="M6253">
        <v>2.1283839999999998E-2</v>
      </c>
      <c r="N6253">
        <v>-3.8923009999999999E-3</v>
      </c>
      <c r="O6253">
        <v>0.99976589999999999</v>
      </c>
      <c r="P6253">
        <v>-0.11670560000000001</v>
      </c>
      <c r="Q6253">
        <v>-3.7038170000000002E-2</v>
      </c>
      <c r="R6253">
        <v>0.99247569999999996</v>
      </c>
      <c r="S6253">
        <v>-0.15806579999999901</v>
      </c>
      <c r="T6253">
        <v>-0.1034466</v>
      </c>
      <c r="U6253">
        <v>3.0001220000000002</v>
      </c>
      <c r="V6253">
        <v>-0.137656</v>
      </c>
      <c r="W6253">
        <v>-3.378946E-2</v>
      </c>
      <c r="X6253">
        <v>0.98990359999999999</v>
      </c>
      <c r="Y6253">
        <v>-7.3826100000000006E-2</v>
      </c>
      <c r="Z6253">
        <v>-3.0485350000000001E-2</v>
      </c>
      <c r="AA6253">
        <v>0.9968051</v>
      </c>
      <c r="AB6253">
        <v>48</v>
      </c>
      <c r="AC6253">
        <v>-1.7061999999999899</v>
      </c>
      <c r="AD6253">
        <v>-1.109476342632</v>
      </c>
      <c r="AE6253">
        <v>31.666689999999999</v>
      </c>
      <c r="AF6253">
        <v>-2.3768981022255198</v>
      </c>
      <c r="AG6253">
        <v>-1.109476342632</v>
      </c>
      <c r="AH6253">
        <v>31.5845431569984</v>
      </c>
      <c r="AI6253">
        <v>92.006144648968998</v>
      </c>
      <c r="AJ6253">
        <v>94.303687717210096</v>
      </c>
      <c r="AK6253">
        <v>31.693279236764301</v>
      </c>
      <c r="AL6253">
        <v>91.936361997621205</v>
      </c>
      <c r="AM6253">
        <v>97.916781188616994</v>
      </c>
      <c r="AN6253">
        <v>1.0000000196180201</v>
      </c>
    </row>
    <row r="6254" spans="1:40" x14ac:dyDescent="0.25">
      <c r="A6254" t="str">
        <f>"20190305135949194"</f>
        <v>20190305135949194</v>
      </c>
      <c r="B6254" t="str">
        <f>"1551765589184861"</f>
        <v>1551765589184861</v>
      </c>
      <c r="C6254" t="s">
        <v>40</v>
      </c>
      <c r="D6254">
        <v>3.903375</v>
      </c>
      <c r="E6254">
        <v>0.52401520000000001</v>
      </c>
      <c r="F6254" t="s">
        <v>42</v>
      </c>
      <c r="G6254">
        <v>-188.7022</v>
      </c>
      <c r="H6254" s="1">
        <v>-2.6036010000000002E-6</v>
      </c>
      <c r="I6254">
        <v>45.165230000000001</v>
      </c>
      <c r="J6254">
        <v>-186.97219999999999</v>
      </c>
      <c r="K6254">
        <v>1.109524</v>
      </c>
      <c r="L6254">
        <v>13.37018</v>
      </c>
      <c r="M6254">
        <v>1.966352E-2</v>
      </c>
      <c r="N6254">
        <v>-3.9162800000000003E-3</v>
      </c>
      <c r="O6254">
        <v>0.99979899999999999</v>
      </c>
      <c r="P6254">
        <v>-0.1174274</v>
      </c>
      <c r="Q6254">
        <v>-3.8023220000000003E-2</v>
      </c>
      <c r="R6254">
        <v>0.99235329999999999</v>
      </c>
      <c r="S6254">
        <v>-0.15988160000000001</v>
      </c>
      <c r="T6254">
        <v>-0.1031116</v>
      </c>
      <c r="U6254">
        <v>3.000092</v>
      </c>
      <c r="V6254">
        <v>-0.13676250000000001</v>
      </c>
      <c r="W6254">
        <v>-3.4765549999999999E-2</v>
      </c>
      <c r="X6254">
        <v>0.98999360000000003</v>
      </c>
      <c r="Y6254">
        <v>-7.2812249999999995E-2</v>
      </c>
      <c r="Z6254">
        <v>-3.0353089999999999E-2</v>
      </c>
      <c r="AA6254">
        <v>0.99688370000000004</v>
      </c>
      <c r="AB6254">
        <v>49</v>
      </c>
      <c r="AC6254">
        <v>-1.73000000000001</v>
      </c>
      <c r="AD6254">
        <v>-1.1095266036010001</v>
      </c>
      <c r="AE6254">
        <v>31.79505</v>
      </c>
      <c r="AF6254">
        <v>-2.35201718988937</v>
      </c>
      <c r="AG6254">
        <v>-1.1095266036010001</v>
      </c>
      <c r="AH6254">
        <v>31.716375862674099</v>
      </c>
      <c r="AI6254">
        <v>91.998065826336102</v>
      </c>
      <c r="AJ6254">
        <v>94.241166689379298</v>
      </c>
      <c r="AK6254">
        <v>31.822814646225901</v>
      </c>
      <c r="AL6254">
        <v>91.992320806142004</v>
      </c>
      <c r="AM6254">
        <v>97.865333975631401</v>
      </c>
      <c r="AN6254">
        <v>0.999999976457006</v>
      </c>
    </row>
    <row r="6255" spans="1:40" x14ac:dyDescent="0.25">
      <c r="A6255" t="str">
        <f>"20190305135949216"</f>
        <v>20190305135949216</v>
      </c>
      <c r="B6255" t="str">
        <f>"1551765589205358"</f>
        <v>1551765589205358</v>
      </c>
      <c r="C6255" t="s">
        <v>40</v>
      </c>
      <c r="D6255">
        <v>3.928112</v>
      </c>
      <c r="E6255">
        <v>0.52393140000000005</v>
      </c>
      <c r="F6255" t="s">
        <v>42</v>
      </c>
      <c r="G6255">
        <v>-188.67150000000001</v>
      </c>
      <c r="H6255" s="1">
        <v>-2.4477540000000001E-6</v>
      </c>
      <c r="I6255">
        <v>44.789230000000003</v>
      </c>
      <c r="J6255">
        <v>-186.96360000000001</v>
      </c>
      <c r="K6255">
        <v>1.1095660000000001</v>
      </c>
      <c r="L6255">
        <v>13.836880000000001</v>
      </c>
      <c r="M6255">
        <v>1.8105280000000001E-2</v>
      </c>
      <c r="N6255">
        <v>-3.9393750000000002E-3</v>
      </c>
      <c r="O6255">
        <v>0.9998283</v>
      </c>
      <c r="P6255">
        <v>-0.11834219999999999</v>
      </c>
      <c r="Q6255">
        <v>-3.8612689999999998E-2</v>
      </c>
      <c r="R6255">
        <v>0.99222180000000004</v>
      </c>
      <c r="S6255">
        <v>-0.16224669999999999</v>
      </c>
      <c r="T6255">
        <v>-0.10593610000000001</v>
      </c>
      <c r="U6255">
        <v>2.9998469999999999</v>
      </c>
      <c r="V6255">
        <v>-0.13612479999999999</v>
      </c>
      <c r="W6255">
        <v>-3.5345469999999997E-2</v>
      </c>
      <c r="X6255">
        <v>0.99006099999999997</v>
      </c>
      <c r="Y6255">
        <v>-7.2044220000000006E-2</v>
      </c>
      <c r="Z6255">
        <v>-3.1272460000000002E-2</v>
      </c>
      <c r="AA6255">
        <v>0.99691099999999999</v>
      </c>
      <c r="AB6255">
        <v>49</v>
      </c>
      <c r="AC6255">
        <v>-1.70789999999999</v>
      </c>
      <c r="AD6255">
        <v>-1.109568447754</v>
      </c>
      <c r="AE6255">
        <v>30.952349999999999</v>
      </c>
      <c r="AF6255">
        <v>-2.2651234054041698</v>
      </c>
      <c r="AG6255">
        <v>-1.109568447754</v>
      </c>
      <c r="AH6255">
        <v>30.876796277805202</v>
      </c>
      <c r="AI6255">
        <v>92.052547296175803</v>
      </c>
      <c r="AJ6255">
        <v>94.195705509536296</v>
      </c>
      <c r="AK6255">
        <v>30.979646133599498</v>
      </c>
      <c r="AL6255">
        <v>92.025568115333598</v>
      </c>
      <c r="AM6255">
        <v>97.828588764065401</v>
      </c>
      <c r="AN6255">
        <v>1.00000002357278</v>
      </c>
    </row>
    <row r="6256" spans="1:40" x14ac:dyDescent="0.25">
      <c r="A6256" t="str">
        <f>"20190305135949239"</f>
        <v>20190305135949239</v>
      </c>
      <c r="B6256" t="str">
        <f>"1551765589235614"</f>
        <v>1551765589235614</v>
      </c>
      <c r="C6256" t="s">
        <v>40</v>
      </c>
      <c r="D6256">
        <v>3.9111530000000001</v>
      </c>
      <c r="E6256">
        <v>0.52384629999999999</v>
      </c>
      <c r="F6256" t="s">
        <v>42</v>
      </c>
      <c r="G6256">
        <v>-188.67359999999999</v>
      </c>
      <c r="H6256" s="1">
        <v>-2.4404730000000001E-6</v>
      </c>
      <c r="I6256">
        <v>44.773119999999999</v>
      </c>
      <c r="J6256">
        <v>-186.95509999999999</v>
      </c>
      <c r="K6256">
        <v>1.109613</v>
      </c>
      <c r="L6256">
        <v>14.332789999999999</v>
      </c>
      <c r="M6256">
        <v>1.6449579999999998E-2</v>
      </c>
      <c r="N6256">
        <v>-3.9639590000000004E-3</v>
      </c>
      <c r="O6256">
        <v>0.99985679999999999</v>
      </c>
      <c r="P6256">
        <v>-0.1196456</v>
      </c>
      <c r="Q6256">
        <v>-3.8505159999999997E-2</v>
      </c>
      <c r="R6256">
        <v>0.99206970000000005</v>
      </c>
      <c r="S6256">
        <v>-0.165802</v>
      </c>
      <c r="T6256">
        <v>-0.1075826</v>
      </c>
      <c r="U6256">
        <v>2.9995419999999999</v>
      </c>
      <c r="V6256">
        <v>-0.1357826</v>
      </c>
      <c r="W6256">
        <v>-3.5227550000000003E-2</v>
      </c>
      <c r="X6256">
        <v>0.9901122</v>
      </c>
      <c r="Y6256">
        <v>-7.1575130000000001E-2</v>
      </c>
      <c r="Z6256">
        <v>-3.1799290000000001E-2</v>
      </c>
      <c r="AA6256">
        <v>0.99692820000000004</v>
      </c>
      <c r="AB6256">
        <v>49</v>
      </c>
      <c r="AC6256">
        <v>-1.7184999999999999</v>
      </c>
      <c r="AD6256">
        <v>-1.1096154404730001</v>
      </c>
      <c r="AE6256">
        <v>30.440329999999999</v>
      </c>
      <c r="AF6256">
        <v>-2.2160668103673098</v>
      </c>
      <c r="AG6256">
        <v>-1.1096154404730001</v>
      </c>
      <c r="AH6256">
        <v>30.3677192372121</v>
      </c>
      <c r="AI6256">
        <v>92.087072353558995</v>
      </c>
      <c r="AJ6256">
        <v>94.173728243582502</v>
      </c>
      <c r="AK6256">
        <v>30.468681793013101</v>
      </c>
      <c r="AL6256">
        <v>92.018807570619302</v>
      </c>
      <c r="AM6256">
        <v>97.808752992754194</v>
      </c>
      <c r="AN6256">
        <v>1.0000000316652999</v>
      </c>
    </row>
    <row r="6257" spans="1:40" x14ac:dyDescent="0.25">
      <c r="A6257" t="str">
        <f>"20190305135949260"</f>
        <v>20190305135949260</v>
      </c>
      <c r="B6257" t="str">
        <f>"1551765589255133"</f>
        <v>1551765589255133</v>
      </c>
      <c r="C6257" t="s">
        <v>40</v>
      </c>
      <c r="D6257">
        <v>3.8977499999999998</v>
      </c>
      <c r="E6257">
        <v>0.52380199999999999</v>
      </c>
      <c r="F6257" t="s">
        <v>42</v>
      </c>
      <c r="G6257">
        <v>-188.71090000000001</v>
      </c>
      <c r="H6257" s="1">
        <v>-2.6452399999999999E-6</v>
      </c>
      <c r="I6257">
        <v>45.265880000000003</v>
      </c>
      <c r="J6257">
        <v>-186.94800000000001</v>
      </c>
      <c r="K6257">
        <v>1.10965</v>
      </c>
      <c r="L6257">
        <v>14.803710000000001</v>
      </c>
      <c r="M6257">
        <v>1.4877659999999999E-2</v>
      </c>
      <c r="N6257">
        <v>-3.9872709999999997E-3</v>
      </c>
      <c r="O6257">
        <v>0.99988140000000003</v>
      </c>
      <c r="P6257">
        <v>-0.1204544</v>
      </c>
      <c r="Q6257">
        <v>-3.746845E-2</v>
      </c>
      <c r="R6257">
        <v>0.99201150000000005</v>
      </c>
      <c r="S6257">
        <v>-0.17024230000000001</v>
      </c>
      <c r="T6257">
        <v>-0.10758819999999999</v>
      </c>
      <c r="U6257">
        <v>2.9992679999999998</v>
      </c>
      <c r="V6257">
        <v>-0.1350354</v>
      </c>
      <c r="W6257">
        <v>-3.4176709999999999E-2</v>
      </c>
      <c r="X6257">
        <v>0.9902512</v>
      </c>
      <c r="Y6257">
        <v>-7.1483370000000004E-2</v>
      </c>
      <c r="Z6257">
        <v>-3.1781190000000001E-2</v>
      </c>
      <c r="AA6257">
        <v>0.99693540000000003</v>
      </c>
      <c r="AB6257">
        <v>49</v>
      </c>
      <c r="AC6257">
        <v>-1.7629000000000301</v>
      </c>
      <c r="AD6257">
        <v>-1.10965264524</v>
      </c>
      <c r="AE6257">
        <v>30.46217</v>
      </c>
      <c r="AF6257">
        <v>-2.2129875720782999</v>
      </c>
      <c r="AG6257">
        <v>-1.10965264524</v>
      </c>
      <c r="AH6257">
        <v>30.3923760553274</v>
      </c>
      <c r="AI6257">
        <v>92.085474754057401</v>
      </c>
      <c r="AJ6257">
        <v>94.164579790259907</v>
      </c>
      <c r="AK6257">
        <v>30.493034700988702</v>
      </c>
      <c r="AL6257">
        <v>91.958562604343896</v>
      </c>
      <c r="AM6257">
        <v>97.765231084332598</v>
      </c>
      <c r="AN6257">
        <v>1.0000000229305099</v>
      </c>
    </row>
    <row r="6258" spans="1:40" x14ac:dyDescent="0.25">
      <c r="A6258" t="str">
        <f>"20190305135949282"</f>
        <v>20190305135949282</v>
      </c>
      <c r="B6258" t="str">
        <f>"1551765589275630"</f>
        <v>1551765589275630</v>
      </c>
      <c r="C6258" t="s">
        <v>40</v>
      </c>
      <c r="D6258">
        <v>3.9344670000000002</v>
      </c>
      <c r="E6258">
        <v>0.52378349999999996</v>
      </c>
      <c r="F6258" t="s">
        <v>42</v>
      </c>
      <c r="G6258">
        <v>-188.7816</v>
      </c>
      <c r="H6258" s="1">
        <v>-3.2039310000000002E-6</v>
      </c>
      <c r="I6258">
        <v>46.59742</v>
      </c>
      <c r="J6258">
        <v>-186.94110000000001</v>
      </c>
      <c r="K6258">
        <v>1.109693</v>
      </c>
      <c r="L6258">
        <v>15.31094</v>
      </c>
      <c r="M6258">
        <v>1.3184410000000001E-2</v>
      </c>
      <c r="N6258">
        <v>-4.0125109999999999E-3</v>
      </c>
      <c r="O6258">
        <v>0.99990500000000004</v>
      </c>
      <c r="P6258">
        <v>-0.1215889</v>
      </c>
      <c r="Q6258">
        <v>-3.6386300000000003E-2</v>
      </c>
      <c r="R6258">
        <v>0.99191339999999995</v>
      </c>
      <c r="S6258">
        <v>-0.17297360000000001</v>
      </c>
      <c r="T6258">
        <v>-0.1046773</v>
      </c>
      <c r="U6258">
        <v>2.9992070000000002</v>
      </c>
      <c r="V6258">
        <v>-0.13449410000000001</v>
      </c>
      <c r="W6258">
        <v>-3.3078719999999999E-2</v>
      </c>
      <c r="X6258">
        <v>0.99036210000000002</v>
      </c>
      <c r="Y6258">
        <v>-7.0702280000000006E-2</v>
      </c>
      <c r="Z6258">
        <v>-3.079148E-2</v>
      </c>
      <c r="AA6258">
        <v>0.99702210000000002</v>
      </c>
      <c r="AB6258">
        <v>49</v>
      </c>
      <c r="AC6258">
        <v>-1.84049999999999</v>
      </c>
      <c r="AD6258">
        <v>-1.1096962039309901</v>
      </c>
      <c r="AE6258">
        <v>31.286479999999901</v>
      </c>
      <c r="AF6258">
        <v>-2.2500162871393101</v>
      </c>
      <c r="AG6258">
        <v>-1.1096962039309901</v>
      </c>
      <c r="AH6258">
        <v>31.2203534607123</v>
      </c>
      <c r="AI6258">
        <v>92.030402507933402</v>
      </c>
      <c r="AJ6258">
        <v>94.122116558401999</v>
      </c>
      <c r="AK6258">
        <v>31.320990871446199</v>
      </c>
      <c r="AL6258">
        <v>91.895616896633996</v>
      </c>
      <c r="AM6258">
        <v>97.733625449930699</v>
      </c>
      <c r="AN6258">
        <v>0.99999997688402897</v>
      </c>
    </row>
    <row r="6259" spans="1:40" x14ac:dyDescent="0.25">
      <c r="A6259" t="str">
        <f>"20190305135949304"</f>
        <v>20190305135949304</v>
      </c>
      <c r="B6259" t="str">
        <f>"1551765589295150"</f>
        <v>1551765589295150</v>
      </c>
      <c r="C6259" t="s">
        <v>40</v>
      </c>
      <c r="D6259">
        <v>3.9188190000000001</v>
      </c>
      <c r="E6259">
        <v>0.52378089999999999</v>
      </c>
      <c r="F6259" t="s">
        <v>42</v>
      </c>
      <c r="G6259">
        <v>-188.87010000000001</v>
      </c>
      <c r="H6259" s="1">
        <v>-3.8199030000000003E-6</v>
      </c>
      <c r="I6259">
        <v>48.069870000000002</v>
      </c>
      <c r="J6259">
        <v>-186.93520000000001</v>
      </c>
      <c r="K6259">
        <v>1.1097330000000001</v>
      </c>
      <c r="L6259">
        <v>15.79529</v>
      </c>
      <c r="M6259">
        <v>1.1567859999999999E-2</v>
      </c>
      <c r="N6259">
        <v>-4.0366519999999999E-3</v>
      </c>
      <c r="O6259">
        <v>0.99992499999999995</v>
      </c>
      <c r="P6259">
        <v>-0.1228017</v>
      </c>
      <c r="Q6259">
        <v>-3.4780980000000003E-2</v>
      </c>
      <c r="R6259">
        <v>0.99182159999999997</v>
      </c>
      <c r="S6259">
        <v>-0.17660519999999999</v>
      </c>
      <c r="T6259">
        <v>-0.1015929</v>
      </c>
      <c r="U6259">
        <v>2.9990839999999999</v>
      </c>
      <c r="V6259">
        <v>-0.13411049999999999</v>
      </c>
      <c r="W6259">
        <v>-3.145738E-2</v>
      </c>
      <c r="X6259">
        <v>0.99046699999999999</v>
      </c>
      <c r="Y6259">
        <v>-7.0297170000000006E-2</v>
      </c>
      <c r="Z6259">
        <v>-2.974473E-2</v>
      </c>
      <c r="AA6259">
        <v>0.99708249999999998</v>
      </c>
      <c r="AB6259">
        <v>49</v>
      </c>
      <c r="AC6259">
        <v>-1.9348999999999901</v>
      </c>
      <c r="AD6259">
        <v>-1.109736819903</v>
      </c>
      <c r="AE6259">
        <v>32.27458</v>
      </c>
      <c r="AF6259">
        <v>-2.3054055132239899</v>
      </c>
      <c r="AG6259">
        <v>-1.109736819903</v>
      </c>
      <c r="AH6259">
        <v>32.2120904551671</v>
      </c>
      <c r="AI6259">
        <v>91.968083095592505</v>
      </c>
      <c r="AJ6259">
        <v>94.093654403654995</v>
      </c>
      <c r="AK6259">
        <v>32.313544867156303</v>
      </c>
      <c r="AL6259">
        <v>91.802672438671493</v>
      </c>
      <c r="AM6259">
        <v>97.711026717891002</v>
      </c>
      <c r="AN6259">
        <v>1.00000003552785</v>
      </c>
    </row>
    <row r="6260" spans="1:40" x14ac:dyDescent="0.25">
      <c r="A6260" t="str">
        <f>"20190305135949328"</f>
        <v>20190305135949328</v>
      </c>
      <c r="B6260" t="str">
        <f>"1551765589325406"</f>
        <v>1551765589325406</v>
      </c>
      <c r="C6260" t="s">
        <v>40</v>
      </c>
      <c r="D6260">
        <v>3.896738</v>
      </c>
      <c r="E6260">
        <v>0.52384200000000003</v>
      </c>
      <c r="F6260" t="s">
        <v>42</v>
      </c>
      <c r="G6260">
        <v>-188.99600000000001</v>
      </c>
      <c r="H6260" s="1">
        <v>-4.170709E-7</v>
      </c>
      <c r="I6260">
        <v>50.088679999999997</v>
      </c>
      <c r="J6260">
        <v>-186.9299</v>
      </c>
      <c r="K6260">
        <v>1.1097629999999901</v>
      </c>
      <c r="L6260">
        <v>16.313389999999998</v>
      </c>
      <c r="M6260">
        <v>9.8378660000000007E-3</v>
      </c>
      <c r="N6260">
        <v>-4.0625840000000002E-3</v>
      </c>
      <c r="O6260">
        <v>0.99994340000000004</v>
      </c>
      <c r="P6260">
        <v>-0.12341870000000001</v>
      </c>
      <c r="Q6260">
        <v>-3.399228E-2</v>
      </c>
      <c r="R6260">
        <v>0.9917724</v>
      </c>
      <c r="S6260">
        <v>-0.18022160000000001</v>
      </c>
      <c r="T6260">
        <v>-9.7048280000000001E-2</v>
      </c>
      <c r="U6260">
        <v>2.9990230000000002</v>
      </c>
      <c r="V6260">
        <v>-0.13301569999999999</v>
      </c>
      <c r="W6260">
        <v>-3.064627E-2</v>
      </c>
      <c r="X6260">
        <v>0.99063999999999997</v>
      </c>
      <c r="Y6260">
        <v>-6.9773509999999997E-2</v>
      </c>
      <c r="Z6260">
        <v>-2.8210260000000001E-2</v>
      </c>
      <c r="AA6260">
        <v>0.99716389999999999</v>
      </c>
      <c r="AB6260">
        <v>50</v>
      </c>
      <c r="AC6260">
        <v>-2.0660999999999698</v>
      </c>
      <c r="AD6260">
        <v>-1.1097634170709001</v>
      </c>
      <c r="AE6260">
        <v>33.775289999999998</v>
      </c>
      <c r="AF6260">
        <v>-2.3957027606315902</v>
      </c>
      <c r="AG6260">
        <v>-1.1097634170709001</v>
      </c>
      <c r="AH6260">
        <v>33.7170640870985</v>
      </c>
      <c r="AI6260">
        <v>91.880415393546699</v>
      </c>
      <c r="AJ6260">
        <v>94.064213895019606</v>
      </c>
      <c r="AK6260">
        <v>33.820280560821402</v>
      </c>
      <c r="AL6260">
        <v>91.756176918079007</v>
      </c>
      <c r="AM6260">
        <v>97.647506684043293</v>
      </c>
      <c r="AN6260">
        <v>0.99999998995570105</v>
      </c>
    </row>
    <row r="6261" spans="1:40" x14ac:dyDescent="0.25">
      <c r="A6261" t="str">
        <f>"20190305135949350"</f>
        <v>20190305135949350</v>
      </c>
      <c r="B6261" t="str">
        <f>"1551765589344926"</f>
        <v>1551765589344926</v>
      </c>
      <c r="C6261" t="s">
        <v>40</v>
      </c>
      <c r="D6261">
        <v>4.0784510000000003</v>
      </c>
      <c r="E6261">
        <v>0.52383690000000005</v>
      </c>
      <c r="F6261" t="s">
        <v>42</v>
      </c>
      <c r="G6261">
        <v>-189.0455</v>
      </c>
      <c r="H6261" s="1">
        <v>-8.6428659999999896E-7</v>
      </c>
      <c r="I6261">
        <v>51.252780000000001</v>
      </c>
      <c r="J6261">
        <v>-186.9256</v>
      </c>
      <c r="K6261">
        <v>1.109791</v>
      </c>
      <c r="L6261">
        <v>16.805969999999999</v>
      </c>
      <c r="M6261">
        <v>8.1896650000000005E-3</v>
      </c>
      <c r="N6261">
        <v>-4.0873389999999997E-3</v>
      </c>
      <c r="O6261">
        <v>0.99995809999999996</v>
      </c>
      <c r="P6261">
        <v>-0.1231684</v>
      </c>
      <c r="Q6261">
        <v>-3.3196879999999998E-2</v>
      </c>
      <c r="R6261">
        <v>0.9918304</v>
      </c>
      <c r="S6261">
        <v>-0.1815948</v>
      </c>
      <c r="T6261">
        <v>-9.5256569999999999E-2</v>
      </c>
      <c r="U6261">
        <v>2.9990230000000002</v>
      </c>
      <c r="V6261">
        <v>-0.1311349</v>
      </c>
      <c r="W6261">
        <v>-2.9823800000000001E-2</v>
      </c>
      <c r="X6261">
        <v>0.99091580000000001</v>
      </c>
      <c r="Y6261">
        <v>-6.8585339999999995E-2</v>
      </c>
      <c r="Z6261">
        <v>-2.7591999999999998E-2</v>
      </c>
      <c r="AA6261">
        <v>0.99726360000000003</v>
      </c>
      <c r="AB6261">
        <v>50</v>
      </c>
      <c r="AC6261">
        <v>-2.1198999999999999</v>
      </c>
      <c r="AD6261">
        <v>-1.1097918642866</v>
      </c>
      <c r="AE6261">
        <v>34.446809999999999</v>
      </c>
      <c r="AF6261">
        <v>-2.3994579300710099</v>
      </c>
      <c r="AG6261">
        <v>-1.1097918642866</v>
      </c>
      <c r="AH6261">
        <v>34.392729411090698</v>
      </c>
      <c r="AI6261">
        <v>91.843712586303695</v>
      </c>
      <c r="AJ6261">
        <v>93.990855372591199</v>
      </c>
      <c r="AK6261">
        <v>34.494186070767398</v>
      </c>
      <c r="AL6261">
        <v>91.709031333236794</v>
      </c>
      <c r="AM6261">
        <v>97.538551805710597</v>
      </c>
      <c r="AN6261">
        <v>0.99999997186704404</v>
      </c>
    </row>
    <row r="6262" spans="1:40" x14ac:dyDescent="0.25">
      <c r="A6262" t="str">
        <f>"20190305135949375"</f>
        <v>20190305135949375</v>
      </c>
      <c r="B6262" t="str">
        <f>"1551765589365422"</f>
        <v>1551765589365422</v>
      </c>
      <c r="C6262" t="s">
        <v>40</v>
      </c>
      <c r="D6262">
        <v>4.0252309999999998</v>
      </c>
      <c r="E6262">
        <v>0.55846969999999996</v>
      </c>
      <c r="F6262" t="s">
        <v>42</v>
      </c>
      <c r="G6262">
        <v>-189.0694</v>
      </c>
      <c r="H6262" s="1">
        <v>-1.3468989999999999E-6</v>
      </c>
      <c r="I6262">
        <v>52.387619999999998</v>
      </c>
      <c r="J6262">
        <v>-186.92169999999999</v>
      </c>
      <c r="K6262">
        <v>1.1098209999999999</v>
      </c>
      <c r="L6262">
        <v>17.35941</v>
      </c>
      <c r="M6262">
        <v>6.3274430000000003E-3</v>
      </c>
      <c r="N6262">
        <v>-4.1153869999999999E-3</v>
      </c>
      <c r="O6262">
        <v>0.99997150000000001</v>
      </c>
      <c r="P6262">
        <v>-0.1224625</v>
      </c>
      <c r="Q6262">
        <v>-3.2212669999999999E-2</v>
      </c>
      <c r="R6262">
        <v>0.9919502</v>
      </c>
      <c r="S6262">
        <v>-0.18069460000000001</v>
      </c>
      <c r="T6262">
        <v>-9.3543409999999994E-2</v>
      </c>
      <c r="U6262">
        <v>2.9991460000000001</v>
      </c>
      <c r="V6262">
        <v>-0.1285877</v>
      </c>
      <c r="W6262">
        <v>-2.8806490000000001E-2</v>
      </c>
      <c r="X6262">
        <v>0.99127969999999999</v>
      </c>
      <c r="Y6262">
        <v>-6.6427730000000004E-2</v>
      </c>
      <c r="Z6262">
        <v>-2.6996880000000001E-2</v>
      </c>
      <c r="AA6262">
        <v>0.99742600000000003</v>
      </c>
      <c r="AB6262">
        <v>50</v>
      </c>
      <c r="AC6262">
        <v>-2.1477000000000102</v>
      </c>
      <c r="AD6262">
        <v>-1.1098223468990001</v>
      </c>
      <c r="AE6262">
        <v>35.028209999999902</v>
      </c>
      <c r="AF6262">
        <v>-2.3669307309835901</v>
      </c>
      <c r="AG6262">
        <v>-1.1098223468990001</v>
      </c>
      <c r="AH6262">
        <v>34.978936937439997</v>
      </c>
      <c r="AI6262">
        <v>91.813144710209798</v>
      </c>
      <c r="AJ6262">
        <v>93.871150244119306</v>
      </c>
      <c r="AK6262">
        <v>35.076489219994002</v>
      </c>
      <c r="AL6262">
        <v>91.650718606833493</v>
      </c>
      <c r="AM6262">
        <v>97.391072683489099</v>
      </c>
      <c r="AN6262">
        <v>1.00000002704474</v>
      </c>
    </row>
    <row r="6263" spans="1:40" x14ac:dyDescent="0.25">
      <c r="A6263" t="str">
        <f>"20190305135949395"</f>
        <v>20190305135949395</v>
      </c>
      <c r="B6263" t="str">
        <f>"1551765589384941"</f>
        <v>1551765589384941</v>
      </c>
      <c r="C6263" t="s">
        <v>40</v>
      </c>
      <c r="D6263">
        <v>4.0093940000000003</v>
      </c>
      <c r="E6263">
        <v>0.5737409</v>
      </c>
      <c r="F6263" t="s">
        <v>42</v>
      </c>
      <c r="G6263">
        <v>-185.86619999999999</v>
      </c>
      <c r="H6263" s="1">
        <v>-1.3854210000000001E-6</v>
      </c>
      <c r="I6263">
        <v>50.487099999999998</v>
      </c>
      <c r="J6263">
        <v>-186.91929999999999</v>
      </c>
      <c r="K6263">
        <v>1.1098509999999999</v>
      </c>
      <c r="L6263">
        <v>17.823179999999901</v>
      </c>
      <c r="M6263">
        <v>4.7461650000000001E-3</v>
      </c>
      <c r="N6263">
        <v>-4.1392030000000002E-3</v>
      </c>
      <c r="O6263">
        <v>0.99998019999999999</v>
      </c>
      <c r="P6263">
        <v>-0.1213698</v>
      </c>
      <c r="Q6263">
        <v>-3.1422180000000001E-2</v>
      </c>
      <c r="R6263">
        <v>0.99210989999999999</v>
      </c>
      <c r="S6263">
        <v>9.6633910000000003E-2</v>
      </c>
      <c r="T6263">
        <v>-0.1016092</v>
      </c>
      <c r="U6263">
        <v>3.0329899999999999</v>
      </c>
      <c r="V6263">
        <v>-0.1259304</v>
      </c>
      <c r="W6263">
        <v>-2.7986110000000002E-2</v>
      </c>
      <c r="X6263">
        <v>0.99164430000000003</v>
      </c>
      <c r="Y6263">
        <v>2.7084819999999999E-2</v>
      </c>
      <c r="Z6263">
        <v>-2.9330519999999999E-2</v>
      </c>
      <c r="AA6263">
        <v>0.9992027</v>
      </c>
      <c r="AB6263">
        <v>50</v>
      </c>
      <c r="AC6263">
        <v>1.0530999999999999</v>
      </c>
      <c r="AD6263">
        <v>-1.1098523854209901</v>
      </c>
      <c r="AE6263">
        <v>32.663919999999997</v>
      </c>
      <c r="AF6263">
        <v>0.89702392277613197</v>
      </c>
      <c r="AG6263">
        <v>-1.1098523854209901</v>
      </c>
      <c r="AH6263">
        <v>32.630917058701897</v>
      </c>
      <c r="AI6263">
        <v>91.947274952689696</v>
      </c>
      <c r="AJ6263">
        <v>88.425335576782402</v>
      </c>
      <c r="AK6263">
        <v>32.662106060805897</v>
      </c>
      <c r="AL6263">
        <v>91.603695291347705</v>
      </c>
      <c r="AM6263">
        <v>97.237337928064903</v>
      </c>
      <c r="AN6263">
        <v>1.0000000528597801</v>
      </c>
    </row>
    <row r="6264" spans="1:40" x14ac:dyDescent="0.25">
      <c r="A6264" t="str">
        <f>"20190305135949416"</f>
        <v>20190305135949416</v>
      </c>
      <c r="B6264" t="str">
        <f>"1551765589405447"</f>
        <v>1551765589405447</v>
      </c>
      <c r="C6264" t="s">
        <v>40</v>
      </c>
      <c r="D6264">
        <v>3.9623970000000002</v>
      </c>
      <c r="E6264">
        <v>0.57945259999999998</v>
      </c>
      <c r="F6264" t="s">
        <v>42</v>
      </c>
      <c r="G6264">
        <v>-184.47</v>
      </c>
      <c r="H6264" s="1">
        <v>-2.124779E-6</v>
      </c>
      <c r="I6264">
        <v>51.568089999999998</v>
      </c>
      <c r="J6264">
        <v>-186.91759999999999</v>
      </c>
      <c r="K6264">
        <v>1.1098870000000001</v>
      </c>
      <c r="L6264">
        <v>18.289580000000001</v>
      </c>
      <c r="M6264">
        <v>3.1262239999999999E-3</v>
      </c>
      <c r="N6264">
        <v>-4.1635520000000001E-3</v>
      </c>
      <c r="O6264">
        <v>0.9999865</v>
      </c>
      <c r="P6264">
        <v>-0.119259</v>
      </c>
      <c r="Q6264">
        <v>-3.1419420000000003E-2</v>
      </c>
      <c r="R6264">
        <v>0.99236590000000002</v>
      </c>
      <c r="S6264">
        <v>0.22120670000000001</v>
      </c>
      <c r="T6264">
        <v>-0.1002383</v>
      </c>
      <c r="U6264">
        <v>3.0477289999999999</v>
      </c>
      <c r="V6264">
        <v>-0.12221170000000001</v>
      </c>
      <c r="W6264">
        <v>-2.7948609999999999E-2</v>
      </c>
      <c r="X6264">
        <v>0.99211050000000001</v>
      </c>
      <c r="Y6264">
        <v>6.9237000000000007E-2</v>
      </c>
      <c r="Z6264">
        <v>-2.8627860000000002E-2</v>
      </c>
      <c r="AA6264">
        <v>0.9971894</v>
      </c>
      <c r="AB6264">
        <v>50</v>
      </c>
      <c r="AC6264">
        <v>2.4475999999999898</v>
      </c>
      <c r="AD6264">
        <v>-1.1098891247789999</v>
      </c>
      <c r="AE6264">
        <v>33.278509999999997</v>
      </c>
      <c r="AF6264">
        <v>2.34096116828862</v>
      </c>
      <c r="AG6264">
        <v>-1.1098891247789999</v>
      </c>
      <c r="AH6264">
        <v>33.2492142640045</v>
      </c>
      <c r="AI6264">
        <v>91.907157889298304</v>
      </c>
      <c r="AJ6264">
        <v>85.972649926050195</v>
      </c>
      <c r="AK6264">
        <v>33.3499955357481</v>
      </c>
      <c r="AL6264">
        <v>91.601545888660397</v>
      </c>
      <c r="AM6264">
        <v>97.022520154133304</v>
      </c>
      <c r="AN6264">
        <v>1.0000000343140301</v>
      </c>
    </row>
    <row r="6265" spans="1:40" x14ac:dyDescent="0.25">
      <c r="A6265" t="str">
        <f>"20190305135949439"</f>
        <v>20190305135949439</v>
      </c>
      <c r="B6265" t="str">
        <f>"1551765589434718"</f>
        <v>1551765589434718</v>
      </c>
      <c r="C6265" t="s">
        <v>40</v>
      </c>
      <c r="D6265">
        <v>3.9680810000000002</v>
      </c>
      <c r="E6265">
        <v>0.58303799999999995</v>
      </c>
      <c r="F6265" t="s">
        <v>42</v>
      </c>
      <c r="G6265">
        <v>-184.09229999999999</v>
      </c>
      <c r="H6265" s="1">
        <v>-1.635398E-6</v>
      </c>
      <c r="I6265">
        <v>49.834690000000002</v>
      </c>
      <c r="J6265">
        <v>-186.91659999999999</v>
      </c>
      <c r="K6265">
        <v>1.109926</v>
      </c>
      <c r="L6265">
        <v>18.80029</v>
      </c>
      <c r="M6265">
        <v>1.3135829999999999E-3</v>
      </c>
      <c r="N6265">
        <v>-4.1907689999999996E-3</v>
      </c>
      <c r="O6265">
        <v>0.9999903</v>
      </c>
      <c r="P6265">
        <v>-0.1173048</v>
      </c>
      <c r="Q6265">
        <v>-3.1375670000000001E-2</v>
      </c>
      <c r="R6265">
        <v>0.99260020000000004</v>
      </c>
      <c r="S6265">
        <v>0.27339170000000002</v>
      </c>
      <c r="T6265">
        <v>-0.10740039999999999</v>
      </c>
      <c r="U6265">
        <v>3.052521</v>
      </c>
      <c r="V6265">
        <v>-0.1184567</v>
      </c>
      <c r="W6265">
        <v>-2.7869399999999999E-2</v>
      </c>
      <c r="X6265">
        <v>0.99256800000000001</v>
      </c>
      <c r="Y6265">
        <v>8.784749E-2</v>
      </c>
      <c r="Z6265">
        <v>-3.0836140000000001E-2</v>
      </c>
      <c r="AA6265">
        <v>0.99565650000000006</v>
      </c>
      <c r="AB6265">
        <v>50</v>
      </c>
      <c r="AC6265">
        <v>2.8242999999999898</v>
      </c>
      <c r="AD6265">
        <v>-1.1099276353980001</v>
      </c>
      <c r="AE6265">
        <v>31.034400000000002</v>
      </c>
      <c r="AF6265">
        <v>2.7800042626270201</v>
      </c>
      <c r="AG6265">
        <v>-1.1099276353980001</v>
      </c>
      <c r="AH6265">
        <v>30.998758555641398</v>
      </c>
      <c r="AI6265">
        <v>92.042440989362106</v>
      </c>
      <c r="AJ6265">
        <v>84.875358026289007</v>
      </c>
      <c r="AK6265">
        <v>31.1429509688307</v>
      </c>
      <c r="AL6265">
        <v>91.597005834015405</v>
      </c>
      <c r="AM6265">
        <v>96.805698977942697</v>
      </c>
      <c r="AN6265">
        <v>0.99999996392762402</v>
      </c>
    </row>
    <row r="6266" spans="1:40" x14ac:dyDescent="0.25">
      <c r="A6266" t="str">
        <f>"20190305135949461"</f>
        <v>20190305135949461</v>
      </c>
      <c r="B6266" t="str">
        <f>"1551765589455213"</f>
        <v>1551765589455213</v>
      </c>
      <c r="C6266" t="s">
        <v>40</v>
      </c>
      <c r="D6266">
        <v>3.9072140000000002</v>
      </c>
      <c r="E6266">
        <v>0.58417059999999998</v>
      </c>
      <c r="F6266" t="s">
        <v>42</v>
      </c>
      <c r="G6266">
        <v>-183.65100000000001</v>
      </c>
      <c r="H6266" s="1">
        <v>-2.2280379999999999E-6</v>
      </c>
      <c r="I6266">
        <v>51.231119999999997</v>
      </c>
      <c r="J6266">
        <v>-186.91650000000001</v>
      </c>
      <c r="K6266">
        <v>1.109974</v>
      </c>
      <c r="L6266">
        <v>19.293579999999999</v>
      </c>
      <c r="M6266">
        <v>-4.7641790000000001E-4</v>
      </c>
      <c r="N6266">
        <v>-4.2169640000000001E-3</v>
      </c>
      <c r="O6266">
        <v>0.99999099999999996</v>
      </c>
      <c r="P6266">
        <v>-0.1155306</v>
      </c>
      <c r="Q6266">
        <v>-3.1235789999999999E-2</v>
      </c>
      <c r="R6266">
        <v>0.99281269999999999</v>
      </c>
      <c r="S6266">
        <v>0.30766300000000002</v>
      </c>
      <c r="T6266">
        <v>-0.1045702</v>
      </c>
      <c r="U6266">
        <v>3.0554199999999998</v>
      </c>
      <c r="V6266">
        <v>-0.11490300000000001</v>
      </c>
      <c r="W6266">
        <v>-2.7695689999999999E-2</v>
      </c>
      <c r="X6266">
        <v>0.99299059999999995</v>
      </c>
      <c r="Y6266">
        <v>0.1006089</v>
      </c>
      <c r="Z6266">
        <v>-2.9816820000000001E-2</v>
      </c>
      <c r="AA6266">
        <v>0.99447920000000001</v>
      </c>
      <c r="AB6266">
        <v>51</v>
      </c>
      <c r="AC6266">
        <v>3.26550000000003</v>
      </c>
      <c r="AD6266">
        <v>-1.1099762280379999</v>
      </c>
      <c r="AE6266">
        <v>31.937539999999998</v>
      </c>
      <c r="AF6266">
        <v>3.2767983453150502</v>
      </c>
      <c r="AG6266">
        <v>-1.1099762280379999</v>
      </c>
      <c r="AH6266">
        <v>31.897850412405798</v>
      </c>
      <c r="AI6266">
        <v>91.982540044365294</v>
      </c>
      <c r="AJ6266">
        <v>84.134700859811304</v>
      </c>
      <c r="AK6266">
        <v>32.084923493050198</v>
      </c>
      <c r="AL6266">
        <v>91.587049017786697</v>
      </c>
      <c r="AM6266">
        <v>96.600573226681902</v>
      </c>
      <c r="AN6266">
        <v>1.00000004117096</v>
      </c>
    </row>
    <row r="6267" spans="1:40" x14ac:dyDescent="0.25">
      <c r="A6267" t="str">
        <f>"20190305135949483"</f>
        <v>20190305135949483</v>
      </c>
      <c r="B6267" t="str">
        <f>"1551765589474734"</f>
        <v>1551765589474734</v>
      </c>
      <c r="C6267" t="s">
        <v>40</v>
      </c>
      <c r="D6267">
        <v>3.978129</v>
      </c>
      <c r="E6267">
        <v>0.58483219999999903</v>
      </c>
      <c r="F6267" t="s">
        <v>42</v>
      </c>
      <c r="G6267">
        <v>-183.41820000000001</v>
      </c>
      <c r="H6267" s="1">
        <v>-2.7268470000000001E-6</v>
      </c>
      <c r="I6267">
        <v>52.514870000000002</v>
      </c>
      <c r="J6267">
        <v>-186.91749999999999</v>
      </c>
      <c r="K6267">
        <v>1.1100209999999999</v>
      </c>
      <c r="L6267">
        <v>19.814640000000001</v>
      </c>
      <c r="M6267">
        <v>-2.3988529999999998E-3</v>
      </c>
      <c r="N6267">
        <v>-4.2441639999999999E-3</v>
      </c>
      <c r="O6267">
        <v>0.99998810000000005</v>
      </c>
      <c r="P6267">
        <v>-0.1141165</v>
      </c>
      <c r="Q6267">
        <v>-3.1135610000000001E-2</v>
      </c>
      <c r="R6267">
        <v>0.99297930000000001</v>
      </c>
      <c r="S6267">
        <v>0.32180789999999998</v>
      </c>
      <c r="T6267">
        <v>-0.10210379999999999</v>
      </c>
      <c r="U6267">
        <v>3.055939</v>
      </c>
      <c r="V6267">
        <v>-0.11157789999999999</v>
      </c>
      <c r="W6267">
        <v>-2.7561450000000001E-2</v>
      </c>
      <c r="X6267">
        <v>0.99337339999999996</v>
      </c>
      <c r="Y6267">
        <v>0.1070596</v>
      </c>
      <c r="Z6267">
        <v>-2.896253E-2</v>
      </c>
      <c r="AA6267">
        <v>0.99383069999999896</v>
      </c>
      <c r="AB6267">
        <v>51</v>
      </c>
      <c r="AC6267">
        <v>3.4992999999999701</v>
      </c>
      <c r="AD6267">
        <v>-1.1100237268469999</v>
      </c>
      <c r="AE6267">
        <v>32.700229999999898</v>
      </c>
      <c r="AF6267">
        <v>3.5736624001622399</v>
      </c>
      <c r="AG6267">
        <v>-1.1100237268469999</v>
      </c>
      <c r="AH6267">
        <v>32.654539945235904</v>
      </c>
      <c r="AI6267">
        <v>91.935355873490906</v>
      </c>
      <c r="AJ6267">
        <v>83.754492953221103</v>
      </c>
      <c r="AK6267">
        <v>32.868255120397002</v>
      </c>
      <c r="AL6267">
        <v>91.579354781681701</v>
      </c>
      <c r="AM6267">
        <v>96.408727476234006</v>
      </c>
      <c r="AN6267">
        <v>0.99999998656103595</v>
      </c>
    </row>
    <row r="6268" spans="1:40" x14ac:dyDescent="0.25">
      <c r="A6268" t="str">
        <f>"20190305135949505"</f>
        <v>20190305135949505</v>
      </c>
      <c r="B6268" t="str">
        <f>"1551765589495230"</f>
        <v>1551765589495230</v>
      </c>
      <c r="C6268" t="s">
        <v>40</v>
      </c>
      <c r="D6268">
        <v>3.9642279999999999</v>
      </c>
      <c r="E6268">
        <v>0.58538500000000004</v>
      </c>
      <c r="F6268" t="s">
        <v>42</v>
      </c>
      <c r="G6268">
        <v>-183.352</v>
      </c>
      <c r="H6268" s="1">
        <v>-2.801331E-6</v>
      </c>
      <c r="I6268">
        <v>52.682009999999998</v>
      </c>
      <c r="J6268">
        <v>-186.9194</v>
      </c>
      <c r="K6268">
        <v>1.11006</v>
      </c>
      <c r="L6268">
        <v>20.321619999999999</v>
      </c>
      <c r="M6268">
        <v>-4.2937069999999999E-3</v>
      </c>
      <c r="N6268">
        <v>-4.2701390000000001E-3</v>
      </c>
      <c r="O6268">
        <v>0.99998160000000003</v>
      </c>
      <c r="P6268">
        <v>-0.11247219999999999</v>
      </c>
      <c r="Q6268">
        <v>-3.162326E-2</v>
      </c>
      <c r="R6268">
        <v>0.99315149999999996</v>
      </c>
      <c r="S6268">
        <v>0.33152769999999998</v>
      </c>
      <c r="T6268">
        <v>-0.10321180000000001</v>
      </c>
      <c r="U6268">
        <v>3.0560610000000001</v>
      </c>
      <c r="V6268">
        <v>-0.1080446</v>
      </c>
      <c r="W6268">
        <v>-2.8012760000000001E-2</v>
      </c>
      <c r="X6268">
        <v>0.9937513</v>
      </c>
      <c r="Y6268">
        <v>0.1120617</v>
      </c>
      <c r="Z6268">
        <v>-2.927948E-2</v>
      </c>
      <c r="AA6268">
        <v>0.99326979999999998</v>
      </c>
      <c r="AB6268">
        <v>51</v>
      </c>
      <c r="AC6268">
        <v>3.5673999999999899</v>
      </c>
      <c r="AD6268">
        <v>-1.1100628013310001</v>
      </c>
      <c r="AE6268">
        <v>32.360389999999903</v>
      </c>
      <c r="AF6268">
        <v>3.7020105536195298</v>
      </c>
      <c r="AG6268">
        <v>-1.1100628013310001</v>
      </c>
      <c r="AH6268">
        <v>32.3072145780569</v>
      </c>
      <c r="AI6268">
        <v>91.955101894425994</v>
      </c>
      <c r="AJ6268">
        <v>83.463117403485995</v>
      </c>
      <c r="AK6268">
        <v>32.5375665247821</v>
      </c>
      <c r="AL6268">
        <v>91.605222910309195</v>
      </c>
      <c r="AM6268">
        <v>96.205052210871401</v>
      </c>
      <c r="AN6268">
        <v>0.99999999828183295</v>
      </c>
    </row>
    <row r="6269" spans="1:40" x14ac:dyDescent="0.25">
      <c r="A6269" t="str">
        <f>"20190305135949529"</f>
        <v>20190305135949529</v>
      </c>
      <c r="B6269" t="str">
        <f>"1551765589525486"</f>
        <v>1551765589525486</v>
      </c>
      <c r="C6269" t="s">
        <v>40</v>
      </c>
      <c r="D6269">
        <v>3.9859290000000001</v>
      </c>
      <c r="E6269">
        <v>0.58562419999999904</v>
      </c>
      <c r="F6269" t="s">
        <v>42</v>
      </c>
      <c r="G6269">
        <v>-183.2534</v>
      </c>
      <c r="H6269" s="1">
        <v>-2.9970939999999999E-6</v>
      </c>
      <c r="I6269">
        <v>53.18018</v>
      </c>
      <c r="J6269">
        <v>-186.92230000000001</v>
      </c>
      <c r="K6269">
        <v>1.1100920000000001</v>
      </c>
      <c r="L6269">
        <v>20.845400000000001</v>
      </c>
      <c r="M6269">
        <v>-6.2697209999999998E-3</v>
      </c>
      <c r="N6269">
        <v>-4.2965939999999999E-3</v>
      </c>
      <c r="O6269">
        <v>0.9999711</v>
      </c>
      <c r="P6269">
        <v>-0.111315</v>
      </c>
      <c r="Q6269">
        <v>-3.1700939999999997E-2</v>
      </c>
      <c r="R6269">
        <v>0.99327940000000003</v>
      </c>
      <c r="S6269">
        <v>0.34095760000000003</v>
      </c>
      <c r="T6269">
        <v>-0.10324220000000001</v>
      </c>
      <c r="U6269">
        <v>3.0560299999999998</v>
      </c>
      <c r="V6269">
        <v>-0.10492029999999999</v>
      </c>
      <c r="W6269">
        <v>-2.8054630000000001E-2</v>
      </c>
      <c r="X6269">
        <v>0.99408479999999999</v>
      </c>
      <c r="Y6269">
        <v>0.1170529</v>
      </c>
      <c r="Z6269">
        <v>-2.9246890000000001E-2</v>
      </c>
      <c r="AA6269">
        <v>0.99269490000000005</v>
      </c>
      <c r="AB6269">
        <v>51</v>
      </c>
      <c r="AC6269">
        <v>3.6688999999999998</v>
      </c>
      <c r="AD6269">
        <v>-1.1100949970939999</v>
      </c>
      <c r="AE6269">
        <v>32.334780000000002</v>
      </c>
      <c r="AF6269">
        <v>3.8670598807646699</v>
      </c>
      <c r="AG6269">
        <v>-1.1100949970939999</v>
      </c>
      <c r="AH6269">
        <v>32.273585890426801</v>
      </c>
      <c r="AI6269">
        <v>91.956011262093</v>
      </c>
      <c r="AJ6269">
        <v>83.1673257004161</v>
      </c>
      <c r="AK6269">
        <v>32.523388649566499</v>
      </c>
      <c r="AL6269">
        <v>91.607622888408301</v>
      </c>
      <c r="AM6269">
        <v>96.024955210242595</v>
      </c>
      <c r="AN6269">
        <v>0.99999996060378205</v>
      </c>
    </row>
    <row r="6270" spans="1:40" x14ac:dyDescent="0.25">
      <c r="A6270" t="str">
        <f>"20190305135949549"</f>
        <v>20190305135949549</v>
      </c>
      <c r="B6270" t="str">
        <f>"1551765589545007"</f>
        <v>1551765589545007</v>
      </c>
      <c r="C6270" t="s">
        <v>40</v>
      </c>
      <c r="D6270">
        <v>3.9098259999999998</v>
      </c>
      <c r="E6270">
        <v>0.58582939999999994</v>
      </c>
      <c r="F6270" t="s">
        <v>42</v>
      </c>
      <c r="G6270">
        <v>-183.31059999999999</v>
      </c>
      <c r="H6270" s="1">
        <v>-2.8187260000000001E-6</v>
      </c>
      <c r="I6270">
        <v>52.700780000000002</v>
      </c>
      <c r="J6270">
        <v>-186.92590000000001</v>
      </c>
      <c r="K6270">
        <v>1.1101219999999901</v>
      </c>
      <c r="L6270">
        <v>21.321619999999999</v>
      </c>
      <c r="M6270">
        <v>-8.0777499999999999E-3</v>
      </c>
      <c r="N6270">
        <v>-4.3205880000000002E-3</v>
      </c>
      <c r="O6270">
        <v>0.99995800000000001</v>
      </c>
      <c r="P6270">
        <v>-0.11011989999999899</v>
      </c>
      <c r="Q6270">
        <v>-3.0496909999999999E-2</v>
      </c>
      <c r="R6270">
        <v>0.99345030000000001</v>
      </c>
      <c r="S6270">
        <v>0.3464508</v>
      </c>
      <c r="T6270">
        <v>-0.1064857</v>
      </c>
      <c r="U6270">
        <v>3.0557249999999998</v>
      </c>
      <c r="V6270">
        <v>-0.1019318</v>
      </c>
      <c r="W6270">
        <v>-2.681561E-2</v>
      </c>
      <c r="X6270">
        <v>0.99442989999999998</v>
      </c>
      <c r="Y6270">
        <v>0.1206168</v>
      </c>
      <c r="Z6270">
        <v>-3.026703E-2</v>
      </c>
      <c r="AA6270">
        <v>0.99223760000000005</v>
      </c>
      <c r="AB6270">
        <v>51</v>
      </c>
      <c r="AC6270">
        <v>3.6153000000000102</v>
      </c>
      <c r="AD6270">
        <v>-1.11012481872599</v>
      </c>
      <c r="AE6270">
        <v>31.379159999999999</v>
      </c>
      <c r="AF6270">
        <v>3.86388479753409</v>
      </c>
      <c r="AG6270">
        <v>-1.11012481872599</v>
      </c>
      <c r="AH6270">
        <v>31.310258312474801</v>
      </c>
      <c r="AI6270">
        <v>92.015332001236899</v>
      </c>
      <c r="AJ6270">
        <v>82.964905690299105</v>
      </c>
      <c r="AK6270">
        <v>31.5672972938081</v>
      </c>
      <c r="AL6270">
        <v>91.536605475854699</v>
      </c>
      <c r="AM6270">
        <v>95.852534946449794</v>
      </c>
      <c r="AN6270">
        <v>0.99999999740246004</v>
      </c>
    </row>
    <row r="6271" spans="1:40" x14ac:dyDescent="0.25">
      <c r="A6271" t="str">
        <f>"20190305135949574"</f>
        <v>20190305135949574</v>
      </c>
      <c r="B6271" t="str">
        <f>"1551765589565502"</f>
        <v>1551765589565502</v>
      </c>
      <c r="C6271" t="s">
        <v>40</v>
      </c>
      <c r="D6271">
        <v>3.9593880000000001</v>
      </c>
      <c r="E6271">
        <v>0.58603749999999999</v>
      </c>
      <c r="F6271" t="s">
        <v>42</v>
      </c>
      <c r="G6271">
        <v>-183.0617</v>
      </c>
      <c r="H6271" s="1">
        <v>-3.6271189999999999E-6</v>
      </c>
      <c r="I6271">
        <v>54.881630000000001</v>
      </c>
      <c r="J6271">
        <v>-186.93100000000001</v>
      </c>
      <c r="K6271">
        <v>1.1101540000000001</v>
      </c>
      <c r="L6271">
        <v>21.875579999999999</v>
      </c>
      <c r="M6271">
        <v>-1.0185980000000001E-2</v>
      </c>
      <c r="N6271">
        <v>-4.3484680000000003E-3</v>
      </c>
      <c r="O6271">
        <v>0.99993869999999896</v>
      </c>
      <c r="P6271">
        <v>-0.1088836</v>
      </c>
      <c r="Q6271">
        <v>-3.0272899999999998E-2</v>
      </c>
      <c r="R6271">
        <v>0.99359350000000002</v>
      </c>
      <c r="S6271">
        <v>0.35183720000000002</v>
      </c>
      <c r="T6271">
        <v>-0.1010778</v>
      </c>
      <c r="U6271">
        <v>3.0556640000000002</v>
      </c>
      <c r="V6271">
        <v>-9.8596530000000002E-2</v>
      </c>
      <c r="W6271">
        <v>-2.6550560000000001E-2</v>
      </c>
      <c r="X6271">
        <v>0.99477320000000002</v>
      </c>
      <c r="Y6271">
        <v>0.1244437</v>
      </c>
      <c r="Z6271">
        <v>-2.847241E-2</v>
      </c>
      <c r="AA6271">
        <v>0.99181810000000004</v>
      </c>
      <c r="AB6271">
        <v>51</v>
      </c>
      <c r="AC6271">
        <v>3.86929999999998</v>
      </c>
      <c r="AD6271">
        <v>-1.1101576271189999</v>
      </c>
      <c r="AE6271">
        <v>33.006050000000002</v>
      </c>
      <c r="AF6271">
        <v>4.2006136167706503</v>
      </c>
      <c r="AG6271">
        <v>-1.1101576271189999</v>
      </c>
      <c r="AH6271">
        <v>32.928177666538197</v>
      </c>
      <c r="AI6271">
        <v>91.915456851291793</v>
      </c>
      <c r="AJ6271">
        <v>82.730103266547104</v>
      </c>
      <c r="AK6271">
        <v>33.213588923113299</v>
      </c>
      <c r="AL6271">
        <v>91.521413871602405</v>
      </c>
      <c r="AM6271">
        <v>95.660360322042195</v>
      </c>
      <c r="AN6271">
        <v>0.99999996370129596</v>
      </c>
    </row>
    <row r="6272" spans="1:40" x14ac:dyDescent="0.25">
      <c r="A6272" t="str">
        <f>"20190305135949597"</f>
        <v>20190305135949597</v>
      </c>
      <c r="B6272" t="str">
        <f>"1551765589594781"</f>
        <v>1551765589594781</v>
      </c>
      <c r="C6272" t="s">
        <v>40</v>
      </c>
      <c r="D6272">
        <v>3.9607100000000002</v>
      </c>
      <c r="E6272">
        <v>0.58604449999999997</v>
      </c>
      <c r="F6272" t="s">
        <v>42</v>
      </c>
      <c r="G6272">
        <v>-182.88820000000001</v>
      </c>
      <c r="H6272" s="1">
        <v>-4.2065250000000004E-6</v>
      </c>
      <c r="I6272">
        <v>56.448590000000003</v>
      </c>
      <c r="J6272">
        <v>-186.93709999999999</v>
      </c>
      <c r="K6272">
        <v>1.1101780000000001</v>
      </c>
      <c r="L6272">
        <v>22.418790000000001</v>
      </c>
      <c r="M6272">
        <v>-1.225205E-2</v>
      </c>
      <c r="N6272">
        <v>-4.3756130000000004E-3</v>
      </c>
      <c r="O6272">
        <v>0.99991540000000001</v>
      </c>
      <c r="P6272">
        <v>-0.1071339</v>
      </c>
      <c r="Q6272">
        <v>-3.0180680000000001E-2</v>
      </c>
      <c r="R6272">
        <v>0.99378639999999996</v>
      </c>
      <c r="S6272">
        <v>0.3572998</v>
      </c>
      <c r="T6272">
        <v>-9.8114129999999994E-2</v>
      </c>
      <c r="U6272">
        <v>3.0555110000000001</v>
      </c>
      <c r="V6272">
        <v>-9.4788600000000001E-2</v>
      </c>
      <c r="W6272">
        <v>-2.6413369999999999E-2</v>
      </c>
      <c r="X6272">
        <v>0.99514689999999995</v>
      </c>
      <c r="Y6272">
        <v>0.12825129999999901</v>
      </c>
      <c r="Z6272">
        <v>-2.7472670000000001E-2</v>
      </c>
      <c r="AA6272">
        <v>0.9913611</v>
      </c>
      <c r="AB6272">
        <v>51</v>
      </c>
      <c r="AC6272">
        <v>4.0488999999999704</v>
      </c>
      <c r="AD6272">
        <v>-1.110182206525</v>
      </c>
      <c r="AE6272">
        <v>34.029800000000002</v>
      </c>
      <c r="AF6272">
        <v>4.4608534007704996</v>
      </c>
      <c r="AG6272">
        <v>-1.110182206525</v>
      </c>
      <c r="AH6272">
        <v>33.942017207045602</v>
      </c>
      <c r="AI6272">
        <v>91.857412539889495</v>
      </c>
      <c r="AJ6272">
        <v>82.512773480412704</v>
      </c>
      <c r="AK6272">
        <v>34.251894103512399</v>
      </c>
      <c r="AL6272">
        <v>91.513550728360698</v>
      </c>
      <c r="AM6272">
        <v>95.441056934216704</v>
      </c>
      <c r="AN6272">
        <v>0.99999994869216202</v>
      </c>
    </row>
    <row r="6273" spans="1:40" x14ac:dyDescent="0.25">
      <c r="A6273" t="str">
        <f>"20190305135949618"</f>
        <v>20190305135949618</v>
      </c>
      <c r="B6273" t="str">
        <f>"1551765589615279"</f>
        <v>1551765589615279</v>
      </c>
      <c r="C6273" t="s">
        <v>40</v>
      </c>
      <c r="D6273">
        <v>3.9800330000000002</v>
      </c>
      <c r="E6273">
        <v>0.58598479999999997</v>
      </c>
      <c r="F6273" t="s">
        <v>42</v>
      </c>
      <c r="G6273">
        <v>-183.01429999999999</v>
      </c>
      <c r="H6273" s="1">
        <v>-3.823511E-6</v>
      </c>
      <c r="I6273">
        <v>55.421719999999901</v>
      </c>
      <c r="J6273">
        <v>-186.9435</v>
      </c>
      <c r="K6273">
        <v>1.1101989999999999</v>
      </c>
      <c r="L6273">
        <v>22.9039</v>
      </c>
      <c r="M6273">
        <v>-1.409325E-2</v>
      </c>
      <c r="N6273">
        <v>-4.3997990000000002E-3</v>
      </c>
      <c r="O6273">
        <v>0.99989099999999997</v>
      </c>
      <c r="P6273">
        <v>-0.1053222</v>
      </c>
      <c r="Q6273">
        <v>-2.966506E-2</v>
      </c>
      <c r="R6273">
        <v>0.99399559999999998</v>
      </c>
      <c r="S6273">
        <v>0.36309809999999998</v>
      </c>
      <c r="T6273">
        <v>-0.1027594</v>
      </c>
      <c r="U6273">
        <v>3.0547789999999999</v>
      </c>
      <c r="V6273">
        <v>-9.1143509999999997E-2</v>
      </c>
      <c r="W6273">
        <v>-2.5855019999999999E-2</v>
      </c>
      <c r="X6273">
        <v>0.99550209999999995</v>
      </c>
      <c r="Y6273">
        <v>0.13195419999999999</v>
      </c>
      <c r="Z6273">
        <v>-2.8949300000000001E-2</v>
      </c>
      <c r="AA6273">
        <v>0.99083299999999996</v>
      </c>
      <c r="AB6273">
        <v>52</v>
      </c>
      <c r="AC6273">
        <v>3.9291999999999998</v>
      </c>
      <c r="AD6273">
        <v>-1.110202823511</v>
      </c>
      <c r="AE6273">
        <v>32.517819999999901</v>
      </c>
      <c r="AF6273">
        <v>4.3820615983183702</v>
      </c>
      <c r="AG6273">
        <v>-1.110202823511</v>
      </c>
      <c r="AH6273">
        <v>32.421966431792598</v>
      </c>
      <c r="AI6273">
        <v>91.943515734196197</v>
      </c>
      <c r="AJ6273">
        <v>82.302707777243697</v>
      </c>
      <c r="AK6273">
        <v>32.735591051103299</v>
      </c>
      <c r="AL6273">
        <v>91.481548582322006</v>
      </c>
      <c r="AM6273">
        <v>95.231149279349907</v>
      </c>
      <c r="AN6273">
        <v>1.00000002628936</v>
      </c>
    </row>
    <row r="6274" spans="1:40" x14ac:dyDescent="0.25">
      <c r="A6274" t="str">
        <f>"20190305135949639"</f>
        <v>20190305135949639</v>
      </c>
      <c r="B6274" t="str">
        <f>"1551765589634798"</f>
        <v>1551765589634798</v>
      </c>
      <c r="C6274" t="s">
        <v>40</v>
      </c>
      <c r="D6274">
        <v>4.9404589999999997</v>
      </c>
      <c r="E6274">
        <v>0.58597860000000002</v>
      </c>
      <c r="F6274" t="s">
        <v>42</v>
      </c>
      <c r="G6274">
        <v>-183.05090000000001</v>
      </c>
      <c r="H6274" s="1">
        <v>-3.7271299999999998E-6</v>
      </c>
      <c r="I6274">
        <v>55.16713</v>
      </c>
      <c r="J6274">
        <v>-186.95060000000001</v>
      </c>
      <c r="K6274">
        <v>1.110214</v>
      </c>
      <c r="L6274">
        <v>23.37537</v>
      </c>
      <c r="M6274">
        <v>-1.5877829999999999E-2</v>
      </c>
      <c r="N6274">
        <v>-4.4233400000000004E-3</v>
      </c>
      <c r="O6274">
        <v>0.99986419999999998</v>
      </c>
      <c r="P6274">
        <v>-0.1027975</v>
      </c>
      <c r="Q6274">
        <v>-2.9420990000000001E-2</v>
      </c>
      <c r="R6274">
        <v>0.99426709999999996</v>
      </c>
      <c r="S6274">
        <v>0.3684692</v>
      </c>
      <c r="T6274">
        <v>-0.10509110000000001</v>
      </c>
      <c r="U6274">
        <v>3.0540159999999998</v>
      </c>
      <c r="V6274">
        <v>-8.6838349999999995E-2</v>
      </c>
      <c r="W6274">
        <v>-2.556373E-2</v>
      </c>
      <c r="X6274">
        <v>0.99589439999999996</v>
      </c>
      <c r="Y6274">
        <v>0.13546629999999901</v>
      </c>
      <c r="Z6274">
        <v>-2.9676620000000001E-2</v>
      </c>
      <c r="AA6274">
        <v>0.99033740000000003</v>
      </c>
      <c r="AB6274">
        <v>52</v>
      </c>
      <c r="AC6274">
        <v>3.89969999999999</v>
      </c>
      <c r="AD6274">
        <v>-1.11021772713</v>
      </c>
      <c r="AE6274">
        <v>31.79176</v>
      </c>
      <c r="AF6274">
        <v>4.3987126885144399</v>
      </c>
      <c r="AG6274">
        <v>-1.11021772713</v>
      </c>
      <c r="AH6274">
        <v>31.687761981225901</v>
      </c>
      <c r="AI6274">
        <v>91.987561051499995</v>
      </c>
      <c r="AJ6274">
        <v>82.097033299442003</v>
      </c>
      <c r="AK6274">
        <v>32.010865594303397</v>
      </c>
      <c r="AL6274">
        <v>91.464853371739494</v>
      </c>
      <c r="AM6274">
        <v>94.983378089094899</v>
      </c>
      <c r="AN6274">
        <v>1.0000000296367899</v>
      </c>
    </row>
    <row r="6275" spans="1:40" x14ac:dyDescent="0.25">
      <c r="A6275" t="str">
        <f>"20190305135949662"</f>
        <v>20190305135949662</v>
      </c>
      <c r="B6275" t="str">
        <f>"1551765589655293"</f>
        <v>1551765589655293</v>
      </c>
      <c r="C6275" t="s">
        <v>40</v>
      </c>
      <c r="D6275">
        <v>3.9435020000000001</v>
      </c>
      <c r="E6275">
        <v>0.58593300000000004</v>
      </c>
      <c r="F6275" t="s">
        <v>42</v>
      </c>
      <c r="G6275">
        <v>-182.94829999999999</v>
      </c>
      <c r="H6275" s="1">
        <v>-3.990195E-6</v>
      </c>
      <c r="I6275">
        <v>55.859920000000002</v>
      </c>
      <c r="J6275">
        <v>-186.9597</v>
      </c>
      <c r="K6275">
        <v>1.1102449999999999</v>
      </c>
      <c r="L6275">
        <v>23.908999999999999</v>
      </c>
      <c r="M6275">
        <v>-1.789284E-2</v>
      </c>
      <c r="N6275">
        <v>-4.4499270000000002E-3</v>
      </c>
      <c r="O6275">
        <v>0.99983</v>
      </c>
      <c r="P6275">
        <v>-0.1011938</v>
      </c>
      <c r="Q6275">
        <v>-2.859486E-2</v>
      </c>
      <c r="R6275">
        <v>0.99445570000000005</v>
      </c>
      <c r="S6275">
        <v>0.37615969999999999</v>
      </c>
      <c r="T6275">
        <v>-0.1043452</v>
      </c>
      <c r="U6275">
        <v>3.0531009999999998</v>
      </c>
      <c r="V6275">
        <v>-8.3228159999999995E-2</v>
      </c>
      <c r="W6275">
        <v>-2.4691850000000001E-2</v>
      </c>
      <c r="X6275">
        <v>0.99622460000000002</v>
      </c>
      <c r="Y6275">
        <v>0.13995560000000001</v>
      </c>
      <c r="Z6275">
        <v>-2.9400160000000002E-2</v>
      </c>
      <c r="AA6275">
        <v>0.98972119999999997</v>
      </c>
      <c r="AB6275">
        <v>52</v>
      </c>
      <c r="AC6275">
        <v>4.0114000000000001</v>
      </c>
      <c r="AD6275">
        <v>-1.1102489901949999</v>
      </c>
      <c r="AE6275">
        <v>31.95092</v>
      </c>
      <c r="AF6275">
        <v>4.5770153493772296</v>
      </c>
      <c r="AG6275">
        <v>-1.1102489901949999</v>
      </c>
      <c r="AH6275">
        <v>31.836184327914001</v>
      </c>
      <c r="AI6275">
        <v>91.977001994341407</v>
      </c>
      <c r="AJ6275">
        <v>81.818775896290404</v>
      </c>
      <c r="AK6275">
        <v>32.182671655559901</v>
      </c>
      <c r="AL6275">
        <v>91.414882542991805</v>
      </c>
      <c r="AM6275">
        <v>94.775604105020307</v>
      </c>
      <c r="AN6275">
        <v>1.00000003385928</v>
      </c>
    </row>
    <row r="6276" spans="1:40" x14ac:dyDescent="0.25">
      <c r="A6276" t="str">
        <f>"20190305135949684"</f>
        <v>20190305135949684</v>
      </c>
      <c r="B6276" t="str">
        <f>"1551765589674814"</f>
        <v>1551765589674814</v>
      </c>
      <c r="C6276" t="s">
        <v>40</v>
      </c>
      <c r="D6276">
        <v>3.9620220000000002</v>
      </c>
      <c r="E6276">
        <v>0.58587599999999995</v>
      </c>
      <c r="F6276" t="s">
        <v>42</v>
      </c>
      <c r="G6276">
        <v>-182.78129999999999</v>
      </c>
      <c r="H6276" s="1">
        <v>-4.618833E-6</v>
      </c>
      <c r="I6276">
        <v>57.414569999999998</v>
      </c>
      <c r="J6276">
        <v>-186.97</v>
      </c>
      <c r="K6276">
        <v>1.1102749999999999</v>
      </c>
      <c r="L6276">
        <v>24.45187</v>
      </c>
      <c r="M6276">
        <v>-1.9938250000000001E-2</v>
      </c>
      <c r="N6276">
        <v>-4.4769989999999997E-3</v>
      </c>
      <c r="O6276">
        <v>0.99979119999999999</v>
      </c>
      <c r="P6276">
        <v>-9.9724370000000007E-2</v>
      </c>
      <c r="Q6276">
        <v>-2.7443410000000001E-2</v>
      </c>
      <c r="R6276">
        <v>0.99463659999999998</v>
      </c>
      <c r="S6276">
        <v>0.38067630000000002</v>
      </c>
      <c r="T6276">
        <v>-0.1011502</v>
      </c>
      <c r="U6276">
        <v>3.0525509999999998</v>
      </c>
      <c r="V6276">
        <v>-7.9724180000000006E-2</v>
      </c>
      <c r="W6276">
        <v>-2.3494250000000001E-2</v>
      </c>
      <c r="X6276">
        <v>0.99654010000000004</v>
      </c>
      <c r="Y6276">
        <v>0.14344799999999999</v>
      </c>
      <c r="Z6276">
        <v>-2.8329590000000002E-2</v>
      </c>
      <c r="AA6276">
        <v>0.98925229999999997</v>
      </c>
      <c r="AB6276">
        <v>52</v>
      </c>
      <c r="AC6276">
        <v>4.1887000000000096</v>
      </c>
      <c r="AD6276">
        <v>-1.110279618833</v>
      </c>
      <c r="AE6276">
        <v>32.962699999999998</v>
      </c>
      <c r="AF6276">
        <v>4.8396889014388798</v>
      </c>
      <c r="AG6276">
        <v>-1.110279618833</v>
      </c>
      <c r="AH6276">
        <v>32.835969477807303</v>
      </c>
      <c r="AI6276">
        <v>91.915916131854104</v>
      </c>
      <c r="AJ6276">
        <v>81.615549344618501</v>
      </c>
      <c r="AK6276">
        <v>33.2092788395382</v>
      </c>
      <c r="AL6276">
        <v>91.346245172885105</v>
      </c>
      <c r="AM6276">
        <v>94.573976789361595</v>
      </c>
      <c r="AN6276">
        <v>1.00000004778387</v>
      </c>
    </row>
    <row r="6277" spans="1:40" x14ac:dyDescent="0.25">
      <c r="A6277" t="str">
        <f>"20190305135949707"</f>
        <v>20190305135949707</v>
      </c>
      <c r="B6277" t="str">
        <f>"1551765589695313"</f>
        <v>1551765589695313</v>
      </c>
      <c r="C6277" t="s">
        <v>40</v>
      </c>
      <c r="D6277">
        <v>3.9611489999999998</v>
      </c>
      <c r="E6277">
        <v>0.58582749999999995</v>
      </c>
      <c r="F6277" t="s">
        <v>42</v>
      </c>
      <c r="G6277">
        <v>-182.58240000000001</v>
      </c>
      <c r="H6277" s="1">
        <v>-5.4344500000000001E-6</v>
      </c>
      <c r="I6277">
        <v>59.233550000000001</v>
      </c>
      <c r="J6277">
        <v>-186.98070000000001</v>
      </c>
      <c r="K6277">
        <v>1.1103019999999999</v>
      </c>
      <c r="L6277">
        <v>24.964600000000001</v>
      </c>
      <c r="M6277">
        <v>-2.1866679999999999E-2</v>
      </c>
      <c r="N6277">
        <v>-4.5025849999999999E-3</v>
      </c>
      <c r="O6277">
        <v>0.99975069999999999</v>
      </c>
      <c r="P6277">
        <v>-9.8646769999999995E-2</v>
      </c>
      <c r="Q6277">
        <v>-2.6159829999999999E-2</v>
      </c>
      <c r="R6277">
        <v>0.99477859999999996</v>
      </c>
      <c r="S6277">
        <v>0.38500980000000001</v>
      </c>
      <c r="T6277">
        <v>-9.7427130000000001E-2</v>
      </c>
      <c r="U6277">
        <v>3.0520939999999999</v>
      </c>
      <c r="V6277">
        <v>-7.6728660000000004E-2</v>
      </c>
      <c r="W6277">
        <v>-2.2168589999999998E-2</v>
      </c>
      <c r="X6277">
        <v>0.99680550000000001</v>
      </c>
      <c r="Y6277">
        <v>0.14676139999999999</v>
      </c>
      <c r="Z6277">
        <v>-2.708909E-2</v>
      </c>
      <c r="AA6277">
        <v>0.98880089999999998</v>
      </c>
      <c r="AB6277">
        <v>52</v>
      </c>
      <c r="AC6277">
        <v>4.3982999999999999</v>
      </c>
      <c r="AD6277">
        <v>-1.1103074344499999</v>
      </c>
      <c r="AE6277">
        <v>34.268949999999997</v>
      </c>
      <c r="AF6277">
        <v>5.1412945297636101</v>
      </c>
      <c r="AG6277">
        <v>-1.1103074344499999</v>
      </c>
      <c r="AH6277">
        <v>34.129332201429001</v>
      </c>
      <c r="AI6277">
        <v>91.842534932231302</v>
      </c>
      <c r="AJ6277">
        <v>81.433290126643996</v>
      </c>
      <c r="AK6277">
        <v>34.5322604032269</v>
      </c>
      <c r="AL6277">
        <v>91.270270743318605</v>
      </c>
      <c r="AM6277">
        <v>94.401637482473006</v>
      </c>
      <c r="AN6277">
        <v>0.99999996923911605</v>
      </c>
    </row>
    <row r="6278" spans="1:40" x14ac:dyDescent="0.25">
      <c r="A6278" t="str">
        <f>"20190305135949729"</f>
        <v>20190305135949729</v>
      </c>
      <c r="B6278" t="str">
        <f>"1551765589725566"</f>
        <v>1551765589725566</v>
      </c>
      <c r="C6278" t="s">
        <v>40</v>
      </c>
      <c r="D6278">
        <v>3.9659550000000001</v>
      </c>
      <c r="E6278">
        <v>0.58567799999999903</v>
      </c>
      <c r="F6278" t="s">
        <v>42</v>
      </c>
      <c r="G6278">
        <v>-182.35929999999999</v>
      </c>
      <c r="H6278" s="1">
        <v>-2.606065E-6</v>
      </c>
      <c r="I6278">
        <v>61.332070000000002</v>
      </c>
      <c r="J6278">
        <v>-186.99270000000001</v>
      </c>
      <c r="K6278">
        <v>1.1103270000000001</v>
      </c>
      <c r="L6278">
        <v>25.487490000000001</v>
      </c>
      <c r="M6278">
        <v>-2.383039E-2</v>
      </c>
      <c r="N6278">
        <v>-4.5287340000000004E-3</v>
      </c>
      <c r="O6278">
        <v>0.99970570000000003</v>
      </c>
      <c r="P6278">
        <v>-9.9486080000000005E-2</v>
      </c>
      <c r="Q6278">
        <v>-2.5203960000000001E-2</v>
      </c>
      <c r="R6278">
        <v>0.99471969999999998</v>
      </c>
      <c r="S6278">
        <v>0.38780209999999998</v>
      </c>
      <c r="T6278">
        <v>-9.3170639999999999E-2</v>
      </c>
      <c r="U6278">
        <v>3.051758</v>
      </c>
      <c r="V6278">
        <v>-7.5616550000000005E-2</v>
      </c>
      <c r="W6278">
        <v>-2.1182570000000001E-2</v>
      </c>
      <c r="X6278">
        <v>0.99691189999999996</v>
      </c>
      <c r="Y6278">
        <v>0.14961259999999901</v>
      </c>
      <c r="Z6278">
        <v>-2.5676060000000001E-2</v>
      </c>
      <c r="AA6278">
        <v>0.98841120000000005</v>
      </c>
      <c r="AB6278">
        <v>52</v>
      </c>
      <c r="AC6278">
        <v>4.6334000000000204</v>
      </c>
      <c r="AD6278">
        <v>-1.1103296060650001</v>
      </c>
      <c r="AE6278">
        <v>35.844579999999901</v>
      </c>
      <c r="AF6278">
        <v>5.4811104553496603</v>
      </c>
      <c r="AG6278">
        <v>-1.1103296060650001</v>
      </c>
      <c r="AH6278">
        <v>35.6903006647197</v>
      </c>
      <c r="AI6278">
        <v>91.761268448999303</v>
      </c>
      <c r="AJ6278">
        <v>81.269058195286604</v>
      </c>
      <c r="AK6278">
        <v>36.125793627212403</v>
      </c>
      <c r="AL6278">
        <v>91.213762701791197</v>
      </c>
      <c r="AM6278">
        <v>94.337623955862398</v>
      </c>
      <c r="AN6278">
        <v>0.99999995013365695</v>
      </c>
    </row>
    <row r="6279" spans="1:40" x14ac:dyDescent="0.25">
      <c r="A6279" t="str">
        <f>"20190305135949749"</f>
        <v>20190305135949749</v>
      </c>
      <c r="B6279" t="str">
        <f>"1551765589745086"</f>
        <v>1551765589745086</v>
      </c>
      <c r="C6279" t="s">
        <v>40</v>
      </c>
      <c r="D6279">
        <v>3.9568449999999999</v>
      </c>
      <c r="E6279">
        <v>0.58559490000000003</v>
      </c>
      <c r="F6279" t="s">
        <v>42</v>
      </c>
      <c r="G6279">
        <v>-182.3023</v>
      </c>
      <c r="H6279" s="1">
        <v>-3.0979750000000002E-6</v>
      </c>
      <c r="I6279">
        <v>62.732950000000002</v>
      </c>
      <c r="J6279">
        <v>-187.00489999999999</v>
      </c>
      <c r="K6279">
        <v>1.1103529999999999</v>
      </c>
      <c r="L6279">
        <v>25.981200000000001</v>
      </c>
      <c r="M6279">
        <v>-2.568254E-2</v>
      </c>
      <c r="N6279">
        <v>-4.5534599999999996E-3</v>
      </c>
      <c r="O6279">
        <v>0.99965979999999999</v>
      </c>
      <c r="P6279">
        <v>-9.9020059999999993E-2</v>
      </c>
      <c r="Q6279">
        <v>-2.3257460000000001E-2</v>
      </c>
      <c r="R6279">
        <v>0.99481359999999996</v>
      </c>
      <c r="S6279">
        <v>0.38435360000000002</v>
      </c>
      <c r="T6279">
        <v>-9.0985540000000004E-2</v>
      </c>
      <c r="U6279">
        <v>3.052063</v>
      </c>
      <c r="V6279">
        <v>-7.3313790000000004E-2</v>
      </c>
      <c r="W6279">
        <v>-1.9198460000000001E-2</v>
      </c>
      <c r="X6279">
        <v>0.99712409999999996</v>
      </c>
      <c r="Y6279">
        <v>0.15033529999999901</v>
      </c>
      <c r="Z6279">
        <v>-2.493836E-2</v>
      </c>
      <c r="AA6279">
        <v>0.98832050000000005</v>
      </c>
      <c r="AB6279">
        <v>52</v>
      </c>
      <c r="AC6279">
        <v>4.7025999999999897</v>
      </c>
      <c r="AD6279">
        <v>-1.110356097975</v>
      </c>
      <c r="AE6279">
        <v>36.751750000000001</v>
      </c>
      <c r="AF6279">
        <v>5.6398718040994398</v>
      </c>
      <c r="AG6279">
        <v>-1.110356097975</v>
      </c>
      <c r="AH6279">
        <v>36.5859940040081</v>
      </c>
      <c r="AI6279">
        <v>91.718066859159705</v>
      </c>
      <c r="AJ6279">
        <v>81.236616508623598</v>
      </c>
      <c r="AK6279">
        <v>37.034794476172003</v>
      </c>
      <c r="AL6279">
        <v>91.100058335044594</v>
      </c>
      <c r="AM6279">
        <v>94.205119333217695</v>
      </c>
      <c r="AN6279">
        <v>0.99999998173567195</v>
      </c>
    </row>
    <row r="6280" spans="1:40" x14ac:dyDescent="0.25">
      <c r="A6280" t="str">
        <f>"20190305135949775"</f>
        <v>20190305135949775</v>
      </c>
      <c r="B6280" t="str">
        <f>"1551765589765582"</f>
        <v>1551765589765582</v>
      </c>
      <c r="C6280" t="s">
        <v>40</v>
      </c>
      <c r="D6280">
        <v>3.945789</v>
      </c>
      <c r="E6280">
        <v>0.58546140000000002</v>
      </c>
      <c r="F6280" t="s">
        <v>42</v>
      </c>
      <c r="G6280">
        <v>-181.96809999999999</v>
      </c>
      <c r="H6280" s="1">
        <v>-4.2610109999999996E-6</v>
      </c>
      <c r="I6280">
        <v>65.889290000000003</v>
      </c>
      <c r="J6280">
        <v>-187.02080000000001</v>
      </c>
      <c r="K6280">
        <v>1.110387</v>
      </c>
      <c r="L6280">
        <v>26.580629999999999</v>
      </c>
      <c r="M6280">
        <v>-2.7929200000000001E-2</v>
      </c>
      <c r="N6280">
        <v>-4.5834580000000003E-3</v>
      </c>
      <c r="O6280">
        <v>0.99959940000000003</v>
      </c>
      <c r="P6280">
        <v>-9.8770510000000006E-2</v>
      </c>
      <c r="Q6280">
        <v>-2.1101200000000001E-2</v>
      </c>
      <c r="R6280">
        <v>0.99488650000000001</v>
      </c>
      <c r="S6280">
        <v>0.3851929</v>
      </c>
      <c r="T6280">
        <v>-8.4915400000000002E-2</v>
      </c>
      <c r="U6280">
        <v>3.0520019999999999</v>
      </c>
      <c r="V6280">
        <v>-7.0834449999999993E-2</v>
      </c>
      <c r="W6280">
        <v>-1.6998280000000001E-2</v>
      </c>
      <c r="X6280">
        <v>0.99734319999999999</v>
      </c>
      <c r="Y6280">
        <v>0.1528332</v>
      </c>
      <c r="Z6280">
        <v>-2.293332E-2</v>
      </c>
      <c r="AA6280">
        <v>0.98798580000000003</v>
      </c>
      <c r="AB6280">
        <v>53</v>
      </c>
      <c r="AC6280">
        <v>5.0527000000000104</v>
      </c>
      <c r="AD6280">
        <v>-1.1103912610110001</v>
      </c>
      <c r="AE6280">
        <v>39.308659999999897</v>
      </c>
      <c r="AF6280">
        <v>6.1437771306020901</v>
      </c>
      <c r="AG6280">
        <v>-1.1103912610110001</v>
      </c>
      <c r="AH6280">
        <v>39.121496570070597</v>
      </c>
      <c r="AI6280">
        <v>91.606123639443993</v>
      </c>
      <c r="AJ6280">
        <v>81.074964992072793</v>
      </c>
      <c r="AK6280">
        <v>39.616542757604201</v>
      </c>
      <c r="AL6280">
        <v>90.973976649783495</v>
      </c>
      <c r="AM6280">
        <v>94.062504766413994</v>
      </c>
      <c r="AN6280">
        <v>0.99999995970799904</v>
      </c>
    </row>
    <row r="6281" spans="1:40" x14ac:dyDescent="0.25">
      <c r="A6281" t="str">
        <f>"20190305135949796"</f>
        <v>20190305135949796</v>
      </c>
      <c r="B6281" t="str">
        <f>"1551765589785103"</f>
        <v>1551765589785103</v>
      </c>
      <c r="C6281" t="s">
        <v>40</v>
      </c>
      <c r="D6281">
        <v>3.9670879999999999</v>
      </c>
      <c r="E6281">
        <v>0.58537469999999903</v>
      </c>
      <c r="F6281" t="s">
        <v>42</v>
      </c>
      <c r="G6281">
        <v>-181.61170000000001</v>
      </c>
      <c r="H6281" s="1">
        <v>-5.70681E-6</v>
      </c>
      <c r="I6281">
        <v>69.467060000000004</v>
      </c>
      <c r="J6281">
        <v>-187.03550000000001</v>
      </c>
      <c r="K6281">
        <v>1.1104149999999999</v>
      </c>
      <c r="L6281">
        <v>27.091059999999999</v>
      </c>
      <c r="M6281">
        <v>-2.9840579999999998E-2</v>
      </c>
      <c r="N6281">
        <v>-4.608989E-3</v>
      </c>
      <c r="O6281">
        <v>0.99954399999999999</v>
      </c>
      <c r="P6281">
        <v>-9.8119419999999999E-2</v>
      </c>
      <c r="Q6281">
        <v>-1.8478540000000002E-2</v>
      </c>
      <c r="R6281">
        <v>0.99500310000000003</v>
      </c>
      <c r="S6281">
        <v>0.38493349999999998</v>
      </c>
      <c r="T6281">
        <v>-7.9020019999999996E-2</v>
      </c>
      <c r="U6281">
        <v>3.051971</v>
      </c>
      <c r="V6281">
        <v>-6.8290400000000001E-2</v>
      </c>
      <c r="W6281">
        <v>-1.433478E-2</v>
      </c>
      <c r="X6281">
        <v>0.99756250000000002</v>
      </c>
      <c r="Y6281">
        <v>0.15464700000000001</v>
      </c>
      <c r="Z6281">
        <v>-2.099206E-2</v>
      </c>
      <c r="AA6281">
        <v>0.98774680000000004</v>
      </c>
      <c r="AB6281">
        <v>53</v>
      </c>
      <c r="AC6281">
        <v>5.4238</v>
      </c>
      <c r="AD6281">
        <v>-1.1104207068099901</v>
      </c>
      <c r="AE6281">
        <v>42.375999999999998</v>
      </c>
      <c r="AF6281">
        <v>6.6814086363328</v>
      </c>
      <c r="AG6281">
        <v>-1.1104207068099901</v>
      </c>
      <c r="AH6281">
        <v>42.166790126600397</v>
      </c>
      <c r="AI6281">
        <v>91.489900055257294</v>
      </c>
      <c r="AJ6281">
        <v>80.996228644734401</v>
      </c>
      <c r="AK6281">
        <v>42.707287962273298</v>
      </c>
      <c r="AL6281">
        <v>90.821350522726902</v>
      </c>
      <c r="AM6281">
        <v>93.916202337713898</v>
      </c>
      <c r="AN6281">
        <v>1.0000000030280201</v>
      </c>
    </row>
    <row r="6282" spans="1:40" x14ac:dyDescent="0.25">
      <c r="A6282" t="str">
        <f>"20190305135949818"</f>
        <v>20190305135949818</v>
      </c>
      <c r="B6282" t="str">
        <f>"1551765589815358"</f>
        <v>1551765589815358</v>
      </c>
      <c r="C6282" t="s">
        <v>40</v>
      </c>
      <c r="D6282">
        <v>4.2884359999999999</v>
      </c>
      <c r="E6282">
        <v>0.58529100000000001</v>
      </c>
      <c r="F6282" t="s">
        <v>42</v>
      </c>
      <c r="G6282">
        <v>-181.072</v>
      </c>
      <c r="H6282" s="1">
        <v>-3.92745E-6</v>
      </c>
      <c r="I6282">
        <v>74.208469999999906</v>
      </c>
      <c r="J6282">
        <v>-187.05080000000001</v>
      </c>
      <c r="K6282">
        <v>1.110444</v>
      </c>
      <c r="L6282">
        <v>27.590579999999999</v>
      </c>
      <c r="M6282">
        <v>-3.1709399999999999E-2</v>
      </c>
      <c r="N6282">
        <v>-4.6340490000000003E-3</v>
      </c>
      <c r="O6282">
        <v>0.9994864</v>
      </c>
      <c r="P6282">
        <v>-9.7495620000000005E-2</v>
      </c>
      <c r="Q6282">
        <v>-1.492943E-2</v>
      </c>
      <c r="R6282">
        <v>0.99512400000000001</v>
      </c>
      <c r="S6282">
        <v>0.38626100000000002</v>
      </c>
      <c r="T6282">
        <v>-7.1922420000000001E-2</v>
      </c>
      <c r="U6282">
        <v>3.0518190000000001</v>
      </c>
      <c r="V6282">
        <v>-6.5821539999999998E-2</v>
      </c>
      <c r="W6282">
        <v>-1.074542E-2</v>
      </c>
      <c r="X6282">
        <v>0.99777349999999998</v>
      </c>
      <c r="Y6282">
        <v>0.15692929999999999</v>
      </c>
      <c r="Z6282">
        <v>-1.8661580000000001E-2</v>
      </c>
      <c r="AA6282">
        <v>0.98743349999999996</v>
      </c>
      <c r="AB6282">
        <v>53</v>
      </c>
      <c r="AC6282">
        <v>5.9787999999999997</v>
      </c>
      <c r="AD6282">
        <v>-1.1104479274500001</v>
      </c>
      <c r="AE6282">
        <v>46.617889999999903</v>
      </c>
      <c r="AF6282">
        <v>7.4498758809882899</v>
      </c>
      <c r="AG6282">
        <v>-1.1104479274500001</v>
      </c>
      <c r="AH6282">
        <v>46.3789708934045</v>
      </c>
      <c r="AI6282">
        <v>91.354213188660907</v>
      </c>
      <c r="AJ6282">
        <v>80.874504964484402</v>
      </c>
      <c r="AK6282">
        <v>46.986622419290498</v>
      </c>
      <c r="AL6282">
        <v>90.615679095484595</v>
      </c>
      <c r="AM6282">
        <v>93.774243352942307</v>
      </c>
      <c r="AN6282">
        <v>0.99999994824059701</v>
      </c>
    </row>
    <row r="6283" spans="1:40" x14ac:dyDescent="0.25">
      <c r="A6283" t="str">
        <f>"20190305135949839"</f>
        <v>20190305135949839</v>
      </c>
      <c r="B6283" t="str">
        <f>"1551765589834879"</f>
        <v>1551765589834879</v>
      </c>
      <c r="C6283" t="s">
        <v>40</v>
      </c>
      <c r="D6283">
        <v>3.9359959999999998</v>
      </c>
      <c r="E6283">
        <v>0.58523340000000001</v>
      </c>
      <c r="F6283" t="s">
        <v>42</v>
      </c>
      <c r="G6283">
        <v>-180.26050000000001</v>
      </c>
      <c r="H6283" s="1">
        <v>-3.0589780000000001E-6</v>
      </c>
      <c r="I6283">
        <v>81.021919999999994</v>
      </c>
      <c r="J6283">
        <v>-187.06720000000001</v>
      </c>
      <c r="K6283">
        <v>1.110471</v>
      </c>
      <c r="L6283">
        <v>28.097349999999999</v>
      </c>
      <c r="M6283">
        <v>-3.3603979999999999E-2</v>
      </c>
      <c r="N6283">
        <v>-4.6594330000000002E-3</v>
      </c>
      <c r="O6283">
        <v>0.99942430000000004</v>
      </c>
      <c r="P6283">
        <v>-9.6208669999999996E-2</v>
      </c>
      <c r="Q6283">
        <v>-1.151954E-2</v>
      </c>
      <c r="R6283">
        <v>0.99529449999999997</v>
      </c>
      <c r="S6283">
        <v>0.38783260000000003</v>
      </c>
      <c r="T6283">
        <v>-6.3423750000000001E-2</v>
      </c>
      <c r="U6283">
        <v>3.051758</v>
      </c>
      <c r="V6283">
        <v>-6.2660690000000005E-2</v>
      </c>
      <c r="W6283">
        <v>-7.2899649999999998E-3</v>
      </c>
      <c r="X6283">
        <v>0.99800829999999996</v>
      </c>
      <c r="Y6283">
        <v>0.1593108</v>
      </c>
      <c r="Z6283">
        <v>-1.587674E-2</v>
      </c>
      <c r="AA6283">
        <v>0.9871008</v>
      </c>
      <c r="AB6283">
        <v>53</v>
      </c>
      <c r="AC6283">
        <v>6.8067000000000002</v>
      </c>
      <c r="AD6283">
        <v>-1.110474058978</v>
      </c>
      <c r="AE6283">
        <v>52.924570000000003</v>
      </c>
      <c r="AF6283">
        <v>8.57763640684548</v>
      </c>
      <c r="AG6283">
        <v>-1.110474058978</v>
      </c>
      <c r="AH6283">
        <v>52.643145083153499</v>
      </c>
      <c r="AI6283">
        <v>91.192714769642805</v>
      </c>
      <c r="AJ6283">
        <v>80.745593825373206</v>
      </c>
      <c r="AK6283">
        <v>53.348943037417797</v>
      </c>
      <c r="AL6283">
        <v>90.4176879117787</v>
      </c>
      <c r="AM6283">
        <v>93.592642097888202</v>
      </c>
      <c r="AN6283">
        <v>1.0000000362649299</v>
      </c>
    </row>
    <row r="6284" spans="1:40" x14ac:dyDescent="0.25">
      <c r="A6284" t="str">
        <f>"20190305135949863"</f>
        <v>20190305135949863</v>
      </c>
      <c r="B6284" t="str">
        <f>"1551765589855373"</f>
        <v>1551765589855373</v>
      </c>
      <c r="C6284" t="s">
        <v>40</v>
      </c>
      <c r="D6284">
        <v>3.8609969999999998</v>
      </c>
      <c r="E6284">
        <v>0.58495839999999999</v>
      </c>
      <c r="F6284" t="s">
        <v>42</v>
      </c>
      <c r="G6284">
        <v>-179.64439999999999</v>
      </c>
      <c r="H6284">
        <v>7.9985749999999994E-2</v>
      </c>
      <c r="I6284">
        <v>85.940960000000004</v>
      </c>
      <c r="J6284">
        <v>-187.0873</v>
      </c>
      <c r="K6284">
        <v>1.1104989999999999</v>
      </c>
      <c r="L6284">
        <v>28.677430000000001</v>
      </c>
      <c r="M6284">
        <v>-3.5770599999999902E-2</v>
      </c>
      <c r="N6284">
        <v>-4.6884309999999998E-3</v>
      </c>
      <c r="O6284">
        <v>0.99934909999999999</v>
      </c>
      <c r="P6284">
        <v>-9.5106560000000007E-2</v>
      </c>
      <c r="Q6284">
        <v>-6.5114219999999898E-3</v>
      </c>
      <c r="R6284">
        <v>0.99544580000000005</v>
      </c>
      <c r="S6284">
        <v>0.391571</v>
      </c>
      <c r="T6284">
        <v>-5.436063E-2</v>
      </c>
      <c r="U6284">
        <v>3.0513919999999999</v>
      </c>
      <c r="V6284">
        <v>-5.9424329999999997E-2</v>
      </c>
      <c r="W6284">
        <v>-2.2321400000000001E-3</v>
      </c>
      <c r="X6284">
        <v>0.99823030000000001</v>
      </c>
      <c r="Y6284">
        <v>0.16266120000000001</v>
      </c>
      <c r="Z6284">
        <v>-1.2905710000000001E-2</v>
      </c>
      <c r="AA6284">
        <v>0.98659759999999996</v>
      </c>
      <c r="AB6284">
        <v>53</v>
      </c>
      <c r="AC6284">
        <v>7.4428999999999998</v>
      </c>
      <c r="AD6284">
        <v>-1.0305132499999901</v>
      </c>
      <c r="AE6284">
        <v>57.263530000000003</v>
      </c>
      <c r="AF6284">
        <v>9.48348958412938</v>
      </c>
      <c r="AG6284">
        <v>-1.0305132499999901</v>
      </c>
      <c r="AH6284">
        <v>56.942507433830201</v>
      </c>
      <c r="AI6284">
        <v>91.022709882855196</v>
      </c>
      <c r="AJ6284">
        <v>80.544460817038299</v>
      </c>
      <c r="AK6284">
        <v>57.7360172258403</v>
      </c>
      <c r="AL6284">
        <v>90.127892309705302</v>
      </c>
      <c r="AM6284">
        <v>93.406778902260598</v>
      </c>
      <c r="AN6284">
        <v>0.99999998264150902</v>
      </c>
    </row>
    <row r="6285" spans="1:40" x14ac:dyDescent="0.25">
      <c r="A6285" t="str">
        <f>"20190305135949884"</f>
        <v>20190305135949884</v>
      </c>
      <c r="B6285" t="str">
        <f>"1551765589874894"</f>
        <v>1551765589874894</v>
      </c>
      <c r="C6285" t="s">
        <v>40</v>
      </c>
      <c r="D6285">
        <v>4.0304609999999998</v>
      </c>
      <c r="E6285">
        <v>0.5760035</v>
      </c>
      <c r="F6285" t="s">
        <v>42</v>
      </c>
      <c r="G6285">
        <v>-177.0378</v>
      </c>
      <c r="H6285">
        <v>7.9986109999999999E-2</v>
      </c>
      <c r="I6285">
        <v>106.746</v>
      </c>
      <c r="J6285">
        <v>-187.1061</v>
      </c>
      <c r="K6285">
        <v>1.1105400000000001</v>
      </c>
      <c r="L6285">
        <v>29.192229999999999</v>
      </c>
      <c r="M6285">
        <v>-3.7691549999999997E-2</v>
      </c>
      <c r="N6285">
        <v>-4.7142829999999997E-3</v>
      </c>
      <c r="O6285">
        <v>0.99927829999999995</v>
      </c>
      <c r="P6285">
        <v>-9.2278700000000005E-2</v>
      </c>
      <c r="Q6285">
        <v>2.3996290000000001E-4</v>
      </c>
      <c r="R6285">
        <v>0.99573319999999998</v>
      </c>
      <c r="S6285">
        <v>0.39274599999999998</v>
      </c>
      <c r="T6285">
        <v>-4.0273429999999999E-2</v>
      </c>
      <c r="U6285">
        <v>3.0509949999999999</v>
      </c>
      <c r="V6285">
        <v>-5.4714249999999999E-2</v>
      </c>
      <c r="W6285">
        <v>4.5764930000000001E-3</v>
      </c>
      <c r="X6285">
        <v>0.99849160000000003</v>
      </c>
      <c r="Y6285">
        <v>0.1649552</v>
      </c>
      <c r="Z6285">
        <v>-8.3152439999999994E-3</v>
      </c>
      <c r="AA6285">
        <v>0.98626599999999998</v>
      </c>
      <c r="AB6285">
        <v>53</v>
      </c>
      <c r="AC6285">
        <v>10.068299999999899</v>
      </c>
      <c r="AD6285">
        <v>-1.03055388999999</v>
      </c>
      <c r="AE6285">
        <v>77.55377</v>
      </c>
      <c r="AF6285">
        <v>12.982045460912101</v>
      </c>
      <c r="AG6285">
        <v>-1.03055388999999</v>
      </c>
      <c r="AH6285">
        <v>77.105777165257805</v>
      </c>
      <c r="AI6285">
        <v>90.755111977787195</v>
      </c>
      <c r="AJ6285">
        <v>80.442931672625903</v>
      </c>
      <c r="AK6285">
        <v>78.197803152823795</v>
      </c>
      <c r="AL6285">
        <v>89.737785359815504</v>
      </c>
      <c r="AM6285">
        <v>93.136494615664304</v>
      </c>
      <c r="AN6285">
        <v>1.0000000343558999</v>
      </c>
    </row>
    <row r="6286" spans="1:40" x14ac:dyDescent="0.25">
      <c r="A6286" t="str">
        <f>"20190305135949909"</f>
        <v>20190305135949909</v>
      </c>
      <c r="B6286" t="str">
        <f>"1551765589905150"</f>
        <v>1551765589905150</v>
      </c>
      <c r="C6286" t="s">
        <v>40</v>
      </c>
      <c r="D6286">
        <v>3.950955</v>
      </c>
      <c r="E6286">
        <v>0.57140100000000005</v>
      </c>
      <c r="F6286" t="s">
        <v>70</v>
      </c>
      <c r="G6286">
        <v>-168.55330000000001</v>
      </c>
      <c r="H6286">
        <v>11.34233</v>
      </c>
      <c r="I6286">
        <v>208.2116</v>
      </c>
      <c r="J6286">
        <v>-187.12739999999999</v>
      </c>
      <c r="K6286">
        <v>1.110589</v>
      </c>
      <c r="L6286">
        <v>29.74728</v>
      </c>
      <c r="M6286">
        <v>-3.9761329999999998E-2</v>
      </c>
      <c r="N6286">
        <v>-4.7420320000000002E-3</v>
      </c>
      <c r="O6286">
        <v>0.99919800000000003</v>
      </c>
      <c r="P6286">
        <v>-8.9127970000000001E-2</v>
      </c>
      <c r="Q6286">
        <v>7.57988699999999E-3</v>
      </c>
      <c r="R6286">
        <v>0.99599130000000002</v>
      </c>
      <c r="S6286">
        <v>0.31526179999999998</v>
      </c>
      <c r="T6286">
        <v>0.173866299999999</v>
      </c>
      <c r="U6286">
        <v>3.0420229999999999</v>
      </c>
      <c r="V6286">
        <v>-4.9537480000000002E-2</v>
      </c>
      <c r="W6286">
        <v>1.197864E-2</v>
      </c>
      <c r="X6286">
        <v>0.99870040000000004</v>
      </c>
      <c r="Y6286">
        <v>0.14237520000000001</v>
      </c>
      <c r="Z6286">
        <v>6.1295710000000003E-2</v>
      </c>
      <c r="AA6286">
        <v>0.98791300000000004</v>
      </c>
      <c r="AB6286">
        <v>54</v>
      </c>
      <c r="AC6286">
        <v>18.574099999999898</v>
      </c>
      <c r="AD6286">
        <v>10.231741</v>
      </c>
      <c r="AE6286">
        <v>178.46431999999999</v>
      </c>
      <c r="AF6286">
        <v>25.572314757821701</v>
      </c>
      <c r="AG6286">
        <v>10.231741</v>
      </c>
      <c r="AH6286">
        <v>177.00905973153499</v>
      </c>
      <c r="AI6286">
        <v>86.725703171840905</v>
      </c>
      <c r="AJ6286">
        <v>81.779414829546496</v>
      </c>
      <c r="AK6286">
        <v>179.139161081563</v>
      </c>
      <c r="AL6286">
        <v>89.313658048371593</v>
      </c>
      <c r="AM6286">
        <v>92.839654646786698</v>
      </c>
      <c r="AN6286">
        <v>0.999999969350579</v>
      </c>
    </row>
    <row r="6287" spans="1:40" x14ac:dyDescent="0.25">
      <c r="A6287" t="str">
        <f>"20190305135949928"</f>
        <v>20190305135949928</v>
      </c>
      <c r="B6287" t="str">
        <f>"1551765589925648"</f>
        <v>1551765589925648</v>
      </c>
      <c r="C6287" t="s">
        <v>40</v>
      </c>
      <c r="D6287">
        <v>3.985922</v>
      </c>
      <c r="E6287">
        <v>0.57032649999999996</v>
      </c>
      <c r="F6287" t="s">
        <v>46</v>
      </c>
      <c r="G6287">
        <v>-160.23089999999999</v>
      </c>
      <c r="H6287">
        <v>22.083100000000002</v>
      </c>
      <c r="I6287">
        <v>314.52839999999998</v>
      </c>
      <c r="J6287">
        <v>-187.1472</v>
      </c>
      <c r="K6287">
        <v>1.110635</v>
      </c>
      <c r="L6287">
        <v>30.237549999999999</v>
      </c>
      <c r="M6287">
        <v>-4.1589929999999997E-2</v>
      </c>
      <c r="N6287">
        <v>-4.7664509999999997E-3</v>
      </c>
      <c r="O6287">
        <v>0.99912339999999999</v>
      </c>
      <c r="P6287">
        <v>-8.4535860000000004E-2</v>
      </c>
      <c r="Q6287">
        <v>1.501359E-2</v>
      </c>
      <c r="R6287">
        <v>0.99630730000000001</v>
      </c>
      <c r="S6287">
        <v>0.28674319999999998</v>
      </c>
      <c r="T6287">
        <v>0.22358729999999999</v>
      </c>
      <c r="U6287">
        <v>3.036041</v>
      </c>
      <c r="V6287">
        <v>-4.3160110000000002E-2</v>
      </c>
      <c r="W6287">
        <v>1.9480250000000001E-2</v>
      </c>
      <c r="X6287">
        <v>0.99887820000000005</v>
      </c>
      <c r="Y6287">
        <v>0.1350904</v>
      </c>
      <c r="Z6287">
        <v>7.7614169999999996E-2</v>
      </c>
      <c r="AA6287">
        <v>0.98778869999999996</v>
      </c>
      <c r="AB6287">
        <v>54</v>
      </c>
      <c r="AC6287">
        <v>26.9163</v>
      </c>
      <c r="AD6287">
        <v>20.972465</v>
      </c>
      <c r="AE6287">
        <v>284.29084999999998</v>
      </c>
      <c r="AF6287">
        <v>38.509069849589899</v>
      </c>
      <c r="AG6287">
        <v>20.972465</v>
      </c>
      <c r="AH6287">
        <v>281.40754087058201</v>
      </c>
      <c r="AI6287">
        <v>85.7770088470687</v>
      </c>
      <c r="AJ6287">
        <v>82.207788110421703</v>
      </c>
      <c r="AK6287">
        <v>284.80343538603103</v>
      </c>
      <c r="AL6287">
        <v>88.883793250144905</v>
      </c>
      <c r="AM6287">
        <v>92.474130399451894</v>
      </c>
      <c r="AN6287">
        <v>0.99999996683525605</v>
      </c>
    </row>
    <row r="6288" spans="1:40" x14ac:dyDescent="0.25">
      <c r="A6288" t="str">
        <f>"20190305135949951"</f>
        <v>20190305135949951</v>
      </c>
      <c r="B6288" t="str">
        <f>"1551765589945167"</f>
        <v>1551765589945167</v>
      </c>
      <c r="C6288" t="s">
        <v>40</v>
      </c>
      <c r="D6288">
        <v>4.018167</v>
      </c>
      <c r="E6288">
        <v>0.57010419999999995</v>
      </c>
      <c r="F6288" t="s">
        <v>46</v>
      </c>
      <c r="G6288">
        <v>-159.6454</v>
      </c>
      <c r="H6288">
        <v>24.561019999999999</v>
      </c>
      <c r="I6288">
        <v>315.19</v>
      </c>
      <c r="J6288">
        <v>-187.17070000000001</v>
      </c>
      <c r="K6288">
        <v>1.110668</v>
      </c>
      <c r="L6288">
        <v>30.791810000000002</v>
      </c>
      <c r="M6288">
        <v>-4.3657479999999999E-2</v>
      </c>
      <c r="N6288">
        <v>-4.7940930000000001E-3</v>
      </c>
      <c r="O6288">
        <v>0.99903509999999995</v>
      </c>
      <c r="P6288">
        <v>-7.9312240000000006E-2</v>
      </c>
      <c r="Q6288">
        <v>2.1586709999999999E-2</v>
      </c>
      <c r="R6288">
        <v>0.9966161</v>
      </c>
      <c r="S6288">
        <v>0.29264829999999997</v>
      </c>
      <c r="T6288">
        <v>0.24953700000000001</v>
      </c>
      <c r="U6288">
        <v>3.0321959999999999</v>
      </c>
      <c r="V6288">
        <v>-3.5907130000000002E-2</v>
      </c>
      <c r="W6288">
        <v>2.6129909999999999E-2</v>
      </c>
      <c r="X6288">
        <v>0.9990135</v>
      </c>
      <c r="Y6288">
        <v>0.13909959999999999</v>
      </c>
      <c r="Z6288">
        <v>8.6101699999999906E-2</v>
      </c>
      <c r="AA6288">
        <v>0.98652819999999997</v>
      </c>
      <c r="AB6288">
        <v>54</v>
      </c>
      <c r="AC6288">
        <v>27.525300000000001</v>
      </c>
      <c r="AD6288">
        <v>23.450351999999999</v>
      </c>
      <c r="AE6288">
        <v>284.39819</v>
      </c>
      <c r="AF6288">
        <v>39.6482393020488</v>
      </c>
      <c r="AG6288">
        <v>23.450351999999999</v>
      </c>
      <c r="AH6288">
        <v>281.03232083081701</v>
      </c>
      <c r="AI6288">
        <v>85.276643350141697</v>
      </c>
      <c r="AJ6288">
        <v>81.969668832109704</v>
      </c>
      <c r="AK6288">
        <v>284.78249110546</v>
      </c>
      <c r="AL6288">
        <v>88.502696069158802</v>
      </c>
      <c r="AM6288">
        <v>92.058472439833807</v>
      </c>
      <c r="AN6288">
        <v>1.00000003368184</v>
      </c>
    </row>
    <row r="6289" spans="1:40" x14ac:dyDescent="0.25">
      <c r="A6289" t="str">
        <f>"20190305135949977"</f>
        <v>20190305135949977</v>
      </c>
      <c r="B6289" t="str">
        <f>"1551765589965662"</f>
        <v>1551765589965662</v>
      </c>
      <c r="C6289" t="s">
        <v>40</v>
      </c>
      <c r="D6289">
        <v>3.9784630000000001</v>
      </c>
      <c r="E6289">
        <v>0.56952530000000001</v>
      </c>
      <c r="F6289" t="s">
        <v>45</v>
      </c>
      <c r="G6289">
        <v>-178.1525</v>
      </c>
      <c r="H6289">
        <v>9.0654679999999992</v>
      </c>
      <c r="I6289">
        <v>119.5271</v>
      </c>
      <c r="J6289">
        <v>-187.19749999999999</v>
      </c>
      <c r="K6289">
        <v>1.1106910000000001</v>
      </c>
      <c r="L6289">
        <v>31.396909999999998</v>
      </c>
      <c r="M6289">
        <v>-4.5914219999999999E-2</v>
      </c>
      <c r="N6289">
        <v>-4.8243579999999999E-3</v>
      </c>
      <c r="O6289">
        <v>0.99893370000000004</v>
      </c>
      <c r="P6289">
        <v>-7.4121809999999996E-2</v>
      </c>
      <c r="Q6289">
        <v>2.4838320000000001E-2</v>
      </c>
      <c r="R6289">
        <v>0.99693980000000004</v>
      </c>
      <c r="S6289">
        <v>0.30781560000000002</v>
      </c>
      <c r="T6289">
        <v>0.27152189999999998</v>
      </c>
      <c r="U6289">
        <v>3.0288089999999999</v>
      </c>
      <c r="V6289">
        <v>-2.847367E-2</v>
      </c>
      <c r="W6289">
        <v>2.946267E-2</v>
      </c>
      <c r="X6289">
        <v>0.99916020000000005</v>
      </c>
      <c r="Y6289">
        <v>0.14626900000000001</v>
      </c>
      <c r="Z6289">
        <v>9.3255909999999997E-2</v>
      </c>
      <c r="AA6289">
        <v>0.98483940000000003</v>
      </c>
      <c r="AB6289">
        <v>54</v>
      </c>
      <c r="AC6289">
        <v>9.0449999999999804</v>
      </c>
      <c r="AD6289">
        <v>7.9547769999999902</v>
      </c>
      <c r="AE6289">
        <v>88.130189999999999</v>
      </c>
      <c r="AF6289">
        <v>12.9773107177437</v>
      </c>
      <c r="AG6289">
        <v>7.9547769999999902</v>
      </c>
      <c r="AH6289">
        <v>86.921165881399901</v>
      </c>
      <c r="AI6289">
        <v>84.828028564657501</v>
      </c>
      <c r="AJ6289">
        <v>81.508475382562295</v>
      </c>
      <c r="AK6289">
        <v>88.243856153085403</v>
      </c>
      <c r="AL6289">
        <v>88.311668955728905</v>
      </c>
      <c r="AM6289">
        <v>91.632350548358602</v>
      </c>
      <c r="AN6289">
        <v>0.99999995203541703</v>
      </c>
    </row>
    <row r="6290" spans="1:40" x14ac:dyDescent="0.25">
      <c r="A6290" t="str">
        <f>"20190305135949998"</f>
        <v>20190305135949998</v>
      </c>
      <c r="B6290" t="str">
        <f>"1551765589994941"</f>
        <v>1551765589994941</v>
      </c>
      <c r="C6290" t="s">
        <v>40</v>
      </c>
      <c r="D6290">
        <v>4.0098029999999998</v>
      </c>
      <c r="E6290">
        <v>0.56881059999999894</v>
      </c>
      <c r="F6290" t="s">
        <v>70</v>
      </c>
      <c r="G6290">
        <v>-168.4813</v>
      </c>
      <c r="H6290">
        <v>17.188679999999898</v>
      </c>
      <c r="I6290">
        <v>208.2097</v>
      </c>
      <c r="J6290">
        <v>-187.22149999999999</v>
      </c>
      <c r="K6290">
        <v>1.1107049999999901</v>
      </c>
      <c r="L6290">
        <v>31.91339</v>
      </c>
      <c r="M6290">
        <v>-4.7840229999999997E-2</v>
      </c>
      <c r="N6290">
        <v>-4.8501919999999997E-3</v>
      </c>
      <c r="O6290">
        <v>0.99884329999999999</v>
      </c>
      <c r="P6290">
        <v>-6.9942190000000001E-2</v>
      </c>
      <c r="Q6290">
        <v>2.636985E-2</v>
      </c>
      <c r="R6290">
        <v>0.99720249999999999</v>
      </c>
      <c r="S6290">
        <v>0.3203278</v>
      </c>
      <c r="T6290">
        <v>0.27517560000000002</v>
      </c>
      <c r="U6290">
        <v>3.026154</v>
      </c>
      <c r="V6290">
        <v>-2.2371800000000001E-2</v>
      </c>
      <c r="W6290">
        <v>3.1061720000000001E-2</v>
      </c>
      <c r="X6290">
        <v>0.99926700000000002</v>
      </c>
      <c r="Y6290">
        <v>0.15227859999999999</v>
      </c>
      <c r="Z6290">
        <v>9.4467930000000006E-2</v>
      </c>
      <c r="AA6290">
        <v>0.98381249999999998</v>
      </c>
      <c r="AB6290">
        <v>54</v>
      </c>
      <c r="AC6290">
        <v>18.740199999999898</v>
      </c>
      <c r="AD6290">
        <v>16.077974999999999</v>
      </c>
      <c r="AE6290">
        <v>176.29631000000001</v>
      </c>
      <c r="AF6290">
        <v>26.9314058935189</v>
      </c>
      <c r="AG6290">
        <v>16.077974999999999</v>
      </c>
      <c r="AH6290">
        <v>173.76878184804099</v>
      </c>
      <c r="AI6290">
        <v>84.775772233641703</v>
      </c>
      <c r="AJ6290">
        <v>81.190154188690002</v>
      </c>
      <c r="AK6290">
        <v>176.57687121606301</v>
      </c>
      <c r="AL6290">
        <v>88.220008109553703</v>
      </c>
      <c r="AM6290">
        <v>91.282535721840603</v>
      </c>
      <c r="AN6290">
        <v>0.99999993258679698</v>
      </c>
    </row>
    <row r="6291" spans="1:40" x14ac:dyDescent="0.25">
      <c r="A6291" t="str">
        <f>"20190305135950021"</f>
        <v>20190305135950021</v>
      </c>
      <c r="B6291" t="str">
        <f>"1551765590015438"</f>
        <v>1551765590015438</v>
      </c>
      <c r="C6291" t="s">
        <v>40</v>
      </c>
      <c r="D6291">
        <v>4.0330389999999996</v>
      </c>
      <c r="E6291">
        <v>0.56811659999999997</v>
      </c>
      <c r="F6291" t="s">
        <v>45</v>
      </c>
      <c r="G6291">
        <v>-177.72149999999999</v>
      </c>
      <c r="H6291">
        <v>9.1181619999999999</v>
      </c>
      <c r="I6291">
        <v>119.56180000000001</v>
      </c>
      <c r="J6291">
        <v>-187.24809999999999</v>
      </c>
      <c r="K6291">
        <v>1.110717</v>
      </c>
      <c r="L6291">
        <v>32.462309999999903</v>
      </c>
      <c r="M6291">
        <v>-4.9886279999999998E-2</v>
      </c>
      <c r="N6291">
        <v>-4.8775370000000004E-3</v>
      </c>
      <c r="O6291">
        <v>0.99874300000000005</v>
      </c>
      <c r="P6291">
        <v>-6.6442390000000004E-2</v>
      </c>
      <c r="Q6291">
        <v>2.830593E-2</v>
      </c>
      <c r="R6291">
        <v>0.99738870000000002</v>
      </c>
      <c r="S6291">
        <v>0.32777399999999901</v>
      </c>
      <c r="T6291">
        <v>0.276279</v>
      </c>
      <c r="U6291">
        <v>3.0241090000000002</v>
      </c>
      <c r="V6291">
        <v>-1.683457E-2</v>
      </c>
      <c r="W6291">
        <v>3.3063410000000001E-2</v>
      </c>
      <c r="X6291">
        <v>0.99931139999999996</v>
      </c>
      <c r="Y6291">
        <v>0.15676319999999999</v>
      </c>
      <c r="Z6291">
        <v>9.4855140000000004E-2</v>
      </c>
      <c r="AA6291">
        <v>0.98307060000000002</v>
      </c>
      <c r="AB6291">
        <v>54</v>
      </c>
      <c r="AC6291">
        <v>9.5266000000000002</v>
      </c>
      <c r="AD6291">
        <v>8.0074450000000006</v>
      </c>
      <c r="AE6291">
        <v>87.099490000000003</v>
      </c>
      <c r="AF6291">
        <v>13.7450602496827</v>
      </c>
      <c r="AG6291">
        <v>8.0074450000000006</v>
      </c>
      <c r="AH6291">
        <v>85.799190575778098</v>
      </c>
      <c r="AI6291">
        <v>84.734908085253494</v>
      </c>
      <c r="AJ6291">
        <v>80.898530824045693</v>
      </c>
      <c r="AK6291">
        <v>87.261371523453207</v>
      </c>
      <c r="AL6291">
        <v>88.105260698677199</v>
      </c>
      <c r="AM6291">
        <v>90.965123165956101</v>
      </c>
      <c r="AN6291">
        <v>0.99999993299893397</v>
      </c>
    </row>
    <row r="6292" spans="1:40" x14ac:dyDescent="0.25">
      <c r="A6292" t="str">
        <f>"20190305135950040"</f>
        <v>20190305135950040</v>
      </c>
      <c r="B6292" t="str">
        <f>"1551765590034958"</f>
        <v>1551765590034958</v>
      </c>
      <c r="C6292" t="s">
        <v>40</v>
      </c>
      <c r="D6292">
        <v>4.0559890000000003</v>
      </c>
      <c r="E6292">
        <v>0.56731599999999904</v>
      </c>
      <c r="F6292" t="s">
        <v>70</v>
      </c>
      <c r="G6292">
        <v>-168.4171</v>
      </c>
      <c r="H6292">
        <v>16.859819999999999</v>
      </c>
      <c r="I6292">
        <v>203.27189999999999</v>
      </c>
      <c r="J6292">
        <v>-187.273</v>
      </c>
      <c r="K6292">
        <v>1.1107260000000001</v>
      </c>
      <c r="L6292">
        <v>32.956209999999999</v>
      </c>
      <c r="M6292">
        <v>-5.1726019999999998E-2</v>
      </c>
      <c r="N6292">
        <v>-4.9020749999999997E-3</v>
      </c>
      <c r="O6292">
        <v>0.99864929999999996</v>
      </c>
      <c r="P6292">
        <v>-6.1661229999999997E-2</v>
      </c>
      <c r="Q6292">
        <v>3.083582E-2</v>
      </c>
      <c r="R6292">
        <v>0.99762070000000003</v>
      </c>
      <c r="S6292">
        <v>0.33317570000000002</v>
      </c>
      <c r="T6292">
        <v>0.27864860000000002</v>
      </c>
      <c r="U6292">
        <v>3.022125</v>
      </c>
      <c r="V6292">
        <v>-1.022559E-2</v>
      </c>
      <c r="W6292">
        <v>3.5663970000000003E-2</v>
      </c>
      <c r="X6292">
        <v>0.99931150000000002</v>
      </c>
      <c r="Y6292">
        <v>0.16037950000000001</v>
      </c>
      <c r="Z6292">
        <v>9.5655870000000004E-2</v>
      </c>
      <c r="AA6292">
        <v>0.98240950000000005</v>
      </c>
      <c r="AB6292">
        <v>54</v>
      </c>
      <c r="AC6292">
        <v>18.855899999999899</v>
      </c>
      <c r="AD6292">
        <v>15.749093999999999</v>
      </c>
      <c r="AE6292">
        <v>170.31568999999999</v>
      </c>
      <c r="AF6292">
        <v>27.408987465867</v>
      </c>
      <c r="AG6292">
        <v>15.749093999999999</v>
      </c>
      <c r="AH6292">
        <v>167.69577873688601</v>
      </c>
      <c r="AI6292">
        <v>84.704678846946393</v>
      </c>
      <c r="AJ6292">
        <v>80.717386456851699</v>
      </c>
      <c r="AK6292">
        <v>170.64923311253301</v>
      </c>
      <c r="AL6292">
        <v>87.956171572620406</v>
      </c>
      <c r="AM6292">
        <v>90.586266347041303</v>
      </c>
      <c r="AN6292">
        <v>0.99999997773962901</v>
      </c>
    </row>
    <row r="6293" spans="1:40" x14ac:dyDescent="0.25">
      <c r="A6293" t="str">
        <f>"20190305135950065"</f>
        <v>20190305135950065</v>
      </c>
      <c r="B6293" t="str">
        <f>"1551765590055455"</f>
        <v>1551765590055455</v>
      </c>
      <c r="C6293" t="s">
        <v>40</v>
      </c>
      <c r="D6293">
        <v>4.0432739999999896</v>
      </c>
      <c r="E6293">
        <v>0.56654709999999997</v>
      </c>
      <c r="F6293" t="s">
        <v>45</v>
      </c>
      <c r="G6293">
        <v>-177.46299999999999</v>
      </c>
      <c r="H6293">
        <v>9.1539099999999998</v>
      </c>
      <c r="I6293">
        <v>119.49630000000001</v>
      </c>
      <c r="J6293">
        <v>-187.30350000000001</v>
      </c>
      <c r="K6293">
        <v>1.110716</v>
      </c>
      <c r="L6293">
        <v>33.536769999999997</v>
      </c>
      <c r="M6293">
        <v>-5.3887190000000001E-2</v>
      </c>
      <c r="N6293">
        <v>-4.9308980000000004E-3</v>
      </c>
      <c r="O6293">
        <v>0.9985349</v>
      </c>
      <c r="P6293">
        <v>-5.5924620000000001E-2</v>
      </c>
      <c r="Q6293">
        <v>3.2044700000000002E-2</v>
      </c>
      <c r="R6293">
        <v>0.99792060000000005</v>
      </c>
      <c r="S6293">
        <v>0.3423004</v>
      </c>
      <c r="T6293">
        <v>0.28064879999999998</v>
      </c>
      <c r="U6293">
        <v>3.0196230000000002</v>
      </c>
      <c r="V6293">
        <v>-2.3285340000000002E-3</v>
      </c>
      <c r="W6293">
        <v>3.6957249999999997E-2</v>
      </c>
      <c r="X6293">
        <v>0.99931409999999998</v>
      </c>
      <c r="Y6293">
        <v>0.16552790000000001</v>
      </c>
      <c r="Z6293">
        <v>9.6335660000000004E-2</v>
      </c>
      <c r="AA6293">
        <v>0.98148860000000004</v>
      </c>
      <c r="AB6293">
        <v>55</v>
      </c>
      <c r="AC6293">
        <v>9.8405000000000094</v>
      </c>
      <c r="AD6293">
        <v>8.0431939999999997</v>
      </c>
      <c r="AE6293">
        <v>85.959530000000001</v>
      </c>
      <c r="AF6293">
        <v>14.3344965599844</v>
      </c>
      <c r="AG6293">
        <v>8.0431939999999997</v>
      </c>
      <c r="AH6293">
        <v>84.573462847925597</v>
      </c>
      <c r="AI6293">
        <v>84.643279913820805</v>
      </c>
      <c r="AJ6293">
        <v>80.380264737936301</v>
      </c>
      <c r="AK6293">
        <v>86.155913200657807</v>
      </c>
      <c r="AL6293">
        <v>87.882023156982001</v>
      </c>
      <c r="AM6293">
        <v>90.133506501302804</v>
      </c>
      <c r="AN6293">
        <v>0.99999996542848002</v>
      </c>
    </row>
    <row r="6294" spans="1:40" x14ac:dyDescent="0.25">
      <c r="A6294" t="str">
        <f>"20190305135950087"</f>
        <v>20190305135950087</v>
      </c>
      <c r="B6294" t="str">
        <f>"1551765590074974"</f>
        <v>1551765590074974</v>
      </c>
      <c r="C6294" t="s">
        <v>40</v>
      </c>
      <c r="D6294">
        <v>4.0590699999999904</v>
      </c>
      <c r="E6294">
        <v>0.56560749999999904</v>
      </c>
      <c r="F6294" t="s">
        <v>70</v>
      </c>
      <c r="G6294">
        <v>-169.405</v>
      </c>
      <c r="H6294">
        <v>15.19326</v>
      </c>
      <c r="I6294">
        <v>185.8809</v>
      </c>
      <c r="J6294">
        <v>-187.33369999999999</v>
      </c>
      <c r="K6294">
        <v>1.110706</v>
      </c>
      <c r="L6294">
        <v>34.090760000000003</v>
      </c>
      <c r="M6294">
        <v>-5.5947860000000002E-2</v>
      </c>
      <c r="N6294">
        <v>-4.9583930000000002E-3</v>
      </c>
      <c r="O6294">
        <v>0.99842140000000001</v>
      </c>
      <c r="P6294">
        <v>-5.1717909999999999E-2</v>
      </c>
      <c r="Q6294">
        <v>2.9812149999999999E-2</v>
      </c>
      <c r="R6294">
        <v>0.99821660000000001</v>
      </c>
      <c r="S6294">
        <v>0.35447689999999998</v>
      </c>
      <c r="T6294">
        <v>0.27890320000000002</v>
      </c>
      <c r="U6294">
        <v>3.0171510000000001</v>
      </c>
      <c r="V6294">
        <v>3.9652419999999999E-3</v>
      </c>
      <c r="W6294">
        <v>3.4796670000000002E-2</v>
      </c>
      <c r="X6294">
        <v>0.99938649999999996</v>
      </c>
      <c r="Y6294">
        <v>0.1715661</v>
      </c>
      <c r="Z6294">
        <v>9.5790239999999999E-2</v>
      </c>
      <c r="AA6294">
        <v>0.98050459999999995</v>
      </c>
      <c r="AB6294">
        <v>55</v>
      </c>
      <c r="AC6294">
        <v>17.9286999999999</v>
      </c>
      <c r="AD6294">
        <v>14.082554</v>
      </c>
      <c r="AE6294">
        <v>151.79013999999901</v>
      </c>
      <c r="AF6294">
        <v>26.170889384315402</v>
      </c>
      <c r="AG6294">
        <v>14.082554</v>
      </c>
      <c r="AH6294">
        <v>149.28203780593299</v>
      </c>
      <c r="AI6294">
        <v>84.691425162965402</v>
      </c>
      <c r="AJ6294">
        <v>80.056426419294993</v>
      </c>
      <c r="AK6294">
        <v>152.21156523017899</v>
      </c>
      <c r="AL6294">
        <v>88.005895024650798</v>
      </c>
      <c r="AM6294">
        <v>89.7726700939279</v>
      </c>
      <c r="AN6294">
        <v>0.99999995388472696</v>
      </c>
    </row>
    <row r="6295" spans="1:40" x14ac:dyDescent="0.25">
      <c r="A6295" t="str">
        <f>"20190305135950110"</f>
        <v>20190305135950110</v>
      </c>
      <c r="B6295" t="str">
        <f>"1551765590105230"</f>
        <v>1551765590105230</v>
      </c>
      <c r="C6295" t="s">
        <v>40</v>
      </c>
      <c r="D6295">
        <v>4.0326760000000004</v>
      </c>
      <c r="E6295">
        <v>0.56421999999999894</v>
      </c>
      <c r="F6295" t="s">
        <v>70</v>
      </c>
      <c r="G6295">
        <v>-169.72200000000001</v>
      </c>
      <c r="H6295">
        <v>14.09572</v>
      </c>
      <c r="I6295">
        <v>181.43109999999999</v>
      </c>
      <c r="J6295">
        <v>-187.36490000000001</v>
      </c>
      <c r="K6295">
        <v>1.1106910000000001</v>
      </c>
      <c r="L6295">
        <v>34.642670000000003</v>
      </c>
      <c r="M6295">
        <v>-5.7998899999999999E-2</v>
      </c>
      <c r="N6295">
        <v>-4.9857900000000004E-3</v>
      </c>
      <c r="O6295">
        <v>0.99830419999999997</v>
      </c>
      <c r="P6295">
        <v>-4.8310970000000002E-2</v>
      </c>
      <c r="Q6295">
        <v>2.727479E-2</v>
      </c>
      <c r="R6295">
        <v>0.99845989999999996</v>
      </c>
      <c r="S6295">
        <v>0.36051939999999999</v>
      </c>
      <c r="T6295">
        <v>0.26580880000000001</v>
      </c>
      <c r="U6295">
        <v>3.0161129999999998</v>
      </c>
      <c r="V6295">
        <v>9.4506090000000004E-3</v>
      </c>
      <c r="W6295">
        <v>3.2326140000000003E-2</v>
      </c>
      <c r="X6295">
        <v>0.99943269999999995</v>
      </c>
      <c r="Y6295">
        <v>0.17561109999999999</v>
      </c>
      <c r="Z6295">
        <v>9.1561790000000004E-2</v>
      </c>
      <c r="AA6295">
        <v>0.98019239999999996</v>
      </c>
      <c r="AB6295">
        <v>55</v>
      </c>
      <c r="AC6295">
        <v>17.642899999999901</v>
      </c>
      <c r="AD6295">
        <v>12.9850289999999</v>
      </c>
      <c r="AE6295">
        <v>146.78842999999901</v>
      </c>
      <c r="AF6295">
        <v>25.9268763625576</v>
      </c>
      <c r="AG6295">
        <v>12.9850289999999</v>
      </c>
      <c r="AH6295">
        <v>144.404128806237</v>
      </c>
      <c r="AI6295">
        <v>84.942146084576294</v>
      </c>
      <c r="AJ6295">
        <v>79.821342346075696</v>
      </c>
      <c r="AK6295">
        <v>147.28668070242699</v>
      </c>
      <c r="AL6295">
        <v>88.147525895668807</v>
      </c>
      <c r="AM6295">
        <v>89.458228781683403</v>
      </c>
      <c r="AN6295">
        <v>1.00000000758353</v>
      </c>
    </row>
    <row r="6296" spans="1:40" x14ac:dyDescent="0.25">
      <c r="A6296" t="str">
        <f>"20190305135950130"</f>
        <v>20190305135950130</v>
      </c>
      <c r="B6296" t="str">
        <f>"1551765590125727"</f>
        <v>1551765590125727</v>
      </c>
      <c r="C6296" t="s">
        <v>40</v>
      </c>
      <c r="D6296">
        <v>4.0617749999999999</v>
      </c>
      <c r="E6296">
        <v>0.56346790000000002</v>
      </c>
      <c r="F6296" t="s">
        <v>70</v>
      </c>
      <c r="G6296">
        <v>-169.72139999999999</v>
      </c>
      <c r="H6296">
        <v>13.49714</v>
      </c>
      <c r="I6296">
        <v>182.43870000000001</v>
      </c>
      <c r="J6296">
        <v>-187.39429999999999</v>
      </c>
      <c r="K6296">
        <v>1.1106720000000001</v>
      </c>
      <c r="L6296">
        <v>35.144649999999999</v>
      </c>
      <c r="M6296">
        <v>-5.9862480000000003E-2</v>
      </c>
      <c r="N6296">
        <v>-5.0133019999999999E-3</v>
      </c>
      <c r="O6296">
        <v>0.99819400000000003</v>
      </c>
      <c r="P6296">
        <v>-4.4439800000000002E-2</v>
      </c>
      <c r="Q6296">
        <v>2.504671E-2</v>
      </c>
      <c r="R6296">
        <v>0.99869810000000003</v>
      </c>
      <c r="S6296">
        <v>0.35993960000000003</v>
      </c>
      <c r="T6296">
        <v>0.25269229999999998</v>
      </c>
      <c r="U6296">
        <v>3.0151370000000002</v>
      </c>
      <c r="V6296">
        <v>1.5209779999999999E-2</v>
      </c>
      <c r="W6296">
        <v>3.0167119999999999E-2</v>
      </c>
      <c r="X6296">
        <v>0.99942920000000002</v>
      </c>
      <c r="Y6296">
        <v>0.17734369999999999</v>
      </c>
      <c r="Z6296">
        <v>8.7350319999999995E-2</v>
      </c>
      <c r="AA6296">
        <v>0.98026480000000005</v>
      </c>
      <c r="AB6296">
        <v>55</v>
      </c>
      <c r="AC6296">
        <v>17.672899999999998</v>
      </c>
      <c r="AD6296">
        <v>12.386467999999899</v>
      </c>
      <c r="AE6296">
        <v>147.29405</v>
      </c>
      <c r="AF6296">
        <v>26.275527594583501</v>
      </c>
      <c r="AG6296">
        <v>12.386467999999899</v>
      </c>
      <c r="AH6296">
        <v>144.96135758485499</v>
      </c>
      <c r="AI6296">
        <v>85.194063423794105</v>
      </c>
      <c r="AJ6296">
        <v>79.726178946056606</v>
      </c>
      <c r="AK6296">
        <v>147.84323837339599</v>
      </c>
      <c r="AL6296">
        <v>88.271289174914003</v>
      </c>
      <c r="AM6296">
        <v>89.128113393375997</v>
      </c>
      <c r="AN6296">
        <v>1.00000005917468</v>
      </c>
    </row>
    <row r="6297" spans="1:40" x14ac:dyDescent="0.25">
      <c r="A6297" t="str">
        <f>"20190305135950153"</f>
        <v>20190305135950153</v>
      </c>
      <c r="B6297" t="str">
        <f>"1551765590145247"</f>
        <v>1551765590145247</v>
      </c>
      <c r="C6297" t="s">
        <v>40</v>
      </c>
      <c r="D6297">
        <v>4.0755720000000002</v>
      </c>
      <c r="E6297">
        <v>0.56262699999999999</v>
      </c>
      <c r="F6297" t="s">
        <v>70</v>
      </c>
      <c r="G6297">
        <v>-169.25489999999999</v>
      </c>
      <c r="H6297">
        <v>13.15194</v>
      </c>
      <c r="I6297">
        <v>184.3793</v>
      </c>
      <c r="J6297">
        <v>-187.4288</v>
      </c>
      <c r="K6297">
        <v>1.1106499999999999</v>
      </c>
      <c r="L6297">
        <v>35.715420000000002</v>
      </c>
      <c r="M6297">
        <v>-6.1978760000000001E-2</v>
      </c>
      <c r="N6297">
        <v>-5.0501740000000002E-3</v>
      </c>
      <c r="O6297">
        <v>0.99806470000000003</v>
      </c>
      <c r="P6297">
        <v>-3.9916979999999998E-2</v>
      </c>
      <c r="Q6297">
        <v>2.1117E-2</v>
      </c>
      <c r="R6297">
        <v>0.99897979999999997</v>
      </c>
      <c r="S6297">
        <v>0.36636350000000001</v>
      </c>
      <c r="T6297">
        <v>0.24319859999999999</v>
      </c>
      <c r="U6297">
        <v>3.0140989999999999</v>
      </c>
      <c r="V6297">
        <v>2.188741E-2</v>
      </c>
      <c r="W6297">
        <v>2.6322959999999999E-2</v>
      </c>
      <c r="X6297">
        <v>0.99941380000000002</v>
      </c>
      <c r="Y6297">
        <v>0.1815591</v>
      </c>
      <c r="Z6297">
        <v>8.4286819999999998E-2</v>
      </c>
      <c r="AA6297">
        <v>0.9797612</v>
      </c>
      <c r="AB6297">
        <v>55</v>
      </c>
      <c r="AC6297">
        <v>18.1739</v>
      </c>
      <c r="AD6297">
        <v>12.04129</v>
      </c>
      <c r="AE6297">
        <v>148.66388000000001</v>
      </c>
      <c r="AF6297">
        <v>27.1774082888941</v>
      </c>
      <c r="AG6297">
        <v>12.04129</v>
      </c>
      <c r="AH6297">
        <v>146.30594865248599</v>
      </c>
      <c r="AI6297">
        <v>85.373825609622202</v>
      </c>
      <c r="AJ6297">
        <v>79.476829438376996</v>
      </c>
      <c r="AK6297">
        <v>149.29512650207101</v>
      </c>
      <c r="AL6297">
        <v>88.491631187489901</v>
      </c>
      <c r="AM6297">
        <v>88.745408773981794</v>
      </c>
      <c r="AN6297">
        <v>0.99999995028505295</v>
      </c>
    </row>
    <row r="6298" spans="1:40" x14ac:dyDescent="0.25">
      <c r="A6298" t="str">
        <f>"20190305135950175"</f>
        <v>20190305135950175</v>
      </c>
      <c r="B6298" t="str">
        <f>"1551765590165742"</f>
        <v>1551765590165742</v>
      </c>
      <c r="C6298" t="s">
        <v>40</v>
      </c>
      <c r="D6298">
        <v>4.0600709999999998</v>
      </c>
      <c r="E6298">
        <v>0.56188479999999996</v>
      </c>
      <c r="F6298" t="s">
        <v>70</v>
      </c>
      <c r="G6298">
        <v>-168.9605</v>
      </c>
      <c r="H6298">
        <v>12.320690000000001</v>
      </c>
      <c r="I6298">
        <v>184.37950000000001</v>
      </c>
      <c r="J6298">
        <v>-187.46360000000001</v>
      </c>
      <c r="K6298">
        <v>1.1106290000000001</v>
      </c>
      <c r="L6298">
        <v>36.270809999999997</v>
      </c>
      <c r="M6298">
        <v>-6.4036159999999995E-2</v>
      </c>
      <c r="N6298">
        <v>-5.0899200000000004E-3</v>
      </c>
      <c r="O6298">
        <v>0.9979346</v>
      </c>
      <c r="P6298">
        <v>-3.585787E-2</v>
      </c>
      <c r="Q6298">
        <v>1.4891150000000001E-2</v>
      </c>
      <c r="R6298">
        <v>0.99924590000000002</v>
      </c>
      <c r="S6298">
        <v>0.37432860000000001</v>
      </c>
      <c r="T6298">
        <v>0.22721269999999999</v>
      </c>
      <c r="U6298">
        <v>3.0132140000000001</v>
      </c>
      <c r="V6298">
        <v>2.8059359999999998E-2</v>
      </c>
      <c r="W6298">
        <v>2.0181540000000001E-2</v>
      </c>
      <c r="X6298">
        <v>0.99940249999999997</v>
      </c>
      <c r="Y6298">
        <v>0.186221</v>
      </c>
      <c r="Z6298">
        <v>7.9114089999999998E-2</v>
      </c>
      <c r="AA6298">
        <v>0.97931749999999995</v>
      </c>
      <c r="AB6298">
        <v>55</v>
      </c>
      <c r="AC6298">
        <v>18.5031</v>
      </c>
      <c r="AD6298">
        <v>11.210061</v>
      </c>
      <c r="AE6298">
        <v>148.10869</v>
      </c>
      <c r="AF6298">
        <v>27.792788122367</v>
      </c>
      <c r="AG6298">
        <v>11.210061</v>
      </c>
      <c r="AH6298">
        <v>145.79742583254699</v>
      </c>
      <c r="AI6298">
        <v>85.680771223560299</v>
      </c>
      <c r="AJ6298">
        <v>79.207416378572603</v>
      </c>
      <c r="AK6298">
        <v>148.845537113598</v>
      </c>
      <c r="AL6298">
        <v>88.843604413926499</v>
      </c>
      <c r="AM6298">
        <v>88.3917784131541</v>
      </c>
      <c r="AN6298">
        <v>0.99999998962331504</v>
      </c>
    </row>
    <row r="6299" spans="1:40" x14ac:dyDescent="0.25">
      <c r="A6299" t="str">
        <f>"20190305135950199"</f>
        <v>20190305135950199</v>
      </c>
      <c r="B6299" t="str">
        <f>"1551765590195022"</f>
        <v>1551765590195022</v>
      </c>
      <c r="C6299" t="s">
        <v>40</v>
      </c>
      <c r="D6299">
        <v>4.06501</v>
      </c>
      <c r="E6299">
        <v>0.54853490000000005</v>
      </c>
      <c r="F6299" t="s">
        <v>70</v>
      </c>
      <c r="G6299">
        <v>-168.7311</v>
      </c>
      <c r="H6299">
        <v>11.26604</v>
      </c>
      <c r="I6299">
        <v>184.37970000000001</v>
      </c>
      <c r="J6299">
        <v>-187.50030000000001</v>
      </c>
      <c r="K6299">
        <v>1.110609</v>
      </c>
      <c r="L6299">
        <v>36.839260000000003</v>
      </c>
      <c r="M6299">
        <v>-6.6139890000000007E-2</v>
      </c>
      <c r="N6299">
        <v>-5.1316549999999997E-3</v>
      </c>
      <c r="O6299">
        <v>0.99779720000000005</v>
      </c>
      <c r="P6299">
        <v>-3.3873809999999997E-2</v>
      </c>
      <c r="Q6299">
        <v>1.078841E-2</v>
      </c>
      <c r="R6299">
        <v>0.99936789999999998</v>
      </c>
      <c r="S6299">
        <v>0.3810577</v>
      </c>
      <c r="T6299">
        <v>0.20658299999999999</v>
      </c>
      <c r="U6299">
        <v>3.012848</v>
      </c>
      <c r="V6299">
        <v>3.2182910000000002E-2</v>
      </c>
      <c r="W6299">
        <v>1.615103E-2</v>
      </c>
      <c r="X6299">
        <v>0.99935149999999995</v>
      </c>
      <c r="Y6299">
        <v>0.1905202</v>
      </c>
      <c r="Z6299">
        <v>7.2428419999999993E-2</v>
      </c>
      <c r="AA6299">
        <v>0.97900770000000004</v>
      </c>
      <c r="AB6299">
        <v>55</v>
      </c>
      <c r="AC6299">
        <v>18.769200000000001</v>
      </c>
      <c r="AD6299">
        <v>10.155431</v>
      </c>
      <c r="AE6299">
        <v>147.54043999999999</v>
      </c>
      <c r="AF6299">
        <v>28.354340614493101</v>
      </c>
      <c r="AG6299">
        <v>10.155431</v>
      </c>
      <c r="AH6299">
        <v>145.29853307869001</v>
      </c>
      <c r="AI6299">
        <v>86.0756826048612</v>
      </c>
      <c r="AJ6299">
        <v>78.957765486523201</v>
      </c>
      <c r="AK6299">
        <v>148.38721348316301</v>
      </c>
      <c r="AL6299">
        <v>89.074573916860004</v>
      </c>
      <c r="AM6299">
        <v>88.155495969474799</v>
      </c>
      <c r="AN6299">
        <v>1.00000000800918</v>
      </c>
    </row>
    <row r="6300" spans="1:40" x14ac:dyDescent="0.25">
      <c r="A6300" t="str">
        <f>"20190305135950220"</f>
        <v>20190305135950220</v>
      </c>
      <c r="B6300" t="str">
        <f>"1551765590215125"</f>
        <v>1551765590215125</v>
      </c>
      <c r="C6300" t="s">
        <v>40</v>
      </c>
      <c r="D6300">
        <v>4.033722</v>
      </c>
      <c r="E6300">
        <v>0.54747630000000003</v>
      </c>
      <c r="F6300" t="s">
        <v>73</v>
      </c>
      <c r="G6300">
        <v>-168.0488</v>
      </c>
      <c r="H6300">
        <v>12.649789999999999</v>
      </c>
      <c r="I6300">
        <v>245.0324</v>
      </c>
      <c r="J6300">
        <v>-187.5361</v>
      </c>
      <c r="K6300">
        <v>1.110608</v>
      </c>
      <c r="L6300">
        <v>37.374600000000001</v>
      </c>
      <c r="M6300">
        <v>-6.8119029999999997E-2</v>
      </c>
      <c r="N6300">
        <v>-5.1727910000000004E-3</v>
      </c>
      <c r="O6300">
        <v>0.99766379999999999</v>
      </c>
      <c r="P6300">
        <v>-3.1713869999999998E-2</v>
      </c>
      <c r="Q6300">
        <v>9.5725949999999997E-3</v>
      </c>
      <c r="R6300">
        <v>0.99945119999999998</v>
      </c>
      <c r="S6300">
        <v>0.28118900000000002</v>
      </c>
      <c r="T6300">
        <v>0.16680970000000001</v>
      </c>
      <c r="U6300">
        <v>3.0096129999999999</v>
      </c>
      <c r="V6300">
        <v>3.6333879999999999E-2</v>
      </c>
      <c r="W6300">
        <v>1.5006759999999999E-2</v>
      </c>
      <c r="X6300">
        <v>0.99922699999999998</v>
      </c>
      <c r="Y6300">
        <v>0.1604865</v>
      </c>
      <c r="Z6300">
        <v>5.9850819999999999E-2</v>
      </c>
      <c r="AA6300">
        <v>0.98522180000000004</v>
      </c>
      <c r="AB6300">
        <v>56</v>
      </c>
      <c r="AC6300">
        <v>19.487300000000001</v>
      </c>
      <c r="AD6300">
        <v>11.539182</v>
      </c>
      <c r="AE6300">
        <v>207.65780000000001</v>
      </c>
      <c r="AF6300">
        <v>33.485176793595599</v>
      </c>
      <c r="AG6300">
        <v>11.539182</v>
      </c>
      <c r="AH6300">
        <v>205.21981379837899</v>
      </c>
      <c r="AI6300">
        <v>86.823656101489206</v>
      </c>
      <c r="AJ6300">
        <v>80.732864079601498</v>
      </c>
      <c r="AK6300">
        <v>208.253647654894</v>
      </c>
      <c r="AL6300">
        <v>89.140143691116705</v>
      </c>
      <c r="AM6300">
        <v>87.917529050329307</v>
      </c>
      <c r="AN6300">
        <v>0.99999997560527498</v>
      </c>
    </row>
    <row r="6301" spans="1:40" x14ac:dyDescent="0.25">
      <c r="A6301" t="str">
        <f>"20190305135950242"</f>
        <v>20190305135950242</v>
      </c>
      <c r="B6301" t="str">
        <f>"1551765590235621"</f>
        <v>1551765590235621</v>
      </c>
      <c r="C6301" t="s">
        <v>40</v>
      </c>
      <c r="D6301">
        <v>4.106166</v>
      </c>
      <c r="E6301">
        <v>0.5473557</v>
      </c>
      <c r="F6301" t="s">
        <v>73</v>
      </c>
      <c r="G6301">
        <v>-169.1439</v>
      </c>
      <c r="H6301">
        <v>13.31255</v>
      </c>
      <c r="I6301">
        <v>236.15440000000001</v>
      </c>
      <c r="J6301">
        <v>-187.57380000000001</v>
      </c>
      <c r="K6301">
        <v>1.1106069999999999</v>
      </c>
      <c r="L6301">
        <v>37.922969999999999</v>
      </c>
      <c r="M6301">
        <v>-7.0144680000000001E-2</v>
      </c>
      <c r="N6301">
        <v>-5.2165079999999999E-3</v>
      </c>
      <c r="O6301">
        <v>0.99752320000000005</v>
      </c>
      <c r="P6301">
        <v>-2.7352310000000001E-2</v>
      </c>
      <c r="Q6301">
        <v>9.1627700000000006E-3</v>
      </c>
      <c r="R6301">
        <v>0.99958380000000002</v>
      </c>
      <c r="S6301">
        <v>0.2783813</v>
      </c>
      <c r="T6301">
        <v>0.1846874</v>
      </c>
      <c r="U6301">
        <v>3.0086979999999999</v>
      </c>
      <c r="V6301">
        <v>4.2725029999999997E-2</v>
      </c>
      <c r="W6301">
        <v>1.468731E-2</v>
      </c>
      <c r="X6301">
        <v>0.9989789</v>
      </c>
      <c r="Y6301">
        <v>0.16157530000000001</v>
      </c>
      <c r="Z6301">
        <v>6.5733979999999997E-2</v>
      </c>
      <c r="AA6301">
        <v>0.98466869999999995</v>
      </c>
      <c r="AB6301">
        <v>56</v>
      </c>
      <c r="AC6301">
        <v>18.4299</v>
      </c>
      <c r="AD6301">
        <v>12.201943</v>
      </c>
      <c r="AE6301">
        <v>198.23142999999999</v>
      </c>
      <c r="AF6301">
        <v>32.168732461797603</v>
      </c>
      <c r="AG6301">
        <v>12.201943</v>
      </c>
      <c r="AH6301">
        <v>195.71517153824101</v>
      </c>
      <c r="AI6301">
        <v>86.479603671613404</v>
      </c>
      <c r="AJ6301">
        <v>80.666034698350899</v>
      </c>
      <c r="AK6301">
        <v>198.716237714529</v>
      </c>
      <c r="AL6301">
        <v>89.158448861503999</v>
      </c>
      <c r="AM6301">
        <v>87.551026392534496</v>
      </c>
      <c r="AN6301">
        <v>0.999999993954373</v>
      </c>
    </row>
    <row r="6302" spans="1:40" x14ac:dyDescent="0.25">
      <c r="A6302" t="str">
        <f>"20190305135950276"</f>
        <v>20190305135950276</v>
      </c>
      <c r="B6302" t="str">
        <f>"1551765590264900"</f>
        <v>1551765590264900</v>
      </c>
      <c r="C6302" t="s">
        <v>40</v>
      </c>
      <c r="D6302">
        <v>3.983692</v>
      </c>
      <c r="E6302">
        <v>0.5164282</v>
      </c>
      <c r="F6302" t="s">
        <v>73</v>
      </c>
      <c r="G6302">
        <v>-169.1439</v>
      </c>
      <c r="H6302">
        <v>13.277369999999999</v>
      </c>
      <c r="I6302">
        <v>228.90469999999999</v>
      </c>
      <c r="J6302">
        <v>-187.63470000000001</v>
      </c>
      <c r="K6302">
        <v>1.110614</v>
      </c>
      <c r="L6302">
        <v>38.776670000000003</v>
      </c>
      <c r="M6302">
        <v>-7.3295879999999994E-2</v>
      </c>
      <c r="N6302">
        <v>-5.2846760000000003E-3</v>
      </c>
      <c r="O6302">
        <v>0.99729619999999997</v>
      </c>
      <c r="P6302">
        <v>-2.3738559999999999E-2</v>
      </c>
      <c r="Q6302">
        <v>9.7994989999999997E-3</v>
      </c>
      <c r="R6302">
        <v>0.99967010000000001</v>
      </c>
      <c r="S6302">
        <v>0.29022219999999999</v>
      </c>
      <c r="T6302">
        <v>0.1915945</v>
      </c>
      <c r="U6302">
        <v>3.0074459999999998</v>
      </c>
      <c r="V6302">
        <v>4.9485460000000002E-2</v>
      </c>
      <c r="W6302">
        <v>1.5442539999999999E-2</v>
      </c>
      <c r="X6302">
        <v>0.99865539999999997</v>
      </c>
      <c r="Y6302">
        <v>0.1685564</v>
      </c>
      <c r="Z6302">
        <v>6.8012749999999997E-2</v>
      </c>
      <c r="AA6302">
        <v>0.98334279999999996</v>
      </c>
      <c r="AB6302">
        <v>56</v>
      </c>
      <c r="AC6302">
        <v>18.4908</v>
      </c>
      <c r="AD6302">
        <v>12.166755999999999</v>
      </c>
      <c r="AE6302">
        <v>190.12803</v>
      </c>
      <c r="AF6302">
        <v>32.246047853302997</v>
      </c>
      <c r="AG6302">
        <v>12.166755999999999</v>
      </c>
      <c r="AH6302">
        <v>187.500671461661</v>
      </c>
      <c r="AI6302">
        <v>86.340899859256595</v>
      </c>
      <c r="AJ6302">
        <v>80.241825995358596</v>
      </c>
      <c r="AK6302">
        <v>190.64191394416599</v>
      </c>
      <c r="AL6302">
        <v>89.115172414548994</v>
      </c>
      <c r="AM6302">
        <v>87.163194827627194</v>
      </c>
      <c r="AN6302">
        <v>0.99999994537111003</v>
      </c>
    </row>
    <row r="6303" spans="1:40" x14ac:dyDescent="0.25">
      <c r="A6303" t="str">
        <f>"20190305135950300"</f>
        <v>20190305135950300</v>
      </c>
      <c r="B6303" t="str">
        <f>"1551765590295157"</f>
        <v>1551765590295157</v>
      </c>
      <c r="C6303" t="s">
        <v>40</v>
      </c>
      <c r="D6303">
        <v>3.842285</v>
      </c>
      <c r="E6303">
        <v>0.51202760000000003</v>
      </c>
      <c r="F6303" t="s">
        <v>53</v>
      </c>
      <c r="G6303">
        <v>-180.5497</v>
      </c>
      <c r="H6303">
        <v>3.0549279999999999</v>
      </c>
      <c r="I6303">
        <v>391.87</v>
      </c>
      <c r="J6303">
        <v>-187.67599999999999</v>
      </c>
      <c r="K6303">
        <v>1.1106020000000001</v>
      </c>
      <c r="L6303">
        <v>39.335509999999999</v>
      </c>
      <c r="M6303">
        <v>-7.5357049999999995E-2</v>
      </c>
      <c r="N6303">
        <v>-5.3301669999999898E-3</v>
      </c>
      <c r="O6303">
        <v>0.99714239999999998</v>
      </c>
      <c r="P6303">
        <v>-2.2060389999999999E-2</v>
      </c>
      <c r="Q6303">
        <v>7.0193E-3</v>
      </c>
      <c r="R6303">
        <v>0.99973199999999995</v>
      </c>
      <c r="S6303">
        <v>6.0241699999999898E-2</v>
      </c>
      <c r="T6303">
        <v>1.6531939999999998E-2</v>
      </c>
      <c r="U6303">
        <v>3.0022579999999999</v>
      </c>
      <c r="V6303">
        <v>5.3247370000000002E-2</v>
      </c>
      <c r="W6303">
        <v>1.273676E-2</v>
      </c>
      <c r="X6303">
        <v>0.9985001</v>
      </c>
      <c r="Y6303">
        <v>9.5346219999999995E-2</v>
      </c>
      <c r="Z6303">
        <v>1.080388E-2</v>
      </c>
      <c r="AA6303">
        <v>0.99538550000000003</v>
      </c>
      <c r="AB6303">
        <v>56</v>
      </c>
      <c r="AC6303">
        <v>7.1262999999999801</v>
      </c>
      <c r="AD6303">
        <v>1.944326</v>
      </c>
      <c r="AE6303">
        <v>352.53449000000001</v>
      </c>
      <c r="AF6303">
        <v>33.671348562676897</v>
      </c>
      <c r="AG6303">
        <v>1.944326</v>
      </c>
      <c r="AH6303">
        <v>350.98437374740399</v>
      </c>
      <c r="AI6303">
        <v>89.684055941172701</v>
      </c>
      <c r="AJ6303">
        <v>84.520154360044302</v>
      </c>
      <c r="AK6303">
        <v>352.601149647135</v>
      </c>
      <c r="AL6303">
        <v>89.270217659295398</v>
      </c>
      <c r="AM6303">
        <v>86.947459006991394</v>
      </c>
      <c r="AN6303">
        <v>0.999999978583612</v>
      </c>
    </row>
    <row r="6304" spans="1:40" x14ac:dyDescent="0.25">
      <c r="A6304" t="str">
        <f>"20190305135950320"</f>
        <v>20190305135950320</v>
      </c>
      <c r="B6304" t="str">
        <f>"1551765590315559"</f>
        <v>1551765590315559</v>
      </c>
      <c r="C6304" t="s">
        <v>40</v>
      </c>
      <c r="D6304">
        <v>3.9283649999999999</v>
      </c>
      <c r="E6304">
        <v>0.51309009999999999</v>
      </c>
      <c r="F6304" t="s">
        <v>42</v>
      </c>
      <c r="G6304">
        <v>-187.09800000000001</v>
      </c>
      <c r="H6304" s="1">
        <v>-1.716775E-6</v>
      </c>
      <c r="I6304">
        <v>92.423879999999997</v>
      </c>
      <c r="J6304">
        <v>-187.71539999999999</v>
      </c>
      <c r="K6304">
        <v>1.110595</v>
      </c>
      <c r="L6304">
        <v>39.85425</v>
      </c>
      <c r="M6304">
        <v>-7.7268939999999994E-2</v>
      </c>
      <c r="N6304">
        <v>-5.3756100000000003E-3</v>
      </c>
      <c r="O6304">
        <v>0.99699579999999999</v>
      </c>
      <c r="P6304">
        <v>-1.9840699999999999E-2</v>
      </c>
      <c r="Q6304">
        <v>2.6960650000000001E-3</v>
      </c>
      <c r="R6304">
        <v>0.99979949999999995</v>
      </c>
      <c r="S6304">
        <v>3.2684329999999998E-2</v>
      </c>
      <c r="T6304">
        <v>-6.2801239999999994E-2</v>
      </c>
      <c r="U6304">
        <v>3.0019840000000002</v>
      </c>
      <c r="V6304">
        <v>5.7411650000000002E-2</v>
      </c>
      <c r="W6304">
        <v>8.4902869999999991E-3</v>
      </c>
      <c r="X6304">
        <v>0.99831449999999999</v>
      </c>
      <c r="Y6304">
        <v>8.8112300000000005E-2</v>
      </c>
      <c r="Z6304">
        <v>-1.540324E-2</v>
      </c>
      <c r="AA6304">
        <v>0.99599150000000003</v>
      </c>
      <c r="AB6304">
        <v>56</v>
      </c>
      <c r="AC6304">
        <v>0.61740000000000295</v>
      </c>
      <c r="AD6304">
        <v>-1.1105967167749999</v>
      </c>
      <c r="AE6304">
        <v>52.569629999999997</v>
      </c>
      <c r="AF6304">
        <v>4.67552587524714</v>
      </c>
      <c r="AG6304">
        <v>-1.1105967167749999</v>
      </c>
      <c r="AH6304">
        <v>52.341393170570697</v>
      </c>
      <c r="AI6304">
        <v>91.210718737027406</v>
      </c>
      <c r="AJ6304">
        <v>84.895459462983894</v>
      </c>
      <c r="AK6304">
        <v>52.561539230826199</v>
      </c>
      <c r="AL6304">
        <v>89.513536549176195</v>
      </c>
      <c r="AM6304">
        <v>86.708626295669205</v>
      </c>
      <c r="AN6304">
        <v>1.0000000117196499</v>
      </c>
    </row>
    <row r="6305" spans="1:40" x14ac:dyDescent="0.25">
      <c r="A6305" t="str">
        <f>"20190305135950342"</f>
        <v>20190305135950342</v>
      </c>
      <c r="B6305" t="str">
        <f>"1551765590335079"</f>
        <v>1551765590335079</v>
      </c>
      <c r="C6305" t="s">
        <v>40</v>
      </c>
      <c r="D6305">
        <v>3.9261149999999998</v>
      </c>
      <c r="E6305">
        <v>0.51210040000000001</v>
      </c>
      <c r="F6305" t="s">
        <v>42</v>
      </c>
      <c r="G6305">
        <v>-187.0333</v>
      </c>
      <c r="H6305" s="1">
        <v>-1.7398930000000001E-6</v>
      </c>
      <c r="I6305">
        <v>82.441249999999997</v>
      </c>
      <c r="J6305">
        <v>-187.76140000000001</v>
      </c>
      <c r="K6305">
        <v>1.110598</v>
      </c>
      <c r="L6305">
        <v>40.442140000000002</v>
      </c>
      <c r="M6305">
        <v>-7.9434130000000006E-2</v>
      </c>
      <c r="N6305">
        <v>-5.432185E-3</v>
      </c>
      <c r="O6305">
        <v>0.99682530000000003</v>
      </c>
      <c r="P6305">
        <v>-1.8202360000000001E-2</v>
      </c>
      <c r="Q6305">
        <v>-1.025525E-3</v>
      </c>
      <c r="R6305">
        <v>0.99983379999999999</v>
      </c>
      <c r="S6305">
        <v>4.8080440000000002E-2</v>
      </c>
      <c r="T6305">
        <v>-7.8281039999999996E-2</v>
      </c>
      <c r="U6305">
        <v>3.00177</v>
      </c>
      <c r="V6305">
        <v>6.1242709999999999E-2</v>
      </c>
      <c r="W6305">
        <v>4.8540090000000003E-3</v>
      </c>
      <c r="X6305">
        <v>0.99811110000000003</v>
      </c>
      <c r="Y6305">
        <v>9.5378229999999994E-2</v>
      </c>
      <c r="Z6305">
        <v>-2.0450579999999999E-2</v>
      </c>
      <c r="AA6305">
        <v>0.99523099999999998</v>
      </c>
      <c r="AB6305">
        <v>56</v>
      </c>
      <c r="AC6305">
        <v>0.72810000000001196</v>
      </c>
      <c r="AD6305">
        <v>-1.1105997398930001</v>
      </c>
      <c r="AE6305">
        <v>41.999110000000002</v>
      </c>
      <c r="AF6305">
        <v>4.0591737207825496</v>
      </c>
      <c r="AG6305">
        <v>-1.1105997398930001</v>
      </c>
      <c r="AH6305">
        <v>41.779351356886998</v>
      </c>
      <c r="AI6305">
        <v>91.515573622044499</v>
      </c>
      <c r="AJ6305">
        <v>84.450707479319902</v>
      </c>
      <c r="AK6305">
        <v>41.990767114687898</v>
      </c>
      <c r="AL6305">
        <v>89.7218846782865</v>
      </c>
      <c r="AM6305">
        <v>86.488812577710505</v>
      </c>
      <c r="AN6305">
        <v>0.99999999943736295</v>
      </c>
    </row>
    <row r="6306" spans="1:40" x14ac:dyDescent="0.25">
      <c r="A6306" t="str">
        <f>"20190305135950366"</f>
        <v>20190305135950366</v>
      </c>
      <c r="B6306" t="str">
        <f>"1551765590355575"</f>
        <v>1551765590355575</v>
      </c>
      <c r="C6306" t="s">
        <v>40</v>
      </c>
      <c r="D6306">
        <v>4.045439</v>
      </c>
      <c r="E6306">
        <v>0.51199490000000003</v>
      </c>
      <c r="F6306" t="s">
        <v>42</v>
      </c>
      <c r="G6306">
        <v>-187.20150000000001</v>
      </c>
      <c r="H6306" s="1">
        <v>-3.9650860000000004E-6</v>
      </c>
      <c r="I6306">
        <v>77.718360000000004</v>
      </c>
      <c r="J6306">
        <v>-187.8082</v>
      </c>
      <c r="K6306">
        <v>1.1105989999999999</v>
      </c>
      <c r="L6306">
        <v>41.025239999999997</v>
      </c>
      <c r="M6306">
        <v>-8.1580169999999994E-2</v>
      </c>
      <c r="N6306">
        <v>-5.514382E-3</v>
      </c>
      <c r="O6306">
        <v>0.99665150000000002</v>
      </c>
      <c r="P6306">
        <v>-1.7121310000000001E-2</v>
      </c>
      <c r="Q6306">
        <v>-6.845421E-3</v>
      </c>
      <c r="R6306">
        <v>0.99983</v>
      </c>
      <c r="S6306">
        <v>4.5074459999999997E-2</v>
      </c>
      <c r="T6306">
        <v>-8.9417930000000007E-2</v>
      </c>
      <c r="U6306">
        <v>3.0012210000000001</v>
      </c>
      <c r="V6306">
        <v>6.4511559999999996E-2</v>
      </c>
      <c r="W6306">
        <v>-8.5795439999999999E-4</v>
      </c>
      <c r="X6306">
        <v>0.99791660000000004</v>
      </c>
      <c r="Y6306">
        <v>9.6525319999999998E-2</v>
      </c>
      <c r="Z6306">
        <v>-2.4044759999999998E-2</v>
      </c>
      <c r="AA6306">
        <v>0.99504009999999998</v>
      </c>
      <c r="AB6306">
        <v>56</v>
      </c>
      <c r="AC6306">
        <v>0.60669999999998903</v>
      </c>
      <c r="AD6306">
        <v>-1.1106029650860001</v>
      </c>
      <c r="AE6306">
        <v>36.69312</v>
      </c>
      <c r="AF6306">
        <v>3.59486184444276</v>
      </c>
      <c r="AG6306">
        <v>-1.1106029650860001</v>
      </c>
      <c r="AH6306">
        <v>36.4878968357256</v>
      </c>
      <c r="AI6306">
        <v>91.735011106992999</v>
      </c>
      <c r="AJ6306">
        <v>84.373261810152897</v>
      </c>
      <c r="AK6306">
        <v>36.681372467796898</v>
      </c>
      <c r="AL6306">
        <v>90.049157171722499</v>
      </c>
      <c r="AM6306">
        <v>86.301189939736304</v>
      </c>
      <c r="AN6306">
        <v>1.0000000090074701</v>
      </c>
    </row>
    <row r="6307" spans="1:40" x14ac:dyDescent="0.25">
      <c r="A6307" t="str">
        <f>"20190305135950388"</f>
        <v>20190305135950388</v>
      </c>
      <c r="B6307" t="str">
        <f>"1551765590385831"</f>
        <v>1551765590385831</v>
      </c>
      <c r="C6307" t="s">
        <v>40</v>
      </c>
      <c r="D6307">
        <v>3.9073449999999998</v>
      </c>
      <c r="E6307">
        <v>0.51125350000000003</v>
      </c>
      <c r="F6307" t="s">
        <v>42</v>
      </c>
      <c r="G6307">
        <v>-187.30260000000001</v>
      </c>
      <c r="H6307" s="1">
        <v>-1.833112E-6</v>
      </c>
      <c r="I6307">
        <v>72.790440000000004</v>
      </c>
      <c r="J6307">
        <v>-187.85550000000001</v>
      </c>
      <c r="K6307">
        <v>1.1106450000000001</v>
      </c>
      <c r="L6307">
        <v>41.60031</v>
      </c>
      <c r="M6307">
        <v>-8.3699369999999995E-2</v>
      </c>
      <c r="N6307">
        <v>-5.6770680000000004E-3</v>
      </c>
      <c r="O6307">
        <v>0.99647490000000005</v>
      </c>
      <c r="P6307">
        <v>-1.749241E-2</v>
      </c>
      <c r="Q6307">
        <v>-1.604746E-2</v>
      </c>
      <c r="R6307">
        <v>0.9997182</v>
      </c>
      <c r="S6307">
        <v>4.7760009999999999E-2</v>
      </c>
      <c r="T6307">
        <v>-0.1049098</v>
      </c>
      <c r="U6307">
        <v>3.00061</v>
      </c>
      <c r="V6307">
        <v>6.6322899999999907E-2</v>
      </c>
      <c r="W6307">
        <v>-9.8809520000000001E-3</v>
      </c>
      <c r="X6307">
        <v>0.99774929999999995</v>
      </c>
      <c r="Y6307">
        <v>9.9530690000000005E-2</v>
      </c>
      <c r="Z6307">
        <v>-2.899065E-2</v>
      </c>
      <c r="AA6307">
        <v>0.9946121</v>
      </c>
      <c r="AB6307">
        <v>57</v>
      </c>
      <c r="AC6307">
        <v>0.55289999999999395</v>
      </c>
      <c r="AD6307">
        <v>-1.1106468331119901</v>
      </c>
      <c r="AE6307">
        <v>31.19013</v>
      </c>
      <c r="AF6307">
        <v>3.1575935327961702</v>
      </c>
      <c r="AG6307">
        <v>-1.1106468331119901</v>
      </c>
      <c r="AH6307">
        <v>30.995114471437901</v>
      </c>
      <c r="AI6307">
        <v>92.041641565518205</v>
      </c>
      <c r="AJ6307">
        <v>84.183122554540702</v>
      </c>
      <c r="AK6307">
        <v>31.1753276551153</v>
      </c>
      <c r="AL6307">
        <v>90.566146052529703</v>
      </c>
      <c r="AM6307">
        <v>86.197000461431401</v>
      </c>
      <c r="AN6307">
        <v>1.0000000129636599</v>
      </c>
    </row>
    <row r="6308" spans="1:40" x14ac:dyDescent="0.25">
      <c r="A6308" t="str">
        <f>"20190305135950412"</f>
        <v>20190305135950412</v>
      </c>
      <c r="B6308" t="str">
        <f>"1551765590405351"</f>
        <v>1551765590405351</v>
      </c>
      <c r="C6308" t="s">
        <v>40</v>
      </c>
      <c r="D6308">
        <v>3.9061710000000001</v>
      </c>
      <c r="E6308">
        <v>0.51084580000000002</v>
      </c>
      <c r="F6308" t="s">
        <v>42</v>
      </c>
      <c r="G6308">
        <v>-187.49860000000001</v>
      </c>
      <c r="H6308" s="1">
        <v>-3.8902359999999998E-6</v>
      </c>
      <c r="I6308">
        <v>67.666690000000003</v>
      </c>
      <c r="J6308">
        <v>-187.9034</v>
      </c>
      <c r="K6308">
        <v>1.110771</v>
      </c>
      <c r="L6308">
        <v>42.166499999999999</v>
      </c>
      <c r="M6308">
        <v>-8.5782499999999998E-2</v>
      </c>
      <c r="N6308">
        <v>-5.9897010000000001E-3</v>
      </c>
      <c r="O6308">
        <v>0.99629590000000001</v>
      </c>
      <c r="P6308">
        <v>-1.9181199999999999E-2</v>
      </c>
      <c r="Q6308">
        <v>-1.570686E-2</v>
      </c>
      <c r="R6308">
        <v>0.99969260000000004</v>
      </c>
      <c r="S6308">
        <v>4.1076660000000001E-2</v>
      </c>
      <c r="T6308">
        <v>-0.12780459999999999</v>
      </c>
      <c r="U6308">
        <v>2.9995120000000002</v>
      </c>
      <c r="V6308">
        <v>6.6719879999999995E-2</v>
      </c>
      <c r="W6308">
        <v>-9.2192660000000003E-3</v>
      </c>
      <c r="X6308">
        <v>0.99772919999999998</v>
      </c>
      <c r="Y6308">
        <v>9.9394990000000003E-2</v>
      </c>
      <c r="Z6308">
        <v>-3.6238569999999998E-2</v>
      </c>
      <c r="AA6308">
        <v>0.99438789999999999</v>
      </c>
      <c r="AB6308">
        <v>57</v>
      </c>
      <c r="AC6308">
        <v>0.404799999999994</v>
      </c>
      <c r="AD6308">
        <v>-1.110774890236</v>
      </c>
      <c r="AE6308">
        <v>25.50019</v>
      </c>
      <c r="AF6308">
        <v>2.5859117150586002</v>
      </c>
      <c r="AG6308">
        <v>-1.110774890236</v>
      </c>
      <c r="AH6308">
        <v>25.323427408944902</v>
      </c>
      <c r="AI6308">
        <v>92.498608330077403</v>
      </c>
      <c r="AJ6308">
        <v>84.1694291665777</v>
      </c>
      <c r="AK6308">
        <v>25.479339394712699</v>
      </c>
      <c r="AL6308">
        <v>90.528232490259597</v>
      </c>
      <c r="AM6308">
        <v>86.174227916541398</v>
      </c>
      <c r="AN6308">
        <v>1.0000000468927099</v>
      </c>
    </row>
    <row r="6309" spans="1:40" x14ac:dyDescent="0.25">
      <c r="A6309" t="str">
        <f>"20190305135950432"</f>
        <v>20190305135950432</v>
      </c>
      <c r="B6309" t="str">
        <f>"1551765590424872"</f>
        <v>1551765590424872</v>
      </c>
      <c r="C6309" t="s">
        <v>40</v>
      </c>
      <c r="D6309">
        <v>3.8986170000000002</v>
      </c>
      <c r="E6309">
        <v>0.51073029999999997</v>
      </c>
      <c r="F6309" t="s">
        <v>42</v>
      </c>
      <c r="G6309">
        <v>-187.60390000000001</v>
      </c>
      <c r="H6309" s="1">
        <v>-4.5698330000000001E-6</v>
      </c>
      <c r="I6309">
        <v>69.294420000000002</v>
      </c>
      <c r="J6309">
        <v>-187.9494</v>
      </c>
      <c r="K6309">
        <v>1.1109209999999901</v>
      </c>
      <c r="L6309">
        <v>42.697780000000002</v>
      </c>
      <c r="M6309">
        <v>-8.7683410000000003E-2</v>
      </c>
      <c r="N6309">
        <v>-6.4630219999999997E-3</v>
      </c>
      <c r="O6309">
        <v>0.9961274</v>
      </c>
      <c r="P6309">
        <v>-1.9774960000000001E-2</v>
      </c>
      <c r="Q6309">
        <v>-1.156431E-2</v>
      </c>
      <c r="R6309">
        <v>0.9997376</v>
      </c>
      <c r="S6309">
        <v>3.311157E-2</v>
      </c>
      <c r="T6309">
        <v>-0.1228225</v>
      </c>
      <c r="U6309">
        <v>2.9996339999999999</v>
      </c>
      <c r="V6309">
        <v>6.8000950000000004E-2</v>
      </c>
      <c r="W6309">
        <v>-4.5910559999999996E-3</v>
      </c>
      <c r="X6309">
        <v>0.99767470000000003</v>
      </c>
      <c r="Y6309">
        <v>9.8653500000000005E-2</v>
      </c>
      <c r="Z6309">
        <v>-3.41126E-2</v>
      </c>
      <c r="AA6309">
        <v>0.994537</v>
      </c>
      <c r="AB6309">
        <v>57</v>
      </c>
      <c r="AC6309">
        <v>0.34549999999998698</v>
      </c>
      <c r="AD6309">
        <v>-1.1109255698329901</v>
      </c>
      <c r="AE6309">
        <v>26.596640000000001</v>
      </c>
      <c r="AF6309">
        <v>2.6716416921969901</v>
      </c>
      <c r="AG6309">
        <v>-1.1109255698329901</v>
      </c>
      <c r="AH6309">
        <v>26.417817709164101</v>
      </c>
      <c r="AI6309">
        <v>92.395785225294404</v>
      </c>
      <c r="AJ6309">
        <v>84.225294143229604</v>
      </c>
      <c r="AK6309">
        <v>26.5757957071433</v>
      </c>
      <c r="AL6309">
        <v>90.263049054552596</v>
      </c>
      <c r="AM6309">
        <v>86.100782436482305</v>
      </c>
      <c r="AN6309">
        <v>1.0000000070080901</v>
      </c>
    </row>
    <row r="6310" spans="1:40" x14ac:dyDescent="0.25">
      <c r="A6310" t="str">
        <f>"20190305135950456"</f>
        <v>20190305135950456</v>
      </c>
      <c r="B6310" t="str">
        <f>"1551765590445367"</f>
        <v>1551765590445367</v>
      </c>
      <c r="C6310" t="s">
        <v>40</v>
      </c>
      <c r="D6310">
        <v>3.8938280000000001</v>
      </c>
      <c r="E6310">
        <v>0.5105923</v>
      </c>
      <c r="F6310" t="s">
        <v>42</v>
      </c>
      <c r="G6310">
        <v>-187.63499999999999</v>
      </c>
      <c r="H6310" s="1">
        <v>-2.263562E-6</v>
      </c>
      <c r="I6310">
        <v>73.931309999999996</v>
      </c>
      <c r="J6310">
        <v>-188.00149999999999</v>
      </c>
      <c r="K6310">
        <v>1.1110359999999999</v>
      </c>
      <c r="L6310">
        <v>43.285769999999999</v>
      </c>
      <c r="M6310">
        <v>-8.9605530000000003E-2</v>
      </c>
      <c r="N6310">
        <v>-7.1911939999999997E-3</v>
      </c>
      <c r="O6310">
        <v>0.99595140000000004</v>
      </c>
      <c r="P6310">
        <v>-2.052464E-2</v>
      </c>
      <c r="Q6310">
        <v>-1.0458530000000001E-2</v>
      </c>
      <c r="R6310">
        <v>0.99973460000000003</v>
      </c>
      <c r="S6310">
        <v>3.0197140000000001E-2</v>
      </c>
      <c r="T6310">
        <v>-0.10671029999999999</v>
      </c>
      <c r="U6310">
        <v>3.0001530000000001</v>
      </c>
      <c r="V6310">
        <v>6.9165019999999994E-2</v>
      </c>
      <c r="W6310">
        <v>-2.7573910000000001E-3</v>
      </c>
      <c r="X6310">
        <v>0.99760139999999997</v>
      </c>
      <c r="Y6310">
        <v>9.9608080000000002E-2</v>
      </c>
      <c r="Z6310">
        <v>-2.805125E-2</v>
      </c>
      <c r="AA6310">
        <v>0.9946313</v>
      </c>
      <c r="AB6310">
        <v>57</v>
      </c>
      <c r="AC6310">
        <v>0.36650000000000199</v>
      </c>
      <c r="AD6310">
        <v>-1.111038263562</v>
      </c>
      <c r="AE6310">
        <v>30.64554</v>
      </c>
      <c r="AF6310">
        <v>3.1070231505780401</v>
      </c>
      <c r="AG6310">
        <v>-1.111038263562</v>
      </c>
      <c r="AH6310">
        <v>30.449398967653998</v>
      </c>
      <c r="AI6310">
        <v>92.078897362453006</v>
      </c>
      <c r="AJ6310">
        <v>84.173766684361794</v>
      </c>
      <c r="AK6310">
        <v>30.6276655390628</v>
      </c>
      <c r="AL6310">
        <v>90.157987070407003</v>
      </c>
      <c r="AM6310">
        <v>86.033954663770103</v>
      </c>
      <c r="AN6310">
        <v>0.99999997823934295</v>
      </c>
    </row>
    <row r="6311" spans="1:40" x14ac:dyDescent="0.25">
      <c r="A6311" t="str">
        <f>"20190305135950479"</f>
        <v>20190305135950479</v>
      </c>
      <c r="B6311" t="str">
        <f>"1551765590475623"</f>
        <v>1551765590475623</v>
      </c>
      <c r="C6311" t="s">
        <v>40</v>
      </c>
      <c r="D6311">
        <v>3.8827660000000002</v>
      </c>
      <c r="E6311">
        <v>0.51059600000000005</v>
      </c>
      <c r="F6311" t="s">
        <v>42</v>
      </c>
      <c r="G6311">
        <v>-187.71</v>
      </c>
      <c r="H6311" s="1">
        <v>-3.213301E-6</v>
      </c>
      <c r="I6311">
        <v>76.176169999999999</v>
      </c>
      <c r="J6311">
        <v>-188.0538</v>
      </c>
      <c r="K6311">
        <v>1.1110199999999999</v>
      </c>
      <c r="L6311">
        <v>43.863770000000002</v>
      </c>
      <c r="M6311">
        <v>-9.1154879999999994E-2</v>
      </c>
      <c r="N6311">
        <v>-8.0403699999999998E-3</v>
      </c>
      <c r="O6311">
        <v>0.99580429999999998</v>
      </c>
      <c r="P6311">
        <v>-2.259769E-2</v>
      </c>
      <c r="Q6311">
        <v>-1.311477E-2</v>
      </c>
      <c r="R6311">
        <v>0.99965859999999995</v>
      </c>
      <c r="S6311">
        <v>2.6596069999999999E-2</v>
      </c>
      <c r="T6311">
        <v>-0.1013495</v>
      </c>
      <c r="U6311">
        <v>3.0002749999999998</v>
      </c>
      <c r="V6311">
        <v>6.8658070000000002E-2</v>
      </c>
      <c r="W6311">
        <v>-4.5983880000000001E-3</v>
      </c>
      <c r="X6311">
        <v>0.99762960000000001</v>
      </c>
      <c r="Y6311">
        <v>9.9961709999999995E-2</v>
      </c>
      <c r="Z6311">
        <v>-2.5424639999999998E-2</v>
      </c>
      <c r="AA6311">
        <v>0.99466639999999995</v>
      </c>
      <c r="AB6311">
        <v>57</v>
      </c>
      <c r="AC6311">
        <v>0.343799999999987</v>
      </c>
      <c r="AD6311">
        <v>-1.1110232133010001</v>
      </c>
      <c r="AE6311">
        <v>32.312399999999997</v>
      </c>
      <c r="AF6311">
        <v>3.2840145638234501</v>
      </c>
      <c r="AG6311">
        <v>-1.1110232133010001</v>
      </c>
      <c r="AH6311">
        <v>32.108569977415101</v>
      </c>
      <c r="AI6311">
        <v>91.971485577608703</v>
      </c>
      <c r="AJ6311">
        <v>84.1601835570101</v>
      </c>
      <c r="AK6311">
        <v>32.2951914413038</v>
      </c>
      <c r="AL6311">
        <v>90.263469167378105</v>
      </c>
      <c r="AM6311">
        <v>86.063043263529195</v>
      </c>
      <c r="AN6311">
        <v>0.99999994727223995</v>
      </c>
    </row>
    <row r="6312" spans="1:40" x14ac:dyDescent="0.25">
      <c r="A6312" t="str">
        <f>"20190305135950500"</f>
        <v>20190305135950500</v>
      </c>
      <c r="B6312" t="str">
        <f>"1551765590495143"</f>
        <v>1551765590495143</v>
      </c>
      <c r="C6312" t="s">
        <v>40</v>
      </c>
      <c r="D6312">
        <v>3.835852</v>
      </c>
      <c r="E6312">
        <v>0.51056250000000003</v>
      </c>
      <c r="F6312" t="s">
        <v>42</v>
      </c>
      <c r="G6312">
        <v>-187.83959999999999</v>
      </c>
      <c r="H6312" s="1">
        <v>-2.83419E-6</v>
      </c>
      <c r="I6312">
        <v>75.346019999999996</v>
      </c>
      <c r="J6312">
        <v>-188.10130000000001</v>
      </c>
      <c r="K6312">
        <v>1.110843</v>
      </c>
      <c r="L6312">
        <v>44.381770000000003</v>
      </c>
      <c r="M6312">
        <v>-9.2124600000000001E-2</v>
      </c>
      <c r="N6312">
        <v>-8.8099770000000001E-3</v>
      </c>
      <c r="O6312">
        <v>0.9957085</v>
      </c>
      <c r="P6312">
        <v>-2.7633609999999999E-2</v>
      </c>
      <c r="Q6312">
        <v>-1.7507640000000001E-2</v>
      </c>
      <c r="R6312">
        <v>0.99946480000000004</v>
      </c>
      <c r="S6312">
        <v>2.0416259999999999E-2</v>
      </c>
      <c r="T6312">
        <v>-0.105874499999999</v>
      </c>
      <c r="U6312">
        <v>3.000092</v>
      </c>
      <c r="V6312">
        <v>6.4618270000000005E-2</v>
      </c>
      <c r="W6312">
        <v>-8.2953839999999994E-3</v>
      </c>
      <c r="X6312">
        <v>0.99787559999999997</v>
      </c>
      <c r="Y6312">
        <v>9.8880449999999995E-2</v>
      </c>
      <c r="Z6312">
        <v>-2.6148069999999999E-2</v>
      </c>
      <c r="AA6312">
        <v>0.99475570000000002</v>
      </c>
      <c r="AB6312">
        <v>57</v>
      </c>
      <c r="AC6312">
        <v>0.26170000000001797</v>
      </c>
      <c r="AD6312">
        <v>-1.11084583419</v>
      </c>
      <c r="AE6312">
        <v>30.96425</v>
      </c>
      <c r="AF6312">
        <v>3.1092655093687398</v>
      </c>
      <c r="AG6312">
        <v>-1.11084583419</v>
      </c>
      <c r="AH6312">
        <v>30.768856527106198</v>
      </c>
      <c r="AI6312">
        <v>92.057179640055594</v>
      </c>
      <c r="AJ6312">
        <v>84.229714410598007</v>
      </c>
      <c r="AK6312">
        <v>30.945501166740399</v>
      </c>
      <c r="AL6312">
        <v>90.475295932629507</v>
      </c>
      <c r="AM6312">
        <v>86.294936881974905</v>
      </c>
      <c r="AN6312">
        <v>1.00000002364442</v>
      </c>
    </row>
    <row r="6313" spans="1:40" x14ac:dyDescent="0.25">
      <c r="A6313" t="str">
        <f>"20190305135950520"</f>
        <v>20190305135950520</v>
      </c>
      <c r="B6313" t="str">
        <f>"1551765590515639"</f>
        <v>1551765590515639</v>
      </c>
      <c r="C6313" t="s">
        <v>40</v>
      </c>
      <c r="D6313">
        <v>3.8177919999999999</v>
      </c>
      <c r="E6313">
        <v>0.51062189999999996</v>
      </c>
      <c r="F6313" t="s">
        <v>42</v>
      </c>
      <c r="G6313">
        <v>-188.05289999999999</v>
      </c>
      <c r="H6313" s="1">
        <v>-1.684402E-6</v>
      </c>
      <c r="I6313">
        <v>72.754059999999996</v>
      </c>
      <c r="J6313">
        <v>-188.15049999999999</v>
      </c>
      <c r="K6313">
        <v>1.1105670000000001</v>
      </c>
      <c r="L6313">
        <v>44.915309999999998</v>
      </c>
      <c r="M6313">
        <v>-9.2732869999999995E-2</v>
      </c>
      <c r="N6313">
        <v>-9.5499980000000005E-3</v>
      </c>
      <c r="O6313">
        <v>0.99564520000000001</v>
      </c>
      <c r="P6313">
        <v>-3.2757469999999997E-2</v>
      </c>
      <c r="Q6313">
        <v>-2.0477169999999999E-2</v>
      </c>
      <c r="R6313">
        <v>0.99925350000000002</v>
      </c>
      <c r="S6313">
        <v>5.111694E-3</v>
      </c>
      <c r="T6313">
        <v>-0.11744549999999999</v>
      </c>
      <c r="U6313">
        <v>2.999695</v>
      </c>
      <c r="V6313">
        <v>6.0112140000000001E-2</v>
      </c>
      <c r="W6313">
        <v>-1.060768E-2</v>
      </c>
      <c r="X6313">
        <v>0.99813529999999995</v>
      </c>
      <c r="Y6313">
        <v>9.4410820000000006E-2</v>
      </c>
      <c r="Z6313">
        <v>-2.9237050000000001E-2</v>
      </c>
      <c r="AA6313">
        <v>0.99510390000000004</v>
      </c>
      <c r="AB6313">
        <v>57</v>
      </c>
      <c r="AC6313">
        <v>9.7599999999999895E-2</v>
      </c>
      <c r="AD6313">
        <v>-1.110568684402</v>
      </c>
      <c r="AE6313">
        <v>27.838750000000001</v>
      </c>
      <c r="AF6313">
        <v>2.6746079462506702</v>
      </c>
      <c r="AG6313">
        <v>-1.110568684402</v>
      </c>
      <c r="AH6313">
        <v>27.6657034971538</v>
      </c>
      <c r="AI6313">
        <v>92.2881015574375</v>
      </c>
      <c r="AJ6313">
        <v>84.478037069260097</v>
      </c>
      <c r="AK6313">
        <v>27.816866115027199</v>
      </c>
      <c r="AL6313">
        <v>90.607786672028695</v>
      </c>
      <c r="AM6313">
        <v>86.553556443593095</v>
      </c>
      <c r="AN6313">
        <v>1.0000000346782201</v>
      </c>
    </row>
    <row r="6314" spans="1:40" x14ac:dyDescent="0.25">
      <c r="A6314" t="str">
        <f>"20190305135950544"</f>
        <v>20190305135950544</v>
      </c>
      <c r="B6314" t="str">
        <f>"1551765590535159"</f>
        <v>1551765590535159</v>
      </c>
      <c r="C6314" t="s">
        <v>40</v>
      </c>
      <c r="D6314">
        <v>3.758597</v>
      </c>
      <c r="E6314">
        <v>0.51032920000000004</v>
      </c>
      <c r="F6314" t="s">
        <v>42</v>
      </c>
      <c r="G6314">
        <v>-188.23330000000001</v>
      </c>
      <c r="H6314" s="1">
        <v>-1.0420839999999999E-6</v>
      </c>
      <c r="I6314">
        <v>71.328909999999993</v>
      </c>
      <c r="J6314">
        <v>-188.20689999999999</v>
      </c>
      <c r="K6314">
        <v>1.110125</v>
      </c>
      <c r="L6314">
        <v>45.525669999999998</v>
      </c>
      <c r="M6314">
        <v>-9.2843120000000001E-2</v>
      </c>
      <c r="N6314">
        <v>-1.0315619999999999E-2</v>
      </c>
      <c r="O6314">
        <v>0.99562729999999999</v>
      </c>
      <c r="P6314">
        <v>-3.7638949999999997E-2</v>
      </c>
      <c r="Q6314">
        <v>-2.330231E-2</v>
      </c>
      <c r="R6314">
        <v>0.99901969999999995</v>
      </c>
      <c r="S6314">
        <v>-9.399414E-3</v>
      </c>
      <c r="T6314">
        <v>-0.126109</v>
      </c>
      <c r="U6314">
        <v>2.9993590000000001</v>
      </c>
      <c r="V6314">
        <v>5.5336799999999998E-2</v>
      </c>
      <c r="W6314">
        <v>-1.2763119999999999E-2</v>
      </c>
      <c r="X6314">
        <v>0.99838610000000005</v>
      </c>
      <c r="Y6314">
        <v>8.9704480000000003E-2</v>
      </c>
      <c r="Z6314">
        <v>-3.1344080000000003E-2</v>
      </c>
      <c r="AA6314">
        <v>0.99547509999999995</v>
      </c>
      <c r="AB6314">
        <v>57</v>
      </c>
      <c r="AC6314">
        <v>-2.64000000000237E-2</v>
      </c>
      <c r="AD6314">
        <v>-1.110126042084</v>
      </c>
      <c r="AE6314">
        <v>25.803239999999899</v>
      </c>
      <c r="AF6314">
        <v>2.3651171252401801</v>
      </c>
      <c r="AG6314">
        <v>-1.110126042084</v>
      </c>
      <c r="AH6314">
        <v>25.646757673604</v>
      </c>
      <c r="AI6314">
        <v>92.468055038967705</v>
      </c>
      <c r="AJ6314">
        <v>84.731145548629897</v>
      </c>
      <c r="AK6314">
        <v>25.779494525959699</v>
      </c>
      <c r="AL6314">
        <v>90.731292814568704</v>
      </c>
      <c r="AM6314">
        <v>86.827555660971896</v>
      </c>
      <c r="AN6314">
        <v>0.99999993166978896</v>
      </c>
    </row>
    <row r="6315" spans="1:40" x14ac:dyDescent="0.25">
      <c r="A6315" t="str">
        <f>"20190305135950566"</f>
        <v>20190305135950566</v>
      </c>
      <c r="B6315" t="str">
        <f>"1551765590555655"</f>
        <v>1551765590555655</v>
      </c>
      <c r="C6315" t="s">
        <v>40</v>
      </c>
      <c r="D6315">
        <v>3.7436189999999998</v>
      </c>
      <c r="E6315">
        <v>0.50969310000000001</v>
      </c>
      <c r="F6315" t="s">
        <v>42</v>
      </c>
      <c r="G6315">
        <v>-188.43090000000001</v>
      </c>
      <c r="H6315" s="1">
        <v>-8.5351959999999895E-7</v>
      </c>
      <c r="I6315">
        <v>70.929360000000003</v>
      </c>
      <c r="J6315">
        <v>-188.25749999999999</v>
      </c>
      <c r="K6315">
        <v>1.1096189999999999</v>
      </c>
      <c r="L6315">
        <v>46.07452</v>
      </c>
      <c r="M6315">
        <v>-9.2363410000000007E-2</v>
      </c>
      <c r="N6315">
        <v>-1.0938750000000001E-2</v>
      </c>
      <c r="O6315">
        <v>0.99566529999999998</v>
      </c>
      <c r="P6315">
        <v>-4.112772E-2</v>
      </c>
      <c r="Q6315">
        <v>-2.628666E-2</v>
      </c>
      <c r="R6315">
        <v>0.99880800000000003</v>
      </c>
      <c r="S6315">
        <v>-2.6443479999999998E-2</v>
      </c>
      <c r="T6315">
        <v>-0.1310501</v>
      </c>
      <c r="U6315">
        <v>2.998901</v>
      </c>
      <c r="V6315">
        <v>5.1352979999999999E-2</v>
      </c>
      <c r="W6315">
        <v>-1.521E-2</v>
      </c>
      <c r="X6315">
        <v>0.99856469999999997</v>
      </c>
      <c r="Y6315">
        <v>8.3565159999999999E-2</v>
      </c>
      <c r="Z6315">
        <v>-3.2374229999999997E-2</v>
      </c>
      <c r="AA6315">
        <v>0.99597630000000004</v>
      </c>
      <c r="AB6315">
        <v>57</v>
      </c>
      <c r="AC6315">
        <v>-0.17340000000001499</v>
      </c>
      <c r="AD6315">
        <v>-1.1096198535196</v>
      </c>
      <c r="AE6315">
        <v>24.854839999999999</v>
      </c>
      <c r="AF6315">
        <v>2.1189333791347198</v>
      </c>
      <c r="AG6315">
        <v>-1.1096198535196</v>
      </c>
      <c r="AH6315">
        <v>24.715341187531699</v>
      </c>
      <c r="AI6315">
        <v>92.561241787920807</v>
      </c>
      <c r="AJ6315">
        <v>85.099813125374098</v>
      </c>
      <c r="AK6315">
        <v>24.8308120064696</v>
      </c>
      <c r="AL6315">
        <v>90.871502440730794</v>
      </c>
      <c r="AM6315">
        <v>87.0560552847747</v>
      </c>
      <c r="AN6315">
        <v>0.99999996637048405</v>
      </c>
    </row>
    <row r="6316" spans="1:40" x14ac:dyDescent="0.25">
      <c r="A6316" t="str">
        <f>"20190305135950589"</f>
        <v>20190305135950589</v>
      </c>
      <c r="B6316" t="str">
        <f>"1551765590584937"</f>
        <v>1551765590584937</v>
      </c>
      <c r="C6316" t="s">
        <v>40</v>
      </c>
      <c r="D6316">
        <v>3.7683659999999999</v>
      </c>
      <c r="E6316">
        <v>0.50357439999999998</v>
      </c>
      <c r="F6316" t="s">
        <v>42</v>
      </c>
      <c r="G6316">
        <v>-188.61199999999999</v>
      </c>
      <c r="H6316" s="1">
        <v>-8.600774E-7</v>
      </c>
      <c r="I6316">
        <v>71.063719999999904</v>
      </c>
      <c r="J6316">
        <v>-188.3109</v>
      </c>
      <c r="K6316">
        <v>1.108976</v>
      </c>
      <c r="L6316">
        <v>46.662230000000001</v>
      </c>
      <c r="M6316">
        <v>-9.1179979999999994E-2</v>
      </c>
      <c r="N6316">
        <v>-1.1542210000000001E-2</v>
      </c>
      <c r="O6316">
        <v>0.99576750000000003</v>
      </c>
      <c r="P6316">
        <v>-4.28399E-2</v>
      </c>
      <c r="Q6316">
        <v>-2.8719640000000001E-2</v>
      </c>
      <c r="R6316">
        <v>0.99866909999999998</v>
      </c>
      <c r="S6316">
        <v>-4.2541500000000003E-2</v>
      </c>
      <c r="T6316">
        <v>-0.13313729999999999</v>
      </c>
      <c r="U6316">
        <v>2.9983219999999999</v>
      </c>
      <c r="V6316">
        <v>4.8426629999999998E-2</v>
      </c>
      <c r="W6316">
        <v>-1.7127920000000001E-2</v>
      </c>
      <c r="X6316">
        <v>0.99867989999999995</v>
      </c>
      <c r="Y6316">
        <v>7.7031459999999996E-2</v>
      </c>
      <c r="Z6316">
        <v>-3.2488759999999998E-2</v>
      </c>
      <c r="AA6316">
        <v>0.99649920000000003</v>
      </c>
      <c r="AB6316">
        <v>56</v>
      </c>
      <c r="AC6316">
        <v>-0.30109999999999099</v>
      </c>
      <c r="AD6316">
        <v>-1.1089768600773999</v>
      </c>
      <c r="AE6316">
        <v>24.4014899999999</v>
      </c>
      <c r="AF6316">
        <v>1.9212624486882299</v>
      </c>
      <c r="AG6316">
        <v>-1.1089768600773999</v>
      </c>
      <c r="AH6316">
        <v>24.277151089205699</v>
      </c>
      <c r="AI6316">
        <v>92.607304374929797</v>
      </c>
      <c r="AJ6316">
        <v>85.475116478837407</v>
      </c>
      <c r="AK6316">
        <v>24.3782924767312</v>
      </c>
      <c r="AL6316">
        <v>90.981405493969504</v>
      </c>
      <c r="AM6316">
        <v>87.2238653574219</v>
      </c>
      <c r="AN6316">
        <v>1.0000000234003401</v>
      </c>
    </row>
    <row r="6317" spans="1:40" x14ac:dyDescent="0.25">
      <c r="A6317" t="str">
        <f>"20190305135950613"</f>
        <v>20190305135950613</v>
      </c>
      <c r="B6317" t="str">
        <f>"1551765590605431"</f>
        <v>1551765590605431</v>
      </c>
      <c r="C6317" t="s">
        <v>40</v>
      </c>
      <c r="D6317">
        <v>3.8400249999999998</v>
      </c>
      <c r="E6317">
        <v>0.50434040000000002</v>
      </c>
      <c r="F6317" t="s">
        <v>42</v>
      </c>
      <c r="G6317">
        <v>-195.45359999999999</v>
      </c>
      <c r="H6317" s="1">
        <v>-2.3672040000000001E-6</v>
      </c>
      <c r="I6317">
        <v>251.72470000000001</v>
      </c>
      <c r="J6317">
        <v>-188.3631</v>
      </c>
      <c r="K6317">
        <v>1.1082780000000001</v>
      </c>
      <c r="L6317">
        <v>47.24606</v>
      </c>
      <c r="M6317">
        <v>-8.9331179999999996E-2</v>
      </c>
      <c r="N6317">
        <v>-1.208208E-2</v>
      </c>
      <c r="O6317">
        <v>0.9959287</v>
      </c>
      <c r="P6317">
        <v>-4.248449E-2</v>
      </c>
      <c r="Q6317">
        <v>-2.7955669999999998E-2</v>
      </c>
      <c r="R6317">
        <v>0.99870590000000004</v>
      </c>
      <c r="S6317">
        <v>-0.1044617</v>
      </c>
      <c r="T6317">
        <v>-1.6218899999999901E-2</v>
      </c>
      <c r="U6317">
        <v>2.9990540000000001</v>
      </c>
      <c r="V6317">
        <v>4.6900579999999997E-2</v>
      </c>
      <c r="W6317">
        <v>-1.5909940000000001E-2</v>
      </c>
      <c r="X6317">
        <v>0.99877289999999996</v>
      </c>
      <c r="Y6317">
        <v>5.4607330000000003E-2</v>
      </c>
      <c r="Z6317">
        <v>6.6936359999999898E-3</v>
      </c>
      <c r="AA6317">
        <v>0.99848539999999997</v>
      </c>
      <c r="AB6317">
        <v>56</v>
      </c>
      <c r="AC6317">
        <v>-7.0904999999999898</v>
      </c>
      <c r="AD6317">
        <v>-1.108280367204</v>
      </c>
      <c r="AE6317">
        <v>204.47863999999899</v>
      </c>
      <c r="AF6317">
        <v>11.2051748069978</v>
      </c>
      <c r="AG6317">
        <v>-1.108280367204</v>
      </c>
      <c r="AH6317">
        <v>204.288465169755</v>
      </c>
      <c r="AI6317">
        <v>90.310364380495997</v>
      </c>
      <c r="AJ6317">
        <v>86.860485702470498</v>
      </c>
      <c r="AK6317">
        <v>204.59853672311999</v>
      </c>
      <c r="AL6317">
        <v>90.911610831900205</v>
      </c>
      <c r="AM6317">
        <v>87.3114681638272</v>
      </c>
      <c r="AN6317">
        <v>1.00000004818477</v>
      </c>
    </row>
    <row r="6318" spans="1:40" x14ac:dyDescent="0.25">
      <c r="A6318" t="str">
        <f>"20190305135950633"</f>
        <v>20190305135950633</v>
      </c>
      <c r="B6318" t="str">
        <f>"1551765590624951"</f>
        <v>1551765590624951</v>
      </c>
      <c r="C6318" t="s">
        <v>40</v>
      </c>
      <c r="D6318">
        <v>3.868382</v>
      </c>
      <c r="E6318">
        <v>0.50008599999999903</v>
      </c>
      <c r="F6318" t="s">
        <v>58</v>
      </c>
      <c r="G6318">
        <v>-196.02170000000001</v>
      </c>
      <c r="H6318" s="1">
        <v>3.032547E-6</v>
      </c>
      <c r="I6318">
        <v>283.05950000000001</v>
      </c>
      <c r="J6318">
        <v>-188.4085</v>
      </c>
      <c r="K6318">
        <v>1.107631</v>
      </c>
      <c r="L6318">
        <v>47.768250000000002</v>
      </c>
      <c r="M6318">
        <v>-8.7133169999999996E-2</v>
      </c>
      <c r="N6318">
        <v>-1.251615E-2</v>
      </c>
      <c r="O6318">
        <v>0.99611810000000001</v>
      </c>
      <c r="P6318">
        <v>-4.0896399999999999E-2</v>
      </c>
      <c r="Q6318">
        <v>-2.4494149999999999E-2</v>
      </c>
      <c r="R6318">
        <v>0.9988631</v>
      </c>
      <c r="S6318">
        <v>-9.7412109999999996E-2</v>
      </c>
      <c r="T6318">
        <v>-1.409638E-2</v>
      </c>
      <c r="U6318">
        <v>2.9993590000000001</v>
      </c>
      <c r="V6318">
        <v>4.6274750000000003E-2</v>
      </c>
      <c r="W6318">
        <v>-1.209063E-2</v>
      </c>
      <c r="X6318">
        <v>0.99885559999999995</v>
      </c>
      <c r="Y6318">
        <v>5.4752130000000003E-2</v>
      </c>
      <c r="Z6318">
        <v>7.8304619999999998E-3</v>
      </c>
      <c r="AA6318">
        <v>0.9984693</v>
      </c>
      <c r="AB6318">
        <v>56</v>
      </c>
      <c r="AC6318">
        <v>-7.6132</v>
      </c>
      <c r="AD6318">
        <v>-1.1076279674529901</v>
      </c>
      <c r="AE6318">
        <v>235.29124999999999</v>
      </c>
      <c r="AF6318">
        <v>12.9187514049935</v>
      </c>
      <c r="AG6318">
        <v>-1.1076279674529901</v>
      </c>
      <c r="AH6318">
        <v>235.054430728254</v>
      </c>
      <c r="AI6318">
        <v>90.269581419560097</v>
      </c>
      <c r="AJ6318">
        <v>86.854149967546306</v>
      </c>
      <c r="AK6318">
        <v>235.41178046682799</v>
      </c>
      <c r="AL6318">
        <v>90.692758933903903</v>
      </c>
      <c r="AM6318">
        <v>87.347511008757806</v>
      </c>
      <c r="AN6318">
        <v>1.0000000227363499</v>
      </c>
    </row>
    <row r="6319" spans="1:40" x14ac:dyDescent="0.25">
      <c r="A6319" t="str">
        <f>"20190305135950655"</f>
        <v>20190305135950655</v>
      </c>
      <c r="B6319" t="str">
        <f>"1551765590645447"</f>
        <v>1551765590645447</v>
      </c>
      <c r="C6319" t="s">
        <v>40</v>
      </c>
      <c r="D6319">
        <v>3.8459240000000001</v>
      </c>
      <c r="E6319">
        <v>0.50077229999999995</v>
      </c>
      <c r="F6319" t="s">
        <v>42</v>
      </c>
      <c r="G6319">
        <v>-189.60249999999999</v>
      </c>
      <c r="H6319" s="1">
        <v>-3.5189680000000001E-6</v>
      </c>
      <c r="I6319">
        <v>77.671199999999999</v>
      </c>
      <c r="J6319">
        <v>-188.45429999999999</v>
      </c>
      <c r="K6319">
        <v>1.1069420000000001</v>
      </c>
      <c r="L6319">
        <v>48.309510000000003</v>
      </c>
      <c r="M6319">
        <v>-8.4391709999999995E-2</v>
      </c>
      <c r="N6319">
        <v>-1.2919979999999999E-2</v>
      </c>
      <c r="O6319">
        <v>0.99634889999999998</v>
      </c>
      <c r="P6319">
        <v>-3.7371179999999997E-2</v>
      </c>
      <c r="Q6319">
        <v>-2.2754030000000001E-2</v>
      </c>
      <c r="R6319">
        <v>0.9990424</v>
      </c>
      <c r="S6319">
        <v>-0.1196136</v>
      </c>
      <c r="T6319">
        <v>-0.11096689999999999</v>
      </c>
      <c r="U6319">
        <v>2.9957889999999998</v>
      </c>
      <c r="V6319">
        <v>4.704216E-2</v>
      </c>
      <c r="W6319">
        <v>-1.0029440000000001E-2</v>
      </c>
      <c r="X6319">
        <v>0.99884249999999997</v>
      </c>
      <c r="Y6319">
        <v>4.4575440000000001E-2</v>
      </c>
      <c r="Z6319">
        <v>-2.3892179999999999E-2</v>
      </c>
      <c r="AA6319">
        <v>0.99872030000000001</v>
      </c>
      <c r="AB6319">
        <v>56</v>
      </c>
      <c r="AC6319">
        <v>-1.1482000000000001</v>
      </c>
      <c r="AD6319">
        <v>-1.106945518968</v>
      </c>
      <c r="AE6319">
        <v>29.361689999999999</v>
      </c>
      <c r="AF6319">
        <v>1.33209631448798</v>
      </c>
      <c r="AG6319">
        <v>-1.106945518968</v>
      </c>
      <c r="AH6319">
        <v>29.312237588477299</v>
      </c>
      <c r="AI6319">
        <v>92.160458887801894</v>
      </c>
      <c r="AJ6319">
        <v>87.3979803125644</v>
      </c>
      <c r="AK6319">
        <v>29.363362910545099</v>
      </c>
      <c r="AL6319">
        <v>90.5746542475745</v>
      </c>
      <c r="AM6319">
        <v>87.303551810854302</v>
      </c>
      <c r="AN6319">
        <v>0.99999994714521301</v>
      </c>
    </row>
    <row r="6320" spans="1:40" x14ac:dyDescent="0.25">
      <c r="A6320" t="str">
        <f>"20190305135950677"</f>
        <v>20190305135950677</v>
      </c>
      <c r="B6320" t="str">
        <f>"1551765590675703"</f>
        <v>1551765590675703</v>
      </c>
      <c r="C6320" t="s">
        <v>40</v>
      </c>
      <c r="D6320">
        <v>3.877853</v>
      </c>
      <c r="E6320">
        <v>0.50196609999999997</v>
      </c>
      <c r="F6320" t="s">
        <v>42</v>
      </c>
      <c r="G6320">
        <v>-189.51249999999999</v>
      </c>
      <c r="H6320" s="1">
        <v>-4.0921990000000002E-6</v>
      </c>
      <c r="I6320">
        <v>78.970209999999994</v>
      </c>
      <c r="J6320">
        <v>-188.50030000000001</v>
      </c>
      <c r="K6320">
        <v>1.106247</v>
      </c>
      <c r="L6320">
        <v>48.874659999999999</v>
      </c>
      <c r="M6320">
        <v>-8.1116209999999994E-2</v>
      </c>
      <c r="N6320">
        <v>-1.329344E-2</v>
      </c>
      <c r="O6320">
        <v>0.99661599999999995</v>
      </c>
      <c r="P6320">
        <v>-3.2171650000000003E-2</v>
      </c>
      <c r="Q6320">
        <v>-2.4198859999999999E-2</v>
      </c>
      <c r="R6320">
        <v>0.99918940000000001</v>
      </c>
      <c r="S6320">
        <v>-0.1034241</v>
      </c>
      <c r="T6320">
        <v>-0.1081848</v>
      </c>
      <c r="U6320">
        <v>2.9965519999999999</v>
      </c>
      <c r="V6320">
        <v>4.8931130000000003E-2</v>
      </c>
      <c r="W6320">
        <v>-1.119274E-2</v>
      </c>
      <c r="X6320">
        <v>0.99873940000000005</v>
      </c>
      <c r="Y6320">
        <v>4.6688449999999999E-2</v>
      </c>
      <c r="Z6320">
        <v>-2.2601659999999999E-2</v>
      </c>
      <c r="AA6320">
        <v>0.99865380000000004</v>
      </c>
      <c r="AB6320">
        <v>56</v>
      </c>
      <c r="AC6320">
        <v>-1.01219999999997</v>
      </c>
      <c r="AD6320">
        <v>-1.1062510921989901</v>
      </c>
      <c r="AE6320">
        <v>30.095549999999999</v>
      </c>
      <c r="AF6320">
        <v>1.4306579736943299</v>
      </c>
      <c r="AG6320">
        <v>-1.1062510921989901</v>
      </c>
      <c r="AH6320">
        <v>30.037930346646</v>
      </c>
      <c r="AI6320">
        <v>92.106776744838101</v>
      </c>
      <c r="AJ6320">
        <v>87.273155485802803</v>
      </c>
      <c r="AK6320">
        <v>30.092321831767102</v>
      </c>
      <c r="AL6320">
        <v>90.641310178948103</v>
      </c>
      <c r="AM6320">
        <v>87.195156875216298</v>
      </c>
      <c r="AN6320">
        <v>0.999999961012071</v>
      </c>
    </row>
    <row r="6321" spans="1:40" x14ac:dyDescent="0.25">
      <c r="A6321" t="str">
        <f>"20190305135950700"</f>
        <v>20190305135950700</v>
      </c>
      <c r="B6321" t="str">
        <f>"1551765590695223"</f>
        <v>1551765590695223</v>
      </c>
      <c r="C6321" t="s">
        <v>40</v>
      </c>
      <c r="D6321">
        <v>3.9121610000000002</v>
      </c>
      <c r="E6321">
        <v>0.5023765</v>
      </c>
      <c r="F6321" t="s">
        <v>42</v>
      </c>
      <c r="G6321">
        <v>-189.24420000000001</v>
      </c>
      <c r="H6321" s="1">
        <v>-3.4652610000000001E-6</v>
      </c>
      <c r="I6321">
        <v>77.397890000000004</v>
      </c>
      <c r="J6321">
        <v>-188.5427</v>
      </c>
      <c r="K6321">
        <v>1.1056440000000001</v>
      </c>
      <c r="L6321">
        <v>49.418059999999997</v>
      </c>
      <c r="M6321">
        <v>-7.7629870000000004E-2</v>
      </c>
      <c r="N6321">
        <v>-1.360391E-2</v>
      </c>
      <c r="O6321">
        <v>0.99688940000000004</v>
      </c>
      <c r="P6321">
        <v>-2.7394809999999999E-2</v>
      </c>
      <c r="Q6321">
        <v>-2.8236830000000001E-2</v>
      </c>
      <c r="R6321">
        <v>0.99922580000000005</v>
      </c>
      <c r="S6321">
        <v>-7.8170779999999995E-2</v>
      </c>
      <c r="T6321">
        <v>-0.1162401</v>
      </c>
      <c r="U6321">
        <v>2.9971009999999998</v>
      </c>
      <c r="V6321">
        <v>5.0161530000000003E-2</v>
      </c>
      <c r="W6321">
        <v>-1.500279E-2</v>
      </c>
      <c r="X6321">
        <v>0.99862839999999997</v>
      </c>
      <c r="Y6321">
        <v>5.1605810000000002E-2</v>
      </c>
      <c r="Z6321">
        <v>-2.4963849999999999E-2</v>
      </c>
      <c r="AA6321">
        <v>0.9983554</v>
      </c>
      <c r="AB6321">
        <v>56</v>
      </c>
      <c r="AC6321">
        <v>-0.70150000000001</v>
      </c>
      <c r="AD6321">
        <v>-1.105647465261</v>
      </c>
      <c r="AE6321">
        <v>27.97983</v>
      </c>
      <c r="AF6321">
        <v>1.47059409724535</v>
      </c>
      <c r="AG6321">
        <v>-1.105647465261</v>
      </c>
      <c r="AH6321">
        <v>27.9062921323445</v>
      </c>
      <c r="AI6321">
        <v>92.265731904155601</v>
      </c>
      <c r="AJ6321">
        <v>86.9834413016236</v>
      </c>
      <c r="AK6321">
        <v>27.966877621430001</v>
      </c>
      <c r="AL6321">
        <v>90.859628822085</v>
      </c>
      <c r="AM6321">
        <v>87.124425408970396</v>
      </c>
      <c r="AN6321">
        <v>0.99999997204314195</v>
      </c>
    </row>
    <row r="6322" spans="1:40" x14ac:dyDescent="0.25">
      <c r="A6322" t="str">
        <f>"20190305135950721"</f>
        <v>20190305135950721</v>
      </c>
      <c r="B6322" t="str">
        <f>"1551765590715719"</f>
        <v>1551765590715719</v>
      </c>
      <c r="C6322" t="s">
        <v>40</v>
      </c>
      <c r="D6322">
        <v>4.365005</v>
      </c>
      <c r="E6322">
        <v>0.50248190000000004</v>
      </c>
      <c r="F6322" t="s">
        <v>42</v>
      </c>
      <c r="G6322">
        <v>-189.05250000000001</v>
      </c>
      <c r="H6322" s="1">
        <v>-2.346474E-6</v>
      </c>
      <c r="I6322">
        <v>74.710679999999996</v>
      </c>
      <c r="J6322">
        <v>-188.58420000000001</v>
      </c>
      <c r="K6322">
        <v>1.1051010000000001</v>
      </c>
      <c r="L6322">
        <v>49.97681</v>
      </c>
      <c r="M6322">
        <v>-7.3798520000000006E-2</v>
      </c>
      <c r="N6322">
        <v>-1.3878629999999999E-2</v>
      </c>
      <c r="O6322">
        <v>0.99717659999999997</v>
      </c>
      <c r="P6322">
        <v>-2.227546E-2</v>
      </c>
      <c r="Q6322">
        <v>-3.0704200000000001E-2</v>
      </c>
      <c r="R6322">
        <v>0.99928030000000001</v>
      </c>
      <c r="S6322">
        <v>-6.0409549999999999E-2</v>
      </c>
      <c r="T6322">
        <v>-0.1310105</v>
      </c>
      <c r="U6322">
        <v>2.9969790000000001</v>
      </c>
      <c r="V6322">
        <v>5.1396450000000003E-2</v>
      </c>
      <c r="W6322">
        <v>-1.7274080000000001E-2</v>
      </c>
      <c r="X6322">
        <v>0.99852890000000005</v>
      </c>
      <c r="Y6322">
        <v>5.3680220000000001E-2</v>
      </c>
      <c r="Z6322">
        <v>-2.959879E-2</v>
      </c>
      <c r="AA6322">
        <v>0.99811939999999999</v>
      </c>
      <c r="AB6322">
        <v>56</v>
      </c>
      <c r="AC6322">
        <v>-0.46829999999999899</v>
      </c>
      <c r="AD6322">
        <v>-1.1051033464740001</v>
      </c>
      <c r="AE6322">
        <v>24.73387</v>
      </c>
      <c r="AF6322">
        <v>1.35577050148126</v>
      </c>
      <c r="AG6322">
        <v>-1.1051033464740001</v>
      </c>
      <c r="AH6322">
        <v>24.651780898542899</v>
      </c>
      <c r="AI6322">
        <v>92.562899833836099</v>
      </c>
      <c r="AJ6322">
        <v>86.852083362441206</v>
      </c>
      <c r="AK6322">
        <v>24.713754642482801</v>
      </c>
      <c r="AL6322">
        <v>90.989781130469694</v>
      </c>
      <c r="AM6322">
        <v>87.053462190422096</v>
      </c>
      <c r="AN6322">
        <v>0.99999997652382899</v>
      </c>
    </row>
    <row r="6323" spans="1:40" x14ac:dyDescent="0.25">
      <c r="A6323" t="str">
        <f>"20190305135950745"</f>
        <v>20190305135950745</v>
      </c>
      <c r="B6323" t="str">
        <f>"1551765590735239"</f>
        <v>1551765590735239</v>
      </c>
      <c r="C6323" t="s">
        <v>40</v>
      </c>
      <c r="D6323">
        <v>3.9299059999999999</v>
      </c>
      <c r="E6323">
        <v>0.5037102</v>
      </c>
      <c r="F6323" t="s">
        <v>42</v>
      </c>
      <c r="G6323">
        <v>-188.93639999999999</v>
      </c>
      <c r="H6323" s="1">
        <v>-2.0117979999999999E-6</v>
      </c>
      <c r="I6323">
        <v>73.88252</v>
      </c>
      <c r="J6323">
        <v>-188.62459999999999</v>
      </c>
      <c r="K6323">
        <v>1.1046229999999999</v>
      </c>
      <c r="L6323">
        <v>50.550109999999997</v>
      </c>
      <c r="M6323">
        <v>-6.9682530000000006E-2</v>
      </c>
      <c r="N6323">
        <v>-1.411885E-2</v>
      </c>
      <c r="O6323">
        <v>0.9974693</v>
      </c>
      <c r="P6323">
        <v>-1.726484E-2</v>
      </c>
      <c r="Q6323">
        <v>-3.2224799999999998E-2</v>
      </c>
      <c r="R6323">
        <v>0.99933150000000004</v>
      </c>
      <c r="S6323">
        <v>-4.4143679999999998E-2</v>
      </c>
      <c r="T6323">
        <v>-0.13854029999999901</v>
      </c>
      <c r="U6323">
        <v>2.996918</v>
      </c>
      <c r="V6323">
        <v>5.2246220000000003E-2</v>
      </c>
      <c r="W6323">
        <v>-1.8624459999999999E-2</v>
      </c>
      <c r="X6323">
        <v>0.99846049999999997</v>
      </c>
      <c r="Y6323">
        <v>5.4973639999999997E-2</v>
      </c>
      <c r="Z6323">
        <v>-3.1871429999999999E-2</v>
      </c>
      <c r="AA6323">
        <v>0.99797899999999995</v>
      </c>
      <c r="AB6323">
        <v>56</v>
      </c>
      <c r="AC6323">
        <v>-0.31180000000000502</v>
      </c>
      <c r="AD6323">
        <v>-1.1046250117980001</v>
      </c>
      <c r="AE6323">
        <v>23.332409999999999</v>
      </c>
      <c r="AF6323">
        <v>1.3120412786444799</v>
      </c>
      <c r="AG6323">
        <v>-1.1046250117980001</v>
      </c>
      <c r="AH6323">
        <v>23.245320158449001</v>
      </c>
      <c r="AI6323">
        <v>92.716349993274605</v>
      </c>
      <c r="AJ6323">
        <v>86.769468076811705</v>
      </c>
      <c r="AK6323">
        <v>23.308508274927199</v>
      </c>
      <c r="AL6323">
        <v>91.067164703488004</v>
      </c>
      <c r="AM6323">
        <v>87.004628392159503</v>
      </c>
      <c r="AN6323">
        <v>0.99999995403741304</v>
      </c>
    </row>
    <row r="6324" spans="1:40" x14ac:dyDescent="0.25">
      <c r="A6324" t="str">
        <f>"20190305135950767"</f>
        <v>20190305135950767</v>
      </c>
      <c r="B6324" t="str">
        <f>"1551765590755738"</f>
        <v>1551765590755738</v>
      </c>
      <c r="C6324" t="s">
        <v>40</v>
      </c>
      <c r="D6324">
        <v>3.9254639999999998</v>
      </c>
      <c r="E6324">
        <v>0.50386809999999904</v>
      </c>
      <c r="F6324" t="s">
        <v>42</v>
      </c>
      <c r="G6324">
        <v>-188.77440000000001</v>
      </c>
      <c r="H6324" s="1">
        <v>-2.0623289999999999E-6</v>
      </c>
      <c r="I6324">
        <v>73.933350000000004</v>
      </c>
      <c r="J6324">
        <v>-188.66249999999999</v>
      </c>
      <c r="K6324">
        <v>1.1042259999999999</v>
      </c>
      <c r="L6324">
        <v>51.11768</v>
      </c>
      <c r="M6324">
        <v>-6.5488550000000006E-2</v>
      </c>
      <c r="N6324">
        <v>-1.4321510000000001E-2</v>
      </c>
      <c r="O6324">
        <v>0.99775049999999998</v>
      </c>
      <c r="P6324">
        <v>-1.102125E-2</v>
      </c>
      <c r="Q6324">
        <v>-3.070548E-2</v>
      </c>
      <c r="R6324">
        <v>0.99946769999999996</v>
      </c>
      <c r="S6324">
        <v>-1.919556E-2</v>
      </c>
      <c r="T6324">
        <v>-0.14158319999999999</v>
      </c>
      <c r="U6324">
        <v>2.9971009999999998</v>
      </c>
      <c r="V6324">
        <v>5.4288299999999998E-2</v>
      </c>
      <c r="W6324">
        <v>-1.6977309999999999E-2</v>
      </c>
      <c r="X6324">
        <v>0.99838099999999996</v>
      </c>
      <c r="Y6324">
        <v>5.908041E-2</v>
      </c>
      <c r="Z6324">
        <v>-3.2686460000000001E-2</v>
      </c>
      <c r="AA6324">
        <v>0.99771790000000005</v>
      </c>
      <c r="AB6324">
        <v>56</v>
      </c>
      <c r="AC6324">
        <v>-0.111900000000019</v>
      </c>
      <c r="AD6324">
        <v>-1.1042280623289999</v>
      </c>
      <c r="AE6324">
        <v>22.815670000000001</v>
      </c>
      <c r="AF6324">
        <v>1.3794277057914199</v>
      </c>
      <c r="AG6324">
        <v>-1.1042280623289999</v>
      </c>
      <c r="AH6324">
        <v>22.720792249749</v>
      </c>
      <c r="AI6324">
        <v>92.777273766013295</v>
      </c>
      <c r="AJ6324">
        <v>86.525715659472496</v>
      </c>
      <c r="AK6324">
        <v>22.789395359802601</v>
      </c>
      <c r="AL6324">
        <v>90.972774910715401</v>
      </c>
      <c r="AM6324">
        <v>86.887530702705803</v>
      </c>
      <c r="AN6324">
        <v>1.00000003486636</v>
      </c>
    </row>
    <row r="6325" spans="1:40" x14ac:dyDescent="0.25">
      <c r="A6325" t="str">
        <f>"20190305135950790"</f>
        <v>20190305135950790</v>
      </c>
      <c r="B6325" t="str">
        <f>"1551765590785015"</f>
        <v>1551765590785015</v>
      </c>
      <c r="C6325" t="s">
        <v>40</v>
      </c>
      <c r="D6325">
        <v>3.9381900000000001</v>
      </c>
      <c r="E6325">
        <v>0.50394939999999999</v>
      </c>
      <c r="F6325" t="s">
        <v>42</v>
      </c>
      <c r="G6325">
        <v>-188.65610000000001</v>
      </c>
      <c r="H6325" s="1">
        <v>-2.8618689999999999E-6</v>
      </c>
      <c r="I6325">
        <v>75.748180000000005</v>
      </c>
      <c r="J6325">
        <v>-188.6969</v>
      </c>
      <c r="K6325">
        <v>1.1039219999999901</v>
      </c>
      <c r="L6325">
        <v>51.665680000000002</v>
      </c>
      <c r="M6325">
        <v>-6.1378620000000002E-2</v>
      </c>
      <c r="N6325">
        <v>-1.448899E-2</v>
      </c>
      <c r="O6325">
        <v>0.99800940000000005</v>
      </c>
      <c r="P6325">
        <v>-4.7674320000000003E-3</v>
      </c>
      <c r="Q6325">
        <v>-2.549235E-2</v>
      </c>
      <c r="R6325">
        <v>0.99966370000000004</v>
      </c>
      <c r="S6325">
        <v>7.7819819999999998E-4</v>
      </c>
      <c r="T6325">
        <v>-0.1343818</v>
      </c>
      <c r="U6325">
        <v>2.9974669999999999</v>
      </c>
      <c r="V6325">
        <v>5.6478029999999999E-2</v>
      </c>
      <c r="W6325">
        <v>-1.1666070000000001E-2</v>
      </c>
      <c r="X6325">
        <v>0.99833570000000005</v>
      </c>
      <c r="Y6325">
        <v>6.1617520000000002E-2</v>
      </c>
      <c r="Z6325">
        <v>-3.0138330000000001E-2</v>
      </c>
      <c r="AA6325">
        <v>0.99764470000000005</v>
      </c>
      <c r="AB6325">
        <v>56</v>
      </c>
      <c r="AC6325">
        <v>4.0799999999990101E-2</v>
      </c>
      <c r="AD6325">
        <v>-1.1039248618690001</v>
      </c>
      <c r="AE6325">
        <v>24.0825</v>
      </c>
      <c r="AF6325">
        <v>1.51584368808103</v>
      </c>
      <c r="AG6325">
        <v>-1.1039248618690001</v>
      </c>
      <c r="AH6325">
        <v>23.9841833120737</v>
      </c>
      <c r="AI6325">
        <v>92.630064299955905</v>
      </c>
      <c r="AJ6325">
        <v>86.3836133510016</v>
      </c>
      <c r="AK6325">
        <v>24.057378937334398</v>
      </c>
      <c r="AL6325">
        <v>90.668431725352093</v>
      </c>
      <c r="AM6325">
        <v>86.762103928767104</v>
      </c>
      <c r="AN6325">
        <v>1.0000000174782</v>
      </c>
    </row>
    <row r="6326" spans="1:40" x14ac:dyDescent="0.25">
      <c r="A6326" t="str">
        <f>"20190305135950814"</f>
        <v>20190305135950814</v>
      </c>
      <c r="B6326" t="str">
        <f>"1551765590805512"</f>
        <v>1551765590805512</v>
      </c>
      <c r="C6326" t="s">
        <v>40</v>
      </c>
      <c r="D6326">
        <v>4.0017630000000004</v>
      </c>
      <c r="E6326">
        <v>0.50386660000000005</v>
      </c>
      <c r="F6326" t="s">
        <v>42</v>
      </c>
      <c r="G6326">
        <v>-188.50960000000001</v>
      </c>
      <c r="H6326" s="1">
        <v>-4.9509819999999996E-7</v>
      </c>
      <c r="I6326">
        <v>79.937579999999997</v>
      </c>
      <c r="J6326">
        <v>-188.7328</v>
      </c>
      <c r="K6326">
        <v>1.1036319999999999</v>
      </c>
      <c r="L6326">
        <v>52.278930000000003</v>
      </c>
      <c r="M6326">
        <v>-5.6752789999999997E-2</v>
      </c>
      <c r="N6326">
        <v>-1.464848E-2</v>
      </c>
      <c r="O6326">
        <v>0.99828079999999997</v>
      </c>
      <c r="P6326">
        <v>8.4631599999999995E-4</v>
      </c>
      <c r="Q6326">
        <v>-2.2732680000000002E-2</v>
      </c>
      <c r="R6326">
        <v>0.9997412</v>
      </c>
      <c r="S6326">
        <v>1.986694E-2</v>
      </c>
      <c r="T6326">
        <v>-0.1170672</v>
      </c>
      <c r="U6326">
        <v>2.998138</v>
      </c>
      <c r="V6326">
        <v>5.748727E-2</v>
      </c>
      <c r="W6326">
        <v>-8.8030030000000002E-3</v>
      </c>
      <c r="X6326">
        <v>0.99830739999999996</v>
      </c>
      <c r="Y6326">
        <v>6.3346319999999998E-2</v>
      </c>
      <c r="Z6326">
        <v>-2.423871E-2</v>
      </c>
      <c r="AA6326">
        <v>0.99769719999999995</v>
      </c>
      <c r="AB6326">
        <v>56</v>
      </c>
      <c r="AC6326">
        <v>0.22319999999999099</v>
      </c>
      <c r="AD6326">
        <v>-1.1036324950981999</v>
      </c>
      <c r="AE6326">
        <v>27.658650000000002</v>
      </c>
      <c r="AF6326">
        <v>1.78986459985868</v>
      </c>
      <c r="AG6326">
        <v>-1.1036324950981999</v>
      </c>
      <c r="AH6326">
        <v>27.5575201802334</v>
      </c>
      <c r="AI6326">
        <v>92.2885574332457</v>
      </c>
      <c r="AJ6326">
        <v>86.283851185975706</v>
      </c>
      <c r="AK6326">
        <v>27.637629030979401</v>
      </c>
      <c r="AL6326">
        <v>90.504381447541803</v>
      </c>
      <c r="AM6326">
        <v>86.704277211200207</v>
      </c>
      <c r="AN6326">
        <v>0.99999997198431501</v>
      </c>
    </row>
    <row r="6327" spans="1:40" x14ac:dyDescent="0.25">
      <c r="A6327" t="str">
        <f>"20190305135950835"</f>
        <v>20190305135950835</v>
      </c>
      <c r="B6327" t="str">
        <f>"1551765590825031"</f>
        <v>1551765590825031</v>
      </c>
      <c r="C6327" t="s">
        <v>40</v>
      </c>
      <c r="D6327">
        <v>3.9927869999999999</v>
      </c>
      <c r="E6327">
        <v>0.50382490000000002</v>
      </c>
      <c r="F6327" t="s">
        <v>42</v>
      </c>
      <c r="G6327">
        <v>-188.3622</v>
      </c>
      <c r="H6327" s="1">
        <v>-1.7552689999999999E-6</v>
      </c>
      <c r="I6327">
        <v>83.047129999999996</v>
      </c>
      <c r="J6327">
        <v>-188.76230000000001</v>
      </c>
      <c r="K6327">
        <v>1.103415</v>
      </c>
      <c r="L6327">
        <v>52.821809999999999</v>
      </c>
      <c r="M6327">
        <v>-5.2652940000000002E-2</v>
      </c>
      <c r="N6327">
        <v>-1.476826E-2</v>
      </c>
      <c r="O6327">
        <v>0.99850369999999999</v>
      </c>
      <c r="P6327">
        <v>6.3017610000000003E-3</v>
      </c>
      <c r="Q6327">
        <v>-1.9107880000000001E-2</v>
      </c>
      <c r="R6327">
        <v>0.99979759999999995</v>
      </c>
      <c r="S6327">
        <v>3.6117549999999998E-2</v>
      </c>
      <c r="T6327">
        <v>-0.10754660000000001</v>
      </c>
      <c r="U6327">
        <v>2.998291</v>
      </c>
      <c r="V6327">
        <v>5.8881219999999998E-2</v>
      </c>
      <c r="W6327">
        <v>-5.1096170000000003E-3</v>
      </c>
      <c r="X6327">
        <v>0.99825189999999997</v>
      </c>
      <c r="Y6327">
        <v>6.4656450000000004E-2</v>
      </c>
      <c r="Z6327">
        <v>-2.096549E-2</v>
      </c>
      <c r="AA6327">
        <v>0.99768730000000005</v>
      </c>
      <c r="AB6327">
        <v>56</v>
      </c>
      <c r="AC6327">
        <v>0.400100000000008</v>
      </c>
      <c r="AD6327">
        <v>-1.103416755269</v>
      </c>
      <c r="AE6327">
        <v>30.22532</v>
      </c>
      <c r="AF6327">
        <v>1.9885207017092099</v>
      </c>
      <c r="AG6327">
        <v>-1.103416755269</v>
      </c>
      <c r="AH6327">
        <v>30.1221784708619</v>
      </c>
      <c r="AI6327">
        <v>92.093332703294394</v>
      </c>
      <c r="AJ6327">
        <v>86.223089667066006</v>
      </c>
      <c r="AK6327">
        <v>30.207902591000799</v>
      </c>
      <c r="AL6327">
        <v>90.292760768493096</v>
      </c>
      <c r="AM6327">
        <v>86.624357968768706</v>
      </c>
      <c r="AN6327">
        <v>0.99999998105409205</v>
      </c>
    </row>
    <row r="6328" spans="1:40" x14ac:dyDescent="0.25">
      <c r="A6328" t="str">
        <f>"20190305135950857"</f>
        <v>20190305135950857</v>
      </c>
      <c r="B6328" t="str">
        <f>"1551765590845527"</f>
        <v>1551765590845527</v>
      </c>
      <c r="C6328" t="s">
        <v>40</v>
      </c>
      <c r="D6328">
        <v>3.9221650000000001</v>
      </c>
      <c r="E6328">
        <v>0.50414559999999997</v>
      </c>
      <c r="F6328" t="s">
        <v>42</v>
      </c>
      <c r="G6328">
        <v>-188.1575</v>
      </c>
      <c r="H6328" s="1">
        <v>-3.7653030000000001E-6</v>
      </c>
      <c r="I6328">
        <v>87.647930000000002</v>
      </c>
      <c r="J6328">
        <v>-188.78989999999999</v>
      </c>
      <c r="K6328">
        <v>1.103218</v>
      </c>
      <c r="L6328">
        <v>53.367710000000002</v>
      </c>
      <c r="M6328">
        <v>-4.8531659999999997E-2</v>
      </c>
      <c r="N6328">
        <v>-1.4872160000000001E-2</v>
      </c>
      <c r="O6328">
        <v>0.99871089999999996</v>
      </c>
      <c r="P6328">
        <v>1.1209159999999999E-2</v>
      </c>
      <c r="Q6328">
        <v>-1.6396330000000001E-2</v>
      </c>
      <c r="R6328">
        <v>0.99980270000000004</v>
      </c>
      <c r="S6328">
        <v>5.207825E-2</v>
      </c>
      <c r="T6328">
        <v>-9.5002649999999994E-2</v>
      </c>
      <c r="U6328">
        <v>2.9984739999999999</v>
      </c>
      <c r="V6328">
        <v>5.9697899999999998E-2</v>
      </c>
      <c r="W6328">
        <v>-2.3345409999999999E-3</v>
      </c>
      <c r="X6328">
        <v>0.99821380000000004</v>
      </c>
      <c r="Y6328">
        <v>6.5849619999999998E-2</v>
      </c>
      <c r="Z6328">
        <v>-1.670058E-2</v>
      </c>
      <c r="AA6328">
        <v>0.99768979999999996</v>
      </c>
      <c r="AB6328">
        <v>56</v>
      </c>
      <c r="AC6328">
        <v>0.63239999999998897</v>
      </c>
      <c r="AD6328">
        <v>-1.1032217653030001</v>
      </c>
      <c r="AE6328">
        <v>34.28022</v>
      </c>
      <c r="AF6328">
        <v>2.2931404495107799</v>
      </c>
      <c r="AG6328">
        <v>-1.1032217653030001</v>
      </c>
      <c r="AH6328">
        <v>34.173739896983101</v>
      </c>
      <c r="AI6328">
        <v>91.844876318423601</v>
      </c>
      <c r="AJ6328">
        <v>86.161069862437103</v>
      </c>
      <c r="AK6328">
        <v>34.268354059266898</v>
      </c>
      <c r="AL6328">
        <v>90.133759462559595</v>
      </c>
      <c r="AM6328">
        <v>86.577518169987599</v>
      </c>
      <c r="AN6328">
        <v>1.00000003992826</v>
      </c>
    </row>
    <row r="6329" spans="1:40" x14ac:dyDescent="0.25">
      <c r="A6329" t="str">
        <f>"20190305135950879"</f>
        <v>20190305135950879</v>
      </c>
      <c r="B6329" t="str">
        <f>"1551765590875784"</f>
        <v>1551765590875784</v>
      </c>
      <c r="C6329" t="s">
        <v>40</v>
      </c>
      <c r="D6329">
        <v>3.8891580000000001</v>
      </c>
      <c r="E6329">
        <v>0.50427239999999995</v>
      </c>
      <c r="F6329" t="s">
        <v>42</v>
      </c>
      <c r="G6329">
        <v>-187.86199999999999</v>
      </c>
      <c r="H6329" s="1">
        <v>-2.1576969999999998E-6</v>
      </c>
      <c r="I6329">
        <v>93.778379999999999</v>
      </c>
      <c r="J6329">
        <v>-188.8152</v>
      </c>
      <c r="K6329">
        <v>1.1030489999999999</v>
      </c>
      <c r="L6329">
        <v>53.916690000000003</v>
      </c>
      <c r="M6329">
        <v>-4.4387290000000003E-2</v>
      </c>
      <c r="N6329">
        <v>-1.496248E-2</v>
      </c>
      <c r="O6329">
        <v>0.99890230000000002</v>
      </c>
      <c r="P6329">
        <v>1.605057E-2</v>
      </c>
      <c r="Q6329">
        <v>-1.8304009999999999E-2</v>
      </c>
      <c r="R6329">
        <v>0.99970360000000003</v>
      </c>
      <c r="S6329">
        <v>6.8847660000000005E-2</v>
      </c>
      <c r="T6329">
        <v>-8.1858990000000006E-2</v>
      </c>
      <c r="U6329">
        <v>2.9984739999999999</v>
      </c>
      <c r="V6329">
        <v>6.0362619999999999E-2</v>
      </c>
      <c r="W6329">
        <v>-4.1880049999999999E-3</v>
      </c>
      <c r="X6329">
        <v>0.99816780000000005</v>
      </c>
      <c r="Y6329">
        <v>6.7289769999999999E-2</v>
      </c>
      <c r="Z6329">
        <v>-1.2247600000000001E-2</v>
      </c>
      <c r="AA6329">
        <v>0.9976583</v>
      </c>
      <c r="AB6329">
        <v>56</v>
      </c>
      <c r="AC6329">
        <v>0.95320000000000904</v>
      </c>
      <c r="AD6329">
        <v>-1.1030511576969999</v>
      </c>
      <c r="AE6329">
        <v>39.861690000000003</v>
      </c>
      <c r="AF6329">
        <v>2.7197294679908399</v>
      </c>
      <c r="AG6329">
        <v>-1.1030511576969999</v>
      </c>
      <c r="AH6329">
        <v>39.7496583435315</v>
      </c>
      <c r="AI6329">
        <v>91.585841446231498</v>
      </c>
      <c r="AJ6329">
        <v>86.085839822785402</v>
      </c>
      <c r="AK6329">
        <v>39.857859810369099</v>
      </c>
      <c r="AL6329">
        <v>90.239955695463806</v>
      </c>
      <c r="AM6329">
        <v>86.539342770481696</v>
      </c>
      <c r="AN6329">
        <v>1.0000000711179799</v>
      </c>
    </row>
    <row r="6330" spans="1:40" x14ac:dyDescent="0.25">
      <c r="A6330" t="str">
        <f>"20190305135950900"</f>
        <v>20190305135950900</v>
      </c>
      <c r="B6330" t="str">
        <f>"1551765590895303"</f>
        <v>1551765590895303</v>
      </c>
      <c r="C6330" t="s">
        <v>40</v>
      </c>
      <c r="D6330">
        <v>4.4214120000000001</v>
      </c>
      <c r="E6330">
        <v>0.50431139999999997</v>
      </c>
      <c r="F6330" t="s">
        <v>42</v>
      </c>
      <c r="G6330">
        <v>-187.70330000000001</v>
      </c>
      <c r="H6330" s="1">
        <v>-2.0853510000000001E-6</v>
      </c>
      <c r="I6330">
        <v>93.544120000000007</v>
      </c>
      <c r="J6330">
        <v>-188.8374</v>
      </c>
      <c r="K6330">
        <v>1.102908</v>
      </c>
      <c r="L6330">
        <v>54.445340000000002</v>
      </c>
      <c r="M6330">
        <v>-4.038709E-2</v>
      </c>
      <c r="N6330">
        <v>-1.5038370000000001E-2</v>
      </c>
      <c r="O6330">
        <v>0.99907089999999998</v>
      </c>
      <c r="P6330">
        <v>1.9654270000000001E-2</v>
      </c>
      <c r="Q6330">
        <v>-1.9457200000000001E-2</v>
      </c>
      <c r="R6330">
        <v>0.99961750000000005</v>
      </c>
      <c r="S6330">
        <v>8.4121699999999994E-2</v>
      </c>
      <c r="T6330">
        <v>-8.345139E-2</v>
      </c>
      <c r="U6330">
        <v>2.9980159999999998</v>
      </c>
      <c r="V6330">
        <v>5.9946720000000002E-2</v>
      </c>
      <c r="W6330">
        <v>-5.2816269999999997E-3</v>
      </c>
      <c r="X6330">
        <v>0.99818759999999995</v>
      </c>
      <c r="Y6330">
        <v>6.8376640000000002E-2</v>
      </c>
      <c r="Z6330">
        <v>-1.2708469999999999E-2</v>
      </c>
      <c r="AA6330">
        <v>0.99757859999999998</v>
      </c>
      <c r="AB6330">
        <v>56</v>
      </c>
      <c r="AC6330">
        <v>1.1340999999999799</v>
      </c>
      <c r="AD6330">
        <v>-1.1029100853509901</v>
      </c>
      <c r="AE6330">
        <v>39.098779999999898</v>
      </c>
      <c r="AF6330">
        <v>2.7102842930547699</v>
      </c>
      <c r="AG6330">
        <v>-1.1029100853509901</v>
      </c>
      <c r="AH6330">
        <v>38.990065609673302</v>
      </c>
      <c r="AI6330">
        <v>91.616392479843697</v>
      </c>
      <c r="AJ6330">
        <v>86.023641984605604</v>
      </c>
      <c r="AK6330">
        <v>39.099709306492002</v>
      </c>
      <c r="AL6330">
        <v>90.302616344587804</v>
      </c>
      <c r="AM6330">
        <v>86.563197444908496</v>
      </c>
      <c r="AN6330">
        <v>0.99999999480814195</v>
      </c>
    </row>
    <row r="6331" spans="1:40" x14ac:dyDescent="0.25">
      <c r="A6331" t="str">
        <f>"20190305135950924"</f>
        <v>20190305135950924</v>
      </c>
      <c r="B6331" t="str">
        <f>"1551765590915799"</f>
        <v>1551765590915799</v>
      </c>
      <c r="C6331" t="s">
        <v>40</v>
      </c>
      <c r="D6331">
        <v>4.1057889999999997</v>
      </c>
      <c r="E6331">
        <v>0.54286330000000005</v>
      </c>
      <c r="F6331" t="s">
        <v>42</v>
      </c>
      <c r="G6331">
        <v>-187.63069999999999</v>
      </c>
      <c r="H6331" s="1">
        <v>-1.6098480000000001E-6</v>
      </c>
      <c r="I6331">
        <v>92.405680000000004</v>
      </c>
      <c r="J6331">
        <v>-188.86009999999999</v>
      </c>
      <c r="K6331">
        <v>1.1027610000000001</v>
      </c>
      <c r="L6331">
        <v>55.049590000000002</v>
      </c>
      <c r="M6331">
        <v>-3.5795970000000003E-2</v>
      </c>
      <c r="N6331">
        <v>-1.51138E-2</v>
      </c>
      <c r="O6331">
        <v>0.99924480000000004</v>
      </c>
      <c r="P6331">
        <v>2.4086349999999999E-2</v>
      </c>
      <c r="Q6331">
        <v>-2.099475E-2</v>
      </c>
      <c r="R6331">
        <v>0.99948939999999997</v>
      </c>
      <c r="S6331">
        <v>9.5291139999999996E-2</v>
      </c>
      <c r="T6331">
        <v>-8.7092760000000005E-2</v>
      </c>
      <c r="U6331">
        <v>2.9975890000000001</v>
      </c>
      <c r="V6331">
        <v>5.9762200000000001E-2</v>
      </c>
      <c r="W6331">
        <v>-6.7631929999999998E-3</v>
      </c>
      <c r="X6331">
        <v>0.99818969999999996</v>
      </c>
      <c r="Y6331">
        <v>6.7509230000000003E-2</v>
      </c>
      <c r="Z6331">
        <v>-1.385431E-2</v>
      </c>
      <c r="AA6331">
        <v>0.99762240000000002</v>
      </c>
      <c r="AB6331">
        <v>56</v>
      </c>
      <c r="AC6331">
        <v>1.2293999999999901</v>
      </c>
      <c r="AD6331">
        <v>-1.1027626098479999</v>
      </c>
      <c r="AE6331">
        <v>37.356090000000002</v>
      </c>
      <c r="AF6331">
        <v>2.5637304446673301</v>
      </c>
      <c r="AG6331">
        <v>-1.1027626098479999</v>
      </c>
      <c r="AH6331">
        <v>37.255699859884501</v>
      </c>
      <c r="AI6331">
        <v>91.691452827373098</v>
      </c>
      <c r="AJ6331">
        <v>86.063428480107007</v>
      </c>
      <c r="AK6331">
        <v>37.360085267788001</v>
      </c>
      <c r="AL6331">
        <v>90.387505381016794</v>
      </c>
      <c r="AM6331">
        <v>86.573758103179102</v>
      </c>
      <c r="AN6331">
        <v>0.99999996925724199</v>
      </c>
    </row>
    <row r="6332" spans="1:40" x14ac:dyDescent="0.25">
      <c r="A6332" t="str">
        <f>"20190305135950945"</f>
        <v>20190305135950945</v>
      </c>
      <c r="B6332" t="str">
        <f>"1551765590935319"</f>
        <v>1551765590935319</v>
      </c>
      <c r="C6332" t="s">
        <v>40</v>
      </c>
      <c r="D6332">
        <v>4.0686269999999896</v>
      </c>
      <c r="E6332">
        <v>0.55171320000000001</v>
      </c>
      <c r="F6332" t="s">
        <v>42</v>
      </c>
      <c r="G6332">
        <v>-184.49979999999999</v>
      </c>
      <c r="H6332" s="1">
        <v>-3.8335139999999998E-6</v>
      </c>
      <c r="I6332">
        <v>86.294519999999906</v>
      </c>
      <c r="J6332">
        <v>-188.8775</v>
      </c>
      <c r="K6332">
        <v>1.1026530000000001</v>
      </c>
      <c r="L6332">
        <v>55.575009999999999</v>
      </c>
      <c r="M6332">
        <v>-3.1774539999999997E-2</v>
      </c>
      <c r="N6332">
        <v>-1.517136E-2</v>
      </c>
      <c r="O6332">
        <v>0.99937989999999999</v>
      </c>
      <c r="P6332">
        <v>2.7110680000000002E-2</v>
      </c>
      <c r="Q6332">
        <v>-2.1442599999999999E-2</v>
      </c>
      <c r="R6332">
        <v>0.99940249999999997</v>
      </c>
      <c r="S6332">
        <v>0.41715999999999998</v>
      </c>
      <c r="T6332">
        <v>-0.105503399999999</v>
      </c>
      <c r="U6332">
        <v>2.989258</v>
      </c>
      <c r="V6332">
        <v>5.8758249999999998E-2</v>
      </c>
      <c r="W6332">
        <v>-7.1548599999999999E-3</v>
      </c>
      <c r="X6332">
        <v>0.99824659999999998</v>
      </c>
      <c r="Y6332">
        <v>0.16952619999999999</v>
      </c>
      <c r="Z6332">
        <v>-1.9622199999999999E-2</v>
      </c>
      <c r="AA6332">
        <v>0.98533029999999999</v>
      </c>
      <c r="AB6332">
        <v>56</v>
      </c>
      <c r="AC6332">
        <v>4.3776999999999999</v>
      </c>
      <c r="AD6332">
        <v>-1.1026568335139999</v>
      </c>
      <c r="AE6332">
        <v>30.7195099999999</v>
      </c>
      <c r="AF6332">
        <v>5.3449502960818203</v>
      </c>
      <c r="AG6332">
        <v>-1.1026568335139999</v>
      </c>
      <c r="AH6332">
        <v>30.526332113839398</v>
      </c>
      <c r="AI6332">
        <v>92.037736440347203</v>
      </c>
      <c r="AJ6332">
        <v>80.068578526812601</v>
      </c>
      <c r="AK6332">
        <v>31.010341792448902</v>
      </c>
      <c r="AL6332">
        <v>90.409946779057904</v>
      </c>
      <c r="AM6332">
        <v>86.631373705248706</v>
      </c>
      <c r="AN6332">
        <v>0.99999999918812099</v>
      </c>
    </row>
    <row r="6333" spans="1:40" x14ac:dyDescent="0.25">
      <c r="A6333" t="str">
        <f>"20190305135950967"</f>
        <v>20190305135950967</v>
      </c>
      <c r="B6333" t="str">
        <f>"1551765590955815"</f>
        <v>1551765590955815</v>
      </c>
      <c r="C6333" t="s">
        <v>40</v>
      </c>
      <c r="D6333">
        <v>4.0672550000000003</v>
      </c>
      <c r="E6333">
        <v>0.55464469999999899</v>
      </c>
      <c r="F6333" t="s">
        <v>42</v>
      </c>
      <c r="G6333">
        <v>-181.7869</v>
      </c>
      <c r="H6333" s="1">
        <v>-5.2019920000000001E-6</v>
      </c>
      <c r="I6333">
        <v>98.362759999999994</v>
      </c>
      <c r="J6333">
        <v>-188.89340000000001</v>
      </c>
      <c r="K6333">
        <v>1.102554</v>
      </c>
      <c r="L6333">
        <v>56.118470000000002</v>
      </c>
      <c r="M6333">
        <v>-2.7573210000000001E-2</v>
      </c>
      <c r="N6333">
        <v>-1.5224039999999999E-2</v>
      </c>
      <c r="O6333">
        <v>0.9995039</v>
      </c>
      <c r="P6333">
        <v>2.9574070000000001E-2</v>
      </c>
      <c r="Q6333">
        <v>-2.1829370000000001E-2</v>
      </c>
      <c r="R6333">
        <v>0.9993242</v>
      </c>
      <c r="S6333">
        <v>0.49494929999999898</v>
      </c>
      <c r="T6333">
        <v>-7.696915E-2</v>
      </c>
      <c r="U6333">
        <v>2.9867249999999999</v>
      </c>
      <c r="V6333">
        <v>5.7016020000000001E-2</v>
      </c>
      <c r="W6333">
        <v>-7.4772409999999999E-3</v>
      </c>
      <c r="X6333">
        <v>0.99834529999999999</v>
      </c>
      <c r="Y6333">
        <v>0.19056300000000001</v>
      </c>
      <c r="Z6333">
        <v>-1.008188E-2</v>
      </c>
      <c r="AA6333">
        <v>0.98162320000000003</v>
      </c>
      <c r="AB6333">
        <v>56</v>
      </c>
      <c r="AC6333">
        <v>7.1065000000000103</v>
      </c>
      <c r="AD6333">
        <v>-1.1025592019920001</v>
      </c>
      <c r="AE6333">
        <v>42.244289999999999</v>
      </c>
      <c r="AF6333">
        <v>8.2632690766343497</v>
      </c>
      <c r="AG6333">
        <v>-1.1025592019920001</v>
      </c>
      <c r="AH6333">
        <v>42.004427197264199</v>
      </c>
      <c r="AI6333">
        <v>91.475327270228405</v>
      </c>
      <c r="AJ6333">
        <v>78.870675355980794</v>
      </c>
      <c r="AK6333">
        <v>42.823698541777397</v>
      </c>
      <c r="AL6333">
        <v>90.428418328060502</v>
      </c>
      <c r="AM6333">
        <v>86.731358787342003</v>
      </c>
      <c r="AN6333">
        <v>1.0000000368508499</v>
      </c>
    </row>
    <row r="6334" spans="1:40" x14ac:dyDescent="0.25">
      <c r="A6334" t="str">
        <f>"20190305135950989"</f>
        <v>20190305135950989</v>
      </c>
      <c r="B6334" t="str">
        <f>"1551765590985096"</f>
        <v>1551765590985096</v>
      </c>
      <c r="C6334" t="s">
        <v>40</v>
      </c>
      <c r="D6334">
        <v>4.0971419999999998</v>
      </c>
      <c r="E6334">
        <v>0.55515619999999999</v>
      </c>
      <c r="F6334" t="s">
        <v>42</v>
      </c>
      <c r="G6334">
        <v>-180.31120000000001</v>
      </c>
      <c r="H6334" s="1">
        <v>-4.3656220000000004E-6</v>
      </c>
      <c r="I6334">
        <v>104.9012</v>
      </c>
      <c r="J6334">
        <v>-188.90700000000001</v>
      </c>
      <c r="K6334">
        <v>1.1024659999999999</v>
      </c>
      <c r="L6334">
        <v>56.664610000000003</v>
      </c>
      <c r="M6334">
        <v>-2.3303040000000001E-2</v>
      </c>
      <c r="N6334">
        <v>-1.527098E-2</v>
      </c>
      <c r="O6334">
        <v>0.99961180000000005</v>
      </c>
      <c r="P6334">
        <v>3.240908E-2</v>
      </c>
      <c r="Q6334">
        <v>-2.2244369999999999E-2</v>
      </c>
      <c r="R6334">
        <v>0.99922710000000003</v>
      </c>
      <c r="S6334">
        <v>0.52514649999999996</v>
      </c>
      <c r="T6334">
        <v>-6.7465540000000004E-2</v>
      </c>
      <c r="U6334">
        <v>2.9850159999999999</v>
      </c>
      <c r="V6334">
        <v>5.5576309999999997E-2</v>
      </c>
      <c r="W6334">
        <v>-7.8362420000000002E-3</v>
      </c>
      <c r="X6334">
        <v>0.99842370000000003</v>
      </c>
      <c r="Y6334">
        <v>0.19611290000000001</v>
      </c>
      <c r="Z6334">
        <v>-6.8958539999999999E-3</v>
      </c>
      <c r="AA6334">
        <v>0.98055709999999996</v>
      </c>
      <c r="AB6334">
        <v>56</v>
      </c>
      <c r="AC6334">
        <v>8.5957999999999899</v>
      </c>
      <c r="AD6334">
        <v>-1.1024703656219901</v>
      </c>
      <c r="AE6334">
        <v>48.23659</v>
      </c>
      <c r="AF6334">
        <v>9.7127380139985497</v>
      </c>
      <c r="AG6334">
        <v>-1.1024703656219901</v>
      </c>
      <c r="AH6334">
        <v>47.998854942548</v>
      </c>
      <c r="AI6334">
        <v>91.289647524292306</v>
      </c>
      <c r="AJ6334">
        <v>78.560465183721007</v>
      </c>
      <c r="AK6334">
        <v>48.984107590435997</v>
      </c>
      <c r="AL6334">
        <v>90.448988185108405</v>
      </c>
      <c r="AM6334">
        <v>86.813972585154403</v>
      </c>
      <c r="AN6334">
        <v>1.00000000882179</v>
      </c>
    </row>
    <row r="6335" spans="1:40" x14ac:dyDescent="0.25">
      <c r="A6335" t="str">
        <f>"20190305135951013"</f>
        <v>20190305135951013</v>
      </c>
      <c r="B6335" t="str">
        <f>"1551765591005591"</f>
        <v>1551765591005591</v>
      </c>
      <c r="C6335" t="s">
        <v>40</v>
      </c>
      <c r="D6335">
        <v>4.1049020000000001</v>
      </c>
      <c r="E6335">
        <v>0.55519469999999904</v>
      </c>
      <c r="F6335" t="s">
        <v>42</v>
      </c>
      <c r="G6335">
        <v>-179.95779999999999</v>
      </c>
      <c r="H6335">
        <v>1.3634439999999999E-2</v>
      </c>
      <c r="I6335">
        <v>106.3458</v>
      </c>
      <c r="J6335">
        <v>-188.91900000000001</v>
      </c>
      <c r="K6335">
        <v>1.1023860000000001</v>
      </c>
      <c r="L6335">
        <v>57.249690000000001</v>
      </c>
      <c r="M6335">
        <v>-1.867887E-2</v>
      </c>
      <c r="N6335">
        <v>-1.531531E-2</v>
      </c>
      <c r="O6335">
        <v>0.99970820000000005</v>
      </c>
      <c r="P6335">
        <v>3.5123920000000003E-2</v>
      </c>
      <c r="Q6335">
        <v>-2.2073740000000001E-2</v>
      </c>
      <c r="R6335">
        <v>0.99913909999999995</v>
      </c>
      <c r="S6335">
        <v>0.53741459999999996</v>
      </c>
      <c r="T6335">
        <v>-6.5385940000000004E-2</v>
      </c>
      <c r="U6335">
        <v>2.9834290000000001</v>
      </c>
      <c r="V6335">
        <v>5.3672789999999998E-2</v>
      </c>
      <c r="W6335">
        <v>-7.603159E-3</v>
      </c>
      <c r="X6335">
        <v>0.99852960000000002</v>
      </c>
      <c r="Y6335">
        <v>0.195576</v>
      </c>
      <c r="Z6335">
        <v>-6.1809109999999999E-3</v>
      </c>
      <c r="AA6335">
        <v>0.98066909999999896</v>
      </c>
      <c r="AB6335">
        <v>56</v>
      </c>
      <c r="AC6335">
        <v>8.9612000000000194</v>
      </c>
      <c r="AD6335">
        <v>-1.08875156</v>
      </c>
      <c r="AE6335">
        <v>49.096110000000003</v>
      </c>
      <c r="AF6335">
        <v>9.8721053699865404</v>
      </c>
      <c r="AG6335">
        <v>-1.08875156</v>
      </c>
      <c r="AH6335">
        <v>48.896866868639002</v>
      </c>
      <c r="AI6335">
        <v>91.250332990561603</v>
      </c>
      <c r="AJ6335">
        <v>78.585624600680205</v>
      </c>
      <c r="AK6335">
        <v>49.895364854512501</v>
      </c>
      <c r="AL6335">
        <v>90.4356331323158</v>
      </c>
      <c r="AM6335">
        <v>86.923208126231302</v>
      </c>
      <c r="AN6335">
        <v>0.99999996924466095</v>
      </c>
    </row>
    <row r="6336" spans="1:40" x14ac:dyDescent="0.25">
      <c r="A6336" t="str">
        <f>"20190305135951034"</f>
        <v>20190305135951034</v>
      </c>
      <c r="B6336" t="str">
        <f>"1551765591025111"</f>
        <v>1551765591025111</v>
      </c>
      <c r="C6336" t="s">
        <v>40</v>
      </c>
      <c r="D6336">
        <v>4.1146269999999996</v>
      </c>
      <c r="E6336">
        <v>0.55524370000000001</v>
      </c>
      <c r="F6336" t="s">
        <v>42</v>
      </c>
      <c r="G6336">
        <v>-179.95779999999999</v>
      </c>
      <c r="H6336">
        <v>2.956918E-2</v>
      </c>
      <c r="I6336">
        <v>106.2179</v>
      </c>
      <c r="J6336">
        <v>-188.92779999999999</v>
      </c>
      <c r="K6336">
        <v>1.10233</v>
      </c>
      <c r="L6336">
        <v>57.804200000000002</v>
      </c>
      <c r="M6336">
        <v>-1.4256609999999999E-2</v>
      </c>
      <c r="N6336">
        <v>-1.535187E-2</v>
      </c>
      <c r="O6336">
        <v>0.99978049999999996</v>
      </c>
      <c r="P6336">
        <v>3.5705679999999997E-2</v>
      </c>
      <c r="Q6336">
        <v>-2.1076279999999999E-2</v>
      </c>
      <c r="R6336">
        <v>0.99914009999999998</v>
      </c>
      <c r="S6336">
        <v>0.54570010000000002</v>
      </c>
      <c r="T6336">
        <v>-6.5330150000000003E-2</v>
      </c>
      <c r="U6336">
        <v>2.9819640000000001</v>
      </c>
      <c r="V6336">
        <v>4.9853250000000002E-2</v>
      </c>
      <c r="W6336">
        <v>-6.5163869999999898E-3</v>
      </c>
      <c r="X6336">
        <v>0.99873529999999999</v>
      </c>
      <c r="Y6336">
        <v>0.19395999999999999</v>
      </c>
      <c r="Z6336">
        <v>-6.1426579999999996E-3</v>
      </c>
      <c r="AA6336">
        <v>0.98099020000000003</v>
      </c>
      <c r="AB6336">
        <v>56</v>
      </c>
      <c r="AC6336">
        <v>8.96999999999999</v>
      </c>
      <c r="AD6336">
        <v>-1.0727608200000001</v>
      </c>
      <c r="AE6336">
        <v>48.413699999999999</v>
      </c>
      <c r="AF6336">
        <v>9.6548017071318295</v>
      </c>
      <c r="AG6336">
        <v>-1.0727608200000001</v>
      </c>
      <c r="AH6336">
        <v>48.2579740347756</v>
      </c>
      <c r="AI6336">
        <v>91.248721129272198</v>
      </c>
      <c r="AJ6336">
        <v>78.686406522862697</v>
      </c>
      <c r="AK6336">
        <v>49.225989778998198</v>
      </c>
      <c r="AL6336">
        <v>90.373364113448005</v>
      </c>
      <c r="AM6336">
        <v>87.142373962239105</v>
      </c>
      <c r="AN6336">
        <v>1.0000000046505899</v>
      </c>
    </row>
    <row r="6337" spans="1:40" x14ac:dyDescent="0.25">
      <c r="A6337" t="str">
        <f>"20190305135951059"</f>
        <v>20190305135951059</v>
      </c>
      <c r="B6337" t="str">
        <f>"1551765591055367"</f>
        <v>1551765591055367</v>
      </c>
      <c r="C6337" t="s">
        <v>40</v>
      </c>
      <c r="D6337">
        <v>4.101394</v>
      </c>
      <c r="E6337">
        <v>0.5552473</v>
      </c>
      <c r="F6337" t="s">
        <v>42</v>
      </c>
      <c r="G6337">
        <v>-179.53880000000001</v>
      </c>
      <c r="H6337">
        <v>7.9986619999999994E-2</v>
      </c>
      <c r="I6337">
        <v>108.9162</v>
      </c>
      <c r="J6337">
        <v>-188.93450000000001</v>
      </c>
      <c r="K6337">
        <v>1.1022959999999999</v>
      </c>
      <c r="L6337">
        <v>58.386960000000002</v>
      </c>
      <c r="M6337">
        <v>-9.5871729999999992E-3</v>
      </c>
      <c r="N6337">
        <v>-1.5384699999999999E-2</v>
      </c>
      <c r="O6337">
        <v>0.99983569999999999</v>
      </c>
      <c r="P6337">
        <v>3.5378930000000003E-2</v>
      </c>
      <c r="Q6337">
        <v>-1.9093969999999998E-2</v>
      </c>
      <c r="R6337">
        <v>0.99919150000000001</v>
      </c>
      <c r="S6337">
        <v>0.54772949999999998</v>
      </c>
      <c r="T6337">
        <v>-5.9641E-2</v>
      </c>
      <c r="U6337">
        <v>2.9817499999999999</v>
      </c>
      <c r="V6337">
        <v>4.4894219999999999E-2</v>
      </c>
      <c r="W6337">
        <v>-4.4267020000000002E-3</v>
      </c>
      <c r="X6337">
        <v>0.99898200000000004</v>
      </c>
      <c r="Y6337">
        <v>0.19004080000000001</v>
      </c>
      <c r="Z6337">
        <v>-4.2526509999999997E-3</v>
      </c>
      <c r="AA6337">
        <v>0.98176699999999995</v>
      </c>
      <c r="AB6337">
        <v>55</v>
      </c>
      <c r="AC6337">
        <v>9.3956999999999997</v>
      </c>
      <c r="AD6337">
        <v>-1.02230938</v>
      </c>
      <c r="AE6337">
        <v>50.529240000000001</v>
      </c>
      <c r="AF6337">
        <v>9.8758505573546902</v>
      </c>
      <c r="AG6337">
        <v>-1.02230938</v>
      </c>
      <c r="AH6337">
        <v>50.416880666722797</v>
      </c>
      <c r="AI6337">
        <v>91.139975532083696</v>
      </c>
      <c r="AJ6337">
        <v>78.917015646624805</v>
      </c>
      <c r="AK6337">
        <v>51.385206011674299</v>
      </c>
      <c r="AL6337">
        <v>90.253632154517305</v>
      </c>
      <c r="AM6337">
        <v>87.426860757348095</v>
      </c>
      <c r="AN6337">
        <v>1.0000000615019999</v>
      </c>
    </row>
    <row r="6338" spans="1:40" x14ac:dyDescent="0.25">
      <c r="A6338" t="str">
        <f>"20190305135951079"</f>
        <v>20190305135951079</v>
      </c>
      <c r="B6338" t="str">
        <f>"1551765591074888"</f>
        <v>1551765591074888</v>
      </c>
      <c r="C6338" t="s">
        <v>40</v>
      </c>
      <c r="D6338">
        <v>4.0648809999999997</v>
      </c>
      <c r="E6338">
        <v>0.55533089999999996</v>
      </c>
      <c r="F6338" t="s">
        <v>45</v>
      </c>
      <c r="G6338">
        <v>-177.81950000000001</v>
      </c>
      <c r="H6338">
        <v>0.1104762</v>
      </c>
      <c r="I6338">
        <v>119.01949999999999</v>
      </c>
      <c r="J6338">
        <v>-188.93799999999999</v>
      </c>
      <c r="K6338">
        <v>1.102293</v>
      </c>
      <c r="L6338">
        <v>58.905459999999998</v>
      </c>
      <c r="M6338">
        <v>-5.4500449999999997E-3</v>
      </c>
      <c r="N6338">
        <v>-1.5408949999999999E-2</v>
      </c>
      <c r="O6338">
        <v>0.99986640000000004</v>
      </c>
      <c r="P6338">
        <v>3.573573E-2</v>
      </c>
      <c r="Q6338">
        <v>-1.4852300000000001E-2</v>
      </c>
      <c r="R6338">
        <v>0.99925090000000005</v>
      </c>
      <c r="S6338">
        <v>0.54667659999999996</v>
      </c>
      <c r="T6338">
        <v>-4.8781629999999999E-2</v>
      </c>
      <c r="U6338">
        <v>2.9821469999999999</v>
      </c>
      <c r="V6338">
        <v>4.1185270000000003E-2</v>
      </c>
      <c r="W6338">
        <v>-1.017826E-4</v>
      </c>
      <c r="X6338">
        <v>0.99915149999999997</v>
      </c>
      <c r="Y6338">
        <v>0.18562580000000001</v>
      </c>
      <c r="Z6338">
        <v>-6.6280479999999997E-4</v>
      </c>
      <c r="AA6338">
        <v>0.9826203</v>
      </c>
      <c r="AB6338">
        <v>55</v>
      </c>
      <c r="AC6338">
        <v>11.1184999999999</v>
      </c>
      <c r="AD6338">
        <v>-0.99181680000000005</v>
      </c>
      <c r="AE6338">
        <v>60.114040000000003</v>
      </c>
      <c r="AF6338">
        <v>11.442986054198499</v>
      </c>
      <c r="AG6338">
        <v>-0.99181680000000005</v>
      </c>
      <c r="AH6338">
        <v>60.036741191483202</v>
      </c>
      <c r="AI6338">
        <v>90.929715761589804</v>
      </c>
      <c r="AJ6338">
        <v>79.208872370921398</v>
      </c>
      <c r="AK6338">
        <v>61.125575034468902</v>
      </c>
      <c r="AL6338">
        <v>90.005831713543898</v>
      </c>
      <c r="AM6338">
        <v>87.639590168384103</v>
      </c>
      <c r="AN6338">
        <v>0.99999997838846</v>
      </c>
    </row>
    <row r="6339" spans="1:40" x14ac:dyDescent="0.25">
      <c r="A6339" t="str">
        <f>"20190305135951103"</f>
        <v>20190305135951103</v>
      </c>
      <c r="B6339" t="str">
        <f>"1551765591095384"</f>
        <v>1551765591095384</v>
      </c>
      <c r="C6339" t="s">
        <v>40</v>
      </c>
      <c r="D6339">
        <v>4.126862</v>
      </c>
      <c r="E6339">
        <v>0.55567089999999997</v>
      </c>
      <c r="F6339" t="s">
        <v>45</v>
      </c>
      <c r="G6339">
        <v>-177.82</v>
      </c>
      <c r="H6339">
        <v>0.31105699999999997</v>
      </c>
      <c r="I6339">
        <v>119.34739999999999</v>
      </c>
      <c r="J6339">
        <v>-188.93940000000001</v>
      </c>
      <c r="K6339">
        <v>1.102319</v>
      </c>
      <c r="L6339">
        <v>59.470309999999998</v>
      </c>
      <c r="M6339">
        <v>-9.8180110000000006E-4</v>
      </c>
      <c r="N6339">
        <v>-1.5429419999999999E-2</v>
      </c>
      <c r="O6339">
        <v>0.99988049999999995</v>
      </c>
      <c r="P6339">
        <v>3.8277440000000003E-2</v>
      </c>
      <c r="Q6339">
        <v>-8.9011300000000002E-3</v>
      </c>
      <c r="R6339">
        <v>0.99922750000000005</v>
      </c>
      <c r="S6339">
        <v>0.54853819999999998</v>
      </c>
      <c r="T6339">
        <v>-3.9037700000000002E-2</v>
      </c>
      <c r="U6339">
        <v>2.982056</v>
      </c>
      <c r="V6339">
        <v>3.9355920000000003E-2</v>
      </c>
      <c r="W6339">
        <v>5.9006509999999998E-3</v>
      </c>
      <c r="X6339">
        <v>0.99920790000000004</v>
      </c>
      <c r="Y6339">
        <v>0.18183679999999999</v>
      </c>
      <c r="Z6339">
        <v>2.558374E-3</v>
      </c>
      <c r="AA6339">
        <v>0.98332540000000002</v>
      </c>
      <c r="AB6339">
        <v>55</v>
      </c>
      <c r="AC6339">
        <v>11.119400000000001</v>
      </c>
      <c r="AD6339">
        <v>-0.79126200000000002</v>
      </c>
      <c r="AE6339">
        <v>59.877090000000003</v>
      </c>
      <c r="AF6339">
        <v>11.1763023735174</v>
      </c>
      <c r="AG6339">
        <v>-0.79126200000000002</v>
      </c>
      <c r="AH6339">
        <v>59.856038579062201</v>
      </c>
      <c r="AI6339">
        <v>90.744507084358304</v>
      </c>
      <c r="AJ6339">
        <v>79.423539589855693</v>
      </c>
      <c r="AK6339">
        <v>60.895658175892301</v>
      </c>
      <c r="AL6339">
        <v>89.661915661990093</v>
      </c>
      <c r="AM6339">
        <v>87.744450237237601</v>
      </c>
      <c r="AN6339">
        <v>1.0000000667718301</v>
      </c>
    </row>
    <row r="6340" spans="1:40" x14ac:dyDescent="0.25">
      <c r="A6340" t="str">
        <f>"20190305135951123"</f>
        <v>20190305135951123</v>
      </c>
      <c r="B6340" t="str">
        <f>"1551765591114904"</f>
        <v>1551765591114904</v>
      </c>
      <c r="C6340" t="s">
        <v>40</v>
      </c>
      <c r="D6340">
        <v>4.1081659999999998</v>
      </c>
      <c r="E6340">
        <v>0.55611940000000004</v>
      </c>
      <c r="F6340" t="s">
        <v>45</v>
      </c>
      <c r="G6340">
        <v>-177.7122</v>
      </c>
      <c r="H6340">
        <v>0.7378017</v>
      </c>
      <c r="I6340">
        <v>119.3622</v>
      </c>
      <c r="J6340">
        <v>-188.9385</v>
      </c>
      <c r="K6340">
        <v>1.1023559999999999</v>
      </c>
      <c r="L6340">
        <v>60.010309999999997</v>
      </c>
      <c r="M6340">
        <v>3.201387E-3</v>
      </c>
      <c r="N6340">
        <v>-1.544414E-2</v>
      </c>
      <c r="O6340">
        <v>0.99987559999999998</v>
      </c>
      <c r="P6340">
        <v>4.1897610000000002E-2</v>
      </c>
      <c r="Q6340">
        <v>-4.4950349999999997E-3</v>
      </c>
      <c r="R6340">
        <v>0.99911179999999999</v>
      </c>
      <c r="S6340">
        <v>0.55876159999999997</v>
      </c>
      <c r="T6340">
        <v>-1.8141629999999999E-2</v>
      </c>
      <c r="U6340">
        <v>2.9807429999999999</v>
      </c>
      <c r="V6340">
        <v>3.8864339999999997E-2</v>
      </c>
      <c r="W6340">
        <v>1.03327E-2</v>
      </c>
      <c r="X6340">
        <v>0.99919100000000005</v>
      </c>
      <c r="Y6340">
        <v>0.181062</v>
      </c>
      <c r="Z6340">
        <v>9.4562610000000005E-3</v>
      </c>
      <c r="AA6340">
        <v>0.98342620000000003</v>
      </c>
      <c r="AB6340">
        <v>55</v>
      </c>
      <c r="AC6340">
        <v>11.2263</v>
      </c>
      <c r="AD6340">
        <v>-0.364554299999999</v>
      </c>
      <c r="AE6340">
        <v>59.351889999999997</v>
      </c>
      <c r="AF6340">
        <v>11.035809452970501</v>
      </c>
      <c r="AG6340">
        <v>-0.364554299999999</v>
      </c>
      <c r="AH6340">
        <v>59.385366739846702</v>
      </c>
      <c r="AI6340">
        <v>90.345802169556507</v>
      </c>
      <c r="AJ6340">
        <v>79.472595450479403</v>
      </c>
      <c r="AK6340">
        <v>60.403176844815199</v>
      </c>
      <c r="AL6340">
        <v>89.407969321445407</v>
      </c>
      <c r="AM6340">
        <v>87.772557269406505</v>
      </c>
      <c r="AN6340">
        <v>0.99999992804696003</v>
      </c>
    </row>
    <row r="6341" spans="1:40" x14ac:dyDescent="0.25">
      <c r="A6341" t="str">
        <f>"20190305135951146"</f>
        <v>20190305135951146</v>
      </c>
      <c r="B6341" t="str">
        <f>"1551765591135399"</f>
        <v>1551765591135399</v>
      </c>
      <c r="C6341" t="s">
        <v>40</v>
      </c>
      <c r="D6341">
        <v>4.1574339999999896</v>
      </c>
      <c r="E6341">
        <v>0.5565928</v>
      </c>
      <c r="F6341" t="s">
        <v>45</v>
      </c>
      <c r="G6341">
        <v>-177.49870000000001</v>
      </c>
      <c r="H6341">
        <v>1.0817939999999999</v>
      </c>
      <c r="I6341">
        <v>119.48609999999999</v>
      </c>
      <c r="J6341">
        <v>-188.93539999999999</v>
      </c>
      <c r="K6341">
        <v>1.1024529999999999</v>
      </c>
      <c r="L6341">
        <v>60.561219999999999</v>
      </c>
      <c r="M6341">
        <v>7.3070239999999996E-3</v>
      </c>
      <c r="N6341">
        <v>-1.5453980000000001E-2</v>
      </c>
      <c r="O6341">
        <v>0.99985389999999996</v>
      </c>
      <c r="P6341">
        <v>4.7082659999999998E-2</v>
      </c>
      <c r="Q6341">
        <v>-1.5937989999999999E-3</v>
      </c>
      <c r="R6341">
        <v>0.99888969999999999</v>
      </c>
      <c r="S6341">
        <v>0.57292180000000004</v>
      </c>
      <c r="T6341">
        <v>-1.029849E-3</v>
      </c>
      <c r="U6341">
        <v>2.9786380000000001</v>
      </c>
      <c r="V6341">
        <v>3.9989990000000003E-2</v>
      </c>
      <c r="W6341">
        <v>1.323453E-2</v>
      </c>
      <c r="X6341">
        <v>0.99911240000000001</v>
      </c>
      <c r="Y6341">
        <v>0.1816564</v>
      </c>
      <c r="Z6341">
        <v>1.5103500000000001E-2</v>
      </c>
      <c r="AA6341">
        <v>0.98324610000000001</v>
      </c>
      <c r="AB6341">
        <v>55</v>
      </c>
      <c r="AC6341">
        <v>11.436699999999901</v>
      </c>
      <c r="AD6341">
        <v>-2.06589999999999E-2</v>
      </c>
      <c r="AE6341">
        <v>58.924880000000002</v>
      </c>
      <c r="AF6341">
        <v>11.0057763736275</v>
      </c>
      <c r="AG6341">
        <v>-2.06589999999999E-2</v>
      </c>
      <c r="AH6341">
        <v>59.006877757848599</v>
      </c>
      <c r="AI6341">
        <v>90.019719843870405</v>
      </c>
      <c r="AJ6341">
        <v>79.434772196851895</v>
      </c>
      <c r="AK6341">
        <v>60.024488028722601</v>
      </c>
      <c r="AL6341">
        <v>89.241695126746293</v>
      </c>
      <c r="AM6341">
        <v>87.707930298035706</v>
      </c>
      <c r="AN6341">
        <v>0.99999996995913998</v>
      </c>
    </row>
    <row r="6342" spans="1:40" x14ac:dyDescent="0.25">
      <c r="A6342" t="str">
        <f>"20190305135951167"</f>
        <v>20190305135951167</v>
      </c>
      <c r="B6342" t="str">
        <f>"1551765591165656"</f>
        <v>1551765591165656</v>
      </c>
      <c r="C6342" t="s">
        <v>40</v>
      </c>
      <c r="D6342">
        <v>4.1464569999999998</v>
      </c>
      <c r="E6342">
        <v>0.55716379999999999</v>
      </c>
      <c r="F6342" t="s">
        <v>70</v>
      </c>
      <c r="G6342">
        <v>-166.88059999999999</v>
      </c>
      <c r="H6342">
        <v>1.5002740000000001</v>
      </c>
      <c r="I6342">
        <v>171.4177</v>
      </c>
      <c r="J6342">
        <v>-188.93039999999999</v>
      </c>
      <c r="K6342">
        <v>1.102611</v>
      </c>
      <c r="L6342">
        <v>61.090179999999997</v>
      </c>
      <c r="M6342">
        <v>1.1023750000000001E-2</v>
      </c>
      <c r="N6342">
        <v>-1.5458080000000001E-2</v>
      </c>
      <c r="O6342">
        <v>0.99981980000000004</v>
      </c>
      <c r="P6342">
        <v>5.2623549999999998E-2</v>
      </c>
      <c r="Q6342">
        <v>5.5327890000000002E-4</v>
      </c>
      <c r="R6342">
        <v>0.99861429999999995</v>
      </c>
      <c r="S6342">
        <v>0.59196470000000001</v>
      </c>
      <c r="T6342">
        <v>1.067865E-2</v>
      </c>
      <c r="U6342">
        <v>2.9754640000000001</v>
      </c>
      <c r="V6342">
        <v>4.1846399999999999E-2</v>
      </c>
      <c r="W6342">
        <v>1.537054E-2</v>
      </c>
      <c r="X6342">
        <v>0.99900580000000005</v>
      </c>
      <c r="Y6342">
        <v>0.18424769999999999</v>
      </c>
      <c r="Z6342">
        <v>1.896407E-2</v>
      </c>
      <c r="AA6342">
        <v>0.98269689999999998</v>
      </c>
      <c r="AB6342">
        <v>55</v>
      </c>
      <c r="AC6342">
        <v>22.049800000000001</v>
      </c>
      <c r="AD6342">
        <v>0.39766299999999899</v>
      </c>
      <c r="AE6342">
        <v>110.32752000000001</v>
      </c>
      <c r="AF6342">
        <v>20.8318313469949</v>
      </c>
      <c r="AG6342">
        <v>0.39766299999999899</v>
      </c>
      <c r="AH6342">
        <v>110.56253382734999</v>
      </c>
      <c r="AI6342">
        <v>89.797487053629496</v>
      </c>
      <c r="AJ6342">
        <v>79.329612129524804</v>
      </c>
      <c r="AK6342">
        <v>112.50865397584001</v>
      </c>
      <c r="AL6342">
        <v>89.119298232457595</v>
      </c>
      <c r="AM6342">
        <v>87.601394019578606</v>
      </c>
      <c r="AN6342">
        <v>0.99999998156324499</v>
      </c>
    </row>
    <row r="6343" spans="1:40" x14ac:dyDescent="0.25">
      <c r="A6343" t="str">
        <f>"20190305135951191"</f>
        <v>20190305135951191</v>
      </c>
      <c r="B6343" t="str">
        <f>"1551765591185176"</f>
        <v>1551765591185176</v>
      </c>
      <c r="C6343" t="s">
        <v>40</v>
      </c>
      <c r="D6343">
        <v>4.17211</v>
      </c>
      <c r="E6343">
        <v>0.55749320000000002</v>
      </c>
      <c r="F6343" t="s">
        <v>70</v>
      </c>
      <c r="G6343">
        <v>-166.30199999999999</v>
      </c>
      <c r="H6343">
        <v>1.858859</v>
      </c>
      <c r="I6343">
        <v>170.83940000000001</v>
      </c>
      <c r="J6343">
        <v>-188.92310000000001</v>
      </c>
      <c r="K6343">
        <v>1.1028469999999999</v>
      </c>
      <c r="L6343">
        <v>61.655430000000003</v>
      </c>
      <c r="M6343">
        <v>1.4676079999999999E-2</v>
      </c>
      <c r="N6343">
        <v>-1.5456869999999999E-2</v>
      </c>
      <c r="O6343">
        <v>0.99977280000000002</v>
      </c>
      <c r="P6343">
        <v>5.9355720000000001E-2</v>
      </c>
      <c r="Q6343" s="1">
        <v>4.8055079999999999E-5</v>
      </c>
      <c r="R6343">
        <v>0.99823689999999998</v>
      </c>
      <c r="S6343">
        <v>0.61274719999999905</v>
      </c>
      <c r="T6343">
        <v>2.047908E-2</v>
      </c>
      <c r="U6343">
        <v>2.9718629999999999</v>
      </c>
      <c r="V6343">
        <v>4.4916980000000002E-2</v>
      </c>
      <c r="W6343">
        <v>1.4840839999999999E-2</v>
      </c>
      <c r="X6343">
        <v>0.99888049999999995</v>
      </c>
      <c r="Y6343">
        <v>0.1874759</v>
      </c>
      <c r="Z6343">
        <v>2.2190100000000001E-2</v>
      </c>
      <c r="AA6343">
        <v>0.98201850000000002</v>
      </c>
      <c r="AB6343">
        <v>55</v>
      </c>
      <c r="AC6343">
        <v>22.621099999999899</v>
      </c>
      <c r="AD6343">
        <v>0.75601200000000002</v>
      </c>
      <c r="AE6343">
        <v>109.18397</v>
      </c>
      <c r="AF6343">
        <v>21.015112878316401</v>
      </c>
      <c r="AG6343">
        <v>0.75601200000000002</v>
      </c>
      <c r="AH6343">
        <v>109.49920306292</v>
      </c>
      <c r="AI6343">
        <v>89.611510555791398</v>
      </c>
      <c r="AJ6343">
        <v>79.135882389363005</v>
      </c>
      <c r="AK6343">
        <v>111.500143474558</v>
      </c>
      <c r="AL6343">
        <v>89.1496513032059</v>
      </c>
      <c r="AM6343">
        <v>87.425296762183606</v>
      </c>
      <c r="AN6343">
        <v>1.00000001945223</v>
      </c>
    </row>
    <row r="6344" spans="1:40" x14ac:dyDescent="0.25">
      <c r="A6344" t="str">
        <f>"20190305135951215"</f>
        <v>20190305135951215</v>
      </c>
      <c r="B6344" t="str">
        <f>"1551765591205672"</f>
        <v>1551765591205672</v>
      </c>
      <c r="C6344" t="s">
        <v>40</v>
      </c>
      <c r="D6344">
        <v>4.1154669999999998</v>
      </c>
      <c r="E6344">
        <v>0.55764250000000004</v>
      </c>
      <c r="F6344" t="s">
        <v>70</v>
      </c>
      <c r="G6344">
        <v>-165.67840000000001</v>
      </c>
      <c r="H6344">
        <v>1.83233</v>
      </c>
      <c r="I6344">
        <v>170.2165</v>
      </c>
      <c r="J6344">
        <v>-188.9135</v>
      </c>
      <c r="K6344">
        <v>1.10317</v>
      </c>
      <c r="L6344">
        <v>62.252719999999997</v>
      </c>
      <c r="M6344">
        <v>1.8114249999999998E-2</v>
      </c>
      <c r="N6344">
        <v>-1.5450729999999999E-2</v>
      </c>
      <c r="O6344">
        <v>0.99971650000000001</v>
      </c>
      <c r="P6344">
        <v>6.5773540000000005E-2</v>
      </c>
      <c r="Q6344">
        <v>-1.7431440000000001E-3</v>
      </c>
      <c r="R6344">
        <v>0.99783310000000003</v>
      </c>
      <c r="S6344">
        <v>0.63539119999999905</v>
      </c>
      <c r="T6344">
        <v>1.9941210000000001E-2</v>
      </c>
      <c r="U6344">
        <v>2.9674990000000001</v>
      </c>
      <c r="V6344">
        <v>4.7868609999999999E-2</v>
      </c>
      <c r="W6344">
        <v>1.3035710000000001E-2</v>
      </c>
      <c r="X6344">
        <v>0.99876860000000001</v>
      </c>
      <c r="Y6344">
        <v>0.19155820000000001</v>
      </c>
      <c r="Z6344">
        <v>2.200123E-2</v>
      </c>
      <c r="AA6344">
        <v>0.98123459999999996</v>
      </c>
      <c r="AB6344">
        <v>55</v>
      </c>
      <c r="AC6344">
        <v>23.2350999999999</v>
      </c>
      <c r="AD6344">
        <v>0.72916000000000003</v>
      </c>
      <c r="AE6344">
        <v>107.96378</v>
      </c>
      <c r="AF6344">
        <v>21.2744428720939</v>
      </c>
      <c r="AG6344">
        <v>0.72916000000000003</v>
      </c>
      <c r="AH6344">
        <v>108.362274179248</v>
      </c>
      <c r="AI6344">
        <v>89.621689379967194</v>
      </c>
      <c r="AJ6344">
        <v>78.892561623816803</v>
      </c>
      <c r="AK6344">
        <v>110.433310459852</v>
      </c>
      <c r="AL6344">
        <v>89.253087697894301</v>
      </c>
      <c r="AM6344">
        <v>87.256048907961201</v>
      </c>
      <c r="AN6344">
        <v>1.0000000249522401</v>
      </c>
    </row>
    <row r="6345" spans="1:40" x14ac:dyDescent="0.25">
      <c r="A6345" t="str">
        <f>"20190305135951236"</f>
        <v>20190305135951236</v>
      </c>
      <c r="B6345" t="str">
        <f>"1551765591225191"</f>
        <v>1551765591225191</v>
      </c>
      <c r="C6345" t="s">
        <v>40</v>
      </c>
      <c r="D6345">
        <v>4.1425929999999997</v>
      </c>
      <c r="E6345">
        <v>0.55776579999999998</v>
      </c>
      <c r="F6345" t="s">
        <v>70</v>
      </c>
      <c r="G6345">
        <v>-165.14359999999999</v>
      </c>
      <c r="H6345">
        <v>1.6521749999999999</v>
      </c>
      <c r="I6345">
        <v>169.6824</v>
      </c>
      <c r="J6345">
        <v>-188.9033</v>
      </c>
      <c r="K6345">
        <v>1.1035299999999999</v>
      </c>
      <c r="L6345">
        <v>62.78839</v>
      </c>
      <c r="M6345">
        <v>2.0772820000000001E-2</v>
      </c>
      <c r="N6345">
        <v>-1.5442839999999999E-2</v>
      </c>
      <c r="O6345">
        <v>0.99966500000000003</v>
      </c>
      <c r="P6345">
        <v>7.2740289999999999E-2</v>
      </c>
      <c r="Q6345">
        <v>-3.423377E-3</v>
      </c>
      <c r="R6345">
        <v>0.99734500000000004</v>
      </c>
      <c r="S6345">
        <v>0.65567019999999998</v>
      </c>
      <c r="T6345">
        <v>1.514471E-2</v>
      </c>
      <c r="U6345">
        <v>2.9633479999999999</v>
      </c>
      <c r="V6345">
        <v>5.2154159999999998E-2</v>
      </c>
      <c r="W6345">
        <v>1.1330659999999999E-2</v>
      </c>
      <c r="X6345">
        <v>0.99857479999999998</v>
      </c>
      <c r="Y6345">
        <v>0.19564300000000001</v>
      </c>
      <c r="Z6345">
        <v>2.04061E-2</v>
      </c>
      <c r="AA6345">
        <v>0.98046279999999997</v>
      </c>
      <c r="AB6345">
        <v>55</v>
      </c>
      <c r="AC6345">
        <v>23.759699999999999</v>
      </c>
      <c r="AD6345">
        <v>0.54864499999999905</v>
      </c>
      <c r="AE6345">
        <v>106.89400999999999</v>
      </c>
      <c r="AF6345">
        <v>21.533276657084102</v>
      </c>
      <c r="AG6345">
        <v>0.54864499999999905</v>
      </c>
      <c r="AH6345">
        <v>107.361858750563</v>
      </c>
      <c r="AI6345">
        <v>89.712924393075099</v>
      </c>
      <c r="AJ6345">
        <v>78.658817949465103</v>
      </c>
      <c r="AK6345">
        <v>109.50137775070399</v>
      </c>
      <c r="AL6345">
        <v>89.350787134184102</v>
      </c>
      <c r="AM6345">
        <v>87.010238410158493</v>
      </c>
      <c r="AN6345">
        <v>1.00000003572819</v>
      </c>
    </row>
    <row r="6346" spans="1:40" x14ac:dyDescent="0.25">
      <c r="A6346" t="str">
        <f>"20190305135951257"</f>
        <v>20190305135951257</v>
      </c>
      <c r="B6346" t="str">
        <f>"1551765591255448"</f>
        <v>1551765591255448</v>
      </c>
      <c r="C6346" t="s">
        <v>40</v>
      </c>
      <c r="D6346">
        <v>4.2982440000000004</v>
      </c>
      <c r="E6346">
        <v>0.55794779999999999</v>
      </c>
      <c r="F6346" t="s">
        <v>70</v>
      </c>
      <c r="G6346">
        <v>-164.56720000000001</v>
      </c>
      <c r="H6346">
        <v>1.4960059999999999</v>
      </c>
      <c r="I6346">
        <v>169.10669999999999</v>
      </c>
      <c r="J6346">
        <v>-188.8921</v>
      </c>
      <c r="K6346">
        <v>1.103931</v>
      </c>
      <c r="L6346">
        <v>63.312040000000003</v>
      </c>
      <c r="M6346">
        <v>2.2970020000000001E-2</v>
      </c>
      <c r="N6346">
        <v>-1.5434730000000001E-2</v>
      </c>
      <c r="O6346">
        <v>0.99961699999999998</v>
      </c>
      <c r="P6346">
        <v>7.9913819999999997E-2</v>
      </c>
      <c r="Q6346">
        <v>-3.129213E-3</v>
      </c>
      <c r="R6346">
        <v>0.99679680000000004</v>
      </c>
      <c r="S6346">
        <v>0.67723080000000002</v>
      </c>
      <c r="T6346">
        <v>1.092279E-2</v>
      </c>
      <c r="U6346">
        <v>2.9586489999999999</v>
      </c>
      <c r="V6346">
        <v>5.7135529999999997E-2</v>
      </c>
      <c r="W6346">
        <v>1.160197E-2</v>
      </c>
      <c r="X6346">
        <v>0.99829900000000005</v>
      </c>
      <c r="Y6346">
        <v>0.20061709999999999</v>
      </c>
      <c r="Z6346">
        <v>1.9000320000000001E-2</v>
      </c>
      <c r="AA6346">
        <v>0.97948550000000001</v>
      </c>
      <c r="AB6346">
        <v>55</v>
      </c>
      <c r="AC6346">
        <v>24.3248999999999</v>
      </c>
      <c r="AD6346">
        <v>0.39207500000000001</v>
      </c>
      <c r="AE6346">
        <v>105.79465999999999</v>
      </c>
      <c r="AF6346">
        <v>21.8877999559198</v>
      </c>
      <c r="AG6346">
        <v>0.39207500000000001</v>
      </c>
      <c r="AH6346">
        <v>106.324162907684</v>
      </c>
      <c r="AI6346">
        <v>89.793059588594602</v>
      </c>
      <c r="AJ6346">
        <v>78.367642331336</v>
      </c>
      <c r="AK6346">
        <v>108.554397090747</v>
      </c>
      <c r="AL6346">
        <v>89.335241160334206</v>
      </c>
      <c r="AM6346">
        <v>86.724370781829705</v>
      </c>
      <c r="AN6346">
        <v>0.99999998394862999</v>
      </c>
    </row>
    <row r="6347" spans="1:40" x14ac:dyDescent="0.25">
      <c r="A6347" t="str">
        <f>"20190305135951279"</f>
        <v>20190305135951279</v>
      </c>
      <c r="B6347" t="str">
        <f>"1551765591274969"</f>
        <v>1551765591274969</v>
      </c>
      <c r="C6347" t="s">
        <v>40</v>
      </c>
      <c r="D6347">
        <v>4.3038299999999996</v>
      </c>
      <c r="E6347">
        <v>0.59067109999999901</v>
      </c>
      <c r="F6347" t="s">
        <v>70</v>
      </c>
      <c r="G6347">
        <v>-163.96559999999999</v>
      </c>
      <c r="H6347">
        <v>1.501187</v>
      </c>
      <c r="I6347">
        <v>168.50579999999999</v>
      </c>
      <c r="J6347">
        <v>-188.87989999999999</v>
      </c>
      <c r="K6347">
        <v>1.104355</v>
      </c>
      <c r="L6347">
        <v>63.834200000000003</v>
      </c>
      <c r="M6347">
        <v>2.4776590000000001E-2</v>
      </c>
      <c r="N6347">
        <v>-1.5427440000000001E-2</v>
      </c>
      <c r="O6347">
        <v>0.99957390000000002</v>
      </c>
      <c r="P6347">
        <v>8.652609E-2</v>
      </c>
      <c r="Q6347">
        <v>-1.5527449999999999E-3</v>
      </c>
      <c r="R6347">
        <v>0.99624840000000003</v>
      </c>
      <c r="S6347">
        <v>0.69987489999999997</v>
      </c>
      <c r="T6347">
        <v>1.1154890000000001E-2</v>
      </c>
      <c r="U6347">
        <v>2.9535830000000001</v>
      </c>
      <c r="V6347">
        <v>6.1960130000000002E-2</v>
      </c>
      <c r="W6347">
        <v>1.317112E-2</v>
      </c>
      <c r="X6347">
        <v>0.99799170000000004</v>
      </c>
      <c r="Y6347">
        <v>0.20633000000000001</v>
      </c>
      <c r="Z6347">
        <v>1.9065579999999999E-2</v>
      </c>
      <c r="AA6347">
        <v>0.97829670000000002</v>
      </c>
      <c r="AB6347">
        <v>55</v>
      </c>
      <c r="AC6347">
        <v>24.914300000000001</v>
      </c>
      <c r="AD6347">
        <v>0.39683200000000002</v>
      </c>
      <c r="AE6347">
        <v>104.671599999999</v>
      </c>
      <c r="AF6347">
        <v>22.3126321373949</v>
      </c>
      <c r="AG6347">
        <v>0.39683200000000002</v>
      </c>
      <c r="AH6347">
        <v>105.25539270415</v>
      </c>
      <c r="AI6347">
        <v>89.788681387881496</v>
      </c>
      <c r="AJ6347">
        <v>78.031300825500395</v>
      </c>
      <c r="AK6347">
        <v>107.595114767539</v>
      </c>
      <c r="AL6347">
        <v>89.245328580047499</v>
      </c>
      <c r="AM6347">
        <v>86.447362026485806</v>
      </c>
      <c r="AN6347">
        <v>0.99999998469027995</v>
      </c>
    </row>
    <row r="6348" spans="1:40" x14ac:dyDescent="0.25">
      <c r="A6348" t="str">
        <f>"20190305135951314"</f>
        <v>20190305135951314</v>
      </c>
      <c r="B6348" t="str">
        <f>"1551765591305223"</f>
        <v>1551765591305223</v>
      </c>
      <c r="C6348" t="s">
        <v>40</v>
      </c>
      <c r="D6348">
        <v>4.2347190000000001</v>
      </c>
      <c r="E6348">
        <v>0.59774259999999901</v>
      </c>
      <c r="F6348" t="s">
        <v>42</v>
      </c>
      <c r="G6348">
        <v>-179.95779999999999</v>
      </c>
      <c r="H6348">
        <v>3.068947E-2</v>
      </c>
      <c r="I6348">
        <v>90.269409999999993</v>
      </c>
      <c r="J6348">
        <v>-188.85820000000001</v>
      </c>
      <c r="K6348">
        <v>1.1050169999999999</v>
      </c>
      <c r="L6348">
        <v>64.687010000000001</v>
      </c>
      <c r="M6348">
        <v>2.7044169999999999E-2</v>
      </c>
      <c r="N6348">
        <v>-1.5418680000000001E-2</v>
      </c>
      <c r="O6348">
        <v>0.9995153</v>
      </c>
      <c r="P6348">
        <v>9.0709709999999999E-2</v>
      </c>
      <c r="Q6348">
        <v>-2.6280019999999999E-3</v>
      </c>
      <c r="R6348">
        <v>0.99587389999999998</v>
      </c>
      <c r="S6348">
        <v>0.98733519999999997</v>
      </c>
      <c r="T6348">
        <v>-0.11881319999999999</v>
      </c>
      <c r="U6348">
        <v>2.925354</v>
      </c>
      <c r="V6348">
        <v>6.38571E-2</v>
      </c>
      <c r="W6348">
        <v>1.216412E-2</v>
      </c>
      <c r="X6348">
        <v>0.99788489999999996</v>
      </c>
      <c r="Y6348">
        <v>0.29383769999999998</v>
      </c>
      <c r="Z6348">
        <v>-2.3252950000000001E-2</v>
      </c>
      <c r="AA6348">
        <v>0.95557239999999999</v>
      </c>
      <c r="AB6348">
        <v>55</v>
      </c>
      <c r="AC6348">
        <v>8.9004000000000101</v>
      </c>
      <c r="AD6348">
        <v>-1.0743275299999999</v>
      </c>
      <c r="AE6348">
        <v>25.5824</v>
      </c>
      <c r="AF6348">
        <v>8.1923190575792209</v>
      </c>
      <c r="AG6348">
        <v>-1.0743275299999999</v>
      </c>
      <c r="AH6348">
        <v>25.773228256666101</v>
      </c>
      <c r="AI6348">
        <v>92.274895562802698</v>
      </c>
      <c r="AJ6348">
        <v>72.366538809188498</v>
      </c>
      <c r="AK6348">
        <v>27.0652464602321</v>
      </c>
      <c r="AL6348">
        <v>89.303030062920996</v>
      </c>
      <c r="AM6348">
        <v>86.338495218544594</v>
      </c>
      <c r="AN6348">
        <v>0.99999998434189696</v>
      </c>
    </row>
    <row r="6349" spans="1:40" x14ac:dyDescent="0.25">
      <c r="A6349" t="str">
        <f>"20190305135951335"</f>
        <v>20190305135951335</v>
      </c>
      <c r="B6349" t="str">
        <f>"1551765591325723"</f>
        <v>1551765591325723</v>
      </c>
      <c r="C6349" t="s">
        <v>40</v>
      </c>
      <c r="D6349">
        <v>4.2664160000000004</v>
      </c>
      <c r="E6349">
        <v>0.59840789999999999</v>
      </c>
      <c r="F6349" t="s">
        <v>42</v>
      </c>
      <c r="G6349">
        <v>-181.0163</v>
      </c>
      <c r="H6349" s="1">
        <v>-4.6590330000000001E-6</v>
      </c>
      <c r="I6349">
        <v>86.31474</v>
      </c>
      <c r="J6349">
        <v>-188.84360000000001</v>
      </c>
      <c r="K6349">
        <v>1.105394</v>
      </c>
      <c r="L6349">
        <v>65.224789999999999</v>
      </c>
      <c r="M6349">
        <v>2.8172470000000002E-2</v>
      </c>
      <c r="N6349">
        <v>-1.5414519999999999E-2</v>
      </c>
      <c r="O6349">
        <v>0.99948419999999905</v>
      </c>
      <c r="P6349">
        <v>9.1564320000000005E-2</v>
      </c>
      <c r="Q6349">
        <v>-3.6348209999999999E-3</v>
      </c>
      <c r="R6349">
        <v>0.99579249999999997</v>
      </c>
      <c r="S6349">
        <v>1.057205</v>
      </c>
      <c r="T6349">
        <v>-0.1489733</v>
      </c>
      <c r="U6349">
        <v>2.9157410000000001</v>
      </c>
      <c r="V6349">
        <v>6.3567700000000005E-2</v>
      </c>
      <c r="W6349">
        <v>1.1212420000000001E-2</v>
      </c>
      <c r="X6349">
        <v>0.99791459999999998</v>
      </c>
      <c r="Y6349">
        <v>0.31391439999999998</v>
      </c>
      <c r="Z6349">
        <v>-3.2850629999999999E-2</v>
      </c>
      <c r="AA6349">
        <v>0.94888280000000003</v>
      </c>
      <c r="AB6349">
        <v>55</v>
      </c>
      <c r="AC6349">
        <v>7.8273000000000001</v>
      </c>
      <c r="AD6349">
        <v>-1.1053986590330001</v>
      </c>
      <c r="AE6349">
        <v>21.089950000000002</v>
      </c>
      <c r="AF6349">
        <v>7.2125505277984701</v>
      </c>
      <c r="AG6349">
        <v>-1.1053986590330001</v>
      </c>
      <c r="AH6349">
        <v>21.250805668454301</v>
      </c>
      <c r="AI6349">
        <v>92.819942394742995</v>
      </c>
      <c r="AJ6349">
        <v>71.252722157909304</v>
      </c>
      <c r="AK6349">
        <v>22.468634423788401</v>
      </c>
      <c r="AL6349">
        <v>89.357562232818196</v>
      </c>
      <c r="AM6349">
        <v>86.355152489381396</v>
      </c>
      <c r="AN6349">
        <v>1.0000000598693499</v>
      </c>
    </row>
    <row r="6350" spans="1:40" x14ac:dyDescent="0.25">
      <c r="A6350" t="str">
        <f>"20190305135951357"</f>
        <v>20190305135951357</v>
      </c>
      <c r="B6350" t="str">
        <f>"1551765591345243"</f>
        <v>1551765591345243</v>
      </c>
      <c r="C6350" t="s">
        <v>40</v>
      </c>
      <c r="D6350">
        <v>4.2815649999999996</v>
      </c>
      <c r="E6350">
        <v>0.59865279999999998</v>
      </c>
      <c r="F6350" t="s">
        <v>42</v>
      </c>
      <c r="G6350">
        <v>-181.5778</v>
      </c>
      <c r="H6350" s="1">
        <v>-4.0966419999999998E-6</v>
      </c>
      <c r="I6350">
        <v>85.101169999999996</v>
      </c>
      <c r="J6350">
        <v>-188.82830000000001</v>
      </c>
      <c r="K6350">
        <v>1.105742</v>
      </c>
      <c r="L6350">
        <v>65.759550000000004</v>
      </c>
      <c r="M6350">
        <v>2.9130240000000002E-2</v>
      </c>
      <c r="N6350">
        <v>-1.541066E-2</v>
      </c>
      <c r="O6350">
        <v>0.99945680000000003</v>
      </c>
      <c r="P6350">
        <v>9.2400369999999996E-2</v>
      </c>
      <c r="Q6350">
        <v>-2.6799219999999999E-3</v>
      </c>
      <c r="R6350">
        <v>0.99571829999999995</v>
      </c>
      <c r="S6350">
        <v>1.0652469999999901</v>
      </c>
      <c r="T6350">
        <v>-0.16206509999999999</v>
      </c>
      <c r="U6350">
        <v>2.9141240000000002</v>
      </c>
      <c r="V6350">
        <v>6.3447630000000005E-2</v>
      </c>
      <c r="W6350">
        <v>1.221418E-2</v>
      </c>
      <c r="X6350">
        <v>0.99791039999999998</v>
      </c>
      <c r="Y6350">
        <v>0.31542369999999997</v>
      </c>
      <c r="Z6350">
        <v>-3.7070289999999999E-2</v>
      </c>
      <c r="AA6350">
        <v>0.94822660000000003</v>
      </c>
      <c r="AB6350">
        <v>55</v>
      </c>
      <c r="AC6350">
        <v>7.2505000000000104</v>
      </c>
      <c r="AD6350">
        <v>-1.1057460966419901</v>
      </c>
      <c r="AE6350">
        <v>19.341619999999899</v>
      </c>
      <c r="AF6350">
        <v>6.6648304077910501</v>
      </c>
      <c r="AG6350">
        <v>-1.1057460966419901</v>
      </c>
      <c r="AH6350">
        <v>19.488796074763901</v>
      </c>
      <c r="AI6350">
        <v>93.072975157832502</v>
      </c>
      <c r="AJ6350">
        <v>71.120201285702393</v>
      </c>
      <c r="AK6350">
        <v>20.626580211915599</v>
      </c>
      <c r="AL6350">
        <v>89.300161618048094</v>
      </c>
      <c r="AM6350">
        <v>86.362003291454798</v>
      </c>
      <c r="AN6350">
        <v>0.99999997718692402</v>
      </c>
    </row>
    <row r="6351" spans="1:40" x14ac:dyDescent="0.25">
      <c r="A6351" t="str">
        <f>"20190305135951380"</f>
        <v>20190305135951380</v>
      </c>
      <c r="B6351" t="str">
        <f>"1551765591375496"</f>
        <v>1551765591375496</v>
      </c>
      <c r="C6351" t="s">
        <v>40</v>
      </c>
      <c r="D6351">
        <v>4.2897489999999996</v>
      </c>
      <c r="E6351">
        <v>0.59845009999999998</v>
      </c>
      <c r="F6351" t="s">
        <v>42</v>
      </c>
      <c r="G6351">
        <v>-181.5728</v>
      </c>
      <c r="H6351" s="1">
        <v>-4.2412759999999997E-6</v>
      </c>
      <c r="I6351">
        <v>85.522219999999905</v>
      </c>
      <c r="J6351">
        <v>-188.8125</v>
      </c>
      <c r="K6351">
        <v>1.106044</v>
      </c>
      <c r="L6351">
        <v>66.291749999999993</v>
      </c>
      <c r="M6351">
        <v>2.998783E-2</v>
      </c>
      <c r="N6351">
        <v>-1.5406929999999999E-2</v>
      </c>
      <c r="O6351">
        <v>0.99943150000000003</v>
      </c>
      <c r="P6351">
        <v>9.3383889999999997E-2</v>
      </c>
      <c r="Q6351">
        <v>-3.5435609999999999E-4</v>
      </c>
      <c r="R6351">
        <v>0.99563009999999996</v>
      </c>
      <c r="S6351">
        <v>1.069534</v>
      </c>
      <c r="T6351">
        <v>-0.16299759999999999</v>
      </c>
      <c r="U6351">
        <v>2.913208</v>
      </c>
      <c r="V6351">
        <v>6.3584849999999998E-2</v>
      </c>
      <c r="W6351">
        <v>1.457813E-2</v>
      </c>
      <c r="X6351">
        <v>0.99787000000000003</v>
      </c>
      <c r="Y6351">
        <v>0.31593110000000002</v>
      </c>
      <c r="Z6351">
        <v>-3.7373419999999997E-2</v>
      </c>
      <c r="AA6351">
        <v>0.94804569999999999</v>
      </c>
      <c r="AB6351">
        <v>55</v>
      </c>
      <c r="AC6351">
        <v>7.2396999999999903</v>
      </c>
      <c r="AD6351">
        <v>-1.106048241276</v>
      </c>
      <c r="AE6351">
        <v>19.23047</v>
      </c>
      <c r="AF6351">
        <v>6.6404548408474602</v>
      </c>
      <c r="AG6351">
        <v>-1.106048241276</v>
      </c>
      <c r="AH6351">
        <v>19.3827887342728</v>
      </c>
      <c r="AI6351">
        <v>93.090012806246193</v>
      </c>
      <c r="AJ6351">
        <v>71.088774431220699</v>
      </c>
      <c r="AK6351">
        <v>20.518564333861502</v>
      </c>
      <c r="AL6351">
        <v>89.164705128012997</v>
      </c>
      <c r="AM6351">
        <v>86.354009282327297</v>
      </c>
      <c r="AN6351">
        <v>1.0000000459619001</v>
      </c>
    </row>
    <row r="6352" spans="1:40" x14ac:dyDescent="0.25">
      <c r="A6352" t="str">
        <f>"20190305135951403"</f>
        <v>20190305135951403</v>
      </c>
      <c r="B6352" t="str">
        <f>"1551765591395015"</f>
        <v>1551765591395015</v>
      </c>
      <c r="C6352" t="s">
        <v>40</v>
      </c>
      <c r="D6352">
        <v>4.2793359999999998</v>
      </c>
      <c r="E6352">
        <v>0.59833939999999997</v>
      </c>
      <c r="F6352" t="s">
        <v>42</v>
      </c>
      <c r="G6352">
        <v>-181.32239999999999</v>
      </c>
      <c r="H6352" s="1">
        <v>-4.6994689999999998E-6</v>
      </c>
      <c r="I6352">
        <v>86.67286</v>
      </c>
      <c r="J6352">
        <v>-188.79409999999999</v>
      </c>
      <c r="K6352">
        <v>1.1063229999999999</v>
      </c>
      <c r="L6352">
        <v>66.885219999999904</v>
      </c>
      <c r="M6352">
        <v>3.0903050000000001E-2</v>
      </c>
      <c r="N6352">
        <v>-1.5402799999999999E-2</v>
      </c>
      <c r="O6352">
        <v>0.99940370000000001</v>
      </c>
      <c r="P6352">
        <v>9.4300369999999994E-2</v>
      </c>
      <c r="Q6352">
        <v>7.1634349999999999E-4</v>
      </c>
      <c r="R6352">
        <v>0.99554350000000003</v>
      </c>
      <c r="S6352">
        <v>1.070435</v>
      </c>
      <c r="T6352">
        <v>-0.1580684</v>
      </c>
      <c r="U6352">
        <v>2.9127200000000002</v>
      </c>
      <c r="V6352">
        <v>6.358685E-2</v>
      </c>
      <c r="W6352">
        <v>1.5686169999999999E-2</v>
      </c>
      <c r="X6352">
        <v>0.99785299999999999</v>
      </c>
      <c r="Y6352">
        <v>0.31539600000000001</v>
      </c>
      <c r="Z6352">
        <v>-3.5798099999999999E-2</v>
      </c>
      <c r="AA6352">
        <v>0.94828469999999998</v>
      </c>
      <c r="AB6352">
        <v>55</v>
      </c>
      <c r="AC6352">
        <v>7.4716999999999896</v>
      </c>
      <c r="AD6352">
        <v>-1.1063276994689999</v>
      </c>
      <c r="AE6352">
        <v>19.78764</v>
      </c>
      <c r="AF6352">
        <v>6.8378521821530702</v>
      </c>
      <c r="AG6352">
        <v>-1.1063276994689999</v>
      </c>
      <c r="AH6352">
        <v>19.954519850803099</v>
      </c>
      <c r="AI6352">
        <v>93.002329733695504</v>
      </c>
      <c r="AJ6352">
        <v>71.084856043748204</v>
      </c>
      <c r="AK6352">
        <v>21.122571953237198</v>
      </c>
      <c r="AL6352">
        <v>89.101211779901803</v>
      </c>
      <c r="AM6352">
        <v>86.353832960983496</v>
      </c>
      <c r="AN6352">
        <v>0.99999997651559502</v>
      </c>
    </row>
    <row r="6353" spans="1:40" x14ac:dyDescent="0.25">
      <c r="A6353" t="str">
        <f>"20190305135951426"</f>
        <v>20190305135951426</v>
      </c>
      <c r="B6353" t="str">
        <f>"1551765591415512"</f>
        <v>1551765591415512</v>
      </c>
      <c r="C6353" t="s">
        <v>40</v>
      </c>
      <c r="D6353">
        <v>4.2298499999999999</v>
      </c>
      <c r="E6353">
        <v>0.5982286</v>
      </c>
      <c r="F6353" t="s">
        <v>42</v>
      </c>
      <c r="G6353">
        <v>-181.2533</v>
      </c>
      <c r="H6353" s="1">
        <v>-4.9558930000000003E-6</v>
      </c>
      <c r="I6353">
        <v>87.372339999999994</v>
      </c>
      <c r="J6353">
        <v>-188.77629999999999</v>
      </c>
      <c r="K6353">
        <v>1.106554</v>
      </c>
      <c r="L6353">
        <v>67.444000000000003</v>
      </c>
      <c r="M6353">
        <v>3.1762039999999998E-2</v>
      </c>
      <c r="N6353">
        <v>-1.539891E-2</v>
      </c>
      <c r="O6353">
        <v>0.99937679999999995</v>
      </c>
      <c r="P6353">
        <v>9.4365560000000001E-2</v>
      </c>
      <c r="Q6353">
        <v>6.2329849999999995E-4</v>
      </c>
      <c r="R6353">
        <v>0.99553740000000002</v>
      </c>
      <c r="S6353">
        <v>1.0718540000000001</v>
      </c>
      <c r="T6353">
        <v>-0.15725239999999999</v>
      </c>
      <c r="U6353">
        <v>2.9120180000000002</v>
      </c>
      <c r="V6353">
        <v>6.2785320000000006E-2</v>
      </c>
      <c r="W6353">
        <v>1.5628960000000001E-2</v>
      </c>
      <c r="X6353">
        <v>0.99790469999999998</v>
      </c>
      <c r="Y6353">
        <v>0.31506529999999999</v>
      </c>
      <c r="Z6353">
        <v>-3.5549280000000003E-2</v>
      </c>
      <c r="AA6353">
        <v>0.94840400000000002</v>
      </c>
      <c r="AB6353">
        <v>55</v>
      </c>
      <c r="AC6353">
        <v>7.5229999999999899</v>
      </c>
      <c r="AD6353">
        <v>-1.106558955893</v>
      </c>
      <c r="AE6353">
        <v>19.928339999999999</v>
      </c>
      <c r="AF6353">
        <v>6.8676302560094404</v>
      </c>
      <c r="AG6353">
        <v>-1.106558955893</v>
      </c>
      <c r="AH6353">
        <v>20.103006021952801</v>
      </c>
      <c r="AI6353">
        <v>92.981772558341007</v>
      </c>
      <c r="AJ6353">
        <v>71.138701273224996</v>
      </c>
      <c r="AK6353">
        <v>21.2725097055988</v>
      </c>
      <c r="AL6353">
        <v>89.104490117307506</v>
      </c>
      <c r="AM6353">
        <v>86.399858292571594</v>
      </c>
      <c r="AN6353">
        <v>1.00000002554013</v>
      </c>
    </row>
    <row r="6354" spans="1:40" x14ac:dyDescent="0.25">
      <c r="A6354" t="str">
        <f>"20190305135951446"</f>
        <v>20190305135951446</v>
      </c>
      <c r="B6354" t="str">
        <f>"1551765591435035"</f>
        <v>1551765591435035</v>
      </c>
      <c r="C6354" t="s">
        <v>40</v>
      </c>
      <c r="D6354">
        <v>4.329898</v>
      </c>
      <c r="E6354">
        <v>0.59831639999999997</v>
      </c>
      <c r="F6354" t="s">
        <v>42</v>
      </c>
      <c r="G6354">
        <v>-181.2439</v>
      </c>
      <c r="H6354" s="1">
        <v>-5.1483539999999997E-6</v>
      </c>
      <c r="I6354">
        <v>87.930589999999995</v>
      </c>
      <c r="J6354">
        <v>-188.75960000000001</v>
      </c>
      <c r="K6354">
        <v>1.1067359999999999</v>
      </c>
      <c r="L6354">
        <v>67.949250000000006</v>
      </c>
      <c r="M6354">
        <v>3.2550589999999997E-2</v>
      </c>
      <c r="N6354">
        <v>-1.5395310000000001E-2</v>
      </c>
      <c r="O6354">
        <v>0.99935149999999995</v>
      </c>
      <c r="P6354">
        <v>9.4038940000000001E-2</v>
      </c>
      <c r="Q6354">
        <v>-1.888634E-4</v>
      </c>
      <c r="R6354">
        <v>0.99556849999999997</v>
      </c>
      <c r="S6354">
        <v>1.070694</v>
      </c>
      <c r="T6354">
        <v>-0.1572925</v>
      </c>
      <c r="U6354">
        <v>2.9120789999999999</v>
      </c>
      <c r="V6354">
        <v>6.1659140000000001E-2</v>
      </c>
      <c r="W6354">
        <v>1.484751E-2</v>
      </c>
      <c r="X6354">
        <v>0.99798690000000001</v>
      </c>
      <c r="Y6354">
        <v>0.31397750000000002</v>
      </c>
      <c r="Z6354">
        <v>-3.5577659999999997E-2</v>
      </c>
      <c r="AA6354">
        <v>0.94876360000000004</v>
      </c>
      <c r="AB6354">
        <v>55</v>
      </c>
      <c r="AC6354">
        <v>7.5157000000000096</v>
      </c>
      <c r="AD6354">
        <v>-1.1067411483539999</v>
      </c>
      <c r="AE6354">
        <v>19.981339999999999</v>
      </c>
      <c r="AF6354">
        <v>6.8428436228456402</v>
      </c>
      <c r="AG6354">
        <v>-1.1067411483539999</v>
      </c>
      <c r="AH6354">
        <v>20.161231976202799</v>
      </c>
      <c r="AI6354">
        <v>92.975673088383601</v>
      </c>
      <c r="AJ6354">
        <v>71.252478041504602</v>
      </c>
      <c r="AK6354">
        <v>21.319583945622501</v>
      </c>
      <c r="AL6354">
        <v>89.149269145797106</v>
      </c>
      <c r="AM6354">
        <v>86.464559195296602</v>
      </c>
      <c r="AN6354">
        <v>1.0000000753351701</v>
      </c>
    </row>
    <row r="6355" spans="1:40" x14ac:dyDescent="0.25">
      <c r="A6355" t="str">
        <f>"20190305135951469"</f>
        <v>20190305135951469</v>
      </c>
      <c r="B6355" t="str">
        <f>"1551765591465288"</f>
        <v>1551765591465288</v>
      </c>
      <c r="C6355" t="s">
        <v>40</v>
      </c>
      <c r="D6355">
        <v>4.3643919999999996</v>
      </c>
      <c r="E6355">
        <v>0.5984642</v>
      </c>
      <c r="F6355" t="s">
        <v>42</v>
      </c>
      <c r="G6355">
        <v>-181.45740000000001</v>
      </c>
      <c r="H6355" s="1">
        <v>-5.0525149999999997E-6</v>
      </c>
      <c r="I6355">
        <v>87.815880000000007</v>
      </c>
      <c r="J6355">
        <v>-188.74199999999999</v>
      </c>
      <c r="K6355">
        <v>1.1069</v>
      </c>
      <c r="L6355">
        <v>68.473389999999995</v>
      </c>
      <c r="M6355">
        <v>3.3383950000000003E-2</v>
      </c>
      <c r="N6355">
        <v>-1.5391510000000001E-2</v>
      </c>
      <c r="O6355">
        <v>0.99932410000000005</v>
      </c>
      <c r="P6355">
        <v>9.2929230000000002E-2</v>
      </c>
      <c r="Q6355">
        <v>-1.977164E-3</v>
      </c>
      <c r="R6355">
        <v>0.99567070000000002</v>
      </c>
      <c r="S6355">
        <v>1.070419</v>
      </c>
      <c r="T6355">
        <v>-0.1622344</v>
      </c>
      <c r="U6355">
        <v>2.912201</v>
      </c>
      <c r="V6355">
        <v>5.96994E-2</v>
      </c>
      <c r="W6355">
        <v>1.3092919999999999E-2</v>
      </c>
      <c r="X6355">
        <v>0.99813059999999998</v>
      </c>
      <c r="Y6355">
        <v>0.31307069999999998</v>
      </c>
      <c r="Z6355">
        <v>-3.7183149999999998E-2</v>
      </c>
      <c r="AA6355">
        <v>0.94900169999999995</v>
      </c>
      <c r="AB6355">
        <v>55</v>
      </c>
      <c r="AC6355">
        <v>7.28460000000001</v>
      </c>
      <c r="AD6355">
        <v>-1.1069050525149999</v>
      </c>
      <c r="AE6355">
        <v>19.342490000000002</v>
      </c>
      <c r="AF6355">
        <v>6.6157588337333602</v>
      </c>
      <c r="AG6355">
        <v>-1.1069050525149999</v>
      </c>
      <c r="AH6355">
        <v>19.518941470392399</v>
      </c>
      <c r="AI6355">
        <v>93.074294679186394</v>
      </c>
      <c r="AJ6355">
        <v>71.276401388450594</v>
      </c>
      <c r="AK6355">
        <v>20.639345432111199</v>
      </c>
      <c r="AL6355">
        <v>89.249809559549703</v>
      </c>
      <c r="AM6355">
        <v>86.577147766694495</v>
      </c>
      <c r="AN6355">
        <v>1.00000006878542</v>
      </c>
    </row>
    <row r="6356" spans="1:40" x14ac:dyDescent="0.25">
      <c r="A6356" t="str">
        <f>"20190305135951491"</f>
        <v>20190305135951491</v>
      </c>
      <c r="B6356" t="str">
        <f>"1551765591484808"</f>
        <v>1551765591484808</v>
      </c>
      <c r="C6356" t="s">
        <v>40</v>
      </c>
      <c r="D6356">
        <v>4.3485199999999997</v>
      </c>
      <c r="E6356">
        <v>0.59858290000000003</v>
      </c>
      <c r="F6356" t="s">
        <v>42</v>
      </c>
      <c r="G6356">
        <v>-181.81630000000001</v>
      </c>
      <c r="H6356" s="1">
        <v>-4.8011980000000002E-6</v>
      </c>
      <c r="I6356">
        <v>87.357999999999905</v>
      </c>
      <c r="J6356">
        <v>-188.7227</v>
      </c>
      <c r="K6356">
        <v>1.1070530000000001</v>
      </c>
      <c r="L6356">
        <v>69.031099999999995</v>
      </c>
      <c r="M6356">
        <v>3.4284219999999997E-2</v>
      </c>
      <c r="N6356">
        <v>-1.5387329999999999E-2</v>
      </c>
      <c r="O6356">
        <v>0.99929369999999995</v>
      </c>
      <c r="P6356">
        <v>9.3003820000000001E-2</v>
      </c>
      <c r="Q6356">
        <v>-1.715084E-3</v>
      </c>
      <c r="R6356">
        <v>0.99566429999999995</v>
      </c>
      <c r="S6356">
        <v>1.068298</v>
      </c>
      <c r="T6356">
        <v>-0.17074249999999999</v>
      </c>
      <c r="U6356">
        <v>2.9129939999999999</v>
      </c>
      <c r="V6356">
        <v>5.8871050000000001E-2</v>
      </c>
      <c r="W6356">
        <v>1.337757E-2</v>
      </c>
      <c r="X6356">
        <v>0.99817599999999995</v>
      </c>
      <c r="Y6356">
        <v>0.31147999999999998</v>
      </c>
      <c r="Z6356">
        <v>-3.9939420000000003E-2</v>
      </c>
      <c r="AA6356">
        <v>0.94941299999999995</v>
      </c>
      <c r="AB6356">
        <v>55</v>
      </c>
      <c r="AC6356">
        <v>6.9063999999999899</v>
      </c>
      <c r="AD6356">
        <v>-1.1070578011979999</v>
      </c>
      <c r="AE6356">
        <v>18.326899999999899</v>
      </c>
      <c r="AF6356">
        <v>6.25395871826706</v>
      </c>
      <c r="AG6356">
        <v>-1.1070578011979999</v>
      </c>
      <c r="AH6356">
        <v>18.493841376102001</v>
      </c>
      <c r="AI6356">
        <v>93.245556153299603</v>
      </c>
      <c r="AJ6356">
        <v>71.316293665512504</v>
      </c>
      <c r="AK6356">
        <v>19.554021209700199</v>
      </c>
      <c r="AL6356">
        <v>89.233498868904405</v>
      </c>
      <c r="AM6356">
        <v>86.624683621929506</v>
      </c>
      <c r="AN6356">
        <v>1.0000000434416001</v>
      </c>
    </row>
    <row r="6357" spans="1:40" x14ac:dyDescent="0.25">
      <c r="A6357" t="str">
        <f>"20190305135951514"</f>
        <v>20190305135951514</v>
      </c>
      <c r="B6357" t="str">
        <f>"1551765591505307"</f>
        <v>1551765591505307</v>
      </c>
      <c r="C6357" t="s">
        <v>40</v>
      </c>
      <c r="D6357">
        <v>4.3336569999999996</v>
      </c>
      <c r="E6357">
        <v>0.59856899999999902</v>
      </c>
      <c r="F6357" t="s">
        <v>42</v>
      </c>
      <c r="G6357">
        <v>-181.78479999999999</v>
      </c>
      <c r="H6357" s="1">
        <v>-5.013955E-6</v>
      </c>
      <c r="I6357">
        <v>87.923559999999995</v>
      </c>
      <c r="J6357">
        <v>-188.70320000000001</v>
      </c>
      <c r="K6357">
        <v>1.1071879999999901</v>
      </c>
      <c r="L6357">
        <v>69.583500000000001</v>
      </c>
      <c r="M6357">
        <v>3.517758E-2</v>
      </c>
      <c r="N6357">
        <v>-1.538286E-2</v>
      </c>
      <c r="O6357">
        <v>0.99926269999999995</v>
      </c>
      <c r="P6357">
        <v>9.3245850000000005E-2</v>
      </c>
      <c r="Q6357">
        <v>-2.0681839999999998E-3</v>
      </c>
      <c r="R6357">
        <v>0.995641</v>
      </c>
      <c r="S6357">
        <v>1.0697019999999999</v>
      </c>
      <c r="T6357">
        <v>-0.17068820000000001</v>
      </c>
      <c r="U6357">
        <v>2.9128720000000001</v>
      </c>
      <c r="V6357">
        <v>5.8215379999999997E-2</v>
      </c>
      <c r="W6357">
        <v>1.304286E-2</v>
      </c>
      <c r="X6357">
        <v>0.99821879999999996</v>
      </c>
      <c r="Y6357">
        <v>0.31104720000000002</v>
      </c>
      <c r="Z6357">
        <v>-3.992801E-2</v>
      </c>
      <c r="AA6357">
        <v>0.94955540000000005</v>
      </c>
      <c r="AB6357">
        <v>55</v>
      </c>
      <c r="AC6357">
        <v>6.9184000000000099</v>
      </c>
      <c r="AD6357">
        <v>-1.1071930139549999</v>
      </c>
      <c r="AE6357">
        <v>18.340059999999902</v>
      </c>
      <c r="AF6357">
        <v>6.2489442553218097</v>
      </c>
      <c r="AG6357">
        <v>-1.1071930139549999</v>
      </c>
      <c r="AH6357">
        <v>18.513040977315399</v>
      </c>
      <c r="AI6357">
        <v>93.243202496371495</v>
      </c>
      <c r="AJ6357">
        <v>71.348258202990195</v>
      </c>
      <c r="AK6357">
        <v>19.570586779757701</v>
      </c>
      <c r="AL6357">
        <v>89.252677949460306</v>
      </c>
      <c r="AM6357">
        <v>86.662333164192702</v>
      </c>
      <c r="AN6357">
        <v>0.99999995966948096</v>
      </c>
    </row>
    <row r="6358" spans="1:40" x14ac:dyDescent="0.25">
      <c r="A6358" t="str">
        <f>"20190305135951537"</f>
        <v>20190305135951537</v>
      </c>
      <c r="B6358" t="str">
        <f>"1551765591535560"</f>
        <v>1551765591535560</v>
      </c>
      <c r="C6358" t="s">
        <v>40</v>
      </c>
      <c r="D6358">
        <v>4.4010319999999998</v>
      </c>
      <c r="E6358">
        <v>0.59869569999999905</v>
      </c>
      <c r="F6358" t="s">
        <v>42</v>
      </c>
      <c r="G6358">
        <v>-181.74770000000001</v>
      </c>
      <c r="H6358" s="1">
        <v>-5.2708319999999996E-6</v>
      </c>
      <c r="I6358">
        <v>88.507000000000005</v>
      </c>
      <c r="J6358">
        <v>-188.68289999999999</v>
      </c>
      <c r="K6358">
        <v>1.1073059999999999</v>
      </c>
      <c r="L6358">
        <v>70.143950000000004</v>
      </c>
      <c r="M6358">
        <v>3.606815E-2</v>
      </c>
      <c r="N6358">
        <v>-1.537796E-2</v>
      </c>
      <c r="O6358">
        <v>0.99923099999999998</v>
      </c>
      <c r="P6358">
        <v>9.3602279999999996E-2</v>
      </c>
      <c r="Q6358">
        <v>-1.7101810000000001E-3</v>
      </c>
      <c r="R6358">
        <v>0.99560820000000005</v>
      </c>
      <c r="S6358">
        <v>1.0705260000000001</v>
      </c>
      <c r="T6358">
        <v>-0.17040930000000001</v>
      </c>
      <c r="U6358">
        <v>2.9125369999999999</v>
      </c>
      <c r="V6358">
        <v>5.768069E-2</v>
      </c>
      <c r="W6358">
        <v>1.341524E-2</v>
      </c>
      <c r="X6358">
        <v>0.99824489999999999</v>
      </c>
      <c r="Y6358">
        <v>0.31047400000000003</v>
      </c>
      <c r="Z6358">
        <v>-3.985139E-2</v>
      </c>
      <c r="AA6358">
        <v>0.94974610000000004</v>
      </c>
      <c r="AB6358">
        <v>55</v>
      </c>
      <c r="AC6358">
        <v>6.9351999999999796</v>
      </c>
      <c r="AD6358">
        <v>-1.1073112708320001</v>
      </c>
      <c r="AE6358">
        <v>18.363050000000001</v>
      </c>
      <c r="AF6358">
        <v>6.24840251739416</v>
      </c>
      <c r="AG6358">
        <v>-1.1073112708320001</v>
      </c>
      <c r="AH6358">
        <v>18.542261194182799</v>
      </c>
      <c r="AI6358">
        <v>93.238996792825503</v>
      </c>
      <c r="AJ6358">
        <v>71.3771256318567</v>
      </c>
      <c r="AK6358">
        <v>19.598064252960999</v>
      </c>
      <c r="AL6358">
        <v>89.231340275700504</v>
      </c>
      <c r="AM6358">
        <v>86.693006506260602</v>
      </c>
      <c r="AN6358">
        <v>0.99999995551956999</v>
      </c>
    </row>
    <row r="6359" spans="1:40" x14ac:dyDescent="0.25">
      <c r="A6359" t="str">
        <f>"20190305135951558"</f>
        <v>20190305135951558</v>
      </c>
      <c r="B6359" t="str">
        <f>"1551765591555080"</f>
        <v>1551765591555080</v>
      </c>
      <c r="C6359" t="s">
        <v>40</v>
      </c>
      <c r="D6359">
        <v>4.4034899999999997</v>
      </c>
      <c r="E6359">
        <v>0.59892349999999905</v>
      </c>
      <c r="F6359" t="s">
        <v>42</v>
      </c>
      <c r="G6359">
        <v>-181.5772</v>
      </c>
      <c r="H6359" s="1">
        <v>-5.6980039999999996E-6</v>
      </c>
      <c r="I6359">
        <v>89.432269999999903</v>
      </c>
      <c r="J6359">
        <v>-188.66419999999999</v>
      </c>
      <c r="K6359">
        <v>1.107415</v>
      </c>
      <c r="L6359">
        <v>70.649630000000002</v>
      </c>
      <c r="M6359">
        <v>3.6845879999999998E-2</v>
      </c>
      <c r="N6359">
        <v>-1.5373299999999999E-2</v>
      </c>
      <c r="O6359">
        <v>0.9992027</v>
      </c>
      <c r="P6359">
        <v>9.4062930000000003E-2</v>
      </c>
      <c r="Q6359">
        <v>-1.312686E-3</v>
      </c>
      <c r="R6359">
        <v>0.99556540000000004</v>
      </c>
      <c r="S6359">
        <v>1.072784</v>
      </c>
      <c r="T6359">
        <v>-0.16717789999999999</v>
      </c>
      <c r="U6359">
        <v>2.9120789999999999</v>
      </c>
      <c r="V6359">
        <v>5.7364020000000002E-2</v>
      </c>
      <c r="W6359">
        <v>1.382242E-2</v>
      </c>
      <c r="X6359">
        <v>0.99825759999999997</v>
      </c>
      <c r="Y6359">
        <v>0.3104478</v>
      </c>
      <c r="Z6359">
        <v>-3.8814559999999998E-2</v>
      </c>
      <c r="AA6359">
        <v>0.94979760000000002</v>
      </c>
      <c r="AB6359">
        <v>54</v>
      </c>
      <c r="AC6359">
        <v>7.0869999999999802</v>
      </c>
      <c r="AD6359">
        <v>-1.107420698004</v>
      </c>
      <c r="AE6359">
        <v>18.782639999999901</v>
      </c>
      <c r="AF6359">
        <v>6.3706557193536604</v>
      </c>
      <c r="AG6359">
        <v>-1.107420698004</v>
      </c>
      <c r="AH6359">
        <v>18.973304123213801</v>
      </c>
      <c r="AI6359">
        <v>93.1670331612073</v>
      </c>
      <c r="AJ6359">
        <v>71.439522299720906</v>
      </c>
      <c r="AK6359">
        <v>20.044897212229898</v>
      </c>
      <c r="AL6359">
        <v>89.208008421130998</v>
      </c>
      <c r="AM6359">
        <v>86.711163858429103</v>
      </c>
      <c r="AN6359">
        <v>0.99999996302148697</v>
      </c>
    </row>
    <row r="6360" spans="1:40" x14ac:dyDescent="0.25">
      <c r="A6360" t="str">
        <f>"20190305135951580"</f>
        <v>20190305135951580</v>
      </c>
      <c r="B6360" t="str">
        <f>"1551765591575576"</f>
        <v>1551765591575576</v>
      </c>
      <c r="C6360" t="s">
        <v>40</v>
      </c>
      <c r="D6360">
        <v>4.4443270000000004</v>
      </c>
      <c r="E6360">
        <v>0.59910969999999997</v>
      </c>
      <c r="F6360" t="s">
        <v>42</v>
      </c>
      <c r="G6360">
        <v>-181.45140000000001</v>
      </c>
      <c r="H6360" s="1">
        <v>-2.450572E-6</v>
      </c>
      <c r="I6360">
        <v>90.16525</v>
      </c>
      <c r="J6360">
        <v>-188.6437</v>
      </c>
      <c r="K6360">
        <v>1.1075170000000001</v>
      </c>
      <c r="L6360">
        <v>71.192440000000005</v>
      </c>
      <c r="M6360">
        <v>3.7644320000000002E-2</v>
      </c>
      <c r="N6360">
        <v>-1.5368049999999999E-2</v>
      </c>
      <c r="O6360">
        <v>0.99917299999999998</v>
      </c>
      <c r="P6360">
        <v>9.4779829999999995E-2</v>
      </c>
      <c r="Q6360">
        <v>-7.5760599999999997E-4</v>
      </c>
      <c r="R6360">
        <v>0.99549790000000005</v>
      </c>
      <c r="S6360">
        <v>1.07605</v>
      </c>
      <c r="T6360">
        <v>-0.16521179999999999</v>
      </c>
      <c r="U6360">
        <v>2.9114689999999999</v>
      </c>
      <c r="V6360">
        <v>5.7284259999999997E-2</v>
      </c>
      <c r="W6360">
        <v>1.4384549999999999E-2</v>
      </c>
      <c r="X6360">
        <v>0.99825430000000004</v>
      </c>
      <c r="Y6360">
        <v>0.31070029999999998</v>
      </c>
      <c r="Z6360">
        <v>-3.8183559999999998E-2</v>
      </c>
      <c r="AA6360">
        <v>0.94974060000000005</v>
      </c>
      <c r="AB6360">
        <v>54</v>
      </c>
      <c r="AC6360">
        <v>7.1922999999999799</v>
      </c>
      <c r="AD6360">
        <v>-1.1075194505720001</v>
      </c>
      <c r="AE6360">
        <v>18.972809999999999</v>
      </c>
      <c r="AF6360">
        <v>6.45367008924124</v>
      </c>
      <c r="AG6360">
        <v>-1.1075194505720001</v>
      </c>
      <c r="AH6360">
        <v>19.173016518276601</v>
      </c>
      <c r="AI6360">
        <v>93.133603077054602</v>
      </c>
      <c r="AJ6360">
        <v>71.396679135487105</v>
      </c>
      <c r="AK6360">
        <v>20.260331176075798</v>
      </c>
      <c r="AL6360">
        <v>89.175797590065599</v>
      </c>
      <c r="AM6360">
        <v>86.715715866878995</v>
      </c>
      <c r="AN6360">
        <v>1.0000000245954599</v>
      </c>
    </row>
    <row r="6361" spans="1:40" x14ac:dyDescent="0.25">
      <c r="A6361" t="str">
        <f>"20190305135951604"</f>
        <v>20190305135951604</v>
      </c>
      <c r="B6361" t="str">
        <f>"1551765591596072"</f>
        <v>1551765591596072</v>
      </c>
      <c r="C6361" t="s">
        <v>40</v>
      </c>
      <c r="D6361">
        <v>4.4344769999999896</v>
      </c>
      <c r="E6361">
        <v>0.59926610000000002</v>
      </c>
      <c r="F6361" t="s">
        <v>42</v>
      </c>
      <c r="G6361">
        <v>-181.24369999999999</v>
      </c>
      <c r="H6361" s="1">
        <v>-2.8368099999999999E-6</v>
      </c>
      <c r="I6361">
        <v>91.137799999999999</v>
      </c>
      <c r="J6361">
        <v>-188.6208</v>
      </c>
      <c r="K6361">
        <v>1.1076239999999999</v>
      </c>
      <c r="L6361">
        <v>71.786769999999905</v>
      </c>
      <c r="M6361">
        <v>3.8470520000000001E-2</v>
      </c>
      <c r="N6361">
        <v>-1.536246E-2</v>
      </c>
      <c r="O6361">
        <v>0.99914159999999996</v>
      </c>
      <c r="P6361">
        <v>9.5545679999999994E-2</v>
      </c>
      <c r="Q6361">
        <v>1.434182E-3</v>
      </c>
      <c r="R6361">
        <v>0.99542399999999998</v>
      </c>
      <c r="S6361">
        <v>1.07988</v>
      </c>
      <c r="T6361">
        <v>-0.16161970000000001</v>
      </c>
      <c r="U6361">
        <v>2.9106139999999998</v>
      </c>
      <c r="V6361">
        <v>5.7231120000000003E-2</v>
      </c>
      <c r="W6361">
        <v>1.6582030000000001E-2</v>
      </c>
      <c r="X6361">
        <v>0.99822319999999998</v>
      </c>
      <c r="Y6361">
        <v>0.3111217</v>
      </c>
      <c r="Z6361">
        <v>-3.7029119999999999E-2</v>
      </c>
      <c r="AA6361">
        <v>0.94964839999999995</v>
      </c>
      <c r="AB6361">
        <v>54</v>
      </c>
      <c r="AC6361">
        <v>7.3771000000000102</v>
      </c>
      <c r="AD6361">
        <v>-1.10762683681</v>
      </c>
      <c r="AE6361">
        <v>19.351030000000002</v>
      </c>
      <c r="AF6361">
        <v>6.6082026389052801</v>
      </c>
      <c r="AG6361">
        <v>-1.10762683681</v>
      </c>
      <c r="AH6361">
        <v>19.564570993297401</v>
      </c>
      <c r="AI6361">
        <v>93.070229064008103</v>
      </c>
      <c r="AJ6361">
        <v>71.336896469237004</v>
      </c>
      <c r="AK6361">
        <v>20.6801261475415</v>
      </c>
      <c r="AL6361">
        <v>89.049876083111499</v>
      </c>
      <c r="AM6361">
        <v>86.718653882652205</v>
      </c>
      <c r="AN6361">
        <v>0.99999996091680599</v>
      </c>
    </row>
    <row r="6362" spans="1:40" x14ac:dyDescent="0.25">
      <c r="A6362" t="str">
        <f>"20190305135951627"</f>
        <v>20190305135951627</v>
      </c>
      <c r="B6362" t="str">
        <f>"1551765591625351"</f>
        <v>1551765591625351</v>
      </c>
      <c r="C6362" t="s">
        <v>40</v>
      </c>
      <c r="D6362">
        <v>4.3584379999999996</v>
      </c>
      <c r="E6362">
        <v>0.57234479999999999</v>
      </c>
      <c r="F6362" t="s">
        <v>42</v>
      </c>
      <c r="G6362">
        <v>-180.84899999999999</v>
      </c>
      <c r="H6362" s="1">
        <v>-3.4592389999999999E-6</v>
      </c>
      <c r="I6362">
        <v>92.658289999999994</v>
      </c>
      <c r="J6362">
        <v>-188.59909999999999</v>
      </c>
      <c r="K6362">
        <v>1.1077140000000001</v>
      </c>
      <c r="L6362">
        <v>72.338989999999995</v>
      </c>
      <c r="M6362">
        <v>3.9198179999999999E-2</v>
      </c>
      <c r="N6362">
        <v>-1.5357269999999999E-2</v>
      </c>
      <c r="O6362">
        <v>0.99911340000000004</v>
      </c>
      <c r="P6362">
        <v>9.58841E-2</v>
      </c>
      <c r="Q6362">
        <v>4.8002849999999996E-3</v>
      </c>
      <c r="R6362">
        <v>0.99538090000000001</v>
      </c>
      <c r="S6362">
        <v>1.083572</v>
      </c>
      <c r="T6362">
        <v>-0.1544305</v>
      </c>
      <c r="U6362">
        <v>2.9100039999999998</v>
      </c>
      <c r="V6362">
        <v>5.685163E-2</v>
      </c>
      <c r="W6362">
        <v>1.9953660000000002E-2</v>
      </c>
      <c r="X6362">
        <v>0.9981833</v>
      </c>
      <c r="Y6362">
        <v>0.31158750000000002</v>
      </c>
      <c r="Z6362">
        <v>-3.4709200000000003E-2</v>
      </c>
      <c r="AA6362">
        <v>0.94958339999999997</v>
      </c>
      <c r="AB6362">
        <v>54</v>
      </c>
      <c r="AC6362">
        <v>7.7500999999999696</v>
      </c>
      <c r="AD6362">
        <v>-1.10771745923899</v>
      </c>
      <c r="AE6362">
        <v>20.319299999999998</v>
      </c>
      <c r="AF6362">
        <v>6.9295899285053899</v>
      </c>
      <c r="AG6362">
        <v>-1.10771745923899</v>
      </c>
      <c r="AH6362">
        <v>20.554177864955101</v>
      </c>
      <c r="AI6362">
        <v>92.923463844412098</v>
      </c>
      <c r="AJ6362">
        <v>71.369094646522697</v>
      </c>
      <c r="AK6362">
        <v>21.719127106100601</v>
      </c>
      <c r="AL6362">
        <v>88.856663707618495</v>
      </c>
      <c r="AM6362">
        <v>86.740234851500603</v>
      </c>
      <c r="AN6362">
        <v>1.0000000783899601</v>
      </c>
    </row>
    <row r="6363" spans="1:40" x14ac:dyDescent="0.25">
      <c r="A6363" t="str">
        <f>"20190305135951647"</f>
        <v>20190305135951647</v>
      </c>
      <c r="B6363" t="str">
        <f>"1551765591635112"</f>
        <v>1551765591635112</v>
      </c>
      <c r="C6363" t="s">
        <v>40</v>
      </c>
      <c r="D6363">
        <v>4.4044249999999998</v>
      </c>
      <c r="E6363">
        <v>0.56021569999999898</v>
      </c>
      <c r="F6363" t="s">
        <v>42</v>
      </c>
      <c r="G6363">
        <v>-169.24260000000001</v>
      </c>
      <c r="H6363" s="1">
        <v>-7.420562E-7</v>
      </c>
      <c r="I6363">
        <v>137.8612</v>
      </c>
      <c r="J6363">
        <v>-188.5795</v>
      </c>
      <c r="K6363">
        <v>1.1077870000000001</v>
      </c>
      <c r="L6363">
        <v>72.830869999999905</v>
      </c>
      <c r="M6363">
        <v>3.9808950000000003E-2</v>
      </c>
      <c r="N6363">
        <v>-1.5352640000000001E-2</v>
      </c>
      <c r="O6363">
        <v>0.99908940000000002</v>
      </c>
      <c r="P6363">
        <v>9.6260499999999999E-2</v>
      </c>
      <c r="Q6363">
        <v>7.0678609999999999E-3</v>
      </c>
      <c r="R6363">
        <v>0.99533110000000002</v>
      </c>
      <c r="S6363">
        <v>0.86579899999999999</v>
      </c>
      <c r="T6363">
        <v>-4.95472E-2</v>
      </c>
      <c r="U6363">
        <v>2.9307560000000001</v>
      </c>
      <c r="V6363">
        <v>5.662325E-2</v>
      </c>
      <c r="W6363">
        <v>2.2224810000000001E-2</v>
      </c>
      <c r="X6363">
        <v>0.99814820000000004</v>
      </c>
      <c r="Y6363">
        <v>0.24484900000000001</v>
      </c>
      <c r="Z6363">
        <v>-1.0142790000000001E-3</v>
      </c>
      <c r="AA6363">
        <v>0.96956070000000005</v>
      </c>
      <c r="AB6363">
        <v>54</v>
      </c>
      <c r="AC6363">
        <v>19.336899999999901</v>
      </c>
      <c r="AD6363">
        <v>-1.1077877420561999</v>
      </c>
      <c r="AE6363">
        <v>65.030330000000006</v>
      </c>
      <c r="AF6363">
        <v>16.728014070345399</v>
      </c>
      <c r="AG6363">
        <v>-1.1077877420561999</v>
      </c>
      <c r="AH6363">
        <v>65.731116380570199</v>
      </c>
      <c r="AI6363">
        <v>90.935712624508895</v>
      </c>
      <c r="AJ6363">
        <v>75.721804556274805</v>
      </c>
      <c r="AK6363">
        <v>67.835339676714099</v>
      </c>
      <c r="AL6363">
        <v>88.726507310155398</v>
      </c>
      <c r="AM6363">
        <v>86.753187733359994</v>
      </c>
      <c r="AN6363">
        <v>0.99999998189166905</v>
      </c>
    </row>
    <row r="6364" spans="1:40" x14ac:dyDescent="0.25">
      <c r="A6364" t="str">
        <f>"20190305135951670"</f>
        <v>20190305135951670</v>
      </c>
      <c r="B6364" t="str">
        <f>"1551765591665368"</f>
        <v>1551765591665368</v>
      </c>
      <c r="C6364" t="s">
        <v>40</v>
      </c>
      <c r="D6364">
        <v>4.4835019999999997</v>
      </c>
      <c r="E6364">
        <v>0.54352609999999901</v>
      </c>
      <c r="F6364" t="s">
        <v>42</v>
      </c>
      <c r="G6364">
        <v>-178.6293</v>
      </c>
      <c r="H6364">
        <v>7.9985719999999996E-2</v>
      </c>
      <c r="I6364">
        <v>110.70569999999999</v>
      </c>
      <c r="J6364">
        <v>-188.5581</v>
      </c>
      <c r="K6364">
        <v>1.1078619999999999</v>
      </c>
      <c r="L6364">
        <v>73.359800000000007</v>
      </c>
      <c r="M6364">
        <v>4.0414060000000002E-2</v>
      </c>
      <c r="N6364">
        <v>-1.5347700000000001E-2</v>
      </c>
      <c r="O6364">
        <v>0.99906519999999999</v>
      </c>
      <c r="P6364">
        <v>9.6578629999999999E-2</v>
      </c>
      <c r="Q6364">
        <v>7.8415220000000001E-3</v>
      </c>
      <c r="R6364">
        <v>0.99529449999999997</v>
      </c>
      <c r="S6364">
        <v>0.77235410000000004</v>
      </c>
      <c r="T6364">
        <v>-7.9780580000000004E-2</v>
      </c>
      <c r="U6364">
        <v>2.9399410000000001</v>
      </c>
      <c r="V6364">
        <v>5.6336410000000003E-2</v>
      </c>
      <c r="W6364">
        <v>2.3004239999999999E-2</v>
      </c>
      <c r="X6364">
        <v>0.9981468</v>
      </c>
      <c r="Y6364">
        <v>0.21470590000000001</v>
      </c>
      <c r="Z6364">
        <v>-1.1065490000000001E-2</v>
      </c>
      <c r="AA6364">
        <v>0.97661609999999999</v>
      </c>
      <c r="AB6364">
        <v>54</v>
      </c>
      <c r="AC6364">
        <v>9.9287999999999901</v>
      </c>
      <c r="AD6364">
        <v>-1.0278762800000001</v>
      </c>
      <c r="AE6364">
        <v>37.345899999999901</v>
      </c>
      <c r="AF6364">
        <v>8.40526245191929</v>
      </c>
      <c r="AG6364">
        <v>-1.0278762800000001</v>
      </c>
      <c r="AH6364">
        <v>37.690026008045997</v>
      </c>
      <c r="AI6364">
        <v>91.524737067701693</v>
      </c>
      <c r="AJ6364">
        <v>77.428173072193502</v>
      </c>
      <c r="AK6364">
        <v>38.629561569086199</v>
      </c>
      <c r="AL6364">
        <v>88.681837872355601</v>
      </c>
      <c r="AM6364">
        <v>86.769595873200998</v>
      </c>
      <c r="AN6364">
        <v>1.00000001024995</v>
      </c>
    </row>
    <row r="6365" spans="1:40" x14ac:dyDescent="0.25">
      <c r="A6365" t="str">
        <f>"20190305135951692"</f>
        <v>20190305135951692</v>
      </c>
      <c r="B6365" t="str">
        <f>"1551765591684888"</f>
        <v>1551765591684888</v>
      </c>
      <c r="C6365" t="s">
        <v>40</v>
      </c>
      <c r="D6365">
        <v>4.4299970000000002</v>
      </c>
      <c r="E6365">
        <v>0.54092499999999999</v>
      </c>
      <c r="F6365" t="s">
        <v>42</v>
      </c>
      <c r="G6365">
        <v>-183.29069999999999</v>
      </c>
      <c r="H6365" s="1">
        <v>-4.5798169999999996E-6</v>
      </c>
      <c r="I6365">
        <v>97.534260000000003</v>
      </c>
      <c r="J6365">
        <v>-188.53489999999999</v>
      </c>
      <c r="K6365">
        <v>1.1079479999999999</v>
      </c>
      <c r="L6365">
        <v>73.92398</v>
      </c>
      <c r="M6365">
        <v>4.098777E-2</v>
      </c>
      <c r="N6365">
        <v>-1.5342400000000001E-2</v>
      </c>
      <c r="O6365">
        <v>0.99904190000000004</v>
      </c>
      <c r="P6365">
        <v>9.782267E-2</v>
      </c>
      <c r="Q6365">
        <v>9.0269649999999996E-3</v>
      </c>
      <c r="R6365">
        <v>0.99516289999999996</v>
      </c>
      <c r="S6365">
        <v>0.64338680000000004</v>
      </c>
      <c r="T6365">
        <v>-0.13532169999999999</v>
      </c>
      <c r="U6365">
        <v>2.95282</v>
      </c>
      <c r="V6365">
        <v>5.7009980000000002E-2</v>
      </c>
      <c r="W6365">
        <v>2.4193139999999998E-2</v>
      </c>
      <c r="X6365">
        <v>0.99808039999999998</v>
      </c>
      <c r="Y6365">
        <v>0.17249039999999999</v>
      </c>
      <c r="Z6365">
        <v>-2.9589790000000001E-2</v>
      </c>
      <c r="AA6365">
        <v>0.98456670000000002</v>
      </c>
      <c r="AB6365">
        <v>54</v>
      </c>
      <c r="AC6365">
        <v>5.2442000000000002</v>
      </c>
      <c r="AD6365">
        <v>-1.107952579817</v>
      </c>
      <c r="AE6365">
        <v>23.610279999999999</v>
      </c>
      <c r="AF6365">
        <v>4.2629991455017597</v>
      </c>
      <c r="AG6365">
        <v>-1.107952579817</v>
      </c>
      <c r="AH6365">
        <v>23.755554773462599</v>
      </c>
      <c r="AI6365">
        <v>92.628398504960799</v>
      </c>
      <c r="AJ6365">
        <v>79.826401401950406</v>
      </c>
      <c r="AK6365">
        <v>24.1604450130509</v>
      </c>
      <c r="AL6365">
        <v>88.6136998789312</v>
      </c>
      <c r="AM6365">
        <v>86.730838745157399</v>
      </c>
      <c r="AN6365">
        <v>0.99999996535340896</v>
      </c>
    </row>
    <row r="6366" spans="1:40" x14ac:dyDescent="0.25">
      <c r="A6366" t="str">
        <f>"20190305135951716"</f>
        <v>20190305135951716</v>
      </c>
      <c r="B6366" t="str">
        <f>"1551765591705387"</f>
        <v>1551765591705387</v>
      </c>
      <c r="C6366" t="s">
        <v>40</v>
      </c>
      <c r="D6366">
        <v>4.4190589999999998</v>
      </c>
      <c r="E6366">
        <v>0.54009779999999996</v>
      </c>
      <c r="F6366" t="s">
        <v>42</v>
      </c>
      <c r="G6366">
        <v>-183.8811</v>
      </c>
      <c r="H6366" s="1">
        <v>-3.7516269999999999E-6</v>
      </c>
      <c r="I6366">
        <v>95.847849999999994</v>
      </c>
      <c r="J6366">
        <v>-188.51159999999999</v>
      </c>
      <c r="K6366">
        <v>1.1080399999999999</v>
      </c>
      <c r="L6366">
        <v>74.485959999999906</v>
      </c>
      <c r="M6366">
        <v>4.1474200000000003E-2</v>
      </c>
      <c r="N6366">
        <v>-1.5337170000000001E-2</v>
      </c>
      <c r="O6366">
        <v>0.99902179999999996</v>
      </c>
      <c r="P6366">
        <v>9.9867880000000006E-2</v>
      </c>
      <c r="Q6366">
        <v>9.4765690000000007E-3</v>
      </c>
      <c r="R6366">
        <v>0.99495560000000005</v>
      </c>
      <c r="S6366">
        <v>0.62710569999999999</v>
      </c>
      <c r="T6366">
        <v>-0.14929870000000001</v>
      </c>
      <c r="U6366">
        <v>2.954285</v>
      </c>
      <c r="V6366">
        <v>5.8571440000000002E-2</v>
      </c>
      <c r="W6366">
        <v>2.464504E-2</v>
      </c>
      <c r="X6366">
        <v>0.99797899999999995</v>
      </c>
      <c r="Y6366">
        <v>0.1666861</v>
      </c>
      <c r="Z6366">
        <v>-3.4246560000000002E-2</v>
      </c>
      <c r="AA6366">
        <v>0.98541509999999999</v>
      </c>
      <c r="AB6366">
        <v>54</v>
      </c>
      <c r="AC6366">
        <v>4.6304999999999801</v>
      </c>
      <c r="AD6366">
        <v>-1.1080437516270001</v>
      </c>
      <c r="AE6366">
        <v>21.361889999999999</v>
      </c>
      <c r="AF6366">
        <v>3.7308558799710698</v>
      </c>
      <c r="AG6366">
        <v>-1.1080437516270001</v>
      </c>
      <c r="AH6366">
        <v>21.480374762895799</v>
      </c>
      <c r="AI6366">
        <v>92.909446302612807</v>
      </c>
      <c r="AJ6366">
        <v>80.146780112564997</v>
      </c>
      <c r="AK6366">
        <v>21.8301064245479</v>
      </c>
      <c r="AL6366">
        <v>88.587800294639095</v>
      </c>
      <c r="AM6366">
        <v>86.641160683112503</v>
      </c>
      <c r="AN6366">
        <v>1.00000003801063</v>
      </c>
    </row>
    <row r="6367" spans="1:40" x14ac:dyDescent="0.25">
      <c r="A6367" t="str">
        <f>"20190305135951737"</f>
        <v>20190305135951737</v>
      </c>
      <c r="B6367" t="str">
        <f>"1551765591724907"</f>
        <v>1551765591724907</v>
      </c>
      <c r="C6367" t="s">
        <v>40</v>
      </c>
      <c r="D6367">
        <v>4.5069049999999997</v>
      </c>
      <c r="E6367">
        <v>0.54015740000000001</v>
      </c>
      <c r="F6367" t="s">
        <v>42</v>
      </c>
      <c r="G6367">
        <v>-184.10679999999999</v>
      </c>
      <c r="H6367" s="1">
        <v>-3.4682960000000002E-6</v>
      </c>
      <c r="I6367">
        <v>95.232100000000003</v>
      </c>
      <c r="J6367">
        <v>-188.4906</v>
      </c>
      <c r="K6367">
        <v>1.1081240000000001</v>
      </c>
      <c r="L6367">
        <v>74.987489999999994</v>
      </c>
      <c r="M6367">
        <v>4.1826309999999998E-2</v>
      </c>
      <c r="N6367">
        <v>-1.533263E-2</v>
      </c>
      <c r="O6367">
        <v>0.99900719999999998</v>
      </c>
      <c r="P6367">
        <v>0.1022526</v>
      </c>
      <c r="Q6367">
        <v>8.6496999999999997E-3</v>
      </c>
      <c r="R6367">
        <v>0.99472090000000002</v>
      </c>
      <c r="S6367">
        <v>0.62713619999999903</v>
      </c>
      <c r="T6367">
        <v>-0.1577595</v>
      </c>
      <c r="U6367">
        <v>2.9537659999999999</v>
      </c>
      <c r="V6367">
        <v>6.0604659999999998E-2</v>
      </c>
      <c r="W6367">
        <v>2.3820839999999999E-2</v>
      </c>
      <c r="X6367">
        <v>0.99787760000000003</v>
      </c>
      <c r="Y6367">
        <v>0.16635929999999999</v>
      </c>
      <c r="Z6367">
        <v>-3.7060629999999997E-2</v>
      </c>
      <c r="AA6367">
        <v>0.98536849999999998</v>
      </c>
      <c r="AB6367">
        <v>54</v>
      </c>
      <c r="AC6367">
        <v>4.3837999999999999</v>
      </c>
      <c r="AD6367">
        <v>-1.1081274682959901</v>
      </c>
      <c r="AE6367">
        <v>20.244609999999899</v>
      </c>
      <c r="AF6367">
        <v>3.5230232454233699</v>
      </c>
      <c r="AG6367">
        <v>-1.1081274682959901</v>
      </c>
      <c r="AH6367">
        <v>20.3520233280734</v>
      </c>
      <c r="AI6367">
        <v>93.070982500457006</v>
      </c>
      <c r="AJ6367">
        <v>80.179175058075799</v>
      </c>
      <c r="AK6367">
        <v>20.6844021625047</v>
      </c>
      <c r="AL6367">
        <v>88.635037337630493</v>
      </c>
      <c r="AM6367">
        <v>86.5244923024744</v>
      </c>
      <c r="AN6367">
        <v>1.0000000309068899</v>
      </c>
    </row>
    <row r="6368" spans="1:40" x14ac:dyDescent="0.25">
      <c r="A6368" t="str">
        <f>"20190305135951759"</f>
        <v>20190305135951759</v>
      </c>
      <c r="B6368" t="str">
        <f>"1551765591755160"</f>
        <v>1551765591755160</v>
      </c>
      <c r="C6368" t="s">
        <v>40</v>
      </c>
      <c r="D6368">
        <v>4.4542659999999996</v>
      </c>
      <c r="E6368">
        <v>0.53994919999999902</v>
      </c>
      <c r="F6368" t="s">
        <v>42</v>
      </c>
      <c r="G6368">
        <v>-183.94710000000001</v>
      </c>
      <c r="H6368" s="1">
        <v>-3.8611420000000001E-6</v>
      </c>
      <c r="I6368">
        <v>96.130399999999995</v>
      </c>
      <c r="J6368">
        <v>-188.4683</v>
      </c>
      <c r="K6368">
        <v>1.1082320000000001</v>
      </c>
      <c r="L6368">
        <v>75.515529999999998</v>
      </c>
      <c r="M6368">
        <v>4.2114350000000002E-2</v>
      </c>
      <c r="N6368">
        <v>-1.532791E-2</v>
      </c>
      <c r="O6368">
        <v>0.99899519999999997</v>
      </c>
      <c r="P6368">
        <v>0.104033399999999</v>
      </c>
      <c r="Q6368">
        <v>7.4080379999999996E-3</v>
      </c>
      <c r="R6368">
        <v>0.99454620000000005</v>
      </c>
      <c r="S6368">
        <v>0.63438419999999995</v>
      </c>
      <c r="T6368">
        <v>-0.15472130000000001</v>
      </c>
      <c r="U6368">
        <v>2.9520569999999999</v>
      </c>
      <c r="V6368">
        <v>6.2094990000000003E-2</v>
      </c>
      <c r="W6368">
        <v>2.2586160000000001E-2</v>
      </c>
      <c r="X6368">
        <v>0.99781470000000005</v>
      </c>
      <c r="Y6368">
        <v>0.168512</v>
      </c>
      <c r="Z6368">
        <v>-3.606674E-2</v>
      </c>
      <c r="AA6368">
        <v>0.98503949999999996</v>
      </c>
      <c r="AB6368">
        <v>54</v>
      </c>
      <c r="AC6368">
        <v>4.5211999999999897</v>
      </c>
      <c r="AD6368">
        <v>-1.10823586114199</v>
      </c>
      <c r="AE6368">
        <v>20.61487</v>
      </c>
      <c r="AF6368">
        <v>3.63887013242074</v>
      </c>
      <c r="AG6368">
        <v>-1.10823586114199</v>
      </c>
      <c r="AH6368">
        <v>20.729845341083699</v>
      </c>
      <c r="AI6368">
        <v>93.014170558216705</v>
      </c>
      <c r="AJ6368">
        <v>80.043862704192904</v>
      </c>
      <c r="AK6368">
        <v>21.075959063107799</v>
      </c>
      <c r="AL6368">
        <v>88.705798367891305</v>
      </c>
      <c r="AM6368">
        <v>86.439019424640605</v>
      </c>
      <c r="AN6368">
        <v>1.0000000489713601</v>
      </c>
    </row>
    <row r="6369" spans="1:40" x14ac:dyDescent="0.25">
      <c r="A6369" t="str">
        <f>"20190305135951781"</f>
        <v>20190305135951781</v>
      </c>
      <c r="B6369" t="str">
        <f>"1551765591775656"</f>
        <v>1551765591775656</v>
      </c>
      <c r="C6369" t="s">
        <v>40</v>
      </c>
      <c r="D6369">
        <v>4.4151740000000004</v>
      </c>
      <c r="E6369">
        <v>0.53986199999999995</v>
      </c>
      <c r="F6369" t="s">
        <v>42</v>
      </c>
      <c r="G6369">
        <v>-183.69579999999999</v>
      </c>
      <c r="H6369" s="1">
        <v>-4.5385099999999997E-6</v>
      </c>
      <c r="I6369">
        <v>97.605440000000002</v>
      </c>
      <c r="J6369">
        <v>-188.44579999999999</v>
      </c>
      <c r="K6369">
        <v>1.1083339999999999</v>
      </c>
      <c r="L6369">
        <v>76.048859999999905</v>
      </c>
      <c r="M6369">
        <v>4.232491E-2</v>
      </c>
      <c r="N6369">
        <v>-1.5323410000000001E-2</v>
      </c>
      <c r="O6369">
        <v>0.99898640000000005</v>
      </c>
      <c r="P6369">
        <v>0.1053123</v>
      </c>
      <c r="Q6369">
        <v>5.8005749999999997E-3</v>
      </c>
      <c r="R6369">
        <v>0.99442229999999998</v>
      </c>
      <c r="S6369">
        <v>0.63754270000000002</v>
      </c>
      <c r="T6369">
        <v>-0.14804320000000001</v>
      </c>
      <c r="U6369">
        <v>2.9508670000000001</v>
      </c>
      <c r="V6369">
        <v>6.3159190000000004E-2</v>
      </c>
      <c r="W6369">
        <v>2.0987229999999999E-2</v>
      </c>
      <c r="X6369">
        <v>0.99778279999999997</v>
      </c>
      <c r="Y6369">
        <v>0.16941199999999901</v>
      </c>
      <c r="Z6369">
        <v>-3.3870659999999997E-2</v>
      </c>
      <c r="AA6369">
        <v>0.98496309999999998</v>
      </c>
      <c r="AB6369">
        <v>54</v>
      </c>
      <c r="AC6369">
        <v>4.75</v>
      </c>
      <c r="AD6369">
        <v>-1.10833853851</v>
      </c>
      <c r="AE6369">
        <v>21.55658</v>
      </c>
      <c r="AF6369">
        <v>3.82361528465887</v>
      </c>
      <c r="AG6369">
        <v>-1.10833853851</v>
      </c>
      <c r="AH6369">
        <v>21.6836583315872</v>
      </c>
      <c r="AI6369">
        <v>92.881687418870499</v>
      </c>
      <c r="AJ6369">
        <v>79.9994841853715</v>
      </c>
      <c r="AK6369">
        <v>22.046076449156001</v>
      </c>
      <c r="AL6369">
        <v>88.797432042961802</v>
      </c>
      <c r="AM6369">
        <v>86.378036017722096</v>
      </c>
      <c r="AN6369">
        <v>1.00000003154018</v>
      </c>
    </row>
    <row r="6370" spans="1:40" x14ac:dyDescent="0.25">
      <c r="A6370" t="str">
        <f>"20190305135951806"</f>
        <v>20190305135951806</v>
      </c>
      <c r="B6370" t="str">
        <f>"1551765591795176"</f>
        <v>1551765591795176</v>
      </c>
      <c r="C6370" t="s">
        <v>40</v>
      </c>
      <c r="D6370">
        <v>4.4439349999999997</v>
      </c>
      <c r="E6370">
        <v>0.53977459999999999</v>
      </c>
      <c r="F6370" t="s">
        <v>42</v>
      </c>
      <c r="G6370">
        <v>-183.60310000000001</v>
      </c>
      <c r="H6370" s="1">
        <v>-4.8718639999999997E-6</v>
      </c>
      <c r="I6370">
        <v>98.344200000000001</v>
      </c>
      <c r="J6370">
        <v>-188.41970000000001</v>
      </c>
      <c r="K6370">
        <v>1.1084510000000001</v>
      </c>
      <c r="L6370">
        <v>76.663179999999997</v>
      </c>
      <c r="M6370">
        <v>4.2492009999999997E-2</v>
      </c>
      <c r="N6370">
        <v>-1.531836E-2</v>
      </c>
      <c r="O6370">
        <v>0.99897939999999996</v>
      </c>
      <c r="P6370">
        <v>0.10518520000000001</v>
      </c>
      <c r="Q6370">
        <v>5.2056330000000003E-3</v>
      </c>
      <c r="R6370">
        <v>0.99443899999999996</v>
      </c>
      <c r="S6370">
        <v>0.64071659999999997</v>
      </c>
      <c r="T6370">
        <v>-0.14664089999999999</v>
      </c>
      <c r="U6370">
        <v>2.9498289999999998</v>
      </c>
      <c r="V6370">
        <v>6.2858189999999994E-2</v>
      </c>
      <c r="W6370">
        <v>2.0404660000000002E-2</v>
      </c>
      <c r="X6370">
        <v>0.99781390000000003</v>
      </c>
      <c r="Y6370">
        <v>0.17033419999999999</v>
      </c>
      <c r="Z6370">
        <v>-3.3418759999999999E-2</v>
      </c>
      <c r="AA6370">
        <v>0.98481949999999996</v>
      </c>
      <c r="AB6370">
        <v>54</v>
      </c>
      <c r="AC6370">
        <v>4.8165999999999896</v>
      </c>
      <c r="AD6370">
        <v>-1.1084558718639901</v>
      </c>
      <c r="AE6370">
        <v>21.681019999999901</v>
      </c>
      <c r="AF6370">
        <v>3.88120279263629</v>
      </c>
      <c r="AG6370">
        <v>-1.1084558718639901</v>
      </c>
      <c r="AH6370">
        <v>21.811793391208301</v>
      </c>
      <c r="AI6370">
        <v>92.864301765602505</v>
      </c>
      <c r="AJ6370">
        <v>79.910361114034004</v>
      </c>
      <c r="AK6370">
        <v>22.182126599543999</v>
      </c>
      <c r="AL6370">
        <v>88.830818006002801</v>
      </c>
      <c r="AM6370">
        <v>86.395363775087205</v>
      </c>
      <c r="AN6370">
        <v>1.0000000406164999</v>
      </c>
    </row>
    <row r="6371" spans="1:40" x14ac:dyDescent="0.25">
      <c r="A6371" t="str">
        <f>"20190305135951827"</f>
        <v>20190305135951827</v>
      </c>
      <c r="B6371" t="str">
        <f>"1551765591815672"</f>
        <v>1551765591815672</v>
      </c>
      <c r="C6371" t="s">
        <v>40</v>
      </c>
      <c r="D6371">
        <v>4.5108600000000001</v>
      </c>
      <c r="E6371">
        <v>0.53972769999999903</v>
      </c>
      <c r="F6371" t="s">
        <v>42</v>
      </c>
      <c r="G6371">
        <v>-183.44659999999999</v>
      </c>
      <c r="H6371" s="1">
        <v>-5.43963E-6</v>
      </c>
      <c r="I6371">
        <v>99.602950000000007</v>
      </c>
      <c r="J6371">
        <v>-188.3982</v>
      </c>
      <c r="K6371">
        <v>1.108541</v>
      </c>
      <c r="L6371">
        <v>77.165949999999995</v>
      </c>
      <c r="M6371">
        <v>4.2585329999999998E-2</v>
      </c>
      <c r="N6371">
        <v>-1.5314329999999999E-2</v>
      </c>
      <c r="O6371">
        <v>0.99897550000000002</v>
      </c>
      <c r="P6371">
        <v>0.1053714</v>
      </c>
      <c r="Q6371">
        <v>6.266883E-3</v>
      </c>
      <c r="R6371">
        <v>0.9944132</v>
      </c>
      <c r="S6371">
        <v>0.63949579999999995</v>
      </c>
      <c r="T6371">
        <v>-0.1425381</v>
      </c>
      <c r="U6371">
        <v>2.9498600000000001</v>
      </c>
      <c r="V6371">
        <v>6.2949439999999995E-2</v>
      </c>
      <c r="W6371">
        <v>2.1473490000000001E-2</v>
      </c>
      <c r="X6371">
        <v>0.9977857</v>
      </c>
      <c r="Y6371">
        <v>0.16986219999999999</v>
      </c>
      <c r="Z6371">
        <v>-3.2066999999999998E-2</v>
      </c>
      <c r="AA6371">
        <v>0.98494599999999999</v>
      </c>
      <c r="AB6371">
        <v>54</v>
      </c>
      <c r="AC6371">
        <v>4.9516000000000098</v>
      </c>
      <c r="AD6371">
        <v>-1.10854643963</v>
      </c>
      <c r="AE6371">
        <v>22.437000000000001</v>
      </c>
      <c r="AF6371">
        <v>3.9822385258250201</v>
      </c>
      <c r="AG6371">
        <v>-1.10854643963</v>
      </c>
      <c r="AH6371">
        <v>22.574983770479498</v>
      </c>
      <c r="AI6371">
        <v>92.768578733871394</v>
      </c>
      <c r="AJ6371">
        <v>79.995914474851503</v>
      </c>
      <c r="AK6371">
        <v>22.950315708564801</v>
      </c>
      <c r="AL6371">
        <v>88.769565106332394</v>
      </c>
      <c r="AM6371">
        <v>86.390043068081198</v>
      </c>
      <c r="AN6371">
        <v>1.00000002294679</v>
      </c>
    </row>
    <row r="6372" spans="1:40" x14ac:dyDescent="0.25">
      <c r="A6372" t="str">
        <f>"20190305135951847"</f>
        <v>20190305135951847</v>
      </c>
      <c r="B6372" t="str">
        <f>"1551765591844952"</f>
        <v>1551765591844952</v>
      </c>
      <c r="C6372" t="s">
        <v>40</v>
      </c>
      <c r="D6372">
        <v>4.4667640000000004</v>
      </c>
      <c r="E6372">
        <v>0.53975229999999996</v>
      </c>
      <c r="F6372" t="s">
        <v>42</v>
      </c>
      <c r="G6372">
        <v>-183.13570000000001</v>
      </c>
      <c r="H6372" s="1">
        <v>-2.4404559999999998E-6</v>
      </c>
      <c r="I6372">
        <v>101.4525</v>
      </c>
      <c r="J6372">
        <v>-188.37710000000001</v>
      </c>
      <c r="K6372">
        <v>1.1086240000000001</v>
      </c>
      <c r="L6372">
        <v>77.659970000000001</v>
      </c>
      <c r="M6372">
        <v>4.2648079999999998E-2</v>
      </c>
      <c r="N6372">
        <v>-1.531044E-2</v>
      </c>
      <c r="O6372">
        <v>0.99897279999999999</v>
      </c>
      <c r="P6372">
        <v>0.1054205</v>
      </c>
      <c r="Q6372">
        <v>8.0447539999999994E-3</v>
      </c>
      <c r="R6372">
        <v>0.99439520000000003</v>
      </c>
      <c r="S6372">
        <v>0.63920589999999999</v>
      </c>
      <c r="T6372">
        <v>-0.13464870000000001</v>
      </c>
      <c r="U6372">
        <v>2.949951</v>
      </c>
      <c r="V6372">
        <v>6.293493E-2</v>
      </c>
      <c r="W6372">
        <v>2.3257369999999999E-2</v>
      </c>
      <c r="X6372">
        <v>0.99774660000000004</v>
      </c>
      <c r="Y6372">
        <v>0.16972200000000001</v>
      </c>
      <c r="Z6372">
        <v>-2.9456300000000001E-2</v>
      </c>
      <c r="AA6372">
        <v>0.98505169999999997</v>
      </c>
      <c r="AB6372">
        <v>54</v>
      </c>
      <c r="AC6372">
        <v>5.2413999999999898</v>
      </c>
      <c r="AD6372">
        <v>-1.108626440456</v>
      </c>
      <c r="AE6372">
        <v>23.792529999999999</v>
      </c>
      <c r="AF6372">
        <v>4.2130814699439796</v>
      </c>
      <c r="AG6372">
        <v>-1.108626440456</v>
      </c>
      <c r="AH6372">
        <v>23.9448577138171</v>
      </c>
      <c r="AI6372">
        <v>92.610804501027701</v>
      </c>
      <c r="AJ6372">
        <v>80.020987155144596</v>
      </c>
      <c r="AK6372">
        <v>24.3379399085422</v>
      </c>
      <c r="AL6372">
        <v>88.667330689028105</v>
      </c>
      <c r="AM6372">
        <v>86.390731910636006</v>
      </c>
      <c r="AN6372">
        <v>0.99999999424249097</v>
      </c>
    </row>
    <row r="6373" spans="1:40" x14ac:dyDescent="0.25">
      <c r="A6373" t="str">
        <f>"20190305135951871"</f>
        <v>20190305135951871</v>
      </c>
      <c r="B6373" t="str">
        <f>"1551765591865448"</f>
        <v>1551765591865448</v>
      </c>
      <c r="C6373" t="s">
        <v>40</v>
      </c>
      <c r="D6373">
        <v>4.4765379999999997</v>
      </c>
      <c r="E6373">
        <v>0.53974690000000003</v>
      </c>
      <c r="F6373" t="s">
        <v>42</v>
      </c>
      <c r="G6373">
        <v>-182.62899999999999</v>
      </c>
      <c r="H6373" s="1">
        <v>-3.5047710000000001E-6</v>
      </c>
      <c r="I6373">
        <v>104.18380000000001</v>
      </c>
      <c r="J6373">
        <v>-188.3535</v>
      </c>
      <c r="K6373">
        <v>1.1087020000000001</v>
      </c>
      <c r="L6373">
        <v>78.213380000000001</v>
      </c>
      <c r="M6373">
        <v>4.2695629999999998E-2</v>
      </c>
      <c r="N6373">
        <v>-1.530611E-2</v>
      </c>
      <c r="O6373">
        <v>0.99897089999999999</v>
      </c>
      <c r="P6373">
        <v>0.105155</v>
      </c>
      <c r="Q6373">
        <v>9.0684909999999997E-3</v>
      </c>
      <c r="R6373">
        <v>0.99441449999999998</v>
      </c>
      <c r="S6373">
        <v>0.63934329999999995</v>
      </c>
      <c r="T6373">
        <v>-0.1233081</v>
      </c>
      <c r="U6373">
        <v>2.9501339999999998</v>
      </c>
      <c r="V6373">
        <v>6.2618489999999999E-2</v>
      </c>
      <c r="W6373">
        <v>2.428752E-2</v>
      </c>
      <c r="X6373">
        <v>0.99774200000000002</v>
      </c>
      <c r="Y6373">
        <v>0.16973299999999999</v>
      </c>
      <c r="Z6373">
        <v>-2.5698809999999999E-2</v>
      </c>
      <c r="AA6373">
        <v>0.98515489999999994</v>
      </c>
      <c r="AB6373">
        <v>54</v>
      </c>
      <c r="AC6373">
        <v>5.7244999999999697</v>
      </c>
      <c r="AD6373">
        <v>-1.1087055047709999</v>
      </c>
      <c r="AE6373">
        <v>25.970420000000001</v>
      </c>
      <c r="AF6373">
        <v>4.6023262122795598</v>
      </c>
      <c r="AG6373">
        <v>-1.1087055047709999</v>
      </c>
      <c r="AH6373">
        <v>26.145729049746599</v>
      </c>
      <c r="AI6373">
        <v>92.391440511462903</v>
      </c>
      <c r="AJ6373">
        <v>80.0167298026916</v>
      </c>
      <c r="AK6373">
        <v>26.5708445858108</v>
      </c>
      <c r="AL6373">
        <v>88.608290801876507</v>
      </c>
      <c r="AM6373">
        <v>86.408815368448202</v>
      </c>
      <c r="AN6373">
        <v>1.00000002874081</v>
      </c>
    </row>
    <row r="6374" spans="1:40" x14ac:dyDescent="0.25">
      <c r="A6374" t="str">
        <f>"20190305135951894"</f>
        <v>20190305135951894</v>
      </c>
      <c r="B6374" t="str">
        <f>"1551765591884971"</f>
        <v>1551765591884971</v>
      </c>
      <c r="C6374" t="s">
        <v>40</v>
      </c>
      <c r="D6374">
        <v>4.5135259999999997</v>
      </c>
      <c r="E6374">
        <v>0.53975260000000003</v>
      </c>
      <c r="F6374" t="s">
        <v>42</v>
      </c>
      <c r="G6374">
        <v>-182.27950000000001</v>
      </c>
      <c r="H6374" s="1">
        <v>-4.3144660000000003E-6</v>
      </c>
      <c r="I6374">
        <v>106.2899</v>
      </c>
      <c r="J6374">
        <v>-188.3296</v>
      </c>
      <c r="K6374">
        <v>1.108765</v>
      </c>
      <c r="L6374">
        <v>78.770539999999997</v>
      </c>
      <c r="M6374">
        <v>4.2729360000000001E-2</v>
      </c>
      <c r="N6374">
        <v>-1.530191E-2</v>
      </c>
      <c r="O6374">
        <v>0.99896949999999995</v>
      </c>
      <c r="P6374">
        <v>0.1053891</v>
      </c>
      <c r="Q6374">
        <v>9.2425470000000003E-3</v>
      </c>
      <c r="R6374">
        <v>0.9943881</v>
      </c>
      <c r="S6374">
        <v>0.63827509999999998</v>
      </c>
      <c r="T6374">
        <v>-0.1165079</v>
      </c>
      <c r="U6374">
        <v>2.9504090000000001</v>
      </c>
      <c r="V6374">
        <v>6.2816469999999999E-2</v>
      </c>
      <c r="W6374">
        <v>2.4465799999999999E-2</v>
      </c>
      <c r="X6374">
        <v>0.99772519999999998</v>
      </c>
      <c r="Y6374">
        <v>0.169354799999999</v>
      </c>
      <c r="Z6374">
        <v>-2.344742E-2</v>
      </c>
      <c r="AA6374">
        <v>0.98527620000000005</v>
      </c>
      <c r="AB6374">
        <v>54</v>
      </c>
      <c r="AC6374">
        <v>6.05009999999998</v>
      </c>
      <c r="AD6374">
        <v>-1.108769314466</v>
      </c>
      <c r="AE6374">
        <v>27.519359999999999</v>
      </c>
      <c r="AF6374">
        <v>4.8610235166154299</v>
      </c>
      <c r="AG6374">
        <v>-1.108769314466</v>
      </c>
      <c r="AH6374">
        <v>27.709859176965299</v>
      </c>
      <c r="AI6374">
        <v>92.256955686765096</v>
      </c>
      <c r="AJ6374">
        <v>80.0500860048313</v>
      </c>
      <c r="AK6374">
        <v>28.154843537640801</v>
      </c>
      <c r="AL6374">
        <v>88.598073075393103</v>
      </c>
      <c r="AM6374">
        <v>86.397430524213405</v>
      </c>
      <c r="AN6374">
        <v>1.0000000294939699</v>
      </c>
    </row>
    <row r="6375" spans="1:40" x14ac:dyDescent="0.25">
      <c r="A6375" t="str">
        <f>"20190305135951916"</f>
        <v>20190305135951916</v>
      </c>
      <c r="B6375" t="str">
        <f>"1551765591905464"</f>
        <v>1551765591905464</v>
      </c>
      <c r="C6375" t="s">
        <v>40</v>
      </c>
      <c r="D6375">
        <v>4.4949190000000003</v>
      </c>
      <c r="E6375">
        <v>0.53987229999999997</v>
      </c>
      <c r="F6375" t="s">
        <v>42</v>
      </c>
      <c r="G6375">
        <v>-182.03360000000001</v>
      </c>
      <c r="H6375" s="1">
        <v>-4.9387809999999997E-6</v>
      </c>
      <c r="I6375">
        <v>107.85120000000001</v>
      </c>
      <c r="J6375">
        <v>-188.30680000000001</v>
      </c>
      <c r="K6375">
        <v>1.1088129999999901</v>
      </c>
      <c r="L6375">
        <v>79.302400000000006</v>
      </c>
      <c r="M6375">
        <v>4.2754840000000002E-2</v>
      </c>
      <c r="N6375">
        <v>-1.529791E-2</v>
      </c>
      <c r="O6375">
        <v>0.99896850000000004</v>
      </c>
      <c r="P6375">
        <v>0.10585559999999999</v>
      </c>
      <c r="Q6375">
        <v>8.8848759999999999E-3</v>
      </c>
      <c r="R6375">
        <v>0.99434180000000005</v>
      </c>
      <c r="S6375">
        <v>0.63874819999999999</v>
      </c>
      <c r="T6375">
        <v>-0.1124868</v>
      </c>
      <c r="U6375">
        <v>2.9502869999999999</v>
      </c>
      <c r="V6375">
        <v>6.3256030000000005E-2</v>
      </c>
      <c r="W6375">
        <v>2.411114E-2</v>
      </c>
      <c r="X6375">
        <v>0.99770610000000004</v>
      </c>
      <c r="Y6375">
        <v>0.16949710000000001</v>
      </c>
      <c r="Z6375">
        <v>-2.211844E-2</v>
      </c>
      <c r="AA6375">
        <v>0.98528249999999995</v>
      </c>
      <c r="AB6375">
        <v>54</v>
      </c>
      <c r="AC6375">
        <v>6.2732000000000001</v>
      </c>
      <c r="AD6375">
        <v>-1.10881793878099</v>
      </c>
      <c r="AE6375">
        <v>28.5488</v>
      </c>
      <c r="AF6375">
        <v>5.0394683377417797</v>
      </c>
      <c r="AG6375">
        <v>-1.10881793878099</v>
      </c>
      <c r="AH6375">
        <v>28.7495586341687</v>
      </c>
      <c r="AI6375">
        <v>92.1755610476025</v>
      </c>
      <c r="AJ6375">
        <v>80.057714060815798</v>
      </c>
      <c r="AK6375">
        <v>29.208951367825001</v>
      </c>
      <c r="AL6375">
        <v>88.618399644646999</v>
      </c>
      <c r="AM6375">
        <v>86.372219266849697</v>
      </c>
      <c r="AN6375">
        <v>1.00000006719033</v>
      </c>
    </row>
    <row r="6376" spans="1:40" x14ac:dyDescent="0.25">
      <c r="A6376" t="str">
        <f>"20190305135951937"</f>
        <v>20190305135951937</v>
      </c>
      <c r="B6376" t="str">
        <f>"1551765591925960"</f>
        <v>1551765591925960</v>
      </c>
      <c r="C6376" t="s">
        <v>40</v>
      </c>
      <c r="D6376">
        <v>4.5027809999999997</v>
      </c>
      <c r="E6376">
        <v>0.54002620000000001</v>
      </c>
      <c r="F6376" t="s">
        <v>42</v>
      </c>
      <c r="G6376">
        <v>-181.8622</v>
      </c>
      <c r="H6376" s="1">
        <v>-5.4411829999999998E-6</v>
      </c>
      <c r="I6376">
        <v>108.9515</v>
      </c>
      <c r="J6376">
        <v>-188.28489999999999</v>
      </c>
      <c r="K6376">
        <v>1.1088499999999999</v>
      </c>
      <c r="L6376">
        <v>79.813289999999995</v>
      </c>
      <c r="M6376">
        <v>4.2776710000000003E-2</v>
      </c>
      <c r="N6376">
        <v>-1.5293920000000001E-2</v>
      </c>
      <c r="O6376">
        <v>0.99896759999999996</v>
      </c>
      <c r="P6376">
        <v>0.1068378</v>
      </c>
      <c r="Q6376">
        <v>8.3264199999999993E-3</v>
      </c>
      <c r="R6376">
        <v>0.99424159999999995</v>
      </c>
      <c r="S6376">
        <v>0.64117429999999997</v>
      </c>
      <c r="T6376">
        <v>-0.110316899999999</v>
      </c>
      <c r="U6376">
        <v>2.9497990000000001</v>
      </c>
      <c r="V6376">
        <v>6.4217049999999998E-2</v>
      </c>
      <c r="W6376">
        <v>2.3553399999999999E-2</v>
      </c>
      <c r="X6376">
        <v>0.99765800000000004</v>
      </c>
      <c r="Y6376">
        <v>0.1702871</v>
      </c>
      <c r="Z6376">
        <v>-2.140326E-2</v>
      </c>
      <c r="AA6376">
        <v>0.98516199999999998</v>
      </c>
      <c r="AB6376">
        <v>54</v>
      </c>
      <c r="AC6376">
        <v>6.4226999999999901</v>
      </c>
      <c r="AD6376">
        <v>-1.1088554411829901</v>
      </c>
      <c r="AE6376">
        <v>29.138209999999901</v>
      </c>
      <c r="AF6376">
        <v>5.1631064224941001</v>
      </c>
      <c r="AG6376">
        <v>-1.1088554411829901</v>
      </c>
      <c r="AH6376">
        <v>29.345777440707</v>
      </c>
      <c r="AI6376">
        <v>92.131236884699902</v>
      </c>
      <c r="AJ6376">
        <v>80.021485623764903</v>
      </c>
      <c r="AK6376">
        <v>29.8171407401674</v>
      </c>
      <c r="AL6376">
        <v>88.6503648313833</v>
      </c>
      <c r="AM6376">
        <v>86.317077529224903</v>
      </c>
      <c r="AN6376">
        <v>1.00000003856313</v>
      </c>
    </row>
    <row r="6377" spans="1:40" x14ac:dyDescent="0.25">
      <c r="A6377" t="str">
        <f>"20190305135951961"</f>
        <v>20190305135951961</v>
      </c>
      <c r="B6377" t="str">
        <f>"1551765591955240"</f>
        <v>1551765591955240</v>
      </c>
      <c r="C6377" t="s">
        <v>40</v>
      </c>
      <c r="D6377">
        <v>4.5016769999999999</v>
      </c>
      <c r="E6377">
        <v>0.54014180000000001</v>
      </c>
      <c r="F6377" t="s">
        <v>42</v>
      </c>
      <c r="G6377">
        <v>-181.70249999999999</v>
      </c>
      <c r="H6377" s="1">
        <v>-2.2962639999999998E-6</v>
      </c>
      <c r="I6377">
        <v>109.9081</v>
      </c>
      <c r="J6377">
        <v>-188.26169999999999</v>
      </c>
      <c r="K6377">
        <v>1.108878</v>
      </c>
      <c r="L6377">
        <v>80.355769999999893</v>
      </c>
      <c r="M6377">
        <v>4.2797540000000002E-2</v>
      </c>
      <c r="N6377">
        <v>-1.5289580000000001E-2</v>
      </c>
      <c r="O6377">
        <v>0.99896680000000004</v>
      </c>
      <c r="P6377">
        <v>0.10808130000000001</v>
      </c>
      <c r="Q6377">
        <v>7.5077310000000001E-3</v>
      </c>
      <c r="R6377">
        <v>0.99411369999999999</v>
      </c>
      <c r="S6377">
        <v>0.64500429999999997</v>
      </c>
      <c r="T6377">
        <v>-0.10865569999999999</v>
      </c>
      <c r="U6377">
        <v>2.9489749999999999</v>
      </c>
      <c r="V6377">
        <v>6.5441570000000004E-2</v>
      </c>
      <c r="W6377">
        <v>2.2734420000000002E-2</v>
      </c>
      <c r="X6377">
        <v>0.99759739999999997</v>
      </c>
      <c r="Y6377">
        <v>0.17154759999999999</v>
      </c>
      <c r="Z6377">
        <v>-2.085797E-2</v>
      </c>
      <c r="AA6377">
        <v>0.98495500000000002</v>
      </c>
      <c r="AB6377">
        <v>54</v>
      </c>
      <c r="AC6377">
        <v>6.5591999999999997</v>
      </c>
      <c r="AD6377">
        <v>-1.1088802962639901</v>
      </c>
      <c r="AE6377">
        <v>29.552330000000001</v>
      </c>
      <c r="AF6377">
        <v>5.2811874649651998</v>
      </c>
      <c r="AG6377">
        <v>-1.1088802962639901</v>
      </c>
      <c r="AH6377">
        <v>29.766055869345401</v>
      </c>
      <c r="AI6377">
        <v>92.100686074713906</v>
      </c>
      <c r="AJ6377">
        <v>79.939099264128004</v>
      </c>
      <c r="AK6377">
        <v>30.251258462558901</v>
      </c>
      <c r="AL6377">
        <v>88.697301466986204</v>
      </c>
      <c r="AM6377">
        <v>86.246821388209995</v>
      </c>
      <c r="AN6377">
        <v>1.0000000127117801</v>
      </c>
    </row>
    <row r="6378" spans="1:40" x14ac:dyDescent="0.25">
      <c r="A6378" t="str">
        <f>"20190305135951983"</f>
        <v>20190305135951983</v>
      </c>
      <c r="B6378" t="str">
        <f>"1551765591975737"</f>
        <v>1551765591975737</v>
      </c>
      <c r="C6378" t="s">
        <v>40</v>
      </c>
      <c r="D6378">
        <v>4.5402319999999996</v>
      </c>
      <c r="E6378">
        <v>0.54026339999999995</v>
      </c>
      <c r="F6378" t="s">
        <v>42</v>
      </c>
      <c r="G6378">
        <v>-181.47489999999999</v>
      </c>
      <c r="H6378" s="1">
        <v>-2.779738E-6</v>
      </c>
      <c r="I6378">
        <v>111.15089999999999</v>
      </c>
      <c r="J6378">
        <v>-188.2381</v>
      </c>
      <c r="K6378">
        <v>1.1089020000000001</v>
      </c>
      <c r="L6378">
        <v>80.904300000000006</v>
      </c>
      <c r="M6378">
        <v>4.2816430000000003E-2</v>
      </c>
      <c r="N6378">
        <v>-1.528532E-2</v>
      </c>
      <c r="O6378">
        <v>0.99896600000000002</v>
      </c>
      <c r="P6378">
        <v>0.1090974</v>
      </c>
      <c r="Q6378">
        <v>6.6576650000000001E-3</v>
      </c>
      <c r="R6378">
        <v>0.99400880000000003</v>
      </c>
      <c r="S6378">
        <v>0.64967350000000001</v>
      </c>
      <c r="T6378">
        <v>-0.1061502</v>
      </c>
      <c r="U6378">
        <v>2.947937</v>
      </c>
      <c r="V6378">
        <v>6.6440369999999999E-2</v>
      </c>
      <c r="W6378">
        <v>2.1883949999999999E-2</v>
      </c>
      <c r="X6378">
        <v>0.99755039999999995</v>
      </c>
      <c r="Y6378">
        <v>0.17309359999999999</v>
      </c>
      <c r="Z6378">
        <v>-2.003303E-2</v>
      </c>
      <c r="AA6378">
        <v>0.98470159999999995</v>
      </c>
      <c r="AB6378">
        <v>54</v>
      </c>
      <c r="AC6378">
        <v>6.7632000000000101</v>
      </c>
      <c r="AD6378">
        <v>-1.1089047797380001</v>
      </c>
      <c r="AE6378">
        <v>30.246599999999901</v>
      </c>
      <c r="AF6378">
        <v>5.4548108713195997</v>
      </c>
      <c r="AG6378">
        <v>-1.1089047797380001</v>
      </c>
      <c r="AH6378">
        <v>30.469461741623402</v>
      </c>
      <c r="AI6378">
        <v>92.051710222590501</v>
      </c>
      <c r="AJ6378">
        <v>79.850117465504098</v>
      </c>
      <c r="AK6378">
        <v>30.973742593956</v>
      </c>
      <c r="AL6378">
        <v>88.746041943239604</v>
      </c>
      <c r="AM6378">
        <v>86.1895270959063</v>
      </c>
      <c r="AN6378">
        <v>1.0000000152867401</v>
      </c>
    </row>
    <row r="6379" spans="1:40" x14ac:dyDescent="0.25">
      <c r="A6379" t="str">
        <f>"20190305135952006"</f>
        <v>20190305135952006</v>
      </c>
      <c r="B6379" t="str">
        <f>"1551765591995256"</f>
        <v>1551765591995256</v>
      </c>
      <c r="C6379" t="s">
        <v>40</v>
      </c>
      <c r="D6379">
        <v>4.6302750000000001</v>
      </c>
      <c r="E6379">
        <v>0.54027179999999997</v>
      </c>
      <c r="F6379" t="s">
        <v>42</v>
      </c>
      <c r="G6379">
        <v>-181.3982</v>
      </c>
      <c r="H6379" s="1">
        <v>-3.00371E-6</v>
      </c>
      <c r="I6379">
        <v>111.7491</v>
      </c>
      <c r="J6379">
        <v>-188.21360000000001</v>
      </c>
      <c r="K6379">
        <v>1.1089180000000001</v>
      </c>
      <c r="L6379">
        <v>81.475589999999997</v>
      </c>
      <c r="M6379">
        <v>4.283294E-2</v>
      </c>
      <c r="N6379">
        <v>-1.5281100000000001E-2</v>
      </c>
      <c r="O6379">
        <v>0.9989654</v>
      </c>
      <c r="P6379">
        <v>0.1099112</v>
      </c>
      <c r="Q6379">
        <v>5.7405959999999997E-3</v>
      </c>
      <c r="R6379">
        <v>0.9939249</v>
      </c>
      <c r="S6379">
        <v>0.65351870000000001</v>
      </c>
      <c r="T6379">
        <v>-0.1059508</v>
      </c>
      <c r="U6379">
        <v>2.9470830000000001</v>
      </c>
      <c r="V6379">
        <v>6.7238759999999995E-2</v>
      </c>
      <c r="W6379">
        <v>2.0966249999999999E-2</v>
      </c>
      <c r="X6379">
        <v>0.99751659999999998</v>
      </c>
      <c r="Y6379">
        <v>0.17436189999999999</v>
      </c>
      <c r="Z6379">
        <v>-1.9972609999999998E-2</v>
      </c>
      <c r="AA6379">
        <v>0.98447910000000005</v>
      </c>
      <c r="AB6379">
        <v>54</v>
      </c>
      <c r="AC6379">
        <v>6.8154000000000101</v>
      </c>
      <c r="AD6379">
        <v>-1.1089210037099999</v>
      </c>
      <c r="AE6379">
        <v>30.273509999999899</v>
      </c>
      <c r="AF6379">
        <v>5.5052584306932202</v>
      </c>
      <c r="AG6379">
        <v>-1.1089210037099999</v>
      </c>
      <c r="AH6379">
        <v>30.498729580832499</v>
      </c>
      <c r="AI6379">
        <v>92.049244384168404</v>
      </c>
      <c r="AJ6379">
        <v>79.767847336555107</v>
      </c>
      <c r="AK6379">
        <v>31.011450824267101</v>
      </c>
      <c r="AL6379">
        <v>88.798634336095105</v>
      </c>
      <c r="AM6379">
        <v>86.143745076360901</v>
      </c>
      <c r="AN6379">
        <v>1.0000000008804799</v>
      </c>
    </row>
    <row r="6380" spans="1:40" x14ac:dyDescent="0.25">
      <c r="A6380" t="str">
        <f>"20190305135952030"</f>
        <v>20190305135952030</v>
      </c>
      <c r="B6380" t="str">
        <f>"1551765592025173"</f>
        <v>1551765592025173</v>
      </c>
      <c r="C6380" t="s">
        <v>40</v>
      </c>
      <c r="D6380">
        <v>4.744319</v>
      </c>
      <c r="E6380">
        <v>0.51275709999999997</v>
      </c>
      <c r="F6380" t="s">
        <v>42</v>
      </c>
      <c r="G6380">
        <v>-181.65170000000001</v>
      </c>
      <c r="H6380" s="1">
        <v>-2.6609589999999902E-6</v>
      </c>
      <c r="I6380">
        <v>110.9401</v>
      </c>
      <c r="J6380">
        <v>-188.18989999999999</v>
      </c>
      <c r="K6380">
        <v>1.108932</v>
      </c>
      <c r="L6380">
        <v>82.027739999999994</v>
      </c>
      <c r="M6380">
        <v>4.2846130000000003E-2</v>
      </c>
      <c r="N6380">
        <v>-1.527715E-2</v>
      </c>
      <c r="O6380">
        <v>0.99896479999999999</v>
      </c>
      <c r="P6380">
        <v>0.110043</v>
      </c>
      <c r="Q6380">
        <v>4.5695379999999997E-3</v>
      </c>
      <c r="R6380">
        <v>0.99391629999999997</v>
      </c>
      <c r="S6380">
        <v>0.65617369999999997</v>
      </c>
      <c r="T6380">
        <v>-0.1108904</v>
      </c>
      <c r="U6380">
        <v>2.9464109999999999</v>
      </c>
      <c r="V6380">
        <v>6.7356310000000003E-2</v>
      </c>
      <c r="W6380">
        <v>1.9794429999999998E-2</v>
      </c>
      <c r="X6380">
        <v>0.99753259999999999</v>
      </c>
      <c r="Y6380">
        <v>0.17523169999999999</v>
      </c>
      <c r="Z6380">
        <v>-2.1617089999999999E-2</v>
      </c>
      <c r="AA6380">
        <v>0.98428990000000005</v>
      </c>
      <c r="AB6380">
        <v>54</v>
      </c>
      <c r="AC6380">
        <v>6.5381999999999802</v>
      </c>
      <c r="AD6380">
        <v>-1.1089346609590001</v>
      </c>
      <c r="AE6380">
        <v>28.9123599999999</v>
      </c>
      <c r="AF6380">
        <v>5.2858692673989598</v>
      </c>
      <c r="AG6380">
        <v>-1.1089346609590001</v>
      </c>
      <c r="AH6380">
        <v>29.125210514324401</v>
      </c>
      <c r="AI6380">
        <v>92.145454864902803</v>
      </c>
      <c r="AJ6380">
        <v>79.713480456902502</v>
      </c>
      <c r="AK6380">
        <v>29.621749399689801</v>
      </c>
      <c r="AL6380">
        <v>88.865788615894402</v>
      </c>
      <c r="AM6380">
        <v>86.137085554977105</v>
      </c>
      <c r="AN6380">
        <v>0.99999999000929995</v>
      </c>
    </row>
    <row r="6381" spans="1:40" x14ac:dyDescent="0.25">
      <c r="A6381" t="str">
        <f>"20190305135952050"</f>
        <v>20190305135952050</v>
      </c>
      <c r="B6381" t="str">
        <f>"1551765592045670"</f>
        <v>1551765592045670</v>
      </c>
      <c r="C6381" t="s">
        <v>40</v>
      </c>
      <c r="D6381">
        <v>4.4174389999999999</v>
      </c>
      <c r="E6381">
        <v>0.50963939999999996</v>
      </c>
      <c r="F6381" t="s">
        <v>42</v>
      </c>
      <c r="G6381">
        <v>-183.5472</v>
      </c>
      <c r="H6381" s="1">
        <v>-3.0390130000000002E-6</v>
      </c>
      <c r="I6381">
        <v>113.5331</v>
      </c>
      <c r="J6381">
        <v>-188.16970000000001</v>
      </c>
      <c r="K6381">
        <v>1.108949</v>
      </c>
      <c r="L6381">
        <v>82.498540000000006</v>
      </c>
      <c r="M6381">
        <v>4.2855270000000001E-2</v>
      </c>
      <c r="N6381">
        <v>-1.5273749999999999E-2</v>
      </c>
      <c r="O6381">
        <v>0.99896450000000003</v>
      </c>
      <c r="P6381">
        <v>0.10995630000000001</v>
      </c>
      <c r="Q6381">
        <v>4.798966E-3</v>
      </c>
      <c r="R6381">
        <v>0.9939249</v>
      </c>
      <c r="S6381">
        <v>0.43771359999999898</v>
      </c>
      <c r="T6381">
        <v>-0.1045518</v>
      </c>
      <c r="U6381">
        <v>2.970367</v>
      </c>
      <c r="V6381">
        <v>6.7259570000000005E-2</v>
      </c>
      <c r="W6381">
        <v>2.0022789999999999E-2</v>
      </c>
      <c r="X6381">
        <v>0.99753460000000005</v>
      </c>
      <c r="Y6381">
        <v>0.1031821</v>
      </c>
      <c r="Z6381">
        <v>-1.9625710000000001E-2</v>
      </c>
      <c r="AA6381">
        <v>0.99446889999999999</v>
      </c>
      <c r="AB6381">
        <v>53</v>
      </c>
      <c r="AC6381">
        <v>4.6224999999999996</v>
      </c>
      <c r="AD6381">
        <v>-1.1089520390130001</v>
      </c>
      <c r="AE6381">
        <v>31.034559999999999</v>
      </c>
      <c r="AF6381">
        <v>3.2840005043058902</v>
      </c>
      <c r="AG6381">
        <v>-1.1089520390130001</v>
      </c>
      <c r="AH6381">
        <v>31.165234041043298</v>
      </c>
      <c r="AI6381">
        <v>92.026683736705294</v>
      </c>
      <c r="AJ6381">
        <v>83.984721778286797</v>
      </c>
      <c r="AK6381">
        <v>31.3573954079435</v>
      </c>
      <c r="AL6381">
        <v>88.852701992256797</v>
      </c>
      <c r="AM6381">
        <v>86.142624586298098</v>
      </c>
      <c r="AN6381">
        <v>1.00000002003656</v>
      </c>
    </row>
    <row r="6382" spans="1:40" x14ac:dyDescent="0.25">
      <c r="A6382" t="str">
        <f>"20190305135952073"</f>
        <v>20190305135952073</v>
      </c>
      <c r="B6382" t="str">
        <f>"1551765592065189"</f>
        <v>1551765592065189</v>
      </c>
      <c r="C6382" t="s">
        <v>40</v>
      </c>
      <c r="D6382">
        <v>4.3868809999999998</v>
      </c>
      <c r="E6382">
        <v>0.50884220000000002</v>
      </c>
      <c r="F6382" t="s">
        <v>42</v>
      </c>
      <c r="G6382">
        <v>-183.59039999999999</v>
      </c>
      <c r="H6382" s="1">
        <v>-3.6962969999999998E-6</v>
      </c>
      <c r="I6382">
        <v>115.4983</v>
      </c>
      <c r="J6382">
        <v>-188.14580000000001</v>
      </c>
      <c r="K6382">
        <v>1.1089719999999901</v>
      </c>
      <c r="L6382">
        <v>83.056089999999998</v>
      </c>
      <c r="M6382">
        <v>4.2863600000000002E-2</v>
      </c>
      <c r="N6382">
        <v>-1.526973E-2</v>
      </c>
      <c r="O6382">
        <v>0.99896430000000003</v>
      </c>
      <c r="P6382">
        <v>0.1094344</v>
      </c>
      <c r="Q6382">
        <v>6.0616450000000001E-3</v>
      </c>
      <c r="R6382">
        <v>0.99397550000000001</v>
      </c>
      <c r="S6382">
        <v>0.41258240000000002</v>
      </c>
      <c r="T6382">
        <v>-9.991324E-2</v>
      </c>
      <c r="U6382">
        <v>2.9731749999999999</v>
      </c>
      <c r="V6382">
        <v>6.6727300000000003E-2</v>
      </c>
      <c r="W6382">
        <v>2.1284709999999998E-2</v>
      </c>
      <c r="X6382">
        <v>0.99754419999999999</v>
      </c>
      <c r="Y6382">
        <v>9.4805630000000002E-2</v>
      </c>
      <c r="Z6382">
        <v>-1.808471E-2</v>
      </c>
      <c r="AA6382">
        <v>0.99533150000000004</v>
      </c>
      <c r="AB6382">
        <v>53</v>
      </c>
      <c r="AC6382">
        <v>4.5554000000000201</v>
      </c>
      <c r="AD6382">
        <v>-1.1089756962970001</v>
      </c>
      <c r="AE6382">
        <v>32.442209999999903</v>
      </c>
      <c r="AF6382">
        <v>3.15684293537889</v>
      </c>
      <c r="AG6382">
        <v>-1.1089756962970001</v>
      </c>
      <c r="AH6382">
        <v>32.570347996798802</v>
      </c>
      <c r="AI6382">
        <v>91.941000605173997</v>
      </c>
      <c r="AJ6382">
        <v>84.463965871445794</v>
      </c>
      <c r="AK6382">
        <v>32.741763132827899</v>
      </c>
      <c r="AL6382">
        <v>88.780383849557097</v>
      </c>
      <c r="AM6382">
        <v>86.173096230852195</v>
      </c>
      <c r="AN6382">
        <v>1.00000000119935</v>
      </c>
    </row>
    <row r="6383" spans="1:40" x14ac:dyDescent="0.25">
      <c r="A6383" t="str">
        <f>"20190305135952095"</f>
        <v>20190305135952095</v>
      </c>
      <c r="B6383" t="str">
        <f>"1551765592085685"</f>
        <v>1551765592085685</v>
      </c>
      <c r="C6383" t="s">
        <v>40</v>
      </c>
      <c r="D6383">
        <v>4.2420349999999996</v>
      </c>
      <c r="E6383">
        <v>0.50872689999999998</v>
      </c>
      <c r="F6383" t="s">
        <v>42</v>
      </c>
      <c r="G6383">
        <v>-183.25149999999999</v>
      </c>
      <c r="H6383" s="1">
        <v>-5.23338E-6</v>
      </c>
      <c r="I6383">
        <v>119.0415</v>
      </c>
      <c r="J6383">
        <v>-188.12280000000001</v>
      </c>
      <c r="K6383">
        <v>1.108997</v>
      </c>
      <c r="L6383">
        <v>83.591740000000001</v>
      </c>
      <c r="M6383">
        <v>4.286392E-2</v>
      </c>
      <c r="N6383">
        <v>-1.5265920000000001E-2</v>
      </c>
      <c r="O6383">
        <v>0.99896430000000003</v>
      </c>
      <c r="P6383">
        <v>0.10912570000000001</v>
      </c>
      <c r="Q6383">
        <v>7.4005369999999996E-3</v>
      </c>
      <c r="R6383">
        <v>0.99400040000000001</v>
      </c>
      <c r="S6383">
        <v>0.4045105</v>
      </c>
      <c r="T6383">
        <v>-9.1657520000000006E-2</v>
      </c>
      <c r="U6383">
        <v>2.9742130000000002</v>
      </c>
      <c r="V6383">
        <v>6.6416920000000004E-2</v>
      </c>
      <c r="W6383">
        <v>2.262144E-2</v>
      </c>
      <c r="X6383">
        <v>0.99753550000000002</v>
      </c>
      <c r="Y6383">
        <v>9.2115569999999994E-2</v>
      </c>
      <c r="Z6383">
        <v>-1.5336310000000001E-2</v>
      </c>
      <c r="AA6383">
        <v>0.99563020000000002</v>
      </c>
      <c r="AB6383">
        <v>53</v>
      </c>
      <c r="AC6383">
        <v>4.8713000000000104</v>
      </c>
      <c r="AD6383">
        <v>-1.10900223338</v>
      </c>
      <c r="AE6383">
        <v>35.449759999999998</v>
      </c>
      <c r="AF6383">
        <v>3.3439171448037599</v>
      </c>
      <c r="AG6383">
        <v>-1.10900223338</v>
      </c>
      <c r="AH6383">
        <v>35.591811326317703</v>
      </c>
      <c r="AI6383">
        <v>91.776876988162996</v>
      </c>
      <c r="AJ6383">
        <v>84.632709781839097</v>
      </c>
      <c r="AK6383">
        <v>35.7657475989689</v>
      </c>
      <c r="AL6383">
        <v>88.703776399656803</v>
      </c>
      <c r="AM6383">
        <v>86.190811306137803</v>
      </c>
      <c r="AN6383">
        <v>1.0000000052850999</v>
      </c>
    </row>
    <row r="6384" spans="1:40" x14ac:dyDescent="0.25">
      <c r="A6384" t="str">
        <f>"20190305135952119"</f>
        <v>20190305135952119</v>
      </c>
      <c r="B6384" t="str">
        <f>"1551765592115940"</f>
        <v>1551765592115940</v>
      </c>
      <c r="C6384" t="s">
        <v>40</v>
      </c>
      <c r="D6384">
        <v>4.326524</v>
      </c>
      <c r="E6384">
        <v>0.50894470000000003</v>
      </c>
      <c r="F6384" t="s">
        <v>42</v>
      </c>
      <c r="G6384">
        <v>-183.27330000000001</v>
      </c>
      <c r="H6384" s="1">
        <v>-5.3765010000000003E-6</v>
      </c>
      <c r="I6384">
        <v>119.38420000000001</v>
      </c>
      <c r="J6384">
        <v>-188.09889999999999</v>
      </c>
      <c r="K6384">
        <v>1.109029</v>
      </c>
      <c r="L6384">
        <v>84.147400000000005</v>
      </c>
      <c r="M6384">
        <v>4.283033E-2</v>
      </c>
      <c r="N6384">
        <v>-1.526197E-2</v>
      </c>
      <c r="O6384">
        <v>0.99896580000000001</v>
      </c>
      <c r="P6384">
        <v>0.1091597</v>
      </c>
      <c r="Q6384">
        <v>8.3165519999999996E-3</v>
      </c>
      <c r="R6384">
        <v>0.99398940000000002</v>
      </c>
      <c r="S6384">
        <v>0.40301510000000001</v>
      </c>
      <c r="T6384">
        <v>-9.2164280000000001E-2</v>
      </c>
      <c r="U6384">
        <v>2.974548</v>
      </c>
      <c r="V6384">
        <v>6.6483680000000003E-2</v>
      </c>
      <c r="W6384">
        <v>2.353767E-2</v>
      </c>
      <c r="X6384">
        <v>0.9975098</v>
      </c>
      <c r="Y6384">
        <v>9.1642280000000007E-2</v>
      </c>
      <c r="Z6384">
        <v>-1.55072E-2</v>
      </c>
      <c r="AA6384">
        <v>0.99567119999999998</v>
      </c>
      <c r="AB6384">
        <v>53</v>
      </c>
      <c r="AC6384">
        <v>4.8255999999999801</v>
      </c>
      <c r="AD6384">
        <v>-1.109034376501</v>
      </c>
      <c r="AE6384">
        <v>35.236800000000002</v>
      </c>
      <c r="AF6384">
        <v>3.3085741336912</v>
      </c>
      <c r="AG6384">
        <v>-1.109034376501</v>
      </c>
      <c r="AH6384">
        <v>35.376764910690703</v>
      </c>
      <c r="AI6384">
        <v>91.787794010069106</v>
      </c>
      <c r="AJ6384">
        <v>84.6570151540013</v>
      </c>
      <c r="AK6384">
        <v>35.548447442788103</v>
      </c>
      <c r="AL6384">
        <v>88.651266226249305</v>
      </c>
      <c r="AM6384">
        <v>86.186895781094705</v>
      </c>
      <c r="AN6384">
        <v>0.99999995135570396</v>
      </c>
    </row>
    <row r="6385" spans="1:40" x14ac:dyDescent="0.25">
      <c r="A6385" t="str">
        <f>"20190305135952138"</f>
        <v>20190305135952138</v>
      </c>
      <c r="B6385" t="str">
        <f>"1551765592125701"</f>
        <v>1551765592125701</v>
      </c>
      <c r="C6385" t="s">
        <v>40</v>
      </c>
      <c r="D6385">
        <v>4.5849510000000002</v>
      </c>
      <c r="E6385">
        <v>0.50980199999999998</v>
      </c>
      <c r="F6385" t="s">
        <v>79</v>
      </c>
      <c r="G6385">
        <v>-182.8296</v>
      </c>
      <c r="H6385" s="1">
        <v>-2.8647369999999998E-6</v>
      </c>
      <c r="I6385">
        <v>122.9034</v>
      </c>
      <c r="J6385">
        <v>-188.07939999999999</v>
      </c>
      <c r="K6385">
        <v>1.1090799999999901</v>
      </c>
      <c r="L6385">
        <v>84.604399999999998</v>
      </c>
      <c r="M6385">
        <v>4.2753510000000002E-2</v>
      </c>
      <c r="N6385">
        <v>-1.525876E-2</v>
      </c>
      <c r="O6385">
        <v>0.99896910000000005</v>
      </c>
      <c r="P6385">
        <v>0.110013</v>
      </c>
      <c r="Q6385">
        <v>8.6223559999999994E-3</v>
      </c>
      <c r="R6385">
        <v>0.99389269999999996</v>
      </c>
      <c r="S6385">
        <v>0.40440369999999998</v>
      </c>
      <c r="T6385">
        <v>-8.5115549999999998E-2</v>
      </c>
      <c r="U6385">
        <v>2.9744259999999998</v>
      </c>
      <c r="V6385">
        <v>6.7414950000000001E-2</v>
      </c>
      <c r="W6385">
        <v>2.3845140000000001E-2</v>
      </c>
      <c r="X6385">
        <v>0.99743999999999999</v>
      </c>
      <c r="Y6385">
        <v>9.2186660000000004E-2</v>
      </c>
      <c r="Z6385">
        <v>-1.316178E-2</v>
      </c>
      <c r="AA6385">
        <v>0.99565479999999995</v>
      </c>
      <c r="AB6385">
        <v>53</v>
      </c>
      <c r="AC6385">
        <v>5.2497999999999898</v>
      </c>
      <c r="AD6385">
        <v>-1.1090828647369999</v>
      </c>
      <c r="AE6385">
        <v>38.298999999999999</v>
      </c>
      <c r="AF6385">
        <v>3.60442444905402</v>
      </c>
      <c r="AG6385">
        <v>-1.1090828647369999</v>
      </c>
      <c r="AH6385">
        <v>38.456791728003203</v>
      </c>
      <c r="AI6385">
        <v>91.644731558050395</v>
      </c>
      <c r="AJ6385">
        <v>84.645503832658903</v>
      </c>
      <c r="AK6385">
        <v>38.641257360764101</v>
      </c>
      <c r="AL6385">
        <v>88.633644557596</v>
      </c>
      <c r="AM6385">
        <v>86.133374873496606</v>
      </c>
      <c r="AN6385">
        <v>0.99999995989255996</v>
      </c>
    </row>
    <row r="6386" spans="1:40" x14ac:dyDescent="0.25">
      <c r="A6386" t="str">
        <f>"20190305135952163"</f>
        <v>20190305135952163</v>
      </c>
      <c r="B6386" t="str">
        <f>"1551765592155957"</f>
        <v>1551765592155957</v>
      </c>
      <c r="C6386" t="s">
        <v>40</v>
      </c>
      <c r="D6386">
        <v>4.2690599999999996</v>
      </c>
      <c r="E6386">
        <v>0.51065099999999997</v>
      </c>
      <c r="F6386" t="s">
        <v>79</v>
      </c>
      <c r="G6386">
        <v>-182.5909</v>
      </c>
      <c r="H6386" s="1">
        <v>-3.460234E-6</v>
      </c>
      <c r="I6386">
        <v>124.05719999999999</v>
      </c>
      <c r="J6386">
        <v>-188.05430000000001</v>
      </c>
      <c r="K6386">
        <v>1.1091390000000001</v>
      </c>
      <c r="L6386">
        <v>85.192139999999995</v>
      </c>
      <c r="M6386">
        <v>4.257872E-2</v>
      </c>
      <c r="N6386">
        <v>-1.525483E-2</v>
      </c>
      <c r="O6386">
        <v>0.99897659999999999</v>
      </c>
      <c r="P6386">
        <v>0.1108523</v>
      </c>
      <c r="Q6386">
        <v>9.0382799999999992E-3</v>
      </c>
      <c r="R6386">
        <v>0.99379580000000001</v>
      </c>
      <c r="S6386">
        <v>0.41363529999999998</v>
      </c>
      <c r="T6386">
        <v>-8.3586099999999997E-2</v>
      </c>
      <c r="U6386">
        <v>2.9733580000000002</v>
      </c>
      <c r="V6386">
        <v>6.8428420000000004E-2</v>
      </c>
      <c r="W6386">
        <v>2.426654E-2</v>
      </c>
      <c r="X6386">
        <v>0.99736089999999999</v>
      </c>
      <c r="Y6386">
        <v>9.5442200000000005E-2</v>
      </c>
      <c r="Z6386">
        <v>-1.2657E-2</v>
      </c>
      <c r="AA6386">
        <v>0.99535450000000003</v>
      </c>
      <c r="AB6386">
        <v>53</v>
      </c>
      <c r="AC6386">
        <v>5.4634</v>
      </c>
      <c r="AD6386">
        <v>-1.1091424602340001</v>
      </c>
      <c r="AE6386">
        <v>38.8650599999999</v>
      </c>
      <c r="AF6386">
        <v>3.80039181287809</v>
      </c>
      <c r="AG6386">
        <v>-1.1091424602340001</v>
      </c>
      <c r="AH6386">
        <v>39.031284898149401</v>
      </c>
      <c r="AI6386">
        <v>91.620064806840404</v>
      </c>
      <c r="AJ6386">
        <v>84.438764053459593</v>
      </c>
      <c r="AK6386">
        <v>39.231548219882797</v>
      </c>
      <c r="AL6386">
        <v>88.609493236285303</v>
      </c>
      <c r="AM6386">
        <v>86.075116716031303</v>
      </c>
      <c r="AN6386">
        <v>1.0000000392380299</v>
      </c>
    </row>
    <row r="6387" spans="1:40" x14ac:dyDescent="0.25">
      <c r="A6387" t="str">
        <f>"20190305135952185"</f>
        <v>20190305135952185</v>
      </c>
      <c r="B6387" t="str">
        <f>"1551765592175480"</f>
        <v>1551765592175480</v>
      </c>
      <c r="C6387" t="s">
        <v>40</v>
      </c>
      <c r="D6387">
        <v>4.233968</v>
      </c>
      <c r="E6387">
        <v>0.51073089999999999</v>
      </c>
      <c r="F6387" t="s">
        <v>79</v>
      </c>
      <c r="G6387">
        <v>-182.2338</v>
      </c>
      <c r="H6387" s="1">
        <v>-4.2039749999999998E-6</v>
      </c>
      <c r="I6387">
        <v>126.1083</v>
      </c>
      <c r="J6387">
        <v>-188.03200000000001</v>
      </c>
      <c r="K6387">
        <v>1.109216</v>
      </c>
      <c r="L6387">
        <v>85.721680000000006</v>
      </c>
      <c r="M6387">
        <v>4.2336489999999997E-2</v>
      </c>
      <c r="N6387">
        <v>-1.5251320000000001E-2</v>
      </c>
      <c r="O6387">
        <v>0.99898699999999996</v>
      </c>
      <c r="P6387">
        <v>0.1115688</v>
      </c>
      <c r="Q6387">
        <v>8.7466330000000002E-3</v>
      </c>
      <c r="R6387">
        <v>0.9937182</v>
      </c>
      <c r="S6387">
        <v>0.422821</v>
      </c>
      <c r="T6387">
        <v>-8.0572009999999999E-2</v>
      </c>
      <c r="U6387">
        <v>2.9722900000000001</v>
      </c>
      <c r="V6387">
        <v>6.9385160000000001E-2</v>
      </c>
      <c r="W6387">
        <v>2.398339E-2</v>
      </c>
      <c r="X6387">
        <v>0.99730160000000001</v>
      </c>
      <c r="Y6387">
        <v>9.8749630000000005E-2</v>
      </c>
      <c r="Z6387">
        <v>-1.165677E-2</v>
      </c>
      <c r="AA6387">
        <v>0.99504409999999999</v>
      </c>
      <c r="AB6387">
        <v>53</v>
      </c>
      <c r="AC6387">
        <v>5.7981999999999996</v>
      </c>
      <c r="AD6387">
        <v>-1.1092202039750001</v>
      </c>
      <c r="AE6387">
        <v>40.386619999999901</v>
      </c>
      <c r="AF6387">
        <v>4.0799580827611699</v>
      </c>
      <c r="AG6387">
        <v>-1.1092202039750001</v>
      </c>
      <c r="AH6387">
        <v>40.5659232210715</v>
      </c>
      <c r="AI6387">
        <v>91.558426758473004</v>
      </c>
      <c r="AJ6387">
        <v>84.256733411749593</v>
      </c>
      <c r="AK6387">
        <v>40.785666038399597</v>
      </c>
      <c r="AL6387">
        <v>88.625721194436807</v>
      </c>
      <c r="AM6387">
        <v>86.020179742938097</v>
      </c>
      <c r="AN6387">
        <v>0.99999999239333803</v>
      </c>
    </row>
    <row r="6388" spans="1:40" x14ac:dyDescent="0.25">
      <c r="A6388" t="str">
        <f>"20190305135952207"</f>
        <v>20190305135952207</v>
      </c>
      <c r="B6388" t="str">
        <f>"1551765592195000"</f>
        <v>1551765592195000</v>
      </c>
      <c r="C6388" t="s">
        <v>40</v>
      </c>
      <c r="D6388">
        <v>4.1201059999999998</v>
      </c>
      <c r="E6388">
        <v>0.51093599999999995</v>
      </c>
      <c r="F6388" t="s">
        <v>79</v>
      </c>
      <c r="G6388">
        <v>-182.12889999999999</v>
      </c>
      <c r="H6388" s="1">
        <v>-4.4358680000000001E-6</v>
      </c>
      <c r="I6388">
        <v>126.9449</v>
      </c>
      <c r="J6388">
        <v>-188.0104</v>
      </c>
      <c r="K6388">
        <v>1.1093109999999999</v>
      </c>
      <c r="L6388">
        <v>86.234189999999998</v>
      </c>
      <c r="M6388">
        <v>4.1999849999999998E-2</v>
      </c>
      <c r="N6388">
        <v>-1.5248060000000001E-2</v>
      </c>
      <c r="O6388">
        <v>0.99900129999999998</v>
      </c>
      <c r="P6388">
        <v>0.11186210000000001</v>
      </c>
      <c r="Q6388">
        <v>8.3810669999999903E-3</v>
      </c>
      <c r="R6388">
        <v>0.99368840000000003</v>
      </c>
      <c r="S6388">
        <v>0.42556759999999899</v>
      </c>
      <c r="T6388">
        <v>-7.9966780000000001E-2</v>
      </c>
      <c r="U6388">
        <v>2.9718930000000001</v>
      </c>
      <c r="V6388">
        <v>7.0010580000000003E-2</v>
      </c>
      <c r="W6388">
        <v>2.362968E-2</v>
      </c>
      <c r="X6388">
        <v>0.9972664</v>
      </c>
      <c r="Y6388">
        <v>0.1000048</v>
      </c>
      <c r="Z6388">
        <v>-1.1458960000000001E-2</v>
      </c>
      <c r="AA6388">
        <v>0.99492100000000006</v>
      </c>
      <c r="AB6388">
        <v>53</v>
      </c>
      <c r="AC6388">
        <v>5.8815000000000097</v>
      </c>
      <c r="AD6388">
        <v>-1.109315435868</v>
      </c>
      <c r="AE6388">
        <v>40.710709999999999</v>
      </c>
      <c r="AF6388">
        <v>4.1632386333952001</v>
      </c>
      <c r="AG6388">
        <v>-1.109315435868</v>
      </c>
      <c r="AH6388">
        <v>40.892088672688303</v>
      </c>
      <c r="AI6388">
        <v>91.545944018051301</v>
      </c>
      <c r="AJ6388">
        <v>84.186725874389893</v>
      </c>
      <c r="AK6388">
        <v>41.118439326777199</v>
      </c>
      <c r="AL6388">
        <v>88.645993118842</v>
      </c>
      <c r="AM6388">
        <v>85.984282227372503</v>
      </c>
      <c r="AN6388">
        <v>1.0000000578288899</v>
      </c>
    </row>
    <row r="6389" spans="1:40" x14ac:dyDescent="0.25">
      <c r="A6389" t="str">
        <f>"20190305135952229"</f>
        <v>20190305135952229</v>
      </c>
      <c r="B6389" t="str">
        <f>"1551765592225253"</f>
        <v>1551765592225253</v>
      </c>
      <c r="C6389" t="s">
        <v>40</v>
      </c>
      <c r="D6389">
        <v>4.2010990000000001</v>
      </c>
      <c r="E6389">
        <v>0.5111462</v>
      </c>
      <c r="F6389" t="s">
        <v>79</v>
      </c>
      <c r="G6389">
        <v>-181.9648</v>
      </c>
      <c r="H6389" s="1">
        <v>-4.7854199999999997E-6</v>
      </c>
      <c r="I6389">
        <v>128.2028</v>
      </c>
      <c r="J6389">
        <v>-187.98869999999999</v>
      </c>
      <c r="K6389">
        <v>1.1094250000000001</v>
      </c>
      <c r="L6389">
        <v>86.75909</v>
      </c>
      <c r="M6389">
        <v>4.1530169999999998E-2</v>
      </c>
      <c r="N6389">
        <v>-1.524501E-2</v>
      </c>
      <c r="O6389">
        <v>0.99902089999999999</v>
      </c>
      <c r="P6389">
        <v>0.1119634</v>
      </c>
      <c r="Q6389">
        <v>8.0096719999999903E-3</v>
      </c>
      <c r="R6389">
        <v>0.99368009999999996</v>
      </c>
      <c r="S6389">
        <v>0.42805480000000001</v>
      </c>
      <c r="T6389">
        <v>-7.8543539999999995E-2</v>
      </c>
      <c r="U6389">
        <v>2.971527</v>
      </c>
      <c r="V6389">
        <v>7.0574940000000003E-2</v>
      </c>
      <c r="W6389">
        <v>2.3274050000000001E-2</v>
      </c>
      <c r="X6389">
        <v>0.99723490000000004</v>
      </c>
      <c r="Y6389">
        <v>0.1013063</v>
      </c>
      <c r="Z6389">
        <v>-1.098816E-2</v>
      </c>
      <c r="AA6389">
        <v>0.99479459999999997</v>
      </c>
      <c r="AB6389">
        <v>53</v>
      </c>
      <c r="AC6389">
        <v>6.0238999999999896</v>
      </c>
      <c r="AD6389">
        <v>-1.1094297854199999</v>
      </c>
      <c r="AE6389">
        <v>41.443710000000003</v>
      </c>
      <c r="AF6389">
        <v>4.2943235611913302</v>
      </c>
      <c r="AG6389">
        <v>-1.1094297854199999</v>
      </c>
      <c r="AH6389">
        <v>41.628934347884503</v>
      </c>
      <c r="AI6389">
        <v>91.518542362433806</v>
      </c>
      <c r="AJ6389">
        <v>84.110361226117206</v>
      </c>
      <c r="AK6389">
        <v>41.864546148709898</v>
      </c>
      <c r="AL6389">
        <v>88.666374710551196</v>
      </c>
      <c r="AM6389">
        <v>85.951891000586301</v>
      </c>
      <c r="AN6389">
        <v>0.99999997466870705</v>
      </c>
    </row>
    <row r="6390" spans="1:40" x14ac:dyDescent="0.25">
      <c r="A6390" t="str">
        <f>"20190305135952251"</f>
        <v>20190305135952251</v>
      </c>
      <c r="B6390" t="str">
        <f>"1551765592245749"</f>
        <v>1551765592245749</v>
      </c>
      <c r="C6390" t="s">
        <v>40</v>
      </c>
      <c r="D6390">
        <v>4.1572250000000004</v>
      </c>
      <c r="E6390">
        <v>0.51135620000000004</v>
      </c>
      <c r="F6390" t="s">
        <v>79</v>
      </c>
      <c r="G6390">
        <v>-181.84010000000001</v>
      </c>
      <c r="H6390" s="1">
        <v>-5.1644110000000001E-6</v>
      </c>
      <c r="I6390">
        <v>129.24119999999999</v>
      </c>
      <c r="J6390">
        <v>-187.96729999999999</v>
      </c>
      <c r="K6390">
        <v>1.1095549999999901</v>
      </c>
      <c r="L6390">
        <v>87.285030000000006</v>
      </c>
      <c r="M6390">
        <v>4.0926709999999998E-2</v>
      </c>
      <c r="N6390">
        <v>-1.524235E-2</v>
      </c>
      <c r="O6390">
        <v>0.99904590000000004</v>
      </c>
      <c r="P6390">
        <v>0.1122104</v>
      </c>
      <c r="Q6390">
        <v>8.0914209999999997E-3</v>
      </c>
      <c r="R6390">
        <v>0.99365150000000002</v>
      </c>
      <c r="S6390">
        <v>0.43003849999999999</v>
      </c>
      <c r="T6390">
        <v>-7.7594880000000005E-2</v>
      </c>
      <c r="U6390">
        <v>2.9712519999999998</v>
      </c>
      <c r="V6390">
        <v>7.1417960000000003E-2</v>
      </c>
      <c r="W6390">
        <v>2.3375590000000002E-2</v>
      </c>
      <c r="X6390">
        <v>0.99717250000000002</v>
      </c>
      <c r="Y6390">
        <v>0.102571</v>
      </c>
      <c r="Z6390">
        <v>-1.0674629999999999E-2</v>
      </c>
      <c r="AA6390">
        <v>0.99466840000000001</v>
      </c>
      <c r="AB6390">
        <v>53</v>
      </c>
      <c r="AC6390">
        <v>6.1271999999999798</v>
      </c>
      <c r="AD6390">
        <v>-1.10956016441099</v>
      </c>
      <c r="AE6390">
        <v>41.956169999999901</v>
      </c>
      <c r="AF6390">
        <v>4.4017234918972603</v>
      </c>
      <c r="AG6390">
        <v>-1.10956016441099</v>
      </c>
      <c r="AH6390">
        <v>42.1429459162283</v>
      </c>
      <c r="AI6390">
        <v>91.500006949263906</v>
      </c>
      <c r="AJ6390">
        <v>84.0372220523127</v>
      </c>
      <c r="AK6390">
        <v>42.386721788264197</v>
      </c>
      <c r="AL6390">
        <v>88.660555306109501</v>
      </c>
      <c r="AM6390">
        <v>85.903444381589594</v>
      </c>
      <c r="AN6390">
        <v>0.99999996898732901</v>
      </c>
    </row>
    <row r="6391" spans="1:40" x14ac:dyDescent="0.25">
      <c r="A6391" t="str">
        <f>"20190305135952276"</f>
        <v>20190305135952276</v>
      </c>
      <c r="B6391" t="str">
        <f>"1551765592265269"</f>
        <v>1551765592265269</v>
      </c>
      <c r="C6391" t="s">
        <v>40</v>
      </c>
      <c r="D6391">
        <v>4.1802479999999997</v>
      </c>
      <c r="E6391">
        <v>0.51139820000000002</v>
      </c>
      <c r="F6391" t="s">
        <v>79</v>
      </c>
      <c r="G6391">
        <v>-181.60339999999999</v>
      </c>
      <c r="H6391" s="1">
        <v>-5.7908039999999998E-6</v>
      </c>
      <c r="I6391">
        <v>131.03659999999999</v>
      </c>
      <c r="J6391">
        <v>-187.94450000000001</v>
      </c>
      <c r="K6391">
        <v>1.10972</v>
      </c>
      <c r="L6391">
        <v>87.852630000000005</v>
      </c>
      <c r="M6391">
        <v>4.0134610000000001E-2</v>
      </c>
      <c r="N6391">
        <v>-1.5239819999999999E-2</v>
      </c>
      <c r="O6391">
        <v>0.99907800000000002</v>
      </c>
      <c r="P6391">
        <v>0.11201079999999999</v>
      </c>
      <c r="Q6391">
        <v>8.2971169999999997E-3</v>
      </c>
      <c r="R6391">
        <v>0.99367240000000001</v>
      </c>
      <c r="S6391">
        <v>0.43214419999999998</v>
      </c>
      <c r="T6391">
        <v>-7.5345399999999896E-2</v>
      </c>
      <c r="U6391">
        <v>2.9709780000000001</v>
      </c>
      <c r="V6391">
        <v>7.1999640000000004E-2</v>
      </c>
      <c r="W6391">
        <v>2.360489E-2</v>
      </c>
      <c r="X6391">
        <v>0.99712529999999999</v>
      </c>
      <c r="Y6391">
        <v>0.1040643</v>
      </c>
      <c r="Z6391">
        <v>-9.9270980000000005E-3</v>
      </c>
      <c r="AA6391">
        <v>0.99452099999999999</v>
      </c>
      <c r="AB6391">
        <v>53</v>
      </c>
      <c r="AC6391">
        <v>6.3411000000000097</v>
      </c>
      <c r="AD6391">
        <v>-1.1097257908039999</v>
      </c>
      <c r="AE6391">
        <v>43.183969999999903</v>
      </c>
      <c r="AF6391">
        <v>4.5996431335491996</v>
      </c>
      <c r="AG6391">
        <v>-1.1097257908039999</v>
      </c>
      <c r="AH6391">
        <v>43.375655622894598</v>
      </c>
      <c r="AI6391">
        <v>91.457371959315395</v>
      </c>
      <c r="AJ6391">
        <v>83.946859868684299</v>
      </c>
      <c r="AK6391">
        <v>43.632965851552299</v>
      </c>
      <c r="AL6391">
        <v>88.647413801145106</v>
      </c>
      <c r="AM6391">
        <v>85.869999208926401</v>
      </c>
      <c r="AN6391">
        <v>1.0000000014460599</v>
      </c>
    </row>
    <row r="6392" spans="1:40" x14ac:dyDescent="0.25">
      <c r="A6392" t="str">
        <f>"20190305135952296"</f>
        <v>20190305135952296</v>
      </c>
      <c r="B6392" t="str">
        <f>"1551765592285765"</f>
        <v>1551765592285765</v>
      </c>
      <c r="C6392" t="s">
        <v>40</v>
      </c>
      <c r="D6392">
        <v>4.2057589999999996</v>
      </c>
      <c r="E6392">
        <v>0.48483969999999998</v>
      </c>
      <c r="F6392" t="s">
        <v>79</v>
      </c>
      <c r="G6392">
        <v>-181.48320000000001</v>
      </c>
      <c r="H6392" s="1">
        <v>-6.23379199999999E-6</v>
      </c>
      <c r="I6392">
        <v>132.29249999999999</v>
      </c>
      <c r="J6392">
        <v>-187.92529999999999</v>
      </c>
      <c r="K6392">
        <v>1.109861</v>
      </c>
      <c r="L6392">
        <v>88.344880000000003</v>
      </c>
      <c r="M6392">
        <v>3.9333609999999998E-2</v>
      </c>
      <c r="N6392">
        <v>-1.523771E-2</v>
      </c>
      <c r="O6392">
        <v>0.9991099</v>
      </c>
      <c r="P6392">
        <v>0.1107926</v>
      </c>
      <c r="Q6392">
        <v>7.7606159999999997E-3</v>
      </c>
      <c r="R6392">
        <v>0.99381330000000001</v>
      </c>
      <c r="S6392">
        <v>0.43197629999999998</v>
      </c>
      <c r="T6392">
        <v>-7.4191090000000001E-2</v>
      </c>
      <c r="U6392">
        <v>2.9710390000000002</v>
      </c>
      <c r="V6392">
        <v>7.1569949999999993E-2</v>
      </c>
      <c r="W6392">
        <v>2.3088609999999999E-2</v>
      </c>
      <c r="X6392">
        <v>0.99716830000000001</v>
      </c>
      <c r="Y6392">
        <v>0.1048043</v>
      </c>
      <c r="Z6392">
        <v>-9.5434040000000001E-3</v>
      </c>
      <c r="AA6392">
        <v>0.99444710000000003</v>
      </c>
      <c r="AB6392">
        <v>53</v>
      </c>
      <c r="AC6392">
        <v>6.4420999999999804</v>
      </c>
      <c r="AD6392">
        <v>-1.1098672337919999</v>
      </c>
      <c r="AE6392">
        <v>43.947619999999901</v>
      </c>
      <c r="AF6392">
        <v>4.70535632396055</v>
      </c>
      <c r="AG6392">
        <v>-1.1098672337919999</v>
      </c>
      <c r="AH6392">
        <v>44.139463892909397</v>
      </c>
      <c r="AI6392">
        <v>91.432261738672395</v>
      </c>
      <c r="AJ6392">
        <v>83.915133783461002</v>
      </c>
      <c r="AK6392">
        <v>44.4034284280565</v>
      </c>
      <c r="AL6392">
        <v>88.677002503293906</v>
      </c>
      <c r="AM6392">
        <v>85.894738733481404</v>
      </c>
      <c r="AN6392">
        <v>0.99999998008981195</v>
      </c>
    </row>
    <row r="6393" spans="1:40" x14ac:dyDescent="0.25">
      <c r="A6393" t="str">
        <f>"20190305135952317"</f>
        <v>20190305135952317</v>
      </c>
      <c r="B6393" t="str">
        <f>"1551765592315045"</f>
        <v>1551765592315045</v>
      </c>
      <c r="C6393" t="s">
        <v>40</v>
      </c>
      <c r="D6393">
        <v>4.0697219999999996</v>
      </c>
      <c r="E6393">
        <v>0.48442109999999999</v>
      </c>
      <c r="F6393" t="s">
        <v>42</v>
      </c>
      <c r="G6393">
        <v>-185.916</v>
      </c>
      <c r="H6393" s="1">
        <v>-3.3284600000000001E-6</v>
      </c>
      <c r="I6393">
        <v>115.7028</v>
      </c>
      <c r="J6393">
        <v>-187.90549999999999</v>
      </c>
      <c r="K6393">
        <v>1.110006</v>
      </c>
      <c r="L6393">
        <v>88.862639999999999</v>
      </c>
      <c r="M6393">
        <v>3.839629E-2</v>
      </c>
      <c r="N6393">
        <v>-1.52356E-2</v>
      </c>
      <c r="O6393">
        <v>0.99914650000000005</v>
      </c>
      <c r="P6393">
        <v>0.1093967</v>
      </c>
      <c r="Q6393">
        <v>8.0377230000000001E-3</v>
      </c>
      <c r="R6393">
        <v>0.99396569999999995</v>
      </c>
      <c r="S6393">
        <v>0.21997069999999999</v>
      </c>
      <c r="T6393">
        <v>-0.1215055</v>
      </c>
      <c r="U6393">
        <v>2.9950869999999998</v>
      </c>
      <c r="V6393">
        <v>7.1097019999999997E-2</v>
      </c>
      <c r="W6393">
        <v>2.3385599999999999E-2</v>
      </c>
      <c r="X6393">
        <v>0.99719519999999995</v>
      </c>
      <c r="Y6393">
        <v>3.4856860000000003E-2</v>
      </c>
      <c r="Z6393">
        <v>-2.5217090000000001E-2</v>
      </c>
      <c r="AA6393">
        <v>0.99907409999999996</v>
      </c>
      <c r="AB6393">
        <v>53</v>
      </c>
      <c r="AC6393">
        <v>1.9894999999999901</v>
      </c>
      <c r="AD6393">
        <v>-1.1100093284600001</v>
      </c>
      <c r="AE6393">
        <v>26.840160000000001</v>
      </c>
      <c r="AF6393">
        <v>0.95572476767592696</v>
      </c>
      <c r="AG6393">
        <v>-1.1100093284600001</v>
      </c>
      <c r="AH6393">
        <v>26.851087894063301</v>
      </c>
      <c r="AI6393">
        <v>92.365732003411495</v>
      </c>
      <c r="AJ6393">
        <v>87.961502020294404</v>
      </c>
      <c r="AK6393">
        <v>26.891010610156101</v>
      </c>
      <c r="AL6393">
        <v>88.6599816194977</v>
      </c>
      <c r="AM6393">
        <v>85.921883864207103</v>
      </c>
      <c r="AN6393">
        <v>0.99999996972163896</v>
      </c>
    </row>
    <row r="6394" spans="1:40" x14ac:dyDescent="0.25">
      <c r="A6394" t="str">
        <f>"20190305135952351"</f>
        <v>20190305135952351</v>
      </c>
      <c r="B6394" t="str">
        <f>"1551765592345301"</f>
        <v>1551765592345301</v>
      </c>
      <c r="C6394" t="s">
        <v>40</v>
      </c>
      <c r="D6394">
        <v>4.1020729999999999</v>
      </c>
      <c r="E6394">
        <v>0.48512889999999997</v>
      </c>
      <c r="F6394" t="s">
        <v>79</v>
      </c>
      <c r="G6394">
        <v>-185.6609</v>
      </c>
      <c r="H6394" s="1">
        <v>-1.4528009999999999E-6</v>
      </c>
      <c r="I6394">
        <v>120.66719999999999</v>
      </c>
      <c r="J6394">
        <v>-187.87690000000001</v>
      </c>
      <c r="K6394">
        <v>1.1101989999999999</v>
      </c>
      <c r="L6394">
        <v>89.636750000000006</v>
      </c>
      <c r="M6394">
        <v>3.6836220000000003E-2</v>
      </c>
      <c r="N6394">
        <v>-1.523177E-2</v>
      </c>
      <c r="O6394">
        <v>0.99920520000000002</v>
      </c>
      <c r="P6394">
        <v>0.10660210000000001</v>
      </c>
      <c r="Q6394">
        <v>1.097042E-2</v>
      </c>
      <c r="R6394">
        <v>0.99424120000000005</v>
      </c>
      <c r="S6394">
        <v>0.2114258</v>
      </c>
      <c r="T6394">
        <v>-0.1045557</v>
      </c>
      <c r="U6394">
        <v>2.9957889999999998</v>
      </c>
      <c r="V6394">
        <v>6.9834129999999994E-2</v>
      </c>
      <c r="W6394">
        <v>2.6342029999999999E-2</v>
      </c>
      <c r="X6394">
        <v>0.99721070000000001</v>
      </c>
      <c r="Y6394">
        <v>3.3576059999999998E-2</v>
      </c>
      <c r="Z6394">
        <v>-1.958433E-2</v>
      </c>
      <c r="AA6394">
        <v>0.99924429999999997</v>
      </c>
      <c r="AB6394">
        <v>53</v>
      </c>
      <c r="AC6394">
        <v>2.2160000000000002</v>
      </c>
      <c r="AD6394">
        <v>-1.1102004528010001</v>
      </c>
      <c r="AE6394">
        <v>31.030449999999899</v>
      </c>
      <c r="AF6394">
        <v>1.06995590646025</v>
      </c>
      <c r="AG6394">
        <v>-1.1102004528010001</v>
      </c>
      <c r="AH6394">
        <v>31.051478042514201</v>
      </c>
      <c r="AI6394">
        <v>92.046441581776193</v>
      </c>
      <c r="AJ6394">
        <v>88.026512217820496</v>
      </c>
      <c r="AK6394">
        <v>31.089735272464299</v>
      </c>
      <c r="AL6394">
        <v>88.490538168759798</v>
      </c>
      <c r="AM6394">
        <v>85.994147178213197</v>
      </c>
      <c r="AN6394">
        <v>0.99999994422593197</v>
      </c>
    </row>
    <row r="6395" spans="1:40" x14ac:dyDescent="0.25">
      <c r="A6395" t="str">
        <f>"20190305135952374"</f>
        <v>20190305135952374</v>
      </c>
      <c r="B6395" t="str">
        <f>"1551765592365797"</f>
        <v>1551765592365797</v>
      </c>
      <c r="C6395" t="s">
        <v>40</v>
      </c>
      <c r="D6395">
        <v>4.0940320000000003</v>
      </c>
      <c r="E6395">
        <v>0.4855507</v>
      </c>
      <c r="F6395" t="s">
        <v>79</v>
      </c>
      <c r="G6395">
        <v>-185.35740000000001</v>
      </c>
      <c r="H6395" s="1">
        <v>-3.7109950000000002E-6</v>
      </c>
      <c r="I6395">
        <v>125.8847</v>
      </c>
      <c r="J6395">
        <v>-187.85749999999999</v>
      </c>
      <c r="K6395">
        <v>1.1103209999999999</v>
      </c>
      <c r="L6395">
        <v>90.183840000000004</v>
      </c>
      <c r="M6395">
        <v>3.5660400000000002E-2</v>
      </c>
      <c r="N6395">
        <v>-1.522859E-2</v>
      </c>
      <c r="O6395">
        <v>0.99924789999999997</v>
      </c>
      <c r="P6395">
        <v>0.10438359999999999</v>
      </c>
      <c r="Q6395">
        <v>1.30317E-2</v>
      </c>
      <c r="R6395">
        <v>0.99445170000000005</v>
      </c>
      <c r="S6395">
        <v>0.20825199999999999</v>
      </c>
      <c r="T6395">
        <v>-9.1763380000000005E-2</v>
      </c>
      <c r="U6395">
        <v>2.9960629999999999</v>
      </c>
      <c r="V6395">
        <v>6.8770590000000006E-2</v>
      </c>
      <c r="W6395">
        <v>2.8415969999999999E-2</v>
      </c>
      <c r="X6395">
        <v>0.99722770000000005</v>
      </c>
      <c r="Y6395">
        <v>3.3698529999999997E-2</v>
      </c>
      <c r="Z6395">
        <v>-1.5332760000000001E-2</v>
      </c>
      <c r="AA6395">
        <v>0.99931440000000005</v>
      </c>
      <c r="AB6395">
        <v>53</v>
      </c>
      <c r="AC6395">
        <v>2.50009999999997</v>
      </c>
      <c r="AD6395">
        <v>-1.1103247109950001</v>
      </c>
      <c r="AE6395">
        <v>35.700859999999899</v>
      </c>
      <c r="AF6395">
        <v>1.22407662569807</v>
      </c>
      <c r="AG6395">
        <v>-1.1103247109950001</v>
      </c>
      <c r="AH6395">
        <v>35.732918360882302</v>
      </c>
      <c r="AI6395">
        <v>91.778729581455195</v>
      </c>
      <c r="AJ6395">
        <v>88.038027317650901</v>
      </c>
      <c r="AK6395">
        <v>35.771114591733202</v>
      </c>
      <c r="AL6395">
        <v>88.371665617147301</v>
      </c>
      <c r="AM6395">
        <v>86.055027300546101</v>
      </c>
      <c r="AN6395">
        <v>0.99999997352363901</v>
      </c>
    </row>
    <row r="6396" spans="1:40" x14ac:dyDescent="0.25">
      <c r="A6396" t="str">
        <f>"20190305135952396"</f>
        <v>20190305135952396</v>
      </c>
      <c r="B6396" t="str">
        <f>"1551765592385320"</f>
        <v>1551765592385320</v>
      </c>
      <c r="C6396" t="s">
        <v>40</v>
      </c>
      <c r="D6396">
        <v>4.1054120000000003</v>
      </c>
      <c r="E6396">
        <v>0.48599350000000002</v>
      </c>
      <c r="F6396" t="s">
        <v>79</v>
      </c>
      <c r="G6396">
        <v>-185.12790000000001</v>
      </c>
      <c r="H6396" s="1">
        <v>-5.2953819999999899E-6</v>
      </c>
      <c r="I6396">
        <v>130.12739999999999</v>
      </c>
      <c r="J6396">
        <v>-187.83969999999999</v>
      </c>
      <c r="K6396">
        <v>1.1104179999999999</v>
      </c>
      <c r="L6396">
        <v>90.698819999999998</v>
      </c>
      <c r="M6396">
        <v>3.4505609999999999E-2</v>
      </c>
      <c r="N6396">
        <v>-1.522535E-2</v>
      </c>
      <c r="O6396">
        <v>0.99928850000000002</v>
      </c>
      <c r="P6396">
        <v>0.1020663</v>
      </c>
      <c r="Q6396">
        <v>1.429593E-2</v>
      </c>
      <c r="R6396">
        <v>0.99467490000000003</v>
      </c>
      <c r="S6396">
        <v>0.20475769999999999</v>
      </c>
      <c r="T6396">
        <v>-8.3290459999999997E-2</v>
      </c>
      <c r="U6396">
        <v>2.9963380000000002</v>
      </c>
      <c r="V6396">
        <v>6.7589479999999993E-2</v>
      </c>
      <c r="W6396">
        <v>2.968954E-2</v>
      </c>
      <c r="X6396">
        <v>0.99727140000000003</v>
      </c>
      <c r="Y6396">
        <v>3.3690699999999997E-2</v>
      </c>
      <c r="Z6396">
        <v>-1.2516909999999999E-2</v>
      </c>
      <c r="AA6396">
        <v>0.99935390000000002</v>
      </c>
      <c r="AB6396">
        <v>53</v>
      </c>
      <c r="AC6396">
        <v>2.7117999999999798</v>
      </c>
      <c r="AD6396">
        <v>-1.1104232953819999</v>
      </c>
      <c r="AE6396">
        <v>39.428579999999997</v>
      </c>
      <c r="AF6396">
        <v>1.34845531584626</v>
      </c>
      <c r="AG6396">
        <v>-1.1104232953819999</v>
      </c>
      <c r="AH6396">
        <v>39.467521908493801</v>
      </c>
      <c r="AI6396">
        <v>91.610658921683694</v>
      </c>
      <c r="AJ6396">
        <v>88.043182018238497</v>
      </c>
      <c r="AK6396">
        <v>39.5061597378333</v>
      </c>
      <c r="AL6396">
        <v>88.298664698316301</v>
      </c>
      <c r="AM6396">
        <v>86.122741697928703</v>
      </c>
      <c r="AN6396">
        <v>1.0000000259250199</v>
      </c>
    </row>
    <row r="6397" spans="1:40" x14ac:dyDescent="0.25">
      <c r="A6397" t="str">
        <f>"20190305135952420"</f>
        <v>20190305135952420</v>
      </c>
      <c r="B6397" t="str">
        <f>"1551765592415574"</f>
        <v>1551765592415574</v>
      </c>
      <c r="C6397" t="s">
        <v>40</v>
      </c>
      <c r="D6397">
        <v>4.102055</v>
      </c>
      <c r="E6397">
        <v>0.48656169999999999</v>
      </c>
      <c r="F6397" t="s">
        <v>79</v>
      </c>
      <c r="G6397">
        <v>-185.13399999999999</v>
      </c>
      <c r="H6397" s="1">
        <v>-5.5600530000000001E-6</v>
      </c>
      <c r="I6397">
        <v>130.95590000000001</v>
      </c>
      <c r="J6397">
        <v>-187.82130000000001</v>
      </c>
      <c r="K6397">
        <v>1.110528</v>
      </c>
      <c r="L6397">
        <v>91.255250000000004</v>
      </c>
      <c r="M6397">
        <v>3.3198129999999999E-2</v>
      </c>
      <c r="N6397">
        <v>-1.5221790000000001E-2</v>
      </c>
      <c r="O6397">
        <v>0.99933280000000002</v>
      </c>
      <c r="P6397">
        <v>9.9180710000000005E-2</v>
      </c>
      <c r="Q6397">
        <v>1.422025E-2</v>
      </c>
      <c r="R6397">
        <v>0.99496779999999996</v>
      </c>
      <c r="S6397">
        <v>0.20140079999999999</v>
      </c>
      <c r="T6397">
        <v>-8.2655670000000001E-2</v>
      </c>
      <c r="U6397">
        <v>2.9965820000000001</v>
      </c>
      <c r="V6397">
        <v>6.5993960000000004E-2</v>
      </c>
      <c r="W6397">
        <v>2.9622820000000001E-2</v>
      </c>
      <c r="X6397">
        <v>0.99738020000000005</v>
      </c>
      <c r="Y6397">
        <v>3.3878569999999997E-2</v>
      </c>
      <c r="Z6397">
        <v>-1.230887E-2</v>
      </c>
      <c r="AA6397">
        <v>0.99935010000000002</v>
      </c>
      <c r="AB6397">
        <v>53</v>
      </c>
      <c r="AC6397">
        <v>2.6872999999999898</v>
      </c>
      <c r="AD6397">
        <v>-1.110533560053</v>
      </c>
      <c r="AE6397">
        <v>39.700650000000003</v>
      </c>
      <c r="AF6397">
        <v>1.3666137851921001</v>
      </c>
      <c r="AG6397">
        <v>-1.110533560053</v>
      </c>
      <c r="AH6397">
        <v>39.737033957414098</v>
      </c>
      <c r="AI6397">
        <v>91.599886940603795</v>
      </c>
      <c r="AJ6397">
        <v>88.030292011984301</v>
      </c>
      <c r="AK6397">
        <v>39.776032805680401</v>
      </c>
      <c r="AL6397">
        <v>88.302489091719394</v>
      </c>
      <c r="AM6397">
        <v>86.214410818641696</v>
      </c>
      <c r="AN6397">
        <v>0.99999998878663698</v>
      </c>
    </row>
    <row r="6398" spans="1:40" x14ac:dyDescent="0.25">
      <c r="A6398" t="str">
        <f>"20190305135952442"</f>
        <v>20190305135952442</v>
      </c>
      <c r="B6398" t="str">
        <f>"1551765592435093"</f>
        <v>1551765592435093</v>
      </c>
      <c r="C6398" t="s">
        <v>40</v>
      </c>
      <c r="D6398">
        <v>4.0876570000000001</v>
      </c>
      <c r="E6398">
        <v>0.48700320000000002</v>
      </c>
      <c r="F6398" t="s">
        <v>79</v>
      </c>
      <c r="G6398">
        <v>-185.28880000000001</v>
      </c>
      <c r="H6398" s="1">
        <v>-5.1596690000000001E-6</v>
      </c>
      <c r="I6398">
        <v>129.73230000000001</v>
      </c>
      <c r="J6398">
        <v>-187.80459999999999</v>
      </c>
      <c r="K6398">
        <v>1.110641</v>
      </c>
      <c r="L6398">
        <v>91.780180000000001</v>
      </c>
      <c r="M6398">
        <v>3.188651E-2</v>
      </c>
      <c r="N6398">
        <v>-1.52189E-2</v>
      </c>
      <c r="O6398">
        <v>0.99937560000000003</v>
      </c>
      <c r="P6398">
        <v>9.6895490000000001E-2</v>
      </c>
      <c r="Q6398">
        <v>1.4192349999999999E-2</v>
      </c>
      <c r="R6398">
        <v>0.99519340000000001</v>
      </c>
      <c r="S6398">
        <v>0.1972351</v>
      </c>
      <c r="T6398">
        <v>-8.649242E-2</v>
      </c>
      <c r="U6398">
        <v>2.9967350000000001</v>
      </c>
      <c r="V6398">
        <v>6.5004660000000006E-2</v>
      </c>
      <c r="W6398">
        <v>2.9606130000000001E-2</v>
      </c>
      <c r="X6398">
        <v>0.99744569999999999</v>
      </c>
      <c r="Y6398">
        <v>3.3802449999999998E-2</v>
      </c>
      <c r="Z6398">
        <v>-1.3588879999999999E-2</v>
      </c>
      <c r="AA6398">
        <v>0.99933609999999995</v>
      </c>
      <c r="AB6398">
        <v>53</v>
      </c>
      <c r="AC6398">
        <v>2.5157999999999801</v>
      </c>
      <c r="AD6398">
        <v>-1.110646159669</v>
      </c>
      <c r="AE6398">
        <v>37.952120000000001</v>
      </c>
      <c r="AF6398">
        <v>1.3031084508903701</v>
      </c>
      <c r="AG6398">
        <v>-1.110646159669</v>
      </c>
      <c r="AH6398">
        <v>37.980661559331601</v>
      </c>
      <c r="AI6398">
        <v>91.674005034027203</v>
      </c>
      <c r="AJ6398">
        <v>88.034964757295199</v>
      </c>
      <c r="AK6398">
        <v>38.019235644753003</v>
      </c>
      <c r="AL6398">
        <v>88.303445842071696</v>
      </c>
      <c r="AM6398">
        <v>86.271242553771202</v>
      </c>
      <c r="AN6398">
        <v>1.00000002660189</v>
      </c>
    </row>
    <row r="6399" spans="1:40" x14ac:dyDescent="0.25">
      <c r="A6399" t="str">
        <f>"20190305135952463"</f>
        <v>20190305135952463</v>
      </c>
      <c r="B6399" t="str">
        <f>"1551765592455589"</f>
        <v>1551765592455589</v>
      </c>
      <c r="C6399" t="s">
        <v>40</v>
      </c>
      <c r="D6399">
        <v>4.0636749999999999</v>
      </c>
      <c r="E6399">
        <v>0.48750490000000002</v>
      </c>
      <c r="F6399" t="s">
        <v>79</v>
      </c>
      <c r="G6399">
        <v>-185.41300000000001</v>
      </c>
      <c r="H6399" s="1">
        <v>-4.7444330000000001E-6</v>
      </c>
      <c r="I6399">
        <v>128.73759999999999</v>
      </c>
      <c r="J6399">
        <v>-187.78899999999999</v>
      </c>
      <c r="K6399">
        <v>1.1107640000000001</v>
      </c>
      <c r="L6399">
        <v>92.293300000000002</v>
      </c>
      <c r="M6399">
        <v>3.0531389999999999E-2</v>
      </c>
      <c r="N6399">
        <v>-1.5216550000000001E-2</v>
      </c>
      <c r="O6399">
        <v>0.99941800000000003</v>
      </c>
      <c r="P6399">
        <v>9.4696569999999994E-2</v>
      </c>
      <c r="Q6399">
        <v>1.574004E-2</v>
      </c>
      <c r="R6399">
        <v>0.99538170000000004</v>
      </c>
      <c r="S6399">
        <v>0.19393920000000001</v>
      </c>
      <c r="T6399">
        <v>-9.0062619999999996E-2</v>
      </c>
      <c r="U6399">
        <v>2.9968870000000001</v>
      </c>
      <c r="V6399">
        <v>6.4140039999999995E-2</v>
      </c>
      <c r="W6399">
        <v>3.1166099999999999E-2</v>
      </c>
      <c r="X6399">
        <v>0.99745410000000001</v>
      </c>
      <c r="Y6399">
        <v>3.4058409999999997E-2</v>
      </c>
      <c r="Z6399">
        <v>-1.477929E-2</v>
      </c>
      <c r="AA6399">
        <v>0.99931060000000005</v>
      </c>
      <c r="AB6399">
        <v>53</v>
      </c>
      <c r="AC6399">
        <v>2.3760000000000301</v>
      </c>
      <c r="AD6399">
        <v>-1.1107687444330001</v>
      </c>
      <c r="AE6399">
        <v>36.444299999999899</v>
      </c>
      <c r="AF6399">
        <v>1.2609017756981</v>
      </c>
      <c r="AG6399">
        <v>-1.1107687444330001</v>
      </c>
      <c r="AH6399">
        <v>36.466125519801302</v>
      </c>
      <c r="AI6399">
        <v>91.743665172991896</v>
      </c>
      <c r="AJ6399">
        <v>88.019653085483299</v>
      </c>
      <c r="AK6399">
        <v>36.5048214749431</v>
      </c>
      <c r="AL6399">
        <v>88.214024756448197</v>
      </c>
      <c r="AM6399">
        <v>86.320732109406194</v>
      </c>
      <c r="AN6399">
        <v>0.99999997606361002</v>
      </c>
    </row>
    <row r="6400" spans="1:40" x14ac:dyDescent="0.25">
      <c r="A6400" t="str">
        <f>"20190305135952486"</f>
        <v>20190305135952486</v>
      </c>
      <c r="B6400" t="str">
        <f>"1551765592475113"</f>
        <v>1551765592475113</v>
      </c>
      <c r="C6400" t="s">
        <v>40</v>
      </c>
      <c r="D6400">
        <v>4.3035449999999997</v>
      </c>
      <c r="E6400">
        <v>0.48821229999999899</v>
      </c>
      <c r="F6400" t="s">
        <v>79</v>
      </c>
      <c r="G6400">
        <v>-185.37520000000001</v>
      </c>
      <c r="H6400" s="1">
        <v>-5.2715089999999999E-6</v>
      </c>
      <c r="I6400">
        <v>130.0976</v>
      </c>
      <c r="J6400">
        <v>-187.77369999999999</v>
      </c>
      <c r="K6400">
        <v>1.1109009999999999</v>
      </c>
      <c r="L6400">
        <v>92.822630000000004</v>
      </c>
      <c r="M6400">
        <v>2.9015079999999999E-2</v>
      </c>
      <c r="N6400">
        <v>-1.521465E-2</v>
      </c>
      <c r="O6400">
        <v>0.9994632</v>
      </c>
      <c r="P6400">
        <v>9.3038960000000004E-2</v>
      </c>
      <c r="Q6400">
        <v>1.707067E-2</v>
      </c>
      <c r="R6400">
        <v>0.99551610000000001</v>
      </c>
      <c r="S6400">
        <v>0.19136049999999999</v>
      </c>
      <c r="T6400">
        <v>-8.8061089999999995E-2</v>
      </c>
      <c r="U6400">
        <v>2.9971009999999998</v>
      </c>
      <c r="V6400">
        <v>6.3977279999999997E-2</v>
      </c>
      <c r="W6400">
        <v>3.2515339999999997E-2</v>
      </c>
      <c r="X6400">
        <v>0.99742149999999996</v>
      </c>
      <c r="Y6400">
        <v>3.4714370000000001E-2</v>
      </c>
      <c r="Z6400">
        <v>-1.411479E-2</v>
      </c>
      <c r="AA6400">
        <v>0.99929760000000001</v>
      </c>
      <c r="AB6400">
        <v>53</v>
      </c>
      <c r="AC6400">
        <v>2.3984999999999799</v>
      </c>
      <c r="AD6400">
        <v>-1.1109062715089999</v>
      </c>
      <c r="AE6400">
        <v>37.274970000000003</v>
      </c>
      <c r="AF6400">
        <v>1.3146656265840999</v>
      </c>
      <c r="AG6400">
        <v>-1.1109062715089999</v>
      </c>
      <c r="AH6400">
        <v>37.295883025123302</v>
      </c>
      <c r="AI6400">
        <v>91.705066340278904</v>
      </c>
      <c r="AJ6400">
        <v>87.981181538169906</v>
      </c>
      <c r="AK6400">
        <v>37.335577524359799</v>
      </c>
      <c r="AL6400">
        <v>88.136679807590397</v>
      </c>
      <c r="AM6400">
        <v>86.329923348172699</v>
      </c>
      <c r="AN6400">
        <v>0.99999999417688101</v>
      </c>
    </row>
    <row r="6401" spans="1:40" x14ac:dyDescent="0.25">
      <c r="A6401" t="str">
        <f>"20190305135952508"</f>
        <v>20190305135952508</v>
      </c>
      <c r="B6401" t="str">
        <f>"1551765592505365"</f>
        <v>1551765592505365</v>
      </c>
      <c r="C6401" t="s">
        <v>40</v>
      </c>
      <c r="D6401">
        <v>4.1113429999999997</v>
      </c>
      <c r="E6401">
        <v>0.4560573</v>
      </c>
      <c r="F6401" t="s">
        <v>79</v>
      </c>
      <c r="G6401">
        <v>-185.26779999999999</v>
      </c>
      <c r="H6401" s="1">
        <v>-5.8734509999999999E-6</v>
      </c>
      <c r="I6401">
        <v>131.9599</v>
      </c>
      <c r="J6401">
        <v>-187.76</v>
      </c>
      <c r="K6401">
        <v>1.1110580000000001</v>
      </c>
      <c r="L6401">
        <v>93.328220000000002</v>
      </c>
      <c r="M6401">
        <v>2.7398740000000001E-2</v>
      </c>
      <c r="N6401">
        <v>-1.521365E-2</v>
      </c>
      <c r="O6401">
        <v>0.99950879999999998</v>
      </c>
      <c r="P6401">
        <v>9.0547429999999998E-2</v>
      </c>
      <c r="Q6401">
        <v>1.6549609999999999E-2</v>
      </c>
      <c r="R6401">
        <v>0.99575460000000005</v>
      </c>
      <c r="S6401">
        <v>0.1918945</v>
      </c>
      <c r="T6401">
        <v>-8.5070610000000005E-2</v>
      </c>
      <c r="U6401">
        <v>2.9970400000000001</v>
      </c>
      <c r="V6401">
        <v>6.3083249999999993E-2</v>
      </c>
      <c r="W6401">
        <v>3.2015399999999999E-2</v>
      </c>
      <c r="X6401">
        <v>0.99749460000000001</v>
      </c>
      <c r="Y6401">
        <v>3.6509689999999997E-2</v>
      </c>
      <c r="Z6401">
        <v>-1.3121560000000001E-2</v>
      </c>
      <c r="AA6401">
        <v>0.99924710000000005</v>
      </c>
      <c r="AB6401">
        <v>53</v>
      </c>
      <c r="AC6401">
        <v>2.4921999999999902</v>
      </c>
      <c r="AD6401">
        <v>-1.1110638734510001</v>
      </c>
      <c r="AE6401">
        <v>38.631679999999903</v>
      </c>
      <c r="AF6401">
        <v>1.43150311646696</v>
      </c>
      <c r="AG6401">
        <v>-1.1110638734510001</v>
      </c>
      <c r="AH6401">
        <v>38.653624418541398</v>
      </c>
      <c r="AI6401">
        <v>91.645335301552606</v>
      </c>
      <c r="AJ6401">
        <v>87.879070284330595</v>
      </c>
      <c r="AK6401">
        <v>38.696076607235</v>
      </c>
      <c r="AL6401">
        <v>88.165339155267006</v>
      </c>
      <c r="AM6401">
        <v>86.3813369056396</v>
      </c>
      <c r="AN6401">
        <v>0.99999997964844101</v>
      </c>
    </row>
    <row r="6402" spans="1:40" x14ac:dyDescent="0.25">
      <c r="A6402" t="str">
        <f>"20190305135952530"</f>
        <v>20190305135952530</v>
      </c>
      <c r="B6402" t="str">
        <f>"1551765592525861"</f>
        <v>1551765592525861</v>
      </c>
      <c r="C6402" t="s">
        <v>40</v>
      </c>
      <c r="D6402">
        <v>4.0762119999999999</v>
      </c>
      <c r="E6402">
        <v>0.44905279999999997</v>
      </c>
      <c r="F6402" t="s">
        <v>42</v>
      </c>
      <c r="G6402">
        <v>-188.33519999999999</v>
      </c>
      <c r="H6402" s="1">
        <v>-4.0986720000000003E-6</v>
      </c>
      <c r="I6402">
        <v>118.49850000000001</v>
      </c>
      <c r="J6402">
        <v>-187.74700000000001</v>
      </c>
      <c r="K6402">
        <v>1.1112489999999999</v>
      </c>
      <c r="L6402">
        <v>93.840479999999999</v>
      </c>
      <c r="M6402">
        <v>2.553163E-2</v>
      </c>
      <c r="N6402">
        <v>-1.5214220000000001E-2</v>
      </c>
      <c r="O6402">
        <v>0.99955819999999995</v>
      </c>
      <c r="P6402">
        <v>8.8628399999999996E-2</v>
      </c>
      <c r="Q6402">
        <v>1.566534E-2</v>
      </c>
      <c r="R6402">
        <v>0.99594159999999998</v>
      </c>
      <c r="S6402">
        <v>-6.904602E-2</v>
      </c>
      <c r="T6402">
        <v>-0.13336429999999999</v>
      </c>
      <c r="U6402">
        <v>3.021271</v>
      </c>
      <c r="V6402">
        <v>6.3012070000000003E-2</v>
      </c>
      <c r="W6402">
        <v>3.1164190000000001E-2</v>
      </c>
      <c r="X6402">
        <v>0.99752600000000002</v>
      </c>
      <c r="Y6402">
        <v>-4.8336469999999999E-2</v>
      </c>
      <c r="Z6402">
        <v>-2.8836819999999999E-2</v>
      </c>
      <c r="AA6402">
        <v>0.99841480000000005</v>
      </c>
      <c r="AB6402">
        <v>53</v>
      </c>
      <c r="AC6402">
        <v>-0.58819999999997197</v>
      </c>
      <c r="AD6402">
        <v>-1.111253098672</v>
      </c>
      <c r="AE6402">
        <v>24.65802</v>
      </c>
      <c r="AF6402">
        <v>-1.2151739385520499</v>
      </c>
      <c r="AG6402">
        <v>-1.111253098672</v>
      </c>
      <c r="AH6402">
        <v>24.585056732085899</v>
      </c>
      <c r="AI6402">
        <v>92.584876281996202</v>
      </c>
      <c r="AJ6402">
        <v>92.829675071446403</v>
      </c>
      <c r="AK6402">
        <v>24.640140942578402</v>
      </c>
      <c r="AL6402">
        <v>88.214134151904403</v>
      </c>
      <c r="AM6402">
        <v>86.385522671909101</v>
      </c>
      <c r="AN6402">
        <v>0.99999992419001704</v>
      </c>
    </row>
    <row r="6403" spans="1:40" x14ac:dyDescent="0.25">
      <c r="A6403" t="str">
        <f>"20190305135952554"</f>
        <v>20190305135952554</v>
      </c>
      <c r="B6403" t="str">
        <f>"1551765592545382"</f>
        <v>1551765592545382</v>
      </c>
      <c r="C6403" t="s">
        <v>40</v>
      </c>
      <c r="D6403">
        <v>4.0932839999999997</v>
      </c>
      <c r="E6403">
        <v>0.44780120000000001</v>
      </c>
      <c r="F6403" t="s">
        <v>42</v>
      </c>
      <c r="G6403">
        <v>-188.8082</v>
      </c>
      <c r="H6403" s="1">
        <v>-4.0014660000000001E-6</v>
      </c>
      <c r="I6403">
        <v>118.4675</v>
      </c>
      <c r="J6403">
        <v>-187.73419999999999</v>
      </c>
      <c r="K6403">
        <v>1.111531</v>
      </c>
      <c r="L6403">
        <v>94.399870000000007</v>
      </c>
      <c r="M6403">
        <v>2.317114E-2</v>
      </c>
      <c r="N6403">
        <v>-1.521752E-2</v>
      </c>
      <c r="O6403">
        <v>0.9996157</v>
      </c>
      <c r="P6403">
        <v>8.6900359999999996E-2</v>
      </c>
      <c r="Q6403">
        <v>1.5070780000000001E-2</v>
      </c>
      <c r="R6403">
        <v>0.99610299999999996</v>
      </c>
      <c r="S6403">
        <v>-0.13038640000000001</v>
      </c>
      <c r="T6403">
        <v>-0.13654340000000001</v>
      </c>
      <c r="U6403">
        <v>3.0260009999999999</v>
      </c>
      <c r="V6403">
        <v>6.36187E-2</v>
      </c>
      <c r="W6403">
        <v>3.061943E-2</v>
      </c>
      <c r="X6403">
        <v>0.99750439999999996</v>
      </c>
      <c r="Y6403">
        <v>-6.6140060000000001E-2</v>
      </c>
      <c r="Z6403">
        <v>-2.9774309999999998E-2</v>
      </c>
      <c r="AA6403">
        <v>0.99736599999999997</v>
      </c>
      <c r="AB6403">
        <v>53</v>
      </c>
      <c r="AC6403">
        <v>-1.0740000000000101</v>
      </c>
      <c r="AD6403">
        <v>-1.1115350014659999</v>
      </c>
      <c r="AE6403">
        <v>24.067630000000001</v>
      </c>
      <c r="AF6403">
        <v>-1.6279850770967399</v>
      </c>
      <c r="AG6403">
        <v>-1.1115350014659999</v>
      </c>
      <c r="AH6403">
        <v>23.9852204923077</v>
      </c>
      <c r="AI6403">
        <v>92.647248935289497</v>
      </c>
      <c r="AJ6403">
        <v>93.882967363389099</v>
      </c>
      <c r="AK6403">
        <v>24.066089161626401</v>
      </c>
      <c r="AL6403">
        <v>88.245361567042195</v>
      </c>
      <c r="AM6403">
        <v>86.350740137887001</v>
      </c>
      <c r="AN6403">
        <v>0.99999995825128596</v>
      </c>
    </row>
    <row r="6404" spans="1:40" x14ac:dyDescent="0.25">
      <c r="A6404" t="str">
        <f>"20190305135952575"</f>
        <v>20190305135952575</v>
      </c>
      <c r="B6404" t="str">
        <f>"1551765592565881"</f>
        <v>1551765592565881</v>
      </c>
      <c r="C6404" t="s">
        <v>40</v>
      </c>
      <c r="D6404">
        <v>4.0901610000000002</v>
      </c>
      <c r="E6404">
        <v>0.44620310000000002</v>
      </c>
      <c r="F6404" t="s">
        <v>42</v>
      </c>
      <c r="G6404">
        <v>-188.90350000000001</v>
      </c>
      <c r="H6404" s="1">
        <v>-4.0787380000000002E-6</v>
      </c>
      <c r="I6404">
        <v>118.687</v>
      </c>
      <c r="J6404">
        <v>-187.72380000000001</v>
      </c>
      <c r="K6404">
        <v>1.111834</v>
      </c>
      <c r="L6404">
        <v>94.915369999999996</v>
      </c>
      <c r="M6404">
        <v>2.0650450000000001E-2</v>
      </c>
      <c r="N6404">
        <v>-1.522368E-2</v>
      </c>
      <c r="O6404">
        <v>0.99967090000000003</v>
      </c>
      <c r="P6404">
        <v>8.5733149999999994E-2</v>
      </c>
      <c r="Q6404">
        <v>1.439173E-2</v>
      </c>
      <c r="R6404">
        <v>0.99621420000000005</v>
      </c>
      <c r="S6404">
        <v>-0.1457214</v>
      </c>
      <c r="T6404">
        <v>-0.1385142</v>
      </c>
      <c r="U6404">
        <v>3.0265499999999999</v>
      </c>
      <c r="V6404">
        <v>6.4946489999999996E-2</v>
      </c>
      <c r="W6404">
        <v>3.0003160000000001E-2</v>
      </c>
      <c r="X6404">
        <v>0.99743760000000004</v>
      </c>
      <c r="Y6404">
        <v>-6.8656590000000003E-2</v>
      </c>
      <c r="Z6404">
        <v>-3.0402930000000002E-2</v>
      </c>
      <c r="AA6404">
        <v>0.99717699999999998</v>
      </c>
      <c r="AB6404">
        <v>52</v>
      </c>
      <c r="AC6404">
        <v>-1.17969999999999</v>
      </c>
      <c r="AD6404">
        <v>-1.111838078738</v>
      </c>
      <c r="AE6404">
        <v>23.771629999999998</v>
      </c>
      <c r="AF6404">
        <v>-1.6667628735907301</v>
      </c>
      <c r="AG6404">
        <v>-1.111838078738</v>
      </c>
      <c r="AH6404">
        <v>23.690497842087801</v>
      </c>
      <c r="AI6404">
        <v>92.680407284479202</v>
      </c>
      <c r="AJ6404">
        <v>94.024456334173493</v>
      </c>
      <c r="AK6404">
        <v>23.775070355228799</v>
      </c>
      <c r="AL6404">
        <v>88.280687544698196</v>
      </c>
      <c r="AM6404">
        <v>86.2745396966084</v>
      </c>
      <c r="AN6404">
        <v>1.0000000010335299</v>
      </c>
    </row>
    <row r="6405" spans="1:40" x14ac:dyDescent="0.25">
      <c r="A6405" t="str">
        <f>"20190305135952597"</f>
        <v>20190305135952597</v>
      </c>
      <c r="B6405" t="str">
        <f>"1551765592585401"</f>
        <v>1551765592585401</v>
      </c>
      <c r="C6405" t="s">
        <v>40</v>
      </c>
      <c r="D6405">
        <v>4.0625450000000001</v>
      </c>
      <c r="E6405">
        <v>0.4461678</v>
      </c>
      <c r="F6405" t="s">
        <v>42</v>
      </c>
      <c r="G6405">
        <v>-188.86709999999999</v>
      </c>
      <c r="H6405" s="1">
        <v>-3.0888789999999998E-6</v>
      </c>
      <c r="I6405">
        <v>116.3646</v>
      </c>
      <c r="J6405">
        <v>-187.71520000000001</v>
      </c>
      <c r="K6405">
        <v>1.112158</v>
      </c>
      <c r="L6405">
        <v>95.407439999999994</v>
      </c>
      <c r="M6405">
        <v>1.791748E-2</v>
      </c>
      <c r="N6405">
        <v>-1.5232259999999999E-2</v>
      </c>
      <c r="O6405">
        <v>0.99972340000000004</v>
      </c>
      <c r="P6405">
        <v>8.3924739999999998E-2</v>
      </c>
      <c r="Q6405">
        <v>1.353239E-2</v>
      </c>
      <c r="R6405">
        <v>0.99638020000000005</v>
      </c>
      <c r="S6405">
        <v>-0.16137699999999999</v>
      </c>
      <c r="T6405">
        <v>-0.15693589999999999</v>
      </c>
      <c r="U6405">
        <v>3.0275569999999998</v>
      </c>
      <c r="V6405">
        <v>6.5845089999999995E-2</v>
      </c>
      <c r="W6405">
        <v>2.9209570000000001E-2</v>
      </c>
      <c r="X6405">
        <v>0.99740229999999996</v>
      </c>
      <c r="Y6405">
        <v>-7.1041140000000003E-2</v>
      </c>
      <c r="Z6405">
        <v>-3.6426779999999999E-2</v>
      </c>
      <c r="AA6405">
        <v>0.99680809999999997</v>
      </c>
      <c r="AB6405">
        <v>52</v>
      </c>
      <c r="AC6405">
        <v>-1.1518999999999799</v>
      </c>
      <c r="AD6405">
        <v>-1.1121610888789999</v>
      </c>
      <c r="AE6405">
        <v>20.957159999999899</v>
      </c>
      <c r="AF6405">
        <v>-1.5229819460321199</v>
      </c>
      <c r="AG6405">
        <v>-1.1121610888789999</v>
      </c>
      <c r="AH6405">
        <v>20.874542634753201</v>
      </c>
      <c r="AI6405">
        <v>93.041671449267</v>
      </c>
      <c r="AJ6405">
        <v>94.1728388085088</v>
      </c>
      <c r="AK6405">
        <v>20.9595540626628</v>
      </c>
      <c r="AL6405">
        <v>88.326176945563603</v>
      </c>
      <c r="AM6405">
        <v>86.223009099576501</v>
      </c>
      <c r="AN6405">
        <v>1.0000000614509801</v>
      </c>
    </row>
    <row r="6406" spans="1:40" x14ac:dyDescent="0.25">
      <c r="A6406" t="str">
        <f>"20190305135952621"</f>
        <v>20190305135952621</v>
      </c>
      <c r="B6406" t="str">
        <f>"1551765592615653"</f>
        <v>1551765592615653</v>
      </c>
      <c r="C6406" t="s">
        <v>40</v>
      </c>
      <c r="D6406">
        <v>4.0673430000000002</v>
      </c>
      <c r="E6406">
        <v>0.44638250000000002</v>
      </c>
      <c r="F6406" t="s">
        <v>42</v>
      </c>
      <c r="G6406">
        <v>-188.881</v>
      </c>
      <c r="H6406" s="1">
        <v>-3.1540409999999999E-6</v>
      </c>
      <c r="I6406">
        <v>116.5222</v>
      </c>
      <c r="J6406">
        <v>-187.70769999999999</v>
      </c>
      <c r="K6406">
        <v>1.112525</v>
      </c>
      <c r="L6406">
        <v>95.941649999999996</v>
      </c>
      <c r="M6406">
        <v>1.4605419999999999E-2</v>
      </c>
      <c r="N6406">
        <v>-1.5243619999999999E-2</v>
      </c>
      <c r="O6406">
        <v>0.99977709999999997</v>
      </c>
      <c r="P6406">
        <v>8.1184030000000004E-2</v>
      </c>
      <c r="Q6406">
        <v>1.3371940000000001E-2</v>
      </c>
      <c r="R6406">
        <v>0.99660939999999998</v>
      </c>
      <c r="S6406">
        <v>-0.16712949999999999</v>
      </c>
      <c r="T6406">
        <v>-0.15944559999999999</v>
      </c>
      <c r="U6406">
        <v>3.0271300000000001</v>
      </c>
      <c r="V6406">
        <v>6.6381519999999999E-2</v>
      </c>
      <c r="W6406">
        <v>2.9123300000000001E-2</v>
      </c>
      <c r="X6406">
        <v>0.99736919999999996</v>
      </c>
      <c r="Y6406">
        <v>-6.9631349999999995E-2</v>
      </c>
      <c r="Z6406">
        <v>-3.7252420000000001E-2</v>
      </c>
      <c r="AA6406">
        <v>0.99687700000000001</v>
      </c>
      <c r="AB6406">
        <v>52</v>
      </c>
      <c r="AC6406">
        <v>-1.17329999999998</v>
      </c>
      <c r="AD6406">
        <v>-1.1125281540409999</v>
      </c>
      <c r="AE6406">
        <v>20.580549999999999</v>
      </c>
      <c r="AF6406">
        <v>-1.4695170442098699</v>
      </c>
      <c r="AG6406">
        <v>-1.1125281540409999</v>
      </c>
      <c r="AH6406">
        <v>20.501500593851901</v>
      </c>
      <c r="AI6406">
        <v>93.098215381623504</v>
      </c>
      <c r="AJ6406">
        <v>94.099864339676202</v>
      </c>
      <c r="AK6406">
        <v>20.584186304939699</v>
      </c>
      <c r="AL6406">
        <v>88.331121848253005</v>
      </c>
      <c r="AM6406">
        <v>86.192202684590796</v>
      </c>
      <c r="AN6406">
        <v>0.99999999695452002</v>
      </c>
    </row>
    <row r="6407" spans="1:40" x14ac:dyDescent="0.25">
      <c r="A6407" t="str">
        <f>"20190305135952642"</f>
        <v>20190305135952642</v>
      </c>
      <c r="B6407" t="str">
        <f>"1551765592635173"</f>
        <v>1551765592635173</v>
      </c>
      <c r="C6407" t="s">
        <v>40</v>
      </c>
      <c r="D6407">
        <v>4.0602039999999997</v>
      </c>
      <c r="E6407">
        <v>0.44777739999999999</v>
      </c>
      <c r="F6407" t="s">
        <v>42</v>
      </c>
      <c r="G6407">
        <v>-188.91630000000001</v>
      </c>
      <c r="H6407" s="1">
        <v>-3.3763819999999999E-6</v>
      </c>
      <c r="I6407">
        <v>117.0551</v>
      </c>
      <c r="J6407">
        <v>-187.7021</v>
      </c>
      <c r="K6407">
        <v>1.1128960000000001</v>
      </c>
      <c r="L6407">
        <v>96.479579999999999</v>
      </c>
      <c r="M6407">
        <v>1.095343E-2</v>
      </c>
      <c r="N6407">
        <v>-1.525515E-2</v>
      </c>
      <c r="O6407">
        <v>0.99982360000000003</v>
      </c>
      <c r="P6407">
        <v>7.8042899999999998E-2</v>
      </c>
      <c r="Q6407">
        <v>1.5267910000000001E-2</v>
      </c>
      <c r="R6407">
        <v>0.99683310000000003</v>
      </c>
      <c r="S6407">
        <v>-0.17324829999999999</v>
      </c>
      <c r="T6407">
        <v>-0.159472799999999</v>
      </c>
      <c r="U6407">
        <v>3.026459</v>
      </c>
      <c r="V6407">
        <v>6.6839860000000001E-2</v>
      </c>
      <c r="W6407">
        <v>3.1090799999999998E-2</v>
      </c>
      <c r="X6407">
        <v>0.99727920000000003</v>
      </c>
      <c r="Y6407">
        <v>-6.8009459999999994E-2</v>
      </c>
      <c r="Z6407">
        <v>-3.7266430000000003E-2</v>
      </c>
      <c r="AA6407">
        <v>0.9969884</v>
      </c>
      <c r="AB6407">
        <v>52</v>
      </c>
      <c r="AC6407">
        <v>-1.2141999999999999</v>
      </c>
      <c r="AD6407">
        <v>-1.1128993763820001</v>
      </c>
      <c r="AE6407">
        <v>20.575520000000001</v>
      </c>
      <c r="AF6407">
        <v>-1.4353412817867199</v>
      </c>
      <c r="AG6407">
        <v>-1.1128993763820001</v>
      </c>
      <c r="AH6407">
        <v>20.501214620943799</v>
      </c>
      <c r="AI6407">
        <v>93.099653601593303</v>
      </c>
      <c r="AJ6407">
        <v>94.004885625993893</v>
      </c>
      <c r="AK6407">
        <v>20.581509919127701</v>
      </c>
      <c r="AL6407">
        <v>88.218341269869001</v>
      </c>
      <c r="AM6407">
        <v>86.165644420019007</v>
      </c>
      <c r="AN6407">
        <v>1.0000000037410399</v>
      </c>
    </row>
    <row r="6408" spans="1:40" x14ac:dyDescent="0.25">
      <c r="A6408" t="str">
        <f>"20190305135952665"</f>
        <v>20190305135952665</v>
      </c>
      <c r="B6408" t="str">
        <f>"1551765592655669"</f>
        <v>1551765592655669</v>
      </c>
      <c r="C6408" t="s">
        <v>40</v>
      </c>
      <c r="D6408">
        <v>4.0588870000000004</v>
      </c>
      <c r="E6408">
        <v>0.44871549999999999</v>
      </c>
      <c r="F6408" t="s">
        <v>42</v>
      </c>
      <c r="G6408">
        <v>-188.9282</v>
      </c>
      <c r="H6408" s="1">
        <v>-3.8311249999999997E-6</v>
      </c>
      <c r="I6408">
        <v>118.12</v>
      </c>
      <c r="J6408">
        <v>-187.6987</v>
      </c>
      <c r="K6408">
        <v>1.1132219999999999</v>
      </c>
      <c r="L6408">
        <v>96.996669999999995</v>
      </c>
      <c r="M6408">
        <v>7.2182380000000001E-3</v>
      </c>
      <c r="N6408">
        <v>-1.5263850000000001E-2</v>
      </c>
      <c r="O6408">
        <v>0.99985740000000001</v>
      </c>
      <c r="P6408">
        <v>7.5379600000000005E-2</v>
      </c>
      <c r="Q6408">
        <v>1.831673E-2</v>
      </c>
      <c r="R6408">
        <v>0.9969867</v>
      </c>
      <c r="S6408">
        <v>-0.171402</v>
      </c>
      <c r="T6408">
        <v>-0.1555831</v>
      </c>
      <c r="U6408">
        <v>3.0253299999999999</v>
      </c>
      <c r="V6408">
        <v>6.7848919999999993E-2</v>
      </c>
      <c r="W6408">
        <v>3.4205739999999998E-2</v>
      </c>
      <c r="X6408">
        <v>0.99710909999999997</v>
      </c>
      <c r="Y6408">
        <v>-6.370191E-2</v>
      </c>
      <c r="Z6408">
        <v>-3.6011000000000001E-2</v>
      </c>
      <c r="AA6408">
        <v>0.99731899999999996</v>
      </c>
      <c r="AB6408">
        <v>52</v>
      </c>
      <c r="AC6408">
        <v>-1.2295</v>
      </c>
      <c r="AD6408">
        <v>-1.1132258311249901</v>
      </c>
      <c r="AE6408">
        <v>21.123329999999999</v>
      </c>
      <c r="AF6408">
        <v>-1.3781441940643899</v>
      </c>
      <c r="AG6408">
        <v>-1.1132258311249901</v>
      </c>
      <c r="AH6408">
        <v>21.055620837226598</v>
      </c>
      <c r="AI6408">
        <v>93.0200012633385</v>
      </c>
      <c r="AJ6408">
        <v>93.744813651048105</v>
      </c>
      <c r="AK6408">
        <v>21.130019451287101</v>
      </c>
      <c r="AL6408">
        <v>88.039773145776806</v>
      </c>
      <c r="AM6408">
        <v>86.107273052947306</v>
      </c>
      <c r="AN6408">
        <v>1.00000003294846</v>
      </c>
    </row>
    <row r="6409" spans="1:40" x14ac:dyDescent="0.25">
      <c r="A6409" t="str">
        <f>"20190305135952686"</f>
        <v>20190305135952686</v>
      </c>
      <c r="B6409" t="str">
        <f>"1551765592675193"</f>
        <v>1551765592675193</v>
      </c>
      <c r="C6409" t="s">
        <v>40</v>
      </c>
      <c r="D6409">
        <v>4.1127310000000001</v>
      </c>
      <c r="E6409">
        <v>0.4490903</v>
      </c>
      <c r="F6409" t="s">
        <v>79</v>
      </c>
      <c r="G6409">
        <v>-188.989</v>
      </c>
      <c r="H6409" s="1">
        <v>-2.6657900000000002E-7</v>
      </c>
      <c r="I6409">
        <v>119.64619999999999</v>
      </c>
      <c r="J6409">
        <v>-187.69710000000001</v>
      </c>
      <c r="K6409">
        <v>1.1135029999999999</v>
      </c>
      <c r="L6409">
        <v>97.49539</v>
      </c>
      <c r="M6409">
        <v>3.4524790000000001E-3</v>
      </c>
      <c r="N6409">
        <v>-1.527033E-2</v>
      </c>
      <c r="O6409">
        <v>0.99987749999999997</v>
      </c>
      <c r="P6409">
        <v>7.2483030000000004E-2</v>
      </c>
      <c r="Q6409">
        <v>2.1667120000000002E-2</v>
      </c>
      <c r="R6409">
        <v>0.99713430000000003</v>
      </c>
      <c r="S6409">
        <v>-0.17231749999999901</v>
      </c>
      <c r="T6409">
        <v>-0.1486691</v>
      </c>
      <c r="U6409">
        <v>3.0248110000000001</v>
      </c>
      <c r="V6409">
        <v>6.8651519999999994E-2</v>
      </c>
      <c r="W6409">
        <v>3.7611970000000002E-2</v>
      </c>
      <c r="X6409">
        <v>0.99693140000000002</v>
      </c>
      <c r="Y6409">
        <v>-6.0260769999999998E-2</v>
      </c>
      <c r="Z6409">
        <v>-3.37468E-2</v>
      </c>
      <c r="AA6409">
        <v>0.9976121</v>
      </c>
      <c r="AB6409">
        <v>52</v>
      </c>
      <c r="AC6409">
        <v>-1.2918999999999901</v>
      </c>
      <c r="AD6409">
        <v>-1.1135032665789999</v>
      </c>
      <c r="AE6409">
        <v>22.15081</v>
      </c>
      <c r="AF6409">
        <v>-1.3649389224048301</v>
      </c>
      <c r="AG6409">
        <v>-1.1135032665789999</v>
      </c>
      <c r="AH6409">
        <v>22.090583702190099</v>
      </c>
      <c r="AI6409">
        <v>92.880139182979093</v>
      </c>
      <c r="AJ6409">
        <v>93.535712058373406</v>
      </c>
      <c r="AK6409">
        <v>22.160704774217901</v>
      </c>
      <c r="AL6409">
        <v>87.844484336170694</v>
      </c>
      <c r="AM6409">
        <v>86.060669364786904</v>
      </c>
      <c r="AN6409">
        <v>0.99999995389577401</v>
      </c>
    </row>
    <row r="6410" spans="1:40" x14ac:dyDescent="0.25">
      <c r="A6410" t="str">
        <f>"20190305135952708"</f>
        <v>20190305135952708</v>
      </c>
      <c r="B6410" t="str">
        <f>"1551765592705446"</f>
        <v>1551765592705446</v>
      </c>
      <c r="C6410" t="s">
        <v>40</v>
      </c>
      <c r="D6410">
        <v>4.3289220000000004</v>
      </c>
      <c r="E6410">
        <v>0.45003959999999998</v>
      </c>
      <c r="F6410" t="s">
        <v>79</v>
      </c>
      <c r="G6410">
        <v>-189.1397</v>
      </c>
      <c r="H6410" s="1">
        <v>-1.3829660000000001E-6</v>
      </c>
      <c r="I6410">
        <v>121.93129999999999</v>
      </c>
      <c r="J6410">
        <v>-187.69749999999999</v>
      </c>
      <c r="K6410">
        <v>1.1137429999999999</v>
      </c>
      <c r="L6410">
        <v>97.996430000000004</v>
      </c>
      <c r="M6410">
        <v>-4.42213E-4</v>
      </c>
      <c r="N6410">
        <v>-1.529018E-2</v>
      </c>
      <c r="O6410">
        <v>0.99988299999999997</v>
      </c>
      <c r="P6410">
        <v>6.8910170000000007E-2</v>
      </c>
      <c r="Q6410">
        <v>2.3559859999999998E-2</v>
      </c>
      <c r="R6410">
        <v>0.99734460000000003</v>
      </c>
      <c r="S6410">
        <v>-0.178558299999999</v>
      </c>
      <c r="T6410">
        <v>-0.13782620000000001</v>
      </c>
      <c r="U6410">
        <v>3.024597</v>
      </c>
      <c r="V6410">
        <v>6.8921189999999993E-2</v>
      </c>
      <c r="W6410">
        <v>3.9564589999999997E-2</v>
      </c>
      <c r="X6410">
        <v>0.99683730000000004</v>
      </c>
      <c r="Y6410">
        <v>-5.8437349999999999E-2</v>
      </c>
      <c r="Z6410">
        <v>-3.016336E-2</v>
      </c>
      <c r="AA6410">
        <v>0.99783529999999998</v>
      </c>
      <c r="AB6410">
        <v>52</v>
      </c>
      <c r="AC6410">
        <v>-1.4422000000000099</v>
      </c>
      <c r="AD6410">
        <v>-1.1137443829660001</v>
      </c>
      <c r="AE6410">
        <v>23.934869999999901</v>
      </c>
      <c r="AF6410">
        <v>-1.42853236456676</v>
      </c>
      <c r="AG6410">
        <v>-1.1137443829660001</v>
      </c>
      <c r="AH6410">
        <v>23.883977689559199</v>
      </c>
      <c r="AI6410">
        <v>92.665094993599496</v>
      </c>
      <c r="AJ6410">
        <v>93.422858767607593</v>
      </c>
      <c r="AK6410">
        <v>23.952568161735002</v>
      </c>
      <c r="AL6410">
        <v>87.732524246092396</v>
      </c>
      <c r="AM6410">
        <v>86.044872149545597</v>
      </c>
      <c r="AN6410">
        <v>1.0000000449420801</v>
      </c>
    </row>
    <row r="6411" spans="1:40" x14ac:dyDescent="0.25">
      <c r="A6411" t="str">
        <f>"20190305135952730"</f>
        <v>20190305135952730</v>
      </c>
      <c r="B6411" t="str">
        <f>"1551765592725942"</f>
        <v>1551765592725942</v>
      </c>
      <c r="C6411" t="s">
        <v>40</v>
      </c>
      <c r="D6411">
        <v>4.0756439999999996</v>
      </c>
      <c r="E6411">
        <v>0.45091409999999998</v>
      </c>
      <c r="F6411" t="s">
        <v>79</v>
      </c>
      <c r="G6411">
        <v>-189.2088</v>
      </c>
      <c r="H6411" s="1">
        <v>-2.0222849999999999E-6</v>
      </c>
      <c r="I6411">
        <v>123.11499999999999</v>
      </c>
      <c r="J6411">
        <v>-187.69980000000001</v>
      </c>
      <c r="K6411">
        <v>1.1139619999999999</v>
      </c>
      <c r="L6411">
        <v>98.520840000000007</v>
      </c>
      <c r="M6411">
        <v>-4.5738050000000002E-3</v>
      </c>
      <c r="N6411">
        <v>-1.535658E-2</v>
      </c>
      <c r="O6411">
        <v>0.99987159999999997</v>
      </c>
      <c r="P6411">
        <v>6.4872760000000002E-2</v>
      </c>
      <c r="Q6411">
        <v>2.3369919999999999E-2</v>
      </c>
      <c r="R6411">
        <v>0.9976199</v>
      </c>
      <c r="S6411">
        <v>-0.18193049999999999</v>
      </c>
      <c r="T6411">
        <v>-0.1340712</v>
      </c>
      <c r="U6411">
        <v>3.0237430000000001</v>
      </c>
      <c r="V6411">
        <v>6.8987370000000006E-2</v>
      </c>
      <c r="W6411">
        <v>3.9476450000000003E-2</v>
      </c>
      <c r="X6411">
        <v>0.99683619999999995</v>
      </c>
      <c r="Y6411">
        <v>-5.5441600000000001E-2</v>
      </c>
      <c r="Z6411">
        <v>-2.8876679999999998E-2</v>
      </c>
      <c r="AA6411">
        <v>0.9980443</v>
      </c>
      <c r="AB6411">
        <v>52</v>
      </c>
      <c r="AC6411">
        <v>-1.5089999999999799</v>
      </c>
      <c r="AD6411">
        <v>-1.113964022285</v>
      </c>
      <c r="AE6411">
        <v>24.594159999999899</v>
      </c>
      <c r="AF6411">
        <v>-1.3936336903520701</v>
      </c>
      <c r="AG6411">
        <v>-1.113964022285</v>
      </c>
      <c r="AH6411">
        <v>24.55062786505</v>
      </c>
      <c r="AI6411">
        <v>92.593795739654794</v>
      </c>
      <c r="AJ6411">
        <v>93.248948546561607</v>
      </c>
      <c r="AK6411">
        <v>24.6153703866913</v>
      </c>
      <c r="AL6411">
        <v>87.737578206993504</v>
      </c>
      <c r="AM6411">
        <v>86.041082044120898</v>
      </c>
      <c r="AN6411">
        <v>1.0000000284772701</v>
      </c>
    </row>
    <row r="6412" spans="1:40" x14ac:dyDescent="0.25">
      <c r="A6412" t="str">
        <f>"20190305135952754"</f>
        <v>20190305135952754</v>
      </c>
      <c r="B6412" t="str">
        <f>"1551765592745462"</f>
        <v>1551765592745462</v>
      </c>
      <c r="C6412" t="s">
        <v>40</v>
      </c>
      <c r="D6412">
        <v>4.1179620000000003</v>
      </c>
      <c r="E6412">
        <v>0.45151419999999998</v>
      </c>
      <c r="F6412" t="s">
        <v>79</v>
      </c>
      <c r="G6412">
        <v>-189.24270000000001</v>
      </c>
      <c r="H6412" s="1">
        <v>-2.1726429999999999E-6</v>
      </c>
      <c r="I6412">
        <v>123.39790000000001</v>
      </c>
      <c r="J6412">
        <v>-187.70439999999999</v>
      </c>
      <c r="K6412">
        <v>1.1141430000000001</v>
      </c>
      <c r="L6412">
        <v>99.061279999999996</v>
      </c>
      <c r="M6412">
        <v>-8.8178760000000005E-3</v>
      </c>
      <c r="N6412">
        <v>-1.549529E-2</v>
      </c>
      <c r="O6412">
        <v>0.99984099999999998</v>
      </c>
      <c r="P6412">
        <v>6.131064E-2</v>
      </c>
      <c r="Q6412">
        <v>2.2325029999999999E-2</v>
      </c>
      <c r="R6412">
        <v>0.99786900000000001</v>
      </c>
      <c r="S6412">
        <v>-0.18745419999999999</v>
      </c>
      <c r="T6412">
        <v>-0.13534360000000001</v>
      </c>
      <c r="U6412">
        <v>3.022491</v>
      </c>
      <c r="V6412">
        <v>6.9655399999999895E-2</v>
      </c>
      <c r="W6412">
        <v>3.8604510000000002E-2</v>
      </c>
      <c r="X6412">
        <v>0.99682380000000004</v>
      </c>
      <c r="Y6412">
        <v>-5.3045330000000002E-2</v>
      </c>
      <c r="Z6412">
        <v>-2.917612E-2</v>
      </c>
      <c r="AA6412">
        <v>0.99816579999999999</v>
      </c>
      <c r="AB6412">
        <v>52</v>
      </c>
      <c r="AC6412">
        <v>-1.53830000000002</v>
      </c>
      <c r="AD6412">
        <v>-1.1141451726430001</v>
      </c>
      <c r="AE6412">
        <v>24.33662</v>
      </c>
      <c r="AF6412">
        <v>-1.32085977647615</v>
      </c>
      <c r="AG6412">
        <v>-1.1141451726430001</v>
      </c>
      <c r="AH6412">
        <v>24.298516059676199</v>
      </c>
      <c r="AI6412">
        <v>92.621445043508302</v>
      </c>
      <c r="AJ6412">
        <v>93.111518346942603</v>
      </c>
      <c r="AK6412">
        <v>24.3598824446502</v>
      </c>
      <c r="AL6412">
        <v>87.787574599463596</v>
      </c>
      <c r="AM6412">
        <v>86.002820498439107</v>
      </c>
      <c r="AN6412">
        <v>0.99999993559396705</v>
      </c>
    </row>
    <row r="6413" spans="1:40" x14ac:dyDescent="0.25">
      <c r="A6413" t="str">
        <f>"20190305135952776"</f>
        <v>20190305135952776</v>
      </c>
      <c r="B6413" t="str">
        <f>"1551765592765957"</f>
        <v>1551765592765957</v>
      </c>
      <c r="C6413" t="s">
        <v>40</v>
      </c>
      <c r="D6413">
        <v>4.3258089999999996</v>
      </c>
      <c r="E6413">
        <v>0.45207170000000002</v>
      </c>
      <c r="F6413" t="s">
        <v>79</v>
      </c>
      <c r="G6413">
        <v>-189.23480000000001</v>
      </c>
      <c r="H6413" s="1">
        <v>-1.9419079999999998E-6</v>
      </c>
      <c r="I6413">
        <v>122.97499999999999</v>
      </c>
      <c r="J6413">
        <v>-187.71090000000001</v>
      </c>
      <c r="K6413">
        <v>1.1142749999999999</v>
      </c>
      <c r="L6413">
        <v>99.579769999999996</v>
      </c>
      <c r="M6413">
        <v>-1.28018E-2</v>
      </c>
      <c r="N6413">
        <v>-1.5695210000000001E-2</v>
      </c>
      <c r="O6413">
        <v>0.99979479999999998</v>
      </c>
      <c r="P6413">
        <v>5.8828640000000001E-2</v>
      </c>
      <c r="Q6413">
        <v>2.0735679999999999E-2</v>
      </c>
      <c r="R6413">
        <v>0.99805270000000001</v>
      </c>
      <c r="S6413">
        <v>-0.19335939999999999</v>
      </c>
      <c r="T6413">
        <v>-0.14076859999999999</v>
      </c>
      <c r="U6413">
        <v>3.021423</v>
      </c>
      <c r="V6413">
        <v>7.1156499999999998E-2</v>
      </c>
      <c r="W6413">
        <v>3.7248879999999998E-2</v>
      </c>
      <c r="X6413">
        <v>0.99676940000000003</v>
      </c>
      <c r="Y6413">
        <v>-5.1027870000000003E-2</v>
      </c>
      <c r="Z6413">
        <v>-3.0778719999999999E-2</v>
      </c>
      <c r="AA6413">
        <v>0.99822279999999997</v>
      </c>
      <c r="AB6413">
        <v>52</v>
      </c>
      <c r="AC6413">
        <v>-1.52389999999999</v>
      </c>
      <c r="AD6413">
        <v>-1.1142769419080001</v>
      </c>
      <c r="AE6413">
        <v>23.395230000000002</v>
      </c>
      <c r="AF6413">
        <v>-1.22147794912866</v>
      </c>
      <c r="AG6413">
        <v>-1.1142769419080001</v>
      </c>
      <c r="AH6413">
        <v>23.360055908879399</v>
      </c>
      <c r="AI6413">
        <v>92.727224131118106</v>
      </c>
      <c r="AJ6413">
        <v>92.993222796239706</v>
      </c>
      <c r="AK6413">
        <v>23.418493409044199</v>
      </c>
      <c r="AL6413">
        <v>87.865302509718504</v>
      </c>
      <c r="AM6413">
        <v>85.916745978383403</v>
      </c>
      <c r="AN6413">
        <v>0.99999998166493198</v>
      </c>
    </row>
    <row r="6414" spans="1:40" x14ac:dyDescent="0.25">
      <c r="A6414" t="str">
        <f>"20190305135952798"</f>
        <v>20190305135952798</v>
      </c>
      <c r="B6414" t="str">
        <f>"1551765592785477"</f>
        <v>1551765592785477</v>
      </c>
      <c r="C6414" t="s">
        <v>40</v>
      </c>
      <c r="D6414">
        <v>4.0903280000000004</v>
      </c>
      <c r="E6414">
        <v>0.45221479999999997</v>
      </c>
      <c r="F6414" t="s">
        <v>79</v>
      </c>
      <c r="G6414">
        <v>-189.19900000000001</v>
      </c>
      <c r="H6414" s="1">
        <v>-1.6735280000000001E-6</v>
      </c>
      <c r="I6414">
        <v>122.47629999999999</v>
      </c>
      <c r="J6414">
        <v>-187.71879999999999</v>
      </c>
      <c r="K6414">
        <v>1.1143350000000001</v>
      </c>
      <c r="L6414">
        <v>100.06699999999999</v>
      </c>
      <c r="M6414">
        <v>-1.6388090000000001E-2</v>
      </c>
      <c r="N6414">
        <v>-1.5929220000000001E-2</v>
      </c>
      <c r="O6414">
        <v>0.99973880000000004</v>
      </c>
      <c r="P6414">
        <v>5.5964849999999997E-2</v>
      </c>
      <c r="Q6414">
        <v>1.8855029999999998E-2</v>
      </c>
      <c r="R6414">
        <v>0.99825469999999905</v>
      </c>
      <c r="S6414">
        <v>-0.19630429999999999</v>
      </c>
      <c r="T6414">
        <v>-0.1469935</v>
      </c>
      <c r="U6414">
        <v>3.0204770000000001</v>
      </c>
      <c r="V6414">
        <v>7.1890120000000002E-2</v>
      </c>
      <c r="W6414">
        <v>3.5615840000000003E-2</v>
      </c>
      <c r="X6414">
        <v>0.99677649999999995</v>
      </c>
      <c r="Y6414">
        <v>-4.8430599999999997E-2</v>
      </c>
      <c r="Z6414">
        <v>-3.2610649999999998E-2</v>
      </c>
      <c r="AA6414">
        <v>0.99829409999999996</v>
      </c>
      <c r="AB6414">
        <v>52</v>
      </c>
      <c r="AC6414">
        <v>-1.4802000000000199</v>
      </c>
      <c r="AD6414">
        <v>-1.114336673528</v>
      </c>
      <c r="AE6414">
        <v>22.409299999999899</v>
      </c>
      <c r="AF6414">
        <v>-1.1099761915036499</v>
      </c>
      <c r="AG6414">
        <v>-1.114336673528</v>
      </c>
      <c r="AH6414">
        <v>22.375462462508398</v>
      </c>
      <c r="AI6414">
        <v>92.847577450151704</v>
      </c>
      <c r="AJ6414">
        <v>92.839935077702194</v>
      </c>
      <c r="AK6414">
        <v>22.430673502567799</v>
      </c>
      <c r="AL6414">
        <v>87.958931086857405</v>
      </c>
      <c r="AM6414">
        <v>85.874821710073604</v>
      </c>
      <c r="AN6414">
        <v>1.00000003418238</v>
      </c>
    </row>
    <row r="6415" spans="1:40" x14ac:dyDescent="0.25">
      <c r="A6415" t="str">
        <f>"20190305135952821"</f>
        <v>20190305135952821</v>
      </c>
      <c r="B6415" t="str">
        <f>"1551765592815733"</f>
        <v>1551765592815733</v>
      </c>
      <c r="C6415" t="s">
        <v>40</v>
      </c>
      <c r="D6415">
        <v>4.0980489999999996</v>
      </c>
      <c r="E6415">
        <v>0.45244800000000002</v>
      </c>
      <c r="F6415" t="s">
        <v>79</v>
      </c>
      <c r="G6415">
        <v>-189.19139999999999</v>
      </c>
      <c r="H6415" s="1">
        <v>-1.3535949999999999E-6</v>
      </c>
      <c r="I6415">
        <v>121.8908</v>
      </c>
      <c r="J6415">
        <v>-187.72980000000001</v>
      </c>
      <c r="K6415">
        <v>1.1143299999999901</v>
      </c>
      <c r="L6415">
        <v>100.6161</v>
      </c>
      <c r="M6415">
        <v>-2.0125750000000001E-2</v>
      </c>
      <c r="N6415">
        <v>-1.6233379999999999E-2</v>
      </c>
      <c r="O6415">
        <v>0.99966569999999999</v>
      </c>
      <c r="P6415">
        <v>5.2316019999999998E-2</v>
      </c>
      <c r="Q6415">
        <v>1.6365250000000001E-2</v>
      </c>
      <c r="R6415">
        <v>0.99849650000000001</v>
      </c>
      <c r="S6415">
        <v>-0.2037506</v>
      </c>
      <c r="T6415">
        <v>-0.15418229999999999</v>
      </c>
      <c r="U6415">
        <v>3.0195919999999998</v>
      </c>
      <c r="V6415">
        <v>7.2005990000000006E-2</v>
      </c>
      <c r="W6415">
        <v>3.342179E-2</v>
      </c>
      <c r="X6415">
        <v>0.99684410000000001</v>
      </c>
      <c r="Y6415">
        <v>-4.7160529999999999E-2</v>
      </c>
      <c r="Z6415">
        <v>-3.4684630000000001E-2</v>
      </c>
      <c r="AA6415">
        <v>0.99828490000000003</v>
      </c>
      <c r="AB6415">
        <v>52</v>
      </c>
      <c r="AC6415">
        <v>-1.46159999999997</v>
      </c>
      <c r="AD6415">
        <v>-1.1143313535949999</v>
      </c>
      <c r="AE6415">
        <v>21.274699999999999</v>
      </c>
      <c r="AF6415">
        <v>-1.0302649476104999</v>
      </c>
      <c r="AG6415">
        <v>-1.1143313535949999</v>
      </c>
      <c r="AH6415">
        <v>21.241806777161699</v>
      </c>
      <c r="AI6415">
        <v>92.999427187060107</v>
      </c>
      <c r="AJ6415">
        <v>92.776769954583401</v>
      </c>
      <c r="AK6415">
        <v>21.295951150069602</v>
      </c>
      <c r="AL6415">
        <v>88.084715845854305</v>
      </c>
      <c r="AM6415">
        <v>85.868475123307405</v>
      </c>
      <c r="AN6415">
        <v>1.0000000191737399</v>
      </c>
    </row>
    <row r="6416" spans="1:40" x14ac:dyDescent="0.25">
      <c r="A6416" t="str">
        <f>"20190305135952844"</f>
        <v>20190305135952844</v>
      </c>
      <c r="B6416" t="str">
        <f>"1551765592835253"</f>
        <v>1551765592835253</v>
      </c>
      <c r="C6416" t="s">
        <v>40</v>
      </c>
      <c r="D6416">
        <v>4.1107940000000003</v>
      </c>
      <c r="E6416">
        <v>0.45285340000000002</v>
      </c>
      <c r="F6416" t="s">
        <v>79</v>
      </c>
      <c r="G6416">
        <v>-189.23419999999999</v>
      </c>
      <c r="H6416" s="1">
        <v>-1.39494E-6</v>
      </c>
      <c r="I6416">
        <v>121.97709999999999</v>
      </c>
      <c r="J6416">
        <v>-187.74180000000001</v>
      </c>
      <c r="K6416">
        <v>1.114242</v>
      </c>
      <c r="L6416">
        <v>101.1311</v>
      </c>
      <c r="M6416">
        <v>-2.329024E-2</v>
      </c>
      <c r="N6416">
        <v>-1.65490999999999E-2</v>
      </c>
      <c r="O6416">
        <v>0.99959180000000003</v>
      </c>
      <c r="P6416">
        <v>4.8536700000000002E-2</v>
      </c>
      <c r="Q6416">
        <v>1.5288619999999999E-2</v>
      </c>
      <c r="R6416">
        <v>0.99870440000000005</v>
      </c>
      <c r="S6416">
        <v>-0.21257019999999999</v>
      </c>
      <c r="T6416">
        <v>-0.15745190000000001</v>
      </c>
      <c r="U6416">
        <v>3.0182500000000001</v>
      </c>
      <c r="V6416">
        <v>7.1409719999999996E-2</v>
      </c>
      <c r="W6416">
        <v>3.2629239999999997E-2</v>
      </c>
      <c r="X6416">
        <v>0.9969133</v>
      </c>
      <c r="Y6416">
        <v>-4.6928539999999998E-2</v>
      </c>
      <c r="Z6416">
        <v>-3.5461449999999999E-2</v>
      </c>
      <c r="AA6416">
        <v>0.99826859999999995</v>
      </c>
      <c r="AB6416">
        <v>52</v>
      </c>
      <c r="AC6416">
        <v>-1.49239999999997</v>
      </c>
      <c r="AD6416">
        <v>-1.1142433949399999</v>
      </c>
      <c r="AE6416">
        <v>20.845999999999901</v>
      </c>
      <c r="AF6416">
        <v>-1.0035676453093001</v>
      </c>
      <c r="AG6416">
        <v>-1.1142433949399999</v>
      </c>
      <c r="AH6416">
        <v>20.815938512198599</v>
      </c>
      <c r="AI6416">
        <v>93.060477880110696</v>
      </c>
      <c r="AJ6416">
        <v>92.760178329613794</v>
      </c>
      <c r="AK6416">
        <v>20.869882187149699</v>
      </c>
      <c r="AL6416">
        <v>88.130150498373496</v>
      </c>
      <c r="AM6416">
        <v>85.902854055531407</v>
      </c>
      <c r="AN6416">
        <v>1.00000007156517</v>
      </c>
    </row>
    <row r="6417" spans="1:40" x14ac:dyDescent="0.25">
      <c r="A6417" t="str">
        <f>"20190305135952865"</f>
        <v>20190305135952865</v>
      </c>
      <c r="B6417" t="str">
        <f>"1551765592855753"</f>
        <v>1551765592855753</v>
      </c>
      <c r="C6417" t="s">
        <v>40</v>
      </c>
      <c r="D6417">
        <v>4.4076089999999999</v>
      </c>
      <c r="E6417">
        <v>0.45329360000000002</v>
      </c>
      <c r="F6417" t="s">
        <v>79</v>
      </c>
      <c r="G6417">
        <v>-189.2928</v>
      </c>
      <c r="H6417" s="1">
        <v>-1.557917E-6</v>
      </c>
      <c r="I6417">
        <v>122.2893</v>
      </c>
      <c r="J6417">
        <v>-187.75479999999999</v>
      </c>
      <c r="K6417">
        <v>1.114101</v>
      </c>
      <c r="L6417">
        <v>101.629</v>
      </c>
      <c r="M6417">
        <v>-2.6040489999999999E-2</v>
      </c>
      <c r="N6417">
        <v>-1.6874960000000001E-2</v>
      </c>
      <c r="O6417">
        <v>0.99951849999999998</v>
      </c>
      <c r="P6417">
        <v>4.5583100000000001E-2</v>
      </c>
      <c r="Q6417">
        <v>1.5112540000000001E-2</v>
      </c>
      <c r="R6417">
        <v>0.99884620000000002</v>
      </c>
      <c r="S6417">
        <v>-0.22117609999999999</v>
      </c>
      <c r="T6417">
        <v>-0.15888759999999999</v>
      </c>
      <c r="U6417">
        <v>3.01709</v>
      </c>
      <c r="V6417">
        <v>7.1218760000000006E-2</v>
      </c>
      <c r="W6417">
        <v>3.2741720000000002E-2</v>
      </c>
      <c r="X6417">
        <v>0.99692320000000001</v>
      </c>
      <c r="Y6417">
        <v>-4.7038360000000001E-2</v>
      </c>
      <c r="Z6417">
        <v>-3.5620569999999997E-2</v>
      </c>
      <c r="AA6417">
        <v>0.99825779999999997</v>
      </c>
      <c r="AB6417">
        <v>52</v>
      </c>
      <c r="AC6417">
        <v>-1.53800000000001</v>
      </c>
      <c r="AD6417">
        <v>-1.1141025579170001</v>
      </c>
      <c r="AE6417">
        <v>20.660299999999999</v>
      </c>
      <c r="AF6417">
        <v>-0.99651559030314096</v>
      </c>
      <c r="AG6417">
        <v>-1.1141025579170001</v>
      </c>
      <c r="AH6417">
        <v>20.633678167374502</v>
      </c>
      <c r="AI6417">
        <v>93.087057499180304</v>
      </c>
      <c r="AJ6417">
        <v>92.764984873105107</v>
      </c>
      <c r="AK6417">
        <v>20.687748609891401</v>
      </c>
      <c r="AL6417">
        <v>88.123702288719002</v>
      </c>
      <c r="AM6417">
        <v>85.9138136989434</v>
      </c>
      <c r="AN6417">
        <v>0.99999999935136796</v>
      </c>
    </row>
    <row r="6418" spans="1:40" x14ac:dyDescent="0.25">
      <c r="A6418" t="str">
        <f>"20190305135952887"</f>
        <v>20190305135952887</v>
      </c>
      <c r="B6418" t="str">
        <f>"1551765592875273"</f>
        <v>1551765592875273</v>
      </c>
      <c r="C6418" t="s">
        <v>40</v>
      </c>
      <c r="D6418">
        <v>4.1747829999999997</v>
      </c>
      <c r="E6418">
        <v>0.51058769999999998</v>
      </c>
      <c r="F6418" t="s">
        <v>79</v>
      </c>
      <c r="G6418">
        <v>-189.35669999999999</v>
      </c>
      <c r="H6418" s="1">
        <v>-1.9075380000000002E-6</v>
      </c>
      <c r="I6418">
        <v>122.94329999999999</v>
      </c>
      <c r="J6418">
        <v>-187.7689</v>
      </c>
      <c r="K6418">
        <v>1.113899</v>
      </c>
      <c r="L6418">
        <v>102.1229</v>
      </c>
      <c r="M6418">
        <v>-2.8422940000000001E-2</v>
      </c>
      <c r="N6418">
        <v>-1.7206160000000002E-2</v>
      </c>
      <c r="O6418">
        <v>0.99944789999999994</v>
      </c>
      <c r="P6418">
        <v>4.3583690000000001E-2</v>
      </c>
      <c r="Q6418">
        <v>1.623426E-2</v>
      </c>
      <c r="R6418">
        <v>0.99891790000000003</v>
      </c>
      <c r="S6418">
        <v>-0.22668460000000001</v>
      </c>
      <c r="T6418">
        <v>-0.15765670000000001</v>
      </c>
      <c r="U6418">
        <v>3.0161739999999999</v>
      </c>
      <c r="V6418">
        <v>7.1604630000000002E-2</v>
      </c>
      <c r="W6418">
        <v>3.4151420000000002E-2</v>
      </c>
      <c r="X6418">
        <v>0.99684830000000002</v>
      </c>
      <c r="Y6418">
        <v>-4.649412E-2</v>
      </c>
      <c r="Z6418">
        <v>-3.4893960000000002E-2</v>
      </c>
      <c r="AA6418">
        <v>0.99830890000000005</v>
      </c>
      <c r="AB6418">
        <v>51</v>
      </c>
      <c r="AC6418">
        <v>-1.5877999999999799</v>
      </c>
      <c r="AD6418">
        <v>-1.113900907538</v>
      </c>
      <c r="AE6418">
        <v>20.8203999999999</v>
      </c>
      <c r="AF6418">
        <v>-0.99246940754497104</v>
      </c>
      <c r="AG6418">
        <v>-1.113900907538</v>
      </c>
      <c r="AH6418">
        <v>20.797936718909298</v>
      </c>
      <c r="AI6418">
        <v>93.062254075112406</v>
      </c>
      <c r="AJ6418">
        <v>92.732059671623006</v>
      </c>
      <c r="AK6418">
        <v>20.8513774729748</v>
      </c>
      <c r="AL6418">
        <v>88.042887281505898</v>
      </c>
      <c r="AM6418">
        <v>85.891442331475403</v>
      </c>
      <c r="AN6418">
        <v>1.00000003786917</v>
      </c>
    </row>
    <row r="6419" spans="1:40" x14ac:dyDescent="0.25">
      <c r="A6419" t="str">
        <f>"20190305135952902"</f>
        <v>20190305135952902</v>
      </c>
      <c r="B6419" t="str">
        <f>"1551765592895766"</f>
        <v>1551765592895766</v>
      </c>
      <c r="C6419" t="s">
        <v>40</v>
      </c>
      <c r="D6419">
        <v>4.1822720000000002</v>
      </c>
      <c r="E6419">
        <v>0.56678030000000001</v>
      </c>
      <c r="F6419" t="s">
        <v>44</v>
      </c>
      <c r="G6419">
        <v>-169.2955</v>
      </c>
      <c r="H6419">
        <v>0.52069659999999995</v>
      </c>
      <c r="I6419">
        <v>356.28219999999999</v>
      </c>
      <c r="J6419">
        <v>-187.7792</v>
      </c>
      <c r="K6419">
        <v>1.1137250000000001</v>
      </c>
      <c r="L6419">
        <v>102.4657</v>
      </c>
      <c r="M6419">
        <v>-2.9863520000000001E-2</v>
      </c>
      <c r="N6419">
        <v>-1.7440649999999999E-2</v>
      </c>
      <c r="O6419">
        <v>0.99940180000000001</v>
      </c>
      <c r="P6419">
        <v>4.2753359999999997E-2</v>
      </c>
      <c r="Q6419">
        <v>1.6973309999999998E-2</v>
      </c>
      <c r="R6419">
        <v>0.99894150000000004</v>
      </c>
      <c r="S6419">
        <v>0.21760560000000001</v>
      </c>
      <c r="T6419">
        <v>-6.9864990000000002E-3</v>
      </c>
      <c r="U6419">
        <v>2.9938349999999998</v>
      </c>
      <c r="V6419">
        <v>7.2220960000000001E-2</v>
      </c>
      <c r="W6419">
        <v>3.5092129999999999E-2</v>
      </c>
      <c r="X6419">
        <v>0.99677110000000002</v>
      </c>
      <c r="Y6419">
        <v>0.1022246</v>
      </c>
      <c r="Z6419">
        <v>1.5136999999999999E-2</v>
      </c>
      <c r="AA6419">
        <v>0.99464620000000004</v>
      </c>
      <c r="AB6419">
        <v>51</v>
      </c>
      <c r="AC6419">
        <v>18.483699999999999</v>
      </c>
      <c r="AD6419">
        <v>-0.59302840000000001</v>
      </c>
      <c r="AE6419">
        <v>253.81649999999999</v>
      </c>
      <c r="AF6419">
        <v>26.056319334038701</v>
      </c>
      <c r="AG6419">
        <v>-0.59302840000000001</v>
      </c>
      <c r="AH6419">
        <v>253.14981276126801</v>
      </c>
      <c r="AI6419">
        <v>90.133515385127296</v>
      </c>
      <c r="AJ6419">
        <v>84.123328587990002</v>
      </c>
      <c r="AK6419">
        <v>254.48793912676001</v>
      </c>
      <c r="AL6419">
        <v>87.988956110389296</v>
      </c>
      <c r="AM6419">
        <v>85.855881160248799</v>
      </c>
      <c r="AN6419">
        <v>0.99999997522323303</v>
      </c>
    </row>
    <row r="6420" spans="1:40" x14ac:dyDescent="0.25">
      <c r="A6420" t="str">
        <f>"20190305135952921"</f>
        <v>20190305135952921</v>
      </c>
      <c r="B6420" t="str">
        <f>"1551765592915286"</f>
        <v>1551765592915286</v>
      </c>
      <c r="C6420" t="s">
        <v>40</v>
      </c>
      <c r="D6420">
        <v>4.1462949999999896</v>
      </c>
      <c r="E6420">
        <v>0.56631929999999997</v>
      </c>
      <c r="F6420" t="s">
        <v>70</v>
      </c>
      <c r="G6420">
        <v>-169.40049999999999</v>
      </c>
      <c r="H6420">
        <v>0.4809157</v>
      </c>
      <c r="I6420">
        <v>184.8124</v>
      </c>
      <c r="J6420">
        <v>-187.79230000000001</v>
      </c>
      <c r="K6420">
        <v>1.113478</v>
      </c>
      <c r="L6420">
        <v>102.8784</v>
      </c>
      <c r="M6420">
        <v>-3.1325329999999998E-2</v>
      </c>
      <c r="N6420">
        <v>-1.7730019999999999E-2</v>
      </c>
      <c r="O6420">
        <v>0.99935200000000002</v>
      </c>
      <c r="P6420">
        <v>4.2622269999999997E-2</v>
      </c>
      <c r="Q6420">
        <v>1.902537E-2</v>
      </c>
      <c r="R6420">
        <v>0.99891010000000002</v>
      </c>
      <c r="S6420">
        <v>0.66401669999999902</v>
      </c>
      <c r="T6420">
        <v>-2.2861960000000001E-2</v>
      </c>
      <c r="U6420">
        <v>2.9751590000000001</v>
      </c>
      <c r="V6420">
        <v>7.3551699999999998E-2</v>
      </c>
      <c r="W6420">
        <v>3.7388970000000001E-2</v>
      </c>
      <c r="X6420">
        <v>0.99659030000000004</v>
      </c>
      <c r="Y6420">
        <v>0.24823219999999999</v>
      </c>
      <c r="Z6420">
        <v>1.032573E-2</v>
      </c>
      <c r="AA6420">
        <v>0.96864550000000005</v>
      </c>
      <c r="AB6420">
        <v>51</v>
      </c>
      <c r="AC6420">
        <v>18.3918</v>
      </c>
      <c r="AD6420">
        <v>-0.63256230000000002</v>
      </c>
      <c r="AE6420">
        <v>81.933999999999997</v>
      </c>
      <c r="AF6420">
        <v>20.948595527371001</v>
      </c>
      <c r="AG6420">
        <v>-0.63256230000000002</v>
      </c>
      <c r="AH6420">
        <v>81.312943660009495</v>
      </c>
      <c r="AI6420">
        <v>90.431621926658494</v>
      </c>
      <c r="AJ6420">
        <v>75.5530882375282</v>
      </c>
      <c r="AK6420">
        <v>83.970462641863804</v>
      </c>
      <c r="AL6420">
        <v>87.857270402654706</v>
      </c>
      <c r="AM6420">
        <v>85.779032364670698</v>
      </c>
      <c r="AN6420">
        <v>1.00000000685232</v>
      </c>
    </row>
    <row r="6421" spans="1:40" x14ac:dyDescent="0.25">
      <c r="A6421" t="str">
        <f>"20190305135952944"</f>
        <v>20190305135952944</v>
      </c>
      <c r="B6421" t="str">
        <f>"1551765592935782"</f>
        <v>1551765592935782</v>
      </c>
      <c r="C6421" t="s">
        <v>40</v>
      </c>
      <c r="D6421">
        <v>4.0967140000000004</v>
      </c>
      <c r="E6421">
        <v>0.56734419999999997</v>
      </c>
      <c r="F6421" t="s">
        <v>43</v>
      </c>
      <c r="G6421">
        <v>-170.69829999999999</v>
      </c>
      <c r="H6421">
        <v>-0.05</v>
      </c>
      <c r="I6421">
        <v>179.8424</v>
      </c>
      <c r="J6421">
        <v>-187.81020000000001</v>
      </c>
      <c r="K6421">
        <v>1.1130770000000001</v>
      </c>
      <c r="L6421">
        <v>103.4207</v>
      </c>
      <c r="M6421">
        <v>-3.276958E-2</v>
      </c>
      <c r="N6421">
        <v>-1.810838E-2</v>
      </c>
      <c r="O6421">
        <v>0.99929889999999999</v>
      </c>
      <c r="P6421">
        <v>4.3626079999999998E-2</v>
      </c>
      <c r="Q6421">
        <v>2.026495E-2</v>
      </c>
      <c r="R6421">
        <v>0.99884240000000002</v>
      </c>
      <c r="S6421">
        <v>0.66096499999999903</v>
      </c>
      <c r="T6421">
        <v>-4.4987560000000003E-2</v>
      </c>
      <c r="U6421">
        <v>2.9759220000000002</v>
      </c>
      <c r="V6421">
        <v>7.6022699999999999E-2</v>
      </c>
      <c r="W6421">
        <v>3.8938510000000003E-2</v>
      </c>
      <c r="X6421">
        <v>0.9963455</v>
      </c>
      <c r="Y6421">
        <v>0.24862509999999999</v>
      </c>
      <c r="Z6421">
        <v>3.4869760000000001E-3</v>
      </c>
      <c r="AA6421">
        <v>0.9685935</v>
      </c>
      <c r="AB6421">
        <v>51</v>
      </c>
      <c r="AC6421">
        <v>17.111899999999999</v>
      </c>
      <c r="AD6421">
        <v>-1.1630769999999999</v>
      </c>
      <c r="AE6421">
        <v>76.421700000000001</v>
      </c>
      <c r="AF6421">
        <v>19.603100632155201</v>
      </c>
      <c r="AG6421">
        <v>-1.1630769999999999</v>
      </c>
      <c r="AH6421">
        <v>75.803081710012293</v>
      </c>
      <c r="AI6421">
        <v>90.851050146921693</v>
      </c>
      <c r="AJ6421">
        <v>75.500644171958797</v>
      </c>
      <c r="AK6421">
        <v>78.305437226524205</v>
      </c>
      <c r="AL6421">
        <v>87.7684235673035</v>
      </c>
      <c r="AM6421">
        <v>85.636698059208697</v>
      </c>
      <c r="AN6421">
        <v>1.0000000069232799</v>
      </c>
    </row>
    <row r="6422" spans="1:40" x14ac:dyDescent="0.25">
      <c r="A6422" t="str">
        <f>"20190305135952966"</f>
        <v>20190305135952966</v>
      </c>
      <c r="B6422" t="str">
        <f>"1551765592955305"</f>
        <v>1551765592955305</v>
      </c>
      <c r="C6422" t="s">
        <v>40</v>
      </c>
      <c r="D6422">
        <v>4.203023</v>
      </c>
      <c r="E6422">
        <v>0.5653688</v>
      </c>
      <c r="F6422" t="s">
        <v>43</v>
      </c>
      <c r="G6422">
        <v>-169.5179</v>
      </c>
      <c r="H6422">
        <v>-0.05</v>
      </c>
      <c r="I6422">
        <v>184.37799999999999</v>
      </c>
      <c r="J6422">
        <v>-187.82689999999999</v>
      </c>
      <c r="K6422">
        <v>1.1126739999999999</v>
      </c>
      <c r="L6422">
        <v>103.9096</v>
      </c>
      <c r="M6422">
        <v>-3.369407E-2</v>
      </c>
      <c r="N6422">
        <v>-1.8442799999999999E-2</v>
      </c>
      <c r="O6422">
        <v>0.99926199999999998</v>
      </c>
      <c r="P6422">
        <v>4.6194480000000003E-2</v>
      </c>
      <c r="Q6422">
        <v>2.099467E-2</v>
      </c>
      <c r="R6422">
        <v>0.99871180000000004</v>
      </c>
      <c r="S6422">
        <v>0.6721954</v>
      </c>
      <c r="T6422">
        <v>-4.2740109999999998E-2</v>
      </c>
      <c r="U6422">
        <v>2.9749759999999998</v>
      </c>
      <c r="V6422">
        <v>7.954232E-2</v>
      </c>
      <c r="W6422">
        <v>3.9938620000000001E-2</v>
      </c>
      <c r="X6422">
        <v>0.99603109999999995</v>
      </c>
      <c r="Y6422">
        <v>0.25306289999999998</v>
      </c>
      <c r="Z6422">
        <v>4.5695010000000001E-3</v>
      </c>
      <c r="AA6422">
        <v>0.9674391</v>
      </c>
      <c r="AB6422">
        <v>51</v>
      </c>
      <c r="AC6422">
        <v>18.309000000000001</v>
      </c>
      <c r="AD6422">
        <v>-1.162674</v>
      </c>
      <c r="AE6422">
        <v>80.468399999999903</v>
      </c>
      <c r="AF6422">
        <v>21.006200084595299</v>
      </c>
      <c r="AG6422">
        <v>-1.162674</v>
      </c>
      <c r="AH6422">
        <v>79.7898466013431</v>
      </c>
      <c r="AI6422">
        <v>90.807332212010607</v>
      </c>
      <c r="AJ6422">
        <v>75.250479086774504</v>
      </c>
      <c r="AK6422">
        <v>82.516858116933903</v>
      </c>
      <c r="AL6422">
        <v>87.711076881505207</v>
      </c>
      <c r="AM6422">
        <v>85.434090590608903</v>
      </c>
      <c r="AN6422">
        <v>1.0000000131028399</v>
      </c>
    </row>
    <row r="6423" spans="1:40" x14ac:dyDescent="0.25">
      <c r="A6423" t="str">
        <f>"20190305135952987"</f>
        <v>20190305135952987</v>
      </c>
      <c r="B6423" t="str">
        <f>"1551765592975801"</f>
        <v>1551765592975801</v>
      </c>
      <c r="C6423" t="s">
        <v>40</v>
      </c>
      <c r="D6423">
        <v>4.138058</v>
      </c>
      <c r="E6423">
        <v>0.56460269999999901</v>
      </c>
      <c r="F6423" t="s">
        <v>79</v>
      </c>
      <c r="G6423">
        <v>-179.07259999999999</v>
      </c>
      <c r="H6423" s="1">
        <v>-9.3972259999999999E-6</v>
      </c>
      <c r="I6423">
        <v>143.01779999999999</v>
      </c>
      <c r="J6423">
        <v>-187.84399999999999</v>
      </c>
      <c r="K6423">
        <v>1.112249</v>
      </c>
      <c r="L6423">
        <v>104.4041</v>
      </c>
      <c r="M6423">
        <v>-3.426423E-2</v>
      </c>
      <c r="N6423">
        <v>-1.8777470000000001E-2</v>
      </c>
      <c r="O6423">
        <v>0.99923640000000002</v>
      </c>
      <c r="P6423">
        <v>4.9885770000000003E-2</v>
      </c>
      <c r="Q6423">
        <v>2.0696369999999999E-2</v>
      </c>
      <c r="R6423">
        <v>0.99854050000000005</v>
      </c>
      <c r="S6423">
        <v>0.66590879999999997</v>
      </c>
      <c r="T6423">
        <v>-8.4638710000000006E-2</v>
      </c>
      <c r="U6423">
        <v>2.9748540000000001</v>
      </c>
      <c r="V6423">
        <v>8.3839699999999906E-2</v>
      </c>
      <c r="W6423">
        <v>3.9901930000000002E-2</v>
      </c>
      <c r="X6423">
        <v>0.99568000000000001</v>
      </c>
      <c r="Y6423">
        <v>0.25163730000000001</v>
      </c>
      <c r="Z6423">
        <v>-8.7695910000000002E-3</v>
      </c>
      <c r="AA6423">
        <v>0.96778189999999997</v>
      </c>
      <c r="AB6423">
        <v>51</v>
      </c>
      <c r="AC6423">
        <v>8.7714000000000194</v>
      </c>
      <c r="AD6423">
        <v>-1.1122583972260001</v>
      </c>
      <c r="AE6423">
        <v>38.613700000000001</v>
      </c>
      <c r="AF6423">
        <v>10.0815953060038</v>
      </c>
      <c r="AG6423">
        <v>-1.1122583972260001</v>
      </c>
      <c r="AH6423">
        <v>38.2602327415674</v>
      </c>
      <c r="AI6423">
        <v>91.610236444859893</v>
      </c>
      <c r="AJ6423">
        <v>75.238073449463599</v>
      </c>
      <c r="AK6423">
        <v>39.581827801342698</v>
      </c>
      <c r="AL6423">
        <v>87.713180621140793</v>
      </c>
      <c r="AM6423">
        <v>85.186851185874602</v>
      </c>
      <c r="AN6423">
        <v>0.99999996085690601</v>
      </c>
    </row>
    <row r="6424" spans="1:40" x14ac:dyDescent="0.25">
      <c r="A6424" t="str">
        <f>"20190305135953009"</f>
        <v>20190305135953009</v>
      </c>
      <c r="B6424" t="str">
        <f>"1551765593005077"</f>
        <v>1551765593005077</v>
      </c>
      <c r="C6424" t="s">
        <v>40</v>
      </c>
      <c r="D6424">
        <v>4.1857989999999896</v>
      </c>
      <c r="E6424">
        <v>0.56343940000000003</v>
      </c>
      <c r="F6424" t="s">
        <v>79</v>
      </c>
      <c r="G6424">
        <v>-181.0273</v>
      </c>
      <c r="H6424" s="1">
        <v>-7.0710279999999996E-6</v>
      </c>
      <c r="I6424">
        <v>134.57220000000001</v>
      </c>
      <c r="J6424">
        <v>-187.8614</v>
      </c>
      <c r="K6424">
        <v>1.1117950000000001</v>
      </c>
      <c r="L6424">
        <v>104.9044</v>
      </c>
      <c r="M6424">
        <v>-3.4463639999999997E-2</v>
      </c>
      <c r="N6424">
        <v>-1.9118099999999999E-2</v>
      </c>
      <c r="O6424">
        <v>0.99922310000000003</v>
      </c>
      <c r="P6424">
        <v>5.420022E-2</v>
      </c>
      <c r="Q6424">
        <v>1.941091E-2</v>
      </c>
      <c r="R6424">
        <v>0.99834140000000005</v>
      </c>
      <c r="S6424">
        <v>0.67178340000000003</v>
      </c>
      <c r="T6424">
        <v>-0.10961319999999999</v>
      </c>
      <c r="U6424">
        <v>2.9730829999999999</v>
      </c>
      <c r="V6424">
        <v>8.8395970000000004E-2</v>
      </c>
      <c r="W6424">
        <v>3.8869910000000001E-2</v>
      </c>
      <c r="X6424">
        <v>0.99532670000000001</v>
      </c>
      <c r="Y6424">
        <v>0.2537277</v>
      </c>
      <c r="Z6424">
        <v>-1.657206E-2</v>
      </c>
      <c r="AA6424">
        <v>0.96713369999999999</v>
      </c>
      <c r="AB6424">
        <v>51</v>
      </c>
      <c r="AC6424">
        <v>6.8341000000000003</v>
      </c>
      <c r="AD6424">
        <v>-1.1118020710279899</v>
      </c>
      <c r="AE6424">
        <v>29.6678</v>
      </c>
      <c r="AF6424">
        <v>7.8422274964718799</v>
      </c>
      <c r="AG6424">
        <v>-1.1118020710279899</v>
      </c>
      <c r="AH6424">
        <v>29.375423001680399</v>
      </c>
      <c r="AI6424">
        <v>92.094222969826703</v>
      </c>
      <c r="AJ6424">
        <v>75.052593370517897</v>
      </c>
      <c r="AK6424">
        <v>30.4245314257955</v>
      </c>
      <c r="AL6424">
        <v>87.772356972421505</v>
      </c>
      <c r="AM6424">
        <v>84.924819293907106</v>
      </c>
      <c r="AN6424">
        <v>0.99999997857426903</v>
      </c>
    </row>
    <row r="6425" spans="1:40" x14ac:dyDescent="0.25">
      <c r="A6425" t="str">
        <f>"20190305135953034"</f>
        <v>20190305135953034</v>
      </c>
      <c r="B6425" t="str">
        <f>"1551765593025573"</f>
        <v>1551765593025573</v>
      </c>
      <c r="C6425" t="s">
        <v>40</v>
      </c>
      <c r="D6425">
        <v>4.2450449999999904</v>
      </c>
      <c r="E6425">
        <v>0.56285069999999904</v>
      </c>
      <c r="F6425" t="s">
        <v>79</v>
      </c>
      <c r="G6425">
        <v>-182.696</v>
      </c>
      <c r="H6425" s="1">
        <v>-4.5216699999999999E-6</v>
      </c>
      <c r="I6425">
        <v>127.5793</v>
      </c>
      <c r="J6425">
        <v>-187.8801</v>
      </c>
      <c r="K6425">
        <v>1.111283</v>
      </c>
      <c r="L6425">
        <v>105.4486</v>
      </c>
      <c r="M6425">
        <v>-3.4258660000000003E-2</v>
      </c>
      <c r="N6425">
        <v>-1.9482349999999999E-2</v>
      </c>
      <c r="O6425">
        <v>0.99922310000000003</v>
      </c>
      <c r="P6425">
        <v>5.934495E-2</v>
      </c>
      <c r="Q6425">
        <v>1.8588589999999999E-2</v>
      </c>
      <c r="R6425">
        <v>0.99806450000000002</v>
      </c>
      <c r="S6425">
        <v>0.67681880000000005</v>
      </c>
      <c r="T6425">
        <v>-0.14567849999999999</v>
      </c>
      <c r="U6425">
        <v>2.971069</v>
      </c>
      <c r="V6425">
        <v>9.3377870000000002E-2</v>
      </c>
      <c r="W6425">
        <v>3.8299560000000003E-2</v>
      </c>
      <c r="X6425">
        <v>0.99489380000000005</v>
      </c>
      <c r="Y6425">
        <v>0.2551389</v>
      </c>
      <c r="Z6425">
        <v>-2.796912E-2</v>
      </c>
      <c r="AA6425">
        <v>0.96649980000000002</v>
      </c>
      <c r="AB6425">
        <v>50</v>
      </c>
      <c r="AC6425">
        <v>5.1840999999999999</v>
      </c>
      <c r="AD6425">
        <v>-1.11128752167</v>
      </c>
      <c r="AE6425">
        <v>22.130700000000001</v>
      </c>
      <c r="AF6425">
        <v>5.9252044765199399</v>
      </c>
      <c r="AG6425">
        <v>-1.11128752167</v>
      </c>
      <c r="AH6425">
        <v>21.887750801281499</v>
      </c>
      <c r="AI6425">
        <v>92.805714231387697</v>
      </c>
      <c r="AJ6425">
        <v>74.852585339940205</v>
      </c>
      <c r="AK6425">
        <v>22.702789326058301</v>
      </c>
      <c r="AL6425">
        <v>87.805059973234506</v>
      </c>
      <c r="AM6425">
        <v>84.638090782764294</v>
      </c>
      <c r="AN6425">
        <v>0.99999997809018504</v>
      </c>
    </row>
    <row r="6426" spans="1:40" x14ac:dyDescent="0.25">
      <c r="A6426" t="str">
        <f>"20190305135953057"</f>
        <v>20190305135953057</v>
      </c>
      <c r="B6426" t="str">
        <f>"1551765593045093"</f>
        <v>1551765593045093</v>
      </c>
      <c r="C6426" t="s">
        <v>40</v>
      </c>
      <c r="D6426">
        <v>4.3007559999999998</v>
      </c>
      <c r="E6426">
        <v>0.56206</v>
      </c>
      <c r="F6426" t="s">
        <v>79</v>
      </c>
      <c r="G6426">
        <v>-183.30680000000001</v>
      </c>
      <c r="H6426" s="1">
        <v>-3.8083110000000001E-6</v>
      </c>
      <c r="I6426">
        <v>125.1601</v>
      </c>
      <c r="J6426">
        <v>-187.8972</v>
      </c>
      <c r="K6426">
        <v>1.1107959999999999</v>
      </c>
      <c r="L6426">
        <v>105.9516</v>
      </c>
      <c r="M6426">
        <v>-3.3679729999999998E-2</v>
      </c>
      <c r="N6426">
        <v>-1.981173E-2</v>
      </c>
      <c r="O6426">
        <v>0.99923629999999997</v>
      </c>
      <c r="P6426">
        <v>6.5192009999999995E-2</v>
      </c>
      <c r="Q6426">
        <v>1.789489E-2</v>
      </c>
      <c r="R6426">
        <v>0.9977123</v>
      </c>
      <c r="S6426">
        <v>0.6886139</v>
      </c>
      <c r="T6426">
        <v>-0.167327799999999</v>
      </c>
      <c r="U6426">
        <v>2.9679869999999999</v>
      </c>
      <c r="V6426">
        <v>9.8682800000000001E-2</v>
      </c>
      <c r="W6426">
        <v>3.7816389999999998E-2</v>
      </c>
      <c r="X6426">
        <v>0.99440010000000001</v>
      </c>
      <c r="Y6426">
        <v>0.25837110000000002</v>
      </c>
      <c r="Z6426">
        <v>-3.4694019999999999E-2</v>
      </c>
      <c r="AA6426">
        <v>0.96542260000000002</v>
      </c>
      <c r="AB6426">
        <v>50</v>
      </c>
      <c r="AC6426">
        <v>4.5903999999999803</v>
      </c>
      <c r="AD6426">
        <v>-1.110799808311</v>
      </c>
      <c r="AE6426">
        <v>19.208500000000001</v>
      </c>
      <c r="AF6426">
        <v>5.2183507058752898</v>
      </c>
      <c r="AG6426">
        <v>-1.110799808311</v>
      </c>
      <c r="AH6426">
        <v>18.9829125453345</v>
      </c>
      <c r="AI6426">
        <v>93.229358915321896</v>
      </c>
      <c r="AJ6426">
        <v>74.629221421345804</v>
      </c>
      <c r="AK6426">
        <v>19.7184185219675</v>
      </c>
      <c r="AL6426">
        <v>87.832763621440094</v>
      </c>
      <c r="AM6426">
        <v>84.332607395194202</v>
      </c>
      <c r="AN6426">
        <v>0.99999996662423996</v>
      </c>
    </row>
    <row r="6427" spans="1:40" x14ac:dyDescent="0.25">
      <c r="A6427" t="str">
        <f>"20190305135953079"</f>
        <v>20190305135953079</v>
      </c>
      <c r="B6427" t="str">
        <f>"1551765593075350"</f>
        <v>1551765593075350</v>
      </c>
      <c r="C6427" t="s">
        <v>40</v>
      </c>
      <c r="D6427">
        <v>4.2965260000000001</v>
      </c>
      <c r="E6427">
        <v>0.56129259999999903</v>
      </c>
      <c r="F6427" t="s">
        <v>79</v>
      </c>
      <c r="G6427">
        <v>-183.7937</v>
      </c>
      <c r="H6427" s="1">
        <v>-2.8866029999999999E-6</v>
      </c>
      <c r="I6427">
        <v>123.3163</v>
      </c>
      <c r="J6427">
        <v>-187.91319999999999</v>
      </c>
      <c r="K6427">
        <v>1.1103099999999999</v>
      </c>
      <c r="L6427">
        <v>106.44029999999999</v>
      </c>
      <c r="M6427">
        <v>-3.2756489999999999E-2</v>
      </c>
      <c r="N6427">
        <v>-2.0121980000000001E-2</v>
      </c>
      <c r="O6427">
        <v>0.99926079999999995</v>
      </c>
      <c r="P6427">
        <v>7.1228819999999998E-2</v>
      </c>
      <c r="Q6427">
        <v>1.7245340000000001E-2</v>
      </c>
      <c r="R6427">
        <v>0.9973109</v>
      </c>
      <c r="S6427">
        <v>0.70054629999999996</v>
      </c>
      <c r="T6427">
        <v>-0.1896361</v>
      </c>
      <c r="U6427">
        <v>2.9645079999999999</v>
      </c>
      <c r="V6427">
        <v>0.1038323</v>
      </c>
      <c r="W6427">
        <v>3.734465E-2</v>
      </c>
      <c r="X6427">
        <v>0.99389340000000004</v>
      </c>
      <c r="Y6427">
        <v>0.2613241</v>
      </c>
      <c r="Z6427">
        <v>-4.1658479999999998E-2</v>
      </c>
      <c r="AA6427">
        <v>0.96435179999999998</v>
      </c>
      <c r="AB6427">
        <v>50</v>
      </c>
      <c r="AC6427">
        <v>4.11949999999998</v>
      </c>
      <c r="AD6427">
        <v>-1.1103128866030001</v>
      </c>
      <c r="AE6427">
        <v>16.876000000000001</v>
      </c>
      <c r="AF6427">
        <v>4.6511977340241302</v>
      </c>
      <c r="AG6427">
        <v>-1.1103128866030001</v>
      </c>
      <c r="AH6427">
        <v>16.663896702220299</v>
      </c>
      <c r="AI6427">
        <v>93.672024970694807</v>
      </c>
      <c r="AJ6427">
        <v>74.404611800377594</v>
      </c>
      <c r="AK6427">
        <v>17.336432400278301</v>
      </c>
      <c r="AL6427">
        <v>87.859811361676606</v>
      </c>
      <c r="AM6427">
        <v>84.035929694774296</v>
      </c>
      <c r="AN6427">
        <v>0.99999992998523302</v>
      </c>
    </row>
    <row r="6428" spans="1:40" x14ac:dyDescent="0.25">
      <c r="A6428" t="str">
        <f>"20190305135953100"</f>
        <v>20190305135953100</v>
      </c>
      <c r="B6428" t="str">
        <f>"1551765593095846"</f>
        <v>1551765593095846</v>
      </c>
      <c r="C6428" t="s">
        <v>40</v>
      </c>
      <c r="D6428">
        <v>4.2680110000000004</v>
      </c>
      <c r="E6428">
        <v>0.56102180000000001</v>
      </c>
      <c r="F6428" t="s">
        <v>79</v>
      </c>
      <c r="G6428">
        <v>-184.18559999999999</v>
      </c>
      <c r="H6428" s="1">
        <v>-2.2112020000000002E-6</v>
      </c>
      <c r="I6428">
        <v>121.90940000000001</v>
      </c>
      <c r="J6428">
        <v>-187.928</v>
      </c>
      <c r="K6428">
        <v>1.1098190000000001</v>
      </c>
      <c r="L6428">
        <v>106.9166</v>
      </c>
      <c r="M6428">
        <v>-3.1509780000000001E-2</v>
      </c>
      <c r="N6428">
        <v>-2.0405840000000001E-2</v>
      </c>
      <c r="O6428">
        <v>0.99929509999999999</v>
      </c>
      <c r="P6428">
        <v>7.6704220000000004E-2</v>
      </c>
      <c r="Q6428">
        <v>1.5577809999999999E-2</v>
      </c>
      <c r="R6428">
        <v>0.99693220000000005</v>
      </c>
      <c r="S6428">
        <v>0.71345519999999996</v>
      </c>
      <c r="T6428">
        <v>-0.21251500000000001</v>
      </c>
      <c r="U6428">
        <v>2.9607999999999999</v>
      </c>
      <c r="V6428">
        <v>0.10809879999999999</v>
      </c>
      <c r="W6428">
        <v>3.5819330000000003E-2</v>
      </c>
      <c r="X6428">
        <v>0.99349460000000001</v>
      </c>
      <c r="Y6428">
        <v>0.264264</v>
      </c>
      <c r="Z6428">
        <v>-4.8834160000000001E-2</v>
      </c>
      <c r="AA6428">
        <v>0.96321330000000005</v>
      </c>
      <c r="AB6428">
        <v>50</v>
      </c>
      <c r="AC6428">
        <v>3.7423999999999999</v>
      </c>
      <c r="AD6428">
        <v>-1.1098212112019901</v>
      </c>
      <c r="AE6428">
        <v>14.992800000000001</v>
      </c>
      <c r="AF6428">
        <v>4.1914392343084197</v>
      </c>
      <c r="AG6428">
        <v>-1.1098212112019901</v>
      </c>
      <c r="AH6428">
        <v>14.791111183458501</v>
      </c>
      <c r="AI6428">
        <v>94.129044695381594</v>
      </c>
      <c r="AJ6428">
        <v>74.178567105695393</v>
      </c>
      <c r="AK6428">
        <v>15.413527695409799</v>
      </c>
      <c r="AL6428">
        <v>87.947264347089202</v>
      </c>
      <c r="AM6428">
        <v>83.790267822666394</v>
      </c>
      <c r="AN6428">
        <v>0.99999994759612298</v>
      </c>
    </row>
    <row r="6429" spans="1:40" x14ac:dyDescent="0.25">
      <c r="A6429" t="str">
        <f>"20190305135953121"</f>
        <v>20190305135953121</v>
      </c>
      <c r="B6429" t="str">
        <f>"1551765593115366"</f>
        <v>1551765593115366</v>
      </c>
      <c r="C6429" t="s">
        <v>40</v>
      </c>
      <c r="D6429">
        <v>4.3177599999999998</v>
      </c>
      <c r="E6429">
        <v>0.56099769999999904</v>
      </c>
      <c r="F6429" t="s">
        <v>79</v>
      </c>
      <c r="G6429">
        <v>-184.37989999999999</v>
      </c>
      <c r="H6429" s="1">
        <v>-1.985552E-6</v>
      </c>
      <c r="I6429">
        <v>121.3188</v>
      </c>
      <c r="J6429">
        <v>-187.9418</v>
      </c>
      <c r="K6429">
        <v>1.109356</v>
      </c>
      <c r="L6429">
        <v>107.3883</v>
      </c>
      <c r="M6429">
        <v>-3.0005750000000001E-2</v>
      </c>
      <c r="N6429">
        <v>-2.0664140000000001E-2</v>
      </c>
      <c r="O6429">
        <v>0.99933609999999995</v>
      </c>
      <c r="P6429">
        <v>8.2335800000000001E-2</v>
      </c>
      <c r="Q6429">
        <v>1.383676E-2</v>
      </c>
      <c r="R6429">
        <v>0.99650859999999997</v>
      </c>
      <c r="S6429">
        <v>0.72840879999999997</v>
      </c>
      <c r="T6429">
        <v>-0.22784479999999999</v>
      </c>
      <c r="U6429">
        <v>2.9567570000000001</v>
      </c>
      <c r="V6429">
        <v>0.11225980000000001</v>
      </c>
      <c r="W6429">
        <v>3.4189539999999997E-2</v>
      </c>
      <c r="X6429">
        <v>0.99309049999999999</v>
      </c>
      <c r="Y6429">
        <v>0.26762999999999998</v>
      </c>
      <c r="Z6429">
        <v>-5.3578559999999997E-2</v>
      </c>
      <c r="AA6429">
        <v>0.96203090000000002</v>
      </c>
      <c r="AB6429">
        <v>50</v>
      </c>
      <c r="AC6429">
        <v>3.5619000000000001</v>
      </c>
      <c r="AD6429">
        <v>-1.1093579855519999</v>
      </c>
      <c r="AE6429">
        <v>13.930499999999901</v>
      </c>
      <c r="AF6429">
        <v>3.9548383042153401</v>
      </c>
      <c r="AG6429">
        <v>-1.1093579855519999</v>
      </c>
      <c r="AH6429">
        <v>13.735562222308101</v>
      </c>
      <c r="AI6429">
        <v>94.437962169691204</v>
      </c>
      <c r="AJ6429">
        <v>73.937465324824998</v>
      </c>
      <c r="AK6429">
        <v>14.3365648157253</v>
      </c>
      <c r="AL6429">
        <v>88.040701745978694</v>
      </c>
      <c r="AM6429">
        <v>83.550613656663202</v>
      </c>
      <c r="AN6429">
        <v>0.99999996426585003</v>
      </c>
    </row>
    <row r="6430" spans="1:40" x14ac:dyDescent="0.25">
      <c r="A6430" t="str">
        <f>"20190305135953145"</f>
        <v>20190305135953145</v>
      </c>
      <c r="B6430" t="str">
        <f>"1551765593134889"</f>
        <v>1551765593134889</v>
      </c>
      <c r="C6430" t="s">
        <v>40</v>
      </c>
      <c r="D6430">
        <v>4.2438710000000004</v>
      </c>
      <c r="E6430">
        <v>0.56099589999999999</v>
      </c>
      <c r="F6430" t="s">
        <v>79</v>
      </c>
      <c r="G6430">
        <v>-184.49930000000001</v>
      </c>
      <c r="H6430" s="1">
        <v>-1.861276E-6</v>
      </c>
      <c r="I6430">
        <v>121.0047</v>
      </c>
      <c r="J6430">
        <v>-187.95599999999999</v>
      </c>
      <c r="K6430">
        <v>1.1088610000000001</v>
      </c>
      <c r="L6430">
        <v>107.9134</v>
      </c>
      <c r="M6430">
        <v>-2.7987040000000001E-2</v>
      </c>
      <c r="N6430">
        <v>-2.092159E-2</v>
      </c>
      <c r="O6430">
        <v>0.99938930000000004</v>
      </c>
      <c r="P6430">
        <v>8.8319250000000002E-2</v>
      </c>
      <c r="Q6430">
        <v>1.348134E-2</v>
      </c>
      <c r="R6430">
        <v>0.99600100000000003</v>
      </c>
      <c r="S6430">
        <v>0.74636840000000004</v>
      </c>
      <c r="T6430">
        <v>-0.24052180000000001</v>
      </c>
      <c r="U6430">
        <v>2.952194</v>
      </c>
      <c r="V6430">
        <v>0.1162629</v>
      </c>
      <c r="W6430">
        <v>3.3925530000000002E-2</v>
      </c>
      <c r="X6430">
        <v>0.99263889999999999</v>
      </c>
      <c r="Y6430">
        <v>0.27146330000000002</v>
      </c>
      <c r="Z6430">
        <v>-5.7461159999999997E-2</v>
      </c>
      <c r="AA6430">
        <v>0.96073200000000003</v>
      </c>
      <c r="AB6430">
        <v>49</v>
      </c>
      <c r="AC6430">
        <v>3.4566999999999801</v>
      </c>
      <c r="AD6430">
        <v>-1.1088628612760001</v>
      </c>
      <c r="AE6430">
        <v>13.0913</v>
      </c>
      <c r="AF6430">
        <v>3.7963506898868302</v>
      </c>
      <c r="AG6430">
        <v>-1.1088628612760001</v>
      </c>
      <c r="AH6430">
        <v>12.902867850776399</v>
      </c>
      <c r="AI6430">
        <v>94.713077221133403</v>
      </c>
      <c r="AJ6430">
        <v>73.604780711616996</v>
      </c>
      <c r="AK6430">
        <v>13.495401223391699</v>
      </c>
      <c r="AL6430">
        <v>88.055837244867107</v>
      </c>
      <c r="AM6430">
        <v>83.319664472964106</v>
      </c>
      <c r="AN6430">
        <v>0.99999999464769995</v>
      </c>
    </row>
    <row r="6431" spans="1:40" x14ac:dyDescent="0.25">
      <c r="A6431" t="str">
        <f>"20190305135953166"</f>
        <v>20190305135953166</v>
      </c>
      <c r="B6431" t="str">
        <f>"1551765593155382"</f>
        <v>1551765593155382</v>
      </c>
      <c r="C6431" t="s">
        <v>40</v>
      </c>
      <c r="D6431">
        <v>4.2218369999999998</v>
      </c>
      <c r="E6431">
        <v>0.5610967</v>
      </c>
      <c r="F6431" t="s">
        <v>79</v>
      </c>
      <c r="G6431">
        <v>-184.5265</v>
      </c>
      <c r="H6431" s="1">
        <v>-1.8887119999999999E-6</v>
      </c>
      <c r="I6431">
        <v>121.1225</v>
      </c>
      <c r="J6431">
        <v>-187.9674</v>
      </c>
      <c r="K6431">
        <v>1.1084240000000001</v>
      </c>
      <c r="L6431">
        <v>108.3806</v>
      </c>
      <c r="M6431">
        <v>-2.5852920000000001E-2</v>
      </c>
      <c r="N6431">
        <v>-2.1123030000000001E-2</v>
      </c>
      <c r="O6431">
        <v>0.99944259999999996</v>
      </c>
      <c r="P6431">
        <v>9.5220159999999998E-2</v>
      </c>
      <c r="Q6431">
        <v>1.439409E-2</v>
      </c>
      <c r="R6431">
        <v>0.99535209999999996</v>
      </c>
      <c r="S6431">
        <v>0.76525880000000002</v>
      </c>
      <c r="T6431">
        <v>-0.24743689999999999</v>
      </c>
      <c r="U6431">
        <v>2.94754</v>
      </c>
      <c r="V6431">
        <v>0.1210658</v>
      </c>
      <c r="W6431">
        <v>3.4877680000000001E-2</v>
      </c>
      <c r="X6431">
        <v>0.99203160000000001</v>
      </c>
      <c r="Y6431">
        <v>0.2754993</v>
      </c>
      <c r="Z6431">
        <v>-5.9525620000000001E-2</v>
      </c>
      <c r="AA6431">
        <v>0.95945659999999999</v>
      </c>
      <c r="AB6431">
        <v>49</v>
      </c>
      <c r="AC6431">
        <v>3.4408999999999899</v>
      </c>
      <c r="AD6431">
        <v>-1.108425888712</v>
      </c>
      <c r="AE6431">
        <v>12.741899999999999</v>
      </c>
      <c r="AF6431">
        <v>3.7428398607787199</v>
      </c>
      <c r="AG6431">
        <v>-1.108425888712</v>
      </c>
      <c r="AH6431">
        <v>12.5600754847425</v>
      </c>
      <c r="AI6431">
        <v>94.834265453682406</v>
      </c>
      <c r="AJ6431">
        <v>73.406205835326702</v>
      </c>
      <c r="AK6431">
        <v>13.1526786000658</v>
      </c>
      <c r="AL6431">
        <v>88.001250842306604</v>
      </c>
      <c r="AM6431">
        <v>83.042129199519295</v>
      </c>
      <c r="AN6431">
        <v>1.0000000379451901</v>
      </c>
    </row>
    <row r="6432" spans="1:40" x14ac:dyDescent="0.25">
      <c r="A6432" t="str">
        <f>"20190305135953188"</f>
        <v>20190305135953188</v>
      </c>
      <c r="B6432" t="str">
        <f>"1551765593185638"</f>
        <v>1551765593185638</v>
      </c>
      <c r="C6432" t="s">
        <v>40</v>
      </c>
      <c r="D6432">
        <v>4.1777059999999997</v>
      </c>
      <c r="E6432">
        <v>0.56151600000000002</v>
      </c>
      <c r="F6432" t="s">
        <v>79</v>
      </c>
      <c r="G6432">
        <v>-184.4829</v>
      </c>
      <c r="H6432" s="1">
        <v>-1.9838599999999999E-6</v>
      </c>
      <c r="I6432">
        <v>121.4061</v>
      </c>
      <c r="J6432">
        <v>-187.9777</v>
      </c>
      <c r="K6432">
        <v>1.1079749999999999</v>
      </c>
      <c r="L6432">
        <v>108.8539</v>
      </c>
      <c r="M6432">
        <v>-2.3315329999999999E-2</v>
      </c>
      <c r="N6432">
        <v>-2.129052E-2</v>
      </c>
      <c r="O6432">
        <v>0.99950139999999998</v>
      </c>
      <c r="P6432">
        <v>0.1025952</v>
      </c>
      <c r="Q6432">
        <v>1.463881E-2</v>
      </c>
      <c r="R6432">
        <v>0.99461549999999999</v>
      </c>
      <c r="S6432">
        <v>0.78710939999999996</v>
      </c>
      <c r="T6432">
        <v>-0.25038139999999998</v>
      </c>
      <c r="U6432">
        <v>2.9423219999999999</v>
      </c>
      <c r="V6432">
        <v>0.12594279999999999</v>
      </c>
      <c r="W6432">
        <v>3.5114050000000001E-2</v>
      </c>
      <c r="X6432">
        <v>0.99141590000000002</v>
      </c>
      <c r="Y6432">
        <v>0.28010819999999997</v>
      </c>
      <c r="Z6432">
        <v>-6.0333690000000002E-2</v>
      </c>
      <c r="AA6432">
        <v>0.95807059999999999</v>
      </c>
      <c r="AB6432">
        <v>49</v>
      </c>
      <c r="AC6432">
        <v>3.4947999999999899</v>
      </c>
      <c r="AD6432">
        <v>-1.10797698386</v>
      </c>
      <c r="AE6432">
        <v>12.552199999999999</v>
      </c>
      <c r="AF6432">
        <v>3.7593905189088499</v>
      </c>
      <c r="AG6432">
        <v>-1.10797698386</v>
      </c>
      <c r="AH6432">
        <v>12.3777819050951</v>
      </c>
      <c r="AI6432">
        <v>94.895438718424202</v>
      </c>
      <c r="AJ6432">
        <v>73.105370047414993</v>
      </c>
      <c r="AK6432">
        <v>12.983455432223099</v>
      </c>
      <c r="AL6432">
        <v>87.987699534868398</v>
      </c>
      <c r="AM6432">
        <v>82.760307196850306</v>
      </c>
      <c r="AN6432">
        <v>1.0000000360760199</v>
      </c>
    </row>
    <row r="6433" spans="1:40" x14ac:dyDescent="0.25">
      <c r="A6433" t="str">
        <f>"20190305135953211"</f>
        <v>20190305135953211</v>
      </c>
      <c r="B6433" t="str">
        <f>"1551765593205158"</f>
        <v>1551765593205158</v>
      </c>
      <c r="C6433" t="s">
        <v>40</v>
      </c>
      <c r="D6433">
        <v>4.2522359999999999</v>
      </c>
      <c r="E6433">
        <v>0.5616736</v>
      </c>
      <c r="F6433" t="s">
        <v>79</v>
      </c>
      <c r="G6433">
        <v>-184.36949999999999</v>
      </c>
      <c r="H6433" s="1">
        <v>-2.1577110000000002E-6</v>
      </c>
      <c r="I6433">
        <v>121.8939</v>
      </c>
      <c r="J6433">
        <v>-187.98679999999999</v>
      </c>
      <c r="K6433">
        <v>1.1074710000000001</v>
      </c>
      <c r="L6433">
        <v>109.3494</v>
      </c>
      <c r="M6433">
        <v>-2.0222219999999999E-2</v>
      </c>
      <c r="N6433">
        <v>-2.141821E-2</v>
      </c>
      <c r="O6433">
        <v>0.99956610000000001</v>
      </c>
      <c r="P6433">
        <v>0.109782199999999</v>
      </c>
      <c r="Q6433">
        <v>1.4279480000000001E-2</v>
      </c>
      <c r="R6433">
        <v>0.99385310000000004</v>
      </c>
      <c r="S6433">
        <v>0.81242369999999997</v>
      </c>
      <c r="T6433">
        <v>-0.24947540000000001</v>
      </c>
      <c r="U6433">
        <v>2.9361269999999999</v>
      </c>
      <c r="V6433">
        <v>0.13008430000000001</v>
      </c>
      <c r="W6433">
        <v>3.4688980000000001E-2</v>
      </c>
      <c r="X6433">
        <v>0.99089590000000005</v>
      </c>
      <c r="Y6433">
        <v>0.28532740000000001</v>
      </c>
      <c r="Z6433">
        <v>-5.9938100000000001E-2</v>
      </c>
      <c r="AA6433">
        <v>0.95655409999999996</v>
      </c>
      <c r="AB6433">
        <v>49</v>
      </c>
      <c r="AC6433">
        <v>3.6173000000000002</v>
      </c>
      <c r="AD6433">
        <v>-1.107473157711</v>
      </c>
      <c r="AE6433">
        <v>12.544499999999999</v>
      </c>
      <c r="AF6433">
        <v>3.8426453961871299</v>
      </c>
      <c r="AG6433">
        <v>-1.107473157711</v>
      </c>
      <c r="AH6433">
        <v>12.379686867758799</v>
      </c>
      <c r="AI6433">
        <v>94.883358767522594</v>
      </c>
      <c r="AJ6433">
        <v>72.755696928075395</v>
      </c>
      <c r="AK6433">
        <v>13.0095759876965</v>
      </c>
      <c r="AL6433">
        <v>88.012068961864898</v>
      </c>
      <c r="AM6433">
        <v>82.521009138304905</v>
      </c>
      <c r="AN6433">
        <v>0.99999996753836895</v>
      </c>
    </row>
    <row r="6434" spans="1:40" x14ac:dyDescent="0.25">
      <c r="A6434" t="str">
        <f>"20190305135953235"</f>
        <v>20190305135953235</v>
      </c>
      <c r="B6434" t="str">
        <f>"1551765593225654"</f>
        <v>1551765593225654</v>
      </c>
      <c r="C6434" t="s">
        <v>40</v>
      </c>
      <c r="D6434">
        <v>4.3083920000000004</v>
      </c>
      <c r="E6434">
        <v>0.56190649999999998</v>
      </c>
      <c r="F6434" t="s">
        <v>79</v>
      </c>
      <c r="G6434">
        <v>-184.36490000000001</v>
      </c>
      <c r="H6434" s="1">
        <v>-2.203425E-6</v>
      </c>
      <c r="I6434">
        <v>122.0449</v>
      </c>
      <c r="J6434">
        <v>-187.99440000000001</v>
      </c>
      <c r="K6434">
        <v>1.1069059999999999</v>
      </c>
      <c r="L6434">
        <v>109.8737</v>
      </c>
      <c r="M6434">
        <v>-1.644959E-2</v>
      </c>
      <c r="N6434">
        <v>-2.1510479999999998E-2</v>
      </c>
      <c r="O6434">
        <v>0.99963329999999995</v>
      </c>
      <c r="P6434">
        <v>0.118018</v>
      </c>
      <c r="Q6434">
        <v>1.342695E-2</v>
      </c>
      <c r="R6434">
        <v>0.99292069999999999</v>
      </c>
      <c r="S6434">
        <v>0.83587649999999902</v>
      </c>
      <c r="T6434">
        <v>-0.25558520000000001</v>
      </c>
      <c r="U6434">
        <v>2.9299010000000001</v>
      </c>
      <c r="V6434">
        <v>0.1346021</v>
      </c>
      <c r="W6434">
        <v>3.3703450000000003E-2</v>
      </c>
      <c r="X6434">
        <v>0.99032640000000005</v>
      </c>
      <c r="Y6434">
        <v>0.28928160000000003</v>
      </c>
      <c r="Z6434">
        <v>-6.1876710000000001E-2</v>
      </c>
      <c r="AA6434">
        <v>0.95524209999999998</v>
      </c>
      <c r="AB6434">
        <v>49</v>
      </c>
      <c r="AC6434">
        <v>3.6295000000000002</v>
      </c>
      <c r="AD6434">
        <v>-1.106908203425</v>
      </c>
      <c r="AE6434">
        <v>12.171200000000001</v>
      </c>
      <c r="AF6434">
        <v>3.8004002084725101</v>
      </c>
      <c r="AG6434">
        <v>-1.106908203425</v>
      </c>
      <c r="AH6434">
        <v>12.0185475618722</v>
      </c>
      <c r="AI6434">
        <v>95.018516410022698</v>
      </c>
      <c r="AJ6434">
        <v>72.452458531189095</v>
      </c>
      <c r="AK6434">
        <v>12.653607114667</v>
      </c>
      <c r="AL6434">
        <v>88.068568808346896</v>
      </c>
      <c r="AM6434">
        <v>82.259963994211205</v>
      </c>
      <c r="AN6434">
        <v>1.00000001320163</v>
      </c>
    </row>
    <row r="6435" spans="1:40" x14ac:dyDescent="0.25">
      <c r="A6435" t="str">
        <f>"20190305135953256"</f>
        <v>20190305135953256</v>
      </c>
      <c r="B6435" t="str">
        <f>"1551765593245174"</f>
        <v>1551765593245174</v>
      </c>
      <c r="C6435" t="s">
        <v>40</v>
      </c>
      <c r="D6435">
        <v>4.3685070000000001</v>
      </c>
      <c r="E6435">
        <v>0.56380889999999995</v>
      </c>
      <c r="F6435" t="s">
        <v>79</v>
      </c>
      <c r="G6435">
        <v>-184.36840000000001</v>
      </c>
      <c r="H6435" s="1">
        <v>-2.2376189999999999E-6</v>
      </c>
      <c r="I6435">
        <v>122.16419999999999</v>
      </c>
      <c r="J6435">
        <v>-187.9992</v>
      </c>
      <c r="K6435">
        <v>1.106368</v>
      </c>
      <c r="L6435">
        <v>110.3569</v>
      </c>
      <c r="M6435">
        <v>-1.2494699999999999E-2</v>
      </c>
      <c r="N6435">
        <v>-2.158504E-2</v>
      </c>
      <c r="O6435">
        <v>0.99968889999999999</v>
      </c>
      <c r="P6435">
        <v>0.1271912</v>
      </c>
      <c r="Q6435">
        <v>1.2374939999999999E-2</v>
      </c>
      <c r="R6435">
        <v>0.99180100000000004</v>
      </c>
      <c r="S6435">
        <v>0.86218259999999902</v>
      </c>
      <c r="T6435">
        <v>-0.26320060000000001</v>
      </c>
      <c r="U6435">
        <v>2.9224549999999998</v>
      </c>
      <c r="V6435">
        <v>0.13987379999999999</v>
      </c>
      <c r="W6435">
        <v>3.2489120000000003E-2</v>
      </c>
      <c r="X6435">
        <v>0.98963619999999997</v>
      </c>
      <c r="Y6435">
        <v>0.2940046</v>
      </c>
      <c r="Z6435">
        <v>-6.4330730000000003E-2</v>
      </c>
      <c r="AA6435">
        <v>0.95363659999999995</v>
      </c>
      <c r="AB6435">
        <v>49</v>
      </c>
      <c r="AC6435">
        <v>3.63079999999999</v>
      </c>
      <c r="AD6435">
        <v>-1.1063702376189899</v>
      </c>
      <c r="AE6435">
        <v>11.8072999999999</v>
      </c>
      <c r="AF6435">
        <v>3.7480144563053601</v>
      </c>
      <c r="AG6435">
        <v>-1.1063702376189899</v>
      </c>
      <c r="AH6435">
        <v>11.667410340228701</v>
      </c>
      <c r="AI6435">
        <v>95.158779172436695</v>
      </c>
      <c r="AJ6435">
        <v>72.191013032104905</v>
      </c>
      <c r="AK6435">
        <v>12.304476076397499</v>
      </c>
      <c r="AL6435">
        <v>88.138182936971404</v>
      </c>
      <c r="AM6435">
        <v>81.955181405881902</v>
      </c>
      <c r="AN6435">
        <v>1.0000000155976201</v>
      </c>
    </row>
    <row r="6436" spans="1:40" x14ac:dyDescent="0.25">
      <c r="A6436" t="str">
        <f>"20190305135953277"</f>
        <v>20190305135953277</v>
      </c>
      <c r="B6436" t="str">
        <f>"1551765593265670"</f>
        <v>1551765593265670</v>
      </c>
      <c r="C6436" t="s">
        <v>40</v>
      </c>
      <c r="D6436">
        <v>4.3703580000000004</v>
      </c>
      <c r="E6436">
        <v>0.63783000000000001</v>
      </c>
      <c r="F6436" t="s">
        <v>79</v>
      </c>
      <c r="G6436">
        <v>-184.24610000000001</v>
      </c>
      <c r="H6436" s="1">
        <v>-2.3525840000000001E-6</v>
      </c>
      <c r="I6436">
        <v>122.444</v>
      </c>
      <c r="J6436">
        <v>-188.0016</v>
      </c>
      <c r="K6436">
        <v>1.1058779999999999</v>
      </c>
      <c r="L6436">
        <v>110.7967</v>
      </c>
      <c r="M6436">
        <v>-8.4730059999999999E-3</v>
      </c>
      <c r="N6436">
        <v>-2.166299E-2</v>
      </c>
      <c r="O6436">
        <v>0.99972950000000005</v>
      </c>
      <c r="P6436">
        <v>0.13676450000000001</v>
      </c>
      <c r="Q6436">
        <v>1.064707E-2</v>
      </c>
      <c r="R6436">
        <v>0.99054629999999999</v>
      </c>
      <c r="S6436">
        <v>0.90425109999999997</v>
      </c>
      <c r="T6436">
        <v>-0.2665573</v>
      </c>
      <c r="U6436">
        <v>2.9121549999999998</v>
      </c>
      <c r="V6436">
        <v>0.14547299999999999</v>
      </c>
      <c r="W6436">
        <v>3.0599890000000001E-2</v>
      </c>
      <c r="X6436">
        <v>0.98888889999999996</v>
      </c>
      <c r="Y6436">
        <v>0.30364020000000003</v>
      </c>
      <c r="Z6436">
        <v>-6.5339649999999999E-2</v>
      </c>
      <c r="AA6436">
        <v>0.95054369999999999</v>
      </c>
      <c r="AB6436">
        <v>49</v>
      </c>
      <c r="AC6436">
        <v>3.7554999999999801</v>
      </c>
      <c r="AD6436">
        <v>-1.105880352584</v>
      </c>
      <c r="AE6436">
        <v>11.6473</v>
      </c>
      <c r="AF6436">
        <v>3.8228583733330499</v>
      </c>
      <c r="AG6436">
        <v>-1.105880352584</v>
      </c>
      <c r="AH6436">
        <v>11.520973318993599</v>
      </c>
      <c r="AI6436">
        <v>95.205503943908994</v>
      </c>
      <c r="AJ6436">
        <v>71.643262273019204</v>
      </c>
      <c r="AK6436">
        <v>12.1889311965306</v>
      </c>
      <c r="AL6436">
        <v>88.246481727810803</v>
      </c>
      <c r="AM6436">
        <v>81.631382494153598</v>
      </c>
      <c r="AN6436">
        <v>1.0000000017701101</v>
      </c>
    </row>
    <row r="6437" spans="1:40" x14ac:dyDescent="0.25">
      <c r="A6437" t="str">
        <f>"20190305135953299"</f>
        <v>20190305135953299</v>
      </c>
      <c r="B6437" t="str">
        <f>"1551765593295926"</f>
        <v>1551765593295926</v>
      </c>
      <c r="C6437" t="s">
        <v>40</v>
      </c>
      <c r="D6437">
        <v>4.5594469999999996</v>
      </c>
      <c r="E6437">
        <v>0.63187190000000004</v>
      </c>
      <c r="F6437" t="s">
        <v>79</v>
      </c>
      <c r="G6437">
        <v>-183.11920000000001</v>
      </c>
      <c r="H6437" s="1">
        <v>-1.887955E-6</v>
      </c>
      <c r="I6437">
        <v>119.8485</v>
      </c>
      <c r="J6437">
        <v>-188.00190000000001</v>
      </c>
      <c r="K6437">
        <v>1.105372</v>
      </c>
      <c r="L6437">
        <v>111.2705</v>
      </c>
      <c r="M6437">
        <v>-3.699932E-3</v>
      </c>
      <c r="N6437">
        <v>-2.176208E-2</v>
      </c>
      <c r="O6437">
        <v>0.99975630000000004</v>
      </c>
      <c r="P6437">
        <v>0.14556459999999999</v>
      </c>
      <c r="Q6437">
        <v>9.0669259999999995E-3</v>
      </c>
      <c r="R6437">
        <v>0.98930720000000005</v>
      </c>
      <c r="S6437">
        <v>1.522232</v>
      </c>
      <c r="T6437">
        <v>-0.34478969999999998</v>
      </c>
      <c r="U6437">
        <v>2.8221590000000001</v>
      </c>
      <c r="V6437">
        <v>0.1495648</v>
      </c>
      <c r="W6437">
        <v>2.887354E-2</v>
      </c>
      <c r="X6437">
        <v>0.98833020000000005</v>
      </c>
      <c r="Y6437">
        <v>0.47563179999999999</v>
      </c>
      <c r="Z6437">
        <v>-8.5139149999999997E-2</v>
      </c>
      <c r="AA6437">
        <v>0.87551460000000003</v>
      </c>
      <c r="AB6437">
        <v>48</v>
      </c>
      <c r="AC6437">
        <v>4.8826999999999998</v>
      </c>
      <c r="AD6437">
        <v>-1.1053738879549999</v>
      </c>
      <c r="AE6437">
        <v>8.5779999999999994</v>
      </c>
      <c r="AF6437">
        <v>4.8535402854207899</v>
      </c>
      <c r="AG6437">
        <v>-1.1053738879549999</v>
      </c>
      <c r="AH6437">
        <v>8.45384543509258</v>
      </c>
      <c r="AI6437">
        <v>96.469388432957402</v>
      </c>
      <c r="AJ6437">
        <v>60.138910227700997</v>
      </c>
      <c r="AK6437">
        <v>9.8105151431925801</v>
      </c>
      <c r="AL6437">
        <v>88.345437980908002</v>
      </c>
      <c r="AM6437">
        <v>81.394677610434599</v>
      </c>
      <c r="AN6437">
        <v>0.99999994747160403</v>
      </c>
    </row>
    <row r="6438" spans="1:40" x14ac:dyDescent="0.25">
      <c r="A6438" t="str">
        <f>"20190305135953323"</f>
        <v>20190305135953323</v>
      </c>
      <c r="B6438" t="str">
        <f>"1551765593315446"</f>
        <v>1551765593315446</v>
      </c>
      <c r="C6438" t="s">
        <v>40</v>
      </c>
      <c r="D6438">
        <v>4.4092560000000001</v>
      </c>
      <c r="E6438">
        <v>0.62999659999999902</v>
      </c>
      <c r="F6438" t="s">
        <v>42</v>
      </c>
      <c r="G6438">
        <v>-183.66030000000001</v>
      </c>
      <c r="H6438" s="1">
        <v>-5.3167719999999997E-6</v>
      </c>
      <c r="I6438">
        <v>119.4049</v>
      </c>
      <c r="J6438">
        <v>-187.9992</v>
      </c>
      <c r="K6438">
        <v>1.104846</v>
      </c>
      <c r="L6438">
        <v>111.773</v>
      </c>
      <c r="M6438">
        <v>1.857324E-3</v>
      </c>
      <c r="N6438">
        <v>-2.1883989999999999E-2</v>
      </c>
      <c r="O6438">
        <v>0.99975879999999995</v>
      </c>
      <c r="P6438">
        <v>0.1547482</v>
      </c>
      <c r="Q6438">
        <v>9.8515259999999993E-3</v>
      </c>
      <c r="R6438">
        <v>0.98790480000000003</v>
      </c>
      <c r="S6438">
        <v>1.502365</v>
      </c>
      <c r="T6438">
        <v>-0.38250960000000001</v>
      </c>
      <c r="U6438">
        <v>2.8148650000000002</v>
      </c>
      <c r="V6438">
        <v>0.15330179999999999</v>
      </c>
      <c r="W6438">
        <v>2.952082E-2</v>
      </c>
      <c r="X6438">
        <v>0.98773840000000002</v>
      </c>
      <c r="Y6438">
        <v>0.4663021</v>
      </c>
      <c r="Z6438">
        <v>-9.7351640000000003E-2</v>
      </c>
      <c r="AA6438">
        <v>0.87925259999999905</v>
      </c>
      <c r="AB6438">
        <v>48</v>
      </c>
      <c r="AC6438">
        <v>4.33889999999999</v>
      </c>
      <c r="AD6438">
        <v>-1.104851316772</v>
      </c>
      <c r="AE6438">
        <v>7.6318999999999999</v>
      </c>
      <c r="AF6438">
        <v>4.2572856111951101</v>
      </c>
      <c r="AG6438">
        <v>-1.104851316772</v>
      </c>
      <c r="AH6438">
        <v>7.5208295914913803</v>
      </c>
      <c r="AI6438">
        <v>97.2854010338758</v>
      </c>
      <c r="AJ6438">
        <v>60.487276799576499</v>
      </c>
      <c r="AK6438">
        <v>8.7125228809865494</v>
      </c>
      <c r="AL6438">
        <v>88.308335894427799</v>
      </c>
      <c r="AM6438">
        <v>81.177805141364004</v>
      </c>
      <c r="AN6438">
        <v>1.0000000337656301</v>
      </c>
    </row>
    <row r="6439" spans="1:40" x14ac:dyDescent="0.25">
      <c r="A6439" t="str">
        <f>"20190305135953344"</f>
        <v>20190305135953344</v>
      </c>
      <c r="B6439" t="str">
        <f>"1551765593334966"</f>
        <v>1551765593334966</v>
      </c>
      <c r="C6439" t="s">
        <v>40</v>
      </c>
      <c r="D6439">
        <v>4.4424380000000001</v>
      </c>
      <c r="E6439">
        <v>0.62971219999999895</v>
      </c>
      <c r="F6439" t="s">
        <v>79</v>
      </c>
      <c r="G6439">
        <v>-183.56299999999999</v>
      </c>
      <c r="H6439" s="1">
        <v>-1.810713E-6</v>
      </c>
      <c r="I6439">
        <v>119.9871</v>
      </c>
      <c r="J6439">
        <v>-187.99369999999999</v>
      </c>
      <c r="K6439">
        <v>1.1043700000000001</v>
      </c>
      <c r="L6439">
        <v>112.2568</v>
      </c>
      <c r="M6439">
        <v>7.6011300000000002E-3</v>
      </c>
      <c r="N6439">
        <v>-2.2006020000000001E-2</v>
      </c>
      <c r="O6439">
        <v>0.99972890000000003</v>
      </c>
      <c r="P6439">
        <v>0.16670550000000001</v>
      </c>
      <c r="Q6439">
        <v>1.0541E-2</v>
      </c>
      <c r="R6439">
        <v>0.9859504</v>
      </c>
      <c r="S6439">
        <v>1.513992</v>
      </c>
      <c r="T6439">
        <v>-0.3770635</v>
      </c>
      <c r="U6439">
        <v>2.8033290000000002</v>
      </c>
      <c r="V6439">
        <v>0.1596399</v>
      </c>
      <c r="W6439">
        <v>3.0035099999999999E-2</v>
      </c>
      <c r="X6439">
        <v>0.98671830000000005</v>
      </c>
      <c r="Y6439">
        <v>0.46562949999999997</v>
      </c>
      <c r="Z6439">
        <v>-9.5919619999999997E-2</v>
      </c>
      <c r="AA6439">
        <v>0.87976620000000005</v>
      </c>
      <c r="AB6439">
        <v>48</v>
      </c>
      <c r="AC6439">
        <v>4.4306999999999999</v>
      </c>
      <c r="AD6439">
        <v>-1.1043718107130001</v>
      </c>
      <c r="AE6439">
        <v>7.7302999999999997</v>
      </c>
      <c r="AF6439">
        <v>4.3056515388007996</v>
      </c>
      <c r="AG6439">
        <v>-1.1043718107130001</v>
      </c>
      <c r="AH6439">
        <v>7.6462940610015702</v>
      </c>
      <c r="AI6439">
        <v>97.173031910283498</v>
      </c>
      <c r="AJ6439">
        <v>60.616005655967797</v>
      </c>
      <c r="AK6439">
        <v>8.8444380905280298</v>
      </c>
      <c r="AL6439">
        <v>88.278856697884095</v>
      </c>
      <c r="AM6439">
        <v>80.809822583505394</v>
      </c>
      <c r="AN6439">
        <v>1.0000000042294499</v>
      </c>
    </row>
    <row r="6440" spans="1:40" x14ac:dyDescent="0.25">
      <c r="A6440" t="str">
        <f>"20190305135953359"</f>
        <v>20190305135953359</v>
      </c>
      <c r="B6440" t="str">
        <f>"1551765593355462"</f>
        <v>1551765593355462</v>
      </c>
      <c r="C6440" t="s">
        <v>40</v>
      </c>
      <c r="D6440">
        <v>4.43072</v>
      </c>
      <c r="E6440">
        <v>0.62898109999999996</v>
      </c>
      <c r="F6440" t="s">
        <v>79</v>
      </c>
      <c r="G6440">
        <v>-183.48099999999999</v>
      </c>
      <c r="H6440" s="1">
        <v>-1.9513400000000001E-6</v>
      </c>
      <c r="I6440">
        <v>120.3905</v>
      </c>
      <c r="J6440">
        <v>-187.98929999999999</v>
      </c>
      <c r="K6440">
        <v>1.1040840000000001</v>
      </c>
      <c r="L6440">
        <v>112.54559999999999</v>
      </c>
      <c r="M6440">
        <v>1.117333E-2</v>
      </c>
      <c r="N6440">
        <v>-2.207694E-2</v>
      </c>
      <c r="O6440">
        <v>0.99969379999999997</v>
      </c>
      <c r="P6440">
        <v>0.17209869999999999</v>
      </c>
      <c r="Q6440">
        <v>1.0955879999999999E-2</v>
      </c>
      <c r="R6440">
        <v>0.98501879999999997</v>
      </c>
      <c r="S6440">
        <v>1.5454410000000001</v>
      </c>
      <c r="T6440">
        <v>-0.37820740000000003</v>
      </c>
      <c r="U6440">
        <v>2.7854920000000001</v>
      </c>
      <c r="V6440">
        <v>0.161542299999999</v>
      </c>
      <c r="W6440">
        <v>3.037397E-2</v>
      </c>
      <c r="X6440">
        <v>0.9863982</v>
      </c>
      <c r="Y6440">
        <v>0.47240670000000001</v>
      </c>
      <c r="Z6440">
        <v>-9.6349779999999996E-2</v>
      </c>
      <c r="AA6440">
        <v>0.8760985</v>
      </c>
      <c r="AB6440">
        <v>48</v>
      </c>
      <c r="AC6440">
        <v>4.5082999999999904</v>
      </c>
      <c r="AD6440">
        <v>-1.1040859513400001</v>
      </c>
      <c r="AE6440">
        <v>7.8449000000000098</v>
      </c>
      <c r="AF6440">
        <v>4.3554900143757598</v>
      </c>
      <c r="AG6440">
        <v>-1.1040859513400001</v>
      </c>
      <c r="AH6440">
        <v>7.7789659893023702</v>
      </c>
      <c r="AI6440">
        <v>97.059661279525798</v>
      </c>
      <c r="AJ6440">
        <v>60.755272272812697</v>
      </c>
      <c r="AK6440">
        <v>8.98340753366986</v>
      </c>
      <c r="AL6440">
        <v>88.259431921409004</v>
      </c>
      <c r="AM6440">
        <v>80.699241973859799</v>
      </c>
      <c r="AN6440">
        <v>0.99999995085304405</v>
      </c>
    </row>
    <row r="6441" spans="1:40" x14ac:dyDescent="0.25">
      <c r="A6441" t="str">
        <f>"20190305135953376"</f>
        <v>20190305135953376</v>
      </c>
      <c r="B6441" t="str">
        <f>"1551765593365222"</f>
        <v>1551765593365222</v>
      </c>
      <c r="C6441" t="s">
        <v>40</v>
      </c>
      <c r="D6441">
        <v>4.4720199999999997</v>
      </c>
      <c r="E6441">
        <v>0.62873710000000005</v>
      </c>
      <c r="F6441" t="s">
        <v>79</v>
      </c>
      <c r="G6441">
        <v>-183.43600000000001</v>
      </c>
      <c r="H6441" s="1">
        <v>-2.0490810000000001E-6</v>
      </c>
      <c r="I6441">
        <v>120.6818</v>
      </c>
      <c r="J6441">
        <v>-187.9811</v>
      </c>
      <c r="K6441">
        <v>1.1037250000000001</v>
      </c>
      <c r="L6441">
        <v>112.93899999999999</v>
      </c>
      <c r="M6441">
        <v>1.629181E-2</v>
      </c>
      <c r="N6441">
        <v>-2.217388E-2</v>
      </c>
      <c r="O6441">
        <v>0.99962139999999999</v>
      </c>
      <c r="P6441">
        <v>0.18043870000000001</v>
      </c>
      <c r="Q6441">
        <v>1.120853E-2</v>
      </c>
      <c r="R6441">
        <v>0.98352240000000002</v>
      </c>
      <c r="S6441">
        <v>1.554764</v>
      </c>
      <c r="T6441">
        <v>-0.37700250000000002</v>
      </c>
      <c r="U6441">
        <v>2.7781829999999998</v>
      </c>
      <c r="V6441">
        <v>0.1648828</v>
      </c>
      <c r="W6441">
        <v>3.0511710000000001E-2</v>
      </c>
      <c r="X6441">
        <v>0.98584110000000003</v>
      </c>
      <c r="Y6441">
        <v>0.47113250000000001</v>
      </c>
      <c r="Z6441">
        <v>-9.6120339999999999E-2</v>
      </c>
      <c r="AA6441">
        <v>0.87680959999999997</v>
      </c>
      <c r="AB6441">
        <v>48</v>
      </c>
      <c r="AC6441">
        <v>4.5451000000000104</v>
      </c>
      <c r="AD6441">
        <v>-1.1037270490809901</v>
      </c>
      <c r="AE6441">
        <v>7.7427999999999999</v>
      </c>
      <c r="AF6441">
        <v>4.3525427997256303</v>
      </c>
      <c r="AG6441">
        <v>-1.1037270490809901</v>
      </c>
      <c r="AH6441">
        <v>7.69947850400919</v>
      </c>
      <c r="AI6441">
        <v>97.113244894298404</v>
      </c>
      <c r="AJ6441">
        <v>60.520368326641602</v>
      </c>
      <c r="AK6441">
        <v>8.9131818929053601</v>
      </c>
      <c r="AL6441">
        <v>88.251536406339596</v>
      </c>
      <c r="AM6441">
        <v>80.505112117125904</v>
      </c>
      <c r="AN6441">
        <v>0.99999998831608705</v>
      </c>
    </row>
    <row r="6442" spans="1:40" x14ac:dyDescent="0.25">
      <c r="A6442" t="str">
        <f>"20190305135953400"</f>
        <v>20190305135953400</v>
      </c>
      <c r="B6442" t="str">
        <f>"1551765593395478"</f>
        <v>1551765593395478</v>
      </c>
      <c r="C6442" t="s">
        <v>40</v>
      </c>
      <c r="D6442">
        <v>4.4634109999999998</v>
      </c>
      <c r="E6442">
        <v>0.62816019999999995</v>
      </c>
      <c r="F6442" t="s">
        <v>79</v>
      </c>
      <c r="G6442">
        <v>-183.3673</v>
      </c>
      <c r="H6442" s="1">
        <v>-2.1710250000000001E-6</v>
      </c>
      <c r="I6442">
        <v>121.0338</v>
      </c>
      <c r="J6442">
        <v>-187.96870000000001</v>
      </c>
      <c r="K6442">
        <v>1.1033189999999999</v>
      </c>
      <c r="L6442">
        <v>113.404</v>
      </c>
      <c r="M6442">
        <v>2.2642949999999998E-2</v>
      </c>
      <c r="N6442">
        <v>-2.2287990000000001E-2</v>
      </c>
      <c r="O6442">
        <v>0.99949509999999997</v>
      </c>
      <c r="P6442">
        <v>0.18961929999999999</v>
      </c>
      <c r="Q6442">
        <v>1.1592160000000001E-2</v>
      </c>
      <c r="R6442">
        <v>0.98178929999999998</v>
      </c>
      <c r="S6442">
        <v>1.5762020000000001</v>
      </c>
      <c r="T6442">
        <v>-0.37706650000000003</v>
      </c>
      <c r="U6442">
        <v>2.765396</v>
      </c>
      <c r="V6442">
        <v>0.16786870000000001</v>
      </c>
      <c r="W6442">
        <v>3.077862E-2</v>
      </c>
      <c r="X6442">
        <v>0.9853288</v>
      </c>
      <c r="Y6442">
        <v>0.47239880000000001</v>
      </c>
      <c r="Z6442">
        <v>-9.6262520000000004E-2</v>
      </c>
      <c r="AA6442">
        <v>0.87611240000000001</v>
      </c>
      <c r="AB6442">
        <v>48</v>
      </c>
      <c r="AC6442">
        <v>4.6014000000000097</v>
      </c>
      <c r="AD6442">
        <v>-1.1033211710249999</v>
      </c>
      <c r="AE6442">
        <v>7.6298000000000004</v>
      </c>
      <c r="AF6442">
        <v>4.3605508048340003</v>
      </c>
      <c r="AG6442">
        <v>-1.1033211710249999</v>
      </c>
      <c r="AH6442">
        <v>7.6152851033484996</v>
      </c>
      <c r="AI6442">
        <v>97.1661627031107</v>
      </c>
      <c r="AJ6442">
        <v>60.204329202184503</v>
      </c>
      <c r="AK6442">
        <v>8.84444956643725</v>
      </c>
      <c r="AL6442">
        <v>88.2362364842011</v>
      </c>
      <c r="AM6442">
        <v>80.331451848929206</v>
      </c>
      <c r="AN6442">
        <v>1.00000003399911</v>
      </c>
    </row>
    <row r="6443" spans="1:40" x14ac:dyDescent="0.25">
      <c r="A6443" t="str">
        <f>"20190305135953423"</f>
        <v>20190305135953423</v>
      </c>
      <c r="B6443" t="str">
        <f>"1551765593415001"</f>
        <v>1551765593415001</v>
      </c>
      <c r="C6443" t="s">
        <v>40</v>
      </c>
      <c r="D6443">
        <v>4.4550470000000004</v>
      </c>
      <c r="E6443">
        <v>0.62795140000000005</v>
      </c>
      <c r="F6443" t="s">
        <v>79</v>
      </c>
      <c r="G6443">
        <v>-183.27189999999999</v>
      </c>
      <c r="H6443" s="1">
        <v>-2.3321180000000002E-6</v>
      </c>
      <c r="I6443">
        <v>121.4945</v>
      </c>
      <c r="J6443">
        <v>-187.95089999999999</v>
      </c>
      <c r="K6443">
        <v>1.10287</v>
      </c>
      <c r="L6443">
        <v>113.92010000000001</v>
      </c>
      <c r="M6443">
        <v>3.0091489999999999E-2</v>
      </c>
      <c r="N6443">
        <v>-2.2411520000000001E-2</v>
      </c>
      <c r="O6443">
        <v>0.99929590000000001</v>
      </c>
      <c r="P6443">
        <v>0.20002929999999999</v>
      </c>
      <c r="Q6443">
        <v>1.175173E-2</v>
      </c>
      <c r="R6443">
        <v>0.97971949999999997</v>
      </c>
      <c r="S6443">
        <v>1.5973820000000001</v>
      </c>
      <c r="T6443">
        <v>-0.3752393</v>
      </c>
      <c r="U6443">
        <v>2.7515559999999999</v>
      </c>
      <c r="V6443">
        <v>0.171021799999999</v>
      </c>
      <c r="W6443">
        <v>3.0810069999999998E-2</v>
      </c>
      <c r="X6443">
        <v>0.98478540000000003</v>
      </c>
      <c r="Y6443">
        <v>0.47281299999999998</v>
      </c>
      <c r="Z6443">
        <v>-9.5870250000000004E-2</v>
      </c>
      <c r="AA6443">
        <v>0.87593199999999904</v>
      </c>
      <c r="AB6443">
        <v>47</v>
      </c>
      <c r="AC6443">
        <v>4.6790000000000003</v>
      </c>
      <c r="AD6443">
        <v>-1.1028723321179901</v>
      </c>
      <c r="AE6443">
        <v>7.57439999999999</v>
      </c>
      <c r="AF6443">
        <v>4.3816605376314302</v>
      </c>
      <c r="AG6443">
        <v>-1.1028723321179901</v>
      </c>
      <c r="AH6443">
        <v>7.5952513230362904</v>
      </c>
      <c r="AI6443">
        <v>97.168815683592598</v>
      </c>
      <c r="AJ6443">
        <v>60.019578783931401</v>
      </c>
      <c r="AK6443">
        <v>8.8375969079876295</v>
      </c>
      <c r="AL6443">
        <v>88.234433617432103</v>
      </c>
      <c r="AM6443">
        <v>80.148042270618603</v>
      </c>
      <c r="AN6443">
        <v>1.0000000002709</v>
      </c>
    </row>
    <row r="6444" spans="1:40" x14ac:dyDescent="0.25">
      <c r="A6444" t="str">
        <f>"20190305135953446"</f>
        <v>20190305135953446</v>
      </c>
      <c r="B6444" t="str">
        <f>"1551765593435493"</f>
        <v>1551765593435493</v>
      </c>
      <c r="C6444" t="s">
        <v>40</v>
      </c>
      <c r="D6444">
        <v>4.4353179999999996</v>
      </c>
      <c r="E6444">
        <v>0.62749829999999995</v>
      </c>
      <c r="F6444" t="s">
        <v>79</v>
      </c>
      <c r="G6444">
        <v>-183.19880000000001</v>
      </c>
      <c r="H6444" s="1">
        <v>-2.476803E-6</v>
      </c>
      <c r="I6444">
        <v>121.91970000000001</v>
      </c>
      <c r="J6444">
        <v>-187.9314</v>
      </c>
      <c r="K6444">
        <v>1.102492</v>
      </c>
      <c r="L6444">
        <v>114.38849999999999</v>
      </c>
      <c r="M6444">
        <v>3.71429E-2</v>
      </c>
      <c r="N6444">
        <v>-2.2517869999999999E-2</v>
      </c>
      <c r="O6444">
        <v>0.99905619999999995</v>
      </c>
      <c r="P6444">
        <v>0.2096353</v>
      </c>
      <c r="Q6444">
        <v>9.8311130000000007E-3</v>
      </c>
      <c r="R6444">
        <v>0.97773019999999999</v>
      </c>
      <c r="S6444">
        <v>1.624649</v>
      </c>
      <c r="T6444">
        <v>-0.37705040000000001</v>
      </c>
      <c r="U6444">
        <v>2.734909</v>
      </c>
      <c r="V6444">
        <v>0.1737312</v>
      </c>
      <c r="W6444">
        <v>2.8777270000000001E-2</v>
      </c>
      <c r="X6444">
        <v>0.98437260000000004</v>
      </c>
      <c r="Y6444">
        <v>0.47535339999999998</v>
      </c>
      <c r="Z6444">
        <v>-9.6583210000000003E-2</v>
      </c>
      <c r="AA6444">
        <v>0.87447739999999996</v>
      </c>
      <c r="AB6444">
        <v>47</v>
      </c>
      <c r="AC6444">
        <v>4.7325999999999899</v>
      </c>
      <c r="AD6444">
        <v>-1.1024944768030001</v>
      </c>
      <c r="AE6444">
        <v>7.5312000000000099</v>
      </c>
      <c r="AF6444">
        <v>4.3822057585178102</v>
      </c>
      <c r="AG6444">
        <v>-1.1024944768030001</v>
      </c>
      <c r="AH6444">
        <v>7.5852921487979499</v>
      </c>
      <c r="AI6444">
        <v>97.173146830180897</v>
      </c>
      <c r="AJ6444">
        <v>59.983940224699701</v>
      </c>
      <c r="AK6444">
        <v>8.8292626172282098</v>
      </c>
      <c r="AL6444">
        <v>88.350956288847399</v>
      </c>
      <c r="AM6444">
        <v>79.990982232007795</v>
      </c>
      <c r="AN6444">
        <v>1.00000003837642</v>
      </c>
    </row>
    <row r="6445" spans="1:40" x14ac:dyDescent="0.25">
      <c r="A6445" t="str">
        <f>"20190305135953466"</f>
        <v>20190305135953466</v>
      </c>
      <c r="B6445" t="str">
        <f>"1551765593455014"</f>
        <v>1551765593455014</v>
      </c>
      <c r="C6445" t="s">
        <v>40</v>
      </c>
      <c r="D6445">
        <v>4.4499029999999999</v>
      </c>
      <c r="E6445">
        <v>0.6276718</v>
      </c>
      <c r="F6445" t="s">
        <v>79</v>
      </c>
      <c r="G6445">
        <v>-183.14510000000001</v>
      </c>
      <c r="H6445" s="1">
        <v>-2.599375E-6</v>
      </c>
      <c r="I6445">
        <v>122.28740000000001</v>
      </c>
      <c r="J6445">
        <v>-187.91040000000001</v>
      </c>
      <c r="K6445">
        <v>1.1021700000000001</v>
      </c>
      <c r="L6445">
        <v>114.8199</v>
      </c>
      <c r="M6445">
        <v>4.3867179999999999E-2</v>
      </c>
      <c r="N6445">
        <v>-2.2611119999999998E-2</v>
      </c>
      <c r="O6445">
        <v>0.99878140000000004</v>
      </c>
      <c r="P6445">
        <v>0.2181227</v>
      </c>
      <c r="Q6445">
        <v>7.8215569999999998E-3</v>
      </c>
      <c r="R6445">
        <v>0.97589000000000004</v>
      </c>
      <c r="S6445">
        <v>1.6475070000000001</v>
      </c>
      <c r="T6445">
        <v>-0.37949300000000002</v>
      </c>
      <c r="U6445">
        <v>2.7189030000000001</v>
      </c>
      <c r="V6445">
        <v>0.1756424</v>
      </c>
      <c r="W6445">
        <v>2.6681420000000001E-2</v>
      </c>
      <c r="X6445">
        <v>0.98409239999999998</v>
      </c>
      <c r="Y6445">
        <v>0.47703760000000001</v>
      </c>
      <c r="Z6445">
        <v>-9.7545870000000007E-2</v>
      </c>
      <c r="AA6445">
        <v>0.87345289999999998</v>
      </c>
      <c r="AB6445">
        <v>47</v>
      </c>
      <c r="AC6445">
        <v>4.7652999999999901</v>
      </c>
      <c r="AD6445">
        <v>-1.102172599375</v>
      </c>
      <c r="AE6445">
        <v>7.4675000000000002</v>
      </c>
      <c r="AF6445">
        <v>4.3654686110804199</v>
      </c>
      <c r="AG6445">
        <v>-1.102172599375</v>
      </c>
      <c r="AH6445">
        <v>7.5524849895263504</v>
      </c>
      <c r="AI6445">
        <v>97.200992485846697</v>
      </c>
      <c r="AJ6445">
        <v>59.971335477205301</v>
      </c>
      <c r="AK6445">
        <v>8.7927316659933599</v>
      </c>
      <c r="AL6445">
        <v>88.471085802755596</v>
      </c>
      <c r="AM6445">
        <v>79.880315387692207</v>
      </c>
      <c r="AN6445">
        <v>1.00000000129436</v>
      </c>
    </row>
    <row r="6446" spans="1:40" x14ac:dyDescent="0.25">
      <c r="A6446" t="str">
        <f>"20190305135953488"</f>
        <v>20190305135953488</v>
      </c>
      <c r="B6446" t="str">
        <f>"1551765593485270"</f>
        <v>1551765593485270</v>
      </c>
      <c r="C6446" t="s">
        <v>40</v>
      </c>
      <c r="D6446">
        <v>4.4491990000000001</v>
      </c>
      <c r="E6446">
        <v>0.62787899999999996</v>
      </c>
      <c r="F6446" t="s">
        <v>79</v>
      </c>
      <c r="G6446">
        <v>-183.15219999999999</v>
      </c>
      <c r="H6446" s="1">
        <v>-2.6630650000000001E-6</v>
      </c>
      <c r="I6446">
        <v>122.51</v>
      </c>
      <c r="J6446">
        <v>-187.88499999999999</v>
      </c>
      <c r="K6446">
        <v>1.10186299999999</v>
      </c>
      <c r="L6446">
        <v>115.2739</v>
      </c>
      <c r="M6446">
        <v>5.1167610000000002E-2</v>
      </c>
      <c r="N6446">
        <v>-2.2707990000000001E-2</v>
      </c>
      <c r="O6446">
        <v>0.99843190000000004</v>
      </c>
      <c r="P6446">
        <v>0.2276966</v>
      </c>
      <c r="Q6446">
        <v>6.6681759999999996E-3</v>
      </c>
      <c r="R6446">
        <v>0.9737093</v>
      </c>
      <c r="S6446">
        <v>1.6726989999999999</v>
      </c>
      <c r="T6446">
        <v>-0.38745400000000002</v>
      </c>
      <c r="U6446">
        <v>2.703354</v>
      </c>
      <c r="V6446">
        <v>0.17811109999999999</v>
      </c>
      <c r="W6446">
        <v>2.5432529999999998E-2</v>
      </c>
      <c r="X6446">
        <v>0.98368169999999999</v>
      </c>
      <c r="Y6446">
        <v>0.4786029</v>
      </c>
      <c r="Z6446">
        <v>-0.10017719999999999</v>
      </c>
      <c r="AA6446">
        <v>0.87229799999999902</v>
      </c>
      <c r="AB6446">
        <v>47</v>
      </c>
      <c r="AC6446">
        <v>4.7327999999999903</v>
      </c>
      <c r="AD6446">
        <v>-1.1018656630649999</v>
      </c>
      <c r="AE6446">
        <v>7.2361000000000004</v>
      </c>
      <c r="AF6446">
        <v>4.2866330393322398</v>
      </c>
      <c r="AG6446">
        <v>-1.1018656630649999</v>
      </c>
      <c r="AH6446">
        <v>7.3494895214415301</v>
      </c>
      <c r="AI6446">
        <v>97.379056726741695</v>
      </c>
      <c r="AJ6446">
        <v>59.746873660215797</v>
      </c>
      <c r="AK6446">
        <v>8.5792964151563904</v>
      </c>
      <c r="AL6446">
        <v>88.542666282946001</v>
      </c>
      <c r="AM6446">
        <v>79.736888674432294</v>
      </c>
      <c r="AN6446">
        <v>1.0000000322201399</v>
      </c>
    </row>
    <row r="6447" spans="1:40" x14ac:dyDescent="0.25">
      <c r="A6447" t="str">
        <f>"20190305135953511"</f>
        <v>20190305135953511</v>
      </c>
      <c r="B6447" t="str">
        <f>"1551765593505766"</f>
        <v>1551765593505766</v>
      </c>
      <c r="C6447" t="s">
        <v>40</v>
      </c>
      <c r="D6447">
        <v>4.4640890000000004</v>
      </c>
      <c r="E6447">
        <v>0.62818260000000004</v>
      </c>
      <c r="F6447" t="s">
        <v>79</v>
      </c>
      <c r="G6447">
        <v>-183.1234</v>
      </c>
      <c r="H6447" s="1">
        <v>-2.7540530000000002E-6</v>
      </c>
      <c r="I6447">
        <v>122.79300000000001</v>
      </c>
      <c r="J6447">
        <v>-187.85480000000001</v>
      </c>
      <c r="K6447">
        <v>1.101558</v>
      </c>
      <c r="L6447">
        <v>115.74939999999999</v>
      </c>
      <c r="M6447">
        <v>5.9043459999999999E-2</v>
      </c>
      <c r="N6447">
        <v>-2.2806480000000001E-2</v>
      </c>
      <c r="O6447">
        <v>0.99799479999999996</v>
      </c>
      <c r="P6447">
        <v>0.2389482</v>
      </c>
      <c r="Q6447">
        <v>4.9936360000000001E-3</v>
      </c>
      <c r="R6447">
        <v>0.97101950000000004</v>
      </c>
      <c r="S6447">
        <v>1.700912</v>
      </c>
      <c r="T6447">
        <v>-0.39360580000000001</v>
      </c>
      <c r="U6447">
        <v>2.6859440000000001</v>
      </c>
      <c r="V6447">
        <v>0.18171599999999999</v>
      </c>
      <c r="W6447">
        <v>2.363873E-2</v>
      </c>
      <c r="X6447">
        <v>0.98306689999999997</v>
      </c>
      <c r="Y6447">
        <v>0.48065609999999998</v>
      </c>
      <c r="Z6447">
        <v>-0.1022531</v>
      </c>
      <c r="AA6447">
        <v>0.87092709999999995</v>
      </c>
      <c r="AB6447">
        <v>46</v>
      </c>
      <c r="AC6447">
        <v>4.7313999999999998</v>
      </c>
      <c r="AD6447">
        <v>-1.1015607540529999</v>
      </c>
      <c r="AE6447">
        <v>7.0435999999999899</v>
      </c>
      <c r="AF6447">
        <v>4.2357665287031097</v>
      </c>
      <c r="AG6447">
        <v>-1.1015607540529999</v>
      </c>
      <c r="AH6447">
        <v>7.1895659733446804</v>
      </c>
      <c r="AI6447">
        <v>97.520107933237</v>
      </c>
      <c r="AJ6447">
        <v>59.495334978460001</v>
      </c>
      <c r="AK6447">
        <v>8.4169479661945807</v>
      </c>
      <c r="AL6447">
        <v>88.645474385159901</v>
      </c>
      <c r="AM6447">
        <v>79.527312757734606</v>
      </c>
      <c r="AN6447">
        <v>1.0000000120438099</v>
      </c>
    </row>
    <row r="6448" spans="1:40" x14ac:dyDescent="0.25">
      <c r="A6448" t="str">
        <f>"20190305135953534"</f>
        <v>20190305135953534</v>
      </c>
      <c r="B6448" t="str">
        <f>"1551765593525289"</f>
        <v>1551765593525289</v>
      </c>
      <c r="C6448" t="s">
        <v>40</v>
      </c>
      <c r="D6448">
        <v>4.4610149999999997</v>
      </c>
      <c r="E6448">
        <v>0.62840929999999995</v>
      </c>
      <c r="F6448" t="s">
        <v>79</v>
      </c>
      <c r="G6448">
        <v>-183.09100000000001</v>
      </c>
      <c r="H6448" s="1">
        <v>-2.8497710000000001E-6</v>
      </c>
      <c r="I6448">
        <v>123.0706</v>
      </c>
      <c r="J6448">
        <v>-187.82050000000001</v>
      </c>
      <c r="K6448">
        <v>1.101275</v>
      </c>
      <c r="L6448">
        <v>116.2264</v>
      </c>
      <c r="M6448">
        <v>6.7168350000000002E-2</v>
      </c>
      <c r="N6448">
        <v>-2.2898959999999999E-2</v>
      </c>
      <c r="O6448">
        <v>0.9974788</v>
      </c>
      <c r="P6448">
        <v>0.25060070000000001</v>
      </c>
      <c r="Q6448">
        <v>1.430792E-3</v>
      </c>
      <c r="R6448">
        <v>0.96808950000000005</v>
      </c>
      <c r="S6448">
        <v>1.73397799999999</v>
      </c>
      <c r="T6448">
        <v>-0.40096399999999999</v>
      </c>
      <c r="U6448">
        <v>2.6649020000000001</v>
      </c>
      <c r="V6448">
        <v>0.1854642</v>
      </c>
      <c r="W6448">
        <v>1.9951279999999998E-2</v>
      </c>
      <c r="X6448">
        <v>0.98244849999999995</v>
      </c>
      <c r="Y6448">
        <v>0.4841028</v>
      </c>
      <c r="Z6448">
        <v>-0.1047329</v>
      </c>
      <c r="AA6448">
        <v>0.86872059999999995</v>
      </c>
      <c r="AB6448">
        <v>46</v>
      </c>
      <c r="AC6448">
        <v>4.72950000000003</v>
      </c>
      <c r="AD6448">
        <v>-1.1012778497710001</v>
      </c>
      <c r="AE6448">
        <v>6.8441999999999998</v>
      </c>
      <c r="AF6448">
        <v>4.18563301879915</v>
      </c>
      <c r="AG6448">
        <v>-1.1012778497710001</v>
      </c>
      <c r="AH6448">
        <v>7.0234175619138401</v>
      </c>
      <c r="AI6448">
        <v>97.671310598670203</v>
      </c>
      <c r="AJ6448">
        <v>59.207007353192402</v>
      </c>
      <c r="AK6448">
        <v>8.24989278230073</v>
      </c>
      <c r="AL6448">
        <v>88.856800053796505</v>
      </c>
      <c r="AM6448">
        <v>79.309650046452106</v>
      </c>
      <c r="AN6448">
        <v>1.00000003910376</v>
      </c>
    </row>
    <row r="6449" spans="1:40" x14ac:dyDescent="0.25">
      <c r="A6449" t="str">
        <f>"20190305135953555"</f>
        <v>20190305135953555</v>
      </c>
      <c r="B6449" t="str">
        <f>"1551765593545785"</f>
        <v>1551765593545785</v>
      </c>
      <c r="C6449" t="s">
        <v>40</v>
      </c>
      <c r="D6449">
        <v>4.3406440000000002</v>
      </c>
      <c r="E6449">
        <v>0.62888540000000004</v>
      </c>
      <c r="F6449" t="s">
        <v>79</v>
      </c>
      <c r="G6449">
        <v>-183.14850000000001</v>
      </c>
      <c r="H6449" s="1">
        <v>-2.9191320000000002E-6</v>
      </c>
      <c r="I6449">
        <v>123.21169999999999</v>
      </c>
      <c r="J6449">
        <v>-187.78559999999999</v>
      </c>
      <c r="K6449">
        <v>1.101032</v>
      </c>
      <c r="L6449">
        <v>116.6635</v>
      </c>
      <c r="M6449">
        <v>7.4803289999999995E-2</v>
      </c>
      <c r="N6449">
        <v>-2.2988370000000001E-2</v>
      </c>
      <c r="O6449">
        <v>0.99693330000000002</v>
      </c>
      <c r="P6449">
        <v>0.26140479999999999</v>
      </c>
      <c r="Q6449">
        <v>-1.70329799999999E-3</v>
      </c>
      <c r="R6449">
        <v>0.96522779999999997</v>
      </c>
      <c r="S6449">
        <v>1.7671049999999999</v>
      </c>
      <c r="T6449">
        <v>-0.41653509999999999</v>
      </c>
      <c r="U6449">
        <v>2.6420590000000002</v>
      </c>
      <c r="V6449">
        <v>0.18886530000000001</v>
      </c>
      <c r="W6449">
        <v>1.6711239999999999E-2</v>
      </c>
      <c r="X6449">
        <v>0.98186079999999998</v>
      </c>
      <c r="Y6449">
        <v>0.48806890000000003</v>
      </c>
      <c r="Z6449">
        <v>-0.1098182</v>
      </c>
      <c r="AA6449">
        <v>0.86586869999999905</v>
      </c>
      <c r="AB6449">
        <v>46</v>
      </c>
      <c r="AC6449">
        <v>4.63709999999997</v>
      </c>
      <c r="AD6449">
        <v>-1.1010349191319999</v>
      </c>
      <c r="AE6449">
        <v>6.5481999999999898</v>
      </c>
      <c r="AF6449">
        <v>4.0577395472420896</v>
      </c>
      <c r="AG6449">
        <v>-1.1010349191319999</v>
      </c>
      <c r="AH6449">
        <v>6.7497121370857203</v>
      </c>
      <c r="AI6449">
        <v>97.958633728387099</v>
      </c>
      <c r="AJ6449">
        <v>58.986883525341</v>
      </c>
      <c r="AK6449">
        <v>7.9521155713384104</v>
      </c>
      <c r="AL6449">
        <v>89.042471905490203</v>
      </c>
      <c r="AM6449">
        <v>79.111889163457406</v>
      </c>
      <c r="AN6449">
        <v>0.99999999883153301</v>
      </c>
    </row>
    <row r="6450" spans="1:40" x14ac:dyDescent="0.25">
      <c r="A6450" t="str">
        <f>"20190305135953577"</f>
        <v>20190305135953577</v>
      </c>
      <c r="B6450" t="str">
        <f>"1551765593565302"</f>
        <v>1551765593565302</v>
      </c>
      <c r="C6450" t="s">
        <v>40</v>
      </c>
      <c r="D6450">
        <v>4.3479929999999998</v>
      </c>
      <c r="E6450">
        <v>0.62940879999999999</v>
      </c>
      <c r="F6450" t="s">
        <v>79</v>
      </c>
      <c r="G6450">
        <v>-183.1146</v>
      </c>
      <c r="H6450" s="1">
        <v>-3.0606419999999999E-6</v>
      </c>
      <c r="I6450">
        <v>123.46129999999999</v>
      </c>
      <c r="J6450">
        <v>-187.74709999999999</v>
      </c>
      <c r="K6450">
        <v>1.10081299999999</v>
      </c>
      <c r="L6450">
        <v>117.1018</v>
      </c>
      <c r="M6450">
        <v>8.2642939999999998E-2</v>
      </c>
      <c r="N6450">
        <v>-2.3092519999999998E-2</v>
      </c>
      <c r="O6450">
        <v>0.99631170000000002</v>
      </c>
      <c r="P6450">
        <v>0.27326590000000001</v>
      </c>
      <c r="Q6450">
        <v>-4.0183420000000003E-3</v>
      </c>
      <c r="R6450">
        <v>0.96193019999999996</v>
      </c>
      <c r="S6450">
        <v>1.800171</v>
      </c>
      <c r="T6450">
        <v>-0.4243305</v>
      </c>
      <c r="U6450">
        <v>2.6197970000000002</v>
      </c>
      <c r="V6450">
        <v>0.19318460000000001</v>
      </c>
      <c r="W6450">
        <v>1.4280609999999999E-2</v>
      </c>
      <c r="X6450">
        <v>0.98105850000000006</v>
      </c>
      <c r="Y6450">
        <v>0.49188720000000002</v>
      </c>
      <c r="Z6450">
        <v>-0.112431</v>
      </c>
      <c r="AA6450">
        <v>0.863369099999999</v>
      </c>
      <c r="AB6450">
        <v>46</v>
      </c>
      <c r="AC6450">
        <v>4.6324999999999896</v>
      </c>
      <c r="AD6450">
        <v>-1.1008160606420001</v>
      </c>
      <c r="AE6450">
        <v>6.3594999999999899</v>
      </c>
      <c r="AF6450">
        <v>4.0123917472088104</v>
      </c>
      <c r="AG6450">
        <v>-1.1008160606420001</v>
      </c>
      <c r="AH6450">
        <v>6.5916438706831499</v>
      </c>
      <c r="AI6450">
        <v>98.118573136010795</v>
      </c>
      <c r="AJ6450">
        <v>58.670756735389297</v>
      </c>
      <c r="AK6450">
        <v>7.7949247879855497</v>
      </c>
      <c r="AL6450">
        <v>89.181753507314596</v>
      </c>
      <c r="AM6450">
        <v>78.860157085341299</v>
      </c>
      <c r="AN6450">
        <v>1.0000000029606899</v>
      </c>
    </row>
    <row r="6451" spans="1:40" x14ac:dyDescent="0.25">
      <c r="A6451" t="str">
        <f>"20190305135953601"</f>
        <v>20190305135953601</v>
      </c>
      <c r="B6451" t="str">
        <f>"1551765593595558"</f>
        <v>1551765593595558</v>
      </c>
      <c r="C6451" t="s">
        <v>40</v>
      </c>
      <c r="D6451">
        <v>4.3435379999999997</v>
      </c>
      <c r="E6451">
        <v>0.63025929999999997</v>
      </c>
      <c r="F6451" t="s">
        <v>79</v>
      </c>
      <c r="G6451">
        <v>-183.03059999999999</v>
      </c>
      <c r="H6451" s="1">
        <v>-3.242173E-6</v>
      </c>
      <c r="I6451">
        <v>123.7711</v>
      </c>
      <c r="J6451">
        <v>-187.7013</v>
      </c>
      <c r="K6451">
        <v>1.100584</v>
      </c>
      <c r="L6451">
        <v>117.575</v>
      </c>
      <c r="M6451">
        <v>9.1352139999999998E-2</v>
      </c>
      <c r="N6451">
        <v>-2.322405E-2</v>
      </c>
      <c r="O6451">
        <v>0.99554779999999998</v>
      </c>
      <c r="P6451">
        <v>0.28628730000000002</v>
      </c>
      <c r="Q6451">
        <v>-3.9766819999999996E-3</v>
      </c>
      <c r="R6451">
        <v>0.95813559999999998</v>
      </c>
      <c r="S6451">
        <v>1.835556</v>
      </c>
      <c r="T6451">
        <v>-0.42841050000000003</v>
      </c>
      <c r="U6451">
        <v>2.5955050000000002</v>
      </c>
      <c r="V6451">
        <v>0.1979206</v>
      </c>
      <c r="W6451">
        <v>1.420719E-2</v>
      </c>
      <c r="X6451">
        <v>0.98011510000000002</v>
      </c>
      <c r="Y6451">
        <v>0.49583349999999998</v>
      </c>
      <c r="Z6451">
        <v>-0.11387990000000001</v>
      </c>
      <c r="AA6451">
        <v>0.86091849999999903</v>
      </c>
      <c r="AB6451">
        <v>46</v>
      </c>
      <c r="AC6451">
        <v>4.6707000000000098</v>
      </c>
      <c r="AD6451">
        <v>-1.1005872421730001</v>
      </c>
      <c r="AE6451">
        <v>6.1961000000000004</v>
      </c>
      <c r="AF6451">
        <v>4.0044160112453699</v>
      </c>
      <c r="AG6451">
        <v>-1.1005872421730001</v>
      </c>
      <c r="AH6451">
        <v>6.4668661394483298</v>
      </c>
      <c r="AI6451">
        <v>98.233231002198806</v>
      </c>
      <c r="AJ6451">
        <v>58.233359856992699</v>
      </c>
      <c r="AK6451">
        <v>7.6855056785025901</v>
      </c>
      <c r="AL6451">
        <v>89.185960594913695</v>
      </c>
      <c r="AM6451">
        <v>78.583444712455702</v>
      </c>
      <c r="AN6451">
        <v>1.00000000870003</v>
      </c>
    </row>
    <row r="6452" spans="1:40" x14ac:dyDescent="0.25">
      <c r="A6452" t="str">
        <f>"20190305135953623"</f>
        <v>20190305135953623</v>
      </c>
      <c r="B6452" t="str">
        <f>"1551765593615078"</f>
        <v>1551765593615078</v>
      </c>
      <c r="C6452" t="s">
        <v>40</v>
      </c>
      <c r="D6452">
        <v>4.3525989999999997</v>
      </c>
      <c r="E6452">
        <v>0.63096669999999999</v>
      </c>
      <c r="F6452" t="s">
        <v>79</v>
      </c>
      <c r="G6452">
        <v>-182.83349999999999</v>
      </c>
      <c r="H6452" s="1">
        <v>-3.5265550000000001E-6</v>
      </c>
      <c r="I6452">
        <v>124.2398</v>
      </c>
      <c r="J6452">
        <v>-187.65039999999999</v>
      </c>
      <c r="K6452">
        <v>1.1003430000000001</v>
      </c>
      <c r="L6452">
        <v>118.0538</v>
      </c>
      <c r="M6452">
        <v>0.1004642</v>
      </c>
      <c r="N6452">
        <v>-2.3368170000000001E-2</v>
      </c>
      <c r="O6452">
        <v>0.99466619999999994</v>
      </c>
      <c r="P6452">
        <v>0.29891220000000002</v>
      </c>
      <c r="Q6452">
        <v>-3.045224E-3</v>
      </c>
      <c r="R6452">
        <v>0.95427580000000001</v>
      </c>
      <c r="S6452">
        <v>1.8761289999999999</v>
      </c>
      <c r="T6452">
        <v>-0.42418670000000003</v>
      </c>
      <c r="U6452">
        <v>2.5687410000000002</v>
      </c>
      <c r="V6452">
        <v>0.2019176</v>
      </c>
      <c r="W6452">
        <v>1.504109E-2</v>
      </c>
      <c r="X6452">
        <v>0.97928700000000002</v>
      </c>
      <c r="Y6452">
        <v>0.50111810000000001</v>
      </c>
      <c r="Z6452">
        <v>-0.1126698</v>
      </c>
      <c r="AA6452">
        <v>0.85801289999999997</v>
      </c>
      <c r="AB6452">
        <v>45</v>
      </c>
      <c r="AC6452">
        <v>4.8169000000000004</v>
      </c>
      <c r="AD6452">
        <v>-1.1003465265549901</v>
      </c>
      <c r="AE6452">
        <v>6.1859999999999999</v>
      </c>
      <c r="AF6452">
        <v>4.0903079394666104</v>
      </c>
      <c r="AG6452">
        <v>-1.1003465265549901</v>
      </c>
      <c r="AH6452">
        <v>6.5105060707199804</v>
      </c>
      <c r="AI6452">
        <v>98.144339877335497</v>
      </c>
      <c r="AJ6452">
        <v>57.860387024020703</v>
      </c>
      <c r="AK6452">
        <v>7.7671147033532897</v>
      </c>
      <c r="AL6452">
        <v>89.138176517314207</v>
      </c>
      <c r="AM6452">
        <v>78.349545967315805</v>
      </c>
      <c r="AN6452">
        <v>0.99999998997357398</v>
      </c>
    </row>
    <row r="6453" spans="1:40" x14ac:dyDescent="0.25">
      <c r="A6453" t="str">
        <f>"20190305135953645"</f>
        <v>20190305135953645</v>
      </c>
      <c r="B6453" t="str">
        <f>"1551765593635573"</f>
        <v>1551765593635573</v>
      </c>
      <c r="C6453" t="s">
        <v>40</v>
      </c>
      <c r="D6453">
        <v>4.3766910000000001</v>
      </c>
      <c r="E6453">
        <v>0.63152469999999905</v>
      </c>
      <c r="F6453" t="s">
        <v>79</v>
      </c>
      <c r="G6453">
        <v>-182.59700000000001</v>
      </c>
      <c r="H6453" s="1">
        <v>-3.80322E-6</v>
      </c>
      <c r="I6453">
        <v>124.7599</v>
      </c>
      <c r="J6453">
        <v>-187.6</v>
      </c>
      <c r="K6453">
        <v>1.1001110000000001</v>
      </c>
      <c r="L6453">
        <v>118.4905</v>
      </c>
      <c r="M6453">
        <v>0.10902009999999999</v>
      </c>
      <c r="N6453">
        <v>-2.3501080000000001E-2</v>
      </c>
      <c r="O6453">
        <v>0.99376169999999997</v>
      </c>
      <c r="P6453">
        <v>0.31048340000000002</v>
      </c>
      <c r="Q6453">
        <v>-2.2704779999999998E-3</v>
      </c>
      <c r="R6453">
        <v>0.95057610000000003</v>
      </c>
      <c r="S6453">
        <v>1.9157709999999999</v>
      </c>
      <c r="T6453">
        <v>-0.41714630000000003</v>
      </c>
      <c r="U6453">
        <v>2.5423279999999999</v>
      </c>
      <c r="V6453">
        <v>0.20541599999999999</v>
      </c>
      <c r="W6453">
        <v>1.5724789999999999E-2</v>
      </c>
      <c r="X6453">
        <v>0.97854839999999998</v>
      </c>
      <c r="Y6453">
        <v>0.50665130000000003</v>
      </c>
      <c r="Z6453">
        <v>-0.1105483</v>
      </c>
      <c r="AA6453">
        <v>0.85503419999999897</v>
      </c>
      <c r="AB6453">
        <v>45</v>
      </c>
      <c r="AC6453">
        <v>5.0029999999999797</v>
      </c>
      <c r="AD6453">
        <v>-1.1001148032200001</v>
      </c>
      <c r="AE6453">
        <v>6.2694000000000001</v>
      </c>
      <c r="AF6453">
        <v>4.2102816746169598</v>
      </c>
      <c r="AG6453">
        <v>-1.1001148032200001</v>
      </c>
      <c r="AH6453">
        <v>6.65244579931462</v>
      </c>
      <c r="AI6453">
        <v>97.954749880815697</v>
      </c>
      <c r="AJ6453">
        <v>57.670595611975699</v>
      </c>
      <c r="AK6453">
        <v>7.9493244664372504</v>
      </c>
      <c r="AL6453">
        <v>89.098998752987399</v>
      </c>
      <c r="AM6453">
        <v>78.144660368431104</v>
      </c>
      <c r="AN6453">
        <v>0.99999998660955103</v>
      </c>
    </row>
    <row r="6454" spans="1:40" x14ac:dyDescent="0.25">
      <c r="A6454" t="str">
        <f>"20190305135953667"</f>
        <v>20190305135953667</v>
      </c>
      <c r="B6454" t="str">
        <f>"1551765593655095"</f>
        <v>1551765593655095</v>
      </c>
      <c r="C6454" t="s">
        <v>40</v>
      </c>
      <c r="D6454">
        <v>4.3670530000000003</v>
      </c>
      <c r="E6454">
        <v>0.63195380000000001</v>
      </c>
      <c r="F6454" t="s">
        <v>79</v>
      </c>
      <c r="G6454">
        <v>-182.35849999999999</v>
      </c>
      <c r="H6454" s="1">
        <v>-3.9643479999999999E-6</v>
      </c>
      <c r="I6454">
        <v>125.2525</v>
      </c>
      <c r="J6454">
        <v>-187.54640000000001</v>
      </c>
      <c r="K6454">
        <v>1.099872</v>
      </c>
      <c r="L6454">
        <v>118.92010000000001</v>
      </c>
      <c r="M6454">
        <v>0.1177134</v>
      </c>
      <c r="N6454">
        <v>-2.363208E-2</v>
      </c>
      <c r="O6454">
        <v>0.99276640000000005</v>
      </c>
      <c r="P6454">
        <v>0.32262849999999998</v>
      </c>
      <c r="Q6454">
        <v>-2.4211770000000001E-3</v>
      </c>
      <c r="R6454">
        <v>0.94652259999999999</v>
      </c>
      <c r="S6454">
        <v>1.9514769999999999</v>
      </c>
      <c r="T6454">
        <v>-0.40958830000000002</v>
      </c>
      <c r="U6454">
        <v>2.5175930000000002</v>
      </c>
      <c r="V6454">
        <v>0.20938689999999999</v>
      </c>
      <c r="W6454">
        <v>1.545732E-2</v>
      </c>
      <c r="X6454">
        <v>0.97771070000000004</v>
      </c>
      <c r="Y6454">
        <v>0.51092590000000004</v>
      </c>
      <c r="Z6454">
        <v>-0.1082666</v>
      </c>
      <c r="AA6454">
        <v>0.85277959999999997</v>
      </c>
      <c r="AB6454">
        <v>45</v>
      </c>
      <c r="AC6454">
        <v>5.1879000000000097</v>
      </c>
      <c r="AD6454">
        <v>-1.0998759643480001</v>
      </c>
      <c r="AE6454">
        <v>6.33239999999999</v>
      </c>
      <c r="AF6454">
        <v>4.3280648430714503</v>
      </c>
      <c r="AG6454">
        <v>-1.0998759643480001</v>
      </c>
      <c r="AH6454">
        <v>6.7768701052732796</v>
      </c>
      <c r="AI6454">
        <v>97.788755084582604</v>
      </c>
      <c r="AJ6454">
        <v>57.435563205179598</v>
      </c>
      <c r="AK6454">
        <v>8.1159004951101004</v>
      </c>
      <c r="AL6454">
        <v>89.114325537057994</v>
      </c>
      <c r="AM6454">
        <v>77.912108678130195</v>
      </c>
      <c r="AN6454">
        <v>1.00000000776384</v>
      </c>
    </row>
    <row r="6455" spans="1:40" x14ac:dyDescent="0.25">
      <c r="A6455" t="str">
        <f>"20190305135953689"</f>
        <v>20190305135953689</v>
      </c>
      <c r="B6455" t="str">
        <f>"1551765593685350"</f>
        <v>1551765593685350</v>
      </c>
      <c r="C6455" t="s">
        <v>40</v>
      </c>
      <c r="D6455">
        <v>4.3656329999999999</v>
      </c>
      <c r="E6455">
        <v>0.6326022</v>
      </c>
      <c r="F6455" t="s">
        <v>79</v>
      </c>
      <c r="G6455">
        <v>-182.1525</v>
      </c>
      <c r="H6455" s="1">
        <v>-4.1054199999999901E-6</v>
      </c>
      <c r="I6455">
        <v>125.68519999999999</v>
      </c>
      <c r="J6455">
        <v>-187.4881</v>
      </c>
      <c r="K6455">
        <v>1.0996030000000001</v>
      </c>
      <c r="L6455">
        <v>119.3553</v>
      </c>
      <c r="M6455">
        <v>0.1268463</v>
      </c>
      <c r="N6455">
        <v>-2.3776849999999999E-2</v>
      </c>
      <c r="O6455">
        <v>0.99163730000000005</v>
      </c>
      <c r="P6455">
        <v>0.33589380000000002</v>
      </c>
      <c r="Q6455">
        <v>-3.3616879999999998E-3</v>
      </c>
      <c r="R6455">
        <v>0.94189389999999995</v>
      </c>
      <c r="S6455">
        <v>1.9864200000000001</v>
      </c>
      <c r="T6455">
        <v>-0.4050493</v>
      </c>
      <c r="U6455">
        <v>2.4913789999999998</v>
      </c>
      <c r="V6455">
        <v>0.2141092</v>
      </c>
      <c r="W6455">
        <v>1.4372630000000001E-2</v>
      </c>
      <c r="X6455">
        <v>0.97670400000000002</v>
      </c>
      <c r="Y6455">
        <v>0.51480409999999999</v>
      </c>
      <c r="Z6455">
        <v>-0.1069676</v>
      </c>
      <c r="AA6455">
        <v>0.85060849999999899</v>
      </c>
      <c r="AB6455">
        <v>45</v>
      </c>
      <c r="AC6455">
        <v>5.3356000000000003</v>
      </c>
      <c r="AD6455">
        <v>-1.0996071054200001</v>
      </c>
      <c r="AE6455">
        <v>6.3298999999999896</v>
      </c>
      <c r="AF6455">
        <v>4.4114962343615396</v>
      </c>
      <c r="AG6455">
        <v>-1.0996071054200001</v>
      </c>
      <c r="AH6455">
        <v>6.8351454729512398</v>
      </c>
      <c r="AI6455">
        <v>97.697876201325002</v>
      </c>
      <c r="AJ6455">
        <v>57.161249528223202</v>
      </c>
      <c r="AK6455">
        <v>8.2091198339701492</v>
      </c>
      <c r="AL6455">
        <v>89.176480616650494</v>
      </c>
      <c r="AM6455">
        <v>77.6354315218761</v>
      </c>
      <c r="AN6455">
        <v>1.00000001281687</v>
      </c>
    </row>
    <row r="6456" spans="1:40" x14ac:dyDescent="0.25">
      <c r="A6456" t="str">
        <f>"20190305135953711"</f>
        <v>20190305135953711</v>
      </c>
      <c r="B6456" t="str">
        <f>"1551765593705846"</f>
        <v>1551765593705846</v>
      </c>
      <c r="C6456" t="s">
        <v>40</v>
      </c>
      <c r="D6456">
        <v>4.3900690000000004</v>
      </c>
      <c r="E6456">
        <v>0.63314219999999999</v>
      </c>
      <c r="F6456" t="s">
        <v>79</v>
      </c>
      <c r="G6456">
        <v>-181.94900000000001</v>
      </c>
      <c r="H6456" s="1">
        <v>-4.2378539999999997E-6</v>
      </c>
      <c r="I6456">
        <v>126.086</v>
      </c>
      <c r="J6456">
        <v>-187.4221</v>
      </c>
      <c r="K6456">
        <v>1.0993059999999999</v>
      </c>
      <c r="L6456">
        <v>119.8125</v>
      </c>
      <c r="M6456">
        <v>0.1368395</v>
      </c>
      <c r="N6456">
        <v>-2.3949680000000001E-2</v>
      </c>
      <c r="O6456">
        <v>0.99030370000000001</v>
      </c>
      <c r="P6456">
        <v>0.34852030000000001</v>
      </c>
      <c r="Q6456">
        <v>-4.4577840000000002E-3</v>
      </c>
      <c r="R6456">
        <v>0.93729070000000003</v>
      </c>
      <c r="S6456">
        <v>2.025528</v>
      </c>
      <c r="T6456">
        <v>-0.40210630000000003</v>
      </c>
      <c r="U6456">
        <v>2.4613040000000002</v>
      </c>
      <c r="V6456">
        <v>0.21736920000000001</v>
      </c>
      <c r="W6456">
        <v>1.318018E-2</v>
      </c>
      <c r="X6456">
        <v>0.97600050000000005</v>
      </c>
      <c r="Y6456">
        <v>0.51938530000000005</v>
      </c>
      <c r="Z6456">
        <v>-0.1061643</v>
      </c>
      <c r="AA6456">
        <v>0.8479198</v>
      </c>
      <c r="AB6456">
        <v>45</v>
      </c>
      <c r="AC6456">
        <v>5.4730999999999801</v>
      </c>
      <c r="AD6456">
        <v>-1.0993102378539901</v>
      </c>
      <c r="AE6456">
        <v>6.2734999999999896</v>
      </c>
      <c r="AF6456">
        <v>4.4846845188405799</v>
      </c>
      <c r="AG6456">
        <v>-1.0993102378539901</v>
      </c>
      <c r="AH6456">
        <v>6.8442704521800399</v>
      </c>
      <c r="AI6456">
        <v>97.651632987349799</v>
      </c>
      <c r="AJ6456">
        <v>56.765317543853499</v>
      </c>
      <c r="AK6456">
        <v>8.2562047125276496</v>
      </c>
      <c r="AL6456">
        <v>89.244809470284594</v>
      </c>
      <c r="AM6456">
        <v>77.444331699936498</v>
      </c>
      <c r="AN6456">
        <v>1.00000003112686</v>
      </c>
    </row>
    <row r="6457" spans="1:40" x14ac:dyDescent="0.25">
      <c r="A6457" t="str">
        <f>"20190305135953734"</f>
        <v>20190305135953734</v>
      </c>
      <c r="B6457" t="str">
        <f>"1551765593725370"</f>
        <v>1551765593725370</v>
      </c>
      <c r="C6457" t="s">
        <v>40</v>
      </c>
      <c r="D6457">
        <v>4.3865319999999999</v>
      </c>
      <c r="E6457">
        <v>0.63364759999999998</v>
      </c>
      <c r="F6457" t="s">
        <v>79</v>
      </c>
      <c r="G6457">
        <v>-181.77459999999999</v>
      </c>
      <c r="H6457" s="1">
        <v>-4.3621930000000004E-6</v>
      </c>
      <c r="I6457">
        <v>126.4713</v>
      </c>
      <c r="J6457">
        <v>-187.3535</v>
      </c>
      <c r="K6457">
        <v>1.0990120000000001</v>
      </c>
      <c r="L6457">
        <v>120.25490000000001</v>
      </c>
      <c r="M6457">
        <v>0.14693419999999999</v>
      </c>
      <c r="N6457">
        <v>-2.4143000000000001E-2</v>
      </c>
      <c r="O6457">
        <v>0.98885160000000005</v>
      </c>
      <c r="P6457">
        <v>0.36046509999999998</v>
      </c>
      <c r="Q6457">
        <v>-4.056469E-3</v>
      </c>
      <c r="R6457">
        <v>0.93276389999999998</v>
      </c>
      <c r="S6457">
        <v>2.0625460000000002</v>
      </c>
      <c r="T6457">
        <v>-0.4014858</v>
      </c>
      <c r="U6457">
        <v>2.4318849999999999</v>
      </c>
      <c r="V6457">
        <v>0.21990499999999999</v>
      </c>
      <c r="W6457">
        <v>1.351775E-2</v>
      </c>
      <c r="X6457">
        <v>0.97542759999999995</v>
      </c>
      <c r="Y6457">
        <v>0.52325339999999998</v>
      </c>
      <c r="Z6457">
        <v>-0.106071</v>
      </c>
      <c r="AA6457">
        <v>0.84555000000000002</v>
      </c>
      <c r="AB6457">
        <v>44</v>
      </c>
      <c r="AC6457">
        <v>5.5789</v>
      </c>
      <c r="AD6457">
        <v>-1.099016362193</v>
      </c>
      <c r="AE6457">
        <v>6.2163999999999904</v>
      </c>
      <c r="AF6457">
        <v>4.5262843667543002</v>
      </c>
      <c r="AG6457">
        <v>-1.099016362193</v>
      </c>
      <c r="AH6457">
        <v>6.8502659716263397</v>
      </c>
      <c r="AI6457">
        <v>97.623947218459406</v>
      </c>
      <c r="AJ6457">
        <v>56.545434232360002</v>
      </c>
      <c r="AK6457">
        <v>8.2837932745279304</v>
      </c>
      <c r="AL6457">
        <v>89.225466364217695</v>
      </c>
      <c r="AM6457">
        <v>77.295366158143594</v>
      </c>
      <c r="AN6457">
        <v>0.99999997071590996</v>
      </c>
    </row>
    <row r="6458" spans="1:40" x14ac:dyDescent="0.25">
      <c r="A6458" t="str">
        <f>"20190305135953755"</f>
        <v>20190305135953755</v>
      </c>
      <c r="B6458" t="str">
        <f>"1551765593745866"</f>
        <v>1551765593745866</v>
      </c>
      <c r="C6458" t="s">
        <v>40</v>
      </c>
      <c r="D6458">
        <v>4.3425779999999996</v>
      </c>
      <c r="E6458">
        <v>0.63393759999999999</v>
      </c>
      <c r="F6458" t="s">
        <v>79</v>
      </c>
      <c r="G6458">
        <v>-181.53469999999999</v>
      </c>
      <c r="H6458" s="1">
        <v>-4.5130300000000002E-6</v>
      </c>
      <c r="I6458">
        <v>126.9234</v>
      </c>
      <c r="J6458">
        <v>-187.2852</v>
      </c>
      <c r="K6458">
        <v>1.0987290000000001</v>
      </c>
      <c r="L6458">
        <v>120.6661</v>
      </c>
      <c r="M6458">
        <v>0.156737299999999</v>
      </c>
      <c r="N6458">
        <v>-2.435232E-2</v>
      </c>
      <c r="O6458">
        <v>0.98734</v>
      </c>
      <c r="P6458">
        <v>0.3725154</v>
      </c>
      <c r="Q6458">
        <v>-1.5554939999999999E-3</v>
      </c>
      <c r="R6458">
        <v>0.92802479999999998</v>
      </c>
      <c r="S6458">
        <v>2.0975799999999998</v>
      </c>
      <c r="T6458">
        <v>-0.39617920000000001</v>
      </c>
      <c r="U6458">
        <v>2.403931</v>
      </c>
      <c r="V6458">
        <v>0.22294310000000001</v>
      </c>
      <c r="W6458">
        <v>1.5952689999999999E-2</v>
      </c>
      <c r="X6458">
        <v>0.97470089999999998</v>
      </c>
      <c r="Y6458">
        <v>0.52680119999999997</v>
      </c>
      <c r="Z6458">
        <v>-0.1044417</v>
      </c>
      <c r="AA6458">
        <v>0.84354750000000001</v>
      </c>
      <c r="AB6458">
        <v>44</v>
      </c>
      <c r="AC6458">
        <v>5.7505000000000104</v>
      </c>
      <c r="AD6458">
        <v>-1.09873351302999</v>
      </c>
      <c r="AE6458">
        <v>6.2572999999999999</v>
      </c>
      <c r="AF6458">
        <v>4.6210968134005999</v>
      </c>
      <c r="AG6458">
        <v>-1.09873351302999</v>
      </c>
      <c r="AH6458">
        <v>6.9650773548290301</v>
      </c>
      <c r="AI6458">
        <v>97.4885309401444</v>
      </c>
      <c r="AJ6458">
        <v>56.437051299409298</v>
      </c>
      <c r="AK6458">
        <v>8.4305429036467494</v>
      </c>
      <c r="AL6458">
        <v>89.085939399785204</v>
      </c>
      <c r="AM6458">
        <v>77.116377597059795</v>
      </c>
      <c r="AN6458">
        <v>0.99999997930832696</v>
      </c>
    </row>
    <row r="6459" spans="1:40" x14ac:dyDescent="0.25">
      <c r="A6459" t="str">
        <f>"20190305135953778"</f>
        <v>20190305135953778</v>
      </c>
      <c r="B6459" t="str">
        <f>"1551765593775146"</f>
        <v>1551765593775146</v>
      </c>
      <c r="C6459" t="s">
        <v>40</v>
      </c>
      <c r="D6459">
        <v>4.3854040000000003</v>
      </c>
      <c r="E6459">
        <v>0.63460190000000005</v>
      </c>
      <c r="F6459" t="s">
        <v>79</v>
      </c>
      <c r="G6459">
        <v>-181.1909</v>
      </c>
      <c r="H6459" s="1">
        <v>-4.7009290000000003E-6</v>
      </c>
      <c r="I6459">
        <v>127.46259999999999</v>
      </c>
      <c r="J6459">
        <v>-187.2099</v>
      </c>
      <c r="K6459">
        <v>1.09842</v>
      </c>
      <c r="L6459">
        <v>121.0916</v>
      </c>
      <c r="M6459">
        <v>0.16730610000000001</v>
      </c>
      <c r="N6459">
        <v>-2.4613289999999999E-2</v>
      </c>
      <c r="O6459">
        <v>0.98559770000000002</v>
      </c>
      <c r="P6459">
        <v>0.38560729999999999</v>
      </c>
      <c r="Q6459">
        <v>-3.6944259999999998E-4</v>
      </c>
      <c r="R6459">
        <v>0.92266300000000001</v>
      </c>
      <c r="S6459">
        <v>2.1310579999999999</v>
      </c>
      <c r="T6459">
        <v>-0.38420520000000002</v>
      </c>
      <c r="U6459">
        <v>2.3766020000000001</v>
      </c>
      <c r="V6459">
        <v>0.2263414</v>
      </c>
      <c r="W6459">
        <v>1.7093130000000002E-2</v>
      </c>
      <c r="X6459">
        <v>0.97389809999999999</v>
      </c>
      <c r="Y6459">
        <v>0.52940010000000004</v>
      </c>
      <c r="Z6459">
        <v>-0.1006406</v>
      </c>
      <c r="AA6459">
        <v>0.84238169999999901</v>
      </c>
      <c r="AB6459">
        <v>44</v>
      </c>
      <c r="AC6459">
        <v>6.0190000000000001</v>
      </c>
      <c r="AD6459">
        <v>-1.098424700929</v>
      </c>
      <c r="AE6459">
        <v>6.3709999999999898</v>
      </c>
      <c r="AF6459">
        <v>4.7926054633693997</v>
      </c>
      <c r="AG6459">
        <v>-1.098424700929</v>
      </c>
      <c r="AH6459">
        <v>7.1757609189141602</v>
      </c>
      <c r="AI6459">
        <v>97.254378426531702</v>
      </c>
      <c r="AJ6459">
        <v>56.261509273795497</v>
      </c>
      <c r="AK6459">
        <v>8.6986866087096697</v>
      </c>
      <c r="AL6459">
        <v>89.020588150739698</v>
      </c>
      <c r="AM6459">
        <v>76.916285476713298</v>
      </c>
      <c r="AN6459">
        <v>1.00000005681538</v>
      </c>
    </row>
    <row r="6460" spans="1:40" x14ac:dyDescent="0.25">
      <c r="A6460" t="str">
        <f>"20190305135953801"</f>
        <v>20190305135953801</v>
      </c>
      <c r="B6460" t="str">
        <f>"1551765593795643"</f>
        <v>1551765593795643</v>
      </c>
      <c r="C6460" t="s">
        <v>40</v>
      </c>
      <c r="D6460">
        <v>4.4002480000000004</v>
      </c>
      <c r="E6460">
        <v>0.63475380000000003</v>
      </c>
      <c r="F6460" t="s">
        <v>79</v>
      </c>
      <c r="G6460">
        <v>-180.90360000000001</v>
      </c>
      <c r="H6460" s="1">
        <v>-4.8559380000000002E-6</v>
      </c>
      <c r="I6460">
        <v>127.9054</v>
      </c>
      <c r="J6460">
        <v>-187.12559999999999</v>
      </c>
      <c r="K6460">
        <v>1.098095</v>
      </c>
      <c r="L6460">
        <v>121.5352</v>
      </c>
      <c r="M6460">
        <v>0.17885529999999999</v>
      </c>
      <c r="N6460">
        <v>-2.4942829999999999E-2</v>
      </c>
      <c r="O6460">
        <v>0.98355919999999997</v>
      </c>
      <c r="P6460">
        <v>0.3983757</v>
      </c>
      <c r="Q6460">
        <v>-1.836028E-3</v>
      </c>
      <c r="R6460">
        <v>0.91722049999999999</v>
      </c>
      <c r="S6460">
        <v>2.169861</v>
      </c>
      <c r="T6460">
        <v>-0.37794280000000002</v>
      </c>
      <c r="U6460">
        <v>2.3444820000000002</v>
      </c>
      <c r="V6460">
        <v>0.22841339999999999</v>
      </c>
      <c r="W6460">
        <v>1.5674730000000001E-2</v>
      </c>
      <c r="X6460">
        <v>0.97343800000000003</v>
      </c>
      <c r="Y6460">
        <v>0.53287629999999997</v>
      </c>
      <c r="Z6460">
        <v>-9.8593379999999994E-2</v>
      </c>
      <c r="AA6460">
        <v>0.8404298</v>
      </c>
      <c r="AB6460">
        <v>44</v>
      </c>
      <c r="AC6460">
        <v>6.22199999999998</v>
      </c>
      <c r="AD6460">
        <v>-1.098099855938</v>
      </c>
      <c r="AE6460">
        <v>6.3701999999999899</v>
      </c>
      <c r="AF6460">
        <v>4.9072848897119696</v>
      </c>
      <c r="AG6460">
        <v>-1.098099855938</v>
      </c>
      <c r="AH6460">
        <v>7.2700452247997402</v>
      </c>
      <c r="AI6460">
        <v>97.135900826984297</v>
      </c>
      <c r="AJ6460">
        <v>55.980626388082698</v>
      </c>
      <c r="AK6460">
        <v>8.8397299649389698</v>
      </c>
      <c r="AL6460">
        <v>89.101867308635207</v>
      </c>
      <c r="AM6460">
        <v>76.794667796226506</v>
      </c>
      <c r="AN6460">
        <v>0.99999995915206497</v>
      </c>
    </row>
    <row r="6461" spans="1:40" x14ac:dyDescent="0.25">
      <c r="A6461" t="str">
        <f>"20190305135953822"</f>
        <v>20190305135953822</v>
      </c>
      <c r="B6461" t="str">
        <f>"1551765593815166"</f>
        <v>1551765593815166</v>
      </c>
      <c r="C6461" t="s">
        <v>40</v>
      </c>
      <c r="D6461">
        <v>4.4301579999999996</v>
      </c>
      <c r="E6461">
        <v>0.65030089999999996</v>
      </c>
      <c r="F6461" t="s">
        <v>79</v>
      </c>
      <c r="G6461">
        <v>-180.73070000000001</v>
      </c>
      <c r="H6461" s="1">
        <v>-4.968178E-6</v>
      </c>
      <c r="I6461">
        <v>128.2449</v>
      </c>
      <c r="J6461">
        <v>-187.03819999999999</v>
      </c>
      <c r="K6461">
        <v>1.097783</v>
      </c>
      <c r="L6461">
        <v>121.9661</v>
      </c>
      <c r="M6461">
        <v>0.19057589999999999</v>
      </c>
      <c r="N6461">
        <v>-2.5303389999999999E-2</v>
      </c>
      <c r="O6461">
        <v>0.9813463</v>
      </c>
      <c r="P6461">
        <v>0.4116436</v>
      </c>
      <c r="Q6461">
        <v>-2.8395149999999999E-3</v>
      </c>
      <c r="R6461">
        <v>0.9113405</v>
      </c>
      <c r="S6461">
        <v>2.2041780000000002</v>
      </c>
      <c r="T6461">
        <v>-0.37848969999999998</v>
      </c>
      <c r="U6461">
        <v>2.3126530000000001</v>
      </c>
      <c r="V6461">
        <v>0.23091739999999999</v>
      </c>
      <c r="W6461">
        <v>1.4733090000000001E-2</v>
      </c>
      <c r="X6461">
        <v>0.9728618</v>
      </c>
      <c r="Y6461">
        <v>0.5350897</v>
      </c>
      <c r="Z6461">
        <v>-9.874397E-2</v>
      </c>
      <c r="AA6461">
        <v>0.83900459999999999</v>
      </c>
      <c r="AB6461">
        <v>43</v>
      </c>
      <c r="AC6461">
        <v>6.3074999999999699</v>
      </c>
      <c r="AD6461">
        <v>-1.0977879681780001</v>
      </c>
      <c r="AE6461">
        <v>6.2788000000000004</v>
      </c>
      <c r="AF6461">
        <v>4.9199959544366996</v>
      </c>
      <c r="AG6461">
        <v>-1.0977879681780001</v>
      </c>
      <c r="AH6461">
        <v>7.2556985659206497</v>
      </c>
      <c r="AI6461">
        <v>97.137728574564804</v>
      </c>
      <c r="AJ6461">
        <v>55.859308669679002</v>
      </c>
      <c r="AK6461">
        <v>8.8349680414958396</v>
      </c>
      <c r="AL6461">
        <v>89.155825578360407</v>
      </c>
      <c r="AM6461">
        <v>76.647434941912806</v>
      </c>
      <c r="AN6461">
        <v>0.99999999573147402</v>
      </c>
    </row>
    <row r="6462" spans="1:40" x14ac:dyDescent="0.25">
      <c r="A6462" t="str">
        <f>"20190305135953846"</f>
        <v>20190305135953846</v>
      </c>
      <c r="B6462" t="str">
        <f>"1551765593835507"</f>
        <v>1551765593835507</v>
      </c>
      <c r="C6462" t="s">
        <v>40</v>
      </c>
      <c r="D6462">
        <v>4.4234080000000002</v>
      </c>
      <c r="E6462">
        <v>0.65066400000000002</v>
      </c>
      <c r="F6462" t="s">
        <v>79</v>
      </c>
      <c r="G6462">
        <v>-179.75700000000001</v>
      </c>
      <c r="H6462" s="1">
        <v>-5.1080619999999996E-6</v>
      </c>
      <c r="I6462">
        <v>128.8732</v>
      </c>
      <c r="J6462">
        <v>-186.94739999999999</v>
      </c>
      <c r="K6462">
        <v>1.0974930000000001</v>
      </c>
      <c r="L6462">
        <v>122.3875</v>
      </c>
      <c r="M6462">
        <v>0.2024937</v>
      </c>
      <c r="N6462">
        <v>-2.5686290000000001E-2</v>
      </c>
      <c r="O6462">
        <v>0.9789466</v>
      </c>
      <c r="P6462">
        <v>0.4249291</v>
      </c>
      <c r="Q6462">
        <v>-2.2789239999999999E-3</v>
      </c>
      <c r="R6462">
        <v>0.90522380000000002</v>
      </c>
      <c r="S6462">
        <v>2.3500209999999999</v>
      </c>
      <c r="T6462">
        <v>-0.35431410000000002</v>
      </c>
      <c r="U6462">
        <v>2.229279</v>
      </c>
      <c r="V6462">
        <v>0.23335549999999999</v>
      </c>
      <c r="W6462">
        <v>1.538628E-2</v>
      </c>
      <c r="X6462">
        <v>0.97226979999999996</v>
      </c>
      <c r="Y6462">
        <v>0.56730849999999999</v>
      </c>
      <c r="Z6462">
        <v>-8.9963109999999999E-2</v>
      </c>
      <c r="AA6462">
        <v>0.81857659999999999</v>
      </c>
      <c r="AB6462">
        <v>43</v>
      </c>
      <c r="AC6462">
        <v>7.1903999999999799</v>
      </c>
      <c r="AD6462">
        <v>-1.0974981080619901</v>
      </c>
      <c r="AE6462">
        <v>6.4856999999999898</v>
      </c>
      <c r="AF6462">
        <v>5.6549518190993098</v>
      </c>
      <c r="AG6462">
        <v>-1.0974981080619901</v>
      </c>
      <c r="AH6462">
        <v>7.70871638594536</v>
      </c>
      <c r="AI6462">
        <v>96.548620029856295</v>
      </c>
      <c r="AJ6462">
        <v>53.737013171448403</v>
      </c>
      <c r="AK6462">
        <v>9.6232681814691592</v>
      </c>
      <c r="AL6462">
        <v>89.118396346577001</v>
      </c>
      <c r="AM6462">
        <v>76.503667837614799</v>
      </c>
      <c r="AN6462">
        <v>1.00000004549226</v>
      </c>
    </row>
    <row r="6463" spans="1:40" x14ac:dyDescent="0.25">
      <c r="A6463" t="str">
        <f>"20190305135953867"</f>
        <v>20190305135953867</v>
      </c>
      <c r="B6463" t="str">
        <f>"1551765593865763"</f>
        <v>1551765593865763</v>
      </c>
      <c r="C6463" t="s">
        <v>40</v>
      </c>
      <c r="D6463">
        <v>4.416639</v>
      </c>
      <c r="E6463">
        <v>0.65013799999999999</v>
      </c>
      <c r="F6463" t="s">
        <v>79</v>
      </c>
      <c r="G6463">
        <v>-179.86709999999999</v>
      </c>
      <c r="H6463" s="1">
        <v>-5.1860569999999899E-6</v>
      </c>
      <c r="I6463">
        <v>128.89699999999999</v>
      </c>
      <c r="J6463">
        <v>-186.85400000000001</v>
      </c>
      <c r="K6463">
        <v>1.0972120000000001</v>
      </c>
      <c r="L6463">
        <v>122.79559999999999</v>
      </c>
      <c r="M6463">
        <v>0.2144884</v>
      </c>
      <c r="N6463">
        <v>-2.6066189999999999E-2</v>
      </c>
      <c r="O6463">
        <v>0.97637870000000004</v>
      </c>
      <c r="P6463">
        <v>0.43915890000000002</v>
      </c>
      <c r="Q6463">
        <v>-1.308387E-3</v>
      </c>
      <c r="R6463">
        <v>0.89840849999999906</v>
      </c>
      <c r="S6463">
        <v>2.3856199999999999</v>
      </c>
      <c r="T6463">
        <v>-0.36979269999999997</v>
      </c>
      <c r="U6463">
        <v>2.193314</v>
      </c>
      <c r="V6463">
        <v>0.23681779999999999</v>
      </c>
      <c r="W6463">
        <v>1.6412299999999901E-2</v>
      </c>
      <c r="X6463">
        <v>0.97141549999999999</v>
      </c>
      <c r="Y6463">
        <v>0.56962979999999996</v>
      </c>
      <c r="Z6463">
        <v>-9.4816700000000004E-2</v>
      </c>
      <c r="AA6463">
        <v>0.81641390000000003</v>
      </c>
      <c r="AB6463">
        <v>43</v>
      </c>
      <c r="AC6463">
        <v>6.9869000000000101</v>
      </c>
      <c r="AD6463">
        <v>-1.0972171860569999</v>
      </c>
      <c r="AE6463">
        <v>6.1014000000000204</v>
      </c>
      <c r="AF6463">
        <v>5.4389551592654897</v>
      </c>
      <c r="AG6463">
        <v>-1.0972171860569999</v>
      </c>
      <c r="AH6463">
        <v>7.3555051062203898</v>
      </c>
      <c r="AI6463">
        <v>96.839430615760193</v>
      </c>
      <c r="AJ6463">
        <v>53.5192946099396</v>
      </c>
      <c r="AK6463">
        <v>9.2135538282203395</v>
      </c>
      <c r="AL6463">
        <v>89.0596023071339</v>
      </c>
      <c r="AM6463">
        <v>76.299319285461806</v>
      </c>
      <c r="AN6463">
        <v>1.00000005381418</v>
      </c>
    </row>
    <row r="6464" spans="1:40" x14ac:dyDescent="0.25">
      <c r="A6464" t="str">
        <f>"20190305135953879"</f>
        <v>20190305135953879</v>
      </c>
      <c r="B6464" t="str">
        <f>"1551765593875523"</f>
        <v>1551765593875523</v>
      </c>
      <c r="C6464" t="s">
        <v>40</v>
      </c>
      <c r="D6464">
        <v>4.4174600000000002</v>
      </c>
      <c r="E6464">
        <v>0.64993749999999995</v>
      </c>
      <c r="F6464" t="s">
        <v>79</v>
      </c>
      <c r="G6464">
        <v>-179.8571</v>
      </c>
      <c r="H6464" s="1">
        <v>-5.2164919999999997E-6</v>
      </c>
      <c r="I6464">
        <v>129.0395</v>
      </c>
      <c r="J6464">
        <v>-186.80420000000001</v>
      </c>
      <c r="K6464">
        <v>1.097067</v>
      </c>
      <c r="L6464">
        <v>123.006</v>
      </c>
      <c r="M6464">
        <v>0.22080900000000001</v>
      </c>
      <c r="N6464">
        <v>-2.626098E-2</v>
      </c>
      <c r="O6464">
        <v>0.97496349999999998</v>
      </c>
      <c r="P6464">
        <v>0.44619639999999999</v>
      </c>
      <c r="Q6464">
        <v>-7.5263249999999999E-4</v>
      </c>
      <c r="R6464">
        <v>0.89493480000000003</v>
      </c>
      <c r="S6464">
        <v>2.4172669999999998</v>
      </c>
      <c r="T6464">
        <v>-0.37906190000000001</v>
      </c>
      <c r="U6464">
        <v>2.1571039999999999</v>
      </c>
      <c r="V6464">
        <v>0.2381778</v>
      </c>
      <c r="W6464">
        <v>1.7009699999999999E-2</v>
      </c>
      <c r="X6464">
        <v>0.97107259999999995</v>
      </c>
      <c r="Y6464">
        <v>0.57615810000000001</v>
      </c>
      <c r="Z6464">
        <v>-9.7905950000000005E-2</v>
      </c>
      <c r="AA6464">
        <v>0.81145319999999899</v>
      </c>
      <c r="AB6464">
        <v>42</v>
      </c>
      <c r="AC6464">
        <v>6.9470999999999998</v>
      </c>
      <c r="AD6464">
        <v>-1.0970722164919999</v>
      </c>
      <c r="AE6464">
        <v>6.0335000000000001</v>
      </c>
      <c r="AF6464">
        <v>5.36650666145849</v>
      </c>
      <c r="AG6464">
        <v>-1.0970722164919999</v>
      </c>
      <c r="AH6464">
        <v>7.3149958574268696</v>
      </c>
      <c r="AI6464">
        <v>96.894960843362497</v>
      </c>
      <c r="AJ6464">
        <v>53.7350785492714</v>
      </c>
      <c r="AK6464">
        <v>9.1384968999200993</v>
      </c>
      <c r="AL6464">
        <v>89.025368971578501</v>
      </c>
      <c r="AM6464">
        <v>76.218949226906304</v>
      </c>
      <c r="AN6464">
        <v>0.99999999438884402</v>
      </c>
    </row>
    <row r="6465" spans="1:40" x14ac:dyDescent="0.25">
      <c r="A6465" t="str">
        <f>"20190305135953890"</f>
        <v>20190305135953890</v>
      </c>
      <c r="B6465" t="str">
        <f>"1551765593885284"</f>
        <v>1551765593885284</v>
      </c>
      <c r="C6465" t="s">
        <v>40</v>
      </c>
      <c r="D6465">
        <v>4.4261150000000002</v>
      </c>
      <c r="E6465">
        <v>0.64985360000000003</v>
      </c>
      <c r="F6465" t="s">
        <v>79</v>
      </c>
      <c r="G6465">
        <v>-179.78819999999999</v>
      </c>
      <c r="H6465" s="1">
        <v>-5.2061549999999996E-6</v>
      </c>
      <c r="I6465">
        <v>129.17269999999999</v>
      </c>
      <c r="J6465">
        <v>-186.75399999999999</v>
      </c>
      <c r="K6465">
        <v>1.0969329999999999</v>
      </c>
      <c r="L6465">
        <v>123.2081</v>
      </c>
      <c r="M6465">
        <v>0.2270914</v>
      </c>
      <c r="N6465">
        <v>-2.644643E-2</v>
      </c>
      <c r="O6465">
        <v>0.97351430000000005</v>
      </c>
      <c r="P6465">
        <v>0.45325110000000002</v>
      </c>
      <c r="Q6465">
        <v>-4.9463290000000004E-4</v>
      </c>
      <c r="R6465">
        <v>0.89138280000000003</v>
      </c>
      <c r="S6465">
        <v>2.4332729999999998</v>
      </c>
      <c r="T6465">
        <v>-0.38048149999999997</v>
      </c>
      <c r="U6465">
        <v>2.1387019999999999</v>
      </c>
      <c r="V6465">
        <v>0.2396047</v>
      </c>
      <c r="W6465">
        <v>1.7301E-2</v>
      </c>
      <c r="X6465">
        <v>0.97071640000000003</v>
      </c>
      <c r="Y6465">
        <v>0.57696599999999998</v>
      </c>
      <c r="Z6465">
        <v>-9.837195E-2</v>
      </c>
      <c r="AA6465">
        <v>0.8108225</v>
      </c>
      <c r="AB6465">
        <v>42</v>
      </c>
      <c r="AC6465">
        <v>6.96580000000003</v>
      </c>
      <c r="AD6465">
        <v>-1.0969382061549999</v>
      </c>
      <c r="AE6465">
        <v>5.9645999999999901</v>
      </c>
      <c r="AF6465">
        <v>5.35211799649122</v>
      </c>
      <c r="AG6465">
        <v>-1.0969382061549999</v>
      </c>
      <c r="AH6465">
        <v>7.2868230169392696</v>
      </c>
      <c r="AI6465">
        <v>96.917706423151998</v>
      </c>
      <c r="AJ6465">
        <v>53.7029911226198</v>
      </c>
      <c r="AK6465">
        <v>9.1074820975220003</v>
      </c>
      <c r="AL6465">
        <v>89.008676292614695</v>
      </c>
      <c r="AM6465">
        <v>76.134673103175501</v>
      </c>
      <c r="AN6465">
        <v>1.0000000330460199</v>
      </c>
    </row>
    <row r="6466" spans="1:40" x14ac:dyDescent="0.25">
      <c r="A6466" t="str">
        <f>"20190305135953901"</f>
        <v>20190305135953901</v>
      </c>
      <c r="B6466" t="str">
        <f>"1551765593895043"</f>
        <v>1551765593895043</v>
      </c>
      <c r="C6466" t="s">
        <v>40</v>
      </c>
      <c r="D6466">
        <v>4.4068399999999999</v>
      </c>
      <c r="E6466">
        <v>0.64987589999999995</v>
      </c>
      <c r="F6466" t="s">
        <v>79</v>
      </c>
      <c r="G6466">
        <v>-179.73929999999999</v>
      </c>
      <c r="H6466" s="1">
        <v>-5.2009789999999999E-6</v>
      </c>
      <c r="I6466">
        <v>129.27539999999999</v>
      </c>
      <c r="J6466">
        <v>-186.7002</v>
      </c>
      <c r="K6466">
        <v>1.096784</v>
      </c>
      <c r="L6466">
        <v>123.4216</v>
      </c>
      <c r="M6466">
        <v>0.23379040000000001</v>
      </c>
      <c r="N6466">
        <v>-2.663921E-2</v>
      </c>
      <c r="O6466">
        <v>0.97192199999999995</v>
      </c>
      <c r="P6466">
        <v>0.4606672</v>
      </c>
      <c r="Q6466">
        <v>-6.4261259999999997E-4</v>
      </c>
      <c r="R6466">
        <v>0.88757269999999899</v>
      </c>
      <c r="S6466">
        <v>2.450348</v>
      </c>
      <c r="T6466">
        <v>-0.38317849999999998</v>
      </c>
      <c r="U6466">
        <v>2.119415</v>
      </c>
      <c r="V6466">
        <v>0.24101929999999999</v>
      </c>
      <c r="W6466">
        <v>1.7188490000000001E-2</v>
      </c>
      <c r="X6466">
        <v>0.97036809999999996</v>
      </c>
      <c r="Y6466">
        <v>0.57772639999999997</v>
      </c>
      <c r="Z6466">
        <v>-9.9230070000000004E-2</v>
      </c>
      <c r="AA6466">
        <v>0.81017629999999996</v>
      </c>
      <c r="AB6466">
        <v>42</v>
      </c>
      <c r="AC6466">
        <v>6.9608999999999996</v>
      </c>
      <c r="AD6466">
        <v>-1.0967892009789999</v>
      </c>
      <c r="AE6466">
        <v>5.8537999999999899</v>
      </c>
      <c r="AF6466">
        <v>5.32142050096075</v>
      </c>
      <c r="AG6466">
        <v>-1.0967892009789999</v>
      </c>
      <c r="AH6466">
        <v>7.2145114221373801</v>
      </c>
      <c r="AI6466">
        <v>96.975170196698201</v>
      </c>
      <c r="AJ6466">
        <v>53.587530585750699</v>
      </c>
      <c r="AK6466">
        <v>9.0315910978952303</v>
      </c>
      <c r="AL6466">
        <v>89.015123565088302</v>
      </c>
      <c r="AM6466">
        <v>76.051189513335004</v>
      </c>
      <c r="AN6466">
        <v>0.99999999832928999</v>
      </c>
    </row>
    <row r="6467" spans="1:40" x14ac:dyDescent="0.25">
      <c r="A6467" t="str">
        <f>"20190305135953913"</f>
        <v>20190305135953913</v>
      </c>
      <c r="B6467" t="str">
        <f>"1551765593905780"</f>
        <v>1551765593905780</v>
      </c>
      <c r="C6467" t="s">
        <v>40</v>
      </c>
      <c r="D6467">
        <v>4.4036379999999999</v>
      </c>
      <c r="E6467">
        <v>0.64987039999999996</v>
      </c>
      <c r="F6467" t="s">
        <v>79</v>
      </c>
      <c r="G6467">
        <v>-179.655</v>
      </c>
      <c r="H6467" s="1">
        <v>-5.1780740000000002E-6</v>
      </c>
      <c r="I6467">
        <v>129.4101</v>
      </c>
      <c r="J6467">
        <v>-186.63919999999999</v>
      </c>
      <c r="K6467">
        <v>1.0966229999999999</v>
      </c>
      <c r="L6467">
        <v>123.655</v>
      </c>
      <c r="M6467">
        <v>0.24130480000000001</v>
      </c>
      <c r="N6467">
        <v>-2.684576E-2</v>
      </c>
      <c r="O6467">
        <v>0.970078</v>
      </c>
      <c r="P6467">
        <v>0.46918680000000001</v>
      </c>
      <c r="Q6467">
        <v>-4.896093E-4</v>
      </c>
      <c r="R6467">
        <v>0.88309879999999996</v>
      </c>
      <c r="S6467">
        <v>2.4686889999999999</v>
      </c>
      <c r="T6467">
        <v>-0.3843222</v>
      </c>
      <c r="U6467">
        <v>2.0984189999999998</v>
      </c>
      <c r="V6467">
        <v>0.242864</v>
      </c>
      <c r="W6467">
        <v>1.736393E-2</v>
      </c>
      <c r="X6467">
        <v>0.96990489999999996</v>
      </c>
      <c r="Y6467">
        <v>0.57836119999999902</v>
      </c>
      <c r="Z6467">
        <v>-9.9595139999999999E-2</v>
      </c>
      <c r="AA6467">
        <v>0.80967849999999997</v>
      </c>
      <c r="AB6467">
        <v>42</v>
      </c>
      <c r="AC6467">
        <v>6.98419999999998</v>
      </c>
      <c r="AD6467">
        <v>-1.0966281780739999</v>
      </c>
      <c r="AE6467">
        <v>5.7550999999999899</v>
      </c>
      <c r="AF6467">
        <v>5.3104507524645497</v>
      </c>
      <c r="AG6467">
        <v>-1.0966281780739999</v>
      </c>
      <c r="AH6467">
        <v>7.1656199048279499</v>
      </c>
      <c r="AI6467">
        <v>97.009641226174793</v>
      </c>
      <c r="AJ6467">
        <v>53.457804925252397</v>
      </c>
      <c r="AK6467">
        <v>8.9860775189046596</v>
      </c>
      <c r="AL6467">
        <v>89.005070066676893</v>
      </c>
      <c r="AM6467">
        <v>75.942198779991898</v>
      </c>
      <c r="AN6467">
        <v>0.99999997180252698</v>
      </c>
    </row>
    <row r="6468" spans="1:40" x14ac:dyDescent="0.25">
      <c r="A6468" t="str">
        <f>"20190305135953925"</f>
        <v>20190305135953925</v>
      </c>
      <c r="B6468" t="str">
        <f>"1551765593915539"</f>
        <v>1551765593915539</v>
      </c>
      <c r="C6468" t="s">
        <v>40</v>
      </c>
      <c r="D6468">
        <v>4.4087829999999997</v>
      </c>
      <c r="E6468">
        <v>0.649899</v>
      </c>
      <c r="F6468" t="s">
        <v>79</v>
      </c>
      <c r="G6468">
        <v>-179.54849999999999</v>
      </c>
      <c r="H6468" s="1">
        <v>-5.1408849999999898E-6</v>
      </c>
      <c r="I6468">
        <v>129.5643</v>
      </c>
      <c r="J6468">
        <v>-186.5889</v>
      </c>
      <c r="K6468">
        <v>1.0964929999999999</v>
      </c>
      <c r="L6468">
        <v>123.84180000000001</v>
      </c>
      <c r="M6468">
        <v>0.2474528</v>
      </c>
      <c r="N6468">
        <v>-2.7007E-2</v>
      </c>
      <c r="O6468">
        <v>0.96852349999999998</v>
      </c>
      <c r="P6468">
        <v>0.47655449999999999</v>
      </c>
      <c r="Q6468">
        <v>-1.0483149999999999E-4</v>
      </c>
      <c r="R6468">
        <v>0.87914490000000001</v>
      </c>
      <c r="S6468">
        <v>2.489166</v>
      </c>
      <c r="T6468">
        <v>-0.38496900000000001</v>
      </c>
      <c r="U6468">
        <v>2.0744319999999998</v>
      </c>
      <c r="V6468">
        <v>0.24484420000000001</v>
      </c>
      <c r="W6468">
        <v>1.7742480000000001E-2</v>
      </c>
      <c r="X6468">
        <v>0.96940000000000004</v>
      </c>
      <c r="Y6468">
        <v>0.58104940000000005</v>
      </c>
      <c r="Z6468">
        <v>-9.9859840000000005E-2</v>
      </c>
      <c r="AA6468">
        <v>0.80771879999999996</v>
      </c>
      <c r="AB6468">
        <v>42</v>
      </c>
      <c r="AC6468">
        <v>7.0404</v>
      </c>
      <c r="AD6468">
        <v>-1.0964981408850001</v>
      </c>
      <c r="AE6468">
        <v>5.7224999999999904</v>
      </c>
      <c r="AF6468">
        <v>5.3269089619612497</v>
      </c>
      <c r="AG6468">
        <v>-1.0964981408850001</v>
      </c>
      <c r="AH6468">
        <v>7.18229345390644</v>
      </c>
      <c r="AI6468">
        <v>96.990817497207004</v>
      </c>
      <c r="AJ6468">
        <v>53.4366914959352</v>
      </c>
      <c r="AK6468">
        <v>9.0090846660476398</v>
      </c>
      <c r="AL6468">
        <v>88.983377352674395</v>
      </c>
      <c r="AM6468">
        <v>75.825094275093406</v>
      </c>
      <c r="AN6468">
        <v>0.99999991893509099</v>
      </c>
    </row>
    <row r="6469" spans="1:40" x14ac:dyDescent="0.25">
      <c r="A6469" t="str">
        <f>"20190305135953936"</f>
        <v>20190305135953936</v>
      </c>
      <c r="B6469" t="str">
        <f>"1551765593925299"</f>
        <v>1551765593925299</v>
      </c>
      <c r="C6469" t="s">
        <v>40</v>
      </c>
      <c r="D6469">
        <v>4.4028010000000002</v>
      </c>
      <c r="E6469">
        <v>0.64992830000000001</v>
      </c>
      <c r="F6469" t="s">
        <v>79</v>
      </c>
      <c r="G6469">
        <v>-179.52330000000001</v>
      </c>
      <c r="H6469" s="1">
        <v>-5.1405719999999996E-6</v>
      </c>
      <c r="I6469">
        <v>129.6293</v>
      </c>
      <c r="J6469">
        <v>-186.53290000000001</v>
      </c>
      <c r="K6469">
        <v>1.0963510000000001</v>
      </c>
      <c r="L6469">
        <v>124.0454</v>
      </c>
      <c r="M6469">
        <v>0.25423689999999999</v>
      </c>
      <c r="N6469">
        <v>-2.717922E-2</v>
      </c>
      <c r="O6469">
        <v>0.96675999999999995</v>
      </c>
      <c r="P6469">
        <v>0.48461530000000003</v>
      </c>
      <c r="Q6469">
        <v>1.9987299999999999E-4</v>
      </c>
      <c r="R6469">
        <v>0.87472739999999904</v>
      </c>
      <c r="S6469">
        <v>2.5069119999999998</v>
      </c>
      <c r="T6469">
        <v>-0.38904670000000002</v>
      </c>
      <c r="U6469">
        <v>2.0534520000000001</v>
      </c>
      <c r="V6469">
        <v>0.24697830000000001</v>
      </c>
      <c r="W6469">
        <v>1.803712E-2</v>
      </c>
      <c r="X6469">
        <v>0.96885310000000002</v>
      </c>
      <c r="Y6469">
        <v>0.58209040000000001</v>
      </c>
      <c r="Z6469">
        <v>-0.1011775</v>
      </c>
      <c r="AA6469">
        <v>0.80680479999999999</v>
      </c>
      <c r="AB6469">
        <v>42</v>
      </c>
      <c r="AC6469">
        <v>7.0095999999999998</v>
      </c>
      <c r="AD6469">
        <v>-1.0963561405719999</v>
      </c>
      <c r="AE6469">
        <v>5.5838999999999999</v>
      </c>
      <c r="AF6469">
        <v>5.2799270538816003</v>
      </c>
      <c r="AG6469">
        <v>-1.0963561405719999</v>
      </c>
      <c r="AH6469">
        <v>7.0771264451380098</v>
      </c>
      <c r="AI6469">
        <v>97.078022030442696</v>
      </c>
      <c r="AJ6469">
        <v>53.275029160167101</v>
      </c>
      <c r="AK6469">
        <v>8.8974909497988595</v>
      </c>
      <c r="AL6469">
        <v>88.966493077465898</v>
      </c>
      <c r="AM6469">
        <v>75.698848233735006</v>
      </c>
      <c r="AN6469">
        <v>0.99999997387419604</v>
      </c>
    </row>
    <row r="6470" spans="1:40" x14ac:dyDescent="0.25">
      <c r="A6470" t="str">
        <f>"20190305135953947"</f>
        <v>20190305135953947</v>
      </c>
      <c r="B6470" t="str">
        <f>"1551765593945795"</f>
        <v>1551765593945795</v>
      </c>
      <c r="C6470" t="s">
        <v>40</v>
      </c>
      <c r="D6470">
        <v>4.4115679999999999</v>
      </c>
      <c r="E6470">
        <v>0.64980269999999996</v>
      </c>
      <c r="F6470" t="s">
        <v>79</v>
      </c>
      <c r="G6470">
        <v>-179.50049999999999</v>
      </c>
      <c r="H6470" s="1">
        <v>-5.1507429999999998E-6</v>
      </c>
      <c r="I6470">
        <v>129.69720000000001</v>
      </c>
      <c r="J6470">
        <v>-186.47389999999999</v>
      </c>
      <c r="K6470">
        <v>1.0962080000000001</v>
      </c>
      <c r="L6470">
        <v>124.2521</v>
      </c>
      <c r="M6470">
        <v>0.26132610000000001</v>
      </c>
      <c r="N6470">
        <v>-2.734609E-2</v>
      </c>
      <c r="O6470">
        <v>0.96486309999999997</v>
      </c>
      <c r="P6470">
        <v>0.49319089999999999</v>
      </c>
      <c r="Q6470" s="1">
        <v>-9.4687569999999996E-5</v>
      </c>
      <c r="R6470">
        <v>0.869921099999999</v>
      </c>
      <c r="S6470">
        <v>2.526154</v>
      </c>
      <c r="T6470">
        <v>-0.39382650000000002</v>
      </c>
      <c r="U6470">
        <v>2.0301819999999999</v>
      </c>
      <c r="V6470">
        <v>0.24939040000000001</v>
      </c>
      <c r="W6470">
        <v>1.7713880000000001E-2</v>
      </c>
      <c r="X6470">
        <v>0.96824100000000002</v>
      </c>
      <c r="Y6470">
        <v>0.58351370000000002</v>
      </c>
      <c r="Z6470">
        <v>-0.102741</v>
      </c>
      <c r="AA6470">
        <v>0.80557809999999996</v>
      </c>
      <c r="AB6470">
        <v>42</v>
      </c>
      <c r="AC6470">
        <v>6.9733999999999901</v>
      </c>
      <c r="AD6470">
        <v>-1.096213150743</v>
      </c>
      <c r="AE6470">
        <v>5.4451000000000098</v>
      </c>
      <c r="AF6470">
        <v>5.2271692031552597</v>
      </c>
      <c r="AG6470">
        <v>-1.096213150743</v>
      </c>
      <c r="AH6470">
        <v>6.97172783083938</v>
      </c>
      <c r="AI6470">
        <v>97.170348650830704</v>
      </c>
      <c r="AJ6470">
        <v>53.138659132278796</v>
      </c>
      <c r="AK6470">
        <v>8.7823669985703301</v>
      </c>
      <c r="AL6470">
        <v>88.985016345478698</v>
      </c>
      <c r="AM6470">
        <v>75.556242247329095</v>
      </c>
      <c r="AN6470">
        <v>0.99999999361890701</v>
      </c>
    </row>
    <row r="6471" spans="1:40" x14ac:dyDescent="0.25">
      <c r="A6471" t="str">
        <f>"20190305135953959"</f>
        <v>20190305135953959</v>
      </c>
      <c r="B6471" t="str">
        <f>"1551765593955555"</f>
        <v>1551765593955555</v>
      </c>
      <c r="C6471" t="s">
        <v>40</v>
      </c>
      <c r="D6471">
        <v>4.4133839999999998</v>
      </c>
      <c r="E6471">
        <v>0.64973099999999995</v>
      </c>
      <c r="F6471" t="s">
        <v>79</v>
      </c>
      <c r="G6471">
        <v>-179.58459999999999</v>
      </c>
      <c r="H6471" s="1">
        <v>-5.2019229999999997E-6</v>
      </c>
      <c r="I6471">
        <v>129.68090000000001</v>
      </c>
      <c r="J6471">
        <v>-186.41300000000001</v>
      </c>
      <c r="K6471">
        <v>1.0960589999999999</v>
      </c>
      <c r="L6471">
        <v>124.4623</v>
      </c>
      <c r="M6471">
        <v>0.26859709999999998</v>
      </c>
      <c r="N6471">
        <v>-2.7510349999999999E-2</v>
      </c>
      <c r="O6471">
        <v>0.96285969999999999</v>
      </c>
      <c r="P6471">
        <v>0.50152959999999902</v>
      </c>
      <c r="Q6471">
        <v>-4.013237E-4</v>
      </c>
      <c r="R6471">
        <v>0.86514040000000003</v>
      </c>
      <c r="S6471">
        <v>2.5451510000000002</v>
      </c>
      <c r="T6471">
        <v>-0.40497880000000003</v>
      </c>
      <c r="U6471">
        <v>2.0055689999999999</v>
      </c>
      <c r="V6471">
        <v>0.25139149999999999</v>
      </c>
      <c r="W6471">
        <v>1.7389680000000001E-2</v>
      </c>
      <c r="X6471">
        <v>0.96772930000000001</v>
      </c>
      <c r="Y6471">
        <v>0.58480330000000003</v>
      </c>
      <c r="Z6471">
        <v>-0.106364</v>
      </c>
      <c r="AA6471">
        <v>0.80417139999999998</v>
      </c>
      <c r="AB6471">
        <v>41</v>
      </c>
      <c r="AC6471">
        <v>6.8283999999999798</v>
      </c>
      <c r="AD6471">
        <v>-1.096064201923</v>
      </c>
      <c r="AE6471">
        <v>5.2186000000000003</v>
      </c>
      <c r="AF6471">
        <v>5.0922232277055599</v>
      </c>
      <c r="AG6471">
        <v>-1.096064201923</v>
      </c>
      <c r="AH6471">
        <v>6.7516484215009296</v>
      </c>
      <c r="AI6471">
        <v>97.384893521912801</v>
      </c>
      <c r="AJ6471">
        <v>52.975698391572898</v>
      </c>
      <c r="AK6471">
        <v>8.5274175776185199</v>
      </c>
      <c r="AL6471">
        <v>89.003594548126898</v>
      </c>
      <c r="AM6471">
        <v>75.437880741690094</v>
      </c>
      <c r="AN6471">
        <v>1.0000000426606199</v>
      </c>
    </row>
    <row r="6472" spans="1:40" x14ac:dyDescent="0.25">
      <c r="A6472" t="str">
        <f>"20190305135953970"</f>
        <v>20190305135953970</v>
      </c>
      <c r="B6472" t="str">
        <f>"1551765593965315"</f>
        <v>1551765593965315</v>
      </c>
      <c r="C6472" t="s">
        <v>40</v>
      </c>
      <c r="D6472">
        <v>4.430752</v>
      </c>
      <c r="E6472">
        <v>0.6498621</v>
      </c>
      <c r="F6472" t="s">
        <v>79</v>
      </c>
      <c r="G6472">
        <v>-179.548</v>
      </c>
      <c r="H6472" s="1">
        <v>-5.2100089999999997E-6</v>
      </c>
      <c r="I6472">
        <v>129.7679</v>
      </c>
      <c r="J6472">
        <v>-186.3553</v>
      </c>
      <c r="K6472">
        <v>1.0959239999999999</v>
      </c>
      <c r="L6472">
        <v>124.65309999999999</v>
      </c>
      <c r="M6472">
        <v>0.27541949999999998</v>
      </c>
      <c r="N6472">
        <v>-2.7644430000000001E-2</v>
      </c>
      <c r="O6472">
        <v>0.96092659999999996</v>
      </c>
      <c r="P6472">
        <v>0.50941689999999995</v>
      </c>
      <c r="Q6472">
        <v>-1.0389590000000001E-3</v>
      </c>
      <c r="R6472">
        <v>0.86051919999999904</v>
      </c>
      <c r="S6472">
        <v>2.5636290000000002</v>
      </c>
      <c r="T6472">
        <v>-0.40930719999999998</v>
      </c>
      <c r="U6472">
        <v>1.981277</v>
      </c>
      <c r="V6472">
        <v>0.25335930000000001</v>
      </c>
      <c r="W6472">
        <v>1.671315E-2</v>
      </c>
      <c r="X6472">
        <v>0.96722790000000003</v>
      </c>
      <c r="Y6472">
        <v>0.58650049999999998</v>
      </c>
      <c r="Z6472">
        <v>-0.10784009999999999</v>
      </c>
      <c r="AA6472">
        <v>0.8027377</v>
      </c>
      <c r="AB6472">
        <v>41</v>
      </c>
      <c r="AC6472">
        <v>6.8072999999999899</v>
      </c>
      <c r="AD6472">
        <v>-1.0959292100089999</v>
      </c>
      <c r="AE6472">
        <v>5.1147999999999998</v>
      </c>
      <c r="AF6472">
        <v>5.05088797701179</v>
      </c>
      <c r="AG6472">
        <v>-1.0959292100089999</v>
      </c>
      <c r="AH6472">
        <v>6.6817154071956297</v>
      </c>
      <c r="AI6472">
        <v>97.454356329588606</v>
      </c>
      <c r="AJ6472">
        <v>52.913387052781097</v>
      </c>
      <c r="AK6472">
        <v>8.4473576325634898</v>
      </c>
      <c r="AL6472">
        <v>89.042362492212106</v>
      </c>
      <c r="AM6472">
        <v>75.3215166015394</v>
      </c>
      <c r="AN6472">
        <v>1.00000003740891</v>
      </c>
    </row>
    <row r="6473" spans="1:40" x14ac:dyDescent="0.25">
      <c r="A6473" t="str">
        <f>"20190305135953983"</f>
        <v>20190305135953983</v>
      </c>
      <c r="B6473" t="str">
        <f>"1551765593975076"</f>
        <v>1551765593975076</v>
      </c>
      <c r="C6473" t="s">
        <v>40</v>
      </c>
      <c r="D6473">
        <v>4.430911</v>
      </c>
      <c r="E6473">
        <v>0.64968579999999998</v>
      </c>
      <c r="F6473" t="s">
        <v>79</v>
      </c>
      <c r="G6473">
        <v>-179.51589999999999</v>
      </c>
      <c r="H6473" s="1">
        <v>-5.2138550000000004E-6</v>
      </c>
      <c r="I6473">
        <v>129.83580000000001</v>
      </c>
      <c r="J6473">
        <v>-186.28360000000001</v>
      </c>
      <c r="K6473">
        <v>1.09575</v>
      </c>
      <c r="L6473">
        <v>124.8861</v>
      </c>
      <c r="M6473">
        <v>0.28385060000000001</v>
      </c>
      <c r="N6473">
        <v>-2.7793379999999999E-2</v>
      </c>
      <c r="O6473">
        <v>0.95846560000000003</v>
      </c>
      <c r="P6473">
        <v>0.51878179999999996</v>
      </c>
      <c r="Q6473">
        <v>-1.2785310000000001E-3</v>
      </c>
      <c r="R6473">
        <v>0.85490580000000005</v>
      </c>
      <c r="S6473">
        <v>2.582535</v>
      </c>
      <c r="T6473">
        <v>-0.41381689999999999</v>
      </c>
      <c r="U6473">
        <v>1.956955</v>
      </c>
      <c r="V6473">
        <v>0.25542290000000001</v>
      </c>
      <c r="W6473">
        <v>1.64247E-2</v>
      </c>
      <c r="X6473">
        <v>0.96668989999999999</v>
      </c>
      <c r="Y6473">
        <v>0.58689659999999999</v>
      </c>
      <c r="Z6473">
        <v>-0.109331399999999</v>
      </c>
      <c r="AA6473">
        <v>0.80224629999999997</v>
      </c>
      <c r="AB6473">
        <v>41</v>
      </c>
      <c r="AC6473">
        <v>6.7677000000000103</v>
      </c>
      <c r="AD6473">
        <v>-1.095755213855</v>
      </c>
      <c r="AE6473">
        <v>4.9497</v>
      </c>
      <c r="AF6473">
        <v>4.9982312674700804</v>
      </c>
      <c r="AG6473">
        <v>-1.095755213855</v>
      </c>
      <c r="AH6473">
        <v>6.5557430079961296</v>
      </c>
      <c r="AI6473">
        <v>97.571309167174704</v>
      </c>
      <c r="AJ6473">
        <v>52.677368797393001</v>
      </c>
      <c r="AK6473">
        <v>8.3162949489959903</v>
      </c>
      <c r="AL6473">
        <v>89.058891689019703</v>
      </c>
      <c r="AM6473">
        <v>75.199312385916301</v>
      </c>
      <c r="AN6473">
        <v>0.99999999568825404</v>
      </c>
    </row>
    <row r="6474" spans="1:40" x14ac:dyDescent="0.25">
      <c r="A6474" t="str">
        <f>"20190305135953994"</f>
        <v>20190305135953994</v>
      </c>
      <c r="B6474" t="str">
        <f>"1551765593985811"</f>
        <v>1551765593985811</v>
      </c>
      <c r="C6474" t="s">
        <v>40</v>
      </c>
      <c r="D6474">
        <v>4.4334980000000002</v>
      </c>
      <c r="E6474">
        <v>0.64936799999999995</v>
      </c>
      <c r="F6474" t="s">
        <v>79</v>
      </c>
      <c r="G6474">
        <v>-179.4462</v>
      </c>
      <c r="H6474" s="1">
        <v>-5.2109689999999999E-6</v>
      </c>
      <c r="I6474">
        <v>129.95339999999999</v>
      </c>
      <c r="J6474">
        <v>-186.2175</v>
      </c>
      <c r="K6474">
        <v>1.0955870000000001</v>
      </c>
      <c r="L6474">
        <v>125.0943</v>
      </c>
      <c r="M6474">
        <v>0.29154930000000001</v>
      </c>
      <c r="N6474">
        <v>-2.7906279999999999E-2</v>
      </c>
      <c r="O6474">
        <v>0.95614869999999996</v>
      </c>
      <c r="P6474">
        <v>0.52734399999999904</v>
      </c>
      <c r="Q6474">
        <v>-2.035888E-3</v>
      </c>
      <c r="R6474">
        <v>0.8496494</v>
      </c>
      <c r="S6474">
        <v>2.6028440000000002</v>
      </c>
      <c r="T6474">
        <v>-0.41713250000000002</v>
      </c>
      <c r="U6474">
        <v>1.9290309999999999</v>
      </c>
      <c r="V6474">
        <v>0.25734109999999999</v>
      </c>
      <c r="W6474">
        <v>1.5596540000000001E-2</v>
      </c>
      <c r="X6474">
        <v>0.96619469999999996</v>
      </c>
      <c r="Y6474">
        <v>0.58883540000000001</v>
      </c>
      <c r="Z6474">
        <v>-0.11053159999999999</v>
      </c>
      <c r="AA6474">
        <v>0.80065949999999997</v>
      </c>
      <c r="AB6474">
        <v>41</v>
      </c>
      <c r="AC6474">
        <v>6.7712999999999903</v>
      </c>
      <c r="AD6474">
        <v>-1.0955922109689999</v>
      </c>
      <c r="AE6474">
        <v>4.8590999999999802</v>
      </c>
      <c r="AF6474">
        <v>4.9737246638062604</v>
      </c>
      <c r="AG6474">
        <v>-1.0955922109689999</v>
      </c>
      <c r="AH6474">
        <v>6.5102686395840896</v>
      </c>
      <c r="AI6474">
        <v>97.6167845281756</v>
      </c>
      <c r="AJ6474">
        <v>52.6208425224903</v>
      </c>
      <c r="AK6474">
        <v>8.2657036653658693</v>
      </c>
      <c r="AL6474">
        <v>89.106347801832499</v>
      </c>
      <c r="AM6474">
        <v>75.085792279523503</v>
      </c>
      <c r="AN6474">
        <v>0.99999994605863396</v>
      </c>
    </row>
    <row r="6475" spans="1:40" x14ac:dyDescent="0.25">
      <c r="A6475" t="str">
        <f>"20190305135954005"</f>
        <v>20190305135954005</v>
      </c>
      <c r="B6475" t="str">
        <f>"1551765593995571"</f>
        <v>1551765593995571</v>
      </c>
      <c r="C6475" t="s">
        <v>40</v>
      </c>
      <c r="D6475">
        <v>4.4233500000000001</v>
      </c>
      <c r="E6475">
        <v>0.64922250000000004</v>
      </c>
      <c r="F6475" t="s">
        <v>79</v>
      </c>
      <c r="G6475">
        <v>-179.41130000000001</v>
      </c>
      <c r="H6475" s="1">
        <v>-5.2197859999999996E-6</v>
      </c>
      <c r="I6475">
        <v>130.0395</v>
      </c>
      <c r="J6475">
        <v>-186.15649999999999</v>
      </c>
      <c r="K6475">
        <v>1.0954349999999999</v>
      </c>
      <c r="L6475">
        <v>125.2807</v>
      </c>
      <c r="M6475">
        <v>0.2986009</v>
      </c>
      <c r="N6475">
        <v>-2.79861E-2</v>
      </c>
      <c r="O6475">
        <v>0.95396760000000003</v>
      </c>
      <c r="P6475">
        <v>0.53534009999999999</v>
      </c>
      <c r="Q6475">
        <v>-2.897752E-3</v>
      </c>
      <c r="R6475">
        <v>0.84463159999999904</v>
      </c>
      <c r="S6475">
        <v>2.6200869999999998</v>
      </c>
      <c r="T6475">
        <v>-0.42174980000000001</v>
      </c>
      <c r="U6475">
        <v>1.903656</v>
      </c>
      <c r="V6475">
        <v>0.25930180000000003</v>
      </c>
      <c r="W6475">
        <v>1.463773E-2</v>
      </c>
      <c r="X6475">
        <v>0.96568540000000003</v>
      </c>
      <c r="Y6475">
        <v>0.59030319999999903</v>
      </c>
      <c r="Z6475">
        <v>-0.11217100000000001</v>
      </c>
      <c r="AA6475">
        <v>0.79934959999999999</v>
      </c>
      <c r="AB6475">
        <v>41</v>
      </c>
      <c r="AC6475">
        <v>6.7451999999999801</v>
      </c>
      <c r="AD6475">
        <v>-1.095440219786</v>
      </c>
      <c r="AE6475">
        <v>4.7587999999999999</v>
      </c>
      <c r="AF6475">
        <v>4.9288891786172604</v>
      </c>
      <c r="AG6475">
        <v>-1.095440219786</v>
      </c>
      <c r="AH6475">
        <v>6.4429737807739604</v>
      </c>
      <c r="AI6475">
        <v>97.690593055636199</v>
      </c>
      <c r="AJ6475">
        <v>52.583931518942201</v>
      </c>
      <c r="AK6475">
        <v>8.1857100455584</v>
      </c>
      <c r="AL6475">
        <v>89.161289887692405</v>
      </c>
      <c r="AM6475">
        <v>74.969714081906403</v>
      </c>
      <c r="AN6475">
        <v>0.99999998919797595</v>
      </c>
    </row>
    <row r="6476" spans="1:40" x14ac:dyDescent="0.25">
      <c r="A6476" t="str">
        <f>"20190305135954017"</f>
        <v>20190305135954017</v>
      </c>
      <c r="B6476" t="str">
        <f>"1551765594005331"</f>
        <v>1551765594005331</v>
      </c>
      <c r="C6476" t="s">
        <v>40</v>
      </c>
      <c r="D6476">
        <v>4.5413889999999997</v>
      </c>
      <c r="E6476">
        <v>0.6488853</v>
      </c>
      <c r="F6476" t="s">
        <v>79</v>
      </c>
      <c r="G6476">
        <v>-179.38650000000001</v>
      </c>
      <c r="H6476" s="1">
        <v>-5.2274979999999999E-6</v>
      </c>
      <c r="I6476">
        <v>130.1044</v>
      </c>
      <c r="J6476">
        <v>-186.08850000000001</v>
      </c>
      <c r="K6476">
        <v>1.095264</v>
      </c>
      <c r="L6476">
        <v>125.48520000000001</v>
      </c>
      <c r="M6476">
        <v>0.30640450000000002</v>
      </c>
      <c r="N6476">
        <v>-2.8062170000000001E-2</v>
      </c>
      <c r="O6476">
        <v>0.95148770000000005</v>
      </c>
      <c r="P6476">
        <v>0.54422869999999901</v>
      </c>
      <c r="Q6476">
        <v>-3.6951750000000002E-3</v>
      </c>
      <c r="R6476">
        <v>0.83892880000000003</v>
      </c>
      <c r="S6476">
        <v>2.6371000000000002</v>
      </c>
      <c r="T6476">
        <v>-0.4267029</v>
      </c>
      <c r="U6476">
        <v>1.8789670000000001</v>
      </c>
      <c r="V6476">
        <v>0.26156580000000001</v>
      </c>
      <c r="W6476">
        <v>1.371466E-2</v>
      </c>
      <c r="X6476">
        <v>0.96508819999999995</v>
      </c>
      <c r="Y6476">
        <v>0.59094290000000005</v>
      </c>
      <c r="Z6476">
        <v>-0.11388520000000001</v>
      </c>
      <c r="AA6476">
        <v>0.79863430000000002</v>
      </c>
      <c r="AB6476">
        <v>40</v>
      </c>
      <c r="AC6476">
        <v>6.7019999999999902</v>
      </c>
      <c r="AD6476">
        <v>-1.095269227498</v>
      </c>
      <c r="AE6476">
        <v>4.6191999999999904</v>
      </c>
      <c r="AF6476">
        <v>4.8752092613521203</v>
      </c>
      <c r="AG6476">
        <v>-1.095269227498</v>
      </c>
      <c r="AH6476">
        <v>6.3364455008293703</v>
      </c>
      <c r="AI6476">
        <v>97.800745889033195</v>
      </c>
      <c r="AJ6476">
        <v>52.425611626522098</v>
      </c>
      <c r="AK6476">
        <v>8.0695614259796304</v>
      </c>
      <c r="AL6476">
        <v>89.214183226345099</v>
      </c>
      <c r="AM6476">
        <v>74.835547990552698</v>
      </c>
      <c r="AN6476">
        <v>0.99999999670389705</v>
      </c>
    </row>
    <row r="6477" spans="1:40" x14ac:dyDescent="0.25">
      <c r="A6477" t="str">
        <f>"20190305135954029"</f>
        <v>20190305135954029</v>
      </c>
      <c r="B6477" t="str">
        <f>"1551765594025828"</f>
        <v>1551765594025828</v>
      </c>
      <c r="C6477" t="s">
        <v>40</v>
      </c>
      <c r="D6477">
        <v>4.3097149999999997</v>
      </c>
      <c r="E6477">
        <v>0.68030429999999997</v>
      </c>
      <c r="F6477" t="s">
        <v>79</v>
      </c>
      <c r="G6477">
        <v>-179.2971</v>
      </c>
      <c r="H6477" s="1">
        <v>-5.2116560000000001E-6</v>
      </c>
      <c r="I6477">
        <v>130.22329999999999</v>
      </c>
      <c r="J6477">
        <v>-186.0163</v>
      </c>
      <c r="K6477">
        <v>1.095089</v>
      </c>
      <c r="L6477">
        <v>125.6934</v>
      </c>
      <c r="M6477">
        <v>0.31457940000000001</v>
      </c>
      <c r="N6477">
        <v>-2.810988E-2</v>
      </c>
      <c r="O6477">
        <v>0.94881490000000002</v>
      </c>
      <c r="P6477">
        <v>0.55351980000000001</v>
      </c>
      <c r="Q6477">
        <v>-4.3074209999999996E-3</v>
      </c>
      <c r="R6477">
        <v>0.83282479999999903</v>
      </c>
      <c r="S6477">
        <v>2.654617</v>
      </c>
      <c r="T6477">
        <v>-0.42811700000000003</v>
      </c>
      <c r="U6477">
        <v>1.8520049999999999</v>
      </c>
      <c r="V6477">
        <v>0.26397169999999998</v>
      </c>
      <c r="W6477">
        <v>1.29394E-2</v>
      </c>
      <c r="X6477">
        <v>0.96444359999999996</v>
      </c>
      <c r="Y6477">
        <v>0.59188869999999905</v>
      </c>
      <c r="Z6477">
        <v>-0.1145346</v>
      </c>
      <c r="AA6477">
        <v>0.79784060000000001</v>
      </c>
      <c r="AB6477">
        <v>40</v>
      </c>
      <c r="AC6477">
        <v>6.7191999999999998</v>
      </c>
      <c r="AD6477">
        <v>-1.0950942116560001</v>
      </c>
      <c r="AE6477">
        <v>4.5298999999999898</v>
      </c>
      <c r="AF6477">
        <v>4.8634044335990598</v>
      </c>
      <c r="AG6477">
        <v>-1.0950942116560001</v>
      </c>
      <c r="AH6477">
        <v>6.2992550994148298</v>
      </c>
      <c r="AI6477">
        <v>97.835001340949503</v>
      </c>
      <c r="AJ6477">
        <v>52.3296966990466</v>
      </c>
      <c r="AK6477">
        <v>8.0332153478328401</v>
      </c>
      <c r="AL6477">
        <v>89.258606280493794</v>
      </c>
      <c r="AM6477">
        <v>74.692826698385701</v>
      </c>
      <c r="AN6477">
        <v>0.999999972027104</v>
      </c>
    </row>
    <row r="6478" spans="1:40" x14ac:dyDescent="0.25">
      <c r="A6478" t="str">
        <f>"20190305135954046"</f>
        <v>20190305135954046</v>
      </c>
      <c r="B6478" t="str">
        <f>"1551765594035587"</f>
        <v>1551765594035587</v>
      </c>
      <c r="C6478" t="s">
        <v>40</v>
      </c>
      <c r="D6478">
        <v>4.2586500000000003</v>
      </c>
      <c r="E6478">
        <v>0.68649389999999999</v>
      </c>
      <c r="F6478" t="s">
        <v>79</v>
      </c>
      <c r="G6478">
        <v>-177.40809999999999</v>
      </c>
      <c r="H6478" s="1">
        <v>-4.1157040000000004E-6</v>
      </c>
      <c r="I6478">
        <v>130.73079999999999</v>
      </c>
      <c r="J6478">
        <v>-185.9196</v>
      </c>
      <c r="K6478">
        <v>1.094846</v>
      </c>
      <c r="L6478">
        <v>125.9659</v>
      </c>
      <c r="M6478">
        <v>0.32542890000000002</v>
      </c>
      <c r="N6478">
        <v>-2.8145050000000001E-2</v>
      </c>
      <c r="O6478">
        <v>0.94514759999999998</v>
      </c>
      <c r="P6478">
        <v>0.56740469999999998</v>
      </c>
      <c r="Q6478">
        <v>-5.0692649999999999E-3</v>
      </c>
      <c r="R6478">
        <v>0.82342349999999997</v>
      </c>
      <c r="S6478">
        <v>2.8806919999999998</v>
      </c>
      <c r="T6478">
        <v>-0.36646909999999999</v>
      </c>
      <c r="U6478">
        <v>1.68573</v>
      </c>
      <c r="V6478">
        <v>0.26906469999999999</v>
      </c>
      <c r="W6478">
        <v>1.184466E-2</v>
      </c>
      <c r="X6478">
        <v>0.9630493</v>
      </c>
      <c r="Y6478">
        <v>0.6469123</v>
      </c>
      <c r="Z6478">
        <v>-9.3216259999999995E-2</v>
      </c>
      <c r="AA6478">
        <v>0.75684560000000001</v>
      </c>
      <c r="AB6478">
        <v>40</v>
      </c>
      <c r="AC6478">
        <v>8.5115000000000105</v>
      </c>
      <c r="AD6478">
        <v>-1.094850115704</v>
      </c>
      <c r="AE6478">
        <v>4.7648999999999804</v>
      </c>
      <c r="AF6478">
        <v>6.4157356052597398</v>
      </c>
      <c r="AG6478">
        <v>-1.094850115704</v>
      </c>
      <c r="AH6478">
        <v>7.1857777352941303</v>
      </c>
      <c r="AI6478">
        <v>96.484113089502202</v>
      </c>
      <c r="AJ6478">
        <v>48.240309774647599</v>
      </c>
      <c r="AK6478">
        <v>9.6951411435576098</v>
      </c>
      <c r="AL6478">
        <v>89.321335123984497</v>
      </c>
      <c r="AM6478">
        <v>74.390258914825694</v>
      </c>
      <c r="AN6478">
        <v>1.00000003149354</v>
      </c>
    </row>
    <row r="6479" spans="1:40" x14ac:dyDescent="0.25">
      <c r="A6479" t="str">
        <f>"20190305135954060"</f>
        <v>20190305135954060</v>
      </c>
      <c r="B6479" t="str">
        <f>"1551765594055107"</f>
        <v>1551765594055107</v>
      </c>
      <c r="C6479" t="s">
        <v>40</v>
      </c>
      <c r="D6479">
        <v>4.2622339999999896</v>
      </c>
      <c r="E6479">
        <v>0.69128610000000001</v>
      </c>
      <c r="F6479" t="s">
        <v>79</v>
      </c>
      <c r="G6479">
        <v>-175.86429999999999</v>
      </c>
      <c r="H6479" s="1">
        <v>-3.3409769999999999E-6</v>
      </c>
      <c r="I6479">
        <v>131.46430000000001</v>
      </c>
      <c r="J6479">
        <v>-185.8287</v>
      </c>
      <c r="K6479">
        <v>1.094624</v>
      </c>
      <c r="L6479">
        <v>126.21429999999999</v>
      </c>
      <c r="M6479">
        <v>0.33549770000000001</v>
      </c>
      <c r="N6479">
        <v>-2.814494E-2</v>
      </c>
      <c r="O6479">
        <v>0.94162049999999997</v>
      </c>
      <c r="P6479">
        <v>0.5783684</v>
      </c>
      <c r="Q6479">
        <v>-5.3983980000000004E-3</v>
      </c>
      <c r="R6479">
        <v>0.81575779999999998</v>
      </c>
      <c r="S6479">
        <v>2.9463349999999999</v>
      </c>
      <c r="T6479">
        <v>-0.32080809999999998</v>
      </c>
      <c r="U6479">
        <v>1.6111150000000001</v>
      </c>
      <c r="V6479">
        <v>0.2716594</v>
      </c>
      <c r="W6479">
        <v>1.127011E-2</v>
      </c>
      <c r="X6479">
        <v>0.9623275</v>
      </c>
      <c r="Y6479">
        <v>0.66187209999999996</v>
      </c>
      <c r="Z6479">
        <v>-7.8885319999999995E-2</v>
      </c>
      <c r="AA6479">
        <v>0.74545450000000002</v>
      </c>
      <c r="AB6479">
        <v>40</v>
      </c>
      <c r="AC6479">
        <v>9.9644000000000101</v>
      </c>
      <c r="AD6479">
        <v>-1.094627340977</v>
      </c>
      <c r="AE6479">
        <v>5.2500000000000098</v>
      </c>
      <c r="AF6479">
        <v>7.5529970491409104</v>
      </c>
      <c r="AG6479">
        <v>-1.094627340977</v>
      </c>
      <c r="AH6479">
        <v>8.2122540260597798</v>
      </c>
      <c r="AI6479">
        <v>95.603199102899595</v>
      </c>
      <c r="AJ6479">
        <v>47.394547856990002</v>
      </c>
      <c r="AK6479">
        <v>11.2110253602639</v>
      </c>
      <c r="AL6479">
        <v>89.354256612066806</v>
      </c>
      <c r="AM6479">
        <v>74.235938577188094</v>
      </c>
      <c r="AN6479">
        <v>1.0000000311220101</v>
      </c>
    </row>
    <row r="6480" spans="1:40" x14ac:dyDescent="0.25">
      <c r="A6480" t="str">
        <f>"20190305135954075"</f>
        <v>20190305135954075</v>
      </c>
      <c r="B6480" t="str">
        <f>"1551765594065844"</f>
        <v>1551765594065844</v>
      </c>
      <c r="C6480" t="s">
        <v>40</v>
      </c>
      <c r="D6480">
        <v>4.2298229999999997</v>
      </c>
      <c r="E6480">
        <v>0.69246859999999999</v>
      </c>
      <c r="F6480" t="s">
        <v>79</v>
      </c>
      <c r="G6480">
        <v>-173.03880000000001</v>
      </c>
      <c r="H6480" s="1">
        <v>-2.3559880000000001E-6</v>
      </c>
      <c r="I6480">
        <v>132.84289999999999</v>
      </c>
      <c r="J6480">
        <v>-185.73220000000001</v>
      </c>
      <c r="K6480">
        <v>1.09439</v>
      </c>
      <c r="L6480">
        <v>126.46810000000001</v>
      </c>
      <c r="M6480">
        <v>0.34603020000000001</v>
      </c>
      <c r="N6480">
        <v>-2.8103980000000001E-2</v>
      </c>
      <c r="O6480">
        <v>0.93780240000000004</v>
      </c>
      <c r="P6480">
        <v>0.58952230000000005</v>
      </c>
      <c r="Q6480">
        <v>-4.8025999999999998E-3</v>
      </c>
      <c r="R6480">
        <v>0.80773779999999995</v>
      </c>
      <c r="S6480">
        <v>2.9951780000000001</v>
      </c>
      <c r="T6480">
        <v>-0.25634249999999997</v>
      </c>
      <c r="U6480">
        <v>1.5523070000000001</v>
      </c>
      <c r="V6480">
        <v>0.27411920000000001</v>
      </c>
      <c r="W6480">
        <v>1.158528E-2</v>
      </c>
      <c r="X6480">
        <v>0.96162590000000003</v>
      </c>
      <c r="Y6480">
        <v>0.67141969999999995</v>
      </c>
      <c r="Z6480">
        <v>-5.8677229999999997E-2</v>
      </c>
      <c r="AA6480">
        <v>0.73875059999999904</v>
      </c>
      <c r="AB6480">
        <v>40</v>
      </c>
      <c r="AC6480">
        <v>12.693399999999899</v>
      </c>
      <c r="AD6480">
        <v>-1.094392355988</v>
      </c>
      <c r="AE6480">
        <v>6.3747999999999703</v>
      </c>
      <c r="AF6480">
        <v>9.6446069777299996</v>
      </c>
      <c r="AG6480">
        <v>-1.094392355988</v>
      </c>
      <c r="AH6480">
        <v>10.313476976634099</v>
      </c>
      <c r="AI6480">
        <v>94.431806048818601</v>
      </c>
      <c r="AJ6480">
        <v>46.919477331223703</v>
      </c>
      <c r="AK6480">
        <v>14.1627661751257</v>
      </c>
      <c r="AL6480">
        <v>89.336197477300601</v>
      </c>
      <c r="AM6480">
        <v>74.089372171556903</v>
      </c>
      <c r="AN6480">
        <v>0.99999996303606298</v>
      </c>
    </row>
    <row r="6481" spans="1:40" x14ac:dyDescent="0.25">
      <c r="A6481" t="str">
        <f>"20190305135954092"</f>
        <v>20190305135954092</v>
      </c>
      <c r="B6481" t="str">
        <f>"1551765594085363"</f>
        <v>1551765594085363</v>
      </c>
      <c r="C6481" t="s">
        <v>40</v>
      </c>
      <c r="D6481">
        <v>4.2374640000000001</v>
      </c>
      <c r="E6481">
        <v>0.69274409999999997</v>
      </c>
      <c r="F6481" t="s">
        <v>79</v>
      </c>
      <c r="G6481">
        <v>-172.3322</v>
      </c>
      <c r="H6481" s="1">
        <v>-2.0856640000000001E-6</v>
      </c>
      <c r="I6481">
        <v>133.142</v>
      </c>
      <c r="J6481">
        <v>-185.6234</v>
      </c>
      <c r="K6481">
        <v>1.0941459999999901</v>
      </c>
      <c r="L6481">
        <v>126.74420000000001</v>
      </c>
      <c r="M6481">
        <v>0.3577263</v>
      </c>
      <c r="N6481">
        <v>-2.801507E-2</v>
      </c>
      <c r="O6481">
        <v>0.93340619999999996</v>
      </c>
      <c r="P6481">
        <v>0.60374119999999998</v>
      </c>
      <c r="Q6481">
        <v>-4.658939E-3</v>
      </c>
      <c r="R6481">
        <v>0.79716690000000001</v>
      </c>
      <c r="S6481">
        <v>3.0235439999999998</v>
      </c>
      <c r="T6481">
        <v>-0.24693660000000001</v>
      </c>
      <c r="U6481">
        <v>1.5059049999999901</v>
      </c>
      <c r="V6481">
        <v>0.27913719999999997</v>
      </c>
      <c r="W6481">
        <v>1.126915E-2</v>
      </c>
      <c r="X6481">
        <v>0.96018510000000001</v>
      </c>
      <c r="Y6481">
        <v>0.67419510000000005</v>
      </c>
      <c r="Z6481">
        <v>-5.6015349999999998E-2</v>
      </c>
      <c r="AA6481">
        <v>0.73642609999999997</v>
      </c>
      <c r="AB6481">
        <v>40</v>
      </c>
      <c r="AC6481">
        <v>13.2912</v>
      </c>
      <c r="AD6481">
        <v>-1.09414808566399</v>
      </c>
      <c r="AE6481">
        <v>6.3977999999999797</v>
      </c>
      <c r="AF6481">
        <v>10.0660165377244</v>
      </c>
      <c r="AG6481">
        <v>-1.09414808566399</v>
      </c>
      <c r="AH6481">
        <v>10.671853142408899</v>
      </c>
      <c r="AI6481">
        <v>94.265412154582407</v>
      </c>
      <c r="AJ6481">
        <v>46.673364287392197</v>
      </c>
      <c r="AK6481">
        <v>14.7108904714924</v>
      </c>
      <c r="AL6481">
        <v>89.354311598257297</v>
      </c>
      <c r="AM6481">
        <v>73.790225432828805</v>
      </c>
      <c r="AN6481">
        <v>0.99999999821378605</v>
      </c>
    </row>
    <row r="6482" spans="1:40" x14ac:dyDescent="0.25">
      <c r="A6482" t="str">
        <f>"20190305135954104"</f>
        <v>20190305135954104</v>
      </c>
      <c r="B6482" t="str">
        <f>"1551765594095123"</f>
        <v>1551765594095123</v>
      </c>
      <c r="C6482" t="s">
        <v>40</v>
      </c>
      <c r="D6482">
        <v>4.2369159999999999</v>
      </c>
      <c r="E6482">
        <v>0.69285929999999996</v>
      </c>
      <c r="F6482" t="s">
        <v>79</v>
      </c>
      <c r="G6482">
        <v>-171.34819999999999</v>
      </c>
      <c r="H6482" s="1">
        <v>-1.699686E-6</v>
      </c>
      <c r="I6482">
        <v>133.53720000000001</v>
      </c>
      <c r="J6482">
        <v>-185.53450000000001</v>
      </c>
      <c r="K6482">
        <v>1.09395</v>
      </c>
      <c r="L6482">
        <v>126.9631</v>
      </c>
      <c r="M6482">
        <v>0.36714819999999998</v>
      </c>
      <c r="N6482">
        <v>-2.7914419999999999E-2</v>
      </c>
      <c r="O6482">
        <v>0.92974349999999994</v>
      </c>
      <c r="P6482">
        <v>0.61371180000000003</v>
      </c>
      <c r="Q6482">
        <v>-4.5344679999999998E-3</v>
      </c>
      <c r="R6482">
        <v>0.78951709999999997</v>
      </c>
      <c r="S6482">
        <v>3.050522</v>
      </c>
      <c r="T6482">
        <v>-0.23381399999999999</v>
      </c>
      <c r="U6482">
        <v>1.45163</v>
      </c>
      <c r="V6482">
        <v>0.281497</v>
      </c>
      <c r="W6482">
        <v>1.1076529999999999E-2</v>
      </c>
      <c r="X6482">
        <v>0.95949819999999997</v>
      </c>
      <c r="Y6482">
        <v>0.68014160000000001</v>
      </c>
      <c r="Z6482">
        <v>-5.230866E-2</v>
      </c>
      <c r="AA6482">
        <v>0.73121210000000003</v>
      </c>
      <c r="AB6482">
        <v>40</v>
      </c>
      <c r="AC6482">
        <v>14.186299999999999</v>
      </c>
      <c r="AD6482">
        <v>-1.0939516996859999</v>
      </c>
      <c r="AE6482">
        <v>6.5741000000000103</v>
      </c>
      <c r="AF6482">
        <v>10.7276381344779</v>
      </c>
      <c r="AG6482">
        <v>-1.0939516996859999</v>
      </c>
      <c r="AH6482">
        <v>11.269945812796401</v>
      </c>
      <c r="AI6482">
        <v>94.021747286300396</v>
      </c>
      <c r="AJ6482">
        <v>46.412230026559101</v>
      </c>
      <c r="AK6482">
        <v>15.597776408479501</v>
      </c>
      <c r="AL6482">
        <v>89.365348616088497</v>
      </c>
      <c r="AM6482">
        <v>73.649398513884606</v>
      </c>
      <c r="AN6482">
        <v>1.0000000231645401</v>
      </c>
    </row>
    <row r="6483" spans="1:40" x14ac:dyDescent="0.25">
      <c r="A6483" t="str">
        <f>"20190305135954117"</f>
        <v>20190305135954117</v>
      </c>
      <c r="B6483" t="str">
        <f>"1551765594105860"</f>
        <v>1551765594105860</v>
      </c>
      <c r="C6483" t="s">
        <v>40</v>
      </c>
      <c r="D6483">
        <v>4.332776</v>
      </c>
      <c r="E6483">
        <v>0.6932083</v>
      </c>
      <c r="F6483" t="s">
        <v>79</v>
      </c>
      <c r="G6483">
        <v>-170.87020000000001</v>
      </c>
      <c r="H6483" s="1">
        <v>-1.5050349999999999E-6</v>
      </c>
      <c r="I6483">
        <v>133.71299999999999</v>
      </c>
      <c r="J6483">
        <v>-185.44980000000001</v>
      </c>
      <c r="K6483">
        <v>1.093769</v>
      </c>
      <c r="L6483">
        <v>127.1673</v>
      </c>
      <c r="M6483">
        <v>0.37602560000000002</v>
      </c>
      <c r="N6483">
        <v>-2.780022E-2</v>
      </c>
      <c r="O6483">
        <v>0.92619209999999996</v>
      </c>
      <c r="P6483">
        <v>0.62307139999999905</v>
      </c>
      <c r="Q6483">
        <v>-4.2424409999999996E-3</v>
      </c>
      <c r="R6483">
        <v>0.78215349999999995</v>
      </c>
      <c r="S6483">
        <v>3.0691679999999999</v>
      </c>
      <c r="T6483">
        <v>-0.22895960000000001</v>
      </c>
      <c r="U6483">
        <v>1.4127350000000001</v>
      </c>
      <c r="V6483">
        <v>0.28375509999999998</v>
      </c>
      <c r="W6483">
        <v>1.1049349999999999E-2</v>
      </c>
      <c r="X6483">
        <v>0.95883320000000005</v>
      </c>
      <c r="Y6483">
        <v>0.68254150000000002</v>
      </c>
      <c r="Z6483">
        <v>-5.111272E-2</v>
      </c>
      <c r="AA6483">
        <v>0.72905730000000002</v>
      </c>
      <c r="AB6483">
        <v>39</v>
      </c>
      <c r="AC6483">
        <v>14.579599999999999</v>
      </c>
      <c r="AD6483">
        <v>-1.093770505035</v>
      </c>
      <c r="AE6483">
        <v>6.5456999999999903</v>
      </c>
      <c r="AF6483">
        <v>10.994929737726901</v>
      </c>
      <c r="AG6483">
        <v>-1.093770505035</v>
      </c>
      <c r="AH6483">
        <v>11.495498389907601</v>
      </c>
      <c r="AI6483">
        <v>93.933467191741798</v>
      </c>
      <c r="AJ6483">
        <v>46.275019600891298</v>
      </c>
      <c r="AK6483">
        <v>15.944632234316501</v>
      </c>
      <c r="AL6483">
        <v>89.366906043569998</v>
      </c>
      <c r="AM6483">
        <v>73.514516889148396</v>
      </c>
      <c r="AN6483">
        <v>1.0000000751668301</v>
      </c>
    </row>
    <row r="6484" spans="1:40" x14ac:dyDescent="0.25">
      <c r="A6484" t="str">
        <f>"20190305135954129"</f>
        <v>20190305135954129</v>
      </c>
      <c r="B6484" t="str">
        <f>"1551765594125998"</f>
        <v>1551765594125998</v>
      </c>
      <c r="C6484" t="s">
        <v>40</v>
      </c>
      <c r="D6484">
        <v>4.3410970000000004</v>
      </c>
      <c r="E6484">
        <v>0.69289609999999902</v>
      </c>
      <c r="F6484" t="s">
        <v>79</v>
      </c>
      <c r="G6484">
        <v>-171.26</v>
      </c>
      <c r="H6484" s="1">
        <v>-1.6231040000000001E-6</v>
      </c>
      <c r="I6484">
        <v>133.4778</v>
      </c>
      <c r="J6484">
        <v>-185.36490000000001</v>
      </c>
      <c r="K6484">
        <v>1.093591</v>
      </c>
      <c r="L6484">
        <v>127.364</v>
      </c>
      <c r="M6484">
        <v>0.38476719999999998</v>
      </c>
      <c r="N6484">
        <v>-2.7656819999999999E-2</v>
      </c>
      <c r="O6484">
        <v>0.92259919999999995</v>
      </c>
      <c r="P6484">
        <v>0.63246380000000002</v>
      </c>
      <c r="Q6484">
        <v>-3.8517299999999998E-3</v>
      </c>
      <c r="R6484">
        <v>0.77458039999999995</v>
      </c>
      <c r="S6484">
        <v>3.0888369999999998</v>
      </c>
      <c r="T6484">
        <v>-0.23809340000000001</v>
      </c>
      <c r="U6484">
        <v>1.373672</v>
      </c>
      <c r="V6484">
        <v>0.2862692</v>
      </c>
      <c r="W6484">
        <v>1.108606E-2</v>
      </c>
      <c r="X6484">
        <v>0.95808510000000002</v>
      </c>
      <c r="Y6484">
        <v>0.68489160000000004</v>
      </c>
      <c r="Z6484">
        <v>-5.43323E-2</v>
      </c>
      <c r="AA6484">
        <v>0.72661659999999995</v>
      </c>
      <c r="AB6484">
        <v>39</v>
      </c>
      <c r="AC6484">
        <v>14.104900000000001</v>
      </c>
      <c r="AD6484">
        <v>-1.0935926231039901</v>
      </c>
      <c r="AE6484">
        <v>6.1138000000000101</v>
      </c>
      <c r="AF6484">
        <v>10.6111610234514</v>
      </c>
      <c r="AG6484">
        <v>-1.0935926231039901</v>
      </c>
      <c r="AH6484">
        <v>11.0161772513513</v>
      </c>
      <c r="AI6484">
        <v>94.089550718174905</v>
      </c>
      <c r="AJ6484">
        <v>46.0728554758686</v>
      </c>
      <c r="AK6484">
        <v>15.3345637148277</v>
      </c>
      <c r="AL6484">
        <v>89.364802543665206</v>
      </c>
      <c r="AM6484">
        <v>73.364218379266802</v>
      </c>
      <c r="AN6484">
        <v>1.00000000721848</v>
      </c>
    </row>
    <row r="6485" spans="1:40" x14ac:dyDescent="0.25">
      <c r="A6485" t="str">
        <f>"20190305135954142"</f>
        <v>20190305135954142</v>
      </c>
      <c r="B6485" t="str">
        <f>"1551765594135758"</f>
        <v>1551765594135758</v>
      </c>
      <c r="C6485" t="s">
        <v>40</v>
      </c>
      <c r="D6485">
        <v>4.3250690000000001</v>
      </c>
      <c r="E6485">
        <v>0.69246989999999997</v>
      </c>
      <c r="F6485" t="s">
        <v>79</v>
      </c>
      <c r="G6485">
        <v>-172.2243</v>
      </c>
      <c r="H6485" s="1">
        <v>-1.970675E-6</v>
      </c>
      <c r="I6485">
        <v>133.0213</v>
      </c>
      <c r="J6485">
        <v>-185.27799999999999</v>
      </c>
      <c r="K6485">
        <v>1.093415</v>
      </c>
      <c r="L6485">
        <v>127.5626</v>
      </c>
      <c r="M6485">
        <v>0.39363540000000002</v>
      </c>
      <c r="N6485">
        <v>-2.7499860000000001E-2</v>
      </c>
      <c r="O6485">
        <v>0.91885519999999998</v>
      </c>
      <c r="P6485">
        <v>0.64144690000000004</v>
      </c>
      <c r="Q6485">
        <v>-3.1085650000000002E-3</v>
      </c>
      <c r="R6485">
        <v>0.76716110000000004</v>
      </c>
      <c r="S6485">
        <v>3.1047669999999998</v>
      </c>
      <c r="T6485">
        <v>-0.25838519999999998</v>
      </c>
      <c r="U6485">
        <v>1.33667</v>
      </c>
      <c r="V6485">
        <v>0.28823189999999999</v>
      </c>
      <c r="W6485">
        <v>1.148801E-2</v>
      </c>
      <c r="X6485">
        <v>0.9574918</v>
      </c>
      <c r="Y6485">
        <v>0.68614059999999999</v>
      </c>
      <c r="Z6485">
        <v>-6.1105909999999999E-2</v>
      </c>
      <c r="AA6485">
        <v>0.72489799999999904</v>
      </c>
      <c r="AB6485">
        <v>39</v>
      </c>
      <c r="AC6485">
        <v>13.0536999999999</v>
      </c>
      <c r="AD6485">
        <v>-1.0934169706749901</v>
      </c>
      <c r="AE6485">
        <v>5.4586999999999897</v>
      </c>
      <c r="AF6485">
        <v>9.7909767176592606</v>
      </c>
      <c r="AG6485">
        <v>-1.0934169706749901</v>
      </c>
      <c r="AH6485">
        <v>10.0976924639826</v>
      </c>
      <c r="AI6485">
        <v>94.445222244568001</v>
      </c>
      <c r="AJ6485">
        <v>45.883524415935298</v>
      </c>
      <c r="AK6485">
        <v>14.1075220664253</v>
      </c>
      <c r="AL6485">
        <v>89.341771082472306</v>
      </c>
      <c r="AM6485">
        <v>73.246731107213705</v>
      </c>
      <c r="AN6485">
        <v>1.0000000748093001</v>
      </c>
    </row>
    <row r="6486" spans="1:40" x14ac:dyDescent="0.25">
      <c r="A6486" t="str">
        <f>"20190305135954156"</f>
        <v>20190305135954156</v>
      </c>
      <c r="B6486" t="str">
        <f>"1551765594145518"</f>
        <v>1551765594145518</v>
      </c>
      <c r="C6486" t="s">
        <v>40</v>
      </c>
      <c r="D6486">
        <v>4.3415879999999998</v>
      </c>
      <c r="E6486">
        <v>0.69212790000000002</v>
      </c>
      <c r="F6486" t="s">
        <v>79</v>
      </c>
      <c r="G6486">
        <v>-172.29759999999999</v>
      </c>
      <c r="H6486" s="1">
        <v>-1.995034E-6</v>
      </c>
      <c r="I6486">
        <v>132.982</v>
      </c>
      <c r="J6486">
        <v>-185.1678</v>
      </c>
      <c r="K6486">
        <v>1.093207</v>
      </c>
      <c r="L6486">
        <v>127.8069</v>
      </c>
      <c r="M6486">
        <v>0.40469300000000002</v>
      </c>
      <c r="N6486">
        <v>-2.7281030000000001E-2</v>
      </c>
      <c r="O6486">
        <v>0.91404560000000001</v>
      </c>
      <c r="P6486">
        <v>0.65227449999999998</v>
      </c>
      <c r="Q6486">
        <v>-2.2940600000000001E-3</v>
      </c>
      <c r="R6486">
        <v>0.75797939999999997</v>
      </c>
      <c r="S6486">
        <v>3.118484</v>
      </c>
      <c r="T6486">
        <v>-0.26268819999999998</v>
      </c>
      <c r="U6486">
        <v>1.301987</v>
      </c>
      <c r="V6486">
        <v>0.29030250000000002</v>
      </c>
      <c r="W6486">
        <v>1.1877560000000001E-2</v>
      </c>
      <c r="X6486">
        <v>0.95686119999999997</v>
      </c>
      <c r="Y6486">
        <v>0.68527749999999998</v>
      </c>
      <c r="Z6486">
        <v>-6.2847199999999895E-2</v>
      </c>
      <c r="AA6486">
        <v>0.72556529999999997</v>
      </c>
      <c r="AB6486">
        <v>39</v>
      </c>
      <c r="AC6486">
        <v>12.870200000000001</v>
      </c>
      <c r="AD6486">
        <v>-1.093208995034</v>
      </c>
      <c r="AE6486">
        <v>5.1750999999999996</v>
      </c>
      <c r="AF6486">
        <v>9.6135154360006396</v>
      </c>
      <c r="AG6486">
        <v>-1.093208995034</v>
      </c>
      <c r="AH6486">
        <v>9.8810880941204999</v>
      </c>
      <c r="AI6486">
        <v>94.533959926550196</v>
      </c>
      <c r="AJ6486">
        <v>45.7863623075704</v>
      </c>
      <c r="AK6486">
        <v>13.8293415197114</v>
      </c>
      <c r="AL6486">
        <v>89.319449930004794</v>
      </c>
      <c r="AM6486">
        <v>73.1227064488655</v>
      </c>
      <c r="AN6486">
        <v>0.99999998700162096</v>
      </c>
    </row>
    <row r="6487" spans="1:40" x14ac:dyDescent="0.25">
      <c r="A6487" t="str">
        <f>"20190305135954167"</f>
        <v>20190305135954167</v>
      </c>
      <c r="B6487" t="str">
        <f>"1551765594166015"</f>
        <v>1551765594166015</v>
      </c>
      <c r="C6487" t="s">
        <v>40</v>
      </c>
      <c r="D6487">
        <v>4.3460239999999999</v>
      </c>
      <c r="E6487">
        <v>0.69135530000000001</v>
      </c>
      <c r="F6487" t="s">
        <v>79</v>
      </c>
      <c r="G6487">
        <v>-172.25989999999999</v>
      </c>
      <c r="H6487" s="1">
        <v>-1.9774989999999999E-6</v>
      </c>
      <c r="I6487">
        <v>132.99080000000001</v>
      </c>
      <c r="J6487">
        <v>-185.08529999999999</v>
      </c>
      <c r="K6487">
        <v>1.0930530000000001</v>
      </c>
      <c r="L6487">
        <v>127.9834</v>
      </c>
      <c r="M6487">
        <v>0.41281400000000001</v>
      </c>
      <c r="N6487">
        <v>-2.7103729999999999E-2</v>
      </c>
      <c r="O6487">
        <v>0.910412</v>
      </c>
      <c r="P6487">
        <v>0.66048030000000002</v>
      </c>
      <c r="Q6487">
        <v>-1.8570570000000001E-3</v>
      </c>
      <c r="R6487">
        <v>0.75084130000000004</v>
      </c>
      <c r="S6487">
        <v>3.1351779999999998</v>
      </c>
      <c r="T6487">
        <v>-0.26552809999999999</v>
      </c>
      <c r="U6487">
        <v>1.259125</v>
      </c>
      <c r="V6487">
        <v>0.29220550000000001</v>
      </c>
      <c r="W6487">
        <v>1.1972440000000001E-2</v>
      </c>
      <c r="X6487">
        <v>0.95628060000000004</v>
      </c>
      <c r="Y6487">
        <v>0.68859569999999903</v>
      </c>
      <c r="Z6487">
        <v>-6.4168920000000004E-2</v>
      </c>
      <c r="AA6487">
        <v>0.72230079999999997</v>
      </c>
      <c r="AB6487">
        <v>39</v>
      </c>
      <c r="AC6487">
        <v>12.8254</v>
      </c>
      <c r="AD6487">
        <v>-1.0930549774989999</v>
      </c>
      <c r="AE6487">
        <v>5.0073999999999996</v>
      </c>
      <c r="AF6487">
        <v>9.5525975650761303</v>
      </c>
      <c r="AG6487">
        <v>-1.0930549774989999</v>
      </c>
      <c r="AH6487">
        <v>9.79518676364642</v>
      </c>
      <c r="AI6487">
        <v>94.567650478073702</v>
      </c>
      <c r="AJ6487">
        <v>45.718356618723298</v>
      </c>
      <c r="AK6487">
        <v>13.725617405379101</v>
      </c>
      <c r="AL6487">
        <v>89.314013321680505</v>
      </c>
      <c r="AM6487">
        <v>73.008702698074899</v>
      </c>
      <c r="AN6487">
        <v>0.99999998974308102</v>
      </c>
    </row>
    <row r="6488" spans="1:40" x14ac:dyDescent="0.25">
      <c r="A6488" t="str">
        <f>"20190305135954179"</f>
        <v>20190305135954179</v>
      </c>
      <c r="B6488" t="str">
        <f>"1551765594175775"</f>
        <v>1551765594175775</v>
      </c>
      <c r="C6488" t="s">
        <v>40</v>
      </c>
      <c r="D6488">
        <v>4.3310360000000001</v>
      </c>
      <c r="E6488">
        <v>0.69082219999999905</v>
      </c>
      <c r="F6488" t="s">
        <v>79</v>
      </c>
      <c r="G6488">
        <v>-172.6206</v>
      </c>
      <c r="H6488" s="1">
        <v>-2.1223680000000002E-6</v>
      </c>
      <c r="I6488">
        <v>132.8536</v>
      </c>
      <c r="J6488">
        <v>-184.9991</v>
      </c>
      <c r="K6488">
        <v>1.092897</v>
      </c>
      <c r="L6488">
        <v>128.16589999999999</v>
      </c>
      <c r="M6488">
        <v>0.42122009999999999</v>
      </c>
      <c r="N6488">
        <v>-2.6914179999999999E-2</v>
      </c>
      <c r="O6488">
        <v>0.90655909999999995</v>
      </c>
      <c r="P6488">
        <v>0.66893019999999903</v>
      </c>
      <c r="Q6488">
        <v>-1.935499E-3</v>
      </c>
      <c r="R6488">
        <v>0.74332279999999995</v>
      </c>
      <c r="S6488">
        <v>3.144638</v>
      </c>
      <c r="T6488">
        <v>-0.27576020000000001</v>
      </c>
      <c r="U6488">
        <v>1.228683</v>
      </c>
      <c r="V6488">
        <v>0.29416560000000003</v>
      </c>
      <c r="W6488">
        <v>1.153378E-2</v>
      </c>
      <c r="X6488">
        <v>0.9556848</v>
      </c>
      <c r="Y6488">
        <v>0.68845840000000003</v>
      </c>
      <c r="Z6488">
        <v>-6.7760520000000005E-2</v>
      </c>
      <c r="AA6488">
        <v>0.72210350000000001</v>
      </c>
      <c r="AB6488">
        <v>39</v>
      </c>
      <c r="AC6488">
        <v>12.378500000000001</v>
      </c>
      <c r="AD6488">
        <v>-1.092899122368</v>
      </c>
      <c r="AE6488">
        <v>4.6877000000000004</v>
      </c>
      <c r="AF6488">
        <v>9.1880000579951098</v>
      </c>
      <c r="AG6488">
        <v>-1.092899122368</v>
      </c>
      <c r="AH6488">
        <v>9.4030739740295903</v>
      </c>
      <c r="AI6488">
        <v>94.752112594198195</v>
      </c>
      <c r="AJ6488">
        <v>45.662806137890797</v>
      </c>
      <c r="AK6488">
        <v>13.192102702695401</v>
      </c>
      <c r="AL6488">
        <v>89.3391483871209</v>
      </c>
      <c r="AM6488">
        <v>72.891315887553205</v>
      </c>
      <c r="AN6488">
        <v>0.99999993262774101</v>
      </c>
    </row>
    <row r="6489" spans="1:40" x14ac:dyDescent="0.25">
      <c r="A6489" t="str">
        <f>"20190305135954190"</f>
        <v>20190305135954190</v>
      </c>
      <c r="B6489" t="str">
        <f>"1551765594185534"</f>
        <v>1551765594185534</v>
      </c>
      <c r="C6489" t="s">
        <v>40</v>
      </c>
      <c r="D6489">
        <v>4.2733670000000004</v>
      </c>
      <c r="E6489">
        <v>0.69034960000000001</v>
      </c>
      <c r="F6489" t="s">
        <v>79</v>
      </c>
      <c r="G6489">
        <v>-172.7458</v>
      </c>
      <c r="H6489" s="1">
        <v>-2.1743819999999998E-6</v>
      </c>
      <c r="I6489">
        <v>132.8099</v>
      </c>
      <c r="J6489">
        <v>-184.91579999999999</v>
      </c>
      <c r="K6489">
        <v>1.0927629999999999</v>
      </c>
      <c r="L6489">
        <v>128.33619999999999</v>
      </c>
      <c r="M6489">
        <v>0.42918329999999999</v>
      </c>
      <c r="N6489">
        <v>-2.6723810000000001E-2</v>
      </c>
      <c r="O6489">
        <v>0.90282200000000001</v>
      </c>
      <c r="P6489">
        <v>0.67688999999999999</v>
      </c>
      <c r="Q6489">
        <v>-2.2150429999999999E-3</v>
      </c>
      <c r="R6489">
        <v>0.73608090000000004</v>
      </c>
      <c r="S6489">
        <v>3.1551819999999999</v>
      </c>
      <c r="T6489">
        <v>-0.2814178</v>
      </c>
      <c r="U6489">
        <v>1.1958009999999999</v>
      </c>
      <c r="V6489">
        <v>0.29602129999999999</v>
      </c>
      <c r="W6489">
        <v>1.0907740000000001E-2</v>
      </c>
      <c r="X6489">
        <v>0.9551191</v>
      </c>
      <c r="Y6489">
        <v>0.68931790000000004</v>
      </c>
      <c r="Z6489">
        <v>-6.9915409999999997E-2</v>
      </c>
      <c r="AA6489">
        <v>0.72107749999999904</v>
      </c>
      <c r="AB6489">
        <v>39</v>
      </c>
      <c r="AC6489">
        <v>12.1699999999999</v>
      </c>
      <c r="AD6489">
        <v>-1.0927651743819999</v>
      </c>
      <c r="AE6489">
        <v>4.4737</v>
      </c>
      <c r="AF6489">
        <v>9.0065742782374905</v>
      </c>
      <c r="AG6489">
        <v>-1.0927651743819999</v>
      </c>
      <c r="AH6489">
        <v>9.2000785930179596</v>
      </c>
      <c r="AI6489">
        <v>94.851434704567396</v>
      </c>
      <c r="AJ6489">
        <v>45.608929230587599</v>
      </c>
      <c r="AK6489">
        <v>12.921066599683501</v>
      </c>
      <c r="AL6489">
        <v>89.375020166591</v>
      </c>
      <c r="AM6489">
        <v>72.780155228955493</v>
      </c>
      <c r="AN6489">
        <v>1.0000000420152</v>
      </c>
    </row>
    <row r="6490" spans="1:40" x14ac:dyDescent="0.25">
      <c r="A6490" t="str">
        <f>"20190305135954202"</f>
        <v>20190305135954202</v>
      </c>
      <c r="B6490" t="str">
        <f>"1551765594195295"</f>
        <v>1551765594195295</v>
      </c>
      <c r="C6490" t="s">
        <v>40</v>
      </c>
      <c r="D6490">
        <v>4.4297389999999996</v>
      </c>
      <c r="E6490">
        <v>0.68994840000000002</v>
      </c>
      <c r="F6490" t="s">
        <v>79</v>
      </c>
      <c r="G6490">
        <v>-172.499</v>
      </c>
      <c r="H6490" s="1">
        <v>-2.0754780000000001E-6</v>
      </c>
      <c r="I6490">
        <v>132.90430000000001</v>
      </c>
      <c r="J6490">
        <v>-184.82149999999999</v>
      </c>
      <c r="K6490">
        <v>1.092614</v>
      </c>
      <c r="L6490">
        <v>128.52629999999999</v>
      </c>
      <c r="M6490">
        <v>0.43809619999999999</v>
      </c>
      <c r="N6490">
        <v>-2.6505870000000001E-2</v>
      </c>
      <c r="O6490">
        <v>0.89853719999999904</v>
      </c>
      <c r="P6490">
        <v>0.68550390000000005</v>
      </c>
      <c r="Q6490">
        <v>-2.3984010000000001E-3</v>
      </c>
      <c r="R6490">
        <v>0.72806499999999996</v>
      </c>
      <c r="S6490">
        <v>3.164917</v>
      </c>
      <c r="T6490">
        <v>-0.27853359999999999</v>
      </c>
      <c r="U6490">
        <v>1.1643520000000001</v>
      </c>
      <c r="V6490">
        <v>0.29779499999999998</v>
      </c>
      <c r="W6490">
        <v>1.0348919999999999E-2</v>
      </c>
      <c r="X6490">
        <v>0.95457380000000003</v>
      </c>
      <c r="Y6490">
        <v>0.68924619999999903</v>
      </c>
      <c r="Z6490">
        <v>-6.9357810000000006E-2</v>
      </c>
      <c r="AA6490">
        <v>0.72119979999999995</v>
      </c>
      <c r="AB6490">
        <v>39</v>
      </c>
      <c r="AC6490">
        <v>12.3224999999999</v>
      </c>
      <c r="AD6490">
        <v>-1.0926160754780001</v>
      </c>
      <c r="AE6490">
        <v>4.3780000000000099</v>
      </c>
      <c r="AF6490">
        <v>9.0939730393701694</v>
      </c>
      <c r="AG6490">
        <v>-1.0926160754780001</v>
      </c>
      <c r="AH6490">
        <v>9.27079800967857</v>
      </c>
      <c r="AI6490">
        <v>94.809256599029794</v>
      </c>
      <c r="AJ6490">
        <v>45.551654655392802</v>
      </c>
      <c r="AK6490">
        <v>13.0323386721434</v>
      </c>
      <c r="AL6490">
        <v>89.407040006997093</v>
      </c>
      <c r="AM6490">
        <v>72.673829971227093</v>
      </c>
      <c r="AN6490">
        <v>1.0000000509083</v>
      </c>
    </row>
    <row r="6491" spans="1:40" x14ac:dyDescent="0.25">
      <c r="A6491" t="str">
        <f>"20190305135954212"</f>
        <v>20190305135954212</v>
      </c>
      <c r="B6491" t="str">
        <f>"1551765594206031"</f>
        <v>1551765594206031</v>
      </c>
      <c r="C6491" t="s">
        <v>40</v>
      </c>
      <c r="D6491">
        <v>4.401726</v>
      </c>
      <c r="E6491">
        <v>0.68936409999999904</v>
      </c>
      <c r="F6491" t="s">
        <v>79</v>
      </c>
      <c r="G6491">
        <v>-172.77199999999999</v>
      </c>
      <c r="H6491" s="1">
        <v>-2.1886079999999999E-6</v>
      </c>
      <c r="I6491">
        <v>132.8083</v>
      </c>
      <c r="J6491">
        <v>-184.7347</v>
      </c>
      <c r="K6491">
        <v>1.0924879999999999</v>
      </c>
      <c r="L6491">
        <v>128.6969</v>
      </c>
      <c r="M6491">
        <v>0.44616440000000002</v>
      </c>
      <c r="N6491">
        <v>-2.630304E-2</v>
      </c>
      <c r="O6491">
        <v>0.89456440000000004</v>
      </c>
      <c r="P6491">
        <v>0.69330570000000002</v>
      </c>
      <c r="Q6491">
        <v>-2.4340410000000001E-3</v>
      </c>
      <c r="R6491">
        <v>0.72063949999999999</v>
      </c>
      <c r="S6491">
        <v>3.176453</v>
      </c>
      <c r="T6491">
        <v>-0.28803109999999998</v>
      </c>
      <c r="U6491">
        <v>1.1287990000000001</v>
      </c>
      <c r="V6491">
        <v>0.2994791</v>
      </c>
      <c r="W6491">
        <v>9.9679409999999993E-3</v>
      </c>
      <c r="X6491">
        <v>0.95405079999999998</v>
      </c>
      <c r="Y6491">
        <v>0.69048580000000004</v>
      </c>
      <c r="Z6491">
        <v>-7.2720419999999994E-2</v>
      </c>
      <c r="AA6491">
        <v>0.71968120000000002</v>
      </c>
      <c r="AB6491">
        <v>38</v>
      </c>
      <c r="AC6491">
        <v>11.9626999999999</v>
      </c>
      <c r="AD6491">
        <v>-1.0924901886079901</v>
      </c>
      <c r="AE6491">
        <v>4.1113999999999997</v>
      </c>
      <c r="AF6491">
        <v>8.8044406965638</v>
      </c>
      <c r="AG6491">
        <v>-1.0924901886079901</v>
      </c>
      <c r="AH6491">
        <v>8.9515920756171408</v>
      </c>
      <c r="AI6491">
        <v>94.972810544581193</v>
      </c>
      <c r="AJ6491">
        <v>45.474822279578099</v>
      </c>
      <c r="AK6491">
        <v>12.603281774195301</v>
      </c>
      <c r="AL6491">
        <v>89.4288695978519</v>
      </c>
      <c r="AM6491">
        <v>72.572787295471002</v>
      </c>
      <c r="AN6491">
        <v>1.0000000100826101</v>
      </c>
    </row>
    <row r="6492" spans="1:40" x14ac:dyDescent="0.25">
      <c r="A6492" t="str">
        <f>"20190305135954225"</f>
        <v>20190305135954225</v>
      </c>
      <c r="B6492" t="str">
        <f>"1551765594215790"</f>
        <v>1551765594215790</v>
      </c>
      <c r="C6492" t="s">
        <v>40</v>
      </c>
      <c r="D6492">
        <v>4.293488</v>
      </c>
      <c r="E6492">
        <v>0.68883609999999995</v>
      </c>
      <c r="F6492" t="s">
        <v>79</v>
      </c>
      <c r="G6492">
        <v>-172.88749999999999</v>
      </c>
      <c r="H6492" s="1">
        <v>-2.2409399999999998E-6</v>
      </c>
      <c r="I6492">
        <v>132.77780000000001</v>
      </c>
      <c r="J6492">
        <v>-184.6404</v>
      </c>
      <c r="K6492">
        <v>1.092365</v>
      </c>
      <c r="L6492">
        <v>128.87790000000001</v>
      </c>
      <c r="M6492">
        <v>0.45477459999999997</v>
      </c>
      <c r="N6492">
        <v>-2.6085250000000001E-2</v>
      </c>
      <c r="O6492">
        <v>0.89022449999999997</v>
      </c>
      <c r="P6492">
        <v>0.70145449999999998</v>
      </c>
      <c r="Q6492">
        <v>-2.9058980000000001E-3</v>
      </c>
      <c r="R6492">
        <v>0.71270840000000002</v>
      </c>
      <c r="S6492">
        <v>3.1855319999999998</v>
      </c>
      <c r="T6492">
        <v>-0.29375489999999999</v>
      </c>
      <c r="U6492">
        <v>1.097275</v>
      </c>
      <c r="V6492">
        <v>0.30109659999999999</v>
      </c>
      <c r="W6492">
        <v>9.1387589999999998E-3</v>
      </c>
      <c r="X6492">
        <v>0.95354989999999995</v>
      </c>
      <c r="Y6492">
        <v>0.69036200000000003</v>
      </c>
      <c r="Z6492">
        <v>-7.4860259999999998E-2</v>
      </c>
      <c r="AA6492">
        <v>0.71958049999999996</v>
      </c>
      <c r="AB6492">
        <v>38</v>
      </c>
      <c r="AC6492">
        <v>11.7529</v>
      </c>
      <c r="AD6492">
        <v>-1.09236724094</v>
      </c>
      <c r="AE6492">
        <v>3.8999000000000001</v>
      </c>
      <c r="AF6492">
        <v>8.6249834027921803</v>
      </c>
      <c r="AG6492">
        <v>-1.09236724094</v>
      </c>
      <c r="AH6492">
        <v>8.7516043387035296</v>
      </c>
      <c r="AI6492">
        <v>95.080307875745206</v>
      </c>
      <c r="AJ6492">
        <v>45.417499507421198</v>
      </c>
      <c r="AK6492">
        <v>12.3358900525553</v>
      </c>
      <c r="AL6492">
        <v>89.476380414511993</v>
      </c>
      <c r="AM6492">
        <v>72.475765956970093</v>
      </c>
      <c r="AN6492">
        <v>1.0000000456188101</v>
      </c>
    </row>
    <row r="6493" spans="1:40" x14ac:dyDescent="0.25">
      <c r="A6493" t="str">
        <f>"20190305135954235"</f>
        <v>20190305135954235</v>
      </c>
      <c r="B6493" t="str">
        <f>"1551765594225551"</f>
        <v>1551765594225551</v>
      </c>
      <c r="C6493" t="s">
        <v>40</v>
      </c>
      <c r="D6493">
        <v>4.3594179999999998</v>
      </c>
      <c r="E6493">
        <v>0.68814370000000002</v>
      </c>
      <c r="F6493" t="s">
        <v>79</v>
      </c>
      <c r="G6493">
        <v>-172.83670000000001</v>
      </c>
      <c r="H6493" s="1">
        <v>-2.2254470000000001E-6</v>
      </c>
      <c r="I6493">
        <v>132.8083</v>
      </c>
      <c r="J6493">
        <v>-184.5496</v>
      </c>
      <c r="K6493">
        <v>1.0922529999999999</v>
      </c>
      <c r="L6493">
        <v>129.04939999999999</v>
      </c>
      <c r="M6493">
        <v>0.4629585</v>
      </c>
      <c r="N6493">
        <v>-2.5876590000000001E-2</v>
      </c>
      <c r="O6493">
        <v>0.88600210000000001</v>
      </c>
      <c r="P6493">
        <v>0.70899799999999902</v>
      </c>
      <c r="Q6493">
        <v>-3.9986199999999996E-3</v>
      </c>
      <c r="R6493">
        <v>0.70519919999999903</v>
      </c>
      <c r="S6493">
        <v>3.194763</v>
      </c>
      <c r="T6493">
        <v>-0.29565580000000002</v>
      </c>
      <c r="U6493">
        <v>1.063782</v>
      </c>
      <c r="V6493">
        <v>0.30240539999999999</v>
      </c>
      <c r="W6493">
        <v>7.7183119999999997E-3</v>
      </c>
      <c r="X6493">
        <v>0.95314810000000005</v>
      </c>
      <c r="Y6493">
        <v>0.69105760000000005</v>
      </c>
      <c r="Z6493">
        <v>-7.5807150000000004E-2</v>
      </c>
      <c r="AA6493">
        <v>0.71881340000000005</v>
      </c>
      <c r="AB6493">
        <v>38</v>
      </c>
      <c r="AC6493">
        <v>11.7128999999999</v>
      </c>
      <c r="AD6493">
        <v>-1.0922552254469999</v>
      </c>
      <c r="AE6493">
        <v>3.7589000000000099</v>
      </c>
      <c r="AF6493">
        <v>8.5727452725271505</v>
      </c>
      <c r="AG6493">
        <v>-1.0922552254469999</v>
      </c>
      <c r="AH6493">
        <v>8.6874204955757399</v>
      </c>
      <c r="AI6493">
        <v>95.113895165836595</v>
      </c>
      <c r="AJ6493">
        <v>45.380663181912198</v>
      </c>
      <c r="AK6493">
        <v>12.253826253546301</v>
      </c>
      <c r="AL6493">
        <v>89.557768884198197</v>
      </c>
      <c r="AM6493">
        <v>72.397323158472901</v>
      </c>
      <c r="AN6493">
        <v>0.99999994941144799</v>
      </c>
    </row>
    <row r="6494" spans="1:40" x14ac:dyDescent="0.25">
      <c r="A6494" t="str">
        <f>"20190305135954248"</f>
        <v>20190305135954248</v>
      </c>
      <c r="B6494" t="str">
        <f>"1551765594235310"</f>
        <v>1551765594235310</v>
      </c>
      <c r="C6494" t="s">
        <v>40</v>
      </c>
      <c r="D6494">
        <v>4.3098710000000002</v>
      </c>
      <c r="E6494">
        <v>0.6874633</v>
      </c>
      <c r="F6494" t="s">
        <v>79</v>
      </c>
      <c r="G6494">
        <v>-172.9288</v>
      </c>
      <c r="H6494" s="1">
        <v>-2.273596E-6</v>
      </c>
      <c r="I6494">
        <v>132.79839999999999</v>
      </c>
      <c r="J6494">
        <v>-184.4504</v>
      </c>
      <c r="K6494">
        <v>1.0921459999999901</v>
      </c>
      <c r="L6494">
        <v>129.23089999999999</v>
      </c>
      <c r="M6494">
        <v>0.47170099999999998</v>
      </c>
      <c r="N6494">
        <v>-2.565943E-2</v>
      </c>
      <c r="O6494">
        <v>0.88138510000000003</v>
      </c>
      <c r="P6494">
        <v>0.71681240000000002</v>
      </c>
      <c r="Q6494">
        <v>-4.5523589999999997E-3</v>
      </c>
      <c r="R6494">
        <v>0.69725130000000002</v>
      </c>
      <c r="S6494">
        <v>3.2021329999999999</v>
      </c>
      <c r="T6494">
        <v>-0.30097230000000003</v>
      </c>
      <c r="U6494">
        <v>1.0330349999999999</v>
      </c>
      <c r="V6494">
        <v>0.30356939999999999</v>
      </c>
      <c r="W6494">
        <v>6.8385709999999999E-3</v>
      </c>
      <c r="X6494">
        <v>0.95278479999999999</v>
      </c>
      <c r="Y6494">
        <v>0.69050219999999995</v>
      </c>
      <c r="Z6494">
        <v>-7.7799889999999997E-2</v>
      </c>
      <c r="AA6494">
        <v>0.7191341</v>
      </c>
      <c r="AB6494">
        <v>38</v>
      </c>
      <c r="AC6494">
        <v>11.521599999999999</v>
      </c>
      <c r="AD6494">
        <v>-1.09214827359599</v>
      </c>
      <c r="AE6494">
        <v>3.5674999999999901</v>
      </c>
      <c r="AF6494">
        <v>8.4060403137780995</v>
      </c>
      <c r="AG6494">
        <v>-1.09214827359599</v>
      </c>
      <c r="AH6494">
        <v>8.5121240551391502</v>
      </c>
      <c r="AI6494">
        <v>95.216212511304903</v>
      </c>
      <c r="AJ6494">
        <v>45.359263030201603</v>
      </c>
      <c r="AK6494">
        <v>12.0129329282427</v>
      </c>
      <c r="AL6494">
        <v>89.608175694013298</v>
      </c>
      <c r="AM6494">
        <v>72.327457059935597</v>
      </c>
      <c r="AN6494">
        <v>1.0000000108903599</v>
      </c>
    </row>
    <row r="6495" spans="1:40" x14ac:dyDescent="0.25">
      <c r="A6495" t="str">
        <f>"20190305135954264"</f>
        <v>20190305135954264</v>
      </c>
      <c r="B6495" t="str">
        <f>"1551765594255806"</f>
        <v>1551765594255806</v>
      </c>
      <c r="C6495" t="s">
        <v>40</v>
      </c>
      <c r="D6495">
        <v>4.2924309999999997</v>
      </c>
      <c r="E6495">
        <v>0.68600909999999904</v>
      </c>
      <c r="F6495" t="s">
        <v>79</v>
      </c>
      <c r="G6495">
        <v>-172.89169999999999</v>
      </c>
      <c r="H6495" s="1">
        <v>-2.268654E-6</v>
      </c>
      <c r="I6495">
        <v>132.8349</v>
      </c>
      <c r="J6495">
        <v>-184.31530000000001</v>
      </c>
      <c r="K6495">
        <v>1.0920160000000001</v>
      </c>
      <c r="L6495">
        <v>129.47299999999899</v>
      </c>
      <c r="M6495">
        <v>0.48338579999999998</v>
      </c>
      <c r="N6495">
        <v>-2.5374799999999999E-2</v>
      </c>
      <c r="O6495">
        <v>0.87503960000000003</v>
      </c>
      <c r="P6495">
        <v>0.72646469999999996</v>
      </c>
      <c r="Q6495">
        <v>-4.7297889999999999E-3</v>
      </c>
      <c r="R6495">
        <v>0.6871874</v>
      </c>
      <c r="S6495">
        <v>3.209778</v>
      </c>
      <c r="T6495">
        <v>-0.30328369999999999</v>
      </c>
      <c r="U6495">
        <v>1.0008090000000001</v>
      </c>
      <c r="V6495">
        <v>0.30416399999999999</v>
      </c>
      <c r="W6495">
        <v>6.285929E-3</v>
      </c>
      <c r="X6495">
        <v>0.95259890000000003</v>
      </c>
      <c r="Y6495">
        <v>0.68789330000000004</v>
      </c>
      <c r="Z6495">
        <v>-7.881262E-2</v>
      </c>
      <c r="AA6495">
        <v>0.72152019999999994</v>
      </c>
      <c r="AB6495">
        <v>38</v>
      </c>
      <c r="AC6495">
        <v>11.4236</v>
      </c>
      <c r="AD6495">
        <v>-1.0920182686540001</v>
      </c>
      <c r="AE6495">
        <v>3.3619000000000199</v>
      </c>
      <c r="AF6495">
        <v>8.3038708027343606</v>
      </c>
      <c r="AG6495">
        <v>-1.0920182686540001</v>
      </c>
      <c r="AH6495">
        <v>8.39592058223338</v>
      </c>
      <c r="AI6495">
        <v>95.283436149416801</v>
      </c>
      <c r="AJ6495">
        <v>45.315812954588999</v>
      </c>
      <c r="AK6495">
        <v>11.8591001610893</v>
      </c>
      <c r="AL6495">
        <v>89.639840411017005</v>
      </c>
      <c r="AM6495">
        <v>72.291762572618197</v>
      </c>
      <c r="AN6495">
        <v>0.99999995804029995</v>
      </c>
    </row>
    <row r="6496" spans="1:40" x14ac:dyDescent="0.25">
      <c r="A6496" t="str">
        <f>"20190305135954278"</f>
        <v>20190305135954278</v>
      </c>
      <c r="B6496" t="str">
        <f>"1551765594275326"</f>
        <v>1551765594275326</v>
      </c>
      <c r="C6496" t="s">
        <v>40</v>
      </c>
      <c r="D6496">
        <v>4.2821220000000002</v>
      </c>
      <c r="E6496">
        <v>0.68433889999999997</v>
      </c>
      <c r="F6496" t="s">
        <v>79</v>
      </c>
      <c r="G6496">
        <v>-172.69739999999999</v>
      </c>
      <c r="H6496" s="1">
        <v>-2.2118510000000001E-6</v>
      </c>
      <c r="I6496">
        <v>132.95679999999999</v>
      </c>
      <c r="J6496">
        <v>-184.1934</v>
      </c>
      <c r="K6496">
        <v>1.091909</v>
      </c>
      <c r="L6496">
        <v>129.68620000000001</v>
      </c>
      <c r="M6496">
        <v>0.49370920000000001</v>
      </c>
      <c r="N6496">
        <v>-2.5131250000000001E-2</v>
      </c>
      <c r="O6496">
        <v>0.86926389999999998</v>
      </c>
      <c r="P6496">
        <v>0.73474430000000002</v>
      </c>
      <c r="Q6496">
        <v>-4.3702890000000003E-3</v>
      </c>
      <c r="R6496">
        <v>0.67833019999999999</v>
      </c>
      <c r="S6496">
        <v>3.2155</v>
      </c>
      <c r="T6496">
        <v>-0.30223870000000003</v>
      </c>
      <c r="U6496">
        <v>0.96421809999999997</v>
      </c>
      <c r="V6496">
        <v>0.30444840000000001</v>
      </c>
      <c r="W6496">
        <v>6.3402859999999997E-3</v>
      </c>
      <c r="X6496">
        <v>0.95250769999999996</v>
      </c>
      <c r="Y6496">
        <v>0.68720959999999998</v>
      </c>
      <c r="Z6496">
        <v>-7.8868110000000005E-2</v>
      </c>
      <c r="AA6496">
        <v>0.72216539999999996</v>
      </c>
      <c r="AB6496">
        <v>38</v>
      </c>
      <c r="AC6496">
        <v>11.496</v>
      </c>
      <c r="AD6496">
        <v>-1.0919112118509999</v>
      </c>
      <c r="AE6496">
        <v>3.2705999999999702</v>
      </c>
      <c r="AF6496">
        <v>8.3116102798851799</v>
      </c>
      <c r="AG6496">
        <v>-1.0919112118509999</v>
      </c>
      <c r="AH6496">
        <v>8.4508554661890791</v>
      </c>
      <c r="AI6496">
        <v>95.263178505937006</v>
      </c>
      <c r="AJ6496">
        <v>45.475942985266599</v>
      </c>
      <c r="AK6496">
        <v>11.903448813250501</v>
      </c>
      <c r="AL6496">
        <v>89.636725927577203</v>
      </c>
      <c r="AM6496">
        <v>72.274649995579097</v>
      </c>
      <c r="AN6496">
        <v>0.99999997302420496</v>
      </c>
    </row>
    <row r="6497" spans="1:40" x14ac:dyDescent="0.25">
      <c r="A6497" t="str">
        <f>"20190305135954291"</f>
        <v>20190305135954291</v>
      </c>
      <c r="B6497" t="str">
        <f>"1551765594286062"</f>
        <v>1551765594286062</v>
      </c>
      <c r="C6497" t="s">
        <v>40</v>
      </c>
      <c r="D6497">
        <v>4.2848850000000001</v>
      </c>
      <c r="E6497">
        <v>0.68349150000000003</v>
      </c>
      <c r="F6497" t="s">
        <v>79</v>
      </c>
      <c r="G6497">
        <v>-172.10849999999999</v>
      </c>
      <c r="H6497" s="1">
        <v>-1.9837479999999998E-6</v>
      </c>
      <c r="I6497">
        <v>133.19990000000001</v>
      </c>
      <c r="J6497">
        <v>-184.07509999999999</v>
      </c>
      <c r="K6497">
        <v>1.0918350000000001</v>
      </c>
      <c r="L6497">
        <v>129.88560000000001</v>
      </c>
      <c r="M6497">
        <v>0.50343919999999998</v>
      </c>
      <c r="N6497">
        <v>-2.4922050000000001E-2</v>
      </c>
      <c r="O6497">
        <v>0.86367109999999903</v>
      </c>
      <c r="P6497">
        <v>0.74241619999999997</v>
      </c>
      <c r="Q6497">
        <v>-3.9521309999999898E-3</v>
      </c>
      <c r="R6497">
        <v>0.6699273</v>
      </c>
      <c r="S6497">
        <v>3.2176360000000002</v>
      </c>
      <c r="T6497">
        <v>-0.29072399999999998</v>
      </c>
      <c r="U6497">
        <v>0.93551640000000003</v>
      </c>
      <c r="V6497">
        <v>0.30460419999999999</v>
      </c>
      <c r="W6497">
        <v>6.5052690000000002E-3</v>
      </c>
      <c r="X6497">
        <v>0.95245679999999999</v>
      </c>
      <c r="Y6497">
        <v>0.68542559999999997</v>
      </c>
      <c r="Z6497">
        <v>-7.5551060000000003E-2</v>
      </c>
      <c r="AA6497">
        <v>0.72421250000000004</v>
      </c>
      <c r="AB6497">
        <v>38</v>
      </c>
      <c r="AC6497">
        <v>11.9666</v>
      </c>
      <c r="AD6497">
        <v>-1.091836983748</v>
      </c>
      <c r="AE6497">
        <v>3.3142999999999998</v>
      </c>
      <c r="AF6497">
        <v>8.6028364696235293</v>
      </c>
      <c r="AG6497">
        <v>-1.091836983748</v>
      </c>
      <c r="AH6497">
        <v>8.8214770607357096</v>
      </c>
      <c r="AI6497">
        <v>95.063755870165707</v>
      </c>
      <c r="AJ6497">
        <v>45.718910714127801</v>
      </c>
      <c r="AK6497">
        <v>12.370099468284399</v>
      </c>
      <c r="AL6497">
        <v>89.627272911498906</v>
      </c>
      <c r="AM6497">
        <v>72.265258994354099</v>
      </c>
      <c r="AN6497">
        <v>0.99999999652432103</v>
      </c>
    </row>
    <row r="6498" spans="1:40" x14ac:dyDescent="0.25">
      <c r="A6498" t="str">
        <f>"20190305135954303"</f>
        <v>20190305135954303</v>
      </c>
      <c r="B6498" t="str">
        <f>"1551765594295822"</f>
        <v>1551765594295822</v>
      </c>
      <c r="C6498" t="s">
        <v>40</v>
      </c>
      <c r="D6498">
        <v>4.3047579999999996</v>
      </c>
      <c r="E6498">
        <v>0.6826643</v>
      </c>
      <c r="F6498" t="s">
        <v>79</v>
      </c>
      <c r="G6498">
        <v>-171.88659999999999</v>
      </c>
      <c r="H6498" s="1">
        <v>-1.90256E-6</v>
      </c>
      <c r="I6498">
        <v>133.3023</v>
      </c>
      <c r="J6498">
        <v>-183.9751</v>
      </c>
      <c r="K6498">
        <v>1.0917760000000001</v>
      </c>
      <c r="L6498">
        <v>130.0515</v>
      </c>
      <c r="M6498">
        <v>0.51153119999999996</v>
      </c>
      <c r="N6498">
        <v>-2.4755539999999999E-2</v>
      </c>
      <c r="O6498">
        <v>0.85890809999999995</v>
      </c>
      <c r="P6498">
        <v>0.74878540000000005</v>
      </c>
      <c r="Q6498">
        <v>-3.2949149999999998E-3</v>
      </c>
      <c r="R6498">
        <v>0.66280430000000001</v>
      </c>
      <c r="S6498">
        <v>3.223862</v>
      </c>
      <c r="T6498">
        <v>-0.2887903</v>
      </c>
      <c r="U6498">
        <v>0.9037018</v>
      </c>
      <c r="V6498">
        <v>0.30478240000000001</v>
      </c>
      <c r="W6498">
        <v>6.9587310000000001E-3</v>
      </c>
      <c r="X6498">
        <v>0.95239660000000004</v>
      </c>
      <c r="Y6498">
        <v>0.68562489999999998</v>
      </c>
      <c r="Z6498">
        <v>-7.520077E-2</v>
      </c>
      <c r="AA6498">
        <v>0.72406029999999999</v>
      </c>
      <c r="AB6498">
        <v>38</v>
      </c>
      <c r="AC6498">
        <v>12.0885</v>
      </c>
      <c r="AD6498">
        <v>-1.0917779025600001</v>
      </c>
      <c r="AE6498">
        <v>3.2507999999999901</v>
      </c>
      <c r="AF6498">
        <v>8.6568468452232992</v>
      </c>
      <c r="AG6498">
        <v>-1.0917779025600001</v>
      </c>
      <c r="AH6498">
        <v>8.9107522517914699</v>
      </c>
      <c r="AI6498">
        <v>95.022267904840604</v>
      </c>
      <c r="AJ6498">
        <v>45.828041172745003</v>
      </c>
      <c r="AK6498">
        <v>12.471346438255001</v>
      </c>
      <c r="AL6498">
        <v>89.601290868828102</v>
      </c>
      <c r="AM6498">
        <v>72.254483176124396</v>
      </c>
      <c r="AN6498">
        <v>1.0000000094892201</v>
      </c>
    </row>
    <row r="6499" spans="1:40" x14ac:dyDescent="0.25">
      <c r="A6499" t="str">
        <f>"20190305135954314"</f>
        <v>20190305135954314</v>
      </c>
      <c r="B6499" t="str">
        <f>"1551765594305582"</f>
        <v>1551765594305582</v>
      </c>
      <c r="C6499" t="s">
        <v>40</v>
      </c>
      <c r="D6499">
        <v>4.2731760000000003</v>
      </c>
      <c r="E6499">
        <v>0.68192039999999998</v>
      </c>
      <c r="F6499" t="s">
        <v>79</v>
      </c>
      <c r="G6499">
        <v>-171.70760000000001</v>
      </c>
      <c r="H6499" s="1">
        <v>-1.8380720000000001E-6</v>
      </c>
      <c r="I6499">
        <v>133.3871</v>
      </c>
      <c r="J6499">
        <v>-183.86850000000001</v>
      </c>
      <c r="K6499">
        <v>1.091728</v>
      </c>
      <c r="L6499">
        <v>130.22450000000001</v>
      </c>
      <c r="M6499">
        <v>0.51999569999999995</v>
      </c>
      <c r="N6499">
        <v>-2.459333E-2</v>
      </c>
      <c r="O6499">
        <v>0.85381479999999998</v>
      </c>
      <c r="P6499">
        <v>0.75565419999999905</v>
      </c>
      <c r="Q6499">
        <v>-2.7794479999999999E-3</v>
      </c>
      <c r="R6499">
        <v>0.65496499999999902</v>
      </c>
      <c r="S6499">
        <v>3.2282259999999998</v>
      </c>
      <c r="T6499">
        <v>-0.28730240000000001</v>
      </c>
      <c r="U6499">
        <v>0.87777709999999998</v>
      </c>
      <c r="V6499">
        <v>0.30531419999999998</v>
      </c>
      <c r="W6499">
        <v>7.2591309999999899E-3</v>
      </c>
      <c r="X6499">
        <v>0.95222399999999996</v>
      </c>
      <c r="Y6499">
        <v>0.68413789999999997</v>
      </c>
      <c r="Z6499">
        <v>-7.4903670000000006E-2</v>
      </c>
      <c r="AA6499">
        <v>0.72549619999999904</v>
      </c>
      <c r="AB6499">
        <v>38</v>
      </c>
      <c r="AC6499">
        <v>12.1608999999999</v>
      </c>
      <c r="AD6499">
        <v>-1.091729838072</v>
      </c>
      <c r="AE6499">
        <v>3.1625999999999901</v>
      </c>
      <c r="AF6499">
        <v>8.6757700600794205</v>
      </c>
      <c r="AG6499">
        <v>-1.091729838072</v>
      </c>
      <c r="AH6499">
        <v>8.9589907816677901</v>
      </c>
      <c r="AI6499">
        <v>95.002896758305894</v>
      </c>
      <c r="AJ6499">
        <v>45.920112111327697</v>
      </c>
      <c r="AK6499">
        <v>12.518960659763801</v>
      </c>
      <c r="AL6499">
        <v>89.584078778277004</v>
      </c>
      <c r="AM6499">
        <v>72.222448060372002</v>
      </c>
      <c r="AN6499">
        <v>1.0000000009402501</v>
      </c>
    </row>
    <row r="6500" spans="1:40" x14ac:dyDescent="0.25">
      <c r="A6500" t="str">
        <f>"20190305135954326"</f>
        <v>20190305135954326</v>
      </c>
      <c r="B6500" t="str">
        <f>"1551765594315343"</f>
        <v>1551765594315343</v>
      </c>
      <c r="C6500" t="s">
        <v>40</v>
      </c>
      <c r="D6500">
        <v>4.256011</v>
      </c>
      <c r="E6500">
        <v>0.68115780000000004</v>
      </c>
      <c r="F6500" t="s">
        <v>79</v>
      </c>
      <c r="G6500">
        <v>-171.6046</v>
      </c>
      <c r="H6500" s="1">
        <v>-1.8044790000000001E-6</v>
      </c>
      <c r="I6500">
        <v>133.44380000000001</v>
      </c>
      <c r="J6500">
        <v>-183.76589999999999</v>
      </c>
      <c r="K6500">
        <v>1.091691</v>
      </c>
      <c r="L6500">
        <v>130.3869</v>
      </c>
      <c r="M6500">
        <v>0.52796949999999998</v>
      </c>
      <c r="N6500">
        <v>-2.44546E-2</v>
      </c>
      <c r="O6500">
        <v>0.84891119999999898</v>
      </c>
      <c r="P6500">
        <v>0.76192079999999995</v>
      </c>
      <c r="Q6500">
        <v>-2.3197700000000001E-3</v>
      </c>
      <c r="R6500">
        <v>0.64766619999999997</v>
      </c>
      <c r="S6500">
        <v>3.2333530000000001</v>
      </c>
      <c r="T6500">
        <v>-0.2878308</v>
      </c>
      <c r="U6500">
        <v>0.84875489999999998</v>
      </c>
      <c r="V6500">
        <v>0.30557329999999999</v>
      </c>
      <c r="W6500">
        <v>7.5457019999999996E-3</v>
      </c>
      <c r="X6500">
        <v>0.9521387</v>
      </c>
      <c r="Y6500">
        <v>0.68367119999999904</v>
      </c>
      <c r="Z6500">
        <v>-7.5255639999999999E-2</v>
      </c>
      <c r="AA6500">
        <v>0.72589959999999998</v>
      </c>
      <c r="AB6500">
        <v>38</v>
      </c>
      <c r="AC6500">
        <v>12.161299999999899</v>
      </c>
      <c r="AD6500">
        <v>-1.091692804479</v>
      </c>
      <c r="AE6500">
        <v>3.0569000000000099</v>
      </c>
      <c r="AF6500">
        <v>8.64698055571988</v>
      </c>
      <c r="AG6500">
        <v>-1.091692804479</v>
      </c>
      <c r="AH6500">
        <v>8.9506884664867403</v>
      </c>
      <c r="AI6500">
        <v>95.013119307148202</v>
      </c>
      <c r="AJ6500">
        <v>45.9887362987646</v>
      </c>
      <c r="AK6500">
        <v>12.4930736784206</v>
      </c>
      <c r="AL6500">
        <v>89.567659037139705</v>
      </c>
      <c r="AM6500">
        <v>72.206818947190499</v>
      </c>
      <c r="AN6500">
        <v>1.00000004166462</v>
      </c>
    </row>
    <row r="6501" spans="1:40" x14ac:dyDescent="0.25">
      <c r="A6501" t="str">
        <f>"20190305135954336"</f>
        <v>20190305135954336</v>
      </c>
      <c r="B6501" t="str">
        <f>"1551765594326078"</f>
        <v>1551765594326078</v>
      </c>
      <c r="C6501" t="s">
        <v>40</v>
      </c>
      <c r="D6501">
        <v>4.2851670000000004</v>
      </c>
      <c r="E6501">
        <v>0.68042979999999997</v>
      </c>
      <c r="F6501" t="s">
        <v>79</v>
      </c>
      <c r="G6501">
        <v>-171.48929999999999</v>
      </c>
      <c r="H6501" s="1">
        <v>-1.7661549999999999E-6</v>
      </c>
      <c r="I6501">
        <v>133.50569999999999</v>
      </c>
      <c r="J6501">
        <v>-183.667</v>
      </c>
      <c r="K6501">
        <v>1.091658</v>
      </c>
      <c r="L6501">
        <v>130.5419</v>
      </c>
      <c r="M6501">
        <v>0.53556510000000002</v>
      </c>
      <c r="N6501">
        <v>-2.4327519999999998E-2</v>
      </c>
      <c r="O6501">
        <v>0.84414349999999905</v>
      </c>
      <c r="P6501">
        <v>0.76804490000000003</v>
      </c>
      <c r="Q6501">
        <v>-1.4888220000000001E-3</v>
      </c>
      <c r="R6501">
        <v>0.64039429999999997</v>
      </c>
      <c r="S6501">
        <v>3.2374420000000002</v>
      </c>
      <c r="T6501">
        <v>-0.28788639999999999</v>
      </c>
      <c r="U6501">
        <v>0.82244869999999903</v>
      </c>
      <c r="V6501">
        <v>0.306116</v>
      </c>
      <c r="W6501">
        <v>8.2037180000000005E-3</v>
      </c>
      <c r="X6501">
        <v>0.95195890000000005</v>
      </c>
      <c r="Y6501">
        <v>0.68288599999999999</v>
      </c>
      <c r="Z6501">
        <v>-7.5427369999999994E-2</v>
      </c>
      <c r="AA6501">
        <v>0.7266205</v>
      </c>
      <c r="AB6501">
        <v>38</v>
      </c>
      <c r="AC6501">
        <v>12.1777</v>
      </c>
      <c r="AD6501">
        <v>-1.091659766155</v>
      </c>
      <c r="AE6501">
        <v>2.9637999999999902</v>
      </c>
      <c r="AF6501">
        <v>8.6295220638084302</v>
      </c>
      <c r="AG6501">
        <v>-1.091659766155</v>
      </c>
      <c r="AH6501">
        <v>8.9585292572581299</v>
      </c>
      <c r="AI6501">
        <v>95.015565756338901</v>
      </c>
      <c r="AJ6501">
        <v>46.0716664939103</v>
      </c>
      <c r="AK6501">
        <v>12.486617578349501</v>
      </c>
      <c r="AL6501">
        <v>89.529956322412005</v>
      </c>
      <c r="AM6501">
        <v>72.174062763395696</v>
      </c>
      <c r="AN6501">
        <v>1.0000000268671101</v>
      </c>
    </row>
    <row r="6502" spans="1:40" x14ac:dyDescent="0.25">
      <c r="A6502" t="str">
        <f>"20190305135954347"</f>
        <v>20190305135954347</v>
      </c>
      <c r="B6502" t="str">
        <f>"1551765594335839"</f>
        <v>1551765594335839</v>
      </c>
      <c r="C6502" t="s">
        <v>40</v>
      </c>
      <c r="D6502">
        <v>4.2975349999999999</v>
      </c>
      <c r="E6502">
        <v>0.67963090000000004</v>
      </c>
      <c r="F6502" t="s">
        <v>79</v>
      </c>
      <c r="G6502">
        <v>-171.3578</v>
      </c>
      <c r="H6502" s="1">
        <v>-1.7179070000000001E-6</v>
      </c>
      <c r="I6502">
        <v>133.566</v>
      </c>
      <c r="J6502">
        <v>-183.56890000000001</v>
      </c>
      <c r="K6502">
        <v>1.0916399999999999</v>
      </c>
      <c r="L6502">
        <v>130.69069999999999</v>
      </c>
      <c r="M6502">
        <v>0.54290749999999999</v>
      </c>
      <c r="N6502">
        <v>-2.4221800000000002E-2</v>
      </c>
      <c r="O6502">
        <v>0.8394431</v>
      </c>
      <c r="P6502">
        <v>0.77390780000000003</v>
      </c>
      <c r="Q6502">
        <v>-1.152847E-3</v>
      </c>
      <c r="R6502">
        <v>0.63329729999999995</v>
      </c>
      <c r="S6502">
        <v>3.2414700000000001</v>
      </c>
      <c r="T6502">
        <v>-0.2874758</v>
      </c>
      <c r="U6502">
        <v>0.79637150000000001</v>
      </c>
      <c r="V6502">
        <v>0.30658800000000003</v>
      </c>
      <c r="W6502">
        <v>8.3949209999999996E-3</v>
      </c>
      <c r="X6502">
        <v>0.95180529999999997</v>
      </c>
      <c r="Y6502">
        <v>0.68225279999999999</v>
      </c>
      <c r="Z6502">
        <v>-7.5431209999999999E-2</v>
      </c>
      <c r="AA6502">
        <v>0.72721480000000005</v>
      </c>
      <c r="AB6502">
        <v>38</v>
      </c>
      <c r="AC6502">
        <v>12.2111</v>
      </c>
      <c r="AD6502">
        <v>-1.0916417179069999</v>
      </c>
      <c r="AE6502">
        <v>2.8753000000000002</v>
      </c>
      <c r="AF6502">
        <v>8.6267297015306692</v>
      </c>
      <c r="AG6502">
        <v>-1.0916417179069999</v>
      </c>
      <c r="AH6502">
        <v>8.97782181095506</v>
      </c>
      <c r="AI6502">
        <v>95.010687223915994</v>
      </c>
      <c r="AJ6502">
        <v>46.142513046339602</v>
      </c>
      <c r="AK6502">
        <v>12.4985371725177</v>
      </c>
      <c r="AL6502">
        <v>89.519000808864206</v>
      </c>
      <c r="AM6502">
        <v>72.1456223864338</v>
      </c>
      <c r="AN6502">
        <v>1.00000000277534</v>
      </c>
    </row>
    <row r="6503" spans="1:40" x14ac:dyDescent="0.25">
      <c r="A6503" t="str">
        <f>"20190305135954360"</f>
        <v>20190305135954360</v>
      </c>
      <c r="B6503" t="str">
        <f>"1551765594355359"</f>
        <v>1551765594355359</v>
      </c>
      <c r="C6503" t="s">
        <v>40</v>
      </c>
      <c r="D6503">
        <v>4.2758560000000001</v>
      </c>
      <c r="E6503">
        <v>0.67797850000000004</v>
      </c>
      <c r="F6503" t="s">
        <v>79</v>
      </c>
      <c r="G6503">
        <v>-171.23689999999999</v>
      </c>
      <c r="H6503" s="1">
        <v>-1.674401E-6</v>
      </c>
      <c r="I6503">
        <v>133.6234</v>
      </c>
      <c r="J6503">
        <v>-183.4605</v>
      </c>
      <c r="K6503">
        <v>1.0916140000000001</v>
      </c>
      <c r="L6503">
        <v>130.85409999999999</v>
      </c>
      <c r="M6503">
        <v>0.55094109999999996</v>
      </c>
      <c r="N6503">
        <v>-2.4109040000000002E-2</v>
      </c>
      <c r="O6503">
        <v>0.83419589999999999</v>
      </c>
      <c r="P6503">
        <v>0.78005429999999998</v>
      </c>
      <c r="Q6503">
        <v>-9.4671730000000002E-4</v>
      </c>
      <c r="R6503">
        <v>0.62571109999999996</v>
      </c>
      <c r="S6503">
        <v>3.2445979999999999</v>
      </c>
      <c r="T6503">
        <v>-0.28721619999999998</v>
      </c>
      <c r="U6503">
        <v>0.77160640000000003</v>
      </c>
      <c r="V6503">
        <v>0.30675039999999998</v>
      </c>
      <c r="W6503">
        <v>8.4640610000000002E-3</v>
      </c>
      <c r="X6503">
        <v>0.95175240000000005</v>
      </c>
      <c r="Y6503">
        <v>0.68066079999999995</v>
      </c>
      <c r="Z6503">
        <v>-7.5444529999999996E-2</v>
      </c>
      <c r="AA6503">
        <v>0.72870369999999995</v>
      </c>
      <c r="AB6503">
        <v>37</v>
      </c>
      <c r="AC6503">
        <v>12.223599999999999</v>
      </c>
      <c r="AD6503">
        <v>-1.0916156744009999</v>
      </c>
      <c r="AE6503">
        <v>2.7693000000000101</v>
      </c>
      <c r="AF6503">
        <v>8.6083745904663598</v>
      </c>
      <c r="AG6503">
        <v>-1.0916156744009999</v>
      </c>
      <c r="AH6503">
        <v>8.9791371251046801</v>
      </c>
      <c r="AI6503">
        <v>95.015281670242103</v>
      </c>
      <c r="AJ6503">
        <v>46.2076741007617</v>
      </c>
      <c r="AK6503">
        <v>12.486818705411601</v>
      </c>
      <c r="AL6503">
        <v>89.515039255772095</v>
      </c>
      <c r="AM6503">
        <v>72.135836048628605</v>
      </c>
      <c r="AN6503">
        <v>1.0000000395672599</v>
      </c>
    </row>
    <row r="6504" spans="1:40" x14ac:dyDescent="0.25">
      <c r="A6504" t="str">
        <f>"20190305135954371"</f>
        <v>20190305135954371</v>
      </c>
      <c r="B6504" t="str">
        <f>"1551765594366095"</f>
        <v>1551765594366095</v>
      </c>
      <c r="C6504" t="s">
        <v>40</v>
      </c>
      <c r="D6504">
        <v>4.2906579999999996</v>
      </c>
      <c r="E6504">
        <v>0.67797850000000004</v>
      </c>
      <c r="F6504" t="s">
        <v>79</v>
      </c>
      <c r="G6504">
        <v>-171.09989999999999</v>
      </c>
      <c r="H6504" s="1">
        <v>-1.63641E-6</v>
      </c>
      <c r="I6504">
        <v>133.7141</v>
      </c>
      <c r="J6504">
        <v>-183.33430000000001</v>
      </c>
      <c r="K6504">
        <v>1.091588</v>
      </c>
      <c r="L6504">
        <v>131.03790000000001</v>
      </c>
      <c r="M6504">
        <v>0.56003990000000003</v>
      </c>
      <c r="N6504">
        <v>-2.400308E-2</v>
      </c>
      <c r="O6504">
        <v>0.82811780000000002</v>
      </c>
      <c r="P6504">
        <v>0.78689419999999899</v>
      </c>
      <c r="Q6504">
        <v>-8.5664170000000002E-4</v>
      </c>
      <c r="R6504">
        <v>0.61708739999999995</v>
      </c>
      <c r="S6504">
        <v>3.2435459999999998</v>
      </c>
      <c r="T6504">
        <v>-0.2864505</v>
      </c>
      <c r="U6504">
        <v>0.7504883</v>
      </c>
      <c r="V6504">
        <v>0.306809</v>
      </c>
      <c r="W6504">
        <v>8.4311590000000006E-3</v>
      </c>
      <c r="X6504">
        <v>0.95173379999999996</v>
      </c>
      <c r="Y6504">
        <v>0.67711540000000003</v>
      </c>
      <c r="Z6504">
        <v>-7.5274140000000003E-2</v>
      </c>
      <c r="AA6504">
        <v>0.73201680000000002</v>
      </c>
      <c r="AB6504">
        <v>37</v>
      </c>
      <c r="AC6504">
        <v>12.234400000000001</v>
      </c>
      <c r="AD6504">
        <v>-1.09158963641</v>
      </c>
      <c r="AE6504">
        <v>2.6761999999999899</v>
      </c>
      <c r="AF6504">
        <v>8.5701247483855791</v>
      </c>
      <c r="AG6504">
        <v>-1.09158963641</v>
      </c>
      <c r="AH6504">
        <v>9.0021831261204799</v>
      </c>
      <c r="AI6504">
        <v>95.019080076403796</v>
      </c>
      <c r="AJ6504">
        <v>46.408473777061303</v>
      </c>
      <c r="AK6504">
        <v>12.4770953019289</v>
      </c>
      <c r="AL6504">
        <v>89.516924467217507</v>
      </c>
      <c r="AM6504">
        <v>72.132313353359507</v>
      </c>
      <c r="AN6504">
        <v>1.0000000364927599</v>
      </c>
    </row>
    <row r="6505" spans="1:40" x14ac:dyDescent="0.25">
      <c r="A6505" t="str">
        <f>"20190305135954382"</f>
        <v>20190305135954382</v>
      </c>
      <c r="B6505" t="str">
        <f>"1551765594375854"</f>
        <v>1551765594375854</v>
      </c>
      <c r="C6505" t="s">
        <v>40</v>
      </c>
      <c r="D6505">
        <v>4.2925620000000002</v>
      </c>
      <c r="E6505">
        <v>0.64823180000000002</v>
      </c>
      <c r="F6505" t="s">
        <v>79</v>
      </c>
      <c r="G6505">
        <v>-170.96129999999999</v>
      </c>
      <c r="H6505" s="1">
        <v>-1.576859E-6</v>
      </c>
      <c r="I6505">
        <v>133.75799999999899</v>
      </c>
      <c r="J6505">
        <v>-183.23099999999999</v>
      </c>
      <c r="K6505">
        <v>1.091572</v>
      </c>
      <c r="L6505">
        <v>131.18620000000001</v>
      </c>
      <c r="M6505">
        <v>0.56737649999999995</v>
      </c>
      <c r="N6505">
        <v>-2.3924520000000001E-2</v>
      </c>
      <c r="O6505">
        <v>0.82311089999999998</v>
      </c>
      <c r="P6505">
        <v>0.79207490000000003</v>
      </c>
      <c r="Q6505">
        <v>-1.3769870000000001E-3</v>
      </c>
      <c r="R6505">
        <v>0.61042240000000003</v>
      </c>
      <c r="S6505">
        <v>3.2515719999999999</v>
      </c>
      <c r="T6505">
        <v>-0.2868638</v>
      </c>
      <c r="U6505">
        <v>0.71482849999999998</v>
      </c>
      <c r="V6505">
        <v>0.30636149999999901</v>
      </c>
      <c r="W6505">
        <v>7.8441929999999993E-3</v>
      </c>
      <c r="X6505">
        <v>0.95188300000000003</v>
      </c>
      <c r="Y6505">
        <v>0.67860880000000001</v>
      </c>
      <c r="Z6505">
        <v>-7.5530979999999998E-2</v>
      </c>
      <c r="AA6505">
        <v>0.73060609999999904</v>
      </c>
      <c r="AB6505">
        <v>37</v>
      </c>
      <c r="AC6505">
        <v>12.2697</v>
      </c>
      <c r="AD6505">
        <v>-1.091573576859</v>
      </c>
      <c r="AE6505">
        <v>2.5717999999999601</v>
      </c>
      <c r="AF6505">
        <v>8.57758617317511</v>
      </c>
      <c r="AG6505">
        <v>-1.091573576859</v>
      </c>
      <c r="AH6505">
        <v>9.0126840096460707</v>
      </c>
      <c r="AI6505">
        <v>95.013889434165904</v>
      </c>
      <c r="AJ6505">
        <v>46.416930335687098</v>
      </c>
      <c r="AK6505">
        <v>12.489795454276701</v>
      </c>
      <c r="AL6505">
        <v>89.550556270936099</v>
      </c>
      <c r="AM6505">
        <v>72.159340232193003</v>
      </c>
      <c r="AN6505">
        <v>1.00000007286753</v>
      </c>
    </row>
    <row r="6506" spans="1:40" x14ac:dyDescent="0.25">
      <c r="A6506" t="str">
        <f>"20190305135954394"</f>
        <v>20190305135954394</v>
      </c>
      <c r="B6506" t="str">
        <f>"1551765594385615"</f>
        <v>1551765594385615</v>
      </c>
      <c r="C6506" t="s">
        <v>40</v>
      </c>
      <c r="D6506">
        <v>4.2885770000000001</v>
      </c>
      <c r="E6506">
        <v>0.64688029999999996</v>
      </c>
      <c r="F6506" t="s">
        <v>79</v>
      </c>
      <c r="G6506">
        <v>-172.08869999999999</v>
      </c>
      <c r="H6506" s="1">
        <v>-2.467282E-6</v>
      </c>
      <c r="I6506">
        <v>134.31739999999999</v>
      </c>
      <c r="J6506">
        <v>-183.11609999999999</v>
      </c>
      <c r="K6506">
        <v>1.0915570000000001</v>
      </c>
      <c r="L6506">
        <v>131.34780000000001</v>
      </c>
      <c r="M6506">
        <v>0.57538849999999997</v>
      </c>
      <c r="N6506">
        <v>-2.385002E-2</v>
      </c>
      <c r="O6506">
        <v>0.81753240000000005</v>
      </c>
      <c r="P6506">
        <v>0.79765220000000003</v>
      </c>
      <c r="Q6506">
        <v>-1.9054409999999999E-3</v>
      </c>
      <c r="R6506">
        <v>0.6031147</v>
      </c>
      <c r="S6506">
        <v>3.1128390000000001</v>
      </c>
      <c r="T6506">
        <v>-0.30495349999999999</v>
      </c>
      <c r="U6506">
        <v>0.87477109999999902</v>
      </c>
      <c r="V6506">
        <v>0.30579050000000002</v>
      </c>
      <c r="W6506">
        <v>7.25960699999999E-3</v>
      </c>
      <c r="X6506">
        <v>0.95207109999999995</v>
      </c>
      <c r="Y6506">
        <v>0.62735410000000003</v>
      </c>
      <c r="Z6506">
        <v>-8.1383709999999998E-2</v>
      </c>
      <c r="AA6506">
        <v>0.77446990000000004</v>
      </c>
      <c r="AB6506">
        <v>37</v>
      </c>
      <c r="AC6506">
        <v>11.0274</v>
      </c>
      <c r="AD6506">
        <v>-1.0915594672819999</v>
      </c>
      <c r="AE6506">
        <v>2.9695999999999798</v>
      </c>
      <c r="AF6506">
        <v>7.2424965960004499</v>
      </c>
      <c r="AG6506">
        <v>-1.0915594672819999</v>
      </c>
      <c r="AH6506">
        <v>8.6958367226145707</v>
      </c>
      <c r="AI6506">
        <v>95.509379109515393</v>
      </c>
      <c r="AJ6506">
        <v>50.210118785654302</v>
      </c>
      <c r="AK6506">
        <v>11.3693814836192</v>
      </c>
      <c r="AL6506">
        <v>89.584051485915893</v>
      </c>
      <c r="AM6506">
        <v>72.193785661173195</v>
      </c>
      <c r="AN6506">
        <v>0.99999995561962596</v>
      </c>
    </row>
    <row r="6507" spans="1:40" x14ac:dyDescent="0.25">
      <c r="A6507" t="str">
        <f>"20190305135954405"</f>
        <v>20190305135954405</v>
      </c>
      <c r="B6507" t="str">
        <f>"1551765594395375"</f>
        <v>1551765594395375</v>
      </c>
      <c r="C6507" t="s">
        <v>40</v>
      </c>
      <c r="D6507">
        <v>4.3222339999999999</v>
      </c>
      <c r="E6507">
        <v>0.6459935</v>
      </c>
      <c r="F6507" t="s">
        <v>79</v>
      </c>
      <c r="G6507">
        <v>-171.7715</v>
      </c>
      <c r="H6507" s="1">
        <v>-2.3506669999999999E-6</v>
      </c>
      <c r="I6507">
        <v>134.4624</v>
      </c>
      <c r="J6507">
        <v>-183.006</v>
      </c>
      <c r="K6507">
        <v>1.091547</v>
      </c>
      <c r="L6507">
        <v>131.4992</v>
      </c>
      <c r="M6507">
        <v>0.5829145</v>
      </c>
      <c r="N6507">
        <v>-2.3791980000000001E-2</v>
      </c>
      <c r="O6507">
        <v>0.81218519999999905</v>
      </c>
      <c r="P6507">
        <v>0.80268519999999999</v>
      </c>
      <c r="Q6507">
        <v>-2.0383760000000002E-3</v>
      </c>
      <c r="R6507">
        <v>0.59639960000000003</v>
      </c>
      <c r="S6507">
        <v>3.1139220000000001</v>
      </c>
      <c r="T6507">
        <v>-0.29961670000000001</v>
      </c>
      <c r="U6507">
        <v>0.854904199999999</v>
      </c>
      <c r="V6507">
        <v>0.30498049999999999</v>
      </c>
      <c r="W6507">
        <v>7.102733E-3</v>
      </c>
      <c r="X6507">
        <v>0.95233210000000001</v>
      </c>
      <c r="Y6507">
        <v>0.62498999999999905</v>
      </c>
      <c r="Z6507">
        <v>-7.9697970000000007E-2</v>
      </c>
      <c r="AA6507">
        <v>0.77655379999999996</v>
      </c>
      <c r="AB6507">
        <v>37</v>
      </c>
      <c r="AC6507">
        <v>11.234499999999899</v>
      </c>
      <c r="AD6507">
        <v>-1.091549350667</v>
      </c>
      <c r="AE6507">
        <v>2.9632000000000001</v>
      </c>
      <c r="AF6507">
        <v>7.3345604447177797</v>
      </c>
      <c r="AG6507">
        <v>-1.091549350667</v>
      </c>
      <c r="AH6507">
        <v>8.8795826971216005</v>
      </c>
      <c r="AI6507">
        <v>95.414132619185807</v>
      </c>
      <c r="AJ6507">
        <v>50.443197097509703</v>
      </c>
      <c r="AK6507">
        <v>11.568675195422401</v>
      </c>
      <c r="AL6507">
        <v>89.593039950785098</v>
      </c>
      <c r="AM6507">
        <v>72.242546257526499</v>
      </c>
      <c r="AN6507">
        <v>0.99999999144336404</v>
      </c>
    </row>
    <row r="6508" spans="1:40" x14ac:dyDescent="0.25">
      <c r="A6508" t="str">
        <f>"20190305135954415"</f>
        <v>20190305135954415</v>
      </c>
      <c r="B6508" t="str">
        <f>"1551765594405135"</f>
        <v>1551765594405135</v>
      </c>
      <c r="C6508" t="s">
        <v>40</v>
      </c>
      <c r="D6508">
        <v>4.3309569999999997</v>
      </c>
      <c r="E6508">
        <v>0.64528079999999999</v>
      </c>
      <c r="F6508" t="s">
        <v>79</v>
      </c>
      <c r="G6508">
        <v>-171.7773</v>
      </c>
      <c r="H6508" s="1">
        <v>-2.3721390000000001E-6</v>
      </c>
      <c r="I6508">
        <v>134.5034</v>
      </c>
      <c r="J6508">
        <v>-182.90119999999999</v>
      </c>
      <c r="K6508">
        <v>1.091539</v>
      </c>
      <c r="L6508">
        <v>131.6414</v>
      </c>
      <c r="M6508">
        <v>0.58997369999999905</v>
      </c>
      <c r="N6508">
        <v>-2.3743159999999999E-2</v>
      </c>
      <c r="O6508">
        <v>0.80707329999999999</v>
      </c>
      <c r="P6508">
        <v>0.80717469999999902</v>
      </c>
      <c r="Q6508">
        <v>-1.9714250000000002E-3</v>
      </c>
      <c r="R6508">
        <v>0.59030939999999998</v>
      </c>
      <c r="S6508">
        <v>3.1170650000000002</v>
      </c>
      <c r="T6508">
        <v>-0.30301339999999999</v>
      </c>
      <c r="U6508">
        <v>0.83396909999999902</v>
      </c>
      <c r="V6508">
        <v>0.30388540000000003</v>
      </c>
      <c r="W6508">
        <v>7.171396E-3</v>
      </c>
      <c r="X6508">
        <v>0.95268160000000002</v>
      </c>
      <c r="Y6508">
        <v>0.62315849999999995</v>
      </c>
      <c r="Z6508">
        <v>-8.0705440000000003E-2</v>
      </c>
      <c r="AA6508">
        <v>0.77792039999999996</v>
      </c>
      <c r="AB6508">
        <v>37</v>
      </c>
      <c r="AC6508">
        <v>11.1238999999999</v>
      </c>
      <c r="AD6508">
        <v>-1.0915413721389999</v>
      </c>
      <c r="AE6508">
        <v>2.8619999999999899</v>
      </c>
      <c r="AF6508">
        <v>7.2260954572268101</v>
      </c>
      <c r="AG6508">
        <v>-1.0915413721389999</v>
      </c>
      <c r="AH6508">
        <v>8.7957211191159104</v>
      </c>
      <c r="AI6508">
        <v>95.477294523329505</v>
      </c>
      <c r="AJ6508">
        <v>50.595298984589498</v>
      </c>
      <c r="AK6508">
        <v>11.4355860422326</v>
      </c>
      <c r="AL6508">
        <v>89.589105753183006</v>
      </c>
      <c r="AM6508">
        <v>72.308410528580794</v>
      </c>
      <c r="AN6508">
        <v>0.99999999811615403</v>
      </c>
    </row>
    <row r="6509" spans="1:40" x14ac:dyDescent="0.25">
      <c r="A6509" t="str">
        <f>"20190305135954427"</f>
        <v>20190305135954427</v>
      </c>
      <c r="B6509" t="str">
        <f>"1551765594415871"</f>
        <v>1551765594415871</v>
      </c>
      <c r="C6509" t="s">
        <v>40</v>
      </c>
      <c r="D6509">
        <v>4.3320780000000001</v>
      </c>
      <c r="E6509">
        <v>0.64439460000000004</v>
      </c>
      <c r="F6509" t="s">
        <v>79</v>
      </c>
      <c r="G6509">
        <v>-171.5239</v>
      </c>
      <c r="H6509" s="1">
        <v>-2.2761889999999998E-6</v>
      </c>
      <c r="I6509">
        <v>134.613</v>
      </c>
      <c r="J6509">
        <v>-182.78980000000001</v>
      </c>
      <c r="K6509">
        <v>1.0915379999999999</v>
      </c>
      <c r="L6509">
        <v>131.7885</v>
      </c>
      <c r="M6509">
        <v>0.59732469999999904</v>
      </c>
      <c r="N6509">
        <v>-2.3704900000000001E-2</v>
      </c>
      <c r="O6509">
        <v>0.80164919999999995</v>
      </c>
      <c r="P6509">
        <v>0.81193709999999997</v>
      </c>
      <c r="Q6509">
        <v>-1.66153E-3</v>
      </c>
      <c r="R6509">
        <v>0.58374269999999995</v>
      </c>
      <c r="S6509">
        <v>3.11998</v>
      </c>
      <c r="T6509">
        <v>-0.29933090000000001</v>
      </c>
      <c r="U6509">
        <v>0.81489560000000005</v>
      </c>
      <c r="V6509">
        <v>0.3029212</v>
      </c>
      <c r="W6509">
        <v>7.4870529999999996E-3</v>
      </c>
      <c r="X6509">
        <v>0.95298620000000001</v>
      </c>
      <c r="Y6509">
        <v>0.62076679999999995</v>
      </c>
      <c r="Z6509">
        <v>-7.9446920000000004E-2</v>
      </c>
      <c r="AA6509">
        <v>0.77995950000000003</v>
      </c>
      <c r="AB6509">
        <v>37</v>
      </c>
      <c r="AC6509">
        <v>11.2659</v>
      </c>
      <c r="AD6509">
        <v>-1.0915402761889901</v>
      </c>
      <c r="AE6509">
        <v>2.8245</v>
      </c>
      <c r="AF6509">
        <v>7.2819039672648396</v>
      </c>
      <c r="AG6509">
        <v>-1.0915402761889901</v>
      </c>
      <c r="AH6509">
        <v>8.9174244908255993</v>
      </c>
      <c r="AI6509">
        <v>95.416040178454594</v>
      </c>
      <c r="AJ6509">
        <v>50.765174473398901</v>
      </c>
      <c r="AK6509">
        <v>11.564516639816199</v>
      </c>
      <c r="AL6509">
        <v>89.571019455676506</v>
      </c>
      <c r="AM6509">
        <v>72.366347654496906</v>
      </c>
      <c r="AN6509">
        <v>1.0000000033812499</v>
      </c>
    </row>
    <row r="6510" spans="1:40" x14ac:dyDescent="0.25">
      <c r="A6510" t="str">
        <f>"20190305135954439"</f>
        <v>20190305135954439</v>
      </c>
      <c r="B6510" t="str">
        <f>"1551765594435391"</f>
        <v>1551765594435391</v>
      </c>
      <c r="C6510" t="s">
        <v>40</v>
      </c>
      <c r="D6510">
        <v>4.3485860000000001</v>
      </c>
      <c r="E6510">
        <v>0.64226879999999997</v>
      </c>
      <c r="F6510" t="s">
        <v>79</v>
      </c>
      <c r="G6510">
        <v>-171.2697</v>
      </c>
      <c r="H6510" s="1">
        <v>-2.1800319999999999E-6</v>
      </c>
      <c r="I6510">
        <v>134.72319999999999</v>
      </c>
      <c r="J6510">
        <v>-182.66739999999999</v>
      </c>
      <c r="K6510">
        <v>1.0915349999999999</v>
      </c>
      <c r="L6510">
        <v>131.9486</v>
      </c>
      <c r="M6510">
        <v>0.60529639999999996</v>
      </c>
      <c r="N6510">
        <v>-2.3667440000000001E-2</v>
      </c>
      <c r="O6510">
        <v>0.79564820000000003</v>
      </c>
      <c r="P6510">
        <v>0.81710649999999996</v>
      </c>
      <c r="Q6510">
        <v>-6.2056259999999995E-4</v>
      </c>
      <c r="R6510">
        <v>0.57648639999999995</v>
      </c>
      <c r="S6510">
        <v>3.1224059999999998</v>
      </c>
      <c r="T6510">
        <v>-0.29585029999999901</v>
      </c>
      <c r="U6510">
        <v>0.79539490000000002</v>
      </c>
      <c r="V6510">
        <v>0.3019463</v>
      </c>
      <c r="W6510">
        <v>8.5370129999999995E-3</v>
      </c>
      <c r="X6510">
        <v>0.95328670000000004</v>
      </c>
      <c r="Y6510">
        <v>0.61778009999999905</v>
      </c>
      <c r="Z6510">
        <v>-7.8223409999999993E-2</v>
      </c>
      <c r="AA6510">
        <v>0.78245050000000005</v>
      </c>
      <c r="AB6510">
        <v>37</v>
      </c>
      <c r="AC6510">
        <v>11.397699999999899</v>
      </c>
      <c r="AD6510">
        <v>-1.091537180032</v>
      </c>
      <c r="AE6510">
        <v>2.7745999999999902</v>
      </c>
      <c r="AF6510">
        <v>7.3277279795576904</v>
      </c>
      <c r="AG6510">
        <v>-1.091537180032</v>
      </c>
      <c r="AH6510">
        <v>9.03095018317374</v>
      </c>
      <c r="AI6510">
        <v>95.361869740527894</v>
      </c>
      <c r="AJ6510">
        <v>50.944067677821501</v>
      </c>
      <c r="AK6510">
        <v>11.680972218473499</v>
      </c>
      <c r="AL6510">
        <v>89.510859239221602</v>
      </c>
      <c r="AM6510">
        <v>72.424798517963197</v>
      </c>
      <c r="AN6510">
        <v>0.99999999053577104</v>
      </c>
    </row>
    <row r="6511" spans="1:40" x14ac:dyDescent="0.25">
      <c r="A6511" t="str">
        <f>"20190305135954450"</f>
        <v>20190305135954450</v>
      </c>
      <c r="B6511" t="str">
        <f>"1551765594445151"</f>
        <v>1551765594445151</v>
      </c>
      <c r="C6511" t="s">
        <v>40</v>
      </c>
      <c r="D6511">
        <v>4.3414250000000001</v>
      </c>
      <c r="E6511">
        <v>0.64226879999999997</v>
      </c>
      <c r="F6511" t="s">
        <v>79</v>
      </c>
      <c r="G6511">
        <v>-170.9785</v>
      </c>
      <c r="H6511" s="1">
        <v>-2.0819770000000001E-6</v>
      </c>
      <c r="I6511">
        <v>134.8766</v>
      </c>
      <c r="J6511">
        <v>-182.55609999999999</v>
      </c>
      <c r="K6511">
        <v>1.091531</v>
      </c>
      <c r="L6511">
        <v>132.08949999999999</v>
      </c>
      <c r="M6511">
        <v>0.61237430000000004</v>
      </c>
      <c r="N6511">
        <v>-2.364515E-2</v>
      </c>
      <c r="O6511">
        <v>0.79021430000000004</v>
      </c>
      <c r="P6511">
        <v>0.82171849999999902</v>
      </c>
      <c r="Q6511">
        <v>1.0089390000000001E-4</v>
      </c>
      <c r="R6511">
        <v>0.5698936</v>
      </c>
      <c r="S6511">
        <v>3.1198730000000001</v>
      </c>
      <c r="T6511">
        <v>-0.29134060000000001</v>
      </c>
      <c r="U6511">
        <v>0.78152469999999996</v>
      </c>
      <c r="V6511">
        <v>0.30113970000000001</v>
      </c>
      <c r="W6511">
        <v>9.2741760000000003E-3</v>
      </c>
      <c r="X6511">
        <v>0.95353500000000002</v>
      </c>
      <c r="Y6511">
        <v>0.61402000000000001</v>
      </c>
      <c r="Z6511">
        <v>-7.6733979999999993E-2</v>
      </c>
      <c r="AA6511">
        <v>0.78555169999999996</v>
      </c>
      <c r="AB6511">
        <v>37</v>
      </c>
      <c r="AC6511">
        <v>11.577599999999901</v>
      </c>
      <c r="AD6511">
        <v>-1.0915330819769999</v>
      </c>
      <c r="AE6511">
        <v>2.7871000000000001</v>
      </c>
      <c r="AF6511">
        <v>7.3820952105974502</v>
      </c>
      <c r="AG6511">
        <v>-1.0915330819769999</v>
      </c>
      <c r="AH6511">
        <v>9.2173872297496899</v>
      </c>
      <c r="AI6511">
        <v>95.280917384935194</v>
      </c>
      <c r="AJ6511">
        <v>51.309180147870897</v>
      </c>
      <c r="AK6511">
        <v>11.859468854486201</v>
      </c>
      <c r="AL6511">
        <v>89.468621272548205</v>
      </c>
      <c r="AM6511">
        <v>72.473153945553094</v>
      </c>
      <c r="AN6511">
        <v>1.0000000627407799</v>
      </c>
    </row>
    <row r="6512" spans="1:40" x14ac:dyDescent="0.25">
      <c r="A6512" t="str">
        <f>"20190305135954464"</f>
        <v>20190305135954464</v>
      </c>
      <c r="B6512" t="str">
        <f>"1551765594455886"</f>
        <v>1551765594455886</v>
      </c>
      <c r="C6512" t="s">
        <v>40</v>
      </c>
      <c r="D6512">
        <v>4.3642409999999998</v>
      </c>
      <c r="E6512">
        <v>0.63386330000000002</v>
      </c>
      <c r="F6512" t="s">
        <v>79</v>
      </c>
      <c r="G6512">
        <v>-170.74709999999999</v>
      </c>
      <c r="H6512" s="1">
        <v>-1.9813579999999999E-6</v>
      </c>
      <c r="I6512">
        <v>134.94720000000001</v>
      </c>
      <c r="J6512">
        <v>-182.4188</v>
      </c>
      <c r="K6512">
        <v>1.0915319999999999</v>
      </c>
      <c r="L6512">
        <v>132.2611</v>
      </c>
      <c r="M6512">
        <v>0.62098219999999904</v>
      </c>
      <c r="N6512">
        <v>-2.3622730000000002E-2</v>
      </c>
      <c r="O6512">
        <v>0.78346850000000001</v>
      </c>
      <c r="P6512">
        <v>0.82740319999999901</v>
      </c>
      <c r="Q6512">
        <v>7.5053800000000003E-4</v>
      </c>
      <c r="R6512">
        <v>0.561608</v>
      </c>
      <c r="S6512">
        <v>3.126236</v>
      </c>
      <c r="T6512">
        <v>-0.28896650000000002</v>
      </c>
      <c r="U6512">
        <v>0.75653079999999995</v>
      </c>
      <c r="V6512">
        <v>0.30031869999999999</v>
      </c>
      <c r="W6512">
        <v>9.9398079999999996E-3</v>
      </c>
      <c r="X6512">
        <v>0.9537871</v>
      </c>
      <c r="Y6512">
        <v>0.61178049999999995</v>
      </c>
      <c r="Z6512">
        <v>-7.5787069999999998E-2</v>
      </c>
      <c r="AA6512">
        <v>0.78738869999999905</v>
      </c>
      <c r="AB6512">
        <v>37</v>
      </c>
      <c r="AC6512">
        <v>11.6717</v>
      </c>
      <c r="AD6512">
        <v>-1.0915339813579901</v>
      </c>
      <c r="AE6512">
        <v>2.6861000000000099</v>
      </c>
      <c r="AF6512">
        <v>7.4168719107398902</v>
      </c>
      <c r="AG6512">
        <v>-1.0915339813579901</v>
      </c>
      <c r="AH6512">
        <v>9.2779413351691797</v>
      </c>
      <c r="AI6512">
        <v>95.250412989866206</v>
      </c>
      <c r="AJ6512">
        <v>51.360837207185902</v>
      </c>
      <c r="AK6512">
        <v>11.9281863999361</v>
      </c>
      <c r="AL6512">
        <v>89.430481560869893</v>
      </c>
      <c r="AM6512">
        <v>72.522362367750105</v>
      </c>
      <c r="AN6512">
        <v>0.99999997673958796</v>
      </c>
    </row>
    <row r="6513" spans="1:40" x14ac:dyDescent="0.25">
      <c r="A6513" t="str">
        <f>"20190305135954477"</f>
        <v>20190305135954477</v>
      </c>
      <c r="B6513" t="str">
        <f>"1551765594465646"</f>
        <v>1551765594465646</v>
      </c>
      <c r="C6513" t="s">
        <v>40</v>
      </c>
      <c r="D6513">
        <v>4.3660230000000002</v>
      </c>
      <c r="E6513">
        <v>0.63405880000000003</v>
      </c>
      <c r="F6513" t="s">
        <v>42</v>
      </c>
      <c r="G6513">
        <v>-168.95830000000001</v>
      </c>
      <c r="H6513" s="1">
        <v>-1.435014E-6</v>
      </c>
      <c r="I6513">
        <v>135.66720000000001</v>
      </c>
      <c r="J6513">
        <v>-182.26339999999999</v>
      </c>
      <c r="K6513">
        <v>1.0915330000000001</v>
      </c>
      <c r="L6513">
        <v>132.4511</v>
      </c>
      <c r="M6513">
        <v>0.63053040000000005</v>
      </c>
      <c r="N6513">
        <v>-2.3606950000000002E-2</v>
      </c>
      <c r="O6513">
        <v>0.77580550000000004</v>
      </c>
      <c r="P6513">
        <v>0.83373539999999902</v>
      </c>
      <c r="Q6513">
        <v>8.3012880000000002E-4</v>
      </c>
      <c r="R6513">
        <v>0.55216379999999998</v>
      </c>
      <c r="S6513">
        <v>3.0945130000000001</v>
      </c>
      <c r="T6513">
        <v>-0.25093789999999999</v>
      </c>
      <c r="U6513">
        <v>0.78305049999999998</v>
      </c>
      <c r="V6513">
        <v>0.2994869</v>
      </c>
      <c r="W6513">
        <v>1.0042799999999999E-2</v>
      </c>
      <c r="X6513">
        <v>0.9540476</v>
      </c>
      <c r="Y6513">
        <v>0.59477250000000004</v>
      </c>
      <c r="Z6513">
        <v>-6.3824729999999996E-2</v>
      </c>
      <c r="AA6513">
        <v>0.80135639999999997</v>
      </c>
      <c r="AB6513">
        <v>36</v>
      </c>
      <c r="AC6513">
        <v>13.3050999999999</v>
      </c>
      <c r="AD6513">
        <v>-1.0915344350139999</v>
      </c>
      <c r="AE6513">
        <v>3.2161000000000102</v>
      </c>
      <c r="AF6513">
        <v>8.2442093508076493</v>
      </c>
      <c r="AG6513">
        <v>-1.0915344350139999</v>
      </c>
      <c r="AH6513">
        <v>10.818578465033999</v>
      </c>
      <c r="AI6513">
        <v>94.588116055825793</v>
      </c>
      <c r="AJ6513">
        <v>52.691083033394797</v>
      </c>
      <c r="AK6513">
        <v>13.6455148399341</v>
      </c>
      <c r="AL6513">
        <v>89.424580296849001</v>
      </c>
      <c r="AM6513">
        <v>72.572305966810305</v>
      </c>
      <c r="AN6513">
        <v>1.0000000420846</v>
      </c>
    </row>
    <row r="6514" spans="1:40" x14ac:dyDescent="0.25">
      <c r="A6514" t="str">
        <f>"20190305135954493"</f>
        <v>20190305135954493</v>
      </c>
      <c r="B6514" t="str">
        <f>"1551765594485167"</f>
        <v>1551765594485167</v>
      </c>
      <c r="C6514" t="s">
        <v>40</v>
      </c>
      <c r="D6514">
        <v>4.3630259999999996</v>
      </c>
      <c r="E6514">
        <v>0.63166800000000001</v>
      </c>
      <c r="F6514" t="s">
        <v>42</v>
      </c>
      <c r="G6514">
        <v>-169.12200000000001</v>
      </c>
      <c r="H6514" s="1">
        <v>-1.3876569999999999E-6</v>
      </c>
      <c r="I6514">
        <v>135.6088</v>
      </c>
      <c r="J6514">
        <v>-182.10319999999999</v>
      </c>
      <c r="K6514">
        <v>1.0915280000000001</v>
      </c>
      <c r="L6514">
        <v>132.64060000000001</v>
      </c>
      <c r="M6514">
        <v>0.64012559999999996</v>
      </c>
      <c r="N6514">
        <v>-2.3603099999999998E-2</v>
      </c>
      <c r="O6514">
        <v>0.76790769999999997</v>
      </c>
      <c r="P6514">
        <v>0.83972190000000002</v>
      </c>
      <c r="Q6514">
        <v>2.079587E-4</v>
      </c>
      <c r="R6514">
        <v>0.54301679999999997</v>
      </c>
      <c r="S6514">
        <v>3.104492</v>
      </c>
      <c r="T6514">
        <v>-0.25786140000000002</v>
      </c>
      <c r="U6514">
        <v>0.74597170000000002</v>
      </c>
      <c r="V6514">
        <v>0.29803030000000003</v>
      </c>
      <c r="W6514">
        <v>9.4882660000000004E-3</v>
      </c>
      <c r="X6514">
        <v>0.9545093</v>
      </c>
      <c r="Y6514">
        <v>0.59426380000000001</v>
      </c>
      <c r="Z6514">
        <v>-6.5788349999999995E-2</v>
      </c>
      <c r="AA6514">
        <v>0.80157489999999998</v>
      </c>
      <c r="AB6514">
        <v>36</v>
      </c>
      <c r="AC6514">
        <v>12.9811999999999</v>
      </c>
      <c r="AD6514">
        <v>-1.091529387657</v>
      </c>
      <c r="AE6514">
        <v>2.9681999999999902</v>
      </c>
      <c r="AF6514">
        <v>8.0167256252555692</v>
      </c>
      <c r="AG6514">
        <v>-1.091529387657</v>
      </c>
      <c r="AH6514">
        <v>10.521159858823401</v>
      </c>
      <c r="AI6514">
        <v>94.717397078100902</v>
      </c>
      <c r="AJ6514">
        <v>52.693971229789597</v>
      </c>
      <c r="AK6514">
        <v>13.2723069181535</v>
      </c>
      <c r="AL6514">
        <v>89.456354270598396</v>
      </c>
      <c r="AM6514">
        <v>72.659858796139204</v>
      </c>
      <c r="AN6514">
        <v>1.0000000453481299</v>
      </c>
    </row>
    <row r="6515" spans="1:40" x14ac:dyDescent="0.25">
      <c r="A6515" t="str">
        <f>"20190305135954505"</f>
        <v>20190305135954505</v>
      </c>
      <c r="B6515" t="str">
        <f>"1551765594495903"</f>
        <v>1551765594495903</v>
      </c>
      <c r="C6515" t="s">
        <v>40</v>
      </c>
      <c r="D6515">
        <v>4.3790370000000003</v>
      </c>
      <c r="E6515">
        <v>0.63099130000000003</v>
      </c>
      <c r="F6515" t="s">
        <v>42</v>
      </c>
      <c r="G6515">
        <v>-169.0856</v>
      </c>
      <c r="H6515" s="1">
        <v>-1.3777820000000001E-6</v>
      </c>
      <c r="I6515">
        <v>135.6985</v>
      </c>
      <c r="J6515">
        <v>-181.97219999999999</v>
      </c>
      <c r="K6515">
        <v>1.0915250000000001</v>
      </c>
      <c r="L6515">
        <v>132.79239999999999</v>
      </c>
      <c r="M6515">
        <v>0.64782769999999901</v>
      </c>
      <c r="N6515">
        <v>-2.3604360000000001E-2</v>
      </c>
      <c r="O6515">
        <v>0.76142100000000001</v>
      </c>
      <c r="P6515">
        <v>0.84489130000000001</v>
      </c>
      <c r="Q6515">
        <v>-6.133728E-4</v>
      </c>
      <c r="R6515">
        <v>0.53493769999999996</v>
      </c>
      <c r="S6515">
        <v>3.1015320000000002</v>
      </c>
      <c r="T6515">
        <v>-0.26006420000000002</v>
      </c>
      <c r="U6515">
        <v>0.72857669999999997</v>
      </c>
      <c r="V6515">
        <v>0.29753489999999999</v>
      </c>
      <c r="W6515">
        <v>8.6910269999999901E-3</v>
      </c>
      <c r="X6515">
        <v>0.95467139999999995</v>
      </c>
      <c r="Y6515">
        <v>0.59019569999999999</v>
      </c>
      <c r="Z6515">
        <v>-6.6333009999999998E-2</v>
      </c>
      <c r="AA6515">
        <v>0.80453030000000003</v>
      </c>
      <c r="AB6515">
        <v>36</v>
      </c>
      <c r="AC6515">
        <v>12.8865999999999</v>
      </c>
      <c r="AD6515">
        <v>-1.0915263777819999</v>
      </c>
      <c r="AE6515">
        <v>2.9060999999999999</v>
      </c>
      <c r="AF6515">
        <v>7.8779016459619298</v>
      </c>
      <c r="AG6515">
        <v>-1.0915263777819999</v>
      </c>
      <c r="AH6515">
        <v>10.492371763231899</v>
      </c>
      <c r="AI6515">
        <v>94.755573954402607</v>
      </c>
      <c r="AJ6515">
        <v>53.099978737563603</v>
      </c>
      <c r="AK6515">
        <v>13.1659648106285</v>
      </c>
      <c r="AL6515">
        <v>89.502034572377397</v>
      </c>
      <c r="AM6515">
        <v>72.689722373823798</v>
      </c>
      <c r="AN6515">
        <v>1.00000001632314</v>
      </c>
    </row>
    <row r="6516" spans="1:40" x14ac:dyDescent="0.25">
      <c r="A6516" t="str">
        <f>"20190305135954515"</f>
        <v>20190305135954515</v>
      </c>
      <c r="B6516" t="str">
        <f>"1551765594505663"</f>
        <v>1551765594505663</v>
      </c>
      <c r="C6516" t="s">
        <v>40</v>
      </c>
      <c r="D6516">
        <v>4.463374</v>
      </c>
      <c r="E6516">
        <v>0.63125419999999999</v>
      </c>
      <c r="F6516" t="s">
        <v>42</v>
      </c>
      <c r="G6516">
        <v>-169.34520000000001</v>
      </c>
      <c r="H6516" s="1">
        <v>-1.2905589999999999E-6</v>
      </c>
      <c r="I6516">
        <v>135.6516</v>
      </c>
      <c r="J6516">
        <v>-181.85659999999999</v>
      </c>
      <c r="K6516">
        <v>1.091531</v>
      </c>
      <c r="L6516">
        <v>132.92429999999999</v>
      </c>
      <c r="M6516">
        <v>0.65452299999999997</v>
      </c>
      <c r="N6516">
        <v>-2.3608190000000001E-2</v>
      </c>
      <c r="O6516">
        <v>0.75567340000000005</v>
      </c>
      <c r="P6516">
        <v>0.84950139999999996</v>
      </c>
      <c r="Q6516">
        <v>-1.4222149999999999E-3</v>
      </c>
      <c r="R6516">
        <v>0.52758470000000002</v>
      </c>
      <c r="S6516">
        <v>3.1053310000000001</v>
      </c>
      <c r="T6516">
        <v>-0.26843810000000001</v>
      </c>
      <c r="U6516">
        <v>0.70317079999999998</v>
      </c>
      <c r="V6516">
        <v>0.29735800000000001</v>
      </c>
      <c r="W6516">
        <v>7.8923529999999995E-3</v>
      </c>
      <c r="X6516">
        <v>0.95473339999999995</v>
      </c>
      <c r="Y6516">
        <v>0.58933429999999998</v>
      </c>
      <c r="Z6516">
        <v>-6.8774279999999993E-2</v>
      </c>
      <c r="AA6516">
        <v>0.80495660000000002</v>
      </c>
      <c r="AB6516">
        <v>36</v>
      </c>
      <c r="AC6516">
        <v>12.511399999999901</v>
      </c>
      <c r="AD6516">
        <v>-1.0915322905589999</v>
      </c>
      <c r="AE6516">
        <v>2.7273000000000098</v>
      </c>
      <c r="AF6516">
        <v>7.6162495336860596</v>
      </c>
      <c r="AG6516">
        <v>-1.0915322905589999</v>
      </c>
      <c r="AH6516">
        <v>10.178844473111999</v>
      </c>
      <c r="AI6516">
        <v>94.907417940659499</v>
      </c>
      <c r="AJ6516">
        <v>53.194583192470397</v>
      </c>
      <c r="AK6516">
        <v>12.7596071455398</v>
      </c>
      <c r="AL6516">
        <v>89.547796773208802</v>
      </c>
      <c r="AM6516">
        <v>72.700456248158602</v>
      </c>
      <c r="AN6516">
        <v>0.999999967237717</v>
      </c>
    </row>
    <row r="6517" spans="1:40" x14ac:dyDescent="0.25">
      <c r="A6517" t="str">
        <f>"20190305135954527"</f>
        <v>20190305135954527</v>
      </c>
      <c r="B6517" t="str">
        <f>"1551765594515423"</f>
        <v>1551765594515423</v>
      </c>
      <c r="C6517" t="s">
        <v>40</v>
      </c>
      <c r="D6517">
        <v>4.5259289999999996</v>
      </c>
      <c r="E6517">
        <v>0.63125419999999999</v>
      </c>
      <c r="F6517" t="s">
        <v>42</v>
      </c>
      <c r="G6517">
        <v>-169.23</v>
      </c>
      <c r="H6517" s="1">
        <v>-1.3321839999999999E-6</v>
      </c>
      <c r="I6517">
        <v>135.66149999999999</v>
      </c>
      <c r="J6517">
        <v>-181.73400000000001</v>
      </c>
      <c r="K6517">
        <v>1.0915349999999999</v>
      </c>
      <c r="L6517">
        <v>133.06049999999999</v>
      </c>
      <c r="M6517">
        <v>0.66149040000000003</v>
      </c>
      <c r="N6517">
        <v>-2.3615770000000001E-2</v>
      </c>
      <c r="O6517">
        <v>0.74958179999999996</v>
      </c>
      <c r="P6517">
        <v>0.85440099999999997</v>
      </c>
      <c r="Q6517">
        <v>-2.0444389999999999E-3</v>
      </c>
      <c r="R6517">
        <v>0.51961029999999997</v>
      </c>
      <c r="S6517">
        <v>3.1120760000000001</v>
      </c>
      <c r="T6517">
        <v>-0.26902949999999998</v>
      </c>
      <c r="U6517">
        <v>0.67463680000000004</v>
      </c>
      <c r="V6517">
        <v>0.29742750000000001</v>
      </c>
      <c r="W6517">
        <v>7.2724809999999999E-3</v>
      </c>
      <c r="X6517">
        <v>0.95471669999999997</v>
      </c>
      <c r="Y6517">
        <v>0.58926750000000006</v>
      </c>
      <c r="Z6517">
        <v>-6.8812419999999999E-2</v>
      </c>
      <c r="AA6517">
        <v>0.80500229999999995</v>
      </c>
      <c r="AB6517">
        <v>36</v>
      </c>
      <c r="AC6517">
        <v>12.504</v>
      </c>
      <c r="AD6517">
        <v>-1.0915363321839999</v>
      </c>
      <c r="AE6517">
        <v>2.6009999999999902</v>
      </c>
      <c r="AF6517">
        <v>7.5988637361188598</v>
      </c>
      <c r="AG6517">
        <v>-1.0915363321839999</v>
      </c>
      <c r="AH6517">
        <v>10.1496522195333</v>
      </c>
      <c r="AI6517">
        <v>94.920449894691501</v>
      </c>
      <c r="AJ6517">
        <v>53.178456514788103</v>
      </c>
      <c r="AK6517">
        <v>12.7259428657391</v>
      </c>
      <c r="AL6517">
        <v>89.583313855703807</v>
      </c>
      <c r="AM6517">
        <v>72.696369686252197</v>
      </c>
      <c r="AN6517">
        <v>0.99999999199751699</v>
      </c>
    </row>
    <row r="6518" spans="1:40" x14ac:dyDescent="0.25">
      <c r="A6518" t="str">
        <f>"20190305135954539"</f>
        <v>20190305135954539</v>
      </c>
      <c r="B6518" t="str">
        <f>"1551765594535918"</f>
        <v>1551765594535918</v>
      </c>
      <c r="C6518" t="s">
        <v>40</v>
      </c>
      <c r="D6518">
        <v>4.4281350000000002</v>
      </c>
      <c r="E6518">
        <v>0.66859429999999997</v>
      </c>
      <c r="F6518" t="s">
        <v>42</v>
      </c>
      <c r="G6518">
        <v>-169.18469999999999</v>
      </c>
      <c r="H6518" s="1">
        <v>-1.3504069999999901E-6</v>
      </c>
      <c r="I6518">
        <v>135.6584</v>
      </c>
      <c r="J6518">
        <v>-181.59950000000001</v>
      </c>
      <c r="K6518">
        <v>1.0915410000000001</v>
      </c>
      <c r="L6518">
        <v>133.20840000000001</v>
      </c>
      <c r="M6518">
        <v>0.66903809999999997</v>
      </c>
      <c r="N6518">
        <v>-2.36251E-2</v>
      </c>
      <c r="O6518">
        <v>0.74285259999999997</v>
      </c>
      <c r="P6518">
        <v>0.85966379999999998</v>
      </c>
      <c r="Q6518">
        <v>-2.2157800000000001E-3</v>
      </c>
      <c r="R6518">
        <v>0.51085550000000002</v>
      </c>
      <c r="S6518">
        <v>3.118042</v>
      </c>
      <c r="T6518">
        <v>-0.27120689999999997</v>
      </c>
      <c r="U6518">
        <v>0.64547730000000003</v>
      </c>
      <c r="V6518">
        <v>0.2975158</v>
      </c>
      <c r="W6518">
        <v>7.1041619999999998E-3</v>
      </c>
      <c r="X6518">
        <v>0.9546905</v>
      </c>
      <c r="Y6518">
        <v>0.58858080000000002</v>
      </c>
      <c r="Z6518">
        <v>-6.9291019999999995E-2</v>
      </c>
      <c r="AA6518">
        <v>0.8054635</v>
      </c>
      <c r="AB6518">
        <v>36</v>
      </c>
      <c r="AC6518">
        <v>12.4148</v>
      </c>
      <c r="AD6518">
        <v>-1.0915423504070001</v>
      </c>
      <c r="AE6518">
        <v>2.4499999999999802</v>
      </c>
      <c r="AF6518">
        <v>7.52931706513903</v>
      </c>
      <c r="AG6518">
        <v>-1.0915423504070001</v>
      </c>
      <c r="AH6518">
        <v>10.0539817215195</v>
      </c>
      <c r="AI6518">
        <v>94.966574879514198</v>
      </c>
      <c r="AJ6518">
        <v>53.170860945622699</v>
      </c>
      <c r="AK6518">
        <v>12.6081175687242</v>
      </c>
      <c r="AL6518">
        <v>89.592958091015007</v>
      </c>
      <c r="AM6518">
        <v>72.691092811291497</v>
      </c>
      <c r="AN6518">
        <v>1.0000000355787999</v>
      </c>
    </row>
    <row r="6519" spans="1:40" x14ac:dyDescent="0.25">
      <c r="A6519" t="str">
        <f>"20190305135954550"</f>
        <v>20190305135954550</v>
      </c>
      <c r="B6519" t="str">
        <f>"1551765594545679"</f>
        <v>1551765594545679</v>
      </c>
      <c r="C6519" t="s">
        <v>40</v>
      </c>
      <c r="D6519">
        <v>4.4102430000000004</v>
      </c>
      <c r="E6519">
        <v>0.67266289999999995</v>
      </c>
      <c r="F6519" t="s">
        <v>42</v>
      </c>
      <c r="G6519">
        <v>-169.48310000000001</v>
      </c>
      <c r="H6519" s="1">
        <v>-1.5382139999999999E-6</v>
      </c>
      <c r="I6519">
        <v>134.52189999999999</v>
      </c>
      <c r="J6519">
        <v>-181.47</v>
      </c>
      <c r="K6519">
        <v>1.0915539999999999</v>
      </c>
      <c r="L6519">
        <v>133.34630000000001</v>
      </c>
      <c r="M6519">
        <v>0.67615509999999901</v>
      </c>
      <c r="N6519">
        <v>-2.363463E-2</v>
      </c>
      <c r="O6519">
        <v>0.73638019999999904</v>
      </c>
      <c r="P6519">
        <v>0.86455740000000003</v>
      </c>
      <c r="Q6519">
        <v>-2.312073E-3</v>
      </c>
      <c r="R6519">
        <v>0.502529</v>
      </c>
      <c r="S6519">
        <v>3.2778019999999999</v>
      </c>
      <c r="T6519">
        <v>-0.2952902</v>
      </c>
      <c r="U6519">
        <v>0.35534670000000002</v>
      </c>
      <c r="V6519">
        <v>0.29754560000000002</v>
      </c>
      <c r="W6519">
        <v>7.0154739999999998E-3</v>
      </c>
      <c r="X6519">
        <v>0.95468180000000002</v>
      </c>
      <c r="Y6519">
        <v>0.6552559</v>
      </c>
      <c r="Z6519">
        <v>-7.6996729999999999E-2</v>
      </c>
      <c r="AA6519">
        <v>0.75147269999999999</v>
      </c>
      <c r="AB6519">
        <v>36</v>
      </c>
      <c r="AC6519">
        <v>11.986899999999901</v>
      </c>
      <c r="AD6519">
        <v>-1.0915555382140001</v>
      </c>
      <c r="AE6519">
        <v>1.17559999999997</v>
      </c>
      <c r="AF6519">
        <v>7.9688209338762599</v>
      </c>
      <c r="AG6519">
        <v>-1.0915555382140001</v>
      </c>
      <c r="AH6519">
        <v>8.9000984908612502</v>
      </c>
      <c r="AI6519">
        <v>95.220728718535497</v>
      </c>
      <c r="AJ6519">
        <v>48.159903905657501</v>
      </c>
      <c r="AK6519">
        <v>11.996055756631799</v>
      </c>
      <c r="AL6519">
        <v>89.598039639247204</v>
      </c>
      <c r="AM6519">
        <v>72.689314366836697</v>
      </c>
      <c r="AN6519">
        <v>0.999999970103021</v>
      </c>
    </row>
    <row r="6520" spans="1:40" x14ac:dyDescent="0.25">
      <c r="A6520" t="str">
        <f>"20190305135954563"</f>
        <v>20190305135954563</v>
      </c>
      <c r="B6520" t="str">
        <f>"1551765594555439"</f>
        <v>1551765594555439</v>
      </c>
      <c r="C6520" t="s">
        <v>40</v>
      </c>
      <c r="D6520">
        <v>4.435079</v>
      </c>
      <c r="E6520">
        <v>0.67443839999999999</v>
      </c>
      <c r="F6520" t="s">
        <v>42</v>
      </c>
      <c r="G6520">
        <v>-169.47649999999999</v>
      </c>
      <c r="H6520" s="1">
        <v>-1.5680639999999999E-6</v>
      </c>
      <c r="I6520">
        <v>134.41929999999999</v>
      </c>
      <c r="J6520">
        <v>-181.3426</v>
      </c>
      <c r="K6520">
        <v>1.091564</v>
      </c>
      <c r="L6520">
        <v>133.4804</v>
      </c>
      <c r="M6520">
        <v>0.68306919999999904</v>
      </c>
      <c r="N6520">
        <v>-2.3642710000000001E-2</v>
      </c>
      <c r="O6520">
        <v>0.72997080000000003</v>
      </c>
      <c r="P6520">
        <v>0.86921009999999999</v>
      </c>
      <c r="Q6520">
        <v>-2.1027289999999998E-3</v>
      </c>
      <c r="R6520">
        <v>0.49443860000000001</v>
      </c>
      <c r="S6520">
        <v>3.2976990000000002</v>
      </c>
      <c r="T6520">
        <v>-0.30012909999999998</v>
      </c>
      <c r="U6520">
        <v>0.29501339999999998</v>
      </c>
      <c r="V6520">
        <v>0.29746240000000002</v>
      </c>
      <c r="W6520">
        <v>7.2362440000000002E-3</v>
      </c>
      <c r="X6520">
        <v>0.9547061</v>
      </c>
      <c r="Y6520">
        <v>0.66208459999999902</v>
      </c>
      <c r="Z6520">
        <v>-7.8337539999999997E-2</v>
      </c>
      <c r="AA6520">
        <v>0.74532349999999903</v>
      </c>
      <c r="AB6520">
        <v>36</v>
      </c>
      <c r="AC6520">
        <v>11.866099999999999</v>
      </c>
      <c r="AD6520">
        <v>-1.091565568064</v>
      </c>
      <c r="AE6520">
        <v>0.93889999999998897</v>
      </c>
      <c r="AF6520">
        <v>7.9559102427244097</v>
      </c>
      <c r="AG6520">
        <v>-1.091565568064</v>
      </c>
      <c r="AH6520">
        <v>8.7198652885685792</v>
      </c>
      <c r="AI6520">
        <v>95.283390953228206</v>
      </c>
      <c r="AJ6520">
        <v>47.623015424096401</v>
      </c>
      <c r="AK6520">
        <v>11.8542850408809</v>
      </c>
      <c r="AL6520">
        <v>89.585390136691998</v>
      </c>
      <c r="AM6520">
        <v>72.694279864836005</v>
      </c>
      <c r="AN6520">
        <v>0.99999999000909801</v>
      </c>
    </row>
    <row r="6521" spans="1:40" x14ac:dyDescent="0.25">
      <c r="A6521" t="str">
        <f>"20190305135954573"</f>
        <v>20190305135954573</v>
      </c>
      <c r="B6521" t="str">
        <f>"1551765594565199"</f>
        <v>1551765594565199</v>
      </c>
      <c r="C6521" t="s">
        <v>40</v>
      </c>
      <c r="D6521">
        <v>4.3906330000000002</v>
      </c>
      <c r="E6521">
        <v>0.67524510000000004</v>
      </c>
      <c r="F6521" t="s">
        <v>42</v>
      </c>
      <c r="G6521">
        <v>-169.26669999999999</v>
      </c>
      <c r="H6521" s="1">
        <v>-1.6540430000000001E-6</v>
      </c>
      <c r="I6521">
        <v>134.3989</v>
      </c>
      <c r="J6521">
        <v>-181.21530000000001</v>
      </c>
      <c r="K6521">
        <v>1.091572</v>
      </c>
      <c r="L6521">
        <v>133.61150000000001</v>
      </c>
      <c r="M6521">
        <v>0.68986650000000005</v>
      </c>
      <c r="N6521">
        <v>-2.364865E-2</v>
      </c>
      <c r="O6521">
        <v>0.72355029999999998</v>
      </c>
      <c r="P6521">
        <v>0.87362129999999905</v>
      </c>
      <c r="Q6521">
        <v>-1.4449580000000001E-3</v>
      </c>
      <c r="R6521">
        <v>0.48660439999999999</v>
      </c>
      <c r="S6521">
        <v>3.3075709999999998</v>
      </c>
      <c r="T6521">
        <v>-0.29897839999999998</v>
      </c>
      <c r="U6521">
        <v>0.25157170000000001</v>
      </c>
      <c r="V6521">
        <v>0.2971472</v>
      </c>
      <c r="W6521">
        <v>7.9157180000000004E-3</v>
      </c>
      <c r="X6521">
        <v>0.95479890000000001</v>
      </c>
      <c r="Y6521">
        <v>0.66505119999999995</v>
      </c>
      <c r="Z6521">
        <v>-7.7873510000000007E-2</v>
      </c>
      <c r="AA6521">
        <v>0.74272640000000001</v>
      </c>
      <c r="AB6521">
        <v>36</v>
      </c>
      <c r="AC6521">
        <v>11.948600000000001</v>
      </c>
      <c r="AD6521">
        <v>-1.0915736540430001</v>
      </c>
      <c r="AE6521">
        <v>0.78739999999999</v>
      </c>
      <c r="AF6521">
        <v>8.0376869590638904</v>
      </c>
      <c r="AG6521">
        <v>-1.0915736540430001</v>
      </c>
      <c r="AH6521">
        <v>8.7424791351324203</v>
      </c>
      <c r="AI6521">
        <v>95.251617605201503</v>
      </c>
      <c r="AJ6521">
        <v>47.405095152819499</v>
      </c>
      <c r="AK6521">
        <v>11.9258914183524</v>
      </c>
      <c r="AL6521">
        <v>89.546458043129604</v>
      </c>
      <c r="AM6521">
        <v>72.713104208036697</v>
      </c>
      <c r="AN6521">
        <v>1.0000000282502499</v>
      </c>
    </row>
    <row r="6522" spans="1:40" x14ac:dyDescent="0.25">
      <c r="A6522" t="str">
        <f>"20190305135954584"</f>
        <v>20190305135954584</v>
      </c>
      <c r="B6522" t="str">
        <f>"1551765594575935"</f>
        <v>1551765594575935</v>
      </c>
      <c r="C6522" t="s">
        <v>40</v>
      </c>
      <c r="D6522">
        <v>4.485741</v>
      </c>
      <c r="E6522">
        <v>0.67576579999999997</v>
      </c>
      <c r="F6522" t="s">
        <v>42</v>
      </c>
      <c r="G6522">
        <v>-169.1782</v>
      </c>
      <c r="H6522" s="1">
        <v>-1.6889240000000001E-6</v>
      </c>
      <c r="I6522">
        <v>134.3955</v>
      </c>
      <c r="J6522">
        <v>-181.09389999999999</v>
      </c>
      <c r="K6522">
        <v>1.0915729999999999</v>
      </c>
      <c r="L6522">
        <v>133.73390000000001</v>
      </c>
      <c r="M6522">
        <v>0.69624649999999999</v>
      </c>
      <c r="N6522">
        <v>-2.365198E-2</v>
      </c>
      <c r="O6522">
        <v>0.71741299999999997</v>
      </c>
      <c r="P6522">
        <v>0.87781730000000002</v>
      </c>
      <c r="Q6522">
        <v>-7.5606999999999996E-4</v>
      </c>
      <c r="R6522">
        <v>0.47899520000000001</v>
      </c>
      <c r="S6522">
        <v>3.3132779999999999</v>
      </c>
      <c r="T6522">
        <v>-0.30046260000000002</v>
      </c>
      <c r="U6522">
        <v>0.2158051</v>
      </c>
      <c r="V6522">
        <v>0.2970199</v>
      </c>
      <c r="W6522">
        <v>8.6147350000000001E-3</v>
      </c>
      <c r="X6522">
        <v>0.95483240000000003</v>
      </c>
      <c r="Y6522">
        <v>0.66649060000000004</v>
      </c>
      <c r="Z6522">
        <v>-7.8184610000000002E-2</v>
      </c>
      <c r="AA6522">
        <v>0.74140240000000002</v>
      </c>
      <c r="AB6522">
        <v>36</v>
      </c>
      <c r="AC6522">
        <v>11.9156999999999</v>
      </c>
      <c r="AD6522">
        <v>-1.0915746889239999</v>
      </c>
      <c r="AE6522">
        <v>0.66159999999999197</v>
      </c>
      <c r="AF6522">
        <v>8.0229822147891099</v>
      </c>
      <c r="AG6522">
        <v>-1.0915746889239999</v>
      </c>
      <c r="AH6522">
        <v>8.7005679548583803</v>
      </c>
      <c r="AI6522">
        <v>95.269621912898899</v>
      </c>
      <c r="AJ6522">
        <v>47.320176016854397</v>
      </c>
      <c r="AK6522">
        <v>11.8852707860372</v>
      </c>
      <c r="AL6522">
        <v>89.506405924367499</v>
      </c>
      <c r="AM6522">
        <v>72.720639137688394</v>
      </c>
      <c r="AN6522">
        <v>0.99999997337244395</v>
      </c>
    </row>
    <row r="6523" spans="1:40" x14ac:dyDescent="0.25">
      <c r="A6523" t="str">
        <f>"20190305135954594"</f>
        <v>20190305135954594</v>
      </c>
      <c r="B6523" t="str">
        <f>"1551765594585694"</f>
        <v>1551765594585694</v>
      </c>
      <c r="C6523" t="s">
        <v>40</v>
      </c>
      <c r="D6523">
        <v>4.4974280000000002</v>
      </c>
      <c r="E6523">
        <v>0.67507150000000005</v>
      </c>
      <c r="F6523" t="s">
        <v>42</v>
      </c>
      <c r="G6523">
        <v>-168.57050000000001</v>
      </c>
      <c r="H6523" s="1">
        <v>-1.9135130000000001E-6</v>
      </c>
      <c r="I6523">
        <v>134.42850000000001</v>
      </c>
      <c r="J6523">
        <v>-180.9708</v>
      </c>
      <c r="K6523">
        <v>1.0915779999999999</v>
      </c>
      <c r="L6523">
        <v>133.8563</v>
      </c>
      <c r="M6523">
        <v>0.70263580000000003</v>
      </c>
      <c r="N6523">
        <v>-2.36537E-2</v>
      </c>
      <c r="O6523">
        <v>0.71115640000000002</v>
      </c>
      <c r="P6523">
        <v>0.88195579999999996</v>
      </c>
      <c r="Q6523" s="1">
        <v>-5.9638169999999897E-5</v>
      </c>
      <c r="R6523">
        <v>0.47133219999999998</v>
      </c>
      <c r="S6523">
        <v>3.3169249999999999</v>
      </c>
      <c r="T6523">
        <v>-0.28911110000000001</v>
      </c>
      <c r="U6523">
        <v>0.18397520000000001</v>
      </c>
      <c r="V6523">
        <v>0.29682639999999999</v>
      </c>
      <c r="W6523">
        <v>9.3228110000000003E-3</v>
      </c>
      <c r="X6523">
        <v>0.95488600000000001</v>
      </c>
      <c r="Y6523">
        <v>0.66732860000000005</v>
      </c>
      <c r="Z6523">
        <v>-7.4719250000000001E-2</v>
      </c>
      <c r="AA6523">
        <v>0.74100580000000005</v>
      </c>
      <c r="AB6523">
        <v>35</v>
      </c>
      <c r="AC6523">
        <v>12.4002999999999</v>
      </c>
      <c r="AD6523">
        <v>-1.091579913513</v>
      </c>
      <c r="AE6523">
        <v>0.57220000000000903</v>
      </c>
      <c r="AF6523">
        <v>8.3542602732714695</v>
      </c>
      <c r="AG6523">
        <v>-1.091579913513</v>
      </c>
      <c r="AH6523">
        <v>9.0523728184991992</v>
      </c>
      <c r="AI6523">
        <v>95.064032206159496</v>
      </c>
      <c r="AJ6523">
        <v>47.296680629636299</v>
      </c>
      <c r="AK6523">
        <v>12.366513860674299</v>
      </c>
      <c r="AL6523">
        <v>89.465834565082403</v>
      </c>
      <c r="AM6523">
        <v>72.732138200199202</v>
      </c>
      <c r="AN6523">
        <v>1.0000000497689401</v>
      </c>
    </row>
    <row r="6524" spans="1:40" x14ac:dyDescent="0.25">
      <c r="A6524" t="str">
        <f>"20190305135954606"</f>
        <v>20190305135954606</v>
      </c>
      <c r="B6524" t="str">
        <f>"1551765594595455"</f>
        <v>1551765594595455</v>
      </c>
      <c r="C6524" t="s">
        <v>40</v>
      </c>
      <c r="D6524">
        <v>4.5132940000000001</v>
      </c>
      <c r="E6524">
        <v>0.67445759999999999</v>
      </c>
      <c r="F6524" t="s">
        <v>42</v>
      </c>
      <c r="G6524">
        <v>-167.4393</v>
      </c>
      <c r="H6524" s="1">
        <v>-2.324925E-6</v>
      </c>
      <c r="I6524">
        <v>134.51480000000001</v>
      </c>
      <c r="J6524">
        <v>-180.84530000000001</v>
      </c>
      <c r="K6524">
        <v>1.0915790000000001</v>
      </c>
      <c r="L6524">
        <v>133.97799999999901</v>
      </c>
      <c r="M6524">
        <v>0.70904230000000001</v>
      </c>
      <c r="N6524">
        <v>-2.3651660000000001E-2</v>
      </c>
      <c r="O6524">
        <v>0.70476919999999899</v>
      </c>
      <c r="P6524">
        <v>0.88611169999999995</v>
      </c>
      <c r="Q6524">
        <v>6.4707549999999995E-4</v>
      </c>
      <c r="R6524">
        <v>0.46347139999999998</v>
      </c>
      <c r="S6524">
        <v>3.3152919999999999</v>
      </c>
      <c r="T6524">
        <v>-0.26744410000000002</v>
      </c>
      <c r="U6524">
        <v>0.1613464</v>
      </c>
      <c r="V6524">
        <v>0.29670750000000001</v>
      </c>
      <c r="W6524">
        <v>1.003327E-2</v>
      </c>
      <c r="X6524">
        <v>0.95491570000000003</v>
      </c>
      <c r="Y6524">
        <v>0.66624369999999999</v>
      </c>
      <c r="Z6524">
        <v>-6.8251300000000001E-2</v>
      </c>
      <c r="AA6524">
        <v>0.74260419999999905</v>
      </c>
      <c r="AB6524">
        <v>35</v>
      </c>
      <c r="AC6524">
        <v>13.406000000000001</v>
      </c>
      <c r="AD6524">
        <v>-1.0915813249249999</v>
      </c>
      <c r="AE6524">
        <v>0.53680000000002703</v>
      </c>
      <c r="AF6524">
        <v>9.0104157408287406</v>
      </c>
      <c r="AG6524">
        <v>-1.0915813249249999</v>
      </c>
      <c r="AH6524">
        <v>9.82149447469234</v>
      </c>
      <c r="AI6524">
        <v>94.6819713420265</v>
      </c>
      <c r="AJ6524">
        <v>47.466169673749697</v>
      </c>
      <c r="AK6524">
        <v>13.3731408176206</v>
      </c>
      <c r="AL6524">
        <v>89.425126329258404</v>
      </c>
      <c r="AM6524">
        <v>72.739149092843505</v>
      </c>
      <c r="AN6524">
        <v>1.00000000058481</v>
      </c>
    </row>
    <row r="6525" spans="1:40" x14ac:dyDescent="0.25">
      <c r="A6525" t="str">
        <f>"20190305135954616"</f>
        <v>20190305135954616</v>
      </c>
      <c r="B6525" t="str">
        <f>"1551765594605215"</f>
        <v>1551765594605215</v>
      </c>
      <c r="C6525" t="s">
        <v>40</v>
      </c>
      <c r="D6525">
        <v>4.5330870000000001</v>
      </c>
      <c r="E6525">
        <v>0.67338659999999995</v>
      </c>
      <c r="F6525" t="s">
        <v>42</v>
      </c>
      <c r="G6525">
        <v>-166.1823</v>
      </c>
      <c r="H6525" s="1">
        <v>-2.7883160000000001E-6</v>
      </c>
      <c r="I6525">
        <v>134.58750000000001</v>
      </c>
      <c r="J6525">
        <v>-180.71360000000001</v>
      </c>
      <c r="K6525">
        <v>1.0915840000000001</v>
      </c>
      <c r="L6525">
        <v>134.10429999999999</v>
      </c>
      <c r="M6525">
        <v>0.71568169999999898</v>
      </c>
      <c r="N6525">
        <v>-2.3647979999999999E-2</v>
      </c>
      <c r="O6525">
        <v>0.69802609999999998</v>
      </c>
      <c r="P6525">
        <v>0.89034669999999905</v>
      </c>
      <c r="Q6525">
        <v>1.1383630000000001E-3</v>
      </c>
      <c r="R6525">
        <v>0.45528180000000001</v>
      </c>
      <c r="S6525">
        <v>3.3136899999999998</v>
      </c>
      <c r="T6525">
        <v>-0.24668570000000001</v>
      </c>
      <c r="U6525">
        <v>0.1377563</v>
      </c>
      <c r="V6525">
        <v>0.2964946</v>
      </c>
      <c r="W6525">
        <v>1.0531530000000001E-2</v>
      </c>
      <c r="X6525">
        <v>0.95497639999999995</v>
      </c>
      <c r="Y6525">
        <v>0.66499790000000003</v>
      </c>
      <c r="Z6525">
        <v>-6.2070309999999997E-2</v>
      </c>
      <c r="AA6525">
        <v>0.74426150000000002</v>
      </c>
      <c r="AB6525">
        <v>35</v>
      </c>
      <c r="AC6525">
        <v>14.5313</v>
      </c>
      <c r="AD6525">
        <v>-1.091586788316</v>
      </c>
      <c r="AE6525">
        <v>0.48320000000001001</v>
      </c>
      <c r="AF6525">
        <v>9.7452188861106492</v>
      </c>
      <c r="AG6525">
        <v>-1.091586788316</v>
      </c>
      <c r="AH6525">
        <v>10.679875773469099</v>
      </c>
      <c r="AI6525">
        <v>94.317719228657495</v>
      </c>
      <c r="AJ6525">
        <v>47.620039884084903</v>
      </c>
      <c r="AK6525">
        <v>14.498986150464599</v>
      </c>
      <c r="AL6525">
        <v>89.396576589694504</v>
      </c>
      <c r="AM6525">
        <v>72.751830661486295</v>
      </c>
      <c r="AN6525">
        <v>0.99999994275512805</v>
      </c>
    </row>
    <row r="6526" spans="1:40" x14ac:dyDescent="0.25">
      <c r="A6526" t="str">
        <f>"20190305135954629"</f>
        <v>20190305135954629</v>
      </c>
      <c r="B6526" t="str">
        <f>"1551765594625711"</f>
        <v>1551765594625711</v>
      </c>
      <c r="C6526" t="s">
        <v>40</v>
      </c>
      <c r="D6526">
        <v>4.5251060000000001</v>
      </c>
      <c r="E6526">
        <v>0.67189200000000004</v>
      </c>
      <c r="F6526" t="s">
        <v>42</v>
      </c>
      <c r="G6526">
        <v>-165.4717</v>
      </c>
      <c r="H6526" s="1">
        <v>-3.0482010000000001E-6</v>
      </c>
      <c r="I6526">
        <v>134.63630000000001</v>
      </c>
      <c r="J6526">
        <v>-180.5789</v>
      </c>
      <c r="K6526">
        <v>1.0915809999999999</v>
      </c>
      <c r="L6526">
        <v>134.2296</v>
      </c>
      <c r="M6526">
        <v>0.72235319999999903</v>
      </c>
      <c r="N6526">
        <v>-2.3637640000000001E-2</v>
      </c>
      <c r="O6526">
        <v>0.69112019999999996</v>
      </c>
      <c r="P6526">
        <v>0.89452739999999997</v>
      </c>
      <c r="Q6526">
        <v>1.438871E-3</v>
      </c>
      <c r="R6526">
        <v>0.44701089999999999</v>
      </c>
      <c r="S6526">
        <v>3.3106990000000001</v>
      </c>
      <c r="T6526">
        <v>-0.23710410000000001</v>
      </c>
      <c r="U6526">
        <v>0.11553960000000001</v>
      </c>
      <c r="V6526">
        <v>0.29618559999999999</v>
      </c>
      <c r="W6526">
        <v>1.0837640000000001E-2</v>
      </c>
      <c r="X6526">
        <v>0.9550689</v>
      </c>
      <c r="Y6526">
        <v>0.66302939999999999</v>
      </c>
      <c r="Z6526">
        <v>-5.9166690000000001E-2</v>
      </c>
      <c r="AA6526">
        <v>0.74625149999999996</v>
      </c>
      <c r="AB6526">
        <v>35</v>
      </c>
      <c r="AC6526">
        <v>15.107200000000001</v>
      </c>
      <c r="AD6526">
        <v>-1.091584048201</v>
      </c>
      <c r="AE6526">
        <v>0.40670000000000001</v>
      </c>
      <c r="AF6526">
        <v>10.0972671735588</v>
      </c>
      <c r="AG6526">
        <v>-1.091584048201</v>
      </c>
      <c r="AH6526">
        <v>11.138828551823501</v>
      </c>
      <c r="AI6526">
        <v>94.152761384365704</v>
      </c>
      <c r="AJ6526">
        <v>47.807921384368498</v>
      </c>
      <c r="AK6526">
        <v>15.0738137714195</v>
      </c>
      <c r="AL6526">
        <v>89.379036801912306</v>
      </c>
      <c r="AM6526">
        <v>72.770311433351694</v>
      </c>
      <c r="AN6526">
        <v>0.99999998391766898</v>
      </c>
    </row>
    <row r="6527" spans="1:40" x14ac:dyDescent="0.25">
      <c r="A6527" t="str">
        <f>"20190305135954641"</f>
        <v>20190305135954641</v>
      </c>
      <c r="B6527" t="str">
        <f>"1551765594635471"</f>
        <v>1551765594635471</v>
      </c>
      <c r="C6527" t="s">
        <v>40</v>
      </c>
      <c r="D6527">
        <v>4.5487539999999997</v>
      </c>
      <c r="E6527">
        <v>0.67146549999999905</v>
      </c>
      <c r="F6527" t="s">
        <v>42</v>
      </c>
      <c r="G6527">
        <v>-165.48259999999999</v>
      </c>
      <c r="H6527" s="1">
        <v>-3.036445E-6</v>
      </c>
      <c r="I6527">
        <v>134.66480000000001</v>
      </c>
      <c r="J6527">
        <v>-180.44229999999999</v>
      </c>
      <c r="K6527">
        <v>1.0915779999999999</v>
      </c>
      <c r="L6527">
        <v>134.3552</v>
      </c>
      <c r="M6527">
        <v>0.7290295</v>
      </c>
      <c r="N6527">
        <v>-2.362498E-2</v>
      </c>
      <c r="O6527">
        <v>0.68407439999999997</v>
      </c>
      <c r="P6527">
        <v>0.89837149999999999</v>
      </c>
      <c r="Q6527">
        <v>1.643825E-3</v>
      </c>
      <c r="R6527">
        <v>0.4392335</v>
      </c>
      <c r="S6527">
        <v>3.3064580000000001</v>
      </c>
      <c r="T6527">
        <v>-0.2390832</v>
      </c>
      <c r="U6527">
        <v>9.5336909999999997E-2</v>
      </c>
      <c r="V6527">
        <v>0.29520760000000001</v>
      </c>
      <c r="W6527">
        <v>1.108082E-2</v>
      </c>
      <c r="X6527">
        <v>0.95536889999999997</v>
      </c>
      <c r="Y6527">
        <v>0.66024719999999903</v>
      </c>
      <c r="Z6527">
        <v>-5.9602309999999999E-2</v>
      </c>
      <c r="AA6527">
        <v>0.748679599999999</v>
      </c>
      <c r="AB6527">
        <v>35</v>
      </c>
      <c r="AC6527">
        <v>14.9596999999999</v>
      </c>
      <c r="AD6527">
        <v>-1.091581036445</v>
      </c>
      <c r="AE6527">
        <v>0.30960000000001697</v>
      </c>
      <c r="AF6527">
        <v>9.9576394332618694</v>
      </c>
      <c r="AG6527">
        <v>-1.091581036445</v>
      </c>
      <c r="AH6527">
        <v>11.062083223792399</v>
      </c>
      <c r="AI6527">
        <v>94.194605266406199</v>
      </c>
      <c r="AJ6527">
        <v>48.007738541142103</v>
      </c>
      <c r="AK6527">
        <v>14.9236663555604</v>
      </c>
      <c r="AL6527">
        <v>89.365102802250206</v>
      </c>
      <c r="AM6527">
        <v>72.828927085418101</v>
      </c>
      <c r="AN6527">
        <v>1.0000000233784201</v>
      </c>
    </row>
    <row r="6528" spans="1:40" x14ac:dyDescent="0.25">
      <c r="A6528" t="str">
        <f>"20190305135954651"</f>
        <v>20190305135954651</v>
      </c>
      <c r="B6528" t="str">
        <f>"1551765594645230"</f>
        <v>1551765594645230</v>
      </c>
      <c r="C6528" t="s">
        <v>40</v>
      </c>
      <c r="D6528">
        <v>4.5316640000000001</v>
      </c>
      <c r="E6528">
        <v>0.67080119999999999</v>
      </c>
      <c r="F6528" t="s">
        <v>42</v>
      </c>
      <c r="G6528">
        <v>-165.71599999999901</v>
      </c>
      <c r="H6528" s="1">
        <v>-2.9475670000000001E-6</v>
      </c>
      <c r="I6528">
        <v>134.66200000000001</v>
      </c>
      <c r="J6528">
        <v>-180.31120000000001</v>
      </c>
      <c r="K6528">
        <v>1.091575</v>
      </c>
      <c r="L6528">
        <v>134.4725</v>
      </c>
      <c r="M6528">
        <v>0.73532989999999998</v>
      </c>
      <c r="N6528">
        <v>-2.360667E-2</v>
      </c>
      <c r="O6528">
        <v>0.67729810000000001</v>
      </c>
      <c r="P6528">
        <v>0.90186310000000003</v>
      </c>
      <c r="Q6528">
        <v>1.9797349999999998E-3</v>
      </c>
      <c r="R6528">
        <v>0.4320176</v>
      </c>
      <c r="S6528">
        <v>3.3061519999999902</v>
      </c>
      <c r="T6528">
        <v>-0.24506720000000001</v>
      </c>
      <c r="U6528">
        <v>6.8862919999999994E-2</v>
      </c>
      <c r="V6528">
        <v>0.29403889999999999</v>
      </c>
      <c r="W6528">
        <v>1.14594E-2</v>
      </c>
      <c r="X6528">
        <v>0.95572480000000004</v>
      </c>
      <c r="Y6528">
        <v>0.65915559999999995</v>
      </c>
      <c r="Z6528">
        <v>-6.1192499999999997E-2</v>
      </c>
      <c r="AA6528">
        <v>0.74951279999999998</v>
      </c>
      <c r="AB6528">
        <v>35</v>
      </c>
      <c r="AC6528">
        <v>14.5952</v>
      </c>
      <c r="AD6528">
        <v>-1.091577947567</v>
      </c>
      <c r="AE6528">
        <v>0.18950000000000899</v>
      </c>
      <c r="AF6528">
        <v>9.6944551637918703</v>
      </c>
      <c r="AG6528">
        <v>-1.091577947567</v>
      </c>
      <c r="AH6528">
        <v>10.8032435439509</v>
      </c>
      <c r="AI6528">
        <v>94.300669971637106</v>
      </c>
      <c r="AJ6528">
        <v>48.096300728499699</v>
      </c>
      <c r="AK6528">
        <v>14.5562383330413</v>
      </c>
      <c r="AL6528">
        <v>89.343410401590802</v>
      </c>
      <c r="AM6528">
        <v>72.898928746467604</v>
      </c>
      <c r="AN6528">
        <v>1.0000000429483</v>
      </c>
    </row>
    <row r="6529" spans="1:40" x14ac:dyDescent="0.25">
      <c r="A6529" t="str">
        <f>"20190305135954663"</f>
        <v>20190305135954663</v>
      </c>
      <c r="B6529" t="str">
        <f>"1551765594655967"</f>
        <v>1551765594655967</v>
      </c>
      <c r="C6529" t="s">
        <v>40</v>
      </c>
      <c r="D6529">
        <v>4.5711430000000002</v>
      </c>
      <c r="E6529">
        <v>0.67011699999999996</v>
      </c>
      <c r="F6529" t="s">
        <v>42</v>
      </c>
      <c r="G6529">
        <v>-165.8314</v>
      </c>
      <c r="H6529" s="1">
        <v>-2.8994269999999998E-6</v>
      </c>
      <c r="I6529">
        <v>134.6764</v>
      </c>
      <c r="J6529">
        <v>-180.17330000000001</v>
      </c>
      <c r="K6529">
        <v>1.0915680000000001</v>
      </c>
      <c r="L6529">
        <v>134.59399999999999</v>
      </c>
      <c r="M6529">
        <v>0.74186770000000002</v>
      </c>
      <c r="N6529">
        <v>-2.3582479999999999E-2</v>
      </c>
      <c r="O6529">
        <v>0.67013149999999999</v>
      </c>
      <c r="P6529">
        <v>0.90529599999999999</v>
      </c>
      <c r="Q6529">
        <v>2.5424319999999999E-3</v>
      </c>
      <c r="R6529">
        <v>0.42477369999999998</v>
      </c>
      <c r="S6529">
        <v>3.3047029999999999</v>
      </c>
      <c r="T6529">
        <v>-0.2491285</v>
      </c>
      <c r="U6529">
        <v>4.6524049999999997E-2</v>
      </c>
      <c r="V6529">
        <v>0.29245130000000003</v>
      </c>
      <c r="W6529">
        <v>1.2081150000000001E-2</v>
      </c>
      <c r="X6529">
        <v>0.9562041</v>
      </c>
      <c r="Y6529">
        <v>0.65683440000000004</v>
      </c>
      <c r="Z6529">
        <v>-6.2154809999999998E-2</v>
      </c>
      <c r="AA6529">
        <v>0.75146880000000005</v>
      </c>
      <c r="AB6529">
        <v>35</v>
      </c>
      <c r="AC6529">
        <v>14.341900000000001</v>
      </c>
      <c r="AD6529">
        <v>-1.0915708994269999</v>
      </c>
      <c r="AE6529">
        <v>8.2400000000006898E-2</v>
      </c>
      <c r="AF6529">
        <v>9.4974700640575591</v>
      </c>
      <c r="AG6529">
        <v>-1.0915708994269999</v>
      </c>
      <c r="AH6529">
        <v>10.6363734968642</v>
      </c>
      <c r="AI6529">
        <v>94.377468285403495</v>
      </c>
      <c r="AJ6529">
        <v>48.237578218956997</v>
      </c>
      <c r="AK6529">
        <v>14.301255392829701</v>
      </c>
      <c r="AL6529">
        <v>89.307784253286101</v>
      </c>
      <c r="AM6529">
        <v>72.993952201214</v>
      </c>
      <c r="AN6529">
        <v>0.99999999895691105</v>
      </c>
    </row>
    <row r="6530" spans="1:40" x14ac:dyDescent="0.25">
      <c r="A6530" t="str">
        <f>"20190305135954676"</f>
        <v>20190305135954676</v>
      </c>
      <c r="B6530" t="str">
        <f>"1551765594665726"</f>
        <v>1551765594665726</v>
      </c>
      <c r="C6530" t="s">
        <v>40</v>
      </c>
      <c r="D6530">
        <v>4.6025489999999998</v>
      </c>
      <c r="E6530">
        <v>0.66955089999999995</v>
      </c>
      <c r="F6530" t="s">
        <v>42</v>
      </c>
      <c r="G6530">
        <v>-165.89510000000001</v>
      </c>
      <c r="H6530" s="1">
        <v>-2.8690150000000002E-6</v>
      </c>
      <c r="I6530">
        <v>134.6987</v>
      </c>
      <c r="J6530">
        <v>-180.01779999999999</v>
      </c>
      <c r="K6530">
        <v>1.091558</v>
      </c>
      <c r="L6530">
        <v>134.72819999999999</v>
      </c>
      <c r="M6530">
        <v>0.74912500000000004</v>
      </c>
      <c r="N6530">
        <v>-2.3548260000000001E-2</v>
      </c>
      <c r="O6530">
        <v>0.66200999999999999</v>
      </c>
      <c r="P6530">
        <v>0.90918739999999998</v>
      </c>
      <c r="Q6530">
        <v>2.798483E-3</v>
      </c>
      <c r="R6530">
        <v>0.41637760000000001</v>
      </c>
      <c r="S6530">
        <v>3.3031769999999998</v>
      </c>
      <c r="T6530">
        <v>-0.25252799999999997</v>
      </c>
      <c r="U6530">
        <v>2.4230959999999999E-2</v>
      </c>
      <c r="V6530">
        <v>0.29089350000000003</v>
      </c>
      <c r="W6530">
        <v>1.238392E-2</v>
      </c>
      <c r="X6530">
        <v>0.95667530000000001</v>
      </c>
      <c r="Y6530">
        <v>0.6536227</v>
      </c>
      <c r="Z6530">
        <v>-6.2841099999999997E-2</v>
      </c>
      <c r="AA6530">
        <v>0.75420710000000002</v>
      </c>
      <c r="AB6530">
        <v>35</v>
      </c>
      <c r="AC6530">
        <v>14.122699999999901</v>
      </c>
      <c r="AD6530">
        <v>-1.091560869015</v>
      </c>
      <c r="AE6530">
        <v>-2.94999999999845E-2</v>
      </c>
      <c r="AF6530">
        <v>9.3183998416668405</v>
      </c>
      <c r="AG6530">
        <v>-1.091560869015</v>
      </c>
      <c r="AH6530">
        <v>10.500339264514899</v>
      </c>
      <c r="AI6530">
        <v>94.445961885599402</v>
      </c>
      <c r="AJ6530">
        <v>48.412932880954898</v>
      </c>
      <c r="AK6530">
        <v>14.0812359333211</v>
      </c>
      <c r="AL6530">
        <v>89.290435519641306</v>
      </c>
      <c r="AM6530">
        <v>73.087208077632795</v>
      </c>
      <c r="AN6530">
        <v>1.00000000972345</v>
      </c>
    </row>
    <row r="6531" spans="1:40" x14ac:dyDescent="0.25">
      <c r="A6531" t="str">
        <f>"20190305135954691"</f>
        <v>20190305135954691</v>
      </c>
      <c r="B6531" t="str">
        <f>"1551765594685247"</f>
        <v>1551765594685247</v>
      </c>
      <c r="C6531" t="s">
        <v>40</v>
      </c>
      <c r="D6531">
        <v>4.5985079999999998</v>
      </c>
      <c r="E6531">
        <v>0.66858149999999905</v>
      </c>
      <c r="F6531" t="s">
        <v>42</v>
      </c>
      <c r="G6531">
        <v>-166.02869999999999</v>
      </c>
      <c r="H6531" s="1">
        <v>-2.8133039999999999E-6</v>
      </c>
      <c r="I6531">
        <v>134.71520000000001</v>
      </c>
      <c r="J6531">
        <v>-179.85249999999999</v>
      </c>
      <c r="K6531">
        <v>1.0915410000000001</v>
      </c>
      <c r="L6531">
        <v>134.86660000000001</v>
      </c>
      <c r="M6531">
        <v>0.75669690000000001</v>
      </c>
      <c r="N6531">
        <v>-2.3497569999999999E-2</v>
      </c>
      <c r="O6531">
        <v>0.65334340000000002</v>
      </c>
      <c r="P6531">
        <v>0.91333679999999995</v>
      </c>
      <c r="Q6531">
        <v>2.7119140000000002E-3</v>
      </c>
      <c r="R6531">
        <v>0.40719630000000001</v>
      </c>
      <c r="S6531">
        <v>3.3018489999999998</v>
      </c>
      <c r="T6531">
        <v>-0.25764169999999997</v>
      </c>
      <c r="U6531">
        <v>-3.067017E-3</v>
      </c>
      <c r="V6531">
        <v>0.28951470000000001</v>
      </c>
      <c r="W6531">
        <v>1.231812E-2</v>
      </c>
      <c r="X6531">
        <v>0.95709429999999995</v>
      </c>
      <c r="Y6531">
        <v>0.65103759999999999</v>
      </c>
      <c r="Z6531">
        <v>-6.4009979999999994E-2</v>
      </c>
      <c r="AA6531">
        <v>0.75634179999999995</v>
      </c>
      <c r="AB6531">
        <v>35</v>
      </c>
      <c r="AC6531">
        <v>13.8238</v>
      </c>
      <c r="AD6531">
        <v>-1.0915438133040001</v>
      </c>
      <c r="AE6531">
        <v>-0.15139999999999501</v>
      </c>
      <c r="AF6531">
        <v>9.0920974902217608</v>
      </c>
      <c r="AG6531">
        <v>-1.0915438133040001</v>
      </c>
      <c r="AH6531">
        <v>10.300159965674601</v>
      </c>
      <c r="AI6531">
        <v>94.542532878580303</v>
      </c>
      <c r="AJ6531">
        <v>48.564698446397998</v>
      </c>
      <c r="AK6531">
        <v>13.782271220177901</v>
      </c>
      <c r="AL6531">
        <v>89.294205861455694</v>
      </c>
      <c r="AM6531">
        <v>73.169780956886299</v>
      </c>
      <c r="AN6531">
        <v>0.99999999834445696</v>
      </c>
    </row>
    <row r="6532" spans="1:40" x14ac:dyDescent="0.25">
      <c r="A6532" t="str">
        <f>"20190305135954704"</f>
        <v>20190305135954704</v>
      </c>
      <c r="B6532" t="str">
        <f>"1551765594695983"</f>
        <v>1551765594695983</v>
      </c>
      <c r="C6532" t="s">
        <v>40</v>
      </c>
      <c r="D6532">
        <v>4.6452059999999999</v>
      </c>
      <c r="E6532">
        <v>0.6680005</v>
      </c>
      <c r="F6532" t="s">
        <v>42</v>
      </c>
      <c r="G6532">
        <v>-166.4171</v>
      </c>
      <c r="H6532" s="1">
        <v>-2.6564550000000001E-6</v>
      </c>
      <c r="I6532">
        <v>134.7441</v>
      </c>
      <c r="J6532">
        <v>-179.6765</v>
      </c>
      <c r="K6532">
        <v>1.091515</v>
      </c>
      <c r="L6532">
        <v>135.01089999999999</v>
      </c>
      <c r="M6532">
        <v>0.76462609999999998</v>
      </c>
      <c r="N6532">
        <v>-2.3428589999999999E-2</v>
      </c>
      <c r="O6532">
        <v>0.64404819999999996</v>
      </c>
      <c r="P6532">
        <v>0.91716120000000001</v>
      </c>
      <c r="Q6532">
        <v>1.937643E-3</v>
      </c>
      <c r="R6532">
        <v>0.39851189999999997</v>
      </c>
      <c r="S6532">
        <v>3.2988740000000001</v>
      </c>
      <c r="T6532">
        <v>-0.26801370000000002</v>
      </c>
      <c r="U6532">
        <v>-3.0059809999999999E-2</v>
      </c>
      <c r="V6532">
        <v>0.28686440000000002</v>
      </c>
      <c r="W6532">
        <v>1.161102E-2</v>
      </c>
      <c r="X6532">
        <v>0.9579008</v>
      </c>
      <c r="Y6532">
        <v>0.64770229999999995</v>
      </c>
      <c r="Z6532">
        <v>-6.6596160000000001E-2</v>
      </c>
      <c r="AA6532">
        <v>0.75897749999999997</v>
      </c>
      <c r="AB6532">
        <v>35</v>
      </c>
      <c r="AC6532">
        <v>13.259399999999999</v>
      </c>
      <c r="AD6532">
        <v>-1.091517656455</v>
      </c>
      <c r="AE6532">
        <v>-0.26679999999998899</v>
      </c>
      <c r="AF6532">
        <v>8.6872489459730904</v>
      </c>
      <c r="AG6532">
        <v>-1.091517656455</v>
      </c>
      <c r="AH6532">
        <v>9.9023103048153196</v>
      </c>
      <c r="AI6532">
        <v>94.7367728839927</v>
      </c>
      <c r="AJ6532">
        <v>48.739679790347303</v>
      </c>
      <c r="AK6532">
        <v>13.2179973678509</v>
      </c>
      <c r="AL6532">
        <v>89.334722590114893</v>
      </c>
      <c r="AM6532">
        <v>73.328517836879996</v>
      </c>
      <c r="AN6532">
        <v>0.99999997120671902</v>
      </c>
    </row>
    <row r="6533" spans="1:40" x14ac:dyDescent="0.25">
      <c r="A6533" t="str">
        <f>"20190305135954716"</f>
        <v>20190305135954716</v>
      </c>
      <c r="B6533" t="str">
        <f>"1551765594705743"</f>
        <v>1551765594705743</v>
      </c>
      <c r="C6533" t="s">
        <v>40</v>
      </c>
      <c r="D6533">
        <v>4.6725479999999999</v>
      </c>
      <c r="E6533">
        <v>0.66741219999999901</v>
      </c>
      <c r="F6533" t="s">
        <v>42</v>
      </c>
      <c r="G6533">
        <v>-166.66139999999999</v>
      </c>
      <c r="H6533" s="1">
        <v>-2.5521830000000001E-6</v>
      </c>
      <c r="I6533">
        <v>134.7835</v>
      </c>
      <c r="J6533">
        <v>-179.5256</v>
      </c>
      <c r="K6533">
        <v>1.091493</v>
      </c>
      <c r="L6533">
        <v>135.13200000000001</v>
      </c>
      <c r="M6533">
        <v>0.77131119999999898</v>
      </c>
      <c r="N6533">
        <v>-2.335545E-2</v>
      </c>
      <c r="O6533">
        <v>0.63602959999999997</v>
      </c>
      <c r="P6533">
        <v>0.92066150000000002</v>
      </c>
      <c r="Q6533">
        <v>1.7369799999999999E-3</v>
      </c>
      <c r="R6533">
        <v>0.39035809999999999</v>
      </c>
      <c r="S6533">
        <v>3.2966000000000002</v>
      </c>
      <c r="T6533">
        <v>-0.27647110000000003</v>
      </c>
      <c r="U6533">
        <v>-5.7601930000000003E-2</v>
      </c>
      <c r="V6533">
        <v>0.28535090000000002</v>
      </c>
      <c r="W6533">
        <v>1.1414580000000001E-2</v>
      </c>
      <c r="X6533">
        <v>0.95835510000000002</v>
      </c>
      <c r="Y6533">
        <v>0.64588310000000004</v>
      </c>
      <c r="Z6533">
        <v>-6.8699869999999996E-2</v>
      </c>
      <c r="AA6533">
        <v>0.76033890000000004</v>
      </c>
      <c r="AB6533">
        <v>34</v>
      </c>
      <c r="AC6533">
        <v>12.8642</v>
      </c>
      <c r="AD6533">
        <v>-1.0914955521830001</v>
      </c>
      <c r="AE6533">
        <v>-0.34850000000000098</v>
      </c>
      <c r="AF6533">
        <v>8.3927434196140194</v>
      </c>
      <c r="AG6533">
        <v>-1.0914955521830001</v>
      </c>
      <c r="AH6533">
        <v>9.6339863835014796</v>
      </c>
      <c r="AI6533">
        <v>94.882726988987898</v>
      </c>
      <c r="AJ6533">
        <v>48.938923473954901</v>
      </c>
      <c r="AK6533">
        <v>12.8235407858126</v>
      </c>
      <c r="AL6533">
        <v>89.345978514149493</v>
      </c>
      <c r="AM6533">
        <v>73.419063250858798</v>
      </c>
      <c r="AN6533">
        <v>0.99999996323169704</v>
      </c>
    </row>
    <row r="6534" spans="1:40" x14ac:dyDescent="0.25">
      <c r="A6534" t="str">
        <f>"20190305135954729"</f>
        <v>20190305135954729</v>
      </c>
      <c r="B6534" t="str">
        <f>"1551765594725263"</f>
        <v>1551765594725263</v>
      </c>
      <c r="C6534" t="s">
        <v>40</v>
      </c>
      <c r="D6534">
        <v>4.663297</v>
      </c>
      <c r="E6534">
        <v>0.66639689999999996</v>
      </c>
      <c r="F6534" t="s">
        <v>42</v>
      </c>
      <c r="G6534">
        <v>-166.77029999999999</v>
      </c>
      <c r="H6534" s="1">
        <v>-2.5033030000000001E-6</v>
      </c>
      <c r="I6534">
        <v>134.81</v>
      </c>
      <c r="J6534">
        <v>-179.38239999999999</v>
      </c>
      <c r="K6534">
        <v>1.091467</v>
      </c>
      <c r="L6534">
        <v>135.24340000000001</v>
      </c>
      <c r="M6534">
        <v>0.77756380000000003</v>
      </c>
      <c r="N6534">
        <v>-2.3254799999999999E-2</v>
      </c>
      <c r="O6534">
        <v>0.62837399999999999</v>
      </c>
      <c r="P6534">
        <v>0.92376100000000005</v>
      </c>
      <c r="Q6534">
        <v>1.7602E-3</v>
      </c>
      <c r="R6534">
        <v>0.38296570000000002</v>
      </c>
      <c r="S6534">
        <v>3.2943120000000001</v>
      </c>
      <c r="T6534">
        <v>-0.28189969999999998</v>
      </c>
      <c r="U6534">
        <v>-8.3160399999999995E-2</v>
      </c>
      <c r="V6534">
        <v>0.28355580000000002</v>
      </c>
      <c r="W6534">
        <v>1.142745E-2</v>
      </c>
      <c r="X6534">
        <v>0.95888759999999995</v>
      </c>
      <c r="Y6534">
        <v>0.64411319999999905</v>
      </c>
      <c r="Z6534">
        <v>-6.9947079999999995E-2</v>
      </c>
      <c r="AA6534">
        <v>0.7617254</v>
      </c>
      <c r="AB6534">
        <v>34</v>
      </c>
      <c r="AC6534">
        <v>12.6120999999999</v>
      </c>
      <c r="AD6534">
        <v>-1.091469503303</v>
      </c>
      <c r="AE6534">
        <v>-0.433400000000006</v>
      </c>
      <c r="AF6534">
        <v>8.2029830965113906</v>
      </c>
      <c r="AG6534">
        <v>-1.091469503303</v>
      </c>
      <c r="AH6534">
        <v>9.4661412284193602</v>
      </c>
      <c r="AI6534">
        <v>94.980026565791107</v>
      </c>
      <c r="AJ6534">
        <v>49.089094086763502</v>
      </c>
      <c r="AK6534">
        <v>12.5733077236927</v>
      </c>
      <c r="AL6534">
        <v>89.345241063219305</v>
      </c>
      <c r="AM6534">
        <v>73.526351780783202</v>
      </c>
      <c r="AN6534">
        <v>0.99999995388045004</v>
      </c>
    </row>
    <row r="6535" spans="1:40" x14ac:dyDescent="0.25">
      <c r="A6535" t="str">
        <f>"20190305135954740"</f>
        <v>20190305135954740</v>
      </c>
      <c r="B6535" t="str">
        <f>"1551765594735999"</f>
        <v>1551765594735999</v>
      </c>
      <c r="C6535" t="s">
        <v>40</v>
      </c>
      <c r="D6535">
        <v>4.6664349999999999</v>
      </c>
      <c r="E6535">
        <v>0.66587730000000001</v>
      </c>
      <c r="F6535" t="s">
        <v>42</v>
      </c>
      <c r="G6535">
        <v>-166.79130000000001</v>
      </c>
      <c r="H6535" s="1">
        <v>-2.4843690000000001E-6</v>
      </c>
      <c r="I6535">
        <v>134.8509</v>
      </c>
      <c r="J6535">
        <v>-179.22659999999999</v>
      </c>
      <c r="K6535">
        <v>1.091437</v>
      </c>
      <c r="L6535">
        <v>135.3629</v>
      </c>
      <c r="M6535">
        <v>0.784265199999999</v>
      </c>
      <c r="N6535">
        <v>-2.3132280000000002E-2</v>
      </c>
      <c r="O6535">
        <v>0.6199943</v>
      </c>
      <c r="P6535">
        <v>0.927041</v>
      </c>
      <c r="Q6535">
        <v>2.4724230000000001E-3</v>
      </c>
      <c r="R6535">
        <v>0.37495200000000001</v>
      </c>
      <c r="S6535">
        <v>3.2906650000000002</v>
      </c>
      <c r="T6535">
        <v>-0.28525519999999999</v>
      </c>
      <c r="U6535">
        <v>-0.1025848</v>
      </c>
      <c r="V6535">
        <v>0.28159499999999998</v>
      </c>
      <c r="W6535">
        <v>1.211549E-2</v>
      </c>
      <c r="X6535">
        <v>0.95945689999999995</v>
      </c>
      <c r="Y6535">
        <v>0.640352699999999</v>
      </c>
      <c r="Z6535">
        <v>-7.0487300000000003E-2</v>
      </c>
      <c r="AA6535">
        <v>0.76483979999999996</v>
      </c>
      <c r="AB6535">
        <v>34</v>
      </c>
      <c r="AC6535">
        <v>12.4352999999999</v>
      </c>
      <c r="AD6535">
        <v>-1.0914394843690001</v>
      </c>
      <c r="AE6535">
        <v>-0.51200000000000001</v>
      </c>
      <c r="AF6535">
        <v>8.0516098049804192</v>
      </c>
      <c r="AG6535">
        <v>-1.0914394843690001</v>
      </c>
      <c r="AH6535">
        <v>9.3656357870432991</v>
      </c>
      <c r="AI6535">
        <v>95.050084856251303</v>
      </c>
      <c r="AJ6535">
        <v>49.314447248521503</v>
      </c>
      <c r="AK6535">
        <v>12.398983599281101</v>
      </c>
      <c r="AL6535">
        <v>89.305816597949999</v>
      </c>
      <c r="AM6535">
        <v>73.643344018359599</v>
      </c>
      <c r="AN6535">
        <v>1.0000000360402701</v>
      </c>
    </row>
    <row r="6536" spans="1:40" x14ac:dyDescent="0.25">
      <c r="A6536" t="str">
        <f>"20190305135954753"</f>
        <v>20190305135954753</v>
      </c>
      <c r="B6536" t="str">
        <f>"1551765594745758"</f>
        <v>1551765594745758</v>
      </c>
      <c r="C6536" t="s">
        <v>40</v>
      </c>
      <c r="D6536">
        <v>4.6904750000000002</v>
      </c>
      <c r="E6536">
        <v>0.66587730000000001</v>
      </c>
      <c r="F6536" t="s">
        <v>42</v>
      </c>
      <c r="G6536">
        <v>-166.5805</v>
      </c>
      <c r="H6536" s="1">
        <v>-2.559731E-6</v>
      </c>
      <c r="I6536">
        <v>134.87190000000001</v>
      </c>
      <c r="J6536">
        <v>-179.06970000000001</v>
      </c>
      <c r="K6536">
        <v>1.0913999999999999</v>
      </c>
      <c r="L6536">
        <v>135.47989999999999</v>
      </c>
      <c r="M6536">
        <v>0.79090799999999895</v>
      </c>
      <c r="N6536">
        <v>-2.297894E-2</v>
      </c>
      <c r="O6536">
        <v>0.61150349999999998</v>
      </c>
      <c r="P6536">
        <v>0.93033339999999998</v>
      </c>
      <c r="Q6536">
        <v>3.1482580000000001E-3</v>
      </c>
      <c r="R6536">
        <v>0.36670150000000001</v>
      </c>
      <c r="S6536">
        <v>3.288513</v>
      </c>
      <c r="T6536">
        <v>-0.28381960000000001</v>
      </c>
      <c r="U6536">
        <v>-0.12768550000000001</v>
      </c>
      <c r="V6536">
        <v>0.2797964</v>
      </c>
      <c r="W6536">
        <v>1.27277E-2</v>
      </c>
      <c r="X6536">
        <v>0.95997500000000002</v>
      </c>
      <c r="Y6536">
        <v>0.6379918</v>
      </c>
      <c r="Z6536">
        <v>-6.9753239999999994E-2</v>
      </c>
      <c r="AA6536">
        <v>0.76687740000000004</v>
      </c>
      <c r="AB6536">
        <v>34</v>
      </c>
      <c r="AC6536">
        <v>12.4892</v>
      </c>
      <c r="AD6536">
        <v>-1.091402559731</v>
      </c>
      <c r="AE6536">
        <v>-0.607999999999975</v>
      </c>
      <c r="AF6536">
        <v>8.0588091259316599</v>
      </c>
      <c r="AG6536">
        <v>-1.091402559731</v>
      </c>
      <c r="AH6536">
        <v>9.4366311691554792</v>
      </c>
      <c r="AI6536">
        <v>95.026192140104797</v>
      </c>
      <c r="AJ6536">
        <v>49.502932606018703</v>
      </c>
      <c r="AK6536">
        <v>12.457350115424299</v>
      </c>
      <c r="AL6536">
        <v>89.270736824216698</v>
      </c>
      <c r="AM6536">
        <v>73.750593899757703</v>
      </c>
      <c r="AN6536">
        <v>1.0000000102126201</v>
      </c>
    </row>
    <row r="6537" spans="1:40" x14ac:dyDescent="0.25">
      <c r="A6537" t="str">
        <f>"20190305135954765"</f>
        <v>20190305135954765</v>
      </c>
      <c r="B6537" t="str">
        <f>"1551765594755519"</f>
        <v>1551765594755519</v>
      </c>
      <c r="C6537" t="s">
        <v>40</v>
      </c>
      <c r="D6537">
        <v>4.7040160000000002</v>
      </c>
      <c r="E6537">
        <v>0.64932000000000001</v>
      </c>
      <c r="F6537" t="s">
        <v>42</v>
      </c>
      <c r="G6537">
        <v>-166.2389</v>
      </c>
      <c r="H6537" s="1">
        <v>-2.692459E-6</v>
      </c>
      <c r="I6537">
        <v>134.86600000000001</v>
      </c>
      <c r="J6537">
        <v>-178.92240000000001</v>
      </c>
      <c r="K6537">
        <v>1.091364</v>
      </c>
      <c r="L6537">
        <v>135.5872</v>
      </c>
      <c r="M6537">
        <v>0.79703840000000004</v>
      </c>
      <c r="N6537">
        <v>-2.2819369999999999E-2</v>
      </c>
      <c r="O6537">
        <v>0.60349730000000001</v>
      </c>
      <c r="P6537">
        <v>0.93320840000000005</v>
      </c>
      <c r="Q6537">
        <v>4.2807119999999999E-3</v>
      </c>
      <c r="R6537">
        <v>0.35931039999999997</v>
      </c>
      <c r="S6537">
        <v>3.287582</v>
      </c>
      <c r="T6537">
        <v>-0.27964679999999997</v>
      </c>
      <c r="U6537">
        <v>-0.1572876</v>
      </c>
      <c r="V6537">
        <v>0.2777713</v>
      </c>
      <c r="W6537">
        <v>1.3802389999999999E-2</v>
      </c>
      <c r="X6537">
        <v>0.96054799999999996</v>
      </c>
      <c r="Y6537">
        <v>0.6372738</v>
      </c>
      <c r="Z6537">
        <v>-6.8361370000000005E-2</v>
      </c>
      <c r="AA6537">
        <v>0.76759929999999998</v>
      </c>
      <c r="AB6537">
        <v>34</v>
      </c>
      <c r="AC6537">
        <v>12.6835</v>
      </c>
      <c r="AD6537">
        <v>-1.091366692459</v>
      </c>
      <c r="AE6537">
        <v>-0.72119999999998097</v>
      </c>
      <c r="AF6537">
        <v>8.1711222687318497</v>
      </c>
      <c r="AG6537">
        <v>-1.091366692459</v>
      </c>
      <c r="AH6537">
        <v>9.6056240693834702</v>
      </c>
      <c r="AI6537">
        <v>94.946134528034506</v>
      </c>
      <c r="AJ6537">
        <v>49.613509635387999</v>
      </c>
      <c r="AK6537">
        <v>12.658054121795001</v>
      </c>
      <c r="AL6537">
        <v>89.209156139555304</v>
      </c>
      <c r="AM6537">
        <v>73.871186696022306</v>
      </c>
      <c r="AN6537">
        <v>0.99999993068869797</v>
      </c>
    </row>
    <row r="6538" spans="1:40" x14ac:dyDescent="0.25">
      <c r="A6538" t="str">
        <f>"20190305135954776"</f>
        <v>20190305135954776</v>
      </c>
      <c r="B6538" t="str">
        <f>"1551765594765280"</f>
        <v>1551765594765280</v>
      </c>
      <c r="C6538" t="s">
        <v>40</v>
      </c>
      <c r="D6538">
        <v>4.7146100000000004</v>
      </c>
      <c r="E6538">
        <v>0.64989200000000003</v>
      </c>
      <c r="F6538" t="s">
        <v>42</v>
      </c>
      <c r="G6538">
        <v>-168.87639999999999</v>
      </c>
      <c r="H6538" s="1">
        <v>-1.542321E-6</v>
      </c>
      <c r="I6538">
        <v>135.38200000000001</v>
      </c>
      <c r="J6538">
        <v>-178.77529999999999</v>
      </c>
      <c r="K6538">
        <v>1.0913250000000001</v>
      </c>
      <c r="L6538">
        <v>135.6927</v>
      </c>
      <c r="M6538">
        <v>0.80307099999999998</v>
      </c>
      <c r="N6538">
        <v>-2.2649309999999999E-2</v>
      </c>
      <c r="O6538">
        <v>0.5954528</v>
      </c>
      <c r="P6538">
        <v>0.93601449999999997</v>
      </c>
      <c r="Q6538">
        <v>5.2769180000000002E-3</v>
      </c>
      <c r="R6538">
        <v>0.35192190000000001</v>
      </c>
      <c r="S6538">
        <v>3.2418369999999999</v>
      </c>
      <c r="T6538">
        <v>-0.35218260000000001</v>
      </c>
      <c r="U6538">
        <v>-6.6192630000000002E-2</v>
      </c>
      <c r="V6538">
        <v>0.27573979999999998</v>
      </c>
      <c r="W6538">
        <v>1.4730699999999999E-2</v>
      </c>
      <c r="X6538">
        <v>0.96111939999999996</v>
      </c>
      <c r="Y6538">
        <v>0.60582150000000001</v>
      </c>
      <c r="Z6538">
        <v>-8.6586150000000001E-2</v>
      </c>
      <c r="AA6538">
        <v>0.79087499999999999</v>
      </c>
      <c r="AB6538">
        <v>34</v>
      </c>
      <c r="AC6538">
        <v>9.8988999999999905</v>
      </c>
      <c r="AD6538">
        <v>-1.0913265423209999</v>
      </c>
      <c r="AE6538">
        <v>-0.31069999999999698</v>
      </c>
      <c r="AF6538">
        <v>6.0716926784800904</v>
      </c>
      <c r="AG6538">
        <v>-1.0913265423209999</v>
      </c>
      <c r="AH6538">
        <v>7.6733310551501601</v>
      </c>
      <c r="AI6538">
        <v>96.363955462027306</v>
      </c>
      <c r="AJ6538">
        <v>51.6464148964305</v>
      </c>
      <c r="AK6538">
        <v>9.8456312690357795</v>
      </c>
      <c r="AL6538">
        <v>89.155962504990399</v>
      </c>
      <c r="AM6538">
        <v>73.992109643929197</v>
      </c>
      <c r="AN6538">
        <v>0.99999996594144402</v>
      </c>
    </row>
    <row r="6539" spans="1:40" x14ac:dyDescent="0.25">
      <c r="A6539" t="str">
        <f>"20190305135954790"</f>
        <v>20190305135954790</v>
      </c>
      <c r="B6539" t="str">
        <f>"1551765594785775"</f>
        <v>1551765594785775</v>
      </c>
      <c r="C6539" t="s">
        <v>40</v>
      </c>
      <c r="D6539">
        <v>4.7395949999999996</v>
      </c>
      <c r="E6539">
        <v>0.6496847</v>
      </c>
      <c r="F6539" t="s">
        <v>42</v>
      </c>
      <c r="G6539">
        <v>-168.86760000000001</v>
      </c>
      <c r="H6539" s="1">
        <v>-1.542052E-6</v>
      </c>
      <c r="I6539">
        <v>135.39580000000001</v>
      </c>
      <c r="J6539">
        <v>-178.60120000000001</v>
      </c>
      <c r="K6539">
        <v>1.09128</v>
      </c>
      <c r="L6539">
        <v>135.8134</v>
      </c>
      <c r="M6539">
        <v>0.81006299999999998</v>
      </c>
      <c r="N6539">
        <v>-2.243444E-2</v>
      </c>
      <c r="O6539">
        <v>0.58591349999999998</v>
      </c>
      <c r="P6539">
        <v>0.93931169999999997</v>
      </c>
      <c r="Q6539">
        <v>6.3288619999999898E-3</v>
      </c>
      <c r="R6539">
        <v>0.34300649999999999</v>
      </c>
      <c r="S6539">
        <v>3.2436219999999998</v>
      </c>
      <c r="T6539">
        <v>-0.35728389999999999</v>
      </c>
      <c r="U6539">
        <v>-9.7213750000000002E-2</v>
      </c>
      <c r="V6539">
        <v>0.27354339999999999</v>
      </c>
      <c r="W6539">
        <v>1.5679970000000001E-2</v>
      </c>
      <c r="X6539">
        <v>0.96173189999999997</v>
      </c>
      <c r="Y6539">
        <v>0.60385219999999995</v>
      </c>
      <c r="Z6539">
        <v>-8.7268129999999999E-2</v>
      </c>
      <c r="AA6539">
        <v>0.79230480000000003</v>
      </c>
      <c r="AB6539">
        <v>34</v>
      </c>
      <c r="AC6539">
        <v>9.7335999999999903</v>
      </c>
      <c r="AD6539">
        <v>-1.0912815420519999</v>
      </c>
      <c r="AE6539">
        <v>-0.41759999999999298</v>
      </c>
      <c r="AF6539">
        <v>5.96797274868341</v>
      </c>
      <c r="AG6539">
        <v>-1.0912815420519999</v>
      </c>
      <c r="AH6539">
        <v>7.5473807480483899</v>
      </c>
      <c r="AI6539">
        <v>96.470677940058295</v>
      </c>
      <c r="AJ6539">
        <v>51.665369088003501</v>
      </c>
      <c r="AK6539">
        <v>9.6835195197336503</v>
      </c>
      <c r="AL6539">
        <v>89.101567123742498</v>
      </c>
      <c r="AM6539">
        <v>74.1227682555824</v>
      </c>
      <c r="AN6539">
        <v>1.00000005031018</v>
      </c>
    </row>
    <row r="6540" spans="1:40" x14ac:dyDescent="0.25">
      <c r="A6540" t="str">
        <f>"20190305135954804"</f>
        <v>20190305135954804</v>
      </c>
      <c r="B6540" t="str">
        <f>"1551765594795535"</f>
        <v>1551765594795535</v>
      </c>
      <c r="C6540" t="s">
        <v>40</v>
      </c>
      <c r="D6540">
        <v>4.7663260000000003</v>
      </c>
      <c r="E6540">
        <v>0.64928390000000002</v>
      </c>
      <c r="F6540" t="s">
        <v>42</v>
      </c>
      <c r="G6540">
        <v>-168.74080000000001</v>
      </c>
      <c r="H6540" s="1">
        <v>-1.5825139999999901E-6</v>
      </c>
      <c r="I6540">
        <v>135.42670000000001</v>
      </c>
      <c r="J6540">
        <v>-178.42490000000001</v>
      </c>
      <c r="K6540">
        <v>1.091242</v>
      </c>
      <c r="L6540">
        <v>135.93299999999999</v>
      </c>
      <c r="M6540">
        <v>0.81700119999999998</v>
      </c>
      <c r="N6540">
        <v>-2.2218020000000002E-2</v>
      </c>
      <c r="O6540">
        <v>0.57620780000000005</v>
      </c>
      <c r="P6540">
        <v>0.94173490000000004</v>
      </c>
      <c r="Q6540">
        <v>8.2043329999999994E-3</v>
      </c>
      <c r="R6540">
        <v>0.33625650000000001</v>
      </c>
      <c r="S6540">
        <v>3.2426910000000002</v>
      </c>
      <c r="T6540">
        <v>-0.35888109999999901</v>
      </c>
      <c r="U6540">
        <v>-0.12718199999999999</v>
      </c>
      <c r="V6540">
        <v>0.2690362</v>
      </c>
      <c r="W6540">
        <v>1.7572750000000002E-2</v>
      </c>
      <c r="X6540">
        <v>0.96296970000000004</v>
      </c>
      <c r="Y6540">
        <v>0.60167380000000004</v>
      </c>
      <c r="Z6540">
        <v>-8.7043770000000006E-2</v>
      </c>
      <c r="AA6540">
        <v>0.79398489999999999</v>
      </c>
      <c r="AB6540">
        <v>34</v>
      </c>
      <c r="AC6540">
        <v>9.6841000000000008</v>
      </c>
      <c r="AD6540">
        <v>-1.0912435825139899</v>
      </c>
      <c r="AE6540">
        <v>-0.50629999999998099</v>
      </c>
      <c r="AF6540">
        <v>5.9202133428524402</v>
      </c>
      <c r="AG6540">
        <v>-1.0912435825139899</v>
      </c>
      <c r="AH6540">
        <v>7.52675677414185</v>
      </c>
      <c r="AI6540">
        <v>96.501116065355504</v>
      </c>
      <c r="AJ6540">
        <v>51.812978307858103</v>
      </c>
      <c r="AK6540">
        <v>9.6380395370820295</v>
      </c>
      <c r="AL6540">
        <v>88.993103724685895</v>
      </c>
      <c r="AM6540">
        <v>74.390604449009601</v>
      </c>
      <c r="AN6540">
        <v>0.99999996078554498</v>
      </c>
    </row>
    <row r="6541" spans="1:40" x14ac:dyDescent="0.25">
      <c r="A6541" t="str">
        <f>"20190305135954817"</f>
        <v>20190305135954817</v>
      </c>
      <c r="B6541" t="str">
        <f>"1551765594805295"</f>
        <v>1551765594805295</v>
      </c>
      <c r="C6541" t="s">
        <v>40</v>
      </c>
      <c r="D6541">
        <v>4.7366570000000001</v>
      </c>
      <c r="E6541">
        <v>0.64871969999999901</v>
      </c>
      <c r="F6541" t="s">
        <v>42</v>
      </c>
      <c r="G6541">
        <v>-168.60740000000001</v>
      </c>
      <c r="H6541" s="1">
        <v>-1.6182109999999999E-6</v>
      </c>
      <c r="I6541">
        <v>135.48500000000001</v>
      </c>
      <c r="J6541">
        <v>-178.2593</v>
      </c>
      <c r="K6541">
        <v>1.09121</v>
      </c>
      <c r="L6541">
        <v>136.0429</v>
      </c>
      <c r="M6541">
        <v>0.82338099999999903</v>
      </c>
      <c r="N6541">
        <v>-2.2018349999999999E-2</v>
      </c>
      <c r="O6541">
        <v>0.567061699999999</v>
      </c>
      <c r="P6541">
        <v>0.94468220000000003</v>
      </c>
      <c r="Q6541">
        <v>9.3135679999999995E-3</v>
      </c>
      <c r="R6541">
        <v>0.3278548</v>
      </c>
      <c r="S6541">
        <v>3.2415620000000001</v>
      </c>
      <c r="T6541">
        <v>-0.36031160000000001</v>
      </c>
      <c r="U6541">
        <v>-0.14791869999999999</v>
      </c>
      <c r="V6541">
        <v>0.26690940000000002</v>
      </c>
      <c r="W6541">
        <v>1.8595879999999999E-2</v>
      </c>
      <c r="X6541">
        <v>0.96354220000000002</v>
      </c>
      <c r="Y6541">
        <v>0.59787089999999998</v>
      </c>
      <c r="Z6541">
        <v>-8.6666820000000006E-2</v>
      </c>
      <c r="AA6541">
        <v>0.79689350000000003</v>
      </c>
      <c r="AB6541">
        <v>34</v>
      </c>
      <c r="AC6541">
        <v>9.6518999999999799</v>
      </c>
      <c r="AD6541">
        <v>-1.0912116182109901</v>
      </c>
      <c r="AE6541">
        <v>-0.55789999999998896</v>
      </c>
      <c r="AF6541">
        <v>5.85938143307391</v>
      </c>
      <c r="AG6541">
        <v>-1.0912116182109901</v>
      </c>
      <c r="AH6541">
        <v>7.53666612612838</v>
      </c>
      <c r="AI6541">
        <v>96.5209562434475</v>
      </c>
      <c r="AJ6541">
        <v>52.136718094789899</v>
      </c>
      <c r="AK6541">
        <v>9.6085602392190292</v>
      </c>
      <c r="AL6541">
        <v>88.934473145645995</v>
      </c>
      <c r="AM6541">
        <v>74.516815020655599</v>
      </c>
      <c r="AN6541">
        <v>1.00000000287108</v>
      </c>
    </row>
    <row r="6542" spans="1:40" x14ac:dyDescent="0.25">
      <c r="A6542" t="str">
        <f>"20190305135954828"</f>
        <v>20190305135954828</v>
      </c>
      <c r="B6542" t="str">
        <f>"1551765594825791"</f>
        <v>1551765594825791</v>
      </c>
      <c r="C6542" t="s">
        <v>40</v>
      </c>
      <c r="D6542">
        <v>4.7788000000000004</v>
      </c>
      <c r="E6542">
        <v>0.64794890000000005</v>
      </c>
      <c r="F6542" t="s">
        <v>42</v>
      </c>
      <c r="G6542">
        <v>-168.5265</v>
      </c>
      <c r="H6542" s="1">
        <v>-1.6389680000000001E-6</v>
      </c>
      <c r="I6542">
        <v>135.52379999999999</v>
      </c>
      <c r="J6542">
        <v>-178.11529999999999</v>
      </c>
      <c r="K6542">
        <v>1.0911999999999999</v>
      </c>
      <c r="L6542">
        <v>136.13509999999999</v>
      </c>
      <c r="M6542">
        <v>0.82880589999999998</v>
      </c>
      <c r="N6542">
        <v>-2.1861780000000001E-2</v>
      </c>
      <c r="O6542">
        <v>0.55910909999999903</v>
      </c>
      <c r="P6542">
        <v>0.94722709999999999</v>
      </c>
      <c r="Q6542">
        <v>1.013674E-2</v>
      </c>
      <c r="R6542">
        <v>0.3204034</v>
      </c>
      <c r="S6542">
        <v>3.239182</v>
      </c>
      <c r="T6542">
        <v>-0.36316670000000001</v>
      </c>
      <c r="U6542">
        <v>-0.172744799999999</v>
      </c>
      <c r="V6542">
        <v>0.26524750000000002</v>
      </c>
      <c r="W6542">
        <v>1.9355819999999999E-2</v>
      </c>
      <c r="X6542">
        <v>0.96398600000000001</v>
      </c>
      <c r="Y6542">
        <v>0.59622339999999996</v>
      </c>
      <c r="Z6542">
        <v>-8.6882039999999994E-2</v>
      </c>
      <c r="AA6542">
        <v>0.79810349999999997</v>
      </c>
      <c r="AB6542">
        <v>34</v>
      </c>
      <c r="AC6542">
        <v>9.5887999999999902</v>
      </c>
      <c r="AD6542">
        <v>-1.0912016389679999</v>
      </c>
      <c r="AE6542">
        <v>-0.61129999999999995</v>
      </c>
      <c r="AF6542">
        <v>5.7944996492462701</v>
      </c>
      <c r="AG6542">
        <v>-1.0912016389679999</v>
      </c>
      <c r="AH6542">
        <v>7.5104193398492498</v>
      </c>
      <c r="AI6542">
        <v>96.562110924457201</v>
      </c>
      <c r="AJ6542">
        <v>52.348804073352497</v>
      </c>
      <c r="AK6542">
        <v>9.5484734833576095</v>
      </c>
      <c r="AL6542">
        <v>88.890923885712297</v>
      </c>
      <c r="AM6542">
        <v>74.615385868425705</v>
      </c>
      <c r="AN6542">
        <v>0.99999994611005905</v>
      </c>
    </row>
    <row r="6543" spans="1:40" x14ac:dyDescent="0.25">
      <c r="A6543" t="str">
        <f>"20190305135954844"</f>
        <v>20190305135954844</v>
      </c>
      <c r="B6543" t="str">
        <f>"1551765594835551"</f>
        <v>1551765594835551</v>
      </c>
      <c r="C6543" t="s">
        <v>40</v>
      </c>
      <c r="D6543">
        <v>4.7879610000000001</v>
      </c>
      <c r="E6543">
        <v>0.64741359999999903</v>
      </c>
      <c r="F6543" t="s">
        <v>42</v>
      </c>
      <c r="G6543">
        <v>-168.38990000000001</v>
      </c>
      <c r="H6543" s="1">
        <v>-1.6825979999999999E-6</v>
      </c>
      <c r="I6543">
        <v>135.55699999999999</v>
      </c>
      <c r="J6543">
        <v>-177.91</v>
      </c>
      <c r="K6543">
        <v>1.091194</v>
      </c>
      <c r="L6543">
        <v>136.26419999999999</v>
      </c>
      <c r="M6543">
        <v>0.83637879999999998</v>
      </c>
      <c r="N6543">
        <v>-2.1655290000000001E-2</v>
      </c>
      <c r="O6543">
        <v>0.54772390000000004</v>
      </c>
      <c r="P6543">
        <v>0.95088189999999995</v>
      </c>
      <c r="Q6543">
        <v>1.112173E-2</v>
      </c>
      <c r="R6543">
        <v>0.30935400000000002</v>
      </c>
      <c r="S6543">
        <v>3.2360989999999998</v>
      </c>
      <c r="T6543">
        <v>-0.3630931</v>
      </c>
      <c r="U6543">
        <v>-0.1923523</v>
      </c>
      <c r="V6543">
        <v>0.26331559999999998</v>
      </c>
      <c r="W6543">
        <v>2.0247810000000002E-2</v>
      </c>
      <c r="X6543">
        <v>0.96449720000000005</v>
      </c>
      <c r="Y6543">
        <v>0.59020289999999997</v>
      </c>
      <c r="Z6543">
        <v>-8.5824239999999996E-2</v>
      </c>
      <c r="AA6543">
        <v>0.8026797</v>
      </c>
      <c r="AB6543">
        <v>34</v>
      </c>
      <c r="AC6543">
        <v>9.5200999999999798</v>
      </c>
      <c r="AD6543">
        <v>-1.091195682598</v>
      </c>
      <c r="AE6543">
        <v>-0.70719999999997096</v>
      </c>
      <c r="AF6543">
        <v>5.7323384889286499</v>
      </c>
      <c r="AG6543">
        <v>-1.091195682598</v>
      </c>
      <c r="AH6543">
        <v>7.4791167609238798</v>
      </c>
      <c r="AI6543">
        <v>96.605358222073903</v>
      </c>
      <c r="AJ6543">
        <v>52.531787226848301</v>
      </c>
      <c r="AK6543">
        <v>9.4861794255066698</v>
      </c>
      <c r="AL6543">
        <v>88.839806616716203</v>
      </c>
      <c r="AM6543">
        <v>74.729903212182407</v>
      </c>
      <c r="AN6543">
        <v>0.99999996391049695</v>
      </c>
    </row>
    <row r="6544" spans="1:40" x14ac:dyDescent="0.25">
      <c r="A6544" t="str">
        <f>"20190305135954857"</f>
        <v>20190305135954857</v>
      </c>
      <c r="B6544" t="str">
        <f>"1551765594845312"</f>
        <v>1551765594845312</v>
      </c>
      <c r="C6544" t="s">
        <v>40</v>
      </c>
      <c r="D6544">
        <v>4.7835099999999997</v>
      </c>
      <c r="E6544">
        <v>0.64719479999999996</v>
      </c>
      <c r="F6544" t="s">
        <v>42</v>
      </c>
      <c r="G6544">
        <v>-168.23429999999999</v>
      </c>
      <c r="H6544" s="1">
        <v>-1.7343230000000001E-6</v>
      </c>
      <c r="I6544">
        <v>135.5872</v>
      </c>
      <c r="J6544">
        <v>-177.72929999999999</v>
      </c>
      <c r="K6544">
        <v>1.0912059999999999</v>
      </c>
      <c r="L6544">
        <v>136.37479999999999</v>
      </c>
      <c r="M6544">
        <v>0.84287800000000002</v>
      </c>
      <c r="N6544">
        <v>-2.14956E-2</v>
      </c>
      <c r="O6544">
        <v>0.53767509999999996</v>
      </c>
      <c r="P6544">
        <v>0.95405580000000001</v>
      </c>
      <c r="Q6544">
        <v>1.113129E-2</v>
      </c>
      <c r="R6544">
        <v>0.29942229999999997</v>
      </c>
      <c r="S6544">
        <v>3.2328190000000001</v>
      </c>
      <c r="T6544">
        <v>-0.3645871</v>
      </c>
      <c r="U6544">
        <v>-0.22618099999999999</v>
      </c>
      <c r="V6544">
        <v>0.26182070000000002</v>
      </c>
      <c r="W6544">
        <v>2.018965E-2</v>
      </c>
      <c r="X6544">
        <v>0.96490529999999997</v>
      </c>
      <c r="Y6544">
        <v>0.58896549999999903</v>
      </c>
      <c r="Z6544">
        <v>-8.5553649999999995E-2</v>
      </c>
      <c r="AA6544">
        <v>0.80361689999999997</v>
      </c>
      <c r="AB6544">
        <v>34</v>
      </c>
      <c r="AC6544">
        <v>9.4949999999999992</v>
      </c>
      <c r="AD6544">
        <v>-1.091207734323</v>
      </c>
      <c r="AE6544">
        <v>-0.78759999999999697</v>
      </c>
      <c r="AF6544">
        <v>5.69569677843596</v>
      </c>
      <c r="AG6544">
        <v>-1.091207734323</v>
      </c>
      <c r="AH6544">
        <v>7.4832452821733</v>
      </c>
      <c r="AI6544">
        <v>96.6186298261605</v>
      </c>
      <c r="AJ6544">
        <v>52.7242732633324</v>
      </c>
      <c r="AK6544">
        <v>9.4673468334323303</v>
      </c>
      <c r="AL6544">
        <v>88.843139627103994</v>
      </c>
      <c r="AM6544">
        <v>74.818707103288105</v>
      </c>
      <c r="AN6544">
        <v>0.99999996944184999</v>
      </c>
    </row>
    <row r="6545" spans="1:40" x14ac:dyDescent="0.25">
      <c r="A6545" t="str">
        <f>"20190305135954872"</f>
        <v>20190305135954872</v>
      </c>
      <c r="B6545" t="str">
        <f>"1551765594865807"</f>
        <v>1551765594865807</v>
      </c>
      <c r="C6545" t="s">
        <v>40</v>
      </c>
      <c r="D6545">
        <v>4.8359170000000002</v>
      </c>
      <c r="E6545">
        <v>0.64677879999999999</v>
      </c>
      <c r="F6545" t="s">
        <v>42</v>
      </c>
      <c r="G6545">
        <v>-168.11199999999999</v>
      </c>
      <c r="H6545" s="1">
        <v>-1.7763079999999901E-6</v>
      </c>
      <c r="I6545">
        <v>135.60589999999999</v>
      </c>
      <c r="J6545">
        <v>-177.53190000000001</v>
      </c>
      <c r="K6545">
        <v>1.0912329999999999</v>
      </c>
      <c r="L6545">
        <v>136.49100000000001</v>
      </c>
      <c r="M6545">
        <v>0.84979439999999995</v>
      </c>
      <c r="N6545">
        <v>-2.1364859999999999E-2</v>
      </c>
      <c r="O6545">
        <v>0.52668119999999996</v>
      </c>
      <c r="P6545">
        <v>0.95692860000000002</v>
      </c>
      <c r="Q6545">
        <v>9.7832720000000008E-3</v>
      </c>
      <c r="R6545">
        <v>0.29015829999999998</v>
      </c>
      <c r="S6545">
        <v>3.2297669999999998</v>
      </c>
      <c r="T6545">
        <v>-0.36645870000000003</v>
      </c>
      <c r="U6545">
        <v>-0.25822450000000002</v>
      </c>
      <c r="V6545">
        <v>0.25858199999999998</v>
      </c>
      <c r="W6545">
        <v>1.889623E-2</v>
      </c>
      <c r="X6545">
        <v>0.96580449999999995</v>
      </c>
      <c r="Y6545">
        <v>0.58646569999999998</v>
      </c>
      <c r="Z6545">
        <v>-8.5176180000000004E-2</v>
      </c>
      <c r="AA6545">
        <v>0.80548310000000001</v>
      </c>
      <c r="AB6545">
        <v>34</v>
      </c>
      <c r="AC6545">
        <v>9.4199000000000108</v>
      </c>
      <c r="AD6545">
        <v>-1.0912347763079999</v>
      </c>
      <c r="AE6545">
        <v>-0.88510000000002198</v>
      </c>
      <c r="AF6545">
        <v>5.6397202904846697</v>
      </c>
      <c r="AG6545">
        <v>-1.0912347763079999</v>
      </c>
      <c r="AH6545">
        <v>7.4415440718788002</v>
      </c>
      <c r="AI6545">
        <v>96.665906182293497</v>
      </c>
      <c r="AJ6545">
        <v>52.8426167288616</v>
      </c>
      <c r="AK6545">
        <v>9.4007348896585192</v>
      </c>
      <c r="AL6545">
        <v>88.917261357954999</v>
      </c>
      <c r="AM6545">
        <v>75.011321744022595</v>
      </c>
      <c r="AN6545">
        <v>1.00000002522623</v>
      </c>
    </row>
    <row r="6546" spans="1:40" x14ac:dyDescent="0.25">
      <c r="A6546" t="str">
        <f>"20190305135954895"</f>
        <v>20190305135954895</v>
      </c>
      <c r="B6546" t="str">
        <f>"1551765594885327"</f>
        <v>1551765594885327</v>
      </c>
      <c r="C6546" t="s">
        <v>40</v>
      </c>
      <c r="D6546">
        <v>4.8288019999999996</v>
      </c>
      <c r="E6546">
        <v>0.64607919999999996</v>
      </c>
      <c r="F6546" t="s">
        <v>42</v>
      </c>
      <c r="G6546">
        <v>-168.0204</v>
      </c>
      <c r="H6546" s="1">
        <v>-1.800448E-6</v>
      </c>
      <c r="I6546">
        <v>135.6474</v>
      </c>
      <c r="J6546">
        <v>-177.2407</v>
      </c>
      <c r="K6546">
        <v>1.0912959999999901</v>
      </c>
      <c r="L6546">
        <v>136.65700000000001</v>
      </c>
      <c r="M6546">
        <v>0.85968429999999996</v>
      </c>
      <c r="N6546">
        <v>-2.1228170000000001E-2</v>
      </c>
      <c r="O6546">
        <v>0.51038439999999996</v>
      </c>
      <c r="P6546">
        <v>0.96143239999999996</v>
      </c>
      <c r="Q6546">
        <v>8.5778499999999997E-3</v>
      </c>
      <c r="R6546">
        <v>0.27490769999999998</v>
      </c>
      <c r="S6546">
        <v>3.2255400000000001</v>
      </c>
      <c r="T6546">
        <v>-0.37006</v>
      </c>
      <c r="U6546">
        <v>-0.28610229999999998</v>
      </c>
      <c r="V6546">
        <v>0.25546720000000001</v>
      </c>
      <c r="W6546">
        <v>1.7747249999999999E-2</v>
      </c>
      <c r="X6546">
        <v>0.96665480000000004</v>
      </c>
      <c r="Y6546">
        <v>0.57803119999999997</v>
      </c>
      <c r="Z6546">
        <v>-8.4404439999999997E-2</v>
      </c>
      <c r="AA6546">
        <v>0.81163779999999996</v>
      </c>
      <c r="AB6546">
        <v>34</v>
      </c>
      <c r="AC6546">
        <v>9.2202999999999999</v>
      </c>
      <c r="AD6546">
        <v>-1.0912978004479901</v>
      </c>
      <c r="AE6546">
        <v>-1.0096000000000001</v>
      </c>
      <c r="AF6546">
        <v>5.4989704335232998</v>
      </c>
      <c r="AG6546">
        <v>-1.0912978004479901</v>
      </c>
      <c r="AH6546">
        <v>7.3117197977767097</v>
      </c>
      <c r="AI6546">
        <v>96.802306206503701</v>
      </c>
      <c r="AJ6546">
        <v>53.0540454343653</v>
      </c>
      <c r="AK6546">
        <v>9.2136232351461995</v>
      </c>
      <c r="AL6546">
        <v>88.983104069588094</v>
      </c>
      <c r="AM6546">
        <v>75.196344186435695</v>
      </c>
      <c r="AN6546">
        <v>0.999999978760721</v>
      </c>
    </row>
    <row r="6547" spans="1:40" x14ac:dyDescent="0.25">
      <c r="A6547" t="str">
        <f>"20190305135954910"</f>
        <v>20190305135954910</v>
      </c>
      <c r="B6547" t="str">
        <f>"1551765594905822"</f>
        <v>1551765594905822</v>
      </c>
      <c r="C6547" t="s">
        <v>40</v>
      </c>
      <c r="D6547">
        <v>4.8492829999999998</v>
      </c>
      <c r="E6547">
        <v>0.64544099999999904</v>
      </c>
      <c r="F6547" t="s">
        <v>42</v>
      </c>
      <c r="G6547">
        <v>-167.96459999999999</v>
      </c>
      <c r="H6547" s="1">
        <v>-1.807484E-6</v>
      </c>
      <c r="I6547">
        <v>135.70150000000001</v>
      </c>
      <c r="J6547">
        <v>-177.03960000000001</v>
      </c>
      <c r="K6547">
        <v>1.0913580000000001</v>
      </c>
      <c r="L6547">
        <v>136.76669999999999</v>
      </c>
      <c r="M6547">
        <v>0.86629100000000003</v>
      </c>
      <c r="N6547">
        <v>-2.1184720000000001E-2</v>
      </c>
      <c r="O6547">
        <v>0.49909039999999999</v>
      </c>
      <c r="P6547">
        <v>0.96459249999999996</v>
      </c>
      <c r="Q6547">
        <v>8.3674639999999998E-3</v>
      </c>
      <c r="R6547">
        <v>0.26361279999999998</v>
      </c>
      <c r="S6547">
        <v>3.218521</v>
      </c>
      <c r="T6547">
        <v>-0.3786465</v>
      </c>
      <c r="U6547">
        <v>-0.33151249999999999</v>
      </c>
      <c r="V6547">
        <v>0.25414209999999998</v>
      </c>
      <c r="W6547">
        <v>1.7588489999999998E-2</v>
      </c>
      <c r="X6547">
        <v>0.96700699999999995</v>
      </c>
      <c r="Y6547">
        <v>0.5786017</v>
      </c>
      <c r="Z6547">
        <v>-8.5815950000000002E-2</v>
      </c>
      <c r="AA6547">
        <v>0.811083</v>
      </c>
      <c r="AB6547">
        <v>34</v>
      </c>
      <c r="AC6547">
        <v>9.0750000000000099</v>
      </c>
      <c r="AD6547">
        <v>-1.0913598074840001</v>
      </c>
      <c r="AE6547">
        <v>-1.0651999999999699</v>
      </c>
      <c r="AF6547">
        <v>5.3765407193376902</v>
      </c>
      <c r="AG6547">
        <v>-1.0913598074840001</v>
      </c>
      <c r="AH6547">
        <v>7.2284836487333601</v>
      </c>
      <c r="AI6547">
        <v>96.907379507433703</v>
      </c>
      <c r="AJ6547">
        <v>53.358157067289902</v>
      </c>
      <c r="AK6547">
        <v>9.0746477725635906</v>
      </c>
      <c r="AL6547">
        <v>88.992201839610203</v>
      </c>
      <c r="AM6547">
        <v>75.274914936486894</v>
      </c>
      <c r="AN6547">
        <v>1.0000000500109401</v>
      </c>
    </row>
    <row r="6548" spans="1:40" x14ac:dyDescent="0.25">
      <c r="A6548" t="str">
        <f>"20190305135954925"</f>
        <v>20190305135954925</v>
      </c>
      <c r="B6548" t="str">
        <f>"1551765594915582"</f>
        <v>1551765594915582</v>
      </c>
      <c r="C6548" t="s">
        <v>40</v>
      </c>
      <c r="D6548">
        <v>5.2947139999999999</v>
      </c>
      <c r="E6548">
        <v>0.64544099999999904</v>
      </c>
      <c r="F6548" t="s">
        <v>42</v>
      </c>
      <c r="G6548">
        <v>-167.7689</v>
      </c>
      <c r="H6548" s="1">
        <v>-1.8784150000000001E-6</v>
      </c>
      <c r="I6548">
        <v>135.71729999999999</v>
      </c>
      <c r="J6548">
        <v>-176.8254</v>
      </c>
      <c r="K6548">
        <v>1.0914349999999999</v>
      </c>
      <c r="L6548">
        <v>136.8802</v>
      </c>
      <c r="M6548">
        <v>0.87314239999999999</v>
      </c>
      <c r="N6548">
        <v>-2.1174189999999999E-2</v>
      </c>
      <c r="O6548">
        <v>0.48700520000000003</v>
      </c>
      <c r="P6548">
        <v>0.96777860000000004</v>
      </c>
      <c r="Q6548">
        <v>8.2674180000000003E-3</v>
      </c>
      <c r="R6548">
        <v>0.25166680000000002</v>
      </c>
      <c r="S6548">
        <v>3.212799</v>
      </c>
      <c r="T6548">
        <v>-0.37821529999999998</v>
      </c>
      <c r="U6548">
        <v>-0.363678</v>
      </c>
      <c r="V6548">
        <v>0.25265559999999998</v>
      </c>
      <c r="W6548">
        <v>1.7582770000000001E-2</v>
      </c>
      <c r="X6548">
        <v>0.96739649999999999</v>
      </c>
      <c r="Y6548">
        <v>0.57555859999999903</v>
      </c>
      <c r="Z6548">
        <v>-8.4679519999999994E-2</v>
      </c>
      <c r="AA6548">
        <v>0.81336439999999999</v>
      </c>
      <c r="AB6548">
        <v>33</v>
      </c>
      <c r="AC6548">
        <v>9.0564999999999998</v>
      </c>
      <c r="AD6548">
        <v>-1.0914368784149999</v>
      </c>
      <c r="AE6548">
        <v>-1.1629</v>
      </c>
      <c r="AF6548">
        <v>5.3507051089062898</v>
      </c>
      <c r="AG6548">
        <v>-1.0914368784149999</v>
      </c>
      <c r="AH6548">
        <v>7.2394834281013303</v>
      </c>
      <c r="AI6548">
        <v>96.912841309749595</v>
      </c>
      <c r="AJ6548">
        <v>53.531878450522001</v>
      </c>
      <c r="AK6548">
        <v>9.0681530604525005</v>
      </c>
      <c r="AL6548">
        <v>88.992529568841306</v>
      </c>
      <c r="AM6548">
        <v>75.362973970817094</v>
      </c>
      <c r="AN6548">
        <v>0.99999999711224097</v>
      </c>
    </row>
    <row r="6549" spans="1:40" x14ac:dyDescent="0.25">
      <c r="A6549" t="str">
        <f>"20190305135954938"</f>
        <v>20190305135954938</v>
      </c>
      <c r="B6549" t="str">
        <f>"1551765594925344"</f>
        <v>1551765594925344</v>
      </c>
      <c r="C6549" t="s">
        <v>40</v>
      </c>
      <c r="D6549">
        <v>5.6772549999999997</v>
      </c>
      <c r="E6549">
        <v>0.62102119999999905</v>
      </c>
      <c r="F6549" t="s">
        <v>42</v>
      </c>
      <c r="G6549">
        <v>-167.6036</v>
      </c>
      <c r="H6549" s="1">
        <v>-1.940704E-6</v>
      </c>
      <c r="I6549">
        <v>135.7218</v>
      </c>
      <c r="J6549">
        <v>-176.654</v>
      </c>
      <c r="K6549">
        <v>1.0915090000000001</v>
      </c>
      <c r="L6549">
        <v>136.96879999999999</v>
      </c>
      <c r="M6549">
        <v>0.87849330000000003</v>
      </c>
      <c r="N6549">
        <v>-2.1187540000000001E-2</v>
      </c>
      <c r="O6549">
        <v>0.47728470000000001</v>
      </c>
      <c r="P6549">
        <v>0.96941540000000004</v>
      </c>
      <c r="Q6549">
        <v>7.9830769999999999E-3</v>
      </c>
      <c r="R6549">
        <v>0.24529699999999999</v>
      </c>
      <c r="S6549">
        <v>3.2079010000000001</v>
      </c>
      <c r="T6549">
        <v>-0.37966729999999999</v>
      </c>
      <c r="U6549">
        <v>-0.40295409999999998</v>
      </c>
      <c r="V6549">
        <v>0.24826899999999999</v>
      </c>
      <c r="W6549">
        <v>1.755464E-2</v>
      </c>
      <c r="X6549">
        <v>0.96853199999999995</v>
      </c>
      <c r="Y6549">
        <v>0.5764456</v>
      </c>
      <c r="Z6549">
        <v>-8.4401100000000007E-2</v>
      </c>
      <c r="AA6549">
        <v>0.81276510000000002</v>
      </c>
      <c r="AB6549">
        <v>33</v>
      </c>
      <c r="AC6549">
        <v>9.0504000000000193</v>
      </c>
      <c r="AD6549">
        <v>-1.091510940704</v>
      </c>
      <c r="AE6549">
        <v>-1.2469999999999799</v>
      </c>
      <c r="AF6549">
        <v>5.3400885288018696</v>
      </c>
      <c r="AG6549">
        <v>-1.091510940704</v>
      </c>
      <c r="AH6549">
        <v>7.2536526149583596</v>
      </c>
      <c r="AI6549">
        <v>96.909429040514098</v>
      </c>
      <c r="AJ6549">
        <v>53.639758416359598</v>
      </c>
      <c r="AK6549">
        <v>9.07322532992597</v>
      </c>
      <c r="AL6549">
        <v>88.994141498901698</v>
      </c>
      <c r="AM6549">
        <v>75.622631939684595</v>
      </c>
      <c r="AN6549">
        <v>0.99999994838526296</v>
      </c>
    </row>
    <row r="6550" spans="1:40" x14ac:dyDescent="0.25">
      <c r="A6550" t="str">
        <f>"20190305135954951"</f>
        <v>20190305135954951</v>
      </c>
      <c r="B6550" t="str">
        <f>"1551765594945839"</f>
        <v>1551765594945839</v>
      </c>
      <c r="C6550" t="s">
        <v>40</v>
      </c>
      <c r="D6550">
        <v>4.9029170000000004</v>
      </c>
      <c r="E6550">
        <v>0.53620849999999998</v>
      </c>
      <c r="F6550" t="s">
        <v>42</v>
      </c>
      <c r="G6550">
        <v>-162.25880000000001</v>
      </c>
      <c r="H6550" s="1">
        <v>-4.2900649999999999E-6</v>
      </c>
      <c r="I6550">
        <v>135.9503</v>
      </c>
      <c r="J6550">
        <v>-176.46430000000001</v>
      </c>
      <c r="K6550">
        <v>1.091591</v>
      </c>
      <c r="L6550">
        <v>137.0625</v>
      </c>
      <c r="M6550">
        <v>0.88427230000000001</v>
      </c>
      <c r="N6550">
        <v>-2.123568E-2</v>
      </c>
      <c r="O6550">
        <v>0.46648840000000003</v>
      </c>
      <c r="P6550">
        <v>0.97178520000000002</v>
      </c>
      <c r="Q6550">
        <v>7.5574369999999898E-3</v>
      </c>
      <c r="R6550">
        <v>0.23574619999999999</v>
      </c>
      <c r="S6550">
        <v>3.1530610000000001</v>
      </c>
      <c r="T6550">
        <v>-0.23908109999999999</v>
      </c>
      <c r="U6550">
        <v>-0.22308349999999999</v>
      </c>
      <c r="V6550">
        <v>0.24592049999999999</v>
      </c>
      <c r="W6550">
        <v>1.731864E-2</v>
      </c>
      <c r="X6550">
        <v>0.96913530000000003</v>
      </c>
      <c r="Y6550">
        <v>0.5253253</v>
      </c>
      <c r="Z6550">
        <v>-4.9651300000000002E-2</v>
      </c>
      <c r="AA6550">
        <v>0.84945159999999997</v>
      </c>
      <c r="AB6550">
        <v>33</v>
      </c>
      <c r="AC6550">
        <v>14.205500000000001</v>
      </c>
      <c r="AD6550">
        <v>-1.0915952900649999</v>
      </c>
      <c r="AE6550">
        <v>-1.1122000000000001</v>
      </c>
      <c r="AF6550">
        <v>7.56749276431783</v>
      </c>
      <c r="AG6550">
        <v>-1.0915952900649999</v>
      </c>
      <c r="AH6550">
        <v>11.9751379363568</v>
      </c>
      <c r="AI6550">
        <v>94.406407986985201</v>
      </c>
      <c r="AJ6550">
        <v>57.709829636001899</v>
      </c>
      <c r="AK6550">
        <v>14.207830784819601</v>
      </c>
      <c r="AL6550">
        <v>89.007665439291898</v>
      </c>
      <c r="AM6550">
        <v>75.761580959011894</v>
      </c>
      <c r="AN6550">
        <v>1.0000000286588899</v>
      </c>
    </row>
    <row r="6551" spans="1:40" x14ac:dyDescent="0.25">
      <c r="A6551" t="str">
        <f>"20190305135954967"</f>
        <v>20190305135954967</v>
      </c>
      <c r="B6551" t="str">
        <f>"1551765594955599"</f>
        <v>1551765594955599</v>
      </c>
      <c r="C6551" t="s">
        <v>40</v>
      </c>
      <c r="D6551">
        <v>4.8839100000000002</v>
      </c>
      <c r="E6551">
        <v>0.53461910000000001</v>
      </c>
      <c r="F6551" t="s">
        <v>42</v>
      </c>
      <c r="G6551">
        <v>-164.55340000000001</v>
      </c>
      <c r="H6551" s="1">
        <v>-2.723644E-6</v>
      </c>
      <c r="I6551">
        <v>138.6662</v>
      </c>
      <c r="J6551">
        <v>-176.26089999999999</v>
      </c>
      <c r="K6551">
        <v>1.0916790000000001</v>
      </c>
      <c r="L6551">
        <v>137.16040000000001</v>
      </c>
      <c r="M6551">
        <v>0.89031550000000004</v>
      </c>
      <c r="N6551">
        <v>-2.1306769999999999E-2</v>
      </c>
      <c r="O6551">
        <v>0.45484540000000001</v>
      </c>
      <c r="P6551">
        <v>0.97415359999999995</v>
      </c>
      <c r="Q6551">
        <v>7.7827269999999997E-3</v>
      </c>
      <c r="R6551">
        <v>0.22575229999999999</v>
      </c>
      <c r="S6551">
        <v>2.9915310000000002</v>
      </c>
      <c r="T6551">
        <v>-0.27416309999999999</v>
      </c>
      <c r="U6551">
        <v>0.40278629999999999</v>
      </c>
      <c r="V6551">
        <v>0.24317050000000001</v>
      </c>
      <c r="W6551">
        <v>1.7776810000000001E-2</v>
      </c>
      <c r="X6551">
        <v>0.96982069999999998</v>
      </c>
      <c r="Y6551">
        <v>0.32944040000000002</v>
      </c>
      <c r="Z6551">
        <v>-4.8446099999999999E-2</v>
      </c>
      <c r="AA6551">
        <v>0.94293269999999996</v>
      </c>
      <c r="AB6551">
        <v>33</v>
      </c>
      <c r="AC6551">
        <v>11.7074999999999</v>
      </c>
      <c r="AD6551">
        <v>-1.091681723644</v>
      </c>
      <c r="AE6551">
        <v>1.50579999999999</v>
      </c>
      <c r="AF6551">
        <v>3.9515708528376301</v>
      </c>
      <c r="AG6551">
        <v>-1.091681723644</v>
      </c>
      <c r="AH6551">
        <v>11.016568232769</v>
      </c>
      <c r="AI6551">
        <v>95.328878361403397</v>
      </c>
      <c r="AJ6551">
        <v>70.267422355551503</v>
      </c>
      <c r="AK6551">
        <v>11.754635545944801</v>
      </c>
      <c r="AL6551">
        <v>88.981410210221</v>
      </c>
      <c r="AM6551">
        <v>75.923988855967806</v>
      </c>
      <c r="AN6551">
        <v>1.0000000485962499</v>
      </c>
    </row>
    <row r="6552" spans="1:40" x14ac:dyDescent="0.25">
      <c r="A6552" t="str">
        <f>"20190305135954980"</f>
        <v>20190305135954980</v>
      </c>
      <c r="B6552" t="str">
        <f>"1551765594976095"</f>
        <v>1551765594976095</v>
      </c>
      <c r="C6552" t="s">
        <v>40</v>
      </c>
      <c r="D6552">
        <v>4.7925389999999997</v>
      </c>
      <c r="E6552">
        <v>0.53538330000000001</v>
      </c>
      <c r="F6552" t="s">
        <v>42</v>
      </c>
      <c r="G6552">
        <v>-164.7139</v>
      </c>
      <c r="H6552" s="1">
        <v>-2.6522260000000001E-6</v>
      </c>
      <c r="I6552">
        <v>138.6412</v>
      </c>
      <c r="J6552">
        <v>-176.07939999999999</v>
      </c>
      <c r="K6552">
        <v>1.091758</v>
      </c>
      <c r="L6552">
        <v>137.24539999999999</v>
      </c>
      <c r="M6552">
        <v>0.89557659999999994</v>
      </c>
      <c r="N6552">
        <v>-2.138632E-2</v>
      </c>
      <c r="O6552">
        <v>0.44439309999999999</v>
      </c>
      <c r="P6552">
        <v>0.97611539999999997</v>
      </c>
      <c r="Q6552">
        <v>7.8747309999999994E-3</v>
      </c>
      <c r="R6552">
        <v>0.21711</v>
      </c>
      <c r="S6552">
        <v>2.9929049999999999</v>
      </c>
      <c r="T6552">
        <v>-0.28295520000000002</v>
      </c>
      <c r="U6552">
        <v>0.38381959999999998</v>
      </c>
      <c r="V6552">
        <v>0.2404211</v>
      </c>
      <c r="W6552">
        <v>1.8104820000000001E-2</v>
      </c>
      <c r="X6552">
        <v>0.97049980000000002</v>
      </c>
      <c r="Y6552">
        <v>0.32418930000000001</v>
      </c>
      <c r="Z6552">
        <v>-4.9251059999999999E-2</v>
      </c>
      <c r="AA6552">
        <v>0.94470929999999997</v>
      </c>
      <c r="AB6552">
        <v>33</v>
      </c>
      <c r="AC6552">
        <v>11.3654999999999</v>
      </c>
      <c r="AD6552">
        <v>-1.0917606522259999</v>
      </c>
      <c r="AE6552">
        <v>1.3957999999999999</v>
      </c>
      <c r="AF6552">
        <v>3.76732733813733</v>
      </c>
      <c r="AG6552">
        <v>-1.0917606522259999</v>
      </c>
      <c r="AH6552">
        <v>10.704126569330001</v>
      </c>
      <c r="AI6552">
        <v>95.495487955592296</v>
      </c>
      <c r="AJ6552">
        <v>70.610432902020605</v>
      </c>
      <c r="AK6552">
        <v>11.400132552153201</v>
      </c>
      <c r="AL6552">
        <v>88.962613521599806</v>
      </c>
      <c r="AM6552">
        <v>76.086277868590798</v>
      </c>
      <c r="AN6552">
        <v>0.999999975816241</v>
      </c>
    </row>
    <row r="6553" spans="1:40" x14ac:dyDescent="0.25">
      <c r="A6553" t="str">
        <f>"20190305135954993"</f>
        <v>20190305135954993</v>
      </c>
      <c r="B6553" t="str">
        <f>"1551765594985855"</f>
        <v>1551765594985855</v>
      </c>
      <c r="C6553" t="s">
        <v>40</v>
      </c>
      <c r="D6553">
        <v>4.8178109999999998</v>
      </c>
      <c r="E6553">
        <v>0.53562030000000005</v>
      </c>
      <c r="F6553" t="s">
        <v>42</v>
      </c>
      <c r="G6553">
        <v>-162.32640000000001</v>
      </c>
      <c r="H6553" s="1">
        <v>-3.7395489999999998E-6</v>
      </c>
      <c r="I6553">
        <v>138.87370000000001</v>
      </c>
      <c r="J6553">
        <v>-175.8938</v>
      </c>
      <c r="K6553">
        <v>1.091844</v>
      </c>
      <c r="L6553">
        <v>137.3288</v>
      </c>
      <c r="M6553">
        <v>0.90081920000000004</v>
      </c>
      <c r="N6553">
        <v>-2.1489790000000002E-2</v>
      </c>
      <c r="O6553">
        <v>0.43366260000000001</v>
      </c>
      <c r="P6553">
        <v>0.97794610000000004</v>
      </c>
      <c r="Q6553">
        <v>8.1351400000000008E-3</v>
      </c>
      <c r="R6553">
        <v>0.20869969999999999</v>
      </c>
      <c r="S6553">
        <v>2.996429</v>
      </c>
      <c r="T6553">
        <v>-0.23786879999999999</v>
      </c>
      <c r="U6553">
        <v>0.35476679999999999</v>
      </c>
      <c r="V6553">
        <v>0.23719599999999999</v>
      </c>
      <c r="W6553">
        <v>1.8646889999999999E-2</v>
      </c>
      <c r="X6553">
        <v>0.9712828</v>
      </c>
      <c r="Y6553">
        <v>0.3229322</v>
      </c>
      <c r="Z6553">
        <v>-3.9807820000000001E-2</v>
      </c>
      <c r="AA6553">
        <v>0.94558450000000005</v>
      </c>
      <c r="AB6553">
        <v>33</v>
      </c>
      <c r="AC6553">
        <v>13.5673999999999</v>
      </c>
      <c r="AD6553">
        <v>-1.0918477395490001</v>
      </c>
      <c r="AE6553">
        <v>1.5449000000000099</v>
      </c>
      <c r="AF6553">
        <v>4.4644917523577297</v>
      </c>
      <c r="AG6553">
        <v>-1.0918477395490001</v>
      </c>
      <c r="AH6553">
        <v>12.8127975615987</v>
      </c>
      <c r="AI6553">
        <v>94.600697130368104</v>
      </c>
      <c r="AJ6553">
        <v>70.7896173038488</v>
      </c>
      <c r="AK6553">
        <v>13.612185696931199</v>
      </c>
      <c r="AL6553">
        <v>88.931549938745903</v>
      </c>
      <c r="AM6553">
        <v>76.276461812914107</v>
      </c>
      <c r="AN6553">
        <v>0.999999963249255</v>
      </c>
    </row>
    <row r="6554" spans="1:40" x14ac:dyDescent="0.25">
      <c r="A6554" t="str">
        <f>"20190305135955006"</f>
        <v>20190305135955006</v>
      </c>
      <c r="B6554" t="str">
        <f>"1551765594995615"</f>
        <v>1551765594995615</v>
      </c>
      <c r="C6554" t="s">
        <v>40</v>
      </c>
      <c r="D6554">
        <v>4.8158890000000003</v>
      </c>
      <c r="E6554">
        <v>0.53584370000000003</v>
      </c>
      <c r="F6554" t="s">
        <v>42</v>
      </c>
      <c r="G6554">
        <v>-161.524</v>
      </c>
      <c r="H6554" s="1">
        <v>-4.1141119999999996E-6</v>
      </c>
      <c r="I6554">
        <v>138.90039999999999</v>
      </c>
      <c r="J6554">
        <v>-175.72450000000001</v>
      </c>
      <c r="K6554">
        <v>1.091934</v>
      </c>
      <c r="L6554">
        <v>137.40260000000001</v>
      </c>
      <c r="M6554">
        <v>0.90549299999999999</v>
      </c>
      <c r="N6554">
        <v>-2.159519E-2</v>
      </c>
      <c r="O6554">
        <v>0.42381170000000001</v>
      </c>
      <c r="P6554">
        <v>0.97868909999999998</v>
      </c>
      <c r="Q6554">
        <v>9.1628019999999994E-3</v>
      </c>
      <c r="R6554">
        <v>0.20514389999999999</v>
      </c>
      <c r="S6554">
        <v>2.9995419999999999</v>
      </c>
      <c r="T6554">
        <v>-0.2279118</v>
      </c>
      <c r="U6554">
        <v>0.32804870000000003</v>
      </c>
      <c r="V6554">
        <v>0.23017689999999999</v>
      </c>
      <c r="W6554">
        <v>2.0140060000000001E-2</v>
      </c>
      <c r="X6554">
        <v>0.97294040000000004</v>
      </c>
      <c r="Y6554">
        <v>0.3212276</v>
      </c>
      <c r="Z6554">
        <v>-3.7323919999999997E-2</v>
      </c>
      <c r="AA6554">
        <v>0.94626619999999995</v>
      </c>
      <c r="AB6554">
        <v>33</v>
      </c>
      <c r="AC6554">
        <v>14.2005</v>
      </c>
      <c r="AD6554">
        <v>-1.0919381141119999</v>
      </c>
      <c r="AE6554">
        <v>1.49779999999998</v>
      </c>
      <c r="AF6554">
        <v>4.6360671826507902</v>
      </c>
      <c r="AG6554">
        <v>-1.0919381141119999</v>
      </c>
      <c r="AH6554">
        <v>13.4179202435144</v>
      </c>
      <c r="AI6554">
        <v>94.398377846332906</v>
      </c>
      <c r="AJ6554">
        <v>70.939298441229795</v>
      </c>
      <c r="AK6554">
        <v>14.238189190638501</v>
      </c>
      <c r="AL6554">
        <v>88.845981566437899</v>
      </c>
      <c r="AM6554">
        <v>76.689764166638597</v>
      </c>
      <c r="AN6554">
        <v>1.0000000246312799</v>
      </c>
    </row>
    <row r="6555" spans="1:40" x14ac:dyDescent="0.25">
      <c r="A6555" t="str">
        <f>"20190305135955020"</f>
        <v>20190305135955020</v>
      </c>
      <c r="B6555" t="str">
        <f>"1551765595015135"</f>
        <v>1551765595015135</v>
      </c>
      <c r="C6555" t="s">
        <v>40</v>
      </c>
      <c r="D6555">
        <v>4.8287800000000001</v>
      </c>
      <c r="E6555">
        <v>0.53593150000000001</v>
      </c>
      <c r="F6555" t="s">
        <v>42</v>
      </c>
      <c r="G6555">
        <v>-160.64150000000001</v>
      </c>
      <c r="H6555" s="1">
        <v>-4.5148039999999996E-6</v>
      </c>
      <c r="I6555">
        <v>138.99340000000001</v>
      </c>
      <c r="J6555">
        <v>-175.54390000000001</v>
      </c>
      <c r="K6555">
        <v>1.092014</v>
      </c>
      <c r="L6555">
        <v>137.4795</v>
      </c>
      <c r="M6555">
        <v>0.91035719999999998</v>
      </c>
      <c r="N6555">
        <v>-2.17152E-2</v>
      </c>
      <c r="O6555">
        <v>0.41325319999999999</v>
      </c>
      <c r="P6555">
        <v>0.9802343</v>
      </c>
      <c r="Q6555">
        <v>9.4887019999999999E-3</v>
      </c>
      <c r="R6555">
        <v>0.19761200000000001</v>
      </c>
      <c r="S6555">
        <v>3.001007</v>
      </c>
      <c r="T6555">
        <v>-0.2172586</v>
      </c>
      <c r="U6555">
        <v>0.31651309999999999</v>
      </c>
      <c r="V6555">
        <v>0.22636300000000001</v>
      </c>
      <c r="W6555">
        <v>2.0787949999999999E-2</v>
      </c>
      <c r="X6555">
        <v>0.97382120000000005</v>
      </c>
      <c r="Y6555">
        <v>0.3140578</v>
      </c>
      <c r="Z6555">
        <v>-3.4485399999999999E-2</v>
      </c>
      <c r="AA6555">
        <v>0.94877739999999999</v>
      </c>
      <c r="AB6555">
        <v>33</v>
      </c>
      <c r="AC6555">
        <v>14.9024</v>
      </c>
      <c r="AD6555">
        <v>-1.092018514804</v>
      </c>
      <c r="AE6555">
        <v>1.5139</v>
      </c>
      <c r="AF6555">
        <v>4.75612427061641</v>
      </c>
      <c r="AG6555">
        <v>-1.092018514804</v>
      </c>
      <c r="AH6555">
        <v>14.1204310135808</v>
      </c>
      <c r="AI6555">
        <v>94.1917292302645</v>
      </c>
      <c r="AJ6555">
        <v>71.3851514015237</v>
      </c>
      <c r="AK6555">
        <v>14.939872640806399</v>
      </c>
      <c r="AL6555">
        <v>88.808852444960607</v>
      </c>
      <c r="AM6555">
        <v>76.914082123044807</v>
      </c>
      <c r="AN6555">
        <v>1.0000000381018199</v>
      </c>
    </row>
    <row r="6556" spans="1:40" x14ac:dyDescent="0.25">
      <c r="A6556" t="str">
        <f>"20190305135955032"</f>
        <v>20190305135955032</v>
      </c>
      <c r="B6556" t="str">
        <f>"1551765595025871"</f>
        <v>1551765595025871</v>
      </c>
      <c r="C6556" t="s">
        <v>40</v>
      </c>
      <c r="D6556">
        <v>5.4492450000000003</v>
      </c>
      <c r="E6556">
        <v>0.53569199999999995</v>
      </c>
      <c r="F6556" t="s">
        <v>42</v>
      </c>
      <c r="G6556">
        <v>-159.74879999999999</v>
      </c>
      <c r="H6556" s="1">
        <v>-2.2945899999999999E-7</v>
      </c>
      <c r="I6556">
        <v>139.02260000000001</v>
      </c>
      <c r="J6556">
        <v>-175.3503</v>
      </c>
      <c r="K6556">
        <v>1.09209</v>
      </c>
      <c r="L6556">
        <v>137.5582</v>
      </c>
      <c r="M6556">
        <v>0.91544309999999995</v>
      </c>
      <c r="N6556">
        <v>-2.1855090000000001E-2</v>
      </c>
      <c r="O6556">
        <v>0.40185349999999997</v>
      </c>
      <c r="P6556">
        <v>0.98186390000000001</v>
      </c>
      <c r="Q6556">
        <v>1.018284E-2</v>
      </c>
      <c r="R6556">
        <v>0.18931419999999999</v>
      </c>
      <c r="S6556">
        <v>3.0033569999999998</v>
      </c>
      <c r="T6556">
        <v>-0.2076403</v>
      </c>
      <c r="U6556">
        <v>0.29342649999999998</v>
      </c>
      <c r="V6556">
        <v>0.22247330000000001</v>
      </c>
      <c r="W6556">
        <v>2.1825790000000001E-2</v>
      </c>
      <c r="X6556">
        <v>0.97469439999999996</v>
      </c>
      <c r="Y6556">
        <v>0.30966389999999999</v>
      </c>
      <c r="Z6556">
        <v>-3.2012159999999998E-2</v>
      </c>
      <c r="AA6556">
        <v>0.95030709999999996</v>
      </c>
      <c r="AB6556">
        <v>33</v>
      </c>
      <c r="AC6556">
        <v>15.6015</v>
      </c>
      <c r="AD6556">
        <v>-1.092090229459</v>
      </c>
      <c r="AE6556">
        <v>1.4644000000000099</v>
      </c>
      <c r="AF6556">
        <v>4.9062899715570998</v>
      </c>
      <c r="AG6556">
        <v>-1.092090229459</v>
      </c>
      <c r="AH6556">
        <v>14.802416453248901</v>
      </c>
      <c r="AI6556">
        <v>94.0059532864001</v>
      </c>
      <c r="AJ6556">
        <v>71.662121059679393</v>
      </c>
      <c r="AK6556">
        <v>15.632526194115099</v>
      </c>
      <c r="AL6556">
        <v>88.749374984990197</v>
      </c>
      <c r="AM6556">
        <v>77.1425406987766</v>
      </c>
      <c r="AN6556">
        <v>0.99999995385668505</v>
      </c>
    </row>
    <row r="6557" spans="1:40" x14ac:dyDescent="0.25">
      <c r="A6557" t="str">
        <f>"20190305135955051"</f>
        <v>20190305135955051</v>
      </c>
      <c r="B6557" t="str">
        <f>"1551765595045398"</f>
        <v>1551765595045398</v>
      </c>
      <c r="C6557" t="s">
        <v>40</v>
      </c>
      <c r="D6557">
        <v>4.8557009999999998</v>
      </c>
      <c r="E6557">
        <v>0.53537419999999902</v>
      </c>
      <c r="F6557" t="s">
        <v>42</v>
      </c>
      <c r="G6557">
        <v>-158.8442</v>
      </c>
      <c r="H6557" s="1">
        <v>-5.798445E-7</v>
      </c>
      <c r="I6557">
        <v>139.0429</v>
      </c>
      <c r="J6557">
        <v>-175.12020000000001</v>
      </c>
      <c r="K6557">
        <v>1.0921700000000001</v>
      </c>
      <c r="L6557">
        <v>137.6481</v>
      </c>
      <c r="M6557">
        <v>0.92130509999999999</v>
      </c>
      <c r="N6557">
        <v>-2.2025980000000001E-2</v>
      </c>
      <c r="O6557">
        <v>0.38821610000000001</v>
      </c>
      <c r="P6557">
        <v>0.98315220000000003</v>
      </c>
      <c r="Q6557">
        <v>1.1116900000000001E-2</v>
      </c>
      <c r="R6557">
        <v>0.1824509</v>
      </c>
      <c r="S6557">
        <v>3.0053559999999999</v>
      </c>
      <c r="T6557">
        <v>-0.19884279999999999</v>
      </c>
      <c r="U6557">
        <v>0.27034000000000002</v>
      </c>
      <c r="V6557">
        <v>0.21485070000000001</v>
      </c>
      <c r="W6557">
        <v>2.3314100000000001E-2</v>
      </c>
      <c r="X6557">
        <v>0.97636860000000003</v>
      </c>
      <c r="Y6557">
        <v>0.30298930000000002</v>
      </c>
      <c r="Z6557">
        <v>-2.9573140000000001E-2</v>
      </c>
      <c r="AA6557">
        <v>0.95253500000000002</v>
      </c>
      <c r="AB6557">
        <v>33</v>
      </c>
      <c r="AC6557">
        <v>16.276</v>
      </c>
      <c r="AD6557">
        <v>-1.0921705798445001</v>
      </c>
      <c r="AE6557">
        <v>1.3948</v>
      </c>
      <c r="AF6557">
        <v>5.0123850330531203</v>
      </c>
      <c r="AG6557">
        <v>-1.0921705798445001</v>
      </c>
      <c r="AH6557">
        <v>15.4712593964577</v>
      </c>
      <c r="AI6557">
        <v>93.842040025783604</v>
      </c>
      <c r="AJ6557">
        <v>72.048691250624103</v>
      </c>
      <c r="AK6557">
        <v>16.299592252799901</v>
      </c>
      <c r="AL6557">
        <v>88.664079434645799</v>
      </c>
      <c r="AM6557">
        <v>77.589804772960903</v>
      </c>
      <c r="AN6557">
        <v>1.00000000680763</v>
      </c>
    </row>
    <row r="6558" spans="1:40" x14ac:dyDescent="0.25">
      <c r="A6558" t="str">
        <f>"20190305135955064"</f>
        <v>20190305135955064</v>
      </c>
      <c r="B6558" t="str">
        <f>"1551765595055996"</f>
        <v>1551765595055996</v>
      </c>
      <c r="C6558" t="s">
        <v>40</v>
      </c>
      <c r="D6558">
        <v>4.8612690000000001</v>
      </c>
      <c r="E6558">
        <v>0.53521339999999995</v>
      </c>
      <c r="F6558" t="s">
        <v>42</v>
      </c>
      <c r="G6558">
        <v>-157.21789999999999</v>
      </c>
      <c r="H6558" s="1">
        <v>-1.258121E-6</v>
      </c>
      <c r="I6558">
        <v>139.1523</v>
      </c>
      <c r="J6558">
        <v>-174.91380000000001</v>
      </c>
      <c r="K6558">
        <v>1.092228</v>
      </c>
      <c r="L6558">
        <v>137.72559999999999</v>
      </c>
      <c r="M6558">
        <v>0.92640080000000002</v>
      </c>
      <c r="N6558">
        <v>-2.2180689999999999E-2</v>
      </c>
      <c r="O6558">
        <v>0.37588510000000003</v>
      </c>
      <c r="P6558">
        <v>0.98487480000000005</v>
      </c>
      <c r="Q6558">
        <v>1.131602E-2</v>
      </c>
      <c r="R6558">
        <v>0.1728983</v>
      </c>
      <c r="S6558">
        <v>3.0066220000000001</v>
      </c>
      <c r="T6558">
        <v>-0.1834248</v>
      </c>
      <c r="U6558">
        <v>0.25262449999999997</v>
      </c>
      <c r="V6558">
        <v>0.21131259999999999</v>
      </c>
      <c r="W6558">
        <v>2.3848009999999999E-2</v>
      </c>
      <c r="X6558">
        <v>0.97712759999999999</v>
      </c>
      <c r="Y6558">
        <v>0.29608640000000003</v>
      </c>
      <c r="Z6558">
        <v>-2.6136199999999998E-2</v>
      </c>
      <c r="AA6558">
        <v>0.95480350000000003</v>
      </c>
      <c r="AB6558">
        <v>32</v>
      </c>
      <c r="AC6558">
        <v>17.695900000000002</v>
      </c>
      <c r="AD6558">
        <v>-1.092229258121</v>
      </c>
      <c r="AE6558">
        <v>1.4267000000000101</v>
      </c>
      <c r="AF6558">
        <v>5.3111378543454899</v>
      </c>
      <c r="AG6558">
        <v>-1.092229258121</v>
      </c>
      <c r="AH6558">
        <v>16.870083373880998</v>
      </c>
      <c r="AI6558">
        <v>93.5338360725586</v>
      </c>
      <c r="AJ6558">
        <v>72.524651982527203</v>
      </c>
      <c r="AK6558">
        <v>17.720069500480299</v>
      </c>
      <c r="AL6558">
        <v>88.633480187691106</v>
      </c>
      <c r="AM6558">
        <v>77.797191552235702</v>
      </c>
      <c r="AN6558">
        <v>1.00000004459073</v>
      </c>
    </row>
    <row r="6559" spans="1:40" x14ac:dyDescent="0.25">
      <c r="A6559" t="str">
        <f>"20190305135955082"</f>
        <v>20190305135955082</v>
      </c>
      <c r="B6559" t="str">
        <f>"1551765595075516"</f>
        <v>1551765595075516</v>
      </c>
      <c r="C6559" t="s">
        <v>40</v>
      </c>
      <c r="D6559">
        <v>4.849958</v>
      </c>
      <c r="E6559">
        <v>0.53472359999999997</v>
      </c>
      <c r="F6559" t="s">
        <v>42</v>
      </c>
      <c r="G6559">
        <v>-156.511</v>
      </c>
      <c r="H6559" s="1">
        <v>-1.570313E-6</v>
      </c>
      <c r="I6559">
        <v>139.1019</v>
      </c>
      <c r="J6559">
        <v>-174.68039999999999</v>
      </c>
      <c r="K6559">
        <v>1.0922810000000001</v>
      </c>
      <c r="L6559">
        <v>137.80940000000001</v>
      </c>
      <c r="M6559">
        <v>0.93197439999999998</v>
      </c>
      <c r="N6559">
        <v>-2.2352029999999998E-2</v>
      </c>
      <c r="O6559">
        <v>0.3618344</v>
      </c>
      <c r="P6559">
        <v>0.98687599999999998</v>
      </c>
      <c r="Q6559">
        <v>1.1134099999999999E-2</v>
      </c>
      <c r="R6559">
        <v>0.16109599999999999</v>
      </c>
      <c r="S6559">
        <v>3.0086210000000002</v>
      </c>
      <c r="T6559">
        <v>-0.178565</v>
      </c>
      <c r="U6559">
        <v>0.22502140000000001</v>
      </c>
      <c r="V6559">
        <v>0.208236</v>
      </c>
      <c r="W6559">
        <v>2.3993400000000002E-2</v>
      </c>
      <c r="X6559">
        <v>0.97778430000000005</v>
      </c>
      <c r="Y6559">
        <v>0.29047679999999998</v>
      </c>
      <c r="Z6559">
        <v>-2.459221E-2</v>
      </c>
      <c r="AA6559">
        <v>0.95656600000000003</v>
      </c>
      <c r="AB6559">
        <v>32</v>
      </c>
      <c r="AC6559">
        <v>18.1694</v>
      </c>
      <c r="AD6559">
        <v>-1.0922825703129999</v>
      </c>
      <c r="AE6559">
        <v>1.29249999999998</v>
      </c>
      <c r="AF6559">
        <v>5.3518346784558704</v>
      </c>
      <c r="AG6559">
        <v>-1.0922825703129999</v>
      </c>
      <c r="AH6559">
        <v>17.343072524997901</v>
      </c>
      <c r="AI6559">
        <v>93.443946091112494</v>
      </c>
      <c r="AJ6559">
        <v>72.8504905263393</v>
      </c>
      <c r="AK6559">
        <v>18.182887016265301</v>
      </c>
      <c r="AL6559">
        <v>88.625147544987101</v>
      </c>
      <c r="AM6559">
        <v>77.977490217487798</v>
      </c>
      <c r="AN6559">
        <v>1.00000002613302</v>
      </c>
    </row>
    <row r="6560" spans="1:40" x14ac:dyDescent="0.25">
      <c r="A6560" t="str">
        <f>"20190305135955099"</f>
        <v>20190305135955099</v>
      </c>
      <c r="B6560" t="str">
        <f>"1551765595096011"</f>
        <v>1551765595096011</v>
      </c>
      <c r="C6560" t="s">
        <v>40</v>
      </c>
      <c r="D6560">
        <v>4.8372799999999998</v>
      </c>
      <c r="E6560">
        <v>0.5343774</v>
      </c>
      <c r="F6560" t="s">
        <v>42</v>
      </c>
      <c r="G6560">
        <v>-155.6831</v>
      </c>
      <c r="H6560" s="1">
        <v>-1.9380319999999999E-6</v>
      </c>
      <c r="I6560">
        <v>139.03120000000001</v>
      </c>
      <c r="J6560">
        <v>-174.44380000000001</v>
      </c>
      <c r="K6560">
        <v>1.092325</v>
      </c>
      <c r="L6560">
        <v>137.89019999999999</v>
      </c>
      <c r="M6560">
        <v>0.93742490000000001</v>
      </c>
      <c r="N6560">
        <v>-2.2513399999999999E-2</v>
      </c>
      <c r="O6560">
        <v>0.34745900000000002</v>
      </c>
      <c r="P6560">
        <v>0.98833839999999995</v>
      </c>
      <c r="Q6560">
        <v>1.097834E-2</v>
      </c>
      <c r="R6560">
        <v>0.1518775</v>
      </c>
      <c r="S6560">
        <v>3.0102389999999999</v>
      </c>
      <c r="T6560">
        <v>-0.17307819999999999</v>
      </c>
      <c r="U6560">
        <v>0.19360350000000001</v>
      </c>
      <c r="V6560">
        <v>0.20232610000000001</v>
      </c>
      <c r="W6560">
        <v>2.4287530000000002E-2</v>
      </c>
      <c r="X6560">
        <v>0.97901700000000003</v>
      </c>
      <c r="Y6560">
        <v>0.28581089999999998</v>
      </c>
      <c r="Z6560">
        <v>-2.3031389999999999E-2</v>
      </c>
      <c r="AA6560">
        <v>0.95800920000000001</v>
      </c>
      <c r="AB6560">
        <v>32</v>
      </c>
      <c r="AC6560">
        <v>18.7607</v>
      </c>
      <c r="AD6560">
        <v>-1.092326938032</v>
      </c>
      <c r="AE6560">
        <v>1.14100000000001</v>
      </c>
      <c r="AF6560">
        <v>5.4320065883019497</v>
      </c>
      <c r="AG6560">
        <v>-1.092326938032</v>
      </c>
      <c r="AH6560">
        <v>17.9272064061592</v>
      </c>
      <c r="AI6560">
        <v>93.337316236892207</v>
      </c>
      <c r="AJ6560">
        <v>73.143006900165105</v>
      </c>
      <c r="AK6560">
        <v>18.763917587858401</v>
      </c>
      <c r="AL6560">
        <v>88.608290203458793</v>
      </c>
      <c r="AM6560">
        <v>78.323491165585594</v>
      </c>
      <c r="AN6560">
        <v>1.0000000105718501</v>
      </c>
    </row>
    <row r="6561" spans="1:40" x14ac:dyDescent="0.25">
      <c r="A6561" t="str">
        <f>"20190305135955117"</f>
        <v>20190305135955117</v>
      </c>
      <c r="B6561" t="str">
        <f>"1551765595105772"</f>
        <v>1551765595105772</v>
      </c>
      <c r="C6561" t="s">
        <v>40</v>
      </c>
      <c r="D6561">
        <v>4.9215080000000002</v>
      </c>
      <c r="E6561">
        <v>0.53396619999999995</v>
      </c>
      <c r="F6561" t="s">
        <v>42</v>
      </c>
      <c r="G6561">
        <v>-154.9735</v>
      </c>
      <c r="H6561" s="1">
        <v>-2.2513980000000001E-6</v>
      </c>
      <c r="I6561">
        <v>138.98070000000001</v>
      </c>
      <c r="J6561">
        <v>-174.19399999999999</v>
      </c>
      <c r="K6561">
        <v>1.092354</v>
      </c>
      <c r="L6561">
        <v>137.97069999999999</v>
      </c>
      <c r="M6561">
        <v>0.94296500000000005</v>
      </c>
      <c r="N6561">
        <v>-2.265696E-2</v>
      </c>
      <c r="O6561">
        <v>0.33212009999999997</v>
      </c>
      <c r="P6561">
        <v>0.98961849999999996</v>
      </c>
      <c r="Q6561">
        <v>1.1186359999999999E-2</v>
      </c>
      <c r="R6561">
        <v>0.143285</v>
      </c>
      <c r="S6561">
        <v>3.0113530000000002</v>
      </c>
      <c r="T6561">
        <v>-0.16894300000000001</v>
      </c>
      <c r="U6561">
        <v>0.16865539999999901</v>
      </c>
      <c r="V6561">
        <v>0.19487399999999999</v>
      </c>
      <c r="W6561">
        <v>2.4995409999999999E-2</v>
      </c>
      <c r="X6561">
        <v>0.98050979999999999</v>
      </c>
      <c r="Y6561">
        <v>0.27816809999999997</v>
      </c>
      <c r="Z6561">
        <v>-2.1592920000000002E-2</v>
      </c>
      <c r="AA6561">
        <v>0.96028970000000002</v>
      </c>
      <c r="AB6561">
        <v>32</v>
      </c>
      <c r="AC6561">
        <v>19.220500000000001</v>
      </c>
      <c r="AD6561">
        <v>-1.0923562513980001</v>
      </c>
      <c r="AE6561">
        <v>1.01000000000001</v>
      </c>
      <c r="AF6561">
        <v>5.4150716389771301</v>
      </c>
      <c r="AG6561">
        <v>-1.0923562513980001</v>
      </c>
      <c r="AH6561">
        <v>18.40515461228</v>
      </c>
      <c r="AI6561">
        <v>93.258753173728394</v>
      </c>
      <c r="AJ6561">
        <v>73.605328640878398</v>
      </c>
      <c r="AK6561">
        <v>19.216294110393701</v>
      </c>
      <c r="AL6561">
        <v>88.567719414135397</v>
      </c>
      <c r="AM6561">
        <v>78.759079741942898</v>
      </c>
      <c r="AN6561">
        <v>1.0000000571465499</v>
      </c>
    </row>
    <row r="6562" spans="1:40" x14ac:dyDescent="0.25">
      <c r="A6562" t="str">
        <f>"20190305135955139"</f>
        <v>20190305135955139</v>
      </c>
      <c r="B6562" t="str">
        <f>"1551765595136046"</f>
        <v>1551765595136046</v>
      </c>
      <c r="C6562" t="s">
        <v>40</v>
      </c>
      <c r="D6562">
        <v>4.8708999999999998</v>
      </c>
      <c r="E6562">
        <v>0.53356769999999998</v>
      </c>
      <c r="F6562" t="s">
        <v>42</v>
      </c>
      <c r="G6562">
        <v>-155.43879999999999</v>
      </c>
      <c r="H6562" s="1">
        <v>-2.0708519999999999E-6</v>
      </c>
      <c r="I6562">
        <v>138.87299999999999</v>
      </c>
      <c r="J6562">
        <v>-173.88409999999999</v>
      </c>
      <c r="K6562">
        <v>1.092363</v>
      </c>
      <c r="L6562">
        <v>138.06399999999999</v>
      </c>
      <c r="M6562">
        <v>0.94951739999999996</v>
      </c>
      <c r="N6562">
        <v>-2.2792980000000001E-2</v>
      </c>
      <c r="O6562">
        <v>0.31288559999999999</v>
      </c>
      <c r="P6562">
        <v>0.99135859999999998</v>
      </c>
      <c r="Q6562">
        <v>1.109831E-2</v>
      </c>
      <c r="R6562">
        <v>0.13071150000000001</v>
      </c>
      <c r="S6562">
        <v>3.012451</v>
      </c>
      <c r="T6562">
        <v>-0.17545429999999901</v>
      </c>
      <c r="U6562">
        <v>0.14494319999999999</v>
      </c>
      <c r="V6562">
        <v>0.187393</v>
      </c>
      <c r="W6562">
        <v>2.5395830000000001E-2</v>
      </c>
      <c r="X6562">
        <v>0.98195670000000002</v>
      </c>
      <c r="Y6562">
        <v>0.26615850000000002</v>
      </c>
      <c r="Z6562">
        <v>-2.147777E-2</v>
      </c>
      <c r="AA6562">
        <v>0.96369000000000005</v>
      </c>
      <c r="AB6562">
        <v>32</v>
      </c>
      <c r="AC6562">
        <v>18.4453</v>
      </c>
      <c r="AD6562">
        <v>-1.0923650708520001</v>
      </c>
      <c r="AE6562">
        <v>0.80899999999999705</v>
      </c>
      <c r="AF6562">
        <v>4.9869519621969101</v>
      </c>
      <c r="AG6562">
        <v>-1.0923650708520001</v>
      </c>
      <c r="AH6562">
        <v>17.709879533992499</v>
      </c>
      <c r="AI6562">
        <v>93.397781653693997</v>
      </c>
      <c r="AJ6562">
        <v>74.273230306510897</v>
      </c>
      <c r="AK6562">
        <v>18.431027763795498</v>
      </c>
      <c r="AL6562">
        <v>88.544769703453895</v>
      </c>
      <c r="AM6562">
        <v>79.195792132140895</v>
      </c>
      <c r="AN6562">
        <v>1.00000002265263</v>
      </c>
    </row>
    <row r="6563" spans="1:40" x14ac:dyDescent="0.25">
      <c r="A6563" t="str">
        <f>"20190305135955152"</f>
        <v>20190305135955152</v>
      </c>
      <c r="B6563" t="str">
        <f>"1551765595145809"</f>
        <v>1551765595145809</v>
      </c>
      <c r="C6563" t="s">
        <v>40</v>
      </c>
      <c r="D6563">
        <v>4.9109699999999998</v>
      </c>
      <c r="E6563">
        <v>0.53322119999999995</v>
      </c>
      <c r="F6563" t="s">
        <v>42</v>
      </c>
      <c r="G6563">
        <v>-155.94159999999999</v>
      </c>
      <c r="H6563" s="1">
        <v>-1.883983E-6</v>
      </c>
      <c r="I6563">
        <v>138.7106</v>
      </c>
      <c r="J6563">
        <v>-173.69579999999999</v>
      </c>
      <c r="K6563">
        <v>1.0923510000000001</v>
      </c>
      <c r="L6563">
        <v>138.11680000000001</v>
      </c>
      <c r="M6563">
        <v>0.95332950000000005</v>
      </c>
      <c r="N6563">
        <v>-2.284011E-2</v>
      </c>
      <c r="O6563">
        <v>0.30106690000000003</v>
      </c>
      <c r="P6563">
        <v>0.992483</v>
      </c>
      <c r="Q6563">
        <v>1.1585140000000001E-2</v>
      </c>
      <c r="R6563">
        <v>0.1218342</v>
      </c>
      <c r="S6563">
        <v>3.0138699999999998</v>
      </c>
      <c r="T6563">
        <v>-0.1834884</v>
      </c>
      <c r="U6563">
        <v>0.1086273</v>
      </c>
      <c r="V6563">
        <v>0.1840068</v>
      </c>
      <c r="W6563">
        <v>2.6085580000000001E-2</v>
      </c>
      <c r="X6563">
        <v>0.98257879999999997</v>
      </c>
      <c r="Y6563">
        <v>0.2657292</v>
      </c>
      <c r="Z6563">
        <v>-2.2220759999999999E-2</v>
      </c>
      <c r="AA6563">
        <v>0.96379150000000002</v>
      </c>
      <c r="AB6563">
        <v>32</v>
      </c>
      <c r="AC6563">
        <v>17.754199999999901</v>
      </c>
      <c r="AD6563">
        <v>-1.0923528839829999</v>
      </c>
      <c r="AE6563">
        <v>0.593799999999987</v>
      </c>
      <c r="AF6563">
        <v>4.7623539805811701</v>
      </c>
      <c r="AG6563">
        <v>-1.0923528839829999</v>
      </c>
      <c r="AH6563">
        <v>17.044389074381399</v>
      </c>
      <c r="AI6563">
        <v>93.532077076263604</v>
      </c>
      <c r="AJ6563">
        <v>74.389163783918093</v>
      </c>
      <c r="AK6563">
        <v>17.730889689420401</v>
      </c>
      <c r="AL6563">
        <v>88.505236850150098</v>
      </c>
      <c r="AM6563">
        <v>79.393116958513701</v>
      </c>
      <c r="AN6563">
        <v>1.0000000290697999</v>
      </c>
    </row>
    <row r="6564" spans="1:40" x14ac:dyDescent="0.25">
      <c r="A6564" t="str">
        <f>"20190305135955167"</f>
        <v>20190305135955167</v>
      </c>
      <c r="B6564" t="str">
        <f>"1551765595155569"</f>
        <v>1551765595155569</v>
      </c>
      <c r="C6564" t="s">
        <v>40</v>
      </c>
      <c r="D6564">
        <v>4.8845769999999904</v>
      </c>
      <c r="E6564">
        <v>0.53296519999999903</v>
      </c>
      <c r="F6564" t="s">
        <v>42</v>
      </c>
      <c r="G6564">
        <v>-156.30690000000001</v>
      </c>
      <c r="H6564" s="1">
        <v>-1.7471719999999901E-6</v>
      </c>
      <c r="I6564">
        <v>138.5985</v>
      </c>
      <c r="J6564">
        <v>-173.49950000000001</v>
      </c>
      <c r="K6564">
        <v>1.092314</v>
      </c>
      <c r="L6564">
        <v>138.16929999999999</v>
      </c>
      <c r="M6564">
        <v>0.95717169999999896</v>
      </c>
      <c r="N6564">
        <v>-2.2836780000000001E-2</v>
      </c>
      <c r="O6564">
        <v>0.28861880000000001</v>
      </c>
      <c r="P6564">
        <v>0.99358109999999999</v>
      </c>
      <c r="Q6564">
        <v>1.1884E-2</v>
      </c>
      <c r="R6564">
        <v>0.112496</v>
      </c>
      <c r="S6564">
        <v>3.0146639999999998</v>
      </c>
      <c r="T6564">
        <v>-0.18937699999999999</v>
      </c>
      <c r="U6564">
        <v>8.3526610000000001E-2</v>
      </c>
      <c r="V6564">
        <v>0.1804567</v>
      </c>
      <c r="W6564">
        <v>2.6540330000000001E-2</v>
      </c>
      <c r="X6564">
        <v>0.98322480000000001</v>
      </c>
      <c r="Y6564">
        <v>0.26115250000000001</v>
      </c>
      <c r="Z6564">
        <v>-2.2409200000000001E-2</v>
      </c>
      <c r="AA6564">
        <v>0.96503740000000005</v>
      </c>
      <c r="AB6564">
        <v>32</v>
      </c>
      <c r="AC6564">
        <v>17.192599999999999</v>
      </c>
      <c r="AD6564">
        <v>-1.092315747172</v>
      </c>
      <c r="AE6564">
        <v>0.42920000000000802</v>
      </c>
      <c r="AF6564">
        <v>4.5341855661687198</v>
      </c>
      <c r="AG6564">
        <v>-1.092315747172</v>
      </c>
      <c r="AH6564">
        <v>16.5178365339567</v>
      </c>
      <c r="AI6564">
        <v>93.648839422755401</v>
      </c>
      <c r="AJ6564">
        <v>74.650258656925303</v>
      </c>
      <c r="AK6564">
        <v>17.163651016100498</v>
      </c>
      <c r="AL6564">
        <v>88.479172539033101</v>
      </c>
      <c r="AM6564">
        <v>79.599933435986102</v>
      </c>
      <c r="AN6564">
        <v>1.0000000085132099</v>
      </c>
    </row>
    <row r="6565" spans="1:40" x14ac:dyDescent="0.25">
      <c r="A6565" t="str">
        <f>"20190305135955182"</f>
        <v>20190305135955182</v>
      </c>
      <c r="B6565" t="str">
        <f>"1551765595176065"</f>
        <v>1551765595176065</v>
      </c>
      <c r="C6565" t="s">
        <v>40</v>
      </c>
      <c r="D6565">
        <v>4.8840079999999997</v>
      </c>
      <c r="E6565">
        <v>0.53241159999999998</v>
      </c>
      <c r="F6565" t="s">
        <v>42</v>
      </c>
      <c r="G6565">
        <v>-156.52869999999999</v>
      </c>
      <c r="H6565" s="1">
        <v>-1.671913E-6</v>
      </c>
      <c r="I6565">
        <v>138.4862</v>
      </c>
      <c r="J6565">
        <v>-173.2843</v>
      </c>
      <c r="K6565">
        <v>1.0922499999999999</v>
      </c>
      <c r="L6565">
        <v>138.22389999999999</v>
      </c>
      <c r="M6565">
        <v>0.96121730000000005</v>
      </c>
      <c r="N6565">
        <v>-2.2774349999999999E-2</v>
      </c>
      <c r="O6565">
        <v>0.27485029999999999</v>
      </c>
      <c r="P6565">
        <v>0.99473089999999997</v>
      </c>
      <c r="Q6565">
        <v>1.214407E-2</v>
      </c>
      <c r="R6565">
        <v>0.1017995</v>
      </c>
      <c r="S6565">
        <v>3.0153349999999999</v>
      </c>
      <c r="T6565">
        <v>-0.19408059999999999</v>
      </c>
      <c r="U6565">
        <v>5.6320189999999999E-2</v>
      </c>
      <c r="V6565">
        <v>0.1769329</v>
      </c>
      <c r="W6565">
        <v>2.689163E-2</v>
      </c>
      <c r="X6565">
        <v>0.98385549999999999</v>
      </c>
      <c r="Y6565">
        <v>0.25597989999999998</v>
      </c>
      <c r="Z6565">
        <v>-2.2313039999999999E-2</v>
      </c>
      <c r="AA6565">
        <v>0.96642459999999997</v>
      </c>
      <c r="AB6565">
        <v>31</v>
      </c>
      <c r="AC6565">
        <v>16.755600000000001</v>
      </c>
      <c r="AD6565">
        <v>-1.092251671913</v>
      </c>
      <c r="AE6565">
        <v>0.26230000000001003</v>
      </c>
      <c r="AF6565">
        <v>4.3358634203229096</v>
      </c>
      <c r="AG6565">
        <v>-1.092251671913</v>
      </c>
      <c r="AH6565">
        <v>16.113606453059301</v>
      </c>
      <c r="AI6565">
        <v>93.745020350686602</v>
      </c>
      <c r="AJ6565">
        <v>74.939519677452694</v>
      </c>
      <c r="AK6565">
        <v>16.722471056592202</v>
      </c>
      <c r="AL6565">
        <v>88.4590373746327</v>
      </c>
      <c r="AM6565">
        <v>79.805113357079307</v>
      </c>
      <c r="AN6565">
        <v>1.0000000278733501</v>
      </c>
    </row>
    <row r="6566" spans="1:40" x14ac:dyDescent="0.25">
      <c r="A6566" t="str">
        <f>"20190305135955196"</f>
        <v>20190305135955196</v>
      </c>
      <c r="B6566" t="str">
        <f>"1551765595185825"</f>
        <v>1551765595185825</v>
      </c>
      <c r="C6566" t="s">
        <v>40</v>
      </c>
      <c r="D6566">
        <v>4.9325330000000003</v>
      </c>
      <c r="E6566">
        <v>0.532219199999999</v>
      </c>
      <c r="F6566" t="s">
        <v>42</v>
      </c>
      <c r="G6566">
        <v>-157.30109999999999</v>
      </c>
      <c r="H6566" s="1">
        <v>-1.3617879999999999E-6</v>
      </c>
      <c r="I6566">
        <v>138.3665</v>
      </c>
      <c r="J6566">
        <v>-173.09099999999901</v>
      </c>
      <c r="K6566">
        <v>1.092174</v>
      </c>
      <c r="L6566">
        <v>138.27019999999999</v>
      </c>
      <c r="M6566">
        <v>0.96470199999999995</v>
      </c>
      <c r="N6566">
        <v>-2.2660860000000001E-2</v>
      </c>
      <c r="O6566">
        <v>0.26236710000000002</v>
      </c>
      <c r="P6566">
        <v>0.99527569999999999</v>
      </c>
      <c r="Q6566">
        <v>1.2373729999999999E-2</v>
      </c>
      <c r="R6566">
        <v>9.6298019999999998E-2</v>
      </c>
      <c r="S6566">
        <v>3.0156559999999999</v>
      </c>
      <c r="T6566">
        <v>-0.20608170000000001</v>
      </c>
      <c r="U6566">
        <v>2.6916499999999999E-2</v>
      </c>
      <c r="V6566">
        <v>0.16962449999999901</v>
      </c>
      <c r="W6566">
        <v>2.7339700000000002E-2</v>
      </c>
      <c r="X6566">
        <v>0.98512949999999999</v>
      </c>
      <c r="Y6566">
        <v>0.25276779999999999</v>
      </c>
      <c r="Z6566">
        <v>-2.3242229999999999E-2</v>
      </c>
      <c r="AA6566">
        <v>0.96724779999999999</v>
      </c>
      <c r="AB6566">
        <v>31</v>
      </c>
      <c r="AC6566">
        <v>15.7898999999999</v>
      </c>
      <c r="AD6566">
        <v>-1.0921753617879999</v>
      </c>
      <c r="AE6566">
        <v>9.6300000000013597E-2</v>
      </c>
      <c r="AF6566">
        <v>4.03160177083927</v>
      </c>
      <c r="AG6566">
        <v>-1.0921753617879999</v>
      </c>
      <c r="AH6566">
        <v>15.1890658282441</v>
      </c>
      <c r="AI6566">
        <v>93.975599090426002</v>
      </c>
      <c r="AJ6566">
        <v>75.134867494297396</v>
      </c>
      <c r="AK6566">
        <v>15.7529165742177</v>
      </c>
      <c r="AL6566">
        <v>88.433355416893505</v>
      </c>
      <c r="AM6566">
        <v>80.230325199822104</v>
      </c>
      <c r="AN6566">
        <v>1.0000000309832899</v>
      </c>
    </row>
    <row r="6567" spans="1:40" x14ac:dyDescent="0.25">
      <c r="A6567" t="str">
        <f>"20190305135955211"</f>
        <v>20190305135955211</v>
      </c>
      <c r="B6567" t="str">
        <f>"1551765595205346"</f>
        <v>1551765595205346</v>
      </c>
      <c r="C6567" t="s">
        <v>40</v>
      </c>
      <c r="D6567">
        <v>5.1721680000000001</v>
      </c>
      <c r="E6567">
        <v>0.53215459999999903</v>
      </c>
      <c r="F6567" t="s">
        <v>42</v>
      </c>
      <c r="G6567">
        <v>-157.5061</v>
      </c>
      <c r="H6567" s="1">
        <v>-1.280806E-6</v>
      </c>
      <c r="I6567">
        <v>138.32740000000001</v>
      </c>
      <c r="J6567">
        <v>-172.88390000000001</v>
      </c>
      <c r="K6567">
        <v>1.0920780000000001</v>
      </c>
      <c r="L6567">
        <v>138.3159</v>
      </c>
      <c r="M6567">
        <v>0.96826570000000001</v>
      </c>
      <c r="N6567">
        <v>-2.2488859999999999E-2</v>
      </c>
      <c r="O6567">
        <v>0.24890950000000001</v>
      </c>
      <c r="P6567">
        <v>0.99617319999999998</v>
      </c>
      <c r="Q6567">
        <v>1.27217999999999E-2</v>
      </c>
      <c r="R6567">
        <v>8.6472170000000001E-2</v>
      </c>
      <c r="S6567">
        <v>3.0157780000000001</v>
      </c>
      <c r="T6567">
        <v>-0.21134269999999999</v>
      </c>
      <c r="U6567">
        <v>1.107788E-2</v>
      </c>
      <c r="V6567">
        <v>0.16563839999999999</v>
      </c>
      <c r="W6567">
        <v>2.7689559999999998E-2</v>
      </c>
      <c r="X6567">
        <v>0.98579779999999995</v>
      </c>
      <c r="Y6567">
        <v>0.24435270000000001</v>
      </c>
      <c r="Z6567">
        <v>-2.2945210000000001E-2</v>
      </c>
      <c r="AA6567">
        <v>0.96941489999999997</v>
      </c>
      <c r="AB6567">
        <v>31</v>
      </c>
      <c r="AC6567">
        <v>15.377800000000001</v>
      </c>
      <c r="AD6567">
        <v>-1.092079280806</v>
      </c>
      <c r="AE6567">
        <v>1.15000000000122E-2</v>
      </c>
      <c r="AF6567">
        <v>3.7983541781626702</v>
      </c>
      <c r="AG6567">
        <v>-1.092079280806</v>
      </c>
      <c r="AH6567">
        <v>14.821674008653501</v>
      </c>
      <c r="AI6567">
        <v>94.082549009403706</v>
      </c>
      <c r="AJ6567">
        <v>75.626132302502796</v>
      </c>
      <c r="AK6567">
        <v>15.3395616637871</v>
      </c>
      <c r="AL6567">
        <v>88.413302349148594</v>
      </c>
      <c r="AM6567">
        <v>80.461986734910795</v>
      </c>
      <c r="AN6567">
        <v>1.00000004688619</v>
      </c>
    </row>
    <row r="6568" spans="1:40" x14ac:dyDescent="0.25">
      <c r="A6568" t="str">
        <f>"20190305135955225"</f>
        <v>20190305135955225</v>
      </c>
      <c r="B6568" t="str">
        <f>"1551765595216081"</f>
        <v>1551765595216081</v>
      </c>
      <c r="C6568" t="s">
        <v>40</v>
      </c>
      <c r="D6568">
        <v>4.8406900000000004</v>
      </c>
      <c r="E6568">
        <v>0.53189690000000001</v>
      </c>
      <c r="F6568" t="s">
        <v>42</v>
      </c>
      <c r="G6568">
        <v>-157.88030000000001</v>
      </c>
      <c r="H6568" s="1">
        <v>-1.1389E-6</v>
      </c>
      <c r="I6568">
        <v>138.22219999999999</v>
      </c>
      <c r="J6568">
        <v>-172.67699999999999</v>
      </c>
      <c r="K6568">
        <v>1.0919970000000001</v>
      </c>
      <c r="L6568">
        <v>138.35900000000001</v>
      </c>
      <c r="M6568">
        <v>0.97164309999999998</v>
      </c>
      <c r="N6568">
        <v>-2.2292949999999999E-2</v>
      </c>
      <c r="O6568">
        <v>0.23539940000000001</v>
      </c>
      <c r="P6568">
        <v>0.99697230000000003</v>
      </c>
      <c r="Q6568">
        <v>1.274252E-2</v>
      </c>
      <c r="R6568">
        <v>7.6707590000000006E-2</v>
      </c>
      <c r="S6568">
        <v>3.0159449999999999</v>
      </c>
      <c r="T6568">
        <v>-0.21952369999999999</v>
      </c>
      <c r="U6568">
        <v>-1.8829350000000002E-2</v>
      </c>
      <c r="V6568">
        <v>0.1615617</v>
      </c>
      <c r="W6568">
        <v>2.769433E-2</v>
      </c>
      <c r="X6568">
        <v>0.98647390000000001</v>
      </c>
      <c r="Y6568">
        <v>0.24040130000000001</v>
      </c>
      <c r="Z6568">
        <v>-2.313451E-2</v>
      </c>
      <c r="AA6568">
        <v>0.97039790000000004</v>
      </c>
      <c r="AB6568">
        <v>31</v>
      </c>
      <c r="AC6568">
        <v>14.7967</v>
      </c>
      <c r="AD6568">
        <v>-1.0919981389</v>
      </c>
      <c r="AE6568">
        <v>-0.13680000000002199</v>
      </c>
      <c r="AF6568">
        <v>3.5973624522752301</v>
      </c>
      <c r="AG6568">
        <v>-1.0919981389</v>
      </c>
      <c r="AH6568">
        <v>14.270755078632501</v>
      </c>
      <c r="AI6568">
        <v>94.243505265217493</v>
      </c>
      <c r="AJ6568">
        <v>75.851682446139606</v>
      </c>
      <c r="AK6568">
        <v>14.757639616914201</v>
      </c>
      <c r="AL6568">
        <v>88.4130288009206</v>
      </c>
      <c r="AM6568">
        <v>80.698845875888907</v>
      </c>
      <c r="AN6568">
        <v>0.99999995710112299</v>
      </c>
    </row>
    <row r="6569" spans="1:40" x14ac:dyDescent="0.25">
      <c r="A6569" t="str">
        <f>"20190305135955240"</f>
        <v>20190305135955240</v>
      </c>
      <c r="B6569" t="str">
        <f>"1551765595235601"</f>
        <v>1551765595235601</v>
      </c>
      <c r="C6569" t="s">
        <v>40</v>
      </c>
      <c r="D6569">
        <v>4.7899399999999996</v>
      </c>
      <c r="E6569">
        <v>0.53138269999999999</v>
      </c>
      <c r="F6569" t="s">
        <v>42</v>
      </c>
      <c r="G6569">
        <v>-157.9913</v>
      </c>
      <c r="H6569" s="1">
        <v>-1.107202E-6</v>
      </c>
      <c r="I6569">
        <v>138.13239999999999</v>
      </c>
      <c r="J6569">
        <v>-172.4753</v>
      </c>
      <c r="K6569">
        <v>1.091925</v>
      </c>
      <c r="L6569">
        <v>138.39830000000001</v>
      </c>
      <c r="M6569">
        <v>0.97475590000000001</v>
      </c>
      <c r="N6569">
        <v>-2.2085E-2</v>
      </c>
      <c r="O6569">
        <v>0.22217819999999999</v>
      </c>
      <c r="P6569">
        <v>0.99742410000000004</v>
      </c>
      <c r="Q6569">
        <v>1.2950690000000001E-2</v>
      </c>
      <c r="R6569">
        <v>7.0553119999999997E-2</v>
      </c>
      <c r="S6569">
        <v>3.015549</v>
      </c>
      <c r="T6569">
        <v>-0.22423009999999999</v>
      </c>
      <c r="U6569">
        <v>-4.6508790000000001E-2</v>
      </c>
      <c r="V6569">
        <v>0.1542492</v>
      </c>
      <c r="W6569">
        <v>2.8031319999999998E-2</v>
      </c>
      <c r="X6569">
        <v>0.98763420000000002</v>
      </c>
      <c r="Y6569">
        <v>0.23610200000000001</v>
      </c>
      <c r="Z6569">
        <v>-2.2845859999999999E-2</v>
      </c>
      <c r="AA6569">
        <v>0.97145970000000004</v>
      </c>
      <c r="AB6569">
        <v>31</v>
      </c>
      <c r="AC6569">
        <v>14.484</v>
      </c>
      <c r="AD6569">
        <v>-1.0919261072019999</v>
      </c>
      <c r="AE6569">
        <v>-0.26590000000001601</v>
      </c>
      <c r="AF6569">
        <v>3.4584160205641798</v>
      </c>
      <c r="AG6569">
        <v>-1.0919261072019999</v>
      </c>
      <c r="AH6569">
        <v>13.983271489079</v>
      </c>
      <c r="AI6569">
        <v>94.334957725923303</v>
      </c>
      <c r="AJ6569">
        <v>76.108084501210001</v>
      </c>
      <c r="AK6569">
        <v>14.445927645263</v>
      </c>
      <c r="AL6569">
        <v>88.393713171521199</v>
      </c>
      <c r="AM6569">
        <v>81.123228225799295</v>
      </c>
      <c r="AN6569">
        <v>0.99999994180560903</v>
      </c>
    </row>
    <row r="6570" spans="1:40" x14ac:dyDescent="0.25">
      <c r="A6570" t="str">
        <f>"20190305135955256"</f>
        <v>20190305135955256</v>
      </c>
      <c r="B6570" t="str">
        <f>"1551765595245361"</f>
        <v>1551765595245361</v>
      </c>
      <c r="C6570" t="s">
        <v>40</v>
      </c>
      <c r="D6570">
        <v>4.7685089999999999</v>
      </c>
      <c r="E6570">
        <v>0.5311186</v>
      </c>
      <c r="F6570" t="s">
        <v>42</v>
      </c>
      <c r="G6570">
        <v>-158.30850000000001</v>
      </c>
      <c r="H6570" s="1">
        <v>-9.7527660000000004E-7</v>
      </c>
      <c r="I6570">
        <v>138.10929999999999</v>
      </c>
      <c r="J6570">
        <v>-172.2518</v>
      </c>
      <c r="K6570">
        <v>1.0918600000000001</v>
      </c>
      <c r="L6570">
        <v>138.43799999999999</v>
      </c>
      <c r="M6570">
        <v>0.97799499999999995</v>
      </c>
      <c r="N6570">
        <v>-2.1841309999999999E-2</v>
      </c>
      <c r="O6570">
        <v>0.20748269999999999</v>
      </c>
      <c r="P6570">
        <v>0.99820240000000005</v>
      </c>
      <c r="Q6570">
        <v>1.324007E-2</v>
      </c>
      <c r="R6570">
        <v>5.8454319999999997E-2</v>
      </c>
      <c r="S6570">
        <v>3.0151210000000002</v>
      </c>
      <c r="T6570">
        <v>-0.23239399999999999</v>
      </c>
      <c r="U6570">
        <v>-6.1508180000000003E-2</v>
      </c>
      <c r="V6570">
        <v>0.15136260000000001</v>
      </c>
      <c r="W6570">
        <v>2.8207679999999999E-2</v>
      </c>
      <c r="X6570">
        <v>0.9880757</v>
      </c>
      <c r="Y6570">
        <v>0.22627079999999999</v>
      </c>
      <c r="Z6570">
        <v>-2.2520109999999999E-2</v>
      </c>
      <c r="AA6570">
        <v>0.97380409999999995</v>
      </c>
      <c r="AB6570">
        <v>31</v>
      </c>
      <c r="AC6570">
        <v>13.943299999999899</v>
      </c>
      <c r="AD6570">
        <v>-1.0918609752766</v>
      </c>
      <c r="AE6570">
        <v>-0.32869999999999699</v>
      </c>
      <c r="AF6570">
        <v>3.1956420864870898</v>
      </c>
      <c r="AG6570">
        <v>-1.0918609752766</v>
      </c>
      <c r="AH6570">
        <v>13.488845413185301</v>
      </c>
      <c r="AI6570">
        <v>94.503618056395098</v>
      </c>
      <c r="AJ6570">
        <v>76.671786460612594</v>
      </c>
      <c r="AK6570">
        <v>13.9051515387309</v>
      </c>
      <c r="AL6570">
        <v>88.383604502250407</v>
      </c>
      <c r="AM6570">
        <v>81.290607549723106</v>
      </c>
      <c r="AN6570">
        <v>0.99999994941011405</v>
      </c>
    </row>
    <row r="6571" spans="1:40" x14ac:dyDescent="0.25">
      <c r="A6571" t="str">
        <f>"20190305135955274"</f>
        <v>20190305135955274</v>
      </c>
      <c r="B6571" t="str">
        <f>"1551765595265857"</f>
        <v>1551765595265857</v>
      </c>
      <c r="C6571" t="s">
        <v>40</v>
      </c>
      <c r="D6571">
        <v>4.7783579999999999</v>
      </c>
      <c r="E6571">
        <v>0.53084600000000004</v>
      </c>
      <c r="F6571" t="s">
        <v>42</v>
      </c>
      <c r="G6571">
        <v>-158.29239999999999</v>
      </c>
      <c r="H6571" s="1">
        <v>-1.002754E-6</v>
      </c>
      <c r="I6571">
        <v>137.9931</v>
      </c>
      <c r="J6571">
        <v>-172.00020000000001</v>
      </c>
      <c r="K6571">
        <v>1.0918060000000001</v>
      </c>
      <c r="L6571">
        <v>138.47829999999999</v>
      </c>
      <c r="M6571">
        <v>0.98137430000000003</v>
      </c>
      <c r="N6571">
        <v>-2.1563220000000001E-2</v>
      </c>
      <c r="O6571">
        <v>0.19089149999999999</v>
      </c>
      <c r="P6571">
        <v>0.99881880000000001</v>
      </c>
      <c r="Q6571">
        <v>1.338602E-2</v>
      </c>
      <c r="R6571">
        <v>4.671281E-2</v>
      </c>
      <c r="S6571">
        <v>3.0141749999999998</v>
      </c>
      <c r="T6571">
        <v>-0.23576050000000001</v>
      </c>
      <c r="U6571">
        <v>-9.6069340000000003E-2</v>
      </c>
      <c r="V6571">
        <v>0.14624279999999901</v>
      </c>
      <c r="W6571">
        <v>2.8316350000000001E-2</v>
      </c>
      <c r="X6571">
        <v>0.98884340000000004</v>
      </c>
      <c r="Y6571">
        <v>0.22094839999999999</v>
      </c>
      <c r="Z6571">
        <v>-2.173274E-2</v>
      </c>
      <c r="AA6571">
        <v>0.9750434</v>
      </c>
      <c r="AB6571">
        <v>31</v>
      </c>
      <c r="AC6571">
        <v>13.707800000000001</v>
      </c>
      <c r="AD6571">
        <v>-1.0918070027539899</v>
      </c>
      <c r="AE6571">
        <v>-0.48519999999999103</v>
      </c>
      <c r="AF6571">
        <v>3.0741071089560998</v>
      </c>
      <c r="AG6571">
        <v>-1.0918070027539899</v>
      </c>
      <c r="AH6571">
        <v>13.2788346097248</v>
      </c>
      <c r="AI6571">
        <v>94.579789765262404</v>
      </c>
      <c r="AJ6571">
        <v>76.965403596148604</v>
      </c>
      <c r="AK6571">
        <v>13.6736836895191</v>
      </c>
      <c r="AL6571">
        <v>88.377375797622904</v>
      </c>
      <c r="AM6571">
        <v>81.587348758033201</v>
      </c>
      <c r="AN6571">
        <v>1.00000002097636</v>
      </c>
    </row>
    <row r="6572" spans="1:40" x14ac:dyDescent="0.25">
      <c r="A6572" t="str">
        <f>"20190305135955297"</f>
        <v>20190305135955297</v>
      </c>
      <c r="B6572" t="str">
        <f>"1551765595285377"</f>
        <v>1551765595285377</v>
      </c>
      <c r="C6572" t="s">
        <v>40</v>
      </c>
      <c r="D6572">
        <v>4.5896660000000002</v>
      </c>
      <c r="E6572">
        <v>0.53114259999999902</v>
      </c>
      <c r="F6572" t="s">
        <v>42</v>
      </c>
      <c r="G6572">
        <v>-158.2525</v>
      </c>
      <c r="H6572" s="1">
        <v>-1.040416E-6</v>
      </c>
      <c r="I6572">
        <v>137.88849999999999</v>
      </c>
      <c r="J6572">
        <v>-171.69030000000001</v>
      </c>
      <c r="K6572">
        <v>1.09175</v>
      </c>
      <c r="L6572">
        <v>138.52209999999999</v>
      </c>
      <c r="M6572">
        <v>0.98514740000000001</v>
      </c>
      <c r="N6572">
        <v>-2.122421E-2</v>
      </c>
      <c r="O6572">
        <v>0.17039489999999999</v>
      </c>
      <c r="P6572">
        <v>0.99946060000000003</v>
      </c>
      <c r="Q6572">
        <v>1.2788559999999999E-2</v>
      </c>
      <c r="R6572">
        <v>3.025133E-2</v>
      </c>
      <c r="S6572">
        <v>3.0127869999999999</v>
      </c>
      <c r="T6572">
        <v>-0.23926720000000001</v>
      </c>
      <c r="U6572">
        <v>-0.1292267</v>
      </c>
      <c r="V6572">
        <v>0.1418818</v>
      </c>
      <c r="W6572">
        <v>2.7591359999999999E-2</v>
      </c>
      <c r="X6572">
        <v>0.98949900000000002</v>
      </c>
      <c r="Y6572">
        <v>0.21137619999999999</v>
      </c>
      <c r="Z6572">
        <v>-2.0471570000000001E-2</v>
      </c>
      <c r="AA6572">
        <v>0.97719040000000001</v>
      </c>
      <c r="AB6572">
        <v>31</v>
      </c>
      <c r="AC6572">
        <v>13.437799999999999</v>
      </c>
      <c r="AD6572">
        <v>-1.091751040416</v>
      </c>
      <c r="AE6572">
        <v>-0.63360000000000105</v>
      </c>
      <c r="AF6572">
        <v>2.89550807047732</v>
      </c>
      <c r="AG6572">
        <v>-1.091751040416</v>
      </c>
      <c r="AH6572">
        <v>13.047277694889299</v>
      </c>
      <c r="AI6572">
        <v>94.670071395742596</v>
      </c>
      <c r="AJ6572">
        <v>77.487459300060905</v>
      </c>
      <c r="AK6572">
        <v>13.4092260241971</v>
      </c>
      <c r="AL6572">
        <v>88.418930870267801</v>
      </c>
      <c r="AM6572">
        <v>81.840119689436193</v>
      </c>
      <c r="AN6572">
        <v>0.99999999965944397</v>
      </c>
    </row>
    <row r="6573" spans="1:40" x14ac:dyDescent="0.25">
      <c r="A6573" t="str">
        <f>"20190305135955321"</f>
        <v>20190305135955321</v>
      </c>
      <c r="B6573" t="str">
        <f>"1551765595315633"</f>
        <v>1551765595315633</v>
      </c>
      <c r="C6573" t="s">
        <v>40</v>
      </c>
      <c r="D6573">
        <v>4.5757500000000002</v>
      </c>
      <c r="E6573">
        <v>0.53126569999999995</v>
      </c>
      <c r="F6573" t="s">
        <v>42</v>
      </c>
      <c r="G6573">
        <v>-157.82169999999999</v>
      </c>
      <c r="H6573" s="1">
        <v>-1.2584939999999999E-6</v>
      </c>
      <c r="I6573">
        <v>137.68989999999999</v>
      </c>
      <c r="J6573">
        <v>-171.3767</v>
      </c>
      <c r="K6573">
        <v>1.0917250000000001</v>
      </c>
      <c r="L6573">
        <v>138.55959999999999</v>
      </c>
      <c r="M6573">
        <v>0.98852320000000005</v>
      </c>
      <c r="N6573">
        <v>-2.0890019999999999E-2</v>
      </c>
      <c r="O6573">
        <v>0.14961820000000001</v>
      </c>
      <c r="P6573">
        <v>0.99985400000000002</v>
      </c>
      <c r="Q6573">
        <v>1.06056E-2</v>
      </c>
      <c r="R6573">
        <v>1.3408679999999999E-2</v>
      </c>
      <c r="S6573">
        <v>3.0101170000000002</v>
      </c>
      <c r="T6573">
        <v>-0.236959</v>
      </c>
      <c r="U6573">
        <v>-0.18061830000000001</v>
      </c>
      <c r="V6573">
        <v>0.1376125</v>
      </c>
      <c r="W6573">
        <v>2.5286659999999999E-2</v>
      </c>
      <c r="X6573">
        <v>0.99016329999999997</v>
      </c>
      <c r="Y6573">
        <v>0.20754549999999999</v>
      </c>
      <c r="Z6573">
        <v>-1.8927759999999998E-2</v>
      </c>
      <c r="AA6573">
        <v>0.97804219999999997</v>
      </c>
      <c r="AB6573">
        <v>31</v>
      </c>
      <c r="AC6573">
        <v>13.555</v>
      </c>
      <c r="AD6573">
        <v>-1.091726258494</v>
      </c>
      <c r="AE6573">
        <v>-0.86969999999999403</v>
      </c>
      <c r="AF6573">
        <v>2.8698835223299199</v>
      </c>
      <c r="AG6573">
        <v>-1.091726258494</v>
      </c>
      <c r="AH6573">
        <v>13.187014098566999</v>
      </c>
      <c r="AI6573">
        <v>94.624840217101607</v>
      </c>
      <c r="AJ6573">
        <v>77.722194192248693</v>
      </c>
      <c r="AK6573">
        <v>13.539772468214901</v>
      </c>
      <c r="AL6573">
        <v>88.551026642716494</v>
      </c>
      <c r="AM6573">
        <v>82.0877383208243</v>
      </c>
      <c r="AN6573">
        <v>0.99999998799854695</v>
      </c>
    </row>
    <row r="6574" spans="1:40" x14ac:dyDescent="0.25">
      <c r="A6574" t="str">
        <f>"20190305135955341"</f>
        <v>20190305135955341</v>
      </c>
      <c r="B6574" t="str">
        <f>"1551765595335153"</f>
        <v>1551765595335153</v>
      </c>
      <c r="C6574" t="s">
        <v>40</v>
      </c>
      <c r="D6574">
        <v>4.605213</v>
      </c>
      <c r="E6574">
        <v>0.53130580000000005</v>
      </c>
      <c r="F6574" t="s">
        <v>42</v>
      </c>
      <c r="G6574">
        <v>-157.69710000000001</v>
      </c>
      <c r="H6574" s="1">
        <v>-1.3447630000000001E-6</v>
      </c>
      <c r="I6574">
        <v>137.50489999999999</v>
      </c>
      <c r="J6574">
        <v>-171.06729999999999</v>
      </c>
      <c r="K6574">
        <v>1.0917349999999999</v>
      </c>
      <c r="L6574">
        <v>138.58940000000001</v>
      </c>
      <c r="M6574">
        <v>0.99141539999999995</v>
      </c>
      <c r="N6574">
        <v>-2.0569029999999999E-2</v>
      </c>
      <c r="O6574">
        <v>0.1291223</v>
      </c>
      <c r="P6574">
        <v>0.99996280000000004</v>
      </c>
      <c r="Q6574">
        <v>8.0428530000000008E-3</v>
      </c>
      <c r="R6574">
        <v>-3.1741619999999999E-3</v>
      </c>
      <c r="S6574">
        <v>3.0060730000000002</v>
      </c>
      <c r="T6574">
        <v>-0.23990439999999999</v>
      </c>
      <c r="U6574">
        <v>-0.2317505</v>
      </c>
      <c r="V6574">
        <v>0.13340829999999901</v>
      </c>
      <c r="W6574">
        <v>2.2619529999999999E-2</v>
      </c>
      <c r="X6574">
        <v>0.99080299999999999</v>
      </c>
      <c r="Y6574">
        <v>0.20395279999999999</v>
      </c>
      <c r="Z6574">
        <v>-1.7831530000000002E-2</v>
      </c>
      <c r="AA6574">
        <v>0.97881830000000003</v>
      </c>
      <c r="AB6574">
        <v>31</v>
      </c>
      <c r="AC6574">
        <v>13.370199999999899</v>
      </c>
      <c r="AD6574">
        <v>-1.091736344763</v>
      </c>
      <c r="AE6574">
        <v>-1.08450000000001</v>
      </c>
      <c r="AF6574">
        <v>2.7837345181136901</v>
      </c>
      <c r="AG6574">
        <v>-1.091736344763</v>
      </c>
      <c r="AH6574">
        <v>13.0318422029319</v>
      </c>
      <c r="AI6574">
        <v>94.683568514272594</v>
      </c>
      <c r="AJ6574">
        <v>77.942252537036197</v>
      </c>
      <c r="AK6574">
        <v>13.3704890455036</v>
      </c>
      <c r="AL6574">
        <v>88.703885857344204</v>
      </c>
      <c r="AM6574">
        <v>82.331436525486893</v>
      </c>
      <c r="AN6574">
        <v>1.00000000122765</v>
      </c>
    </row>
    <row r="6575" spans="1:40" x14ac:dyDescent="0.25">
      <c r="A6575" t="str">
        <f>"20190305135955364"</f>
        <v>20190305135955364</v>
      </c>
      <c r="B6575" t="str">
        <f>"1551765595355649"</f>
        <v>1551765595355649</v>
      </c>
      <c r="C6575" t="s">
        <v>40</v>
      </c>
      <c r="D6575">
        <v>4.5705689999999999</v>
      </c>
      <c r="E6575">
        <v>0.53120579999999995</v>
      </c>
      <c r="F6575" t="s">
        <v>42</v>
      </c>
      <c r="G6575">
        <v>-157.57839999999999</v>
      </c>
      <c r="H6575" s="1">
        <v>-1.4278689999999999E-6</v>
      </c>
      <c r="I6575">
        <v>137.32339999999999</v>
      </c>
      <c r="J6575">
        <v>-170.74029999999999</v>
      </c>
      <c r="K6575">
        <v>1.0917779999999999</v>
      </c>
      <c r="L6575">
        <v>138.6138</v>
      </c>
      <c r="M6575">
        <v>0.99400160000000004</v>
      </c>
      <c r="N6575">
        <v>-2.023933E-2</v>
      </c>
      <c r="O6575">
        <v>0.1074761</v>
      </c>
      <c r="P6575">
        <v>0.99976129999999996</v>
      </c>
      <c r="Q6575">
        <v>6.6071189999999998E-3</v>
      </c>
      <c r="R6575">
        <v>-2.081879E-2</v>
      </c>
      <c r="S6575">
        <v>3.0011899999999998</v>
      </c>
      <c r="T6575">
        <v>-0.2429036</v>
      </c>
      <c r="U6575">
        <v>-0.28167720000000002</v>
      </c>
      <c r="V6575">
        <v>0.12920980000000001</v>
      </c>
      <c r="W6575">
        <v>2.1076859999999999E-2</v>
      </c>
      <c r="X6575">
        <v>0.99139330000000003</v>
      </c>
      <c r="Y6575">
        <v>0.1989263</v>
      </c>
      <c r="Z6575">
        <v>-1.6536550000000001E-2</v>
      </c>
      <c r="AA6575">
        <v>0.97987489999999999</v>
      </c>
      <c r="AB6575">
        <v>31</v>
      </c>
      <c r="AC6575">
        <v>13.161899999999999</v>
      </c>
      <c r="AD6575">
        <v>-1.0917794278690001</v>
      </c>
      <c r="AE6575">
        <v>-1.2904</v>
      </c>
      <c r="AF6575">
        <v>2.6795404708364798</v>
      </c>
      <c r="AG6575">
        <v>-1.0917794278690001</v>
      </c>
      <c r="AH6575">
        <v>12.859276541913999</v>
      </c>
      <c r="AI6575">
        <v>94.751320852996699</v>
      </c>
      <c r="AJ6575">
        <v>78.229471230871397</v>
      </c>
      <c r="AK6575">
        <v>13.1807781498434</v>
      </c>
      <c r="AL6575">
        <v>88.792295497471002</v>
      </c>
      <c r="AM6575">
        <v>82.5744093984393</v>
      </c>
      <c r="AN6575">
        <v>1.00000004086419</v>
      </c>
    </row>
    <row r="6576" spans="1:40" x14ac:dyDescent="0.25">
      <c r="A6576" t="str">
        <f>"20190305135955384"</f>
        <v>20190305135955384</v>
      </c>
      <c r="B6576" t="str">
        <f>"1551765595375170"</f>
        <v>1551765595375170</v>
      </c>
      <c r="C6576" t="s">
        <v>40</v>
      </c>
      <c r="D6576">
        <v>4.6234019999999996</v>
      </c>
      <c r="E6576">
        <v>0.53098330000000005</v>
      </c>
      <c r="F6576" t="s">
        <v>42</v>
      </c>
      <c r="G6576">
        <v>-157.32599999999999</v>
      </c>
      <c r="H6576" s="1">
        <v>-1.572806E-6</v>
      </c>
      <c r="I6576">
        <v>137.11660000000001</v>
      </c>
      <c r="J6576">
        <v>-170.44409999999999</v>
      </c>
      <c r="K6576">
        <v>1.091853</v>
      </c>
      <c r="L6576">
        <v>138.62979999999999</v>
      </c>
      <c r="M6576">
        <v>0.99592800000000004</v>
      </c>
      <c r="N6576">
        <v>-1.9951340000000001E-2</v>
      </c>
      <c r="O6576">
        <v>8.7916430000000004E-2</v>
      </c>
      <c r="P6576">
        <v>0.99934040000000002</v>
      </c>
      <c r="Q6576">
        <v>5.6764859999999997E-3</v>
      </c>
      <c r="R6576">
        <v>-3.5868690000000002E-2</v>
      </c>
      <c r="S6576">
        <v>2.9953460000000001</v>
      </c>
      <c r="T6576">
        <v>-0.24378849999999999</v>
      </c>
      <c r="U6576">
        <v>-0.33430480000000001</v>
      </c>
      <c r="V6576">
        <v>0.1245918</v>
      </c>
      <c r="W6576">
        <v>2.0103349999999999E-2</v>
      </c>
      <c r="X6576">
        <v>0.99200440000000001</v>
      </c>
      <c r="Y6576">
        <v>0.19691330000000001</v>
      </c>
      <c r="Z6576">
        <v>-1.532727E-2</v>
      </c>
      <c r="AA6576">
        <v>0.98030110000000004</v>
      </c>
      <c r="AB6576">
        <v>31</v>
      </c>
      <c r="AC6576">
        <v>13.118099999999901</v>
      </c>
      <c r="AD6576">
        <v>-1.0918545728060001</v>
      </c>
      <c r="AE6576">
        <v>-1.5131999999999799</v>
      </c>
      <c r="AF6576">
        <v>2.6427964655438601</v>
      </c>
      <c r="AG6576">
        <v>-1.0918545728060001</v>
      </c>
      <c r="AH6576">
        <v>12.846395835043401</v>
      </c>
      <c r="AI6576">
        <v>94.758881728732007</v>
      </c>
      <c r="AJ6576">
        <v>78.375136487613901</v>
      </c>
      <c r="AK6576">
        <v>13.1607904594317</v>
      </c>
      <c r="AL6576">
        <v>88.848085286779494</v>
      </c>
      <c r="AM6576">
        <v>82.841362320401302</v>
      </c>
      <c r="AN6576">
        <v>0.99999999546391105</v>
      </c>
    </row>
    <row r="6577" spans="1:40" x14ac:dyDescent="0.25">
      <c r="A6577" t="str">
        <f>"20190305135955407"</f>
        <v>20190305135955407</v>
      </c>
      <c r="B6577" t="str">
        <f>"1551765595395665"</f>
        <v>1551765595395665</v>
      </c>
      <c r="C6577" t="s">
        <v>40</v>
      </c>
      <c r="D6577">
        <v>4.6066079999999996</v>
      </c>
      <c r="E6577">
        <v>0.53086069999999996</v>
      </c>
      <c r="F6577" t="s">
        <v>42</v>
      </c>
      <c r="G6577">
        <v>-156.9665</v>
      </c>
      <c r="H6577" s="1">
        <v>-1.7608379999999999E-6</v>
      </c>
      <c r="I6577">
        <v>136.92619999999999</v>
      </c>
      <c r="J6577">
        <v>-170.1283</v>
      </c>
      <c r="K6577">
        <v>1.091968</v>
      </c>
      <c r="L6577">
        <v>138.6404</v>
      </c>
      <c r="M6577">
        <v>0.99754540000000003</v>
      </c>
      <c r="N6577">
        <v>-1.9653E-2</v>
      </c>
      <c r="O6577">
        <v>6.7208710000000005E-2</v>
      </c>
      <c r="P6577">
        <v>0.99867159999999999</v>
      </c>
      <c r="Q6577">
        <v>3.9455779999999999E-3</v>
      </c>
      <c r="R6577">
        <v>-5.1377449999999998E-2</v>
      </c>
      <c r="S6577">
        <v>2.989792</v>
      </c>
      <c r="T6577">
        <v>-0.2422105</v>
      </c>
      <c r="U6577">
        <v>-0.37791439999999998</v>
      </c>
      <c r="V6577">
        <v>0.1192907</v>
      </c>
      <c r="W6577">
        <v>1.8360370000000001E-2</v>
      </c>
      <c r="X6577">
        <v>0.99268959999999995</v>
      </c>
      <c r="Y6577">
        <v>0.19091810000000001</v>
      </c>
      <c r="Z6577">
        <v>-1.36813E-2</v>
      </c>
      <c r="AA6577">
        <v>0.98151060000000001</v>
      </c>
      <c r="AB6577">
        <v>31</v>
      </c>
      <c r="AC6577">
        <v>13.161799999999999</v>
      </c>
      <c r="AD6577">
        <v>-1.0919697608379999</v>
      </c>
      <c r="AE6577">
        <v>-1.7141999999999999</v>
      </c>
      <c r="AF6577">
        <v>2.5776345881465401</v>
      </c>
      <c r="AG6577">
        <v>-1.0919697608379999</v>
      </c>
      <c r="AH6577">
        <v>12.9292869132671</v>
      </c>
      <c r="AI6577">
        <v>94.734834962026795</v>
      </c>
      <c r="AJ6577">
        <v>78.725109391804807</v>
      </c>
      <c r="AK6577">
        <v>13.2288721406692</v>
      </c>
      <c r="AL6577">
        <v>88.947969184441803</v>
      </c>
      <c r="AM6577">
        <v>83.147670809176006</v>
      </c>
      <c r="AN6577">
        <v>1.00000000812059</v>
      </c>
    </row>
    <row r="6578" spans="1:40" x14ac:dyDescent="0.25">
      <c r="A6578" t="str">
        <f>"20190305135955429"</f>
        <v>20190305135955429</v>
      </c>
      <c r="B6578" t="str">
        <f>"1551765595425924"</f>
        <v>1551765595425924</v>
      </c>
      <c r="C6578" t="s">
        <v>40</v>
      </c>
      <c r="D6578">
        <v>4.6326019999999897</v>
      </c>
      <c r="E6578">
        <v>0.53048309999999999</v>
      </c>
      <c r="F6578" t="s">
        <v>42</v>
      </c>
      <c r="G6578">
        <v>-156.80029999999999</v>
      </c>
      <c r="H6578" s="1">
        <v>-1.863835E-6</v>
      </c>
      <c r="I6578">
        <v>136.7474</v>
      </c>
      <c r="J6578">
        <v>-169.81049999999999</v>
      </c>
      <c r="K6578">
        <v>1.0921339999999999</v>
      </c>
      <c r="L6578">
        <v>138.6446</v>
      </c>
      <c r="M6578">
        <v>0.99872680000000003</v>
      </c>
      <c r="N6578">
        <v>-1.9353990000000001E-2</v>
      </c>
      <c r="O6578">
        <v>4.6585809999999998E-2</v>
      </c>
      <c r="P6578">
        <v>0.9978281</v>
      </c>
      <c r="Q6578">
        <v>2.7678199999999998E-3</v>
      </c>
      <c r="R6578">
        <v>-6.5815910000000005E-2</v>
      </c>
      <c r="S6578">
        <v>2.9831539999999999</v>
      </c>
      <c r="T6578">
        <v>-0.24441060000000001</v>
      </c>
      <c r="U6578">
        <v>-0.42369079999999898</v>
      </c>
      <c r="V6578">
        <v>0.11306919999999999</v>
      </c>
      <c r="W6578">
        <v>1.7221859999999999E-2</v>
      </c>
      <c r="X6578">
        <v>0.99343780000000004</v>
      </c>
      <c r="Y6578">
        <v>0.1857481</v>
      </c>
      <c r="Z6578">
        <v>-1.2267E-2</v>
      </c>
      <c r="AA6578">
        <v>0.98252079999999997</v>
      </c>
      <c r="AB6578">
        <v>31</v>
      </c>
      <c r="AC6578">
        <v>13.0101999999999</v>
      </c>
      <c r="AD6578">
        <v>-1.0921358638349901</v>
      </c>
      <c r="AE6578">
        <v>-1.89719999999999</v>
      </c>
      <c r="AF6578">
        <v>2.48420274229237</v>
      </c>
      <c r="AG6578">
        <v>-1.0921358638349901</v>
      </c>
      <c r="AH6578">
        <v>12.819218071106301</v>
      </c>
      <c r="AI6578">
        <v>94.781045287170997</v>
      </c>
      <c r="AJ6578">
        <v>79.032738849559493</v>
      </c>
      <c r="AK6578">
        <v>13.1032963777999</v>
      </c>
      <c r="AL6578">
        <v>89.013211273643705</v>
      </c>
      <c r="AM6578">
        <v>83.506760574267503</v>
      </c>
      <c r="AN6578">
        <v>0.99999994945966797</v>
      </c>
    </row>
    <row r="6579" spans="1:40" x14ac:dyDescent="0.25">
      <c r="A6579" t="str">
        <f>"20190305135955453"</f>
        <v>20190305135955453</v>
      </c>
      <c r="B6579" t="str">
        <f>"1551765595445442"</f>
        <v>1551765595445442</v>
      </c>
      <c r="C6579" t="s">
        <v>40</v>
      </c>
      <c r="D6579">
        <v>4.6184269999999996</v>
      </c>
      <c r="E6579">
        <v>0.53027190000000002</v>
      </c>
      <c r="F6579" t="s">
        <v>42</v>
      </c>
      <c r="G6579">
        <v>-156.53210000000001</v>
      </c>
      <c r="H6579" s="1">
        <v>-2.0090819999999999E-6</v>
      </c>
      <c r="I6579">
        <v>136.57730000000001</v>
      </c>
      <c r="J6579">
        <v>-169.4881</v>
      </c>
      <c r="K6579">
        <v>1.092374</v>
      </c>
      <c r="L6579">
        <v>138.64240000000001</v>
      </c>
      <c r="M6579">
        <v>0.99948079999999995</v>
      </c>
      <c r="N6579">
        <v>-1.9047069999999999E-2</v>
      </c>
      <c r="O6579">
        <v>2.5988549999999999E-2</v>
      </c>
      <c r="P6579">
        <v>0.99724259999999998</v>
      </c>
      <c r="Q6579">
        <v>1.532041E-3</v>
      </c>
      <c r="R6579">
        <v>-7.4198280000000005E-2</v>
      </c>
      <c r="S6579">
        <v>2.9766240000000002</v>
      </c>
      <c r="T6579">
        <v>-0.24482370000000001</v>
      </c>
      <c r="U6579">
        <v>-0.46342470000000002</v>
      </c>
      <c r="V6579">
        <v>0.1008619</v>
      </c>
      <c r="W6579">
        <v>1.6289769999999999E-2</v>
      </c>
      <c r="X6579">
        <v>0.99476710000000002</v>
      </c>
      <c r="Y6579">
        <v>0.17868680000000001</v>
      </c>
      <c r="Z6579">
        <v>-1.0638679999999999E-2</v>
      </c>
      <c r="AA6579">
        <v>0.98384850000000001</v>
      </c>
      <c r="AB6579">
        <v>31</v>
      </c>
      <c r="AC6579">
        <v>12.9559999999999</v>
      </c>
      <c r="AD6579">
        <v>-1.0923760090820001</v>
      </c>
      <c r="AE6579">
        <v>-2.0651000000000002</v>
      </c>
      <c r="AF6579">
        <v>2.3846388360894299</v>
      </c>
      <c r="AG6579">
        <v>-1.0923760090820001</v>
      </c>
      <c r="AH6579">
        <v>12.8091409470131</v>
      </c>
      <c r="AI6579">
        <v>94.792496941750301</v>
      </c>
      <c r="AJ6579">
        <v>79.454146088747095</v>
      </c>
      <c r="AK6579">
        <v>13.074933251235</v>
      </c>
      <c r="AL6579">
        <v>89.066623676333805</v>
      </c>
      <c r="AM6579">
        <v>84.210424695310493</v>
      </c>
      <c r="AN6579">
        <v>1.0000000313603301</v>
      </c>
    </row>
    <row r="6580" spans="1:40" x14ac:dyDescent="0.25">
      <c r="A6580" t="str">
        <f>"20190305135955474"</f>
        <v>20190305135955474</v>
      </c>
      <c r="B6580" t="str">
        <f>"1551765595465937"</f>
        <v>1551765595465937</v>
      </c>
      <c r="C6580" t="s">
        <v>40</v>
      </c>
      <c r="D6580">
        <v>4.6591959999999997</v>
      </c>
      <c r="E6580">
        <v>0.52985019999999905</v>
      </c>
      <c r="F6580" t="s">
        <v>41</v>
      </c>
      <c r="G6580">
        <v>-168.67930000000001</v>
      </c>
      <c r="H6580">
        <v>1.024929</v>
      </c>
      <c r="I6580">
        <v>138.51009999999999</v>
      </c>
      <c r="J6580">
        <v>-169.18430000000001</v>
      </c>
      <c r="K6580">
        <v>1.0926990000000001</v>
      </c>
      <c r="L6580">
        <v>138.6344</v>
      </c>
      <c r="M6580">
        <v>0.99979969999999996</v>
      </c>
      <c r="N6580">
        <v>-1.8753289999999999E-2</v>
      </c>
      <c r="O6580">
        <v>7.01156E-3</v>
      </c>
      <c r="P6580">
        <v>0.99621369999999998</v>
      </c>
      <c r="Q6580">
        <v>2.789583E-3</v>
      </c>
      <c r="R6580">
        <v>-8.6895089999999994E-2</v>
      </c>
      <c r="S6580">
        <v>2.9725039999999998</v>
      </c>
      <c r="T6580">
        <v>-0.2477394</v>
      </c>
      <c r="U6580">
        <v>-0.48614499999999999</v>
      </c>
      <c r="V6580">
        <v>9.4678129999999999E-2</v>
      </c>
      <c r="W6580">
        <v>1.760279E-2</v>
      </c>
      <c r="X6580">
        <v>0.99535229999999997</v>
      </c>
      <c r="Y6580">
        <v>0.16760890000000001</v>
      </c>
      <c r="Z6580">
        <v>-8.9612579999999997E-3</v>
      </c>
      <c r="AA6580">
        <v>0.98581280000000004</v>
      </c>
      <c r="AB6580">
        <v>31</v>
      </c>
      <c r="AC6580">
        <v>0.50499999999999501</v>
      </c>
      <c r="AD6580">
        <v>-6.7770000000000094E-2</v>
      </c>
      <c r="AE6580">
        <v>-0.124300000000005</v>
      </c>
      <c r="AF6580">
        <v>0.12570390519944299</v>
      </c>
      <c r="AG6580">
        <v>-6.7770000000000094E-2</v>
      </c>
      <c r="AH6580">
        <v>0.49569874572358902</v>
      </c>
      <c r="AI6580">
        <v>97.548932134061999</v>
      </c>
      <c r="AJ6580">
        <v>75.770365224710204</v>
      </c>
      <c r="AK6580">
        <v>0.51585995308254995</v>
      </c>
      <c r="AL6580">
        <v>88.991382336541704</v>
      </c>
      <c r="AM6580">
        <v>84.566361075119204</v>
      </c>
      <c r="AN6580">
        <v>1.00000000381568</v>
      </c>
    </row>
    <row r="6581" spans="1:40" x14ac:dyDescent="0.25">
      <c r="A6581" t="str">
        <f>"20190305135955520"</f>
        <v>20190305135955520</v>
      </c>
      <c r="B6581" t="str">
        <f>"1551765595515713"</f>
        <v>1551765595515713</v>
      </c>
      <c r="C6581" t="s">
        <v>40</v>
      </c>
      <c r="D6581">
        <v>4.6659899999999999</v>
      </c>
      <c r="E6581">
        <v>0.52893259999999998</v>
      </c>
      <c r="F6581" t="s">
        <v>41</v>
      </c>
      <c r="G6581">
        <v>-168.4</v>
      </c>
      <c r="H6581">
        <v>1.028748</v>
      </c>
      <c r="I6581">
        <v>138.49690000000001</v>
      </c>
      <c r="J6581">
        <v>-168.554</v>
      </c>
      <c r="K6581">
        <v>1.093647</v>
      </c>
      <c r="L6581">
        <v>138.60079999999999</v>
      </c>
      <c r="M6581">
        <v>0.99936769999999997</v>
      </c>
      <c r="N6581">
        <v>-1.8129869999999999E-2</v>
      </c>
      <c r="O6581">
        <v>-3.0583519999999999E-2</v>
      </c>
      <c r="P6581">
        <v>0.99318450000000003</v>
      </c>
      <c r="Q6581">
        <v>3.254678E-3</v>
      </c>
      <c r="R6581">
        <v>-0.11650720000000001</v>
      </c>
      <c r="S6581">
        <v>2.9667050000000001</v>
      </c>
      <c r="T6581">
        <v>-0.2416432</v>
      </c>
      <c r="U6581">
        <v>-0.52001949999999997</v>
      </c>
      <c r="V6581">
        <v>8.6830459999999998E-2</v>
      </c>
      <c r="W6581">
        <v>1.7982769999999999E-2</v>
      </c>
      <c r="X6581">
        <v>0.99606079999999997</v>
      </c>
      <c r="Y6581">
        <v>0.14194229999999899</v>
      </c>
      <c r="Z6581">
        <v>-5.1105530000000003E-3</v>
      </c>
      <c r="AA6581">
        <v>0.98986169999999996</v>
      </c>
      <c r="AB6581">
        <v>30</v>
      </c>
      <c r="AC6581">
        <v>0.153999999999996</v>
      </c>
      <c r="AD6581">
        <v>-6.4898999999999998E-2</v>
      </c>
      <c r="AE6581">
        <v>-0.10389999999998099</v>
      </c>
      <c r="AF6581">
        <v>8.8357283288142699E-2</v>
      </c>
      <c r="AG6581">
        <v>-6.4898999999999998E-2</v>
      </c>
      <c r="AH6581">
        <v>0.14001778155734601</v>
      </c>
      <c r="AI6581">
        <v>111.404357584321</v>
      </c>
      <c r="AJ6581">
        <v>57.746299917747599</v>
      </c>
      <c r="AK6581">
        <v>0.17783101209660199</v>
      </c>
      <c r="AL6581">
        <v>88.969607648686306</v>
      </c>
      <c r="AM6581">
        <v>85.017900661538206</v>
      </c>
      <c r="AN6581">
        <v>1.0000000130486599</v>
      </c>
    </row>
    <row r="6582" spans="1:40" x14ac:dyDescent="0.25">
      <c r="A6582" t="str">
        <f>"20190305135955543"</f>
        <v>20190305135955543</v>
      </c>
      <c r="B6582" t="str">
        <f>"1551765595535234"</f>
        <v>1551765595535234</v>
      </c>
      <c r="C6582" t="s">
        <v>40</v>
      </c>
      <c r="D6582">
        <v>4.7087519999999996</v>
      </c>
      <c r="E6582">
        <v>0.52846729999999997</v>
      </c>
      <c r="F6582" t="s">
        <v>41</v>
      </c>
      <c r="G6582">
        <v>-167.583</v>
      </c>
      <c r="H6582">
        <v>1.0155510000000001</v>
      </c>
      <c r="I6582">
        <v>138.40369999999999</v>
      </c>
      <c r="J6582">
        <v>-168.24529999999999</v>
      </c>
      <c r="K6582">
        <v>1.0942379999999901</v>
      </c>
      <c r="L6582">
        <v>138.5762</v>
      </c>
      <c r="M6582">
        <v>0.99869330000000001</v>
      </c>
      <c r="N6582">
        <v>-1.782452E-2</v>
      </c>
      <c r="O6582">
        <v>-4.7894190000000003E-2</v>
      </c>
      <c r="P6582">
        <v>0.99122619999999895</v>
      </c>
      <c r="Q6582">
        <v>5.2251069999999997E-3</v>
      </c>
      <c r="R6582">
        <v>-0.13207430000000001</v>
      </c>
      <c r="S6582">
        <v>2.9511259999999999</v>
      </c>
      <c r="T6582">
        <v>-0.2371886</v>
      </c>
      <c r="U6582">
        <v>-0.59875489999999998</v>
      </c>
      <c r="V6582">
        <v>8.523646E-2</v>
      </c>
      <c r="W6582">
        <v>1.9833050000000001E-2</v>
      </c>
      <c r="X6582">
        <v>0.99616340000000003</v>
      </c>
      <c r="Y6582">
        <v>0.15118010000000001</v>
      </c>
      <c r="Z6582">
        <v>-4.4147689999999998E-3</v>
      </c>
      <c r="AA6582">
        <v>0.98849640000000005</v>
      </c>
      <c r="AB6582">
        <v>30</v>
      </c>
      <c r="AC6582">
        <v>0.66229999999998701</v>
      </c>
      <c r="AD6582">
        <v>-7.8686999999999702E-2</v>
      </c>
      <c r="AE6582">
        <v>-0.172500000000013</v>
      </c>
      <c r="AF6582">
        <v>0.13874260638941199</v>
      </c>
      <c r="AG6582">
        <v>-7.8686999999999702E-2</v>
      </c>
      <c r="AH6582">
        <v>0.66106430999138599</v>
      </c>
      <c r="AI6582">
        <v>96.644594244074199</v>
      </c>
      <c r="AJ6582">
        <v>78.146936545281505</v>
      </c>
      <c r="AK6582">
        <v>0.68003468789548904</v>
      </c>
      <c r="AL6582">
        <v>88.863575499921595</v>
      </c>
      <c r="AM6582">
        <v>85.109413633109696</v>
      </c>
      <c r="AN6582">
        <v>1.0000000617425899</v>
      </c>
    </row>
    <row r="6583" spans="1:40" x14ac:dyDescent="0.25">
      <c r="A6583" t="str">
        <f>"20190305135955564"</f>
        <v>20190305135955564</v>
      </c>
      <c r="B6583" t="str">
        <f>"1551765595555734"</f>
        <v>1551765595555734</v>
      </c>
      <c r="C6583" t="s">
        <v>40</v>
      </c>
      <c r="D6583">
        <v>4.528918</v>
      </c>
      <c r="E6583">
        <v>0.52821219999999902</v>
      </c>
      <c r="F6583" t="s">
        <v>41</v>
      </c>
      <c r="G6583">
        <v>-167.30609999999999</v>
      </c>
      <c r="H6583">
        <v>1.0207440000000001</v>
      </c>
      <c r="I6583">
        <v>138.3717</v>
      </c>
      <c r="J6583">
        <v>-167.9401</v>
      </c>
      <c r="K6583">
        <v>1.0948119999999999</v>
      </c>
      <c r="L6583">
        <v>138.5472</v>
      </c>
      <c r="M6583">
        <v>0.99777360000000004</v>
      </c>
      <c r="N6583">
        <v>-1.7535660000000002E-2</v>
      </c>
      <c r="O6583">
        <v>-6.4346449999999999E-2</v>
      </c>
      <c r="P6583">
        <v>0.98919380000000001</v>
      </c>
      <c r="Q6583">
        <v>6.6025559999999999E-3</v>
      </c>
      <c r="R6583">
        <v>-0.14646619999999999</v>
      </c>
      <c r="S6583">
        <v>2.9424130000000002</v>
      </c>
      <c r="T6583">
        <v>-0.2302043</v>
      </c>
      <c r="U6583">
        <v>-0.64068599999999998</v>
      </c>
      <c r="V6583">
        <v>8.3309850000000005E-2</v>
      </c>
      <c r="W6583">
        <v>2.1111649999999999E-2</v>
      </c>
      <c r="X6583">
        <v>0.99629999999999996</v>
      </c>
      <c r="Y6583">
        <v>0.14901010000000001</v>
      </c>
      <c r="Z6583">
        <v>-3.2363019999999999E-3</v>
      </c>
      <c r="AA6583">
        <v>0.9888304</v>
      </c>
      <c r="AB6583">
        <v>30</v>
      </c>
      <c r="AC6583">
        <v>0.634000000000014</v>
      </c>
      <c r="AD6583">
        <v>-7.4067999999999995E-2</v>
      </c>
      <c r="AE6583">
        <v>-0.17549999999999899</v>
      </c>
      <c r="AF6583">
        <v>0.13265262205519501</v>
      </c>
      <c r="AG6583">
        <v>-7.4067999999999995E-2</v>
      </c>
      <c r="AH6583">
        <v>0.63591867750536002</v>
      </c>
      <c r="AI6583">
        <v>96.504756508875502</v>
      </c>
      <c r="AJ6583">
        <v>78.217069748944994</v>
      </c>
      <c r="AK6583">
        <v>0.65381599182207595</v>
      </c>
      <c r="AL6583">
        <v>88.790301637655702</v>
      </c>
      <c r="AM6583">
        <v>85.220090355554603</v>
      </c>
      <c r="AN6583">
        <v>0.99999996143637104</v>
      </c>
    </row>
    <row r="6584" spans="1:40" x14ac:dyDescent="0.25">
      <c r="A6584" t="str">
        <f>"20190305135955585"</f>
        <v>20190305135955585</v>
      </c>
      <c r="B6584" t="str">
        <f>"1551765595576230"</f>
        <v>1551765595576230</v>
      </c>
      <c r="C6584" t="s">
        <v>40</v>
      </c>
      <c r="D6584">
        <v>4.7608680000000003</v>
      </c>
      <c r="E6584">
        <v>0.50813599999999903</v>
      </c>
      <c r="F6584" t="s">
        <v>41</v>
      </c>
      <c r="G6584">
        <v>-167.03030000000001</v>
      </c>
      <c r="H6584">
        <v>1.0243</v>
      </c>
      <c r="I6584">
        <v>138.33580000000001</v>
      </c>
      <c r="J6584">
        <v>-167.6404</v>
      </c>
      <c r="K6584">
        <v>1.095378</v>
      </c>
      <c r="L6584">
        <v>138.51429999999999</v>
      </c>
      <c r="M6584">
        <v>0.99666189999999999</v>
      </c>
      <c r="N6584">
        <v>-1.7270549999999999E-2</v>
      </c>
      <c r="O6584">
        <v>-7.9792539999999995E-2</v>
      </c>
      <c r="P6584">
        <v>0.98710180000000003</v>
      </c>
      <c r="Q6584">
        <v>5.5724529999999998E-3</v>
      </c>
      <c r="R6584">
        <v>-0.1599969</v>
      </c>
      <c r="S6584">
        <v>2.933395</v>
      </c>
      <c r="T6584">
        <v>-0.22703209999999999</v>
      </c>
      <c r="U6584">
        <v>-0.68141169999999995</v>
      </c>
      <c r="V6584">
        <v>8.1447759999999994E-2</v>
      </c>
      <c r="W6584">
        <v>1.9994660000000001E-2</v>
      </c>
      <c r="X6584">
        <v>0.99647699999999995</v>
      </c>
      <c r="Y6584">
        <v>0.1474348</v>
      </c>
      <c r="Z6584">
        <v>-2.210385E-3</v>
      </c>
      <c r="AA6584">
        <v>0.98906930000000004</v>
      </c>
      <c r="AB6584">
        <v>30</v>
      </c>
      <c r="AC6584">
        <v>0.61009999999998799</v>
      </c>
      <c r="AD6584">
        <v>-7.1077999999999905E-2</v>
      </c>
      <c r="AE6584">
        <v>-0.178499999999985</v>
      </c>
      <c r="AF6584">
        <v>0.12764609126916901</v>
      </c>
      <c r="AG6584">
        <v>-7.1077999999999905E-2</v>
      </c>
      <c r="AH6584">
        <v>0.61471371603545599</v>
      </c>
      <c r="AI6584">
        <v>96.459110946839104</v>
      </c>
      <c r="AJ6584">
        <v>78.269169251915798</v>
      </c>
      <c r="AK6584">
        <v>0.63183744696117505</v>
      </c>
      <c r="AL6584">
        <v>88.854313985352704</v>
      </c>
      <c r="AM6584">
        <v>85.327275757703603</v>
      </c>
      <c r="AN6584">
        <v>0.99999996778326605</v>
      </c>
    </row>
    <row r="6585" spans="1:40" x14ac:dyDescent="0.25">
      <c r="A6585" t="str">
        <f>"20190305135955630"</f>
        <v>20190305135955630</v>
      </c>
      <c r="B6585" t="str">
        <f>"1551765595626008"</f>
        <v>1551765595626008</v>
      </c>
      <c r="C6585" t="s">
        <v>40</v>
      </c>
      <c r="D6585">
        <v>4.7990930000000001</v>
      </c>
      <c r="E6585">
        <v>0.50785550000000002</v>
      </c>
      <c r="F6585" t="s">
        <v>41</v>
      </c>
      <c r="G6585">
        <v>-166.75960000000001</v>
      </c>
      <c r="H6585">
        <v>1.0150459999999999</v>
      </c>
      <c r="I6585">
        <v>138.34520000000001</v>
      </c>
      <c r="J6585">
        <v>-167.02440000000001</v>
      </c>
      <c r="K6585">
        <v>1.0966100000000001</v>
      </c>
      <c r="L6585">
        <v>138.43379999999999</v>
      </c>
      <c r="M6585">
        <v>0.99389110000000003</v>
      </c>
      <c r="N6585">
        <v>-1.6749259999999998E-2</v>
      </c>
      <c r="O6585">
        <v>-0.10908610000000001</v>
      </c>
      <c r="P6585">
        <v>0.98345479999999996</v>
      </c>
      <c r="Q6585">
        <v>3.8282609999999999E-3</v>
      </c>
      <c r="R6585">
        <v>-0.1811142</v>
      </c>
      <c r="S6585">
        <v>2.9489589999999999</v>
      </c>
      <c r="T6585">
        <v>-0.26883899999999999</v>
      </c>
      <c r="U6585">
        <v>-0.56603999999999999</v>
      </c>
      <c r="V6585">
        <v>7.3347270000000006E-2</v>
      </c>
      <c r="W6585">
        <v>1.823164E-2</v>
      </c>
      <c r="X6585">
        <v>0.99713980000000002</v>
      </c>
      <c r="Y6585">
        <v>8.0141470000000006E-2</v>
      </c>
      <c r="Z6585">
        <v>3.6880569999999998E-3</v>
      </c>
      <c r="AA6585">
        <v>0.99677669999999996</v>
      </c>
      <c r="AB6585">
        <v>30</v>
      </c>
      <c r="AC6585">
        <v>0.26480000000000797</v>
      </c>
      <c r="AD6585">
        <v>-8.1564000000000095E-2</v>
      </c>
      <c r="AE6585">
        <v>-8.8599999999985302E-2</v>
      </c>
      <c r="AF6585">
        <v>5.4528433524501402E-2</v>
      </c>
      <c r="AG6585">
        <v>-8.1564000000000095E-2</v>
      </c>
      <c r="AH6585">
        <v>0.25143229467466</v>
      </c>
      <c r="AI6585">
        <v>107.590058546485</v>
      </c>
      <c r="AJ6585">
        <v>77.763682181259</v>
      </c>
      <c r="AK6585">
        <v>0.26989671165836998</v>
      </c>
      <c r="AL6585">
        <v>88.955346094019205</v>
      </c>
      <c r="AM6585">
        <v>85.793033222233106</v>
      </c>
      <c r="AN6585">
        <v>0.999999997728791</v>
      </c>
    </row>
    <row r="6586" spans="1:40" x14ac:dyDescent="0.25">
      <c r="A6586" t="str">
        <f>"20190305135955654"</f>
        <v>20190305135955654</v>
      </c>
      <c r="B6586" t="str">
        <f>"1551765595645425"</f>
        <v>1551765595645425</v>
      </c>
      <c r="C6586" t="s">
        <v>40</v>
      </c>
      <c r="D6586">
        <v>4.771611</v>
      </c>
      <c r="E6586">
        <v>0.50714340000000002</v>
      </c>
      <c r="F6586" t="s">
        <v>41</v>
      </c>
      <c r="G6586">
        <v>-166.21</v>
      </c>
      <c r="H6586">
        <v>1.0269250000000001</v>
      </c>
      <c r="I6586">
        <v>138.25989999999999</v>
      </c>
      <c r="J6586">
        <v>-166.71440000000001</v>
      </c>
      <c r="K6586">
        <v>1.0973200000000001</v>
      </c>
      <c r="L6586">
        <v>138.38720000000001</v>
      </c>
      <c r="M6586">
        <v>0.99233400000000005</v>
      </c>
      <c r="N6586">
        <v>-1.6494680000000001E-2</v>
      </c>
      <c r="O6586">
        <v>-0.12247950000000001</v>
      </c>
      <c r="P6586">
        <v>0.98220830000000003</v>
      </c>
      <c r="Q6586">
        <v>5.5029090000000003E-3</v>
      </c>
      <c r="R6586">
        <v>-0.1877142</v>
      </c>
      <c r="S6586">
        <v>2.9360810000000002</v>
      </c>
      <c r="T6586">
        <v>-0.25110379999999999</v>
      </c>
      <c r="U6586">
        <v>-0.6266022</v>
      </c>
      <c r="V6586">
        <v>6.6610310000000006E-2</v>
      </c>
      <c r="W6586">
        <v>1.9980350000000001E-2</v>
      </c>
      <c r="X6586">
        <v>0.99757899999999999</v>
      </c>
      <c r="Y6586">
        <v>8.725492E-2</v>
      </c>
      <c r="Z6586">
        <v>3.869483E-3</v>
      </c>
      <c r="AA6586">
        <v>0.99617849999999997</v>
      </c>
      <c r="AB6586">
        <v>30</v>
      </c>
      <c r="AC6586">
        <v>0.50440000000000396</v>
      </c>
      <c r="AD6586">
        <v>-7.0394999999999902E-2</v>
      </c>
      <c r="AE6586">
        <v>-0.12730000000001901</v>
      </c>
      <c r="AF6586">
        <v>6.3393430162154998E-2</v>
      </c>
      <c r="AG6586">
        <v>-7.0394999999999902E-2</v>
      </c>
      <c r="AH6586">
        <v>0.50691294546379195</v>
      </c>
      <c r="AI6586">
        <v>97.845757049181003</v>
      </c>
      <c r="AJ6586">
        <v>82.871721546220002</v>
      </c>
      <c r="AK6586">
        <v>0.51568877948962799</v>
      </c>
      <c r="AL6586">
        <v>88.855134093864606</v>
      </c>
      <c r="AM6586">
        <v>86.179918757132995</v>
      </c>
      <c r="AN6586">
        <v>1.0000000045127</v>
      </c>
    </row>
    <row r="6587" spans="1:40" x14ac:dyDescent="0.25">
      <c r="A6587" t="str">
        <f>"20190305135955675"</f>
        <v>20190305135955675</v>
      </c>
      <c r="B6587" t="str">
        <f>"1551765595665921"</f>
        <v>1551765595665921</v>
      </c>
      <c r="C6587" t="s">
        <v>40</v>
      </c>
      <c r="D6587">
        <v>4.7918820000000002</v>
      </c>
      <c r="E6587">
        <v>0.50633629999999996</v>
      </c>
      <c r="F6587" t="s">
        <v>41</v>
      </c>
      <c r="G6587">
        <v>-165.93639999999999</v>
      </c>
      <c r="H6587">
        <v>1.032176</v>
      </c>
      <c r="I6587">
        <v>138.21700000000001</v>
      </c>
      <c r="J6587">
        <v>-166.41829999999999</v>
      </c>
      <c r="K6587">
        <v>1.098055</v>
      </c>
      <c r="L6587">
        <v>138.33920000000001</v>
      </c>
      <c r="M6587">
        <v>0.99079660000000003</v>
      </c>
      <c r="N6587">
        <v>-1.6259019999999999E-2</v>
      </c>
      <c r="O6587">
        <v>-0.13438020000000001</v>
      </c>
      <c r="P6587">
        <v>0.98128850000000001</v>
      </c>
      <c r="Q6587">
        <v>6.76167E-3</v>
      </c>
      <c r="R6587">
        <v>-0.19242500000000001</v>
      </c>
      <c r="S6587">
        <v>2.9331670000000001</v>
      </c>
      <c r="T6587">
        <v>-0.2454665</v>
      </c>
      <c r="U6587">
        <v>-0.64123540000000001</v>
      </c>
      <c r="V6587">
        <v>5.9420300000000002E-2</v>
      </c>
      <c r="W6587">
        <v>2.132618E-2</v>
      </c>
      <c r="X6587">
        <v>0.99800520000000004</v>
      </c>
      <c r="Y6587">
        <v>8.030263E-2</v>
      </c>
      <c r="Z6587">
        <v>4.8838969999999999E-3</v>
      </c>
      <c r="AA6587">
        <v>0.99675860000000005</v>
      </c>
      <c r="AB6587">
        <v>30</v>
      </c>
      <c r="AC6587">
        <v>0.481899999999996</v>
      </c>
      <c r="AD6587">
        <v>-6.5878999999999993E-2</v>
      </c>
      <c r="AE6587">
        <v>-0.122199999999992</v>
      </c>
      <c r="AF6587">
        <v>5.5352986005889601E-2</v>
      </c>
      <c r="AG6587">
        <v>-6.5878999999999993E-2</v>
      </c>
      <c r="AH6587">
        <v>0.48542744291652701</v>
      </c>
      <c r="AI6587">
        <v>97.679420377927798</v>
      </c>
      <c r="AJ6587">
        <v>83.494696690915603</v>
      </c>
      <c r="AK6587">
        <v>0.49299472414747703</v>
      </c>
      <c r="AL6587">
        <v>88.778007226527194</v>
      </c>
      <c r="AM6587">
        <v>86.592685055615306</v>
      </c>
      <c r="AN6587">
        <v>0.999999978616261</v>
      </c>
    </row>
    <row r="6588" spans="1:40" x14ac:dyDescent="0.25">
      <c r="A6588" t="str">
        <f>"20190305135955727"</f>
        <v>20190305135955727</v>
      </c>
      <c r="B6588" t="str">
        <f>"1551765595715697"</f>
        <v>1551765595715697</v>
      </c>
      <c r="C6588" t="s">
        <v>40</v>
      </c>
      <c r="D6588">
        <v>4.9550460000000003</v>
      </c>
      <c r="E6588">
        <v>0.50461149999999999</v>
      </c>
      <c r="F6588" t="s">
        <v>41</v>
      </c>
      <c r="G6588">
        <v>-165.66409999999999</v>
      </c>
      <c r="H6588">
        <v>1.0355399999999999</v>
      </c>
      <c r="I6588">
        <v>138.1722</v>
      </c>
      <c r="J6588">
        <v>-165.72299999999899</v>
      </c>
      <c r="K6588">
        <v>1.099953</v>
      </c>
      <c r="L6588">
        <v>138.2149</v>
      </c>
      <c r="M6588">
        <v>0.98720770000000002</v>
      </c>
      <c r="N6588">
        <v>-1.5743779999999999E-2</v>
      </c>
      <c r="O6588">
        <v>-0.15866089999999999</v>
      </c>
      <c r="P6588">
        <v>0.97999099999999995</v>
      </c>
      <c r="Q6588">
        <v>7.608213E-3</v>
      </c>
      <c r="R6588">
        <v>-0.19889699999999999</v>
      </c>
      <c r="S6588">
        <v>2.9315639999999998</v>
      </c>
      <c r="T6588">
        <v>-0.24290900000000001</v>
      </c>
      <c r="U6588">
        <v>-0.64916989999999997</v>
      </c>
      <c r="V6588">
        <v>4.1413909999999998E-2</v>
      </c>
      <c r="W6588">
        <v>2.23602E-2</v>
      </c>
      <c r="X6588">
        <v>0.9988918</v>
      </c>
      <c r="Y6588">
        <v>5.8642060000000003E-2</v>
      </c>
      <c r="Z6588">
        <v>7.5223759999999999E-3</v>
      </c>
      <c r="AA6588">
        <v>0.99825070000000005</v>
      </c>
      <c r="AB6588">
        <v>30</v>
      </c>
      <c r="AC6588">
        <v>5.8899999999994103E-2</v>
      </c>
      <c r="AD6588">
        <v>-6.4412999999999998E-2</v>
      </c>
      <c r="AE6588">
        <v>-4.2699999999996401E-2</v>
      </c>
      <c r="AF6588">
        <v>1.8393328174911999E-2</v>
      </c>
      <c r="AG6588">
        <v>-6.4412999999999998E-2</v>
      </c>
      <c r="AH6588">
        <v>3.6396501170426802E-2</v>
      </c>
      <c r="AI6588">
        <v>147.661927970824</v>
      </c>
      <c r="AJ6588">
        <v>63.189801237782397</v>
      </c>
      <c r="AK6588">
        <v>7.62368309139283E-2</v>
      </c>
      <c r="AL6588">
        <v>88.718748077235304</v>
      </c>
      <c r="AM6588">
        <v>87.625884924112796</v>
      </c>
      <c r="AN6588">
        <v>0.99999995929638297</v>
      </c>
    </row>
    <row r="6589" spans="1:40" x14ac:dyDescent="0.25">
      <c r="A6589" t="str">
        <f>"20190305135955746"</f>
        <v>20190305135955746</v>
      </c>
      <c r="B6589" t="str">
        <f>"1551765595736193"</f>
        <v>1551765595736193</v>
      </c>
      <c r="C6589" t="s">
        <v>40</v>
      </c>
      <c r="D6589">
        <v>4.8754080000000002</v>
      </c>
      <c r="E6589">
        <v>0.50345340000000005</v>
      </c>
      <c r="F6589" t="s">
        <v>41</v>
      </c>
      <c r="G6589">
        <v>-164.8629</v>
      </c>
      <c r="H6589">
        <v>1.027261</v>
      </c>
      <c r="I6589">
        <v>138.02250000000001</v>
      </c>
      <c r="J6589">
        <v>-165.4572</v>
      </c>
      <c r="K6589">
        <v>1.100673</v>
      </c>
      <c r="L6589">
        <v>138.16380000000001</v>
      </c>
      <c r="M6589">
        <v>0.98587780000000003</v>
      </c>
      <c r="N6589">
        <v>-1.556778E-2</v>
      </c>
      <c r="O6589">
        <v>-0.16674149999999999</v>
      </c>
      <c r="P6589">
        <v>0.98030269999999997</v>
      </c>
      <c r="Q6589">
        <v>9.1927009999999993E-3</v>
      </c>
      <c r="R6589">
        <v>-0.1972873</v>
      </c>
      <c r="S6589">
        <v>2.930237</v>
      </c>
      <c r="T6589">
        <v>-0.24747549999999999</v>
      </c>
      <c r="U6589">
        <v>-0.65501399999999999</v>
      </c>
      <c r="V6589">
        <v>3.158702E-2</v>
      </c>
      <c r="W6589">
        <v>2.4059190000000001E-2</v>
      </c>
      <c r="X6589">
        <v>0.99921139999999997</v>
      </c>
      <c r="Y6589">
        <v>5.2509199999999999E-2</v>
      </c>
      <c r="Z6589">
        <v>8.5914619999999994E-3</v>
      </c>
      <c r="AA6589">
        <v>0.99858349999999996</v>
      </c>
      <c r="AB6589">
        <v>30</v>
      </c>
      <c r="AC6589">
        <v>0.59430000000000405</v>
      </c>
      <c r="AD6589">
        <v>-7.3412000000000005E-2</v>
      </c>
      <c r="AE6589">
        <v>-0.14130000000000101</v>
      </c>
      <c r="AF6589">
        <v>3.9642397032969602E-2</v>
      </c>
      <c r="AG6589">
        <v>-7.3412000000000005E-2</v>
      </c>
      <c r="AH6589">
        <v>0.60086363288150002</v>
      </c>
      <c r="AI6589">
        <v>96.950767600245399</v>
      </c>
      <c r="AJ6589">
        <v>86.2253414324977</v>
      </c>
      <c r="AK6589">
        <v>0.60662834314436098</v>
      </c>
      <c r="AL6589">
        <v>88.621376935626998</v>
      </c>
      <c r="AM6589">
        <v>88.189371698524695</v>
      </c>
      <c r="AN6589">
        <v>1.0000000031729399</v>
      </c>
    </row>
    <row r="6590" spans="1:40" x14ac:dyDescent="0.25">
      <c r="A6590" t="str">
        <f>"20190305135955767"</f>
        <v>20190305135955767</v>
      </c>
      <c r="B6590" t="str">
        <f>"1551765595745954"</f>
        <v>1551765595745954</v>
      </c>
      <c r="C6590" t="s">
        <v>40</v>
      </c>
      <c r="D6590">
        <v>4.8884910000000001</v>
      </c>
      <c r="E6590">
        <v>0.50313099999999999</v>
      </c>
      <c r="F6590" t="s">
        <v>41</v>
      </c>
      <c r="G6590">
        <v>-164.5943</v>
      </c>
      <c r="H6590">
        <v>1.0279969999999901</v>
      </c>
      <c r="I6590">
        <v>137.9753</v>
      </c>
      <c r="J6590">
        <v>-165.18870000000001</v>
      </c>
      <c r="K6590">
        <v>1.1013999999999999</v>
      </c>
      <c r="L6590">
        <v>138.1104</v>
      </c>
      <c r="M6590">
        <v>0.98459209999999997</v>
      </c>
      <c r="N6590">
        <v>-1.5400769999999999E-2</v>
      </c>
      <c r="O6590">
        <v>-0.1741877</v>
      </c>
      <c r="P6590">
        <v>0.98043659999999999</v>
      </c>
      <c r="Q6590">
        <v>1.2188289999999999E-2</v>
      </c>
      <c r="R6590">
        <v>-0.1964582</v>
      </c>
      <c r="S6590">
        <v>2.933624</v>
      </c>
      <c r="T6590">
        <v>-0.24704409999999999</v>
      </c>
      <c r="U6590">
        <v>-0.64083859999999904</v>
      </c>
      <c r="V6590">
        <v>2.3212139999999999E-2</v>
      </c>
      <c r="W6590">
        <v>2.711423E-2</v>
      </c>
      <c r="X6590">
        <v>0.9993628</v>
      </c>
      <c r="Y6590">
        <v>4.0178230000000002E-2</v>
      </c>
      <c r="Z6590">
        <v>9.6960710000000006E-3</v>
      </c>
      <c r="AA6590">
        <v>0.99914550000000002</v>
      </c>
      <c r="AB6590">
        <v>30</v>
      </c>
      <c r="AC6590">
        <v>0.59440000000000703</v>
      </c>
      <c r="AD6590">
        <v>-7.3403000000000093E-2</v>
      </c>
      <c r="AE6590">
        <v>-0.135099999999994</v>
      </c>
      <c r="AF6590">
        <v>2.9063275169328599E-2</v>
      </c>
      <c r="AG6590">
        <v>-7.3403000000000093E-2</v>
      </c>
      <c r="AH6590">
        <v>0.60014384653408803</v>
      </c>
      <c r="AI6590">
        <v>96.965073982555793</v>
      </c>
      <c r="AJ6590">
        <v>87.227492868496299</v>
      </c>
      <c r="AK6590">
        <v>0.60531422493222398</v>
      </c>
      <c r="AL6590">
        <v>88.446278631679903</v>
      </c>
      <c r="AM6590">
        <v>88.669433596852301</v>
      </c>
      <c r="AN6590">
        <v>0.99999999546785601</v>
      </c>
    </row>
    <row r="6591" spans="1:40" x14ac:dyDescent="0.25">
      <c r="A6591" t="str">
        <f>"20190305135955788"</f>
        <v>20190305135955788</v>
      </c>
      <c r="B6591" t="str">
        <f>"1551765595745954"</f>
        <v>1551765595745954</v>
      </c>
      <c r="C6591" t="s">
        <v>40</v>
      </c>
      <c r="D6591">
        <v>4.8884910000000001</v>
      </c>
      <c r="E6591">
        <v>0.50313099999999999</v>
      </c>
      <c r="F6591" t="s">
        <v>41</v>
      </c>
      <c r="G6591">
        <v>-164.32570000000001</v>
      </c>
      <c r="H6591">
        <v>1.0311520000000001</v>
      </c>
      <c r="I6591">
        <v>137.92400000000001</v>
      </c>
      <c r="J6591">
        <v>-164.90260000000001</v>
      </c>
      <c r="K6591">
        <v>1.102198</v>
      </c>
      <c r="L6591">
        <v>138.05189999999999</v>
      </c>
      <c r="M6591">
        <v>0.98332010000000003</v>
      </c>
      <c r="N6591">
        <v>-1.522747E-2</v>
      </c>
      <c r="O6591">
        <v>-0.1812455</v>
      </c>
      <c r="P6591">
        <v>0.98074059999999996</v>
      </c>
      <c r="Q6591">
        <v>1.199559E-2</v>
      </c>
      <c r="R6591">
        <v>-0.1949466</v>
      </c>
      <c r="S6591">
        <v>2.9358219999999999</v>
      </c>
      <c r="T6591">
        <v>-0.2389058</v>
      </c>
      <c r="U6591">
        <v>-0.63388059999999902</v>
      </c>
      <c r="V6591">
        <v>1.4443080000000001E-2</v>
      </c>
      <c r="W6591">
        <v>2.6956460000000002E-2</v>
      </c>
      <c r="X6591">
        <v>0.99953230000000004</v>
      </c>
      <c r="Y6591">
        <v>3.0623259999999999E-2</v>
      </c>
      <c r="Z6591">
        <v>1.0211100000000001E-2</v>
      </c>
      <c r="AA6591">
        <v>0.9994788</v>
      </c>
      <c r="AB6591">
        <v>30</v>
      </c>
      <c r="AC6591">
        <v>0.57689999999999397</v>
      </c>
      <c r="AD6591">
        <v>-7.1045999999999901E-2</v>
      </c>
      <c r="AE6591">
        <v>-0.127899999999982</v>
      </c>
      <c r="AF6591">
        <v>2.0906352020492298E-2</v>
      </c>
      <c r="AG6591">
        <v>-7.1045999999999901E-2</v>
      </c>
      <c r="AH6591">
        <v>0.58211221369169697</v>
      </c>
      <c r="AI6591">
        <v>96.954017528802794</v>
      </c>
      <c r="AJ6591">
        <v>87.943126621536507</v>
      </c>
      <c r="AK6591">
        <v>0.58680425952770099</v>
      </c>
      <c r="AL6591">
        <v>88.455321554880598</v>
      </c>
      <c r="AM6591">
        <v>89.172142872152605</v>
      </c>
      <c r="AN6591">
        <v>1.0000000360194501</v>
      </c>
    </row>
    <row r="6592" spans="1:40" x14ac:dyDescent="0.25">
      <c r="A6592" t="str">
        <f>"20190305135955809"</f>
        <v>20190305135955809</v>
      </c>
      <c r="B6592" t="str">
        <f>"1551765595805490"</f>
        <v>1551765595805490</v>
      </c>
      <c r="C6592" t="s">
        <v>40</v>
      </c>
      <c r="D6592">
        <v>4.7302710000000001</v>
      </c>
      <c r="E6592">
        <v>0.4924405</v>
      </c>
      <c r="F6592" t="s">
        <v>41</v>
      </c>
      <c r="G6592">
        <v>-164.0574</v>
      </c>
      <c r="H6592">
        <v>1.0331939999999999</v>
      </c>
      <c r="I6592">
        <v>137.87129999999999</v>
      </c>
      <c r="J6592">
        <v>-164.6206</v>
      </c>
      <c r="K6592">
        <v>1.103051</v>
      </c>
      <c r="L6592">
        <v>137.99299999999999</v>
      </c>
      <c r="M6592">
        <v>0.98219429999999996</v>
      </c>
      <c r="N6592">
        <v>-1.506208E-2</v>
      </c>
      <c r="O6592">
        <v>-0.1872635</v>
      </c>
      <c r="P6592">
        <v>0.98143270000000005</v>
      </c>
      <c r="Q6592">
        <v>7.8151539999999995E-3</v>
      </c>
      <c r="R6592">
        <v>-0.19164780000000001</v>
      </c>
      <c r="S6592">
        <v>2.9370880000000001</v>
      </c>
      <c r="T6592">
        <v>-0.23976059999999999</v>
      </c>
      <c r="U6592">
        <v>-0.62763979999999997</v>
      </c>
      <c r="V6592">
        <v>4.8246060000000004E-3</v>
      </c>
      <c r="W6592">
        <v>2.2799730000000001E-2</v>
      </c>
      <c r="X6592">
        <v>0.99972839999999996</v>
      </c>
      <c r="Y6592">
        <v>2.2430180000000001E-2</v>
      </c>
      <c r="Z6592">
        <v>1.106329E-2</v>
      </c>
      <c r="AA6592">
        <v>0.9996872</v>
      </c>
      <c r="AB6592">
        <v>30</v>
      </c>
      <c r="AC6592">
        <v>0.56319999999999404</v>
      </c>
      <c r="AD6592">
        <v>-6.9857000000000002E-2</v>
      </c>
      <c r="AE6592">
        <v>-0.121700000000004</v>
      </c>
      <c r="AF6592">
        <v>1.3864056268069001E-2</v>
      </c>
      <c r="AG6592">
        <v>-6.9857000000000002E-2</v>
      </c>
      <c r="AH6592">
        <v>0.56768297755566899</v>
      </c>
      <c r="AI6592">
        <v>97.013270699043602</v>
      </c>
      <c r="AJ6592">
        <v>88.600990217316394</v>
      </c>
      <c r="AK6592">
        <v>0.57213300508856701</v>
      </c>
      <c r="AL6592">
        <v>88.693558478683599</v>
      </c>
      <c r="AM6592">
        <v>89.723497486239907</v>
      </c>
      <c r="AN6592">
        <v>0.99999998913884303</v>
      </c>
    </row>
    <row r="6593" spans="1:40" x14ac:dyDescent="0.25">
      <c r="A6593" t="str">
        <f>"20190305135955833"</f>
        <v>20190305135955833</v>
      </c>
      <c r="B6593" t="str">
        <f>"1551765595825986"</f>
        <v>1551765595825986</v>
      </c>
      <c r="C6593" t="s">
        <v>40</v>
      </c>
      <c r="D6593">
        <v>5.0160910000000003</v>
      </c>
      <c r="E6593">
        <v>0.49504579999999998</v>
      </c>
      <c r="F6593" t="s">
        <v>41</v>
      </c>
      <c r="G6593">
        <v>-163.79949999999999</v>
      </c>
      <c r="H6593">
        <v>1.008805</v>
      </c>
      <c r="I6593">
        <v>137.84299999999999</v>
      </c>
      <c r="J6593">
        <v>-164.30799999999999</v>
      </c>
      <c r="K6593">
        <v>1.1041019999999999</v>
      </c>
      <c r="L6593">
        <v>137.92660000000001</v>
      </c>
      <c r="M6593">
        <v>0.98112770000000005</v>
      </c>
      <c r="N6593">
        <v>-1.489071E-2</v>
      </c>
      <c r="O6593">
        <v>-0.1927864</v>
      </c>
      <c r="P6593">
        <v>0.98232240000000004</v>
      </c>
      <c r="Q6593">
        <v>4.1634439999999997E-3</v>
      </c>
      <c r="R6593">
        <v>-0.1871514</v>
      </c>
      <c r="S6593">
        <v>2.9541780000000002</v>
      </c>
      <c r="T6593">
        <v>-0.33905180000000001</v>
      </c>
      <c r="U6593">
        <v>-0.53904719999999995</v>
      </c>
      <c r="V6593">
        <v>-5.4952940000000004E-3</v>
      </c>
      <c r="W6593">
        <v>1.9131749999999999E-2</v>
      </c>
      <c r="X6593">
        <v>0.99980190000000002</v>
      </c>
      <c r="Y6593">
        <v>-1.2543199999999999E-2</v>
      </c>
      <c r="Z6593">
        <v>1.9617240000000001E-2</v>
      </c>
      <c r="AA6593">
        <v>0.99972890000000003</v>
      </c>
      <c r="AB6593">
        <v>30</v>
      </c>
      <c r="AC6593">
        <v>0.50849999999999795</v>
      </c>
      <c r="AD6593">
        <v>-9.5297000000000201E-2</v>
      </c>
      <c r="AE6593">
        <v>-8.3600000000018299E-2</v>
      </c>
      <c r="AF6593">
        <v>-1.5481941718538301E-2</v>
      </c>
      <c r="AG6593">
        <v>-9.5297000000000201E-2</v>
      </c>
      <c r="AH6593">
        <v>0.49804562016633303</v>
      </c>
      <c r="AI6593">
        <v>100.827049543271</v>
      </c>
      <c r="AJ6593">
        <v>91.780488231565499</v>
      </c>
      <c r="AK6593">
        <v>0.50731710841961997</v>
      </c>
      <c r="AL6593">
        <v>88.903764622280207</v>
      </c>
      <c r="AM6593">
        <v>90.314916367738405</v>
      </c>
      <c r="AN6593">
        <v>1.0000000306789001</v>
      </c>
    </row>
    <row r="6594" spans="1:40" x14ac:dyDescent="0.25">
      <c r="A6594" t="str">
        <f>"20190305135955854"</f>
        <v>20190305135955854</v>
      </c>
      <c r="B6594" t="str">
        <f>"1551765595845506"</f>
        <v>1551765595845506</v>
      </c>
      <c r="C6594" t="s">
        <v>40</v>
      </c>
      <c r="D6594">
        <v>4.9483930000000003</v>
      </c>
      <c r="E6594">
        <v>0.49483080000000002</v>
      </c>
      <c r="F6594" t="s">
        <v>41</v>
      </c>
      <c r="G6594">
        <v>-163.53059999999999</v>
      </c>
      <c r="H6594">
        <v>1.0193479999999999</v>
      </c>
      <c r="I6594">
        <v>137.78309999999999</v>
      </c>
      <c r="J6594">
        <v>-164.02699999999999</v>
      </c>
      <c r="K6594">
        <v>1.105132</v>
      </c>
      <c r="L6594">
        <v>137.86660000000001</v>
      </c>
      <c r="M6594">
        <v>0.98037719999999995</v>
      </c>
      <c r="N6594">
        <v>-1.475073E-2</v>
      </c>
      <c r="O6594">
        <v>-0.19657810000000001</v>
      </c>
      <c r="P6594">
        <v>0.98300580000000004</v>
      </c>
      <c r="Q6594">
        <v>1.4614280000000001E-3</v>
      </c>
      <c r="R6594">
        <v>-0.18356939999999999</v>
      </c>
      <c r="S6594">
        <v>2.951584</v>
      </c>
      <c r="T6594">
        <v>-0.32183240000000002</v>
      </c>
      <c r="U6594">
        <v>-0.54472349999999903</v>
      </c>
      <c r="V6594">
        <v>-1.3087359999999999E-2</v>
      </c>
      <c r="W6594">
        <v>1.6360329999999999E-2</v>
      </c>
      <c r="X6594">
        <v>0.99978049999999996</v>
      </c>
      <c r="Y6594">
        <v>-1.447301E-2</v>
      </c>
      <c r="Z6594">
        <v>1.8987130000000001E-2</v>
      </c>
      <c r="AA6594">
        <v>0.99971500000000002</v>
      </c>
      <c r="AB6594">
        <v>30</v>
      </c>
      <c r="AC6594">
        <v>0.49640000000002199</v>
      </c>
      <c r="AD6594">
        <v>-8.5783999999999999E-2</v>
      </c>
      <c r="AE6594">
        <v>-8.3500000000015007E-2</v>
      </c>
      <c r="AF6594">
        <v>-1.52778781673955E-2</v>
      </c>
      <c r="AG6594">
        <v>-8.5783999999999999E-2</v>
      </c>
      <c r="AH6594">
        <v>0.48892863342133103</v>
      </c>
      <c r="AI6594">
        <v>99.946669977686199</v>
      </c>
      <c r="AJ6594">
        <v>91.789776955611799</v>
      </c>
      <c r="AK6594">
        <v>0.49663217454827502</v>
      </c>
      <c r="AL6594">
        <v>89.062580312205995</v>
      </c>
      <c r="AM6594">
        <v>90.749972286275593</v>
      </c>
      <c r="AN6594">
        <v>0.99999999378486404</v>
      </c>
    </row>
    <row r="6595" spans="1:40" x14ac:dyDescent="0.25">
      <c r="A6595" t="str">
        <f>"20190305135955875"</f>
        <v>20190305135955875</v>
      </c>
      <c r="B6595" t="str">
        <f>"1551765595866002"</f>
        <v>1551765595866002</v>
      </c>
      <c r="C6595" t="s">
        <v>40</v>
      </c>
      <c r="D6595">
        <v>4.9391970000000001</v>
      </c>
      <c r="E6595">
        <v>0.49510310000000002</v>
      </c>
      <c r="F6595" t="s">
        <v>41</v>
      </c>
      <c r="G6595">
        <v>-163.26349999999999</v>
      </c>
      <c r="H6595">
        <v>1.0214490000000001</v>
      </c>
      <c r="I6595">
        <v>137.72919999999999</v>
      </c>
      <c r="J6595">
        <v>-163.74039999999999</v>
      </c>
      <c r="K6595">
        <v>1.1062669999999999</v>
      </c>
      <c r="L6595">
        <v>137.8056</v>
      </c>
      <c r="M6595">
        <v>0.97985040000000001</v>
      </c>
      <c r="N6595">
        <v>-1.462435E-2</v>
      </c>
      <c r="O6595">
        <v>-0.19919709999999999</v>
      </c>
      <c r="P6595">
        <v>0.98320969999999996</v>
      </c>
      <c r="Q6595">
        <v>-5.0471909999999997E-4</v>
      </c>
      <c r="R6595">
        <v>-0.1824789</v>
      </c>
      <c r="S6595">
        <v>2.953125</v>
      </c>
      <c r="T6595">
        <v>-0.32374419999999998</v>
      </c>
      <c r="U6595">
        <v>-0.53135679999999996</v>
      </c>
      <c r="V6595">
        <v>-1.693074E-2</v>
      </c>
      <c r="W6595">
        <v>1.426297E-2</v>
      </c>
      <c r="X6595">
        <v>0.9997549</v>
      </c>
      <c r="Y6595">
        <v>-2.1545290000000002E-2</v>
      </c>
      <c r="Z6595">
        <v>1.9812840000000002E-2</v>
      </c>
      <c r="AA6595">
        <v>0.9995716</v>
      </c>
      <c r="AB6595">
        <v>30</v>
      </c>
      <c r="AC6595">
        <v>0.47689999999999999</v>
      </c>
      <c r="AD6595">
        <v>-8.4818000000000005E-2</v>
      </c>
      <c r="AE6595">
        <v>-7.6400000000006602E-2</v>
      </c>
      <c r="AF6595">
        <v>-1.9536180246908601E-2</v>
      </c>
      <c r="AG6595">
        <v>-8.4818000000000005E-2</v>
      </c>
      <c r="AH6595">
        <v>0.46812388252736598</v>
      </c>
      <c r="AI6595">
        <v>100.261098623629</v>
      </c>
      <c r="AJ6595">
        <v>92.389733930364599</v>
      </c>
      <c r="AK6595">
        <v>0.47614674718529199</v>
      </c>
      <c r="AL6595">
        <v>89.182764281828895</v>
      </c>
      <c r="AM6595">
        <v>90.970205024571897</v>
      </c>
      <c r="AN6595">
        <v>0.99999997117208805</v>
      </c>
    </row>
    <row r="6596" spans="1:40" x14ac:dyDescent="0.25">
      <c r="A6596" t="str">
        <f>"20190305135955903"</f>
        <v>20190305135955903</v>
      </c>
      <c r="B6596" t="str">
        <f>"1551765595885521"</f>
        <v>1551765595885521</v>
      </c>
      <c r="C6596" t="s">
        <v>40</v>
      </c>
      <c r="D6596">
        <v>4.9462619999999999</v>
      </c>
      <c r="E6596">
        <v>0.49539749999999999</v>
      </c>
      <c r="F6596" t="s">
        <v>41</v>
      </c>
      <c r="G6596">
        <v>-162.9974</v>
      </c>
      <c r="H6596">
        <v>1.0251479999999999</v>
      </c>
      <c r="I6596">
        <v>137.6729</v>
      </c>
      <c r="J6596">
        <v>-163.4057</v>
      </c>
      <c r="K6596">
        <v>1.1076459999999999</v>
      </c>
      <c r="L6596">
        <v>137.73519999999999</v>
      </c>
      <c r="M6596">
        <v>0.97959850000000004</v>
      </c>
      <c r="N6596">
        <v>-1.450338E-2</v>
      </c>
      <c r="O6596">
        <v>-0.2004406</v>
      </c>
      <c r="P6596">
        <v>0.98361310000000002</v>
      </c>
      <c r="Q6596">
        <v>-4.9288700000000001E-3</v>
      </c>
      <c r="R6596">
        <v>-0.18022479999999999</v>
      </c>
      <c r="S6596">
        <v>2.9531710000000002</v>
      </c>
      <c r="T6596">
        <v>-0.3223664</v>
      </c>
      <c r="U6596">
        <v>-0.52755739999999995</v>
      </c>
      <c r="V6596">
        <v>-2.0560539999999999E-2</v>
      </c>
      <c r="W6596">
        <v>9.6785169999999993E-3</v>
      </c>
      <c r="X6596">
        <v>0.99974169999999996</v>
      </c>
      <c r="Y6596">
        <v>-2.404831E-2</v>
      </c>
      <c r="Z6596">
        <v>2.0008890000000001E-2</v>
      </c>
      <c r="AA6596">
        <v>0.99951049999999997</v>
      </c>
      <c r="AB6596">
        <v>30</v>
      </c>
      <c r="AC6596">
        <v>0.408299999999997</v>
      </c>
      <c r="AD6596">
        <v>-8.2497999999999905E-2</v>
      </c>
      <c r="AE6596">
        <v>-6.2299999999993298E-2</v>
      </c>
      <c r="AF6596">
        <v>-2.0014591026771601E-2</v>
      </c>
      <c r="AG6596">
        <v>-8.2497999999999905E-2</v>
      </c>
      <c r="AH6596">
        <v>0.39667502990974501</v>
      </c>
      <c r="AI6596">
        <v>101.734030734966</v>
      </c>
      <c r="AJ6596">
        <v>92.888459972852004</v>
      </c>
      <c r="AK6596">
        <v>0.40565697727497002</v>
      </c>
      <c r="AL6596">
        <v>89.445453131659804</v>
      </c>
      <c r="AM6596">
        <v>91.178170445490593</v>
      </c>
      <c r="AN6596">
        <v>0.99999993810764798</v>
      </c>
    </row>
    <row r="6597" spans="1:40" x14ac:dyDescent="0.25">
      <c r="A6597" t="str">
        <f>"20190305135955926"</f>
        <v>20190305135955926</v>
      </c>
      <c r="B6597" t="str">
        <f>"1551765595915778"</f>
        <v>1551765595915778</v>
      </c>
      <c r="C6597" t="s">
        <v>40</v>
      </c>
      <c r="D6597">
        <v>4.9890330000000001</v>
      </c>
      <c r="E6597">
        <v>0.4957937</v>
      </c>
      <c r="F6597" t="s">
        <v>41</v>
      </c>
      <c r="G6597">
        <v>-162.48480000000001</v>
      </c>
      <c r="H6597">
        <v>1.0043500000000001</v>
      </c>
      <c r="I6597">
        <v>137.57259999999999</v>
      </c>
      <c r="J6597">
        <v>-163.09180000000001</v>
      </c>
      <c r="K6597">
        <v>1.108927</v>
      </c>
      <c r="L6597">
        <v>137.6705</v>
      </c>
      <c r="M6597">
        <v>0.97971140000000001</v>
      </c>
      <c r="N6597">
        <v>-1.4419629999999999E-2</v>
      </c>
      <c r="O6597">
        <v>-0.1998945</v>
      </c>
      <c r="P6597">
        <v>0.98451200000000005</v>
      </c>
      <c r="Q6597">
        <v>-1.331855E-2</v>
      </c>
      <c r="R6597">
        <v>-0.17481089999999999</v>
      </c>
      <c r="S6597">
        <v>2.95282</v>
      </c>
      <c r="T6597">
        <v>-0.33127839999999997</v>
      </c>
      <c r="U6597">
        <v>-0.52124020000000004</v>
      </c>
      <c r="V6597">
        <v>-2.5534999999999999E-2</v>
      </c>
      <c r="W6597">
        <v>1.149003E-3</v>
      </c>
      <c r="X6597">
        <v>0.99967320000000004</v>
      </c>
      <c r="Y6597">
        <v>-2.547044E-2</v>
      </c>
      <c r="Z6597">
        <v>2.0695809999999999E-2</v>
      </c>
      <c r="AA6597">
        <v>0.99946140000000006</v>
      </c>
      <c r="AB6597">
        <v>30</v>
      </c>
      <c r="AC6597">
        <v>0.60699999999999898</v>
      </c>
      <c r="AD6597">
        <v>-0.104576999999999</v>
      </c>
      <c r="AE6597">
        <v>-9.7900000000009799E-2</v>
      </c>
      <c r="AF6597">
        <v>-2.47100065449617E-2</v>
      </c>
      <c r="AG6597">
        <v>-0.104576999999999</v>
      </c>
      <c r="AH6597">
        <v>0.59704601817096903</v>
      </c>
      <c r="AI6597">
        <v>99.926664251764294</v>
      </c>
      <c r="AJ6597">
        <v>92.369953930416401</v>
      </c>
      <c r="AK6597">
        <v>0.60663900399352899</v>
      </c>
      <c r="AL6597">
        <v>89.934166958464601</v>
      </c>
      <c r="AM6597">
        <v>91.463207836051097</v>
      </c>
      <c r="AN6597">
        <v>0.999999931615564</v>
      </c>
    </row>
    <row r="6598" spans="1:40" x14ac:dyDescent="0.25">
      <c r="A6598" t="str">
        <f>"20190305135955947"</f>
        <v>20190305135955947</v>
      </c>
      <c r="B6598" t="str">
        <f>"1551765595935297"</f>
        <v>1551765595935297</v>
      </c>
      <c r="C6598" t="s">
        <v>40</v>
      </c>
      <c r="D6598">
        <v>5.1067869999999997</v>
      </c>
      <c r="E6598">
        <v>0.495527</v>
      </c>
      <c r="F6598" t="s">
        <v>41</v>
      </c>
      <c r="G6598">
        <v>-162.22290000000001</v>
      </c>
      <c r="H6598">
        <v>1.005182</v>
      </c>
      <c r="I6598">
        <v>137.52099999999999</v>
      </c>
      <c r="J6598">
        <v>-162.79830000000001</v>
      </c>
      <c r="K6598">
        <v>1.11002</v>
      </c>
      <c r="L6598">
        <v>137.61170000000001</v>
      </c>
      <c r="M6598">
        <v>0.98007040000000001</v>
      </c>
      <c r="N6598">
        <v>-1.43564E-2</v>
      </c>
      <c r="O6598">
        <v>-0.1981309</v>
      </c>
      <c r="P6598">
        <v>0.98579810000000001</v>
      </c>
      <c r="Q6598">
        <v>-2.43517E-2</v>
      </c>
      <c r="R6598">
        <v>-0.16616040000000001</v>
      </c>
      <c r="S6598">
        <v>2.9522550000000001</v>
      </c>
      <c r="T6598">
        <v>-0.35264620000000002</v>
      </c>
      <c r="U6598">
        <v>-0.50791929999999996</v>
      </c>
      <c r="V6598">
        <v>-3.2465099999999997E-2</v>
      </c>
      <c r="W6598">
        <v>-1.0025050000000001E-2</v>
      </c>
      <c r="X6598">
        <v>0.99942260000000005</v>
      </c>
      <c r="Y6598">
        <v>-2.7842519999999999E-2</v>
      </c>
      <c r="Z6598">
        <v>2.220283E-2</v>
      </c>
      <c r="AA6598">
        <v>0.99936570000000002</v>
      </c>
      <c r="AB6598">
        <v>30</v>
      </c>
      <c r="AC6598">
        <v>0.57540000000000102</v>
      </c>
      <c r="AD6598">
        <v>-0.104838</v>
      </c>
      <c r="AE6598">
        <v>-9.0699999999998199E-2</v>
      </c>
      <c r="AF6598">
        <v>-2.4326730388278799E-2</v>
      </c>
      <c r="AG6598">
        <v>-0.104838</v>
      </c>
      <c r="AH6598">
        <v>0.56370345104342701</v>
      </c>
      <c r="AI6598">
        <v>100.525964986574</v>
      </c>
      <c r="AJ6598">
        <v>92.471077078677794</v>
      </c>
      <c r="AK6598">
        <v>0.57388533416846799</v>
      </c>
      <c r="AL6598">
        <v>90.574402670988206</v>
      </c>
      <c r="AM6598">
        <v>91.860533633120298</v>
      </c>
      <c r="AN6598">
        <v>1.00000000886813</v>
      </c>
    </row>
    <row r="6599" spans="1:40" x14ac:dyDescent="0.25">
      <c r="A6599" t="str">
        <f>"20190305135955970"</f>
        <v>20190305135955970</v>
      </c>
      <c r="B6599" t="str">
        <f>"1551765595965554"</f>
        <v>1551765595965554</v>
      </c>
      <c r="C6599" t="s">
        <v>40</v>
      </c>
      <c r="D6599">
        <v>4.8953740000000003</v>
      </c>
      <c r="E6599">
        <v>0.4963031</v>
      </c>
      <c r="F6599" t="s">
        <v>41</v>
      </c>
      <c r="G6599">
        <v>-161.96270000000001</v>
      </c>
      <c r="H6599">
        <v>1.001039</v>
      </c>
      <c r="I6599">
        <v>137.47540000000001</v>
      </c>
      <c r="J6599">
        <v>-162.51580000000001</v>
      </c>
      <c r="K6599">
        <v>1.111005</v>
      </c>
      <c r="L6599">
        <v>137.55670000000001</v>
      </c>
      <c r="M6599">
        <v>0.98063889999999998</v>
      </c>
      <c r="N6599">
        <v>-1.4300230000000001E-2</v>
      </c>
      <c r="O6599">
        <v>-0.1953019</v>
      </c>
      <c r="P6599">
        <v>0.98720249999999998</v>
      </c>
      <c r="Q6599">
        <v>-2.983216E-2</v>
      </c>
      <c r="R6599">
        <v>-0.156656399999999</v>
      </c>
      <c r="S6599">
        <v>2.9525450000000002</v>
      </c>
      <c r="T6599">
        <v>-0.38513259999999999</v>
      </c>
      <c r="U6599">
        <v>-0.48143010000000003</v>
      </c>
      <c r="V6599">
        <v>-3.9136219999999999E-2</v>
      </c>
      <c r="W6599">
        <v>-1.566325E-2</v>
      </c>
      <c r="X6599">
        <v>0.99911110000000003</v>
      </c>
      <c r="Y6599">
        <v>-3.3391129999999998E-2</v>
      </c>
      <c r="Z6599">
        <v>2.458894E-2</v>
      </c>
      <c r="AA6599">
        <v>0.99913980000000002</v>
      </c>
      <c r="AB6599">
        <v>30</v>
      </c>
      <c r="AC6599">
        <v>0.55310000000000004</v>
      </c>
      <c r="AD6599">
        <v>-0.10996599999999999</v>
      </c>
      <c r="AE6599">
        <v>-8.1299999999998804E-2</v>
      </c>
      <c r="AF6599">
        <v>-2.7244284368832999E-2</v>
      </c>
      <c r="AG6599">
        <v>-0.10996599999999999</v>
      </c>
      <c r="AH6599">
        <v>0.53752823722695897</v>
      </c>
      <c r="AI6599">
        <v>101.547450634814</v>
      </c>
      <c r="AJ6599">
        <v>92.901518071305304</v>
      </c>
      <c r="AK6599">
        <v>0.54933721701982996</v>
      </c>
      <c r="AL6599">
        <v>90.897474831263906</v>
      </c>
      <c r="AM6599">
        <v>92.243188396840296</v>
      </c>
      <c r="AN6599">
        <v>0.99999998562982995</v>
      </c>
    </row>
    <row r="6600" spans="1:40" x14ac:dyDescent="0.25">
      <c r="A6600" t="str">
        <f>"20190305135955988"</f>
        <v>20190305135955988</v>
      </c>
      <c r="B6600" t="str">
        <f>"1551765595975313"</f>
        <v>1551765595975313</v>
      </c>
      <c r="C6600" t="s">
        <v>40</v>
      </c>
      <c r="D6600">
        <v>4.8777530000000002</v>
      </c>
      <c r="E6600">
        <v>0.49642520000000001</v>
      </c>
      <c r="F6600" t="s">
        <v>41</v>
      </c>
      <c r="G6600">
        <v>-161.70169999999999</v>
      </c>
      <c r="H6600">
        <v>1.000405</v>
      </c>
      <c r="I6600">
        <v>137.4297</v>
      </c>
      <c r="J6600">
        <v>-162.27289999999999</v>
      </c>
      <c r="K6600">
        <v>1.1118589999999999</v>
      </c>
      <c r="L6600">
        <v>137.511</v>
      </c>
      <c r="M6600">
        <v>0.98128660000000001</v>
      </c>
      <c r="N6600">
        <v>-1.4261589999999999E-2</v>
      </c>
      <c r="O6600">
        <v>-0.192024</v>
      </c>
      <c r="P6600">
        <v>0.98856460000000002</v>
      </c>
      <c r="Q6600">
        <v>-2.2245600000000001E-2</v>
      </c>
      <c r="R6600">
        <v>-0.14914810000000001</v>
      </c>
      <c r="S6600">
        <v>2.9536739999999999</v>
      </c>
      <c r="T6600">
        <v>-0.4013581</v>
      </c>
      <c r="U6600">
        <v>-0.46057130000000002</v>
      </c>
      <c r="V6600">
        <v>-4.3436000000000002E-2</v>
      </c>
      <c r="W6600">
        <v>-8.2114679999999995E-3</v>
      </c>
      <c r="X6600">
        <v>0.99902250000000004</v>
      </c>
      <c r="Y6600">
        <v>-3.6833619999999997E-2</v>
      </c>
      <c r="Z6600">
        <v>2.5610649999999999E-2</v>
      </c>
      <c r="AA6600">
        <v>0.99899320000000003</v>
      </c>
      <c r="AB6600">
        <v>30</v>
      </c>
      <c r="AC6600">
        <v>0.57120000000000404</v>
      </c>
      <c r="AD6600">
        <v>-0.111453999999999</v>
      </c>
      <c r="AE6600">
        <v>-8.1299999999998804E-2</v>
      </c>
      <c r="AF6600">
        <v>-2.8832608391727601E-2</v>
      </c>
      <c r="AG6600">
        <v>-0.111453999999999</v>
      </c>
      <c r="AH6600">
        <v>0.55545329875754301</v>
      </c>
      <c r="AI6600">
        <v>101.331105555672</v>
      </c>
      <c r="AJ6600">
        <v>92.971456700479493</v>
      </c>
      <c r="AK6600">
        <v>0.56725803698432298</v>
      </c>
      <c r="AL6600">
        <v>90.470487731042695</v>
      </c>
      <c r="AM6600">
        <v>92.489566610693103</v>
      </c>
      <c r="AN6600">
        <v>1.00000003490448</v>
      </c>
    </row>
    <row r="6601" spans="1:40" x14ac:dyDescent="0.25">
      <c r="A6601" t="str">
        <f>"20190305135956012"</f>
        <v>20190305135956012</v>
      </c>
      <c r="B6601" t="str">
        <f>"1551765596005570"</f>
        <v>1551765596005570</v>
      </c>
      <c r="C6601" t="s">
        <v>40</v>
      </c>
      <c r="D6601">
        <v>4.9201430000000004</v>
      </c>
      <c r="E6601">
        <v>0.4970464</v>
      </c>
      <c r="F6601" t="s">
        <v>41</v>
      </c>
      <c r="G6601">
        <v>-161.43780000000001</v>
      </c>
      <c r="H6601">
        <v>1.0056750000000001</v>
      </c>
      <c r="I6601">
        <v>137.38720000000001</v>
      </c>
      <c r="J6601">
        <v>-161.96180000000001</v>
      </c>
      <c r="K6601">
        <v>1.112903</v>
      </c>
      <c r="L6601">
        <v>137.45480000000001</v>
      </c>
      <c r="M6601">
        <v>0.98229069999999996</v>
      </c>
      <c r="N6601">
        <v>-1.422906E-2</v>
      </c>
      <c r="O6601">
        <v>-0.18682289999999999</v>
      </c>
      <c r="P6601">
        <v>0.99001059999999996</v>
      </c>
      <c r="Q6601">
        <v>-5.8826800000000004E-3</v>
      </c>
      <c r="R6601">
        <v>-0.14087040000000001</v>
      </c>
      <c r="S6601">
        <v>2.9600219999999999</v>
      </c>
      <c r="T6601">
        <v>-0.37644420000000001</v>
      </c>
      <c r="U6601">
        <v>-0.43869019999999997</v>
      </c>
      <c r="V6601">
        <v>-4.6644690000000003E-2</v>
      </c>
      <c r="W6601">
        <v>7.9953460000000004E-3</v>
      </c>
      <c r="X6601">
        <v>0.99887959999999998</v>
      </c>
      <c r="Y6601">
        <v>-3.9319470000000002E-2</v>
      </c>
      <c r="Z6601">
        <v>2.345568E-2</v>
      </c>
      <c r="AA6601">
        <v>0.99895140000000004</v>
      </c>
      <c r="AB6601">
        <v>30</v>
      </c>
      <c r="AC6601">
        <v>0.52400000000000002</v>
      </c>
      <c r="AD6601">
        <v>-0.107227999999999</v>
      </c>
      <c r="AE6601">
        <v>-6.7599999999998703E-2</v>
      </c>
      <c r="AF6601">
        <v>-3.02495709781762E-2</v>
      </c>
      <c r="AG6601">
        <v>-0.107227999999999</v>
      </c>
      <c r="AH6601">
        <v>0.50653884707519004</v>
      </c>
      <c r="AI6601">
        <v>101.931710699375</v>
      </c>
      <c r="AJ6601">
        <v>93.417540119551404</v>
      </c>
      <c r="AK6601">
        <v>0.51864678165841005</v>
      </c>
      <c r="AL6601">
        <v>89.541895562329699</v>
      </c>
      <c r="AM6601">
        <v>92.673599319472899</v>
      </c>
      <c r="AN6601">
        <v>1.0000000539795</v>
      </c>
    </row>
    <row r="6602" spans="1:40" x14ac:dyDescent="0.25">
      <c r="A6602" t="str">
        <f>"20190305135956032"</f>
        <v>20190305135956032</v>
      </c>
      <c r="B6602" t="str">
        <f>"1551765596026066"</f>
        <v>1551765596026066</v>
      </c>
      <c r="C6602" t="s">
        <v>40</v>
      </c>
      <c r="D6602">
        <v>4.8916940000000002</v>
      </c>
      <c r="E6602">
        <v>0.4972529</v>
      </c>
      <c r="F6602" t="s">
        <v>42</v>
      </c>
      <c r="G6602">
        <v>-151.57220000000001</v>
      </c>
      <c r="H6602" s="1">
        <v>-4.2394329999999999E-6</v>
      </c>
      <c r="I6602">
        <v>135.99889999999999</v>
      </c>
      <c r="J6602">
        <v>-161.6936</v>
      </c>
      <c r="K6602">
        <v>1.113734</v>
      </c>
      <c r="L6602">
        <v>137.40860000000001</v>
      </c>
      <c r="M6602">
        <v>0.98328210000000005</v>
      </c>
      <c r="N6602">
        <v>-1.4213689999999999E-2</v>
      </c>
      <c r="O6602">
        <v>-0.18153330000000001</v>
      </c>
      <c r="P6602">
        <v>0.99132540000000002</v>
      </c>
      <c r="Q6602">
        <v>7.8469739999999996E-3</v>
      </c>
      <c r="R6602">
        <v>-0.13119629999999999</v>
      </c>
      <c r="S6602">
        <v>2.9691770000000002</v>
      </c>
      <c r="T6602">
        <v>-0.31805050000000001</v>
      </c>
      <c r="U6602">
        <v>-0.41604609999999898</v>
      </c>
      <c r="V6602">
        <v>-5.1158799999999997E-2</v>
      </c>
      <c r="W6602">
        <v>2.1577889999999999E-2</v>
      </c>
      <c r="X6602">
        <v>0.99845740000000005</v>
      </c>
      <c r="Y6602">
        <v>-4.2315989999999998E-2</v>
      </c>
      <c r="Z6602">
        <v>1.9126529999999999E-2</v>
      </c>
      <c r="AA6602">
        <v>0.99892119999999995</v>
      </c>
      <c r="AB6602">
        <v>30</v>
      </c>
      <c r="AC6602">
        <v>10.1213999999999</v>
      </c>
      <c r="AD6602">
        <v>-1.113738239433</v>
      </c>
      <c r="AE6602">
        <v>-1.4097000000000099</v>
      </c>
      <c r="AF6602">
        <v>-0.445986542047345</v>
      </c>
      <c r="AG6602">
        <v>-1.113738239433</v>
      </c>
      <c r="AH6602">
        <v>10.0892900241184</v>
      </c>
      <c r="AI6602">
        <v>96.293176020634604</v>
      </c>
      <c r="AJ6602">
        <v>92.531052479820204</v>
      </c>
      <c r="AK6602">
        <v>10.1603685982566</v>
      </c>
      <c r="AL6602">
        <v>88.763582017209899</v>
      </c>
      <c r="AM6602">
        <v>92.933146936014296</v>
      </c>
      <c r="AN6602">
        <v>1.00000000388452</v>
      </c>
    </row>
    <row r="6603" spans="1:40" x14ac:dyDescent="0.25">
      <c r="A6603" t="str">
        <f>"20190305135956056"</f>
        <v>20190305135956056</v>
      </c>
      <c r="B6603" t="str">
        <f>"1551765596045585"</f>
        <v>1551765596045585</v>
      </c>
      <c r="C6603" t="s">
        <v>40</v>
      </c>
      <c r="D6603">
        <v>4.8791010000000004</v>
      </c>
      <c r="E6603">
        <v>0.49759320000000001</v>
      </c>
      <c r="F6603" t="s">
        <v>42</v>
      </c>
      <c r="G6603">
        <v>-149.60169999999999</v>
      </c>
      <c r="H6603" s="1">
        <v>-1.128503E-6</v>
      </c>
      <c r="I6603">
        <v>135.83189999999999</v>
      </c>
      <c r="J6603">
        <v>-161.3922</v>
      </c>
      <c r="K6603">
        <v>1.1145480000000001</v>
      </c>
      <c r="L6603">
        <v>137.35929999999999</v>
      </c>
      <c r="M6603">
        <v>0.9844946</v>
      </c>
      <c r="N6603">
        <v>-1.4203800000000001E-2</v>
      </c>
      <c r="O6603">
        <v>-0.1748392</v>
      </c>
      <c r="P6603">
        <v>0.99261169999999999</v>
      </c>
      <c r="Q6603">
        <v>1.5979839999999999E-2</v>
      </c>
      <c r="R6603">
        <v>-0.1202776</v>
      </c>
      <c r="S6603">
        <v>2.9770509999999999</v>
      </c>
      <c r="T6603">
        <v>-0.27420430000000001</v>
      </c>
      <c r="U6603">
        <v>-0.38816830000000002</v>
      </c>
      <c r="V6603">
        <v>-5.5467130000000003E-2</v>
      </c>
      <c r="W6603">
        <v>2.955323E-2</v>
      </c>
      <c r="X6603">
        <v>0.99802299999999999</v>
      </c>
      <c r="Y6603">
        <v>-4.5360440000000002E-2</v>
      </c>
      <c r="Z6603">
        <v>1.5809899999999901E-2</v>
      </c>
      <c r="AA6603">
        <v>0.9988456</v>
      </c>
      <c r="AB6603">
        <v>30</v>
      </c>
      <c r="AC6603">
        <v>11.7905</v>
      </c>
      <c r="AD6603">
        <v>-1.11454912850299</v>
      </c>
      <c r="AE6603">
        <v>-1.5274000000000001</v>
      </c>
      <c r="AF6603">
        <v>-0.55292151812690904</v>
      </c>
      <c r="AG6603">
        <v>-1.11454912850299</v>
      </c>
      <c r="AH6603">
        <v>11.7724700375718</v>
      </c>
      <c r="AI6603">
        <v>95.402391592580102</v>
      </c>
      <c r="AJ6603">
        <v>92.689053817715703</v>
      </c>
      <c r="AK6603">
        <v>11.8380316248344</v>
      </c>
      <c r="AL6603">
        <v>88.306477989571405</v>
      </c>
      <c r="AM6603">
        <v>93.181055341912796</v>
      </c>
      <c r="AN6603">
        <v>0.99999995222143301</v>
      </c>
    </row>
    <row r="6604" spans="1:40" x14ac:dyDescent="0.25">
      <c r="A6604" t="str">
        <f>"20190305135956079"</f>
        <v>20190305135956079</v>
      </c>
      <c r="B6604" t="str">
        <f>"1551765596075842"</f>
        <v>1551765596075842</v>
      </c>
      <c r="C6604" t="s">
        <v>40</v>
      </c>
      <c r="D6604">
        <v>4.8946639999999997</v>
      </c>
      <c r="E6604">
        <v>0.49831579999999898</v>
      </c>
      <c r="F6604" t="s">
        <v>42</v>
      </c>
      <c r="G6604">
        <v>-147.9281</v>
      </c>
      <c r="H6604" s="1">
        <v>-1.7209039999999901E-6</v>
      </c>
      <c r="I6604">
        <v>135.74600000000001</v>
      </c>
      <c r="J6604">
        <v>-161.0932</v>
      </c>
      <c r="K6604">
        <v>1.115213</v>
      </c>
      <c r="L6604">
        <v>137.3135</v>
      </c>
      <c r="M6604">
        <v>0.98577320000000002</v>
      </c>
      <c r="N6604">
        <v>-1.420014E-2</v>
      </c>
      <c r="O6604">
        <v>-0.1674795</v>
      </c>
      <c r="P6604">
        <v>0.99358760000000002</v>
      </c>
      <c r="Q6604">
        <v>1.787037E-2</v>
      </c>
      <c r="R6604">
        <v>-0.1116427</v>
      </c>
      <c r="S6604">
        <v>2.9830019999999999</v>
      </c>
      <c r="T6604">
        <v>-0.24693100000000001</v>
      </c>
      <c r="U6604">
        <v>-0.35742190000000001</v>
      </c>
      <c r="V6604">
        <v>-5.675463E-2</v>
      </c>
      <c r="W6604">
        <v>3.1333380000000001E-2</v>
      </c>
      <c r="X6604">
        <v>0.99789640000000002</v>
      </c>
      <c r="Y6604">
        <v>-4.8447230000000001E-2</v>
      </c>
      <c r="Z6604">
        <v>1.366736E-2</v>
      </c>
      <c r="AA6604">
        <v>0.99873219999999996</v>
      </c>
      <c r="AB6604">
        <v>30</v>
      </c>
      <c r="AC6604">
        <v>13.165099999999899</v>
      </c>
      <c r="AD6604">
        <v>-1.115214720904</v>
      </c>
      <c r="AE6604">
        <v>-1.5674999999999899</v>
      </c>
      <c r="AF6604">
        <v>-0.65511619827848699</v>
      </c>
      <c r="AG6604">
        <v>-1.115214720904</v>
      </c>
      <c r="AH6604">
        <v>13.148630414330899</v>
      </c>
      <c r="AI6604">
        <v>94.842020413237194</v>
      </c>
      <c r="AJ6604">
        <v>92.852341170610103</v>
      </c>
      <c r="AK6604">
        <v>13.2120915406924</v>
      </c>
      <c r="AL6604">
        <v>88.204435762244799</v>
      </c>
      <c r="AM6604">
        <v>93.255148906017297</v>
      </c>
      <c r="AN6604">
        <v>1.0000000469307999</v>
      </c>
    </row>
    <row r="6605" spans="1:40" x14ac:dyDescent="0.25">
      <c r="A6605" t="str">
        <f>"20190305135956131"</f>
        <v>20190305135956131</v>
      </c>
      <c r="B6605" t="str">
        <f>"1551765596115858"</f>
        <v>1551765596115858</v>
      </c>
      <c r="C6605" t="s">
        <v>40</v>
      </c>
      <c r="D6605">
        <v>4.8483799999999997</v>
      </c>
      <c r="E6605">
        <v>0.4987452</v>
      </c>
      <c r="F6605" t="s">
        <v>42</v>
      </c>
      <c r="G6605">
        <v>-147.13679999999999</v>
      </c>
      <c r="H6605" s="1">
        <v>-1.9901300000000002E-6</v>
      </c>
      <c r="I6605">
        <v>135.74619999999999</v>
      </c>
      <c r="J6605">
        <v>-160.4282</v>
      </c>
      <c r="K6605">
        <v>1.1161369999999999</v>
      </c>
      <c r="L6605">
        <v>137.2227</v>
      </c>
      <c r="M6605">
        <v>0.98871140000000002</v>
      </c>
      <c r="N6605">
        <v>-1.420393E-2</v>
      </c>
      <c r="O6605">
        <v>-0.14915809999999999</v>
      </c>
      <c r="P6605">
        <v>0.99527690000000002</v>
      </c>
      <c r="Q6605">
        <v>6.0001960000000002E-3</v>
      </c>
      <c r="R6605">
        <v>-9.6891050000000006E-2</v>
      </c>
      <c r="S6605">
        <v>2.9859770000000001</v>
      </c>
      <c r="T6605">
        <v>-0.23860000000000001</v>
      </c>
      <c r="U6605">
        <v>-0.3353119</v>
      </c>
      <c r="V6605">
        <v>-5.2959319999999997E-2</v>
      </c>
      <c r="W6605">
        <v>1.9388240000000001E-2</v>
      </c>
      <c r="X6605">
        <v>0.99840839999999997</v>
      </c>
      <c r="Y6605">
        <v>-3.7444409999999997E-2</v>
      </c>
      <c r="Z6605">
        <v>1.1441160000000001E-2</v>
      </c>
      <c r="AA6605">
        <v>0.99923320000000004</v>
      </c>
      <c r="AB6605">
        <v>30</v>
      </c>
      <c r="AC6605">
        <v>13.291399999999999</v>
      </c>
      <c r="AD6605">
        <v>-1.1161389901300001</v>
      </c>
      <c r="AE6605">
        <v>-1.4765000000000099</v>
      </c>
      <c r="AF6605">
        <v>-0.51912419545719801</v>
      </c>
      <c r="AG6605">
        <v>-1.1161389901300001</v>
      </c>
      <c r="AH6605">
        <v>13.270498755508701</v>
      </c>
      <c r="AI6605">
        <v>94.803991695050996</v>
      </c>
      <c r="AJ6605">
        <v>92.240192172138407</v>
      </c>
      <c r="AK6605">
        <v>13.327467628756599</v>
      </c>
      <c r="AL6605">
        <v>88.8890660269075</v>
      </c>
      <c r="AM6605">
        <v>93.0363370999073</v>
      </c>
      <c r="AN6605">
        <v>0.99999996330785901</v>
      </c>
    </row>
    <row r="6606" spans="1:40" x14ac:dyDescent="0.25">
      <c r="A6606" t="str">
        <f>"20190305135956153"</f>
        <v>20190305135956153</v>
      </c>
      <c r="B6606" t="str">
        <f>"1551765596145138"</f>
        <v>1551765596145138</v>
      </c>
      <c r="C6606" t="s">
        <v>40</v>
      </c>
      <c r="D6606">
        <v>4.7974180000000004</v>
      </c>
      <c r="E6606">
        <v>0.49933169999999999</v>
      </c>
      <c r="F6606" t="s">
        <v>42</v>
      </c>
      <c r="G6606">
        <v>-148.20419999999999</v>
      </c>
      <c r="H6606" s="1">
        <v>-1.5487009999999999E-6</v>
      </c>
      <c r="I6606">
        <v>136.04</v>
      </c>
      <c r="J6606">
        <v>-160.12719999999999</v>
      </c>
      <c r="K6606">
        <v>1.1163459999999901</v>
      </c>
      <c r="L6606">
        <v>137.18639999999999</v>
      </c>
      <c r="M6606">
        <v>0.99000060000000001</v>
      </c>
      <c r="N6606">
        <v>-1.420255E-2</v>
      </c>
      <c r="O6606">
        <v>-0.14034679999999999</v>
      </c>
      <c r="P6606">
        <v>0.99609170000000002</v>
      </c>
      <c r="Q6606">
        <v>-4.6479920000000001E-3</v>
      </c>
      <c r="R6606">
        <v>-8.8205679999999995E-2</v>
      </c>
      <c r="S6606">
        <v>2.9877319999999998</v>
      </c>
      <c r="T6606">
        <v>-0.27280070000000001</v>
      </c>
      <c r="U6606">
        <v>-0.2890472</v>
      </c>
      <c r="V6606">
        <v>-5.2623959999999997E-2</v>
      </c>
      <c r="W6606">
        <v>8.7072399999999998E-3</v>
      </c>
      <c r="X6606">
        <v>0.99857649999999998</v>
      </c>
      <c r="Y6606">
        <v>-4.3751150000000003E-2</v>
      </c>
      <c r="Z6606">
        <v>1.3012350000000001E-2</v>
      </c>
      <c r="AA6606">
        <v>0.99895769999999995</v>
      </c>
      <c r="AB6606">
        <v>30</v>
      </c>
      <c r="AC6606">
        <v>11.923</v>
      </c>
      <c r="AD6606">
        <v>-1.1163475487009999</v>
      </c>
      <c r="AE6606">
        <v>-1.1464000000000001</v>
      </c>
      <c r="AF6606">
        <v>-0.53383546964143502</v>
      </c>
      <c r="AG6606">
        <v>-1.1163475487009999</v>
      </c>
      <c r="AH6606">
        <v>11.862833600740901</v>
      </c>
      <c r="AI6606">
        <v>95.370562787560601</v>
      </c>
      <c r="AJ6606">
        <v>92.576610186698005</v>
      </c>
      <c r="AK6606">
        <v>11.927197206259599</v>
      </c>
      <c r="AL6606">
        <v>89.501105623444104</v>
      </c>
      <c r="AM6606">
        <v>93.016638446691502</v>
      </c>
      <c r="AN6606">
        <v>1.00000006177337</v>
      </c>
    </row>
    <row r="6607" spans="1:40" x14ac:dyDescent="0.25">
      <c r="A6607" t="str">
        <f>"20190305135956195"</f>
        <v>20190305135956195</v>
      </c>
      <c r="B6607" t="str">
        <f>"1551765596185154"</f>
        <v>1551765596185154</v>
      </c>
      <c r="C6607" t="s">
        <v>40</v>
      </c>
      <c r="D6607">
        <v>4.9537430000000002</v>
      </c>
      <c r="E6607">
        <v>0.4998436</v>
      </c>
      <c r="F6607" t="s">
        <v>42</v>
      </c>
      <c r="G6607">
        <v>-149.25640000000001</v>
      </c>
      <c r="H6607" s="1">
        <v>-1.1444889999999999E-6</v>
      </c>
      <c r="I6607">
        <v>136.21350000000001</v>
      </c>
      <c r="J6607">
        <v>-159.58179999999999</v>
      </c>
      <c r="K6607">
        <v>1.116552</v>
      </c>
      <c r="L6607">
        <v>137.12809999999999</v>
      </c>
      <c r="M6607">
        <v>0.99218759999999995</v>
      </c>
      <c r="N6607">
        <v>-1.419927E-2</v>
      </c>
      <c r="O6607">
        <v>-0.123944899999999</v>
      </c>
      <c r="P6607">
        <v>0.99734730000000005</v>
      </c>
      <c r="Q6607">
        <v>-2.0048989999999999E-2</v>
      </c>
      <c r="R6607">
        <v>-6.997478E-2</v>
      </c>
      <c r="S6607">
        <v>2.9866790000000001</v>
      </c>
      <c r="T6607">
        <v>-0.30670760000000002</v>
      </c>
      <c r="U6607">
        <v>-0.26727289999999998</v>
      </c>
      <c r="V6607">
        <v>-5.4088900000000002E-2</v>
      </c>
      <c r="W6607">
        <v>-6.7646009999999899E-3</v>
      </c>
      <c r="X6607">
        <v>0.99851319999999999</v>
      </c>
      <c r="Y6607">
        <v>-3.4339679999999997E-2</v>
      </c>
      <c r="Z6607">
        <v>1.286933E-2</v>
      </c>
      <c r="AA6607">
        <v>0.99932739999999998</v>
      </c>
      <c r="AB6607">
        <v>30</v>
      </c>
      <c r="AC6607">
        <v>10.325399999999901</v>
      </c>
      <c r="AD6607">
        <v>-1.116553144489</v>
      </c>
      <c r="AE6607">
        <v>-0.91459999999997799</v>
      </c>
      <c r="AF6607">
        <v>-0.36809260829931101</v>
      </c>
      <c r="AG6607">
        <v>-1.116553144489</v>
      </c>
      <c r="AH6607">
        <v>10.240324053501499</v>
      </c>
      <c r="AI6607">
        <v>96.218675414385203</v>
      </c>
      <c r="AJ6607">
        <v>92.058633742157596</v>
      </c>
      <c r="AK6607">
        <v>10.3075903980259</v>
      </c>
      <c r="AL6607">
        <v>90.387586047378605</v>
      </c>
      <c r="AM6607">
        <v>93.100649835071593</v>
      </c>
      <c r="AN6607">
        <v>0.99999998975206905</v>
      </c>
    </row>
    <row r="6608" spans="1:40" x14ac:dyDescent="0.25">
      <c r="A6608" t="str">
        <f>"20190305135956215"</f>
        <v>20190305135956215</v>
      </c>
      <c r="B6608" t="str">
        <f>"1551765596205649"</f>
        <v>1551765596205649</v>
      </c>
      <c r="C6608" t="s">
        <v>40</v>
      </c>
      <c r="D6608">
        <v>4.8883190000000001</v>
      </c>
      <c r="E6608">
        <v>0.50029250000000003</v>
      </c>
      <c r="F6608" t="s">
        <v>41</v>
      </c>
      <c r="G6608">
        <v>-158.81979999999999</v>
      </c>
      <c r="H6608">
        <v>1.0263469999999999</v>
      </c>
      <c r="I6608">
        <v>137.072</v>
      </c>
      <c r="J6608">
        <v>-159.32740000000001</v>
      </c>
      <c r="K6608">
        <v>1.116655</v>
      </c>
      <c r="L6608">
        <v>137.10429999999999</v>
      </c>
      <c r="M6608">
        <v>0.99312889999999998</v>
      </c>
      <c r="N6608">
        <v>-1.4200300000000001E-2</v>
      </c>
      <c r="O6608">
        <v>-0.11616170000000001</v>
      </c>
      <c r="P6608">
        <v>0.9979247</v>
      </c>
      <c r="Q6608">
        <v>-1.9642179999999999E-2</v>
      </c>
      <c r="R6608">
        <v>-6.1324389999999999E-2</v>
      </c>
      <c r="S6608">
        <v>2.9854430000000001</v>
      </c>
      <c r="T6608">
        <v>-0.35339379999999998</v>
      </c>
      <c r="U6608">
        <v>-0.2199402</v>
      </c>
      <c r="V6608">
        <v>-5.492416E-2</v>
      </c>
      <c r="W6608">
        <v>-6.3842990000000004E-3</v>
      </c>
      <c r="X6608">
        <v>0.99847010000000003</v>
      </c>
      <c r="Y6608">
        <v>-4.1939110000000002E-2</v>
      </c>
      <c r="Z6608">
        <v>1.4768989999999999E-2</v>
      </c>
      <c r="AA6608">
        <v>0.99901099999999998</v>
      </c>
      <c r="AB6608">
        <v>30</v>
      </c>
      <c r="AC6608">
        <v>0.50760000000002403</v>
      </c>
      <c r="AD6608">
        <v>-9.0307999999999999E-2</v>
      </c>
      <c r="AE6608">
        <v>-3.2299999999992203E-2</v>
      </c>
      <c r="AF6608">
        <v>-2.6066576635634699E-2</v>
      </c>
      <c r="AG6608">
        <v>-9.0307999999999999E-2</v>
      </c>
      <c r="AH6608">
        <v>0.49239276237544</v>
      </c>
      <c r="AI6608">
        <v>100.37869338672</v>
      </c>
      <c r="AJ6608">
        <v>93.030328842148805</v>
      </c>
      <c r="AK6608">
        <v>0.50128398510347205</v>
      </c>
      <c r="AL6608">
        <v>90.365795879534403</v>
      </c>
      <c r="AM6608">
        <v>93.148571204016804</v>
      </c>
      <c r="AN6608">
        <v>0.99999998160971804</v>
      </c>
    </row>
    <row r="6609" spans="1:40" x14ac:dyDescent="0.25">
      <c r="A6609" t="str">
        <f>"20190305135956234"</f>
        <v>20190305135956234</v>
      </c>
      <c r="B6609" t="str">
        <f>"1551765596225170"</f>
        <v>1551765596225170</v>
      </c>
      <c r="C6609" t="s">
        <v>40</v>
      </c>
      <c r="D6609">
        <v>4.872566</v>
      </c>
      <c r="E6609">
        <v>0.50067039999999996</v>
      </c>
      <c r="F6609" t="s">
        <v>41</v>
      </c>
      <c r="G6609">
        <v>-158.56209999999999</v>
      </c>
      <c r="H6609">
        <v>1.02644</v>
      </c>
      <c r="I6609">
        <v>137.05330000000001</v>
      </c>
      <c r="J6609">
        <v>-159.06909999999999</v>
      </c>
      <c r="K6609">
        <v>1.116773</v>
      </c>
      <c r="L6609">
        <v>137.0822</v>
      </c>
      <c r="M6609">
        <v>0.99403070000000004</v>
      </c>
      <c r="N6609">
        <v>-1.4204659999999999E-2</v>
      </c>
      <c r="O6609">
        <v>-0.1081725</v>
      </c>
      <c r="P6609">
        <v>0.99851540000000005</v>
      </c>
      <c r="Q6609">
        <v>-1.5214099999999999E-2</v>
      </c>
      <c r="R6609">
        <v>-5.2305110000000002E-2</v>
      </c>
      <c r="S6609">
        <v>2.9870760000000001</v>
      </c>
      <c r="T6609">
        <v>-0.35255999999999998</v>
      </c>
      <c r="U6609">
        <v>-0.19856260000000001</v>
      </c>
      <c r="V6609">
        <v>-5.599925E-2</v>
      </c>
      <c r="W6609">
        <v>-1.98307E-3</v>
      </c>
      <c r="X6609">
        <v>0.99842880000000001</v>
      </c>
      <c r="Y6609">
        <v>-4.1113950000000003E-2</v>
      </c>
      <c r="Z6609">
        <v>1.3854119999999999E-2</v>
      </c>
      <c r="AA6609">
        <v>0.99905840000000001</v>
      </c>
      <c r="AB6609">
        <v>30</v>
      </c>
      <c r="AC6609">
        <v>0.507000000000005</v>
      </c>
      <c r="AD6609">
        <v>-9.0332999999999997E-2</v>
      </c>
      <c r="AE6609">
        <v>-2.8899999999993001E-2</v>
      </c>
      <c r="AF6609">
        <v>-2.5317500106591201E-2</v>
      </c>
      <c r="AG6609">
        <v>-9.0332999999999997E-2</v>
      </c>
      <c r="AH6609">
        <v>0.49159567290591299</v>
      </c>
      <c r="AI6609">
        <v>100.398731781346</v>
      </c>
      <c r="AJ6609">
        <v>92.948165635546601</v>
      </c>
      <c r="AK6609">
        <v>0.500467114124859</v>
      </c>
      <c r="AL6609">
        <v>90.113621620651699</v>
      </c>
      <c r="AM6609">
        <v>93.210206445430003</v>
      </c>
      <c r="AN6609">
        <v>0.99999995861831203</v>
      </c>
    </row>
    <row r="6610" spans="1:40" x14ac:dyDescent="0.25">
      <c r="A6610" t="str">
        <f>"20190305135956257"</f>
        <v>20190305135956257</v>
      </c>
      <c r="B6610" t="str">
        <f>"1551765596245666"</f>
        <v>1551765596245666</v>
      </c>
      <c r="C6610" t="s">
        <v>40</v>
      </c>
      <c r="D6610">
        <v>4.8990159999999996</v>
      </c>
      <c r="E6610">
        <v>0.50117179999999995</v>
      </c>
      <c r="F6610" t="s">
        <v>42</v>
      </c>
      <c r="G6610">
        <v>-149.19829999999999</v>
      </c>
      <c r="H6610" s="1">
        <v>-1.086748E-6</v>
      </c>
      <c r="I6610">
        <v>136.50479999999999</v>
      </c>
      <c r="J6610">
        <v>-158.7867</v>
      </c>
      <c r="K6610">
        <v>1.116938</v>
      </c>
      <c r="L6610">
        <v>137.06059999999999</v>
      </c>
      <c r="M6610">
        <v>0.99495389999999995</v>
      </c>
      <c r="N6610">
        <v>-1.421379E-2</v>
      </c>
      <c r="O6610">
        <v>-9.9320640000000002E-2</v>
      </c>
      <c r="P6610">
        <v>0.99902179999999996</v>
      </c>
      <c r="Q6610">
        <v>-8.8310650000000008E-3</v>
      </c>
      <c r="R6610">
        <v>-4.3327690000000002E-2</v>
      </c>
      <c r="S6610">
        <v>2.9901430000000002</v>
      </c>
      <c r="T6610">
        <v>-0.338302299999999</v>
      </c>
      <c r="U6610">
        <v>-0.1749115</v>
      </c>
      <c r="V6610">
        <v>-5.6204009999999999E-2</v>
      </c>
      <c r="W6610">
        <v>4.390527E-3</v>
      </c>
      <c r="X6610">
        <v>0.99840960000000001</v>
      </c>
      <c r="Y6610">
        <v>-4.028528E-2</v>
      </c>
      <c r="Z6610">
        <v>1.2317740000000001E-2</v>
      </c>
      <c r="AA6610">
        <v>0.99911229999999995</v>
      </c>
      <c r="AB6610">
        <v>29</v>
      </c>
      <c r="AC6610">
        <v>9.5884</v>
      </c>
      <c r="AD6610">
        <v>-1.116939086748</v>
      </c>
      <c r="AE6610">
        <v>-0.55580000000000496</v>
      </c>
      <c r="AF6610">
        <v>-0.39404193376636598</v>
      </c>
      <c r="AG6610">
        <v>-1.116939086748</v>
      </c>
      <c r="AH6610">
        <v>9.4681398403480301</v>
      </c>
      <c r="AI6610">
        <v>96.722217311737694</v>
      </c>
      <c r="AJ6610">
        <v>92.383141674661701</v>
      </c>
      <c r="AK6610">
        <v>9.5419334521603894</v>
      </c>
      <c r="AL6610">
        <v>89.748440511874506</v>
      </c>
      <c r="AM6610">
        <v>93.221981637529197</v>
      </c>
      <c r="AN6610">
        <v>0.99999994841978701</v>
      </c>
    </row>
    <row r="6611" spans="1:40" x14ac:dyDescent="0.25">
      <c r="A6611" t="str">
        <f>"20190305135956279"</f>
        <v>20190305135956279</v>
      </c>
      <c r="B6611" t="str">
        <f>"1551765596275923"</f>
        <v>1551765596275923</v>
      </c>
      <c r="C6611" t="s">
        <v>40</v>
      </c>
      <c r="D6611">
        <v>4.9173010000000001</v>
      </c>
      <c r="E6611">
        <v>0.50209129999999902</v>
      </c>
      <c r="F6611" t="s">
        <v>42</v>
      </c>
      <c r="G6611">
        <v>-148.2517</v>
      </c>
      <c r="H6611" s="1">
        <v>-1.4036250000000001E-6</v>
      </c>
      <c r="I6611">
        <v>136.52459999999999</v>
      </c>
      <c r="J6611">
        <v>-158.501</v>
      </c>
      <c r="K6611">
        <v>1.1171009999999999</v>
      </c>
      <c r="L6611">
        <v>137.04140000000001</v>
      </c>
      <c r="M6611">
        <v>0.99582150000000003</v>
      </c>
      <c r="N6611">
        <v>-1.42282E-2</v>
      </c>
      <c r="O6611">
        <v>-9.0207090000000004E-2</v>
      </c>
      <c r="P6611">
        <v>0.9993512</v>
      </c>
      <c r="Q6611">
        <v>-5.2971499999999996E-3</v>
      </c>
      <c r="R6611">
        <v>-3.5625230000000001E-2</v>
      </c>
      <c r="S6611">
        <v>2.9935149999999999</v>
      </c>
      <c r="T6611">
        <v>-0.31737690000000002</v>
      </c>
      <c r="U6611">
        <v>-0.15228269999999999</v>
      </c>
      <c r="V6611">
        <v>-5.4826409999999999E-2</v>
      </c>
      <c r="W6611">
        <v>7.9452810000000002E-3</v>
      </c>
      <c r="X6611">
        <v>0.99846429999999997</v>
      </c>
      <c r="Y6611">
        <v>-3.8878879999999998E-2</v>
      </c>
      <c r="Z6611">
        <v>1.056576E-2</v>
      </c>
      <c r="AA6611">
        <v>0.99918810000000002</v>
      </c>
      <c r="AB6611">
        <v>29</v>
      </c>
      <c r="AC6611">
        <v>10.2493</v>
      </c>
      <c r="AD6611">
        <v>-1.1171024036249999</v>
      </c>
      <c r="AE6611">
        <v>-0.51680000000001702</v>
      </c>
      <c r="AF6611">
        <v>-0.405159549640076</v>
      </c>
      <c r="AG6611">
        <v>-1.1171024036249999</v>
      </c>
      <c r="AH6611">
        <v>10.1340472343005</v>
      </c>
      <c r="AI6611">
        <v>96.285484859182006</v>
      </c>
      <c r="AJ6611">
        <v>92.289467882737398</v>
      </c>
      <c r="AK6611">
        <v>10.203479082542501</v>
      </c>
      <c r="AL6611">
        <v>89.544764146721704</v>
      </c>
      <c r="AM6611">
        <v>93.142997072581593</v>
      </c>
      <c r="AN6611">
        <v>1.0000000105490701</v>
      </c>
    </row>
    <row r="6612" spans="1:40" x14ac:dyDescent="0.25">
      <c r="A6612" t="str">
        <f>"20190305135956306"</f>
        <v>20190305135956306</v>
      </c>
      <c r="B6612" t="str">
        <f>"1551765596295442"</f>
        <v>1551765596295442</v>
      </c>
      <c r="C6612" t="s">
        <v>40</v>
      </c>
      <c r="D6612">
        <v>4.9297399999999998</v>
      </c>
      <c r="E6612">
        <v>0.50267079999999997</v>
      </c>
      <c r="F6612" t="s">
        <v>41</v>
      </c>
      <c r="G6612">
        <v>-157.5333</v>
      </c>
      <c r="H6612">
        <v>1.0194719999999999</v>
      </c>
      <c r="I6612">
        <v>136.99719999999999</v>
      </c>
      <c r="J6612">
        <v>-158.1542</v>
      </c>
      <c r="K6612">
        <v>1.117299</v>
      </c>
      <c r="L6612">
        <v>137.0223</v>
      </c>
      <c r="M6612">
        <v>0.99678389999999994</v>
      </c>
      <c r="N6612">
        <v>-1.4253109999999999E-2</v>
      </c>
      <c r="O6612">
        <v>-7.8861329999999993E-2</v>
      </c>
      <c r="P6612">
        <v>0.99960599999999999</v>
      </c>
      <c r="Q6612">
        <v>-4.4206899999999997E-3</v>
      </c>
      <c r="R6612">
        <v>-2.772297E-2</v>
      </c>
      <c r="S6612">
        <v>2.9954830000000001</v>
      </c>
      <c r="T6612">
        <v>-0.30265409999999998</v>
      </c>
      <c r="U6612">
        <v>-0.13650509999999999</v>
      </c>
      <c r="V6612">
        <v>-5.1370600000000002E-2</v>
      </c>
      <c r="W6612">
        <v>8.8865230000000003E-3</v>
      </c>
      <c r="X6612">
        <v>0.99864010000000003</v>
      </c>
      <c r="Y6612">
        <v>-3.2920869999999998E-2</v>
      </c>
      <c r="Z6612">
        <v>8.7048439999999998E-3</v>
      </c>
      <c r="AA6612">
        <v>0.99941999999999998</v>
      </c>
      <c r="AB6612">
        <v>29</v>
      </c>
      <c r="AC6612">
        <v>0.620900000000006</v>
      </c>
      <c r="AD6612">
        <v>-9.7827000000000094E-2</v>
      </c>
      <c r="AE6612">
        <v>-2.5100000000009001E-2</v>
      </c>
      <c r="AF6612">
        <v>-2.3368983382330299E-2</v>
      </c>
      <c r="AG6612">
        <v>-9.7827000000000094E-2</v>
      </c>
      <c r="AH6612">
        <v>0.605928385527294</v>
      </c>
      <c r="AI6612">
        <v>99.164553444105593</v>
      </c>
      <c r="AJ6612">
        <v>92.208645246644494</v>
      </c>
      <c r="AK6612">
        <v>0.61421937424753803</v>
      </c>
      <c r="AL6612">
        <v>89.490833025242296</v>
      </c>
      <c r="AM6612">
        <v>92.944731089807604</v>
      </c>
      <c r="AN6612">
        <v>0.99999997908169902</v>
      </c>
    </row>
    <row r="6613" spans="1:40" x14ac:dyDescent="0.25">
      <c r="A6613" t="str">
        <f>"20190305135956330"</f>
        <v>20190305135956330</v>
      </c>
      <c r="B6613" t="str">
        <f>"1551765596325698"</f>
        <v>1551765596325698</v>
      </c>
      <c r="C6613" t="s">
        <v>40</v>
      </c>
      <c r="D6613">
        <v>4.9015709999999997</v>
      </c>
      <c r="E6613">
        <v>0.50361279999999997</v>
      </c>
      <c r="F6613" t="s">
        <v>41</v>
      </c>
      <c r="G6613">
        <v>-157.268</v>
      </c>
      <c r="H6613">
        <v>1.029067</v>
      </c>
      <c r="I6613">
        <v>136.98769999999999</v>
      </c>
      <c r="J6613">
        <v>-157.8295</v>
      </c>
      <c r="K6613">
        <v>1.1174649999999999</v>
      </c>
      <c r="L6613">
        <v>137.00810000000001</v>
      </c>
      <c r="M6613">
        <v>0.99758380000000002</v>
      </c>
      <c r="N6613">
        <v>-1.427898E-2</v>
      </c>
      <c r="O6613">
        <v>-6.7990910000000002E-2</v>
      </c>
      <c r="P6613">
        <v>0.99977859999999996</v>
      </c>
      <c r="Q6613">
        <v>-5.4275929999999997E-3</v>
      </c>
      <c r="R6613">
        <v>-2.033973E-2</v>
      </c>
      <c r="S6613">
        <v>2.996613</v>
      </c>
      <c r="T6613">
        <v>-0.29830859999999998</v>
      </c>
      <c r="U6613">
        <v>-0.1173401</v>
      </c>
      <c r="V6613">
        <v>-4.7845909999999998E-2</v>
      </c>
      <c r="W6613">
        <v>7.9510029999999999E-3</v>
      </c>
      <c r="X6613">
        <v>0.99882309999999996</v>
      </c>
      <c r="Y6613">
        <v>-2.8502309999999999E-2</v>
      </c>
      <c r="Z6613">
        <v>7.3924330000000003E-3</v>
      </c>
      <c r="AA6613">
        <v>0.99956639999999997</v>
      </c>
      <c r="AB6613">
        <v>29</v>
      </c>
      <c r="AC6613">
        <v>0.561499999999995</v>
      </c>
      <c r="AD6613">
        <v>-8.8397999999999893E-2</v>
      </c>
      <c r="AE6613">
        <v>-2.04000000000235E-2</v>
      </c>
      <c r="AF6613">
        <v>-1.73973810496845E-2</v>
      </c>
      <c r="AG6613">
        <v>-8.8397999999999893E-2</v>
      </c>
      <c r="AH6613">
        <v>0.54802281732796099</v>
      </c>
      <c r="AI6613">
        <v>99.158547522635203</v>
      </c>
      <c r="AJ6613">
        <v>91.818285343919996</v>
      </c>
      <c r="AK6613">
        <v>0.55537904496250501</v>
      </c>
      <c r="AL6613">
        <v>89.544436293004793</v>
      </c>
      <c r="AM6613">
        <v>92.742502435125004</v>
      </c>
      <c r="AN6613">
        <v>1.0000000173230199</v>
      </c>
    </row>
    <row r="6614" spans="1:40" x14ac:dyDescent="0.25">
      <c r="A6614" t="str">
        <f>"20190305135956352"</f>
        <v>20190305135956352</v>
      </c>
      <c r="B6614" t="str">
        <f>"1551765596345218"</f>
        <v>1551765596345218</v>
      </c>
      <c r="C6614" t="s">
        <v>40</v>
      </c>
      <c r="D6614">
        <v>4.9036839999999904</v>
      </c>
      <c r="E6614">
        <v>0.51699200000000001</v>
      </c>
      <c r="F6614" t="s">
        <v>41</v>
      </c>
      <c r="G6614">
        <v>-157.0052</v>
      </c>
      <c r="H6614">
        <v>1.0352059999999901</v>
      </c>
      <c r="I6614">
        <v>136.97989999999999</v>
      </c>
      <c r="J6614">
        <v>-157.55940000000001</v>
      </c>
      <c r="K6614">
        <v>1.1175820000000001</v>
      </c>
      <c r="L6614">
        <v>136.9992</v>
      </c>
      <c r="M6614">
        <v>0.9981719</v>
      </c>
      <c r="N6614">
        <v>-1.4301400000000001E-2</v>
      </c>
      <c r="O6614">
        <v>-5.8722179999999999E-2</v>
      </c>
      <c r="P6614">
        <v>0.999857</v>
      </c>
      <c r="Q6614">
        <v>-8.1499090000000003E-3</v>
      </c>
      <c r="R6614">
        <v>-1.482544E-2</v>
      </c>
      <c r="S6614">
        <v>2.9969480000000002</v>
      </c>
      <c r="T6614">
        <v>-0.29927290000000001</v>
      </c>
      <c r="U6614">
        <v>-0.1025543</v>
      </c>
      <c r="V6614">
        <v>-4.4028030000000003E-2</v>
      </c>
      <c r="W6614">
        <v>5.3084289999999999E-3</v>
      </c>
      <c r="X6614">
        <v>0.99901620000000002</v>
      </c>
      <c r="Y6614">
        <v>-2.4202080000000001E-2</v>
      </c>
      <c r="Z6614">
        <v>6.3839789999999997E-3</v>
      </c>
      <c r="AA6614">
        <v>0.99968670000000004</v>
      </c>
      <c r="AB6614">
        <v>29</v>
      </c>
      <c r="AC6614">
        <v>0.55420000000000802</v>
      </c>
      <c r="AD6614">
        <v>-8.2376000000000199E-2</v>
      </c>
      <c r="AE6614">
        <v>-1.9300000000015399E-2</v>
      </c>
      <c r="AF6614">
        <v>-1.2993740898986901E-2</v>
      </c>
      <c r="AG6614">
        <v>-8.2376000000000199E-2</v>
      </c>
      <c r="AH6614">
        <v>0.54240763773419498</v>
      </c>
      <c r="AI6614">
        <v>98.633139712032204</v>
      </c>
      <c r="AJ6614">
        <v>91.372296584576304</v>
      </c>
      <c r="AK6614">
        <v>0.54878109310629497</v>
      </c>
      <c r="AL6614">
        <v>89.695847996209096</v>
      </c>
      <c r="AM6614">
        <v>92.523471573582</v>
      </c>
      <c r="AN6614">
        <v>1.00000000735328</v>
      </c>
    </row>
    <row r="6615" spans="1:40" x14ac:dyDescent="0.25">
      <c r="A6615" t="str">
        <f>"20190305135956375"</f>
        <v>20190305135956375</v>
      </c>
      <c r="B6615" t="str">
        <f>"1551765596365714"</f>
        <v>1551765596365714</v>
      </c>
      <c r="C6615" t="s">
        <v>40</v>
      </c>
      <c r="D6615">
        <v>4.917872</v>
      </c>
      <c r="E6615">
        <v>0.51778049999999998</v>
      </c>
      <c r="F6615" t="s">
        <v>41</v>
      </c>
      <c r="G6615">
        <v>-156.75</v>
      </c>
      <c r="H6615">
        <v>1.0406299999999999</v>
      </c>
      <c r="I6615">
        <v>136.94739999999999</v>
      </c>
      <c r="J6615">
        <v>-157.26339999999999</v>
      </c>
      <c r="K6615">
        <v>1.1177280000000001</v>
      </c>
      <c r="L6615">
        <v>136.99250000000001</v>
      </c>
      <c r="M6615">
        <v>0.9987298</v>
      </c>
      <c r="N6615">
        <v>-1.4329669999999999E-2</v>
      </c>
      <c r="O6615">
        <v>-4.8306979999999999E-2</v>
      </c>
      <c r="P6615">
        <v>0.99990639999999997</v>
      </c>
      <c r="Q6615">
        <v>-1.1393749999999999E-2</v>
      </c>
      <c r="R6615">
        <v>-7.575343E-3</v>
      </c>
      <c r="S6615">
        <v>2.9952700000000001</v>
      </c>
      <c r="T6615">
        <v>-0.28483009999999997</v>
      </c>
      <c r="U6615">
        <v>-0.19178770000000001</v>
      </c>
      <c r="V6615">
        <v>-4.0789939999999997E-2</v>
      </c>
      <c r="W6615">
        <v>2.1384379999999999E-3</v>
      </c>
      <c r="X6615">
        <v>0.99916550000000004</v>
      </c>
      <c r="Y6615">
        <v>1.5686660000000002E-2</v>
      </c>
      <c r="Z6615">
        <v>3.0286530000000001E-3</v>
      </c>
      <c r="AA6615">
        <v>0.99987239999999999</v>
      </c>
      <c r="AB6615">
        <v>29</v>
      </c>
      <c r="AC6615">
        <v>0.51339999999998998</v>
      </c>
      <c r="AD6615">
        <v>-7.7098000000000097E-2</v>
      </c>
      <c r="AE6615">
        <v>-4.5100000000019201E-2</v>
      </c>
      <c r="AF6615">
        <v>1.98008689732335E-2</v>
      </c>
      <c r="AG6615">
        <v>-7.7098000000000097E-2</v>
      </c>
      <c r="AH6615">
        <v>0.50370703205538703</v>
      </c>
      <c r="AI6615">
        <v>98.695608818204505</v>
      </c>
      <c r="AJ6615">
        <v>87.7488454434435</v>
      </c>
      <c r="AK6615">
        <v>0.50995779252614803</v>
      </c>
      <c r="AL6615">
        <v>89.877476439890202</v>
      </c>
      <c r="AM6615">
        <v>92.3377452218472</v>
      </c>
      <c r="AN6615">
        <v>1.00000004425626</v>
      </c>
    </row>
    <row r="6616" spans="1:40" x14ac:dyDescent="0.25">
      <c r="A6616" t="str">
        <f>"20190305135956392"</f>
        <v>20190305135956392</v>
      </c>
      <c r="B6616" t="str">
        <f>"1551765596385234"</f>
        <v>1551765596385234</v>
      </c>
      <c r="C6616" t="s">
        <v>40</v>
      </c>
      <c r="D6616">
        <v>4.9080130000000004</v>
      </c>
      <c r="E6616">
        <v>0.51893310000000004</v>
      </c>
      <c r="F6616" t="s">
        <v>41</v>
      </c>
      <c r="G6616">
        <v>-156.4923</v>
      </c>
      <c r="H6616">
        <v>1.040001</v>
      </c>
      <c r="I6616">
        <v>136.9469</v>
      </c>
      <c r="J6616">
        <v>-157.0446</v>
      </c>
      <c r="K6616">
        <v>1.1178520000000001</v>
      </c>
      <c r="L6616">
        <v>136.98990000000001</v>
      </c>
      <c r="M6616">
        <v>0.9990774</v>
      </c>
      <c r="N6616">
        <v>-1.440495E-2</v>
      </c>
      <c r="O6616">
        <v>-4.0460990000000002E-2</v>
      </c>
      <c r="P6616">
        <v>0.99989430000000001</v>
      </c>
      <c r="Q6616">
        <v>-1.4408280000000001E-2</v>
      </c>
      <c r="R6616">
        <v>-2.041668E-3</v>
      </c>
      <c r="S6616">
        <v>2.9954830000000001</v>
      </c>
      <c r="T6616">
        <v>-0.30233529999999997</v>
      </c>
      <c r="U6616">
        <v>-0.1770477</v>
      </c>
      <c r="V6616">
        <v>-3.8413419999999997E-2</v>
      </c>
      <c r="W6616">
        <v>-7.6521009999999895E-4</v>
      </c>
      <c r="X6616">
        <v>0.99926159999999997</v>
      </c>
      <c r="Y6616">
        <v>1.860158E-2</v>
      </c>
      <c r="Z6616">
        <v>2.4164E-3</v>
      </c>
      <c r="AA6616">
        <v>0.99982400000000005</v>
      </c>
      <c r="AB6616">
        <v>29</v>
      </c>
      <c r="AC6616">
        <v>0.55230000000000201</v>
      </c>
      <c r="AD6616">
        <v>-7.7851000000000101E-2</v>
      </c>
      <c r="AE6616">
        <v>-4.3000000000006297E-2</v>
      </c>
      <c r="AF6616">
        <v>2.0216594472322699E-2</v>
      </c>
      <c r="AG6616">
        <v>-7.7851000000000101E-2</v>
      </c>
      <c r="AH6616">
        <v>0.54286636038707303</v>
      </c>
      <c r="AI6616">
        <v>98.155414233001807</v>
      </c>
      <c r="AJ6616">
        <v>87.867264222614196</v>
      </c>
      <c r="AK6616">
        <v>0.54879265131100796</v>
      </c>
      <c r="AL6616">
        <v>90.043843315167706</v>
      </c>
      <c r="AM6616">
        <v>92.201469211479804</v>
      </c>
      <c r="AN6616">
        <v>0.99999996080857601</v>
      </c>
    </row>
    <row r="6617" spans="1:40" x14ac:dyDescent="0.25">
      <c r="A6617" t="str">
        <f>"20190305135956413"</f>
        <v>20190305135956413</v>
      </c>
      <c r="B6617" t="str">
        <f>"1551765596405730"</f>
        <v>1551765596405730</v>
      </c>
      <c r="C6617" t="s">
        <v>40</v>
      </c>
      <c r="D6617">
        <v>4.9608100000000004</v>
      </c>
      <c r="E6617">
        <v>0.5194221</v>
      </c>
      <c r="F6617" t="s">
        <v>41</v>
      </c>
      <c r="G6617">
        <v>-156.23740000000001</v>
      </c>
      <c r="H6617">
        <v>1.0349729999999999</v>
      </c>
      <c r="I6617">
        <v>136.94399999999999</v>
      </c>
      <c r="J6617">
        <v>-156.7646</v>
      </c>
      <c r="K6617">
        <v>1.1180159999999999</v>
      </c>
      <c r="L6617">
        <v>136.989</v>
      </c>
      <c r="M6617">
        <v>0.99942980000000003</v>
      </c>
      <c r="N6617">
        <v>-1.4746540000000001E-2</v>
      </c>
      <c r="O6617">
        <v>-3.037776E-2</v>
      </c>
      <c r="P6617">
        <v>0.99986019999999998</v>
      </c>
      <c r="Q6617">
        <v>-1.540396E-2</v>
      </c>
      <c r="R6617">
        <v>6.5278559999999899E-3</v>
      </c>
      <c r="S6617">
        <v>2.9955440000000002</v>
      </c>
      <c r="T6617">
        <v>-0.30795009999999901</v>
      </c>
      <c r="U6617">
        <v>-0.16976930000000001</v>
      </c>
      <c r="V6617">
        <v>-3.6881459999999998E-2</v>
      </c>
      <c r="W6617">
        <v>-1.3978389999999999E-3</v>
      </c>
      <c r="X6617">
        <v>0.9993187</v>
      </c>
      <c r="Y6617">
        <v>2.6184209999999999E-2</v>
      </c>
      <c r="Z6617">
        <v>1.1293220000000001E-3</v>
      </c>
      <c r="AA6617">
        <v>0.99965649999999995</v>
      </c>
      <c r="AB6617">
        <v>29</v>
      </c>
      <c r="AC6617">
        <v>0.52719999999999301</v>
      </c>
      <c r="AD6617">
        <v>-8.3042999999999895E-2</v>
      </c>
      <c r="AE6617">
        <v>-4.5000000000015902E-2</v>
      </c>
      <c r="AF6617">
        <v>2.82660777108323E-2</v>
      </c>
      <c r="AG6617">
        <v>-8.3042999999999895E-2</v>
      </c>
      <c r="AH6617">
        <v>0.51562287911315496</v>
      </c>
      <c r="AI6617">
        <v>99.135650902280304</v>
      </c>
      <c r="AJ6617">
        <v>86.862226965982003</v>
      </c>
      <c r="AK6617">
        <v>0.52303160943015103</v>
      </c>
      <c r="AL6617">
        <v>90.080090298809594</v>
      </c>
      <c r="AM6617">
        <v>92.113633362385599</v>
      </c>
      <c r="AN6617">
        <v>1.0000000301076399</v>
      </c>
    </row>
    <row r="6618" spans="1:40" x14ac:dyDescent="0.25">
      <c r="A6618" t="str">
        <f>"20190305135956437"</f>
        <v>20190305135956437</v>
      </c>
      <c r="B6618" t="str">
        <f>"1551765596425250"</f>
        <v>1551765596425250</v>
      </c>
      <c r="C6618" t="s">
        <v>40</v>
      </c>
      <c r="D6618">
        <v>4.9294070000000003</v>
      </c>
      <c r="E6618">
        <v>0.51968440000000005</v>
      </c>
      <c r="F6618" t="s">
        <v>41</v>
      </c>
      <c r="G6618">
        <v>-155.97989999999999</v>
      </c>
      <c r="H6618">
        <v>1.0374399999999999</v>
      </c>
      <c r="I6618">
        <v>136.95009999999999</v>
      </c>
      <c r="J6618">
        <v>-156.4537</v>
      </c>
      <c r="K6618">
        <v>1.1182000000000001</v>
      </c>
      <c r="L6618">
        <v>136.9914</v>
      </c>
      <c r="M6618">
        <v>0.9996988</v>
      </c>
      <c r="N6618">
        <v>-1.5458370000000001E-2</v>
      </c>
      <c r="O6618">
        <v>-1.9063630000000002E-2</v>
      </c>
      <c r="P6618">
        <v>0.99968590000000002</v>
      </c>
      <c r="Q6618">
        <v>-1.7414450000000001E-2</v>
      </c>
      <c r="R6618">
        <v>1.8020370000000001E-2</v>
      </c>
      <c r="S6618">
        <v>2.9966430000000002</v>
      </c>
      <c r="T6618">
        <v>-0.30840420000000002</v>
      </c>
      <c r="U6618">
        <v>-0.14808650000000001</v>
      </c>
      <c r="V6618">
        <v>-3.7030510000000003E-2</v>
      </c>
      <c r="W6618">
        <v>-2.7034189999999999E-3</v>
      </c>
      <c r="X6618">
        <v>0.99931049999999999</v>
      </c>
      <c r="Y6618">
        <v>3.019496E-2</v>
      </c>
      <c r="Z6618">
        <v>-1.216227E-4</v>
      </c>
      <c r="AA6618">
        <v>0.99954399999999999</v>
      </c>
      <c r="AB6618">
        <v>29</v>
      </c>
      <c r="AC6618">
        <v>0.47380000000001099</v>
      </c>
      <c r="AD6618">
        <v>-8.0760000000000096E-2</v>
      </c>
      <c r="AE6618">
        <v>-4.1300000000006699E-2</v>
      </c>
      <c r="AF6618">
        <v>3.1354955811398202E-2</v>
      </c>
      <c r="AG6618">
        <v>-8.0760000000000096E-2</v>
      </c>
      <c r="AH6618">
        <v>0.46120266774677399</v>
      </c>
      <c r="AI6618">
        <v>99.909796046118203</v>
      </c>
      <c r="AJ6618">
        <v>86.110719646080796</v>
      </c>
      <c r="AK6618">
        <v>0.46926880526056303</v>
      </c>
      <c r="AL6618">
        <v>90.154894684333996</v>
      </c>
      <c r="AM6618">
        <v>92.122184847106197</v>
      </c>
      <c r="AN6618">
        <v>1.0000000212776901</v>
      </c>
    </row>
    <row r="6619" spans="1:40" x14ac:dyDescent="0.25">
      <c r="A6619" t="str">
        <f>"20190305135956480"</f>
        <v>20190305135956480</v>
      </c>
      <c r="B6619" t="str">
        <f>"1551765596476002"</f>
        <v>1551765596476002</v>
      </c>
      <c r="C6619" t="s">
        <v>40</v>
      </c>
      <c r="D6619">
        <v>4.9264130000000002</v>
      </c>
      <c r="E6619">
        <v>0.52112700000000001</v>
      </c>
      <c r="F6619" t="s">
        <v>41</v>
      </c>
      <c r="G6619">
        <v>-155.72309999999999</v>
      </c>
      <c r="H6619">
        <v>1.041598</v>
      </c>
      <c r="I6619">
        <v>136.9631</v>
      </c>
      <c r="J6619">
        <v>-155.9213</v>
      </c>
      <c r="K6619">
        <v>1.118528</v>
      </c>
      <c r="L6619">
        <v>137.00479999999999</v>
      </c>
      <c r="M6619">
        <v>0.99985690000000005</v>
      </c>
      <c r="N6619">
        <v>-1.6904229999999999E-2</v>
      </c>
      <c r="O6619">
        <v>7.1478519999999997E-4</v>
      </c>
      <c r="P6619">
        <v>0.99938990000000005</v>
      </c>
      <c r="Q6619">
        <v>-1.5040339999999999E-2</v>
      </c>
      <c r="R6619">
        <v>3.152216E-2</v>
      </c>
      <c r="S6619">
        <v>2.9975589999999999</v>
      </c>
      <c r="T6619">
        <v>-0.3145232</v>
      </c>
      <c r="U6619">
        <v>-0.116272</v>
      </c>
      <c r="V6619">
        <v>-3.0838649999999999E-2</v>
      </c>
      <c r="W6619">
        <v>1.238648E-3</v>
      </c>
      <c r="X6619">
        <v>0.99952359999999896</v>
      </c>
      <c r="Y6619">
        <v>3.9221449999999998E-2</v>
      </c>
      <c r="Z6619">
        <v>-2.4467080000000001E-3</v>
      </c>
      <c r="AA6619">
        <v>0.99922750000000005</v>
      </c>
      <c r="AB6619">
        <v>29</v>
      </c>
      <c r="AC6619">
        <v>0.198200000000014</v>
      </c>
      <c r="AD6619">
        <v>-7.6929999999999901E-2</v>
      </c>
      <c r="AE6619">
        <v>-4.1699999999991598E-2</v>
      </c>
      <c r="AF6619">
        <v>3.6566294406448999E-2</v>
      </c>
      <c r="AG6619">
        <v>-7.6929999999999901E-2</v>
      </c>
      <c r="AH6619">
        <v>0.17318491100321501</v>
      </c>
      <c r="AI6619">
        <v>113.490974817338</v>
      </c>
      <c r="AJ6619">
        <v>78.077666650684606</v>
      </c>
      <c r="AK6619">
        <v>0.192998269903672</v>
      </c>
      <c r="AL6619">
        <v>89.929030678566093</v>
      </c>
      <c r="AM6619">
        <v>91.767206045560599</v>
      </c>
      <c r="AN6619">
        <v>0.99999999176982501</v>
      </c>
    </row>
    <row r="6620" spans="1:40" x14ac:dyDescent="0.25">
      <c r="A6620" t="str">
        <f>"20190305135956503"</f>
        <v>20190305135956503</v>
      </c>
      <c r="B6620" t="str">
        <f>"1551765596495522"</f>
        <v>1551765596495522</v>
      </c>
      <c r="C6620" t="s">
        <v>40</v>
      </c>
      <c r="D6620">
        <v>5.13131</v>
      </c>
      <c r="E6620">
        <v>0.52136499999999997</v>
      </c>
      <c r="F6620" t="s">
        <v>41</v>
      </c>
      <c r="G6620">
        <v>-154.9777</v>
      </c>
      <c r="H6620">
        <v>1.025182</v>
      </c>
      <c r="I6620">
        <v>136.97739999999999</v>
      </c>
      <c r="J6620">
        <v>-155.63929999999999</v>
      </c>
      <c r="K6620">
        <v>1.118582</v>
      </c>
      <c r="L6620">
        <v>137.0164</v>
      </c>
      <c r="M6620">
        <v>0.99978299999999998</v>
      </c>
      <c r="N6620">
        <v>-1.7698040000000002E-2</v>
      </c>
      <c r="O6620">
        <v>1.0993019999999999E-2</v>
      </c>
      <c r="P6620">
        <v>0.99943099999999996</v>
      </c>
      <c r="Q6620">
        <v>-1.3682450000000001E-2</v>
      </c>
      <c r="R6620">
        <v>3.0833849999999999E-2</v>
      </c>
      <c r="S6620">
        <v>3.0001069999999999</v>
      </c>
      <c r="T6620">
        <v>-0.29726599999999997</v>
      </c>
      <c r="U6620">
        <v>-8.6517330000000003E-2</v>
      </c>
      <c r="V6620">
        <v>-1.9919679999999999E-2</v>
      </c>
      <c r="W6620">
        <v>3.6156729999999998E-3</v>
      </c>
      <c r="X6620">
        <v>0.99979499999999999</v>
      </c>
      <c r="Y6620">
        <v>3.954995E-2</v>
      </c>
      <c r="Z6620">
        <v>-3.1975549999999999E-3</v>
      </c>
      <c r="AA6620">
        <v>0.99921249999999995</v>
      </c>
      <c r="AB6620">
        <v>28</v>
      </c>
      <c r="AC6620">
        <v>0.66159999999999197</v>
      </c>
      <c r="AD6620">
        <v>-9.33999999999999E-2</v>
      </c>
      <c r="AE6620">
        <v>-3.9000000000015599E-2</v>
      </c>
      <c r="AF6620">
        <v>4.5370666844907898E-2</v>
      </c>
      <c r="AG6620">
        <v>-9.33999999999999E-2</v>
      </c>
      <c r="AH6620">
        <v>0.64825634000348697</v>
      </c>
      <c r="AI6620">
        <v>98.178950999965195</v>
      </c>
      <c r="AJ6620">
        <v>85.996467093315601</v>
      </c>
      <c r="AK6620">
        <v>0.65651987004558299</v>
      </c>
      <c r="AL6620">
        <v>89.792836736171495</v>
      </c>
      <c r="AM6620">
        <v>91.141396598271896</v>
      </c>
      <c r="AN6620">
        <v>0.99999995438377098</v>
      </c>
    </row>
    <row r="6621" spans="1:40" x14ac:dyDescent="0.25">
      <c r="A6621" t="str">
        <f>"20190305135956526"</f>
        <v>20190305135956526</v>
      </c>
      <c r="B6621" t="str">
        <f>"1551765596516018"</f>
        <v>1551765596516018</v>
      </c>
      <c r="C6621" t="s">
        <v>40</v>
      </c>
      <c r="D6621">
        <v>5.0102140000000004</v>
      </c>
      <c r="E6621">
        <v>0.51455899999999999</v>
      </c>
      <c r="F6621" t="s">
        <v>41</v>
      </c>
      <c r="G6621">
        <v>-154.7276</v>
      </c>
      <c r="H6621">
        <v>1.029795</v>
      </c>
      <c r="I6621">
        <v>136.9896</v>
      </c>
      <c r="J6621">
        <v>-155.35249999999999</v>
      </c>
      <c r="K6621">
        <v>1.1185</v>
      </c>
      <c r="L6621">
        <v>137.03139999999999</v>
      </c>
      <c r="M6621">
        <v>0.99960289999999996</v>
      </c>
      <c r="N6621">
        <v>-1.8538530000000001E-2</v>
      </c>
      <c r="O6621">
        <v>2.12269E-2</v>
      </c>
      <c r="P6621">
        <v>0.99919749999999996</v>
      </c>
      <c r="Q6621">
        <v>-2.4053950000000001E-2</v>
      </c>
      <c r="R6621">
        <v>3.2030950000000002E-2</v>
      </c>
      <c r="S6621">
        <v>3.0004119999999999</v>
      </c>
      <c r="T6621">
        <v>-0.29250290000000001</v>
      </c>
      <c r="U6621">
        <v>-8.7921139999999995E-2</v>
      </c>
      <c r="V6621">
        <v>-1.070015E-2</v>
      </c>
      <c r="W6621">
        <v>-5.7282679999999999E-3</v>
      </c>
      <c r="X6621">
        <v>0.99992630000000005</v>
      </c>
      <c r="Y6621">
        <v>5.0156319999999997E-2</v>
      </c>
      <c r="Z6621">
        <v>-4.5762349999999997E-3</v>
      </c>
      <c r="AA6621">
        <v>0.99873089999999998</v>
      </c>
      <c r="AB6621">
        <v>28</v>
      </c>
      <c r="AC6621">
        <v>0.62489999999999601</v>
      </c>
      <c r="AD6621">
        <v>-8.8705000000000006E-2</v>
      </c>
      <c r="AE6621">
        <v>-4.1799999999994897E-2</v>
      </c>
      <c r="AF6621">
        <v>5.3974799059946801E-2</v>
      </c>
      <c r="AG6621">
        <v>-8.8705000000000006E-2</v>
      </c>
      <c r="AH6621">
        <v>0.611602810873763</v>
      </c>
      <c r="AI6621">
        <v>98.220947813367204</v>
      </c>
      <c r="AJ6621">
        <v>84.956633749387294</v>
      </c>
      <c r="AK6621">
        <v>0.62035461973555805</v>
      </c>
      <c r="AL6621">
        <v>90.328207389742104</v>
      </c>
      <c r="AM6621">
        <v>90.613095220851307</v>
      </c>
      <c r="AN6621">
        <v>0.99999995584799495</v>
      </c>
    </row>
    <row r="6622" spans="1:40" x14ac:dyDescent="0.25">
      <c r="A6622" t="str">
        <f>"20190305135956570"</f>
        <v>20190305135956570</v>
      </c>
      <c r="B6622" t="str">
        <f>"1551765596565794"</f>
        <v>1551765596565794</v>
      </c>
      <c r="C6622" t="s">
        <v>40</v>
      </c>
      <c r="D6622">
        <v>5.0023730000000004</v>
      </c>
      <c r="E6622">
        <v>0.52617480000000005</v>
      </c>
      <c r="F6622" t="s">
        <v>41</v>
      </c>
      <c r="G6622">
        <v>-154.50470000000001</v>
      </c>
      <c r="H6622">
        <v>0.98389409999999999</v>
      </c>
      <c r="I6622">
        <v>137.02160000000001</v>
      </c>
      <c r="J6622">
        <v>-154.81780000000001</v>
      </c>
      <c r="K6622">
        <v>1.1178790000000001</v>
      </c>
      <c r="L6622">
        <v>137.06639999999999</v>
      </c>
      <c r="M6622">
        <v>0.99903489999999995</v>
      </c>
      <c r="N6622">
        <v>-2.021394E-2</v>
      </c>
      <c r="O6622">
        <v>3.8993359999999998E-2</v>
      </c>
      <c r="P6622">
        <v>0.9981563</v>
      </c>
      <c r="Q6622">
        <v>-3.8707209999999999E-2</v>
      </c>
      <c r="R6622">
        <v>4.6747299999999999E-2</v>
      </c>
      <c r="S6622">
        <v>2.9920650000000002</v>
      </c>
      <c r="T6622">
        <v>-0.47536349999999999</v>
      </c>
      <c r="U6622">
        <v>-3.4317019999999997E-2</v>
      </c>
      <c r="V6622">
        <v>-7.4566709999999998E-3</v>
      </c>
      <c r="W6622">
        <v>-1.8634729999999999E-2</v>
      </c>
      <c r="X6622">
        <v>0.99979850000000003</v>
      </c>
      <c r="Y6622">
        <v>4.938712E-2</v>
      </c>
      <c r="Z6622">
        <v>-9.7726710000000001E-3</v>
      </c>
      <c r="AA6622">
        <v>0.99873190000000001</v>
      </c>
      <c r="AB6622">
        <v>28</v>
      </c>
      <c r="AC6622">
        <v>0.313099999999991</v>
      </c>
      <c r="AD6622">
        <v>-0.13398489999999999</v>
      </c>
      <c r="AE6622">
        <v>-4.47999999999808E-2</v>
      </c>
      <c r="AF6622">
        <v>4.8308298737913799E-2</v>
      </c>
      <c r="AG6622">
        <v>-0.13398489999999999</v>
      </c>
      <c r="AH6622">
        <v>0.26377928206432999</v>
      </c>
      <c r="AI6622">
        <v>116.54824934525099</v>
      </c>
      <c r="AJ6622">
        <v>79.621909750964804</v>
      </c>
      <c r="AK6622">
        <v>0.29977517375749202</v>
      </c>
      <c r="AL6622">
        <v>91.067753239911397</v>
      </c>
      <c r="AM6622">
        <v>90.427313959973105</v>
      </c>
      <c r="AN6622">
        <v>0.99999994785341095</v>
      </c>
    </row>
    <row r="6623" spans="1:40" x14ac:dyDescent="0.25">
      <c r="A6623" t="str">
        <f>"20190305135956592"</f>
        <v>20190305135956592</v>
      </c>
      <c r="B6623" t="str">
        <f>"1551765596585315"</f>
        <v>1551765596585315</v>
      </c>
      <c r="C6623" t="s">
        <v>40</v>
      </c>
      <c r="D6623">
        <v>4.932658</v>
      </c>
      <c r="E6623">
        <v>0.52619969999999905</v>
      </c>
      <c r="F6623" t="s">
        <v>41</v>
      </c>
      <c r="G6623">
        <v>-153.9966</v>
      </c>
      <c r="H6623">
        <v>1.0283409999999999</v>
      </c>
      <c r="I6623">
        <v>137.04409999999999</v>
      </c>
      <c r="J6623">
        <v>-154.56100000000001</v>
      </c>
      <c r="K6623">
        <v>1.117319</v>
      </c>
      <c r="L6623">
        <v>137.0857</v>
      </c>
      <c r="M6623">
        <v>0.99870040000000004</v>
      </c>
      <c r="N6623">
        <v>-2.1081630000000001E-2</v>
      </c>
      <c r="O6623">
        <v>4.6401860000000003E-2</v>
      </c>
      <c r="P6623">
        <v>0.99751380000000001</v>
      </c>
      <c r="Q6623">
        <v>-3.6460190000000003E-2</v>
      </c>
      <c r="R6623">
        <v>6.0308590000000002E-2</v>
      </c>
      <c r="S6623">
        <v>2.9966279999999998</v>
      </c>
      <c r="T6623">
        <v>-0.32701249999999998</v>
      </c>
      <c r="U6623">
        <v>-8.0780030000000003E-2</v>
      </c>
      <c r="V6623">
        <v>-1.3702509999999999E-2</v>
      </c>
      <c r="W6623">
        <v>-1.5604420000000001E-2</v>
      </c>
      <c r="X6623">
        <v>0.99978440000000002</v>
      </c>
      <c r="Y6623">
        <v>7.2619680000000006E-2</v>
      </c>
      <c r="Z6623">
        <v>-8.7896209999999992E-3</v>
      </c>
      <c r="AA6623">
        <v>0.99732100000000001</v>
      </c>
      <c r="AB6623">
        <v>28</v>
      </c>
      <c r="AC6623">
        <v>0.56440000000000601</v>
      </c>
      <c r="AD6623">
        <v>-8.8978000000000002E-2</v>
      </c>
      <c r="AE6623">
        <v>-4.16000000000167E-2</v>
      </c>
      <c r="AF6623">
        <v>6.6115855838662002E-2</v>
      </c>
      <c r="AG6623">
        <v>-8.8978000000000002E-2</v>
      </c>
      <c r="AH6623">
        <v>0.54830720550989598</v>
      </c>
      <c r="AI6623">
        <v>99.152310337416196</v>
      </c>
      <c r="AJ6623">
        <v>83.124368810592301</v>
      </c>
      <c r="AK6623">
        <v>0.55940073515445998</v>
      </c>
      <c r="AL6623">
        <v>90.8941036495183</v>
      </c>
      <c r="AM6623">
        <v>90.785216132457094</v>
      </c>
      <c r="AN6623">
        <v>1.0000000515935901</v>
      </c>
    </row>
    <row r="6624" spans="1:40" x14ac:dyDescent="0.25">
      <c r="A6624" t="str">
        <f>"20190305135956614"</f>
        <v>20190305135956614</v>
      </c>
      <c r="B6624" t="str">
        <f>"1551765596605810"</f>
        <v>1551765596605810</v>
      </c>
      <c r="C6624" t="s">
        <v>40</v>
      </c>
      <c r="D6624">
        <v>4.9780280000000001</v>
      </c>
      <c r="E6624">
        <v>0.52611889999999994</v>
      </c>
      <c r="F6624" t="s">
        <v>41</v>
      </c>
      <c r="G6624">
        <v>-153.75489999999999</v>
      </c>
      <c r="H6624">
        <v>1.0335369999999999</v>
      </c>
      <c r="I6624">
        <v>137.0746</v>
      </c>
      <c r="J6624">
        <v>-154.29220000000001</v>
      </c>
      <c r="K6624">
        <v>1.1165849999999999</v>
      </c>
      <c r="L6624">
        <v>137.1069</v>
      </c>
      <c r="M6624">
        <v>0.99834849999999997</v>
      </c>
      <c r="N6624">
        <v>-2.1975069999999999E-2</v>
      </c>
      <c r="O6624">
        <v>5.3080130000000003E-2</v>
      </c>
      <c r="P6624">
        <v>0.99683359999999999</v>
      </c>
      <c r="Q6624">
        <v>-2.631553E-2</v>
      </c>
      <c r="R6624">
        <v>7.5034439999999994E-2</v>
      </c>
      <c r="S6624">
        <v>2.998596</v>
      </c>
      <c r="T6624">
        <v>-0.31166509999999997</v>
      </c>
      <c r="U6624">
        <v>-4.1503909999999998E-2</v>
      </c>
      <c r="V6624">
        <v>-2.194283E-2</v>
      </c>
      <c r="W6624">
        <v>-4.6435829999999997E-3</v>
      </c>
      <c r="X6624">
        <v>0.99974850000000004</v>
      </c>
      <c r="Y6624">
        <v>6.6297510000000004E-2</v>
      </c>
      <c r="Z6624">
        <v>-8.5030109999999996E-3</v>
      </c>
      <c r="AA6624">
        <v>0.99776370000000003</v>
      </c>
      <c r="AB6624">
        <v>27</v>
      </c>
      <c r="AC6624">
        <v>0.53730000000001599</v>
      </c>
      <c r="AD6624">
        <v>-8.3047999999999705E-2</v>
      </c>
      <c r="AE6624">
        <v>-3.2299999999992203E-2</v>
      </c>
      <c r="AF6624">
        <v>5.9368060321896801E-2</v>
      </c>
      <c r="AG6624">
        <v>-8.3047999999999705E-2</v>
      </c>
      <c r="AH6624">
        <v>0.52239202514307803</v>
      </c>
      <c r="AI6624">
        <v>98.976252501499005</v>
      </c>
      <c r="AJ6624">
        <v>83.516349147122995</v>
      </c>
      <c r="AK6624">
        <v>0.53227339293211895</v>
      </c>
      <c r="AL6624">
        <v>90.266058648736305</v>
      </c>
      <c r="AM6624">
        <v>91.257345948330496</v>
      </c>
      <c r="AN6624">
        <v>1.0000000569518599</v>
      </c>
    </row>
    <row r="6625" spans="1:40" x14ac:dyDescent="0.25">
      <c r="A6625" t="str">
        <f>"20190305135956636"</f>
        <v>20190305135956636</v>
      </c>
      <c r="B6625" t="str">
        <f>"1551765596625330"</f>
        <v>1551765596625330</v>
      </c>
      <c r="C6625" t="s">
        <v>40</v>
      </c>
      <c r="D6625">
        <v>5.1235600000000003</v>
      </c>
      <c r="E6625">
        <v>0.51506049999999903</v>
      </c>
      <c r="F6625" t="s">
        <v>41</v>
      </c>
      <c r="G6625">
        <v>-153.5119</v>
      </c>
      <c r="H6625">
        <v>1.0439719999999999</v>
      </c>
      <c r="I6625">
        <v>137.10769999999999</v>
      </c>
      <c r="J6625">
        <v>-154.03809999999999</v>
      </c>
      <c r="K6625">
        <v>1.115801</v>
      </c>
      <c r="L6625">
        <v>137.12739999999999</v>
      </c>
      <c r="M6625">
        <v>0.99804219999999999</v>
      </c>
      <c r="N6625">
        <v>-2.2818649999999999E-2</v>
      </c>
      <c r="O6625">
        <v>5.823362E-2</v>
      </c>
      <c r="P6625">
        <v>0.99606269999999997</v>
      </c>
      <c r="Q6625">
        <v>-1.361187E-2</v>
      </c>
      <c r="R6625">
        <v>8.7602470000000002E-2</v>
      </c>
      <c r="S6625">
        <v>3.0018769999999999</v>
      </c>
      <c r="T6625">
        <v>-0.27952549999999998</v>
      </c>
      <c r="U6625">
        <v>3.692627E-3</v>
      </c>
      <c r="V6625">
        <v>-2.9534910000000001E-2</v>
      </c>
      <c r="W6625">
        <v>8.8703110000000005E-3</v>
      </c>
      <c r="X6625">
        <v>0.99952439999999998</v>
      </c>
      <c r="Y6625">
        <v>5.657247E-2</v>
      </c>
      <c r="Z6625">
        <v>-7.3565979999999998E-3</v>
      </c>
      <c r="AA6625">
        <v>0.99837140000000002</v>
      </c>
      <c r="AB6625">
        <v>27</v>
      </c>
      <c r="AC6625">
        <v>0.52619999999998801</v>
      </c>
      <c r="AD6625">
        <v>-7.1829000000000101E-2</v>
      </c>
      <c r="AE6625">
        <v>-1.97000000000002E-2</v>
      </c>
      <c r="AF6625">
        <v>4.9397887090812602E-2</v>
      </c>
      <c r="AG6625">
        <v>-7.1829000000000101E-2</v>
      </c>
      <c r="AH6625">
        <v>0.51458390687889899</v>
      </c>
      <c r="AI6625">
        <v>97.910475161090105</v>
      </c>
      <c r="AJ6625">
        <v>84.516648741482499</v>
      </c>
      <c r="AK6625">
        <v>0.52191584926000101</v>
      </c>
      <c r="AL6625">
        <v>89.491761956644098</v>
      </c>
      <c r="AM6625">
        <v>91.692538403076796</v>
      </c>
      <c r="AN6625">
        <v>1.0000000097606501</v>
      </c>
    </row>
    <row r="6626" spans="1:40" x14ac:dyDescent="0.25">
      <c r="A6626" t="str">
        <f>"20190305135956658"</f>
        <v>20190305135956658</v>
      </c>
      <c r="B6626" t="str">
        <f>"1551765596646177"</f>
        <v>1551765596646177</v>
      </c>
      <c r="C6626" t="s">
        <v>40</v>
      </c>
      <c r="D6626">
        <v>5.1477599999999999</v>
      </c>
      <c r="E6626">
        <v>0.51708719999999997</v>
      </c>
      <c r="F6626" t="s">
        <v>41</v>
      </c>
      <c r="G6626">
        <v>-153.29409999999999</v>
      </c>
      <c r="H6626">
        <v>1.0150129999999999</v>
      </c>
      <c r="I6626">
        <v>137.15700000000001</v>
      </c>
      <c r="J6626">
        <v>-153.77809999999999</v>
      </c>
      <c r="K6626">
        <v>1.114965</v>
      </c>
      <c r="L6626">
        <v>137.14850000000001</v>
      </c>
      <c r="M6626">
        <v>0.99777329999999997</v>
      </c>
      <c r="N6626">
        <v>-2.3725050000000001E-2</v>
      </c>
      <c r="O6626">
        <v>6.2334569999999999E-2</v>
      </c>
      <c r="P6626">
        <v>0.99517389999999994</v>
      </c>
      <c r="Q6626">
        <v>-4.255712E-3</v>
      </c>
      <c r="R6626">
        <v>9.8036540000000005E-2</v>
      </c>
      <c r="S6626">
        <v>2.9957579999999999</v>
      </c>
      <c r="T6626">
        <v>-0.4060106</v>
      </c>
      <c r="U6626">
        <v>0.1200256</v>
      </c>
      <c r="V6626">
        <v>-3.5961890000000003E-2</v>
      </c>
      <c r="W6626">
        <v>1.9145100000000002E-2</v>
      </c>
      <c r="X6626">
        <v>0.9991698</v>
      </c>
      <c r="Y6626">
        <v>2.1727460000000001E-2</v>
      </c>
      <c r="Z6626">
        <v>-8.6498059999999995E-3</v>
      </c>
      <c r="AA6626">
        <v>0.99972649999999996</v>
      </c>
      <c r="AB6626">
        <v>27</v>
      </c>
      <c r="AC6626">
        <v>0.48400000000000798</v>
      </c>
      <c r="AD6626">
        <v>-9.9951999999999999E-2</v>
      </c>
      <c r="AE6626">
        <v>8.4999999999979502E-3</v>
      </c>
      <c r="AF6626">
        <v>2.08078391178134E-2</v>
      </c>
      <c r="AG6626">
        <v>-9.9951999999999999E-2</v>
      </c>
      <c r="AH6626">
        <v>0.46381388872127299</v>
      </c>
      <c r="AI6626">
        <v>102.149415627034</v>
      </c>
      <c r="AJ6626">
        <v>87.431291880301899</v>
      </c>
      <c r="AK6626">
        <v>0.47491756320808198</v>
      </c>
      <c r="AL6626">
        <v>88.902999594639695</v>
      </c>
      <c r="AM6626">
        <v>92.061286777728</v>
      </c>
      <c r="AN6626">
        <v>1.00000004080921</v>
      </c>
    </row>
    <row r="6627" spans="1:40" x14ac:dyDescent="0.25">
      <c r="A6627" t="str">
        <f>"20190305135956681"</f>
        <v>20190305135956681</v>
      </c>
      <c r="B6627" t="str">
        <f>"1551765596675427"</f>
        <v>1551765596675427</v>
      </c>
      <c r="C6627" t="s">
        <v>40</v>
      </c>
      <c r="D6627">
        <v>5.0038489999999998</v>
      </c>
      <c r="E6627">
        <v>0.5172795</v>
      </c>
      <c r="F6627" t="s">
        <v>41</v>
      </c>
      <c r="G6627">
        <v>-153.04660000000001</v>
      </c>
      <c r="H6627">
        <v>1.040017</v>
      </c>
      <c r="I6627">
        <v>137.18279999999999</v>
      </c>
      <c r="J6627">
        <v>-153.51949999999999</v>
      </c>
      <c r="K6627">
        <v>1.11415</v>
      </c>
      <c r="L6627">
        <v>137.16919999999999</v>
      </c>
      <c r="M6627">
        <v>0.99757130000000005</v>
      </c>
      <c r="N6627">
        <v>-2.464063E-2</v>
      </c>
      <c r="O6627">
        <v>6.5149079999999998E-2</v>
      </c>
      <c r="P6627">
        <v>0.99457450000000003</v>
      </c>
      <c r="Q6627">
        <v>2.5853270000000001E-3</v>
      </c>
      <c r="R6627">
        <v>0.10399460000000001</v>
      </c>
      <c r="S6627">
        <v>2.9993289999999999</v>
      </c>
      <c r="T6627">
        <v>-0.30746570000000001</v>
      </c>
      <c r="U6627">
        <v>0.14114380000000001</v>
      </c>
      <c r="V6627">
        <v>-3.9128700000000002E-2</v>
      </c>
      <c r="W6627">
        <v>2.6960749999999999E-2</v>
      </c>
      <c r="X6627">
        <v>0.99887040000000005</v>
      </c>
      <c r="Y6627">
        <v>1.7878359999999999E-2</v>
      </c>
      <c r="Z6627">
        <v>-6.1829789999999999E-3</v>
      </c>
      <c r="AA6627">
        <v>0.99982110000000002</v>
      </c>
      <c r="AB6627">
        <v>26</v>
      </c>
      <c r="AC6627">
        <v>0.472899999999981</v>
      </c>
      <c r="AD6627">
        <v>-7.4133000000000004E-2</v>
      </c>
      <c r="AE6627">
        <v>1.35999999999967E-2</v>
      </c>
      <c r="AF6627">
        <v>1.68339232189126E-2</v>
      </c>
      <c r="AG6627">
        <v>-7.4133000000000004E-2</v>
      </c>
      <c r="AH6627">
        <v>0.46145048983591802</v>
      </c>
      <c r="AI6627">
        <v>99.120739408863898</v>
      </c>
      <c r="AJ6627">
        <v>87.910750448342597</v>
      </c>
      <c r="AK6627">
        <v>0.46767043655735702</v>
      </c>
      <c r="AL6627">
        <v>88.455075621165903</v>
      </c>
      <c r="AM6627">
        <v>92.243297700004803</v>
      </c>
      <c r="AN6627">
        <v>1.0000000066001999</v>
      </c>
    </row>
    <row r="6628" spans="1:40" x14ac:dyDescent="0.25">
      <c r="A6628" t="str">
        <f>"20190305135956703"</f>
        <v>20190305135956703</v>
      </c>
      <c r="B6628" t="str">
        <f>"1551765596695924"</f>
        <v>1551765596695924</v>
      </c>
      <c r="C6628" t="s">
        <v>40</v>
      </c>
      <c r="D6628">
        <v>5.1919769999999996</v>
      </c>
      <c r="E6628">
        <v>0.52092629999999995</v>
      </c>
      <c r="F6628" t="s">
        <v>41</v>
      </c>
      <c r="G6628">
        <v>-152.6001</v>
      </c>
      <c r="H6628">
        <v>1.0251920000000001</v>
      </c>
      <c r="I6628">
        <v>137.21780000000001</v>
      </c>
      <c r="J6628">
        <v>-153.26310000000001</v>
      </c>
      <c r="K6628">
        <v>1.113394</v>
      </c>
      <c r="L6628">
        <v>137.1892</v>
      </c>
      <c r="M6628">
        <v>0.99743300000000001</v>
      </c>
      <c r="N6628">
        <v>-2.5508050000000001E-2</v>
      </c>
      <c r="O6628">
        <v>6.6910830000000004E-2</v>
      </c>
      <c r="P6628">
        <v>0.99448959999999997</v>
      </c>
      <c r="Q6628">
        <v>4.7962200000000003E-3</v>
      </c>
      <c r="R6628">
        <v>0.1047269</v>
      </c>
      <c r="S6628">
        <v>3.0004729999999999</v>
      </c>
      <c r="T6628">
        <v>-0.29038580000000003</v>
      </c>
      <c r="U6628">
        <v>0.1593628</v>
      </c>
      <c r="V6628">
        <v>-3.8054030000000003E-2</v>
      </c>
      <c r="W6628">
        <v>3.0126130000000001E-2</v>
      </c>
      <c r="X6628">
        <v>0.99882139999999997</v>
      </c>
      <c r="Y6628">
        <v>1.367058E-2</v>
      </c>
      <c r="Z6628">
        <v>-5.5794349999999998E-3</v>
      </c>
      <c r="AA6628">
        <v>0.99989099999999997</v>
      </c>
      <c r="AB6628">
        <v>26</v>
      </c>
      <c r="AC6628">
        <v>0.66300000000001003</v>
      </c>
      <c r="AD6628">
        <v>-8.8201999999999794E-2</v>
      </c>
      <c r="AE6628">
        <v>2.8600000000011502E-2</v>
      </c>
      <c r="AF6628">
        <v>1.55654785233326E-2</v>
      </c>
      <c r="AG6628">
        <v>-8.8201999999999794E-2</v>
      </c>
      <c r="AH6628">
        <v>0.65191124944328904</v>
      </c>
      <c r="AI6628">
        <v>97.703021718282201</v>
      </c>
      <c r="AJ6628">
        <v>88.632226692249205</v>
      </c>
      <c r="AK6628">
        <v>0.65803507055199595</v>
      </c>
      <c r="AL6628">
        <v>88.273638592641603</v>
      </c>
      <c r="AM6628">
        <v>92.181852822234404</v>
      </c>
      <c r="AN6628">
        <v>0.99999994100298695</v>
      </c>
    </row>
    <row r="6629" spans="1:40" x14ac:dyDescent="0.25">
      <c r="A6629" t="str">
        <f>"20190305135956726"</f>
        <v>20190305135956726</v>
      </c>
      <c r="B6629" t="str">
        <f>"1551765596715443"</f>
        <v>1551765596715443</v>
      </c>
      <c r="C6629" t="s">
        <v>40</v>
      </c>
      <c r="D6629">
        <v>5.1212070000000001</v>
      </c>
      <c r="E6629">
        <v>0.52283420000000003</v>
      </c>
      <c r="F6629" t="s">
        <v>41</v>
      </c>
      <c r="G6629">
        <v>-152.37379999999999</v>
      </c>
      <c r="H6629">
        <v>1.028524</v>
      </c>
      <c r="I6629">
        <v>137.22899999999899</v>
      </c>
      <c r="J6629">
        <v>-153.01599999999999</v>
      </c>
      <c r="K6629">
        <v>1.1127769999999999</v>
      </c>
      <c r="L6629">
        <v>137.208</v>
      </c>
      <c r="M6629">
        <v>0.99734929999999999</v>
      </c>
      <c r="N6629">
        <v>-2.6309340000000001E-2</v>
      </c>
      <c r="O6629">
        <v>6.7840300000000006E-2</v>
      </c>
      <c r="P6629">
        <v>0.99472910000000003</v>
      </c>
      <c r="Q6629">
        <v>4.4141859999999996E-3</v>
      </c>
      <c r="R6629">
        <v>0.1024433</v>
      </c>
      <c r="S6629">
        <v>3.0038299999999998</v>
      </c>
      <c r="T6629">
        <v>-0.2866882</v>
      </c>
      <c r="U6629">
        <v>0.134567299999999</v>
      </c>
      <c r="V6629">
        <v>-3.4776069999999999E-2</v>
      </c>
      <c r="W6629">
        <v>3.0620379999999999E-2</v>
      </c>
      <c r="X6629">
        <v>0.99892590000000003</v>
      </c>
      <c r="Y6629">
        <v>2.28522E-2</v>
      </c>
      <c r="Z6629">
        <v>-6.0568250000000001E-3</v>
      </c>
      <c r="AA6629">
        <v>0.99972050000000001</v>
      </c>
      <c r="AB6629">
        <v>25</v>
      </c>
      <c r="AC6629">
        <v>0.64220000000000199</v>
      </c>
      <c r="AD6629">
        <v>-8.4253000000000106E-2</v>
      </c>
      <c r="AE6629">
        <v>2.0999999999986502E-2</v>
      </c>
      <c r="AF6629">
        <v>2.2248014894076299E-2</v>
      </c>
      <c r="AG6629">
        <v>-8.4253000000000106E-2</v>
      </c>
      <c r="AH6629">
        <v>0.63129047340908595</v>
      </c>
      <c r="AI6629">
        <v>97.597199463687303</v>
      </c>
      <c r="AJ6629">
        <v>87.981610579303805</v>
      </c>
      <c r="AK6629">
        <v>0.63727639528919899</v>
      </c>
      <c r="AL6629">
        <v>88.245307127983097</v>
      </c>
      <c r="AM6629">
        <v>91.993859264368595</v>
      </c>
      <c r="AN6629">
        <v>0.99999996820339898</v>
      </c>
    </row>
    <row r="6630" spans="1:40" x14ac:dyDescent="0.25">
      <c r="A6630" t="str">
        <f>"20190305135956748"</f>
        <v>20190305135956748</v>
      </c>
      <c r="B6630" t="str">
        <f>"1551765596735939"</f>
        <v>1551765596735939</v>
      </c>
      <c r="C6630" t="s">
        <v>40</v>
      </c>
      <c r="D6630">
        <v>5.1212179999999998</v>
      </c>
      <c r="E6630">
        <v>0.52501129999999996</v>
      </c>
      <c r="F6630" t="s">
        <v>41</v>
      </c>
      <c r="G6630">
        <v>-152.15299999999999</v>
      </c>
      <c r="H6630">
        <v>1.0268090000000001</v>
      </c>
      <c r="I6630">
        <v>137.2406</v>
      </c>
      <c r="J6630">
        <v>-152.7645</v>
      </c>
      <c r="K6630">
        <v>1.112268</v>
      </c>
      <c r="L6630">
        <v>137.22640000000001</v>
      </c>
      <c r="M6630">
        <v>0.9973052</v>
      </c>
      <c r="N6630">
        <v>-2.7097960000000001E-2</v>
      </c>
      <c r="O6630">
        <v>6.8177870000000002E-2</v>
      </c>
      <c r="P6630">
        <v>0.99531959999999997</v>
      </c>
      <c r="Q6630">
        <v>1.900788E-3</v>
      </c>
      <c r="R6630">
        <v>9.6620289999999998E-2</v>
      </c>
      <c r="S6630">
        <v>3.0054470000000002</v>
      </c>
      <c r="T6630">
        <v>-0.29950939999999998</v>
      </c>
      <c r="U6630">
        <v>0.11430360000000001</v>
      </c>
      <c r="V6630">
        <v>-2.8542229999999998E-2</v>
      </c>
      <c r="W6630">
        <v>2.895696E-2</v>
      </c>
      <c r="X6630">
        <v>0.99917310000000004</v>
      </c>
      <c r="Y6630">
        <v>2.98713E-2</v>
      </c>
      <c r="Z6630">
        <v>-6.8138579999999999E-3</v>
      </c>
      <c r="AA6630">
        <v>0.99953060000000005</v>
      </c>
      <c r="AB6630">
        <v>25</v>
      </c>
      <c r="AC6630">
        <v>0.61150000000000604</v>
      </c>
      <c r="AD6630">
        <v>-8.5458999999999896E-2</v>
      </c>
      <c r="AE6630">
        <v>1.4199999999988199E-2</v>
      </c>
      <c r="AF6630">
        <v>2.7011861818750101E-2</v>
      </c>
      <c r="AG6630">
        <v>-8.5458999999999896E-2</v>
      </c>
      <c r="AH6630">
        <v>0.59934513284744295</v>
      </c>
      <c r="AI6630">
        <v>98.106830133094306</v>
      </c>
      <c r="AJ6630">
        <v>87.419485049811996</v>
      </c>
      <c r="AK6630">
        <v>0.60600946331541194</v>
      </c>
      <c r="AL6630">
        <v>88.340656494556399</v>
      </c>
      <c r="AM6630">
        <v>91.636257736779996</v>
      </c>
      <c r="AN6630">
        <v>1.00000002409471</v>
      </c>
    </row>
    <row r="6631" spans="1:40" x14ac:dyDescent="0.25">
      <c r="A6631" t="str">
        <f>"20190305135956771"</f>
        <v>20190305135956771</v>
      </c>
      <c r="B6631" t="str">
        <f>"1551765596766195"</f>
        <v>1551765596766195</v>
      </c>
      <c r="C6631" t="s">
        <v>40</v>
      </c>
      <c r="D6631">
        <v>5.0449710000000003</v>
      </c>
      <c r="E6631">
        <v>0.52788500000000005</v>
      </c>
      <c r="F6631" t="s">
        <v>41</v>
      </c>
      <c r="G6631">
        <v>-151.9349</v>
      </c>
      <c r="H6631">
        <v>1.0257449999999999</v>
      </c>
      <c r="I6631">
        <v>137.249</v>
      </c>
      <c r="J6631">
        <v>-152.52340000000001</v>
      </c>
      <c r="K6631">
        <v>1.111904</v>
      </c>
      <c r="L6631">
        <v>137.24350000000001</v>
      </c>
      <c r="M6631">
        <v>0.9972898</v>
      </c>
      <c r="N6631">
        <v>-2.7852499999999999E-2</v>
      </c>
      <c r="O6631">
        <v>6.8098409999999998E-2</v>
      </c>
      <c r="P6631">
        <v>0.99606079999999997</v>
      </c>
      <c r="Q6631">
        <v>-1.4400649999999999E-3</v>
      </c>
      <c r="R6631">
        <v>8.8662879999999999E-2</v>
      </c>
      <c r="S6631">
        <v>3.0067599999999999</v>
      </c>
      <c r="T6631">
        <v>-0.31357059999999998</v>
      </c>
      <c r="U6631">
        <v>8.1619259999999999E-2</v>
      </c>
      <c r="V6631">
        <v>-2.0601040000000001E-2</v>
      </c>
      <c r="W6631">
        <v>2.640638E-2</v>
      </c>
      <c r="X6631">
        <v>0.99943899999999997</v>
      </c>
      <c r="Y6631">
        <v>4.0551249999999997E-2</v>
      </c>
      <c r="Z6631">
        <v>-7.8564029999999997E-3</v>
      </c>
      <c r="AA6631">
        <v>0.9991466</v>
      </c>
      <c r="AB6631">
        <v>25</v>
      </c>
      <c r="AC6631">
        <v>0.58850000000001002</v>
      </c>
      <c r="AD6631">
        <v>-8.6158999999999805E-2</v>
      </c>
      <c r="AE6631">
        <v>5.4999999999836204E-3</v>
      </c>
      <c r="AF6631">
        <v>3.3878154049617297E-2</v>
      </c>
      <c r="AG6631">
        <v>-8.6158999999999805E-2</v>
      </c>
      <c r="AH6631">
        <v>0.57518000873666397</v>
      </c>
      <c r="AI6631">
        <v>98.504745839946196</v>
      </c>
      <c r="AJ6631">
        <v>86.629167906765304</v>
      </c>
      <c r="AK6631">
        <v>0.58258316578246405</v>
      </c>
      <c r="AL6631">
        <v>88.486849997509793</v>
      </c>
      <c r="AM6631">
        <v>91.180847974710602</v>
      </c>
      <c r="AN6631">
        <v>1.00000000723739</v>
      </c>
    </row>
    <row r="6632" spans="1:40" x14ac:dyDescent="0.25">
      <c r="A6632" t="str">
        <f>"20190305135956793"</f>
        <v>20190305135956793</v>
      </c>
      <c r="B6632" t="str">
        <f>"1551765596785715"</f>
        <v>1551765596785715</v>
      </c>
      <c r="C6632" t="s">
        <v>40</v>
      </c>
      <c r="D6632">
        <v>5.0635089999999998</v>
      </c>
      <c r="E6632">
        <v>0.52927829999999998</v>
      </c>
      <c r="F6632" t="s">
        <v>41</v>
      </c>
      <c r="G6632">
        <v>-151.7199</v>
      </c>
      <c r="H6632">
        <v>1.024219</v>
      </c>
      <c r="I6632">
        <v>137.25299999999999</v>
      </c>
      <c r="J6632">
        <v>-152.2818</v>
      </c>
      <c r="K6632">
        <v>1.11164</v>
      </c>
      <c r="L6632">
        <v>137.26009999999999</v>
      </c>
      <c r="M6632">
        <v>0.99729020000000002</v>
      </c>
      <c r="N6632">
        <v>-2.8587910000000001E-2</v>
      </c>
      <c r="O6632">
        <v>6.7786009999999994E-2</v>
      </c>
      <c r="P6632">
        <v>0.99675990000000003</v>
      </c>
      <c r="Q6632">
        <v>-5.8161630000000001E-3</v>
      </c>
      <c r="R6632">
        <v>8.0223080000000002E-2</v>
      </c>
      <c r="S6632">
        <v>3.008194</v>
      </c>
      <c r="T6632">
        <v>-0.32838979999999901</v>
      </c>
      <c r="U6632">
        <v>3.5903930000000001E-2</v>
      </c>
      <c r="V6632">
        <v>-1.24279E-2</v>
      </c>
      <c r="W6632">
        <v>2.2780180000000001E-2</v>
      </c>
      <c r="X6632">
        <v>0.99966319999999997</v>
      </c>
      <c r="Y6632">
        <v>5.5268400000000002E-2</v>
      </c>
      <c r="Z6632">
        <v>-9.2382200000000001E-3</v>
      </c>
      <c r="AA6632">
        <v>0.99842880000000001</v>
      </c>
      <c r="AB6632">
        <v>24</v>
      </c>
      <c r="AC6632">
        <v>0.56190000000000795</v>
      </c>
      <c r="AD6632">
        <v>-8.7420999999999902E-2</v>
      </c>
      <c r="AE6632">
        <v>-7.1000000000083201E-3</v>
      </c>
      <c r="AF6632">
        <v>4.4120405128756097E-2</v>
      </c>
      <c r="AG6632">
        <v>-8.7420999999999902E-2</v>
      </c>
      <c r="AH6632">
        <v>0.54688942738465296</v>
      </c>
      <c r="AI6632">
        <v>99.053047352429402</v>
      </c>
      <c r="AJ6632">
        <v>85.387641631540703</v>
      </c>
      <c r="AK6632">
        <v>0.55558715533644198</v>
      </c>
      <c r="AL6632">
        <v>88.694678852873807</v>
      </c>
      <c r="AM6632">
        <v>90.712269429066197</v>
      </c>
      <c r="AN6632">
        <v>0.99999995136674003</v>
      </c>
    </row>
    <row r="6633" spans="1:40" x14ac:dyDescent="0.25">
      <c r="A6633" t="str">
        <f>"20190305135956814"</f>
        <v>20190305135956814</v>
      </c>
      <c r="B6633" t="str">
        <f>"1551765596806211"</f>
        <v>1551765596806211</v>
      </c>
      <c r="C6633" t="s">
        <v>40</v>
      </c>
      <c r="D6633">
        <v>5.0335349999999996</v>
      </c>
      <c r="E6633">
        <v>0.53058649999999996</v>
      </c>
      <c r="F6633" t="s">
        <v>41</v>
      </c>
      <c r="G6633">
        <v>-151.50829999999999</v>
      </c>
      <c r="H6633">
        <v>1.0232000000000001</v>
      </c>
      <c r="I6633">
        <v>137.25980000000001</v>
      </c>
      <c r="J6633">
        <v>-152.06139999999999</v>
      </c>
      <c r="K6633">
        <v>1.1115079999999999</v>
      </c>
      <c r="L6633">
        <v>137.2749</v>
      </c>
      <c r="M6633">
        <v>0.99729840000000003</v>
      </c>
      <c r="N6633">
        <v>-2.9207759999999999E-2</v>
      </c>
      <c r="O6633">
        <v>6.7400799999999997E-2</v>
      </c>
      <c r="P6633">
        <v>0.99745760000000006</v>
      </c>
      <c r="Q6633">
        <v>-8.117595E-3</v>
      </c>
      <c r="R6633">
        <v>7.0798710000000001E-2</v>
      </c>
      <c r="S6633">
        <v>3.0078580000000001</v>
      </c>
      <c r="T6633">
        <v>-0.3439025</v>
      </c>
      <c r="U6633">
        <v>-1.2512210000000001E-3</v>
      </c>
      <c r="V6633">
        <v>-3.356482E-3</v>
      </c>
      <c r="W6633">
        <v>2.1095920000000001E-2</v>
      </c>
      <c r="X6633">
        <v>0.99977179999999999</v>
      </c>
      <c r="Y6633">
        <v>6.7052630000000002E-2</v>
      </c>
      <c r="Z6633">
        <v>-1.051567E-2</v>
      </c>
      <c r="AA6633">
        <v>0.99769399999999997</v>
      </c>
      <c r="AB6633">
        <v>24</v>
      </c>
      <c r="AC6633">
        <v>0.55310000000000004</v>
      </c>
      <c r="AD6633">
        <v>-8.8307999999999803E-2</v>
      </c>
      <c r="AE6633">
        <v>-1.5099999999989599E-2</v>
      </c>
      <c r="AF6633">
        <v>5.1060299487711701E-2</v>
      </c>
      <c r="AG6633">
        <v>-8.8307999999999803E-2</v>
      </c>
      <c r="AH6633">
        <v>0.53714073530214901</v>
      </c>
      <c r="AI6633">
        <v>99.294964379171503</v>
      </c>
      <c r="AJ6633">
        <v>84.569812110133597</v>
      </c>
      <c r="AK6633">
        <v>0.54674091356757704</v>
      </c>
      <c r="AL6633">
        <v>88.791203121023699</v>
      </c>
      <c r="AM6633">
        <v>90.192355425600098</v>
      </c>
      <c r="AN6633">
        <v>0.99999997794365103</v>
      </c>
    </row>
    <row r="6634" spans="1:40" x14ac:dyDescent="0.25">
      <c r="A6634" t="str">
        <f>"20190305135956837"</f>
        <v>20190305135956837</v>
      </c>
      <c r="B6634" t="str">
        <f>"1551765596825731"</f>
        <v>1551765596825731</v>
      </c>
      <c r="C6634" t="s">
        <v>40</v>
      </c>
      <c r="D6634">
        <v>5.0892030000000004</v>
      </c>
      <c r="E6634">
        <v>0.53142849999999997</v>
      </c>
      <c r="F6634" t="s">
        <v>41</v>
      </c>
      <c r="G6634">
        <v>-151.29910000000001</v>
      </c>
      <c r="H6634">
        <v>1.0235000000000001</v>
      </c>
      <c r="I6634">
        <v>137.26419999999999</v>
      </c>
      <c r="J6634">
        <v>-151.83279999999999</v>
      </c>
      <c r="K6634">
        <v>1.111472</v>
      </c>
      <c r="L6634">
        <v>137.28989999999999</v>
      </c>
      <c r="M6634">
        <v>0.997309</v>
      </c>
      <c r="N6634">
        <v>-2.981746E-2</v>
      </c>
      <c r="O6634">
        <v>6.6976869999999994E-2</v>
      </c>
      <c r="P6634">
        <v>0.99822770000000005</v>
      </c>
      <c r="Q6634">
        <v>-1.149609E-2</v>
      </c>
      <c r="R6634">
        <v>5.8389980000000001E-2</v>
      </c>
      <c r="S6634">
        <v>3.0077820000000002</v>
      </c>
      <c r="T6634">
        <v>-0.34736289999999997</v>
      </c>
      <c r="U6634">
        <v>-4.188538E-2</v>
      </c>
      <c r="V6634">
        <v>8.6512340000000007E-3</v>
      </c>
      <c r="W6634">
        <v>1.8313159999999998E-2</v>
      </c>
      <c r="X6634">
        <v>0.99979490000000004</v>
      </c>
      <c r="Y6634">
        <v>7.9979049999999996E-2</v>
      </c>
      <c r="Z6634">
        <v>-1.1512649999999999E-2</v>
      </c>
      <c r="AA6634">
        <v>0.99673</v>
      </c>
      <c r="AB6634">
        <v>24</v>
      </c>
      <c r="AC6634">
        <v>0.53369999999998097</v>
      </c>
      <c r="AD6634">
        <v>-8.7971999999999898E-2</v>
      </c>
      <c r="AE6634">
        <v>-2.57000000000005E-2</v>
      </c>
      <c r="AF6634">
        <v>5.9783124524402403E-2</v>
      </c>
      <c r="AG6634">
        <v>-8.7971999999999898E-2</v>
      </c>
      <c r="AH6634">
        <v>0.51677013395399496</v>
      </c>
      <c r="AI6634">
        <v>99.598279805864706</v>
      </c>
      <c r="AJ6634">
        <v>83.401008746916503</v>
      </c>
      <c r="AK6634">
        <v>0.527602564539569</v>
      </c>
      <c r="AL6634">
        <v>88.950674594812796</v>
      </c>
      <c r="AM6634">
        <v>89.504231492797203</v>
      </c>
      <c r="AN6634">
        <v>1.00000002887245</v>
      </c>
    </row>
    <row r="6635" spans="1:40" x14ac:dyDescent="0.25">
      <c r="A6635" t="str">
        <f>"20190305135956859"</f>
        <v>20190305135956859</v>
      </c>
      <c r="B6635" t="str">
        <f>"1551765596855987"</f>
        <v>1551765596855987</v>
      </c>
      <c r="C6635" t="s">
        <v>40</v>
      </c>
      <c r="D6635">
        <v>5.09795</v>
      </c>
      <c r="E6635">
        <v>0.53156239999999999</v>
      </c>
      <c r="F6635" t="s">
        <v>41</v>
      </c>
      <c r="G6635">
        <v>-151.09370000000001</v>
      </c>
      <c r="H6635">
        <v>1.0230919999999999</v>
      </c>
      <c r="I6635">
        <v>137.26849999999999</v>
      </c>
      <c r="J6635">
        <v>-151.60589999999999</v>
      </c>
      <c r="K6635">
        <v>1.1115200000000001</v>
      </c>
      <c r="L6635">
        <v>137.3047</v>
      </c>
      <c r="M6635">
        <v>0.99731539999999996</v>
      </c>
      <c r="N6635">
        <v>-3.0452969999999999E-2</v>
      </c>
      <c r="O6635">
        <v>6.6593749999999993E-2</v>
      </c>
      <c r="P6635">
        <v>0.99881690000000001</v>
      </c>
      <c r="Q6635">
        <v>-1.7994599999999999E-2</v>
      </c>
      <c r="R6635">
        <v>4.5179329999999997E-2</v>
      </c>
      <c r="S6635">
        <v>3.0062410000000002</v>
      </c>
      <c r="T6635">
        <v>-0.35948459999999899</v>
      </c>
      <c r="U6635">
        <v>-8.6791989999999999E-2</v>
      </c>
      <c r="V6635">
        <v>2.14804E-2</v>
      </c>
      <c r="W6635">
        <v>1.243113E-2</v>
      </c>
      <c r="X6635">
        <v>0.99969200000000003</v>
      </c>
      <c r="Y6635">
        <v>9.4284789999999993E-2</v>
      </c>
      <c r="Z6635">
        <v>-1.296626E-2</v>
      </c>
      <c r="AA6635">
        <v>0.99546080000000003</v>
      </c>
      <c r="AB6635">
        <v>23</v>
      </c>
      <c r="AC6635">
        <v>0.51219999999997801</v>
      </c>
      <c r="AD6635">
        <v>-8.8427999999999896E-2</v>
      </c>
      <c r="AE6635">
        <v>-3.6200000000007997E-2</v>
      </c>
      <c r="AF6635">
        <v>6.8221425270425101E-2</v>
      </c>
      <c r="AG6635">
        <v>-8.8427999999999896E-2</v>
      </c>
      <c r="AH6635">
        <v>0.49399928426795198</v>
      </c>
      <c r="AI6635">
        <v>100.05524778776601</v>
      </c>
      <c r="AJ6635">
        <v>82.137172521021498</v>
      </c>
      <c r="AK6635">
        <v>0.50646714296899598</v>
      </c>
      <c r="AL6635">
        <v>89.287730383381103</v>
      </c>
      <c r="AM6635">
        <v>88.769073967082903</v>
      </c>
      <c r="AN6635">
        <v>1.0000000177206101</v>
      </c>
    </row>
    <row r="6636" spans="1:40" x14ac:dyDescent="0.25">
      <c r="A6636" t="str">
        <f>"20190305135956904"</f>
        <v>20190305135956904</v>
      </c>
      <c r="B6636" t="str">
        <f>"1551765596896004"</f>
        <v>1551765596896004</v>
      </c>
      <c r="C6636" t="s">
        <v>40</v>
      </c>
      <c r="D6636">
        <v>5.1960449999999998</v>
      </c>
      <c r="E6636">
        <v>0.52370969999999994</v>
      </c>
      <c r="F6636" t="s">
        <v>41</v>
      </c>
      <c r="G6636">
        <v>-150.7064</v>
      </c>
      <c r="H6636">
        <v>0.99660680000000001</v>
      </c>
      <c r="I6636">
        <v>137.26660000000001</v>
      </c>
      <c r="J6636">
        <v>-151.16980000000001</v>
      </c>
      <c r="K6636">
        <v>1.1118250000000001</v>
      </c>
      <c r="L6636">
        <v>137.3329</v>
      </c>
      <c r="M6636">
        <v>0.99730410000000003</v>
      </c>
      <c r="N6636">
        <v>-3.1825899999999997E-2</v>
      </c>
      <c r="O6636">
        <v>6.6119510000000006E-2</v>
      </c>
      <c r="P6636">
        <v>0.99895049999999996</v>
      </c>
      <c r="Q6636">
        <v>-3.4086680000000001E-2</v>
      </c>
      <c r="R6636">
        <v>3.0594449999999999E-2</v>
      </c>
      <c r="S6636">
        <v>3.0024109999999999</v>
      </c>
      <c r="T6636">
        <v>-0.3836099</v>
      </c>
      <c r="U6636">
        <v>-0.1269073</v>
      </c>
      <c r="V6636">
        <v>3.5554679999999998E-2</v>
      </c>
      <c r="W6636">
        <v>-2.304759E-3</v>
      </c>
      <c r="X6636">
        <v>0.99936510000000001</v>
      </c>
      <c r="Y6636">
        <v>0.1068445</v>
      </c>
      <c r="Z6636">
        <v>-1.481535E-2</v>
      </c>
      <c r="AA6636">
        <v>0.99416539999999998</v>
      </c>
      <c r="AB6636">
        <v>22</v>
      </c>
      <c r="AC6636">
        <v>0.46340000000000697</v>
      </c>
      <c r="AD6636">
        <v>-0.11521819999999899</v>
      </c>
      <c r="AE6636">
        <v>-6.6299999999983997E-2</v>
      </c>
      <c r="AF6636">
        <v>9.1280307588682996E-2</v>
      </c>
      <c r="AG6636">
        <v>-0.11521819999999899</v>
      </c>
      <c r="AH6636">
        <v>0.43183817623509202</v>
      </c>
      <c r="AI6636">
        <v>104.630060906705</v>
      </c>
      <c r="AJ6636">
        <v>78.064722451734696</v>
      </c>
      <c r="AK6636">
        <v>0.45617051485028598</v>
      </c>
      <c r="AL6636">
        <v>90.132053077084095</v>
      </c>
      <c r="AM6636">
        <v>87.962432085019302</v>
      </c>
      <c r="AN6636">
        <v>1.00000002514098</v>
      </c>
    </row>
    <row r="6637" spans="1:40" x14ac:dyDescent="0.25">
      <c r="A6637" t="str">
        <f>"20190305135956929"</f>
        <v>20190305135956929</v>
      </c>
      <c r="B6637" t="str">
        <f>"1551765596926260"</f>
        <v>1551765596926260</v>
      </c>
      <c r="C6637" t="s">
        <v>40</v>
      </c>
      <c r="D6637">
        <v>5.087739</v>
      </c>
      <c r="E6637">
        <v>0.52644089999999999</v>
      </c>
      <c r="F6637" t="s">
        <v>41</v>
      </c>
      <c r="G6637">
        <v>-150.34569999999999</v>
      </c>
      <c r="H6637">
        <v>0.95415099999999997</v>
      </c>
      <c r="I6637">
        <v>137.30029999999999</v>
      </c>
      <c r="J6637">
        <v>-150.94130000000001</v>
      </c>
      <c r="K6637">
        <v>1.112018</v>
      </c>
      <c r="L6637">
        <v>137.34780000000001</v>
      </c>
      <c r="M6637">
        <v>0.99728779999999995</v>
      </c>
      <c r="N6637">
        <v>-3.2565230000000001E-2</v>
      </c>
      <c r="O6637">
        <v>6.6006910000000002E-2</v>
      </c>
      <c r="P6637">
        <v>0.99901150000000005</v>
      </c>
      <c r="Q6637">
        <v>-3.598353E-2</v>
      </c>
      <c r="R6637">
        <v>2.6107189999999999E-2</v>
      </c>
      <c r="S6637">
        <v>2.9872740000000002</v>
      </c>
      <c r="T6637">
        <v>-0.57150599999999996</v>
      </c>
      <c r="U6637">
        <v>-0.1184235</v>
      </c>
      <c r="V6637">
        <v>3.9925009999999997E-2</v>
      </c>
      <c r="W6637">
        <v>-3.4634169999999999E-3</v>
      </c>
      <c r="X6637">
        <v>0.99919659999999999</v>
      </c>
      <c r="Y6637">
        <v>0.1025134</v>
      </c>
      <c r="Z6637">
        <v>-2.1775309999999999E-2</v>
      </c>
      <c r="AA6637">
        <v>0.99449319999999997</v>
      </c>
      <c r="AB6637">
        <v>22</v>
      </c>
      <c r="AC6637">
        <v>0.595600000000018</v>
      </c>
      <c r="AD6637">
        <v>-0.15786699999999901</v>
      </c>
      <c r="AE6637">
        <v>-4.7500000000013601E-2</v>
      </c>
      <c r="AF6637">
        <v>8.1071258181808006E-2</v>
      </c>
      <c r="AG6637">
        <v>-0.15786699999999901</v>
      </c>
      <c r="AH6637">
        <v>0.55258646720264504</v>
      </c>
      <c r="AI6637">
        <v>105.783556887787</v>
      </c>
      <c r="AJ6637">
        <v>81.653546190903697</v>
      </c>
      <c r="AK6637">
        <v>0.58038465032052799</v>
      </c>
      <c r="AL6637">
        <v>90.198439588685005</v>
      </c>
      <c r="AM6637">
        <v>87.711843363670994</v>
      </c>
      <c r="AN6637">
        <v>0.99999992356618495</v>
      </c>
    </row>
    <row r="6638" spans="1:40" x14ac:dyDescent="0.25">
      <c r="A6638" t="str">
        <f>"20190305135956950"</f>
        <v>20190305135956950</v>
      </c>
      <c r="B6638" t="str">
        <f>"1551765596945781"</f>
        <v>1551765596945781</v>
      </c>
      <c r="C6638" t="s">
        <v>40</v>
      </c>
      <c r="D6638">
        <v>5.1614879999999896</v>
      </c>
      <c r="E6638">
        <v>0.52464619999999995</v>
      </c>
      <c r="F6638" t="s">
        <v>41</v>
      </c>
      <c r="G6638">
        <v>-150.13919999999999</v>
      </c>
      <c r="H6638">
        <v>0.99341299999999999</v>
      </c>
      <c r="I6638">
        <v>137.30760000000001</v>
      </c>
      <c r="J6638">
        <v>-150.74289999999999</v>
      </c>
      <c r="K6638">
        <v>1.112223</v>
      </c>
      <c r="L6638">
        <v>137.36070000000001</v>
      </c>
      <c r="M6638">
        <v>0.99726610000000004</v>
      </c>
      <c r="N6638">
        <v>-3.3401229999999997E-2</v>
      </c>
      <c r="O6638">
        <v>6.5915319999999999E-2</v>
      </c>
      <c r="P6638">
        <v>0.9991835</v>
      </c>
      <c r="Q6638">
        <v>-3.4114079999999998E-2</v>
      </c>
      <c r="R6638">
        <v>2.165183E-2</v>
      </c>
      <c r="S6638">
        <v>2.9909210000000002</v>
      </c>
      <c r="T6638">
        <v>-0.44228790000000001</v>
      </c>
      <c r="U6638">
        <v>-0.149398799999999</v>
      </c>
      <c r="V6638">
        <v>4.4293249999999999E-2</v>
      </c>
      <c r="W6638">
        <v>-7.6090659999999998E-4</v>
      </c>
      <c r="X6638">
        <v>0.99901830000000003</v>
      </c>
      <c r="Y6638">
        <v>0.11370520000000001</v>
      </c>
      <c r="Z6638">
        <v>-1.7765199999999998E-2</v>
      </c>
      <c r="AA6638">
        <v>0.99335569999999895</v>
      </c>
      <c r="AB6638">
        <v>21</v>
      </c>
      <c r="AC6638">
        <v>0.60370000000000301</v>
      </c>
      <c r="AD6638">
        <v>-0.11881</v>
      </c>
      <c r="AE6638">
        <v>-5.3100000000000501E-2</v>
      </c>
      <c r="AF6638">
        <v>8.9365018476495597E-2</v>
      </c>
      <c r="AG6638">
        <v>-0.11881</v>
      </c>
      <c r="AH6638">
        <v>0.57671793005251304</v>
      </c>
      <c r="AI6638">
        <v>101.50708103213</v>
      </c>
      <c r="AJ6638">
        <v>81.191814768689397</v>
      </c>
      <c r="AK6638">
        <v>0.59557156872315498</v>
      </c>
      <c r="AL6638">
        <v>90.043596740233895</v>
      </c>
      <c r="AM6638">
        <v>87.461352469067705</v>
      </c>
      <c r="AN6638">
        <v>1.0000000173546499</v>
      </c>
    </row>
    <row r="6639" spans="1:40" x14ac:dyDescent="0.25">
      <c r="A6639" t="str">
        <f>"20190305135956973"</f>
        <v>20190305135956973</v>
      </c>
      <c r="B6639" t="str">
        <f>"1551765596965301"</f>
        <v>1551765596965301</v>
      </c>
      <c r="C6639" t="s">
        <v>40</v>
      </c>
      <c r="D6639">
        <v>5.1268750000000001</v>
      </c>
      <c r="E6639">
        <v>0.52355509999999905</v>
      </c>
      <c r="F6639" t="s">
        <v>41</v>
      </c>
      <c r="G6639">
        <v>-149.95599999999999</v>
      </c>
      <c r="H6639">
        <v>0.99874220000000002</v>
      </c>
      <c r="I6639">
        <v>137.32169999999999</v>
      </c>
      <c r="J6639">
        <v>-150.5506</v>
      </c>
      <c r="K6639">
        <v>1.112447</v>
      </c>
      <c r="L6639">
        <v>137.3732</v>
      </c>
      <c r="M6639">
        <v>0.99723989999999996</v>
      </c>
      <c r="N6639">
        <v>-3.447443E-2</v>
      </c>
      <c r="O6639">
        <v>6.5757979999999994E-2</v>
      </c>
      <c r="P6639">
        <v>0.99934480000000003</v>
      </c>
      <c r="Q6639">
        <v>-3.0463589999999999E-2</v>
      </c>
      <c r="R6639">
        <v>1.9547220000000001E-2</v>
      </c>
      <c r="S6639">
        <v>2.9909669999999999</v>
      </c>
      <c r="T6639">
        <v>-0.43132759999999998</v>
      </c>
      <c r="U6639">
        <v>-0.14839169999999999</v>
      </c>
      <c r="V6639">
        <v>4.6250479999999997E-2</v>
      </c>
      <c r="W6639">
        <v>3.9594699999999997E-3</v>
      </c>
      <c r="X6639">
        <v>0.99892199999999998</v>
      </c>
      <c r="Y6639">
        <v>0.1133154</v>
      </c>
      <c r="Z6639">
        <v>-1.7260569999999999E-2</v>
      </c>
      <c r="AA6639">
        <v>0.99340910000000004</v>
      </c>
      <c r="AB6639">
        <v>21</v>
      </c>
      <c r="AC6639">
        <v>0.59459999999998503</v>
      </c>
      <c r="AD6639">
        <v>-0.11370479999999999</v>
      </c>
      <c r="AE6639">
        <v>-5.1500000000004299E-2</v>
      </c>
      <c r="AF6639">
        <v>8.7341191533909998E-2</v>
      </c>
      <c r="AG6639">
        <v>-0.11370479999999999</v>
      </c>
      <c r="AH6639">
        <v>0.56926091922299205</v>
      </c>
      <c r="AI6639">
        <v>101.168320432991</v>
      </c>
      <c r="AJ6639">
        <v>81.277182027664793</v>
      </c>
      <c r="AK6639">
        <v>0.58703940194522697</v>
      </c>
      <c r="AL6639">
        <v>89.773138481040704</v>
      </c>
      <c r="AM6639">
        <v>87.349076162136996</v>
      </c>
      <c r="AN6639">
        <v>0.99999997319345502</v>
      </c>
    </row>
    <row r="6640" spans="1:40" x14ac:dyDescent="0.25">
      <c r="A6640" t="str">
        <f>"20190305135956993"</f>
        <v>20190305135956993</v>
      </c>
      <c r="B6640" t="str">
        <f>"1551765596985796"</f>
        <v>1551765596985796</v>
      </c>
      <c r="C6640" t="s">
        <v>40</v>
      </c>
      <c r="D6640">
        <v>5.1010419999999996</v>
      </c>
      <c r="E6640">
        <v>0.52454279999999998</v>
      </c>
      <c r="F6640" t="s">
        <v>41</v>
      </c>
      <c r="G6640">
        <v>-149.77850000000001</v>
      </c>
      <c r="H6640">
        <v>1.002894</v>
      </c>
      <c r="I6640">
        <v>137.33539999999999</v>
      </c>
      <c r="J6640">
        <v>-150.36369999999999</v>
      </c>
      <c r="K6640">
        <v>1.1125860000000001</v>
      </c>
      <c r="L6640">
        <v>137.38509999999999</v>
      </c>
      <c r="M6640">
        <v>0.99722639999999996</v>
      </c>
      <c r="N6640">
        <v>-3.5487360000000003E-2</v>
      </c>
      <c r="O6640">
        <v>6.5424250000000003E-2</v>
      </c>
      <c r="P6640">
        <v>0.99949650000000001</v>
      </c>
      <c r="Q6640">
        <v>-2.4350610000000002E-2</v>
      </c>
      <c r="R6640">
        <v>2.0352599999999998E-2</v>
      </c>
      <c r="S6640">
        <v>2.9918819999999999</v>
      </c>
      <c r="T6640">
        <v>-0.42449979999999998</v>
      </c>
      <c r="U6640">
        <v>-0.14602660000000001</v>
      </c>
      <c r="V6640">
        <v>4.5129229999999999E-2</v>
      </c>
      <c r="W6640">
        <v>1.1081769999999999E-2</v>
      </c>
      <c r="X6640">
        <v>0.99891969999999997</v>
      </c>
      <c r="Y6640">
        <v>0.1122591</v>
      </c>
      <c r="Z6640">
        <v>-1.6842579999999999E-2</v>
      </c>
      <c r="AA6640">
        <v>0.99353619999999998</v>
      </c>
      <c r="AB6640">
        <v>20</v>
      </c>
      <c r="AC6640">
        <v>0.58519999999998595</v>
      </c>
      <c r="AD6640">
        <v>-0.109692</v>
      </c>
      <c r="AE6640">
        <v>-4.9700000000001403E-2</v>
      </c>
      <c r="AF6640">
        <v>8.4940753070117198E-2</v>
      </c>
      <c r="AG6640">
        <v>-0.109692</v>
      </c>
      <c r="AH6640">
        <v>0.56111728096785396</v>
      </c>
      <c r="AI6640">
        <v>100.93959770103901</v>
      </c>
      <c r="AJ6640">
        <v>81.3920396821796</v>
      </c>
      <c r="AK6640">
        <v>0.57801372768894999</v>
      </c>
      <c r="AL6640">
        <v>89.365048359447499</v>
      </c>
      <c r="AM6640">
        <v>87.413248164126102</v>
      </c>
      <c r="AN6640">
        <v>1.0000000100374</v>
      </c>
    </row>
    <row r="6641" spans="1:40" x14ac:dyDescent="0.25">
      <c r="A6641" t="str">
        <f>"20190305135957016"</f>
        <v>20190305135957016</v>
      </c>
      <c r="B6641" t="str">
        <f>"1551765597005316"</f>
        <v>1551765597005316</v>
      </c>
      <c r="C6641" t="s">
        <v>40</v>
      </c>
      <c r="D6641">
        <v>5.0752319999999997</v>
      </c>
      <c r="E6641">
        <v>0.52610389999999996</v>
      </c>
      <c r="F6641" t="s">
        <v>41</v>
      </c>
      <c r="G6641">
        <v>-149.6037</v>
      </c>
      <c r="H6641">
        <v>1.00989</v>
      </c>
      <c r="I6641">
        <v>137.3468</v>
      </c>
      <c r="J6641">
        <v>-150.1788</v>
      </c>
      <c r="K6641">
        <v>1.1124879999999999</v>
      </c>
      <c r="L6641">
        <v>137.39660000000001</v>
      </c>
      <c r="M6641">
        <v>0.99724740000000001</v>
      </c>
      <c r="N6641">
        <v>-3.6081040000000002E-2</v>
      </c>
      <c r="O6641">
        <v>6.4777169999999995E-2</v>
      </c>
      <c r="P6641">
        <v>0.99963040000000003</v>
      </c>
      <c r="Q6641">
        <v>-1.743569E-2</v>
      </c>
      <c r="R6641">
        <v>2.0869740000000001E-2</v>
      </c>
      <c r="S6641">
        <v>2.99472</v>
      </c>
      <c r="T6641">
        <v>-0.4046149</v>
      </c>
      <c r="U6641">
        <v>-0.15061949999999999</v>
      </c>
      <c r="V6641">
        <v>4.398722E-2</v>
      </c>
      <c r="W6641">
        <v>1.8574429999999999E-2</v>
      </c>
      <c r="X6641">
        <v>0.99885939999999995</v>
      </c>
      <c r="Y6641">
        <v>0.1132441</v>
      </c>
      <c r="Z6641">
        <v>-1.6044329999999999E-2</v>
      </c>
      <c r="AA6641">
        <v>0.99343760000000003</v>
      </c>
      <c r="AB6641">
        <v>20</v>
      </c>
      <c r="AC6641">
        <v>0.57509999999999195</v>
      </c>
      <c r="AD6641">
        <v>-0.102597999999999</v>
      </c>
      <c r="AE6641">
        <v>-4.9800000000004702E-2</v>
      </c>
      <c r="AF6641">
        <v>8.4309567740436103E-2</v>
      </c>
      <c r="AG6641">
        <v>-0.102597999999999</v>
      </c>
      <c r="AH6641">
        <v>0.553187494293229</v>
      </c>
      <c r="AI6641">
        <v>100.389768838734</v>
      </c>
      <c r="AJ6641">
        <v>81.334413987864195</v>
      </c>
      <c r="AK6641">
        <v>0.56890320499976199</v>
      </c>
      <c r="AL6641">
        <v>88.935702341882205</v>
      </c>
      <c r="AM6641">
        <v>87.478469182113997</v>
      </c>
      <c r="AN6641">
        <v>0.99999999297075604</v>
      </c>
    </row>
    <row r="6642" spans="1:40" x14ac:dyDescent="0.25">
      <c r="A6642" t="str">
        <f>"20190305135957038"</f>
        <v>20190305135957038</v>
      </c>
      <c r="B6642" t="str">
        <f>"1551765597035572"</f>
        <v>1551765597035572</v>
      </c>
      <c r="C6642" t="s">
        <v>40</v>
      </c>
      <c r="D6642">
        <v>5.0506929999999999</v>
      </c>
      <c r="E6642">
        <v>0.52644559999999996</v>
      </c>
      <c r="F6642" t="s">
        <v>41</v>
      </c>
      <c r="G6642">
        <v>-149.43209999999999</v>
      </c>
      <c r="H6642">
        <v>1.0171049999999999</v>
      </c>
      <c r="I6642">
        <v>137.35650000000001</v>
      </c>
      <c r="J6642">
        <v>-149.99369999999999</v>
      </c>
      <c r="K6642">
        <v>1.1121730000000001</v>
      </c>
      <c r="L6642">
        <v>137.4076</v>
      </c>
      <c r="M6642">
        <v>0.99731099999999995</v>
      </c>
      <c r="N6642">
        <v>-3.61719E-2</v>
      </c>
      <c r="O6642">
        <v>6.3737849999999999E-2</v>
      </c>
      <c r="P6642">
        <v>0.99968769999999996</v>
      </c>
      <c r="Q6642">
        <v>-1.236524E-2</v>
      </c>
      <c r="R6642">
        <v>2.171644E-2</v>
      </c>
      <c r="S6642">
        <v>2.9977719999999999</v>
      </c>
      <c r="T6642">
        <v>-0.38291219999999998</v>
      </c>
      <c r="U6642">
        <v>-0.1602325</v>
      </c>
      <c r="V6642">
        <v>4.2124389999999998E-2</v>
      </c>
      <c r="W6642">
        <v>2.3714530000000001E-2</v>
      </c>
      <c r="X6642">
        <v>0.99883089999999997</v>
      </c>
      <c r="Y6642">
        <v>0.115485199999999</v>
      </c>
      <c r="Z6642">
        <v>-1.524611E-2</v>
      </c>
      <c r="AA6642">
        <v>0.99319219999999997</v>
      </c>
      <c r="AB6642">
        <v>19</v>
      </c>
      <c r="AC6642">
        <v>0.56159999999999799</v>
      </c>
      <c r="AD6642">
        <v>-9.5067999999999903E-2</v>
      </c>
      <c r="AE6642">
        <v>-5.1099999999991E-2</v>
      </c>
      <c r="AF6642">
        <v>8.4415435151631593E-2</v>
      </c>
      <c r="AG6642">
        <v>-9.5067999999999903E-2</v>
      </c>
      <c r="AH6642">
        <v>0.54179917669608602</v>
      </c>
      <c r="AI6642">
        <v>99.835907480301799</v>
      </c>
      <c r="AJ6642">
        <v>81.1441887307776</v>
      </c>
      <c r="AK6642">
        <v>0.55651616165606199</v>
      </c>
      <c r="AL6642">
        <v>88.641130137700799</v>
      </c>
      <c r="AM6642">
        <v>87.585056332436693</v>
      </c>
      <c r="AN6642">
        <v>1.0000000049804001</v>
      </c>
    </row>
    <row r="6643" spans="1:40" x14ac:dyDescent="0.25">
      <c r="A6643" t="str">
        <f>"20190305135957061"</f>
        <v>20190305135957061</v>
      </c>
      <c r="B6643" t="str">
        <f>"1551765597056058"</f>
        <v>1551765597056058</v>
      </c>
      <c r="C6643" t="s">
        <v>40</v>
      </c>
      <c r="D6643">
        <v>5.167084</v>
      </c>
      <c r="E6643">
        <v>0.53138540000000001</v>
      </c>
      <c r="F6643" t="s">
        <v>41</v>
      </c>
      <c r="G6643">
        <v>-149.26480000000001</v>
      </c>
      <c r="H6643">
        <v>1.0217670000000001</v>
      </c>
      <c r="I6643">
        <v>137.36879999999999</v>
      </c>
      <c r="J6643">
        <v>-149.8056</v>
      </c>
      <c r="K6643">
        <v>1.1118539999999999</v>
      </c>
      <c r="L6643">
        <v>137.41800000000001</v>
      </c>
      <c r="M6643">
        <v>0.99740609999999996</v>
      </c>
      <c r="N6643">
        <v>-3.6134819999999998E-2</v>
      </c>
      <c r="O6643">
        <v>6.2252370000000001E-2</v>
      </c>
      <c r="P6643">
        <v>0.99966659999999996</v>
      </c>
      <c r="Q6643">
        <v>-9.8005579999999991E-3</v>
      </c>
      <c r="R6643">
        <v>2.388935E-2</v>
      </c>
      <c r="S6643">
        <v>2.9998170000000002</v>
      </c>
      <c r="T6643">
        <v>-0.37202410000000002</v>
      </c>
      <c r="U6643">
        <v>-0.1596069</v>
      </c>
      <c r="V6643">
        <v>3.8485529999999997E-2</v>
      </c>
      <c r="W6643">
        <v>2.6229539999999999E-2</v>
      </c>
      <c r="X6643">
        <v>0.99891479999999999</v>
      </c>
      <c r="Y6643">
        <v>0.1138672</v>
      </c>
      <c r="Z6643">
        <v>-1.454048E-2</v>
      </c>
      <c r="AA6643">
        <v>0.99338950000000004</v>
      </c>
      <c r="AB6643">
        <v>19</v>
      </c>
      <c r="AC6643">
        <v>0.54079999999998996</v>
      </c>
      <c r="AD6643">
        <v>-9.0087E-2</v>
      </c>
      <c r="AE6643">
        <v>-4.9200000000013198E-2</v>
      </c>
      <c r="AF6643">
        <v>8.0574991361639106E-2</v>
      </c>
      <c r="AG6643">
        <v>-9.0087E-2</v>
      </c>
      <c r="AH6643">
        <v>0.522310167264605</v>
      </c>
      <c r="AI6643">
        <v>99.673746240525603</v>
      </c>
      <c r="AJ6643">
        <v>81.230308812973306</v>
      </c>
      <c r="AK6643">
        <v>0.53611184246377896</v>
      </c>
      <c r="AL6643">
        <v>88.496985609666893</v>
      </c>
      <c r="AM6643">
        <v>87.793637273702899</v>
      </c>
      <c r="AN6643">
        <v>0.99999995122351504</v>
      </c>
    </row>
    <row r="6644" spans="1:40" x14ac:dyDescent="0.25">
      <c r="A6644" t="str">
        <f>"20190305135957084"</f>
        <v>20190305135957084</v>
      </c>
      <c r="B6644" t="str">
        <f>"1551765597075577"</f>
        <v>1551765597075577</v>
      </c>
      <c r="C6644" t="s">
        <v>40</v>
      </c>
      <c r="D6644">
        <v>5.1129129999999998</v>
      </c>
      <c r="E6644">
        <v>0.53021700000000005</v>
      </c>
      <c r="F6644" t="s">
        <v>41</v>
      </c>
      <c r="G6644">
        <v>-148.98269999999999</v>
      </c>
      <c r="H6644">
        <v>0.94714560000000003</v>
      </c>
      <c r="I6644">
        <v>137.3629</v>
      </c>
      <c r="J6644">
        <v>-149.62960000000001</v>
      </c>
      <c r="K6644">
        <v>1.111672</v>
      </c>
      <c r="L6644">
        <v>137.42699999999999</v>
      </c>
      <c r="M6644">
        <v>0.99750689999999997</v>
      </c>
      <c r="N6644">
        <v>-3.6246380000000002E-2</v>
      </c>
      <c r="O6644">
        <v>6.0548579999999998E-2</v>
      </c>
      <c r="P6644">
        <v>0.99964920000000002</v>
      </c>
      <c r="Q6644">
        <v>-8.2911210000000003E-3</v>
      </c>
      <c r="R6644">
        <v>2.5156299999999999E-2</v>
      </c>
      <c r="S6644">
        <v>2.999924</v>
      </c>
      <c r="T6644">
        <v>-0.60043500000000005</v>
      </c>
      <c r="U6644">
        <v>-0.20075989999999999</v>
      </c>
      <c r="V6644">
        <v>3.5527650000000001E-2</v>
      </c>
      <c r="W6644">
        <v>2.7846860000000001E-2</v>
      </c>
      <c r="X6644">
        <v>0.9989806</v>
      </c>
      <c r="Y6644">
        <v>0.12341009999999999</v>
      </c>
      <c r="Z6644">
        <v>-2.4293450000000001E-2</v>
      </c>
      <c r="AA6644">
        <v>0.99205829999999995</v>
      </c>
      <c r="AB6644">
        <v>18</v>
      </c>
      <c r="AC6644">
        <v>0.64690000000001602</v>
      </c>
      <c r="AD6644">
        <v>-0.16452639999999899</v>
      </c>
      <c r="AE6644">
        <v>-6.4100000000024596E-2</v>
      </c>
      <c r="AF6644">
        <v>9.6965723194800998E-2</v>
      </c>
      <c r="AG6644">
        <v>-0.16452639999999899</v>
      </c>
      <c r="AH6644">
        <v>0.60319041043669896</v>
      </c>
      <c r="AI6644">
        <v>105.07233756642199</v>
      </c>
      <c r="AJ6644">
        <v>80.867563514965397</v>
      </c>
      <c r="AK6644">
        <v>0.63270052869777504</v>
      </c>
      <c r="AL6644">
        <v>88.404286092653905</v>
      </c>
      <c r="AM6644">
        <v>87.963196827603099</v>
      </c>
      <c r="AN6644">
        <v>0.99999995035136902</v>
      </c>
    </row>
    <row r="6645" spans="1:40" x14ac:dyDescent="0.25">
      <c r="A6645" t="str">
        <f>"20190305135957105"</f>
        <v>20190305135957105</v>
      </c>
      <c r="B6645" t="str">
        <f>"1551765597096075"</f>
        <v>1551765597096075</v>
      </c>
      <c r="C6645" t="s">
        <v>40</v>
      </c>
      <c r="D6645">
        <v>5.0788760000000002</v>
      </c>
      <c r="E6645">
        <v>0.52895530000000002</v>
      </c>
      <c r="F6645" t="s">
        <v>41</v>
      </c>
      <c r="G6645">
        <v>-148.83279999999999</v>
      </c>
      <c r="H6645">
        <v>0.94134960000000001</v>
      </c>
      <c r="I6645">
        <v>137.37729999999999</v>
      </c>
      <c r="J6645">
        <v>-149.46510000000001</v>
      </c>
      <c r="K6645">
        <v>1.111585</v>
      </c>
      <c r="L6645">
        <v>137.435</v>
      </c>
      <c r="M6645">
        <v>0.99760919999999997</v>
      </c>
      <c r="N6645">
        <v>-3.6443349999999999E-2</v>
      </c>
      <c r="O6645">
        <v>5.8717199999999997E-2</v>
      </c>
      <c r="P6645">
        <v>0.99962379999999995</v>
      </c>
      <c r="Q6645">
        <v>-1.083512E-2</v>
      </c>
      <c r="R6645">
        <v>2.5197379999999998E-2</v>
      </c>
      <c r="S6645">
        <v>3.0004270000000002</v>
      </c>
      <c r="T6645">
        <v>-0.64131130000000003</v>
      </c>
      <c r="U6645">
        <v>-0.18667600000000001</v>
      </c>
      <c r="V6645">
        <v>3.3649999999999999E-2</v>
      </c>
      <c r="W6645">
        <v>2.550117E-2</v>
      </c>
      <c r="X6645">
        <v>0.99910829999999995</v>
      </c>
      <c r="Y6645">
        <v>0.11663709999999999</v>
      </c>
      <c r="Z6645">
        <v>-2.4750100000000001E-2</v>
      </c>
      <c r="AA6645">
        <v>0.99286620000000003</v>
      </c>
      <c r="AB6645">
        <v>18</v>
      </c>
      <c r="AC6645">
        <v>0.63230000000001496</v>
      </c>
      <c r="AD6645">
        <v>-0.17023540000000001</v>
      </c>
      <c r="AE6645">
        <v>-5.7700000000011097E-2</v>
      </c>
      <c r="AF6645">
        <v>8.8397246142281199E-2</v>
      </c>
      <c r="AG6645">
        <v>-0.17023540000000001</v>
      </c>
      <c r="AH6645">
        <v>0.58571214503622604</v>
      </c>
      <c r="AI6645">
        <v>106.034240080012</v>
      </c>
      <c r="AJ6645">
        <v>81.417539082146604</v>
      </c>
      <c r="AK6645">
        <v>0.61632205978825405</v>
      </c>
      <c r="AL6645">
        <v>88.538732197680403</v>
      </c>
      <c r="AM6645">
        <v>88.071005445757905</v>
      </c>
      <c r="AN6645">
        <v>1.0000000136501199</v>
      </c>
    </row>
    <row r="6646" spans="1:40" x14ac:dyDescent="0.25">
      <c r="A6646" t="str">
        <f>"20190305135957130"</f>
        <v>20190305135957130</v>
      </c>
      <c r="B6646" t="str">
        <f>"1551765597115594"</f>
        <v>1551765597115594</v>
      </c>
      <c r="C6646" t="s">
        <v>40</v>
      </c>
      <c r="D6646">
        <v>5.1397349999999999</v>
      </c>
      <c r="E6646">
        <v>0.52735189999999998</v>
      </c>
      <c r="F6646" t="s">
        <v>41</v>
      </c>
      <c r="G6646">
        <v>-148.6857</v>
      </c>
      <c r="H6646">
        <v>0.93742749999999997</v>
      </c>
      <c r="I6646">
        <v>137.38939999999999</v>
      </c>
      <c r="J6646">
        <v>-149.2859</v>
      </c>
      <c r="K6646">
        <v>1.1115409999999999</v>
      </c>
      <c r="L6646">
        <v>137.44299999999899</v>
      </c>
      <c r="M6646">
        <v>0.99772899999999998</v>
      </c>
      <c r="N6646">
        <v>-3.6618449999999997E-2</v>
      </c>
      <c r="O6646">
        <v>5.6533489999999999E-2</v>
      </c>
      <c r="P6646">
        <v>0.9995503</v>
      </c>
      <c r="Q6646">
        <v>-1.518329E-2</v>
      </c>
      <c r="R6646">
        <v>2.5857310000000001E-2</v>
      </c>
      <c r="S6646">
        <v>2.998291</v>
      </c>
      <c r="T6646">
        <v>-0.66996429999999996</v>
      </c>
      <c r="U6646">
        <v>-0.1753845</v>
      </c>
      <c r="V6646">
        <v>3.0790100000000001E-2</v>
      </c>
      <c r="W6646">
        <v>2.1337620000000002E-2</v>
      </c>
      <c r="X6646">
        <v>0.99929809999999997</v>
      </c>
      <c r="Y6646">
        <v>0.110626</v>
      </c>
      <c r="Z6646">
        <v>-2.4675820000000001E-2</v>
      </c>
      <c r="AA6646">
        <v>0.99355570000000004</v>
      </c>
      <c r="AB6646">
        <v>17</v>
      </c>
      <c r="AC6646">
        <v>0.60020000000000095</v>
      </c>
      <c r="AD6646">
        <v>-0.17411349999999901</v>
      </c>
      <c r="AE6646">
        <v>-5.3599999999988698E-2</v>
      </c>
      <c r="AF6646">
        <v>8.0728488733659398E-2</v>
      </c>
      <c r="AG6646">
        <v>-0.17411349999999901</v>
      </c>
      <c r="AH6646">
        <v>0.55026607192292598</v>
      </c>
      <c r="AI6646">
        <v>107.383551844417</v>
      </c>
      <c r="AJ6646">
        <v>81.653784585236195</v>
      </c>
      <c r="AK6646">
        <v>0.58277384094085505</v>
      </c>
      <c r="AL6646">
        <v>88.777351650121801</v>
      </c>
      <c r="AM6646">
        <v>88.2351764421106</v>
      </c>
      <c r="AN6646">
        <v>1.00000000847444</v>
      </c>
    </row>
    <row r="6647" spans="1:40" x14ac:dyDescent="0.25">
      <c r="A6647" t="str">
        <f>"20190305135957152"</f>
        <v>20190305135957152</v>
      </c>
      <c r="B6647" t="str">
        <f>"1551765597145850"</f>
        <v>1551765597145850</v>
      </c>
      <c r="C6647" t="s">
        <v>40</v>
      </c>
      <c r="D6647">
        <v>5.1288150000000003</v>
      </c>
      <c r="E6647">
        <v>0.52659889999999998</v>
      </c>
      <c r="F6647" t="s">
        <v>41</v>
      </c>
      <c r="G6647">
        <v>-148.53970000000001</v>
      </c>
      <c r="H6647">
        <v>0.93857120000000005</v>
      </c>
      <c r="I6647">
        <v>137.40280000000001</v>
      </c>
      <c r="J6647">
        <v>-149.12450000000001</v>
      </c>
      <c r="K6647">
        <v>1.1115109999999999</v>
      </c>
      <c r="L6647">
        <v>137.44980000000001</v>
      </c>
      <c r="M6647">
        <v>0.99783949999999999</v>
      </c>
      <c r="N6647">
        <v>-3.6669479999999997E-2</v>
      </c>
      <c r="O6647">
        <v>5.4514449999999999E-2</v>
      </c>
      <c r="P6647">
        <v>0.99939940000000005</v>
      </c>
      <c r="Q6647">
        <v>-2.0568610000000001E-2</v>
      </c>
      <c r="R6647">
        <v>2.7892730000000001E-2</v>
      </c>
      <c r="S6647">
        <v>2.9949490000000001</v>
      </c>
      <c r="T6647">
        <v>-0.69409080000000001</v>
      </c>
      <c r="U6647">
        <v>-0.1606293</v>
      </c>
      <c r="V6647">
        <v>2.6711459999999999E-2</v>
      </c>
      <c r="W6647">
        <v>1.601992E-2</v>
      </c>
      <c r="X6647">
        <v>0.99951480000000004</v>
      </c>
      <c r="Y6647">
        <v>0.1037386</v>
      </c>
      <c r="Z6647">
        <v>-2.4271939999999999E-2</v>
      </c>
      <c r="AA6647">
        <v>0.99430839999999998</v>
      </c>
      <c r="AB6647">
        <v>17</v>
      </c>
      <c r="AC6647">
        <v>0.58480000000000099</v>
      </c>
      <c r="AD6647">
        <v>-0.1729398</v>
      </c>
      <c r="AE6647">
        <v>-4.6999999999997003E-2</v>
      </c>
      <c r="AF6647">
        <v>7.2529313983113797E-2</v>
      </c>
      <c r="AG6647">
        <v>-0.1729398</v>
      </c>
      <c r="AH6647">
        <v>0.53488792165232002</v>
      </c>
      <c r="AI6647">
        <v>107.764819060649</v>
      </c>
      <c r="AJ6647">
        <v>82.277949300217301</v>
      </c>
      <c r="AK6647">
        <v>0.56681016622890601</v>
      </c>
      <c r="AL6647">
        <v>89.082086919822999</v>
      </c>
      <c r="AM6647">
        <v>88.4691675088972</v>
      </c>
      <c r="AN6647">
        <v>0.99999998767558895</v>
      </c>
    </row>
    <row r="6648" spans="1:40" x14ac:dyDescent="0.25">
      <c r="A6648" t="str">
        <f>"20190305135957175"</f>
        <v>20190305135957175</v>
      </c>
      <c r="B6648" t="str">
        <f>"1551765597165301"</f>
        <v>1551765597165301</v>
      </c>
      <c r="C6648" t="s">
        <v>40</v>
      </c>
      <c r="D6648">
        <v>4.925503</v>
      </c>
      <c r="E6648">
        <v>0.52659889999999998</v>
      </c>
      <c r="F6648" t="s">
        <v>41</v>
      </c>
      <c r="G6648">
        <v>-148.3981</v>
      </c>
      <c r="H6648">
        <v>0.93798530000000002</v>
      </c>
      <c r="I6648">
        <v>137.4134</v>
      </c>
      <c r="J6648">
        <v>-148.96709999999999</v>
      </c>
      <c r="K6648">
        <v>1.111532</v>
      </c>
      <c r="L6648">
        <v>137.45599999999999</v>
      </c>
      <c r="M6648">
        <v>0.99794300000000002</v>
      </c>
      <c r="N6648">
        <v>-3.665181E-2</v>
      </c>
      <c r="O6648">
        <v>5.2599750000000001E-2</v>
      </c>
      <c r="P6648">
        <v>0.99924000000000002</v>
      </c>
      <c r="Q6648">
        <v>-2.535246E-2</v>
      </c>
      <c r="R6648">
        <v>2.9613779999999999E-2</v>
      </c>
      <c r="S6648">
        <v>2.9912719999999999</v>
      </c>
      <c r="T6648">
        <v>-0.71450970000000003</v>
      </c>
      <c r="U6648">
        <v>-0.14933779999999999</v>
      </c>
      <c r="V6648">
        <v>2.3051700000000001E-2</v>
      </c>
      <c r="W6648">
        <v>1.1234829999999999E-2</v>
      </c>
      <c r="X6648">
        <v>0.99967119999999998</v>
      </c>
      <c r="Y6648">
        <v>9.811454E-2</v>
      </c>
      <c r="Z6648">
        <v>-2.3854630000000002E-2</v>
      </c>
      <c r="AA6648">
        <v>0.99488920000000003</v>
      </c>
      <c r="AB6648">
        <v>16</v>
      </c>
      <c r="AC6648">
        <v>0.56899999999998796</v>
      </c>
      <c r="AD6648">
        <v>-0.173546699999999</v>
      </c>
      <c r="AE6648">
        <v>-4.2600000000021503E-2</v>
      </c>
      <c r="AF6648">
        <v>6.6352196170501407E-2</v>
      </c>
      <c r="AG6648">
        <v>-0.173546699999999</v>
      </c>
      <c r="AH6648">
        <v>0.51804549971699398</v>
      </c>
      <c r="AI6648">
        <v>108.381044328608</v>
      </c>
      <c r="AJ6648">
        <v>82.701192920858006</v>
      </c>
      <c r="AK6648">
        <v>0.55035643976841797</v>
      </c>
      <c r="AL6648">
        <v>89.356278150586107</v>
      </c>
      <c r="AM6648">
        <v>88.679034568331204</v>
      </c>
      <c r="AN6648">
        <v>1.00000005519372</v>
      </c>
    </row>
    <row r="6649" spans="1:40" x14ac:dyDescent="0.25">
      <c r="A6649" t="str">
        <f>"20190305135957194"</f>
        <v>20190305135957194</v>
      </c>
      <c r="B6649" t="str">
        <f>"1551765597185798"</f>
        <v>1551765597185798</v>
      </c>
      <c r="C6649" t="s">
        <v>40</v>
      </c>
      <c r="D6649">
        <v>5.2049339999999997</v>
      </c>
      <c r="E6649">
        <v>0.52554829999999997</v>
      </c>
      <c r="F6649" t="s">
        <v>41</v>
      </c>
      <c r="G6649">
        <v>-148.25919999999999</v>
      </c>
      <c r="H6649">
        <v>0.93888720000000003</v>
      </c>
      <c r="I6649">
        <v>137.42150000000001</v>
      </c>
      <c r="J6649">
        <v>-148.83109999999999</v>
      </c>
      <c r="K6649">
        <v>1.111615</v>
      </c>
      <c r="L6649">
        <v>137.46109999999999</v>
      </c>
      <c r="M6649">
        <v>0.99802480000000005</v>
      </c>
      <c r="N6649">
        <v>-3.6630870000000003E-2</v>
      </c>
      <c r="O6649">
        <v>5.1035749999999998E-2</v>
      </c>
      <c r="P6649">
        <v>0.99913660000000004</v>
      </c>
      <c r="Q6649">
        <v>-2.859035E-2</v>
      </c>
      <c r="R6649">
        <v>3.014155E-2</v>
      </c>
      <c r="S6649">
        <v>2.9881129999999998</v>
      </c>
      <c r="T6649">
        <v>-0.728583599999999</v>
      </c>
      <c r="U6649">
        <v>-0.1448364</v>
      </c>
      <c r="V6649">
        <v>2.094269E-2</v>
      </c>
      <c r="W6649">
        <v>7.9872390000000001E-3</v>
      </c>
      <c r="X6649">
        <v>0.99974879999999999</v>
      </c>
      <c r="Y6649">
        <v>9.5072630000000005E-2</v>
      </c>
      <c r="Z6649">
        <v>-2.359965E-2</v>
      </c>
      <c r="AA6649">
        <v>0.99519060000000004</v>
      </c>
      <c r="AB6649">
        <v>16</v>
      </c>
      <c r="AC6649">
        <v>0.57189999999999896</v>
      </c>
      <c r="AD6649">
        <v>-0.17272779999999999</v>
      </c>
      <c r="AE6649">
        <v>-3.9599999999978701E-2</v>
      </c>
      <c r="AF6649">
        <v>6.3032922222933399E-2</v>
      </c>
      <c r="AG6649">
        <v>-0.17272779999999999</v>
      </c>
      <c r="AH6649">
        <v>0.52176378805464696</v>
      </c>
      <c r="AI6649">
        <v>108.193438816854</v>
      </c>
      <c r="AJ6649">
        <v>83.111627515387596</v>
      </c>
      <c r="AK6649">
        <v>0.55321378571212099</v>
      </c>
      <c r="AL6649">
        <v>89.5423600619838</v>
      </c>
      <c r="AM6649">
        <v>88.799946267765307</v>
      </c>
      <c r="AN6649">
        <v>1.0000000276763501</v>
      </c>
    </row>
    <row r="6650" spans="1:40" x14ac:dyDescent="0.25">
      <c r="A6650" t="str">
        <f>"20190305135957217"</f>
        <v>20190305135957217</v>
      </c>
      <c r="B6650" t="str">
        <f>"1551765597205318"</f>
        <v>1551765597205318</v>
      </c>
      <c r="C6650" t="s">
        <v>40</v>
      </c>
      <c r="D6650">
        <v>5.0944570000000002</v>
      </c>
      <c r="E6650">
        <v>0.52513149999999997</v>
      </c>
      <c r="F6650" t="s">
        <v>41</v>
      </c>
      <c r="G6650">
        <v>-148.1258</v>
      </c>
      <c r="H6650">
        <v>0.9363551</v>
      </c>
      <c r="I6650">
        <v>137.4289</v>
      </c>
      <c r="J6650">
        <v>-148.68700000000001</v>
      </c>
      <c r="K6650">
        <v>1.111777</v>
      </c>
      <c r="L6650">
        <v>137.46629999999999</v>
      </c>
      <c r="M6650">
        <v>0.99810310000000002</v>
      </c>
      <c r="N6650">
        <v>-3.6623419999999997E-2</v>
      </c>
      <c r="O6650">
        <v>4.9485849999999998E-2</v>
      </c>
      <c r="P6650">
        <v>0.99909029999999999</v>
      </c>
      <c r="Q6650">
        <v>-2.9659890000000001E-2</v>
      </c>
      <c r="R6650">
        <v>3.0639240000000002E-2</v>
      </c>
      <c r="S6650">
        <v>2.9855040000000002</v>
      </c>
      <c r="T6650">
        <v>-0.74179390000000001</v>
      </c>
      <c r="U6650">
        <v>-0.13595579999999999</v>
      </c>
      <c r="V6650">
        <v>1.8886130000000001E-2</v>
      </c>
      <c r="W6650">
        <v>6.9229690000000002E-3</v>
      </c>
      <c r="X6650">
        <v>0.99979770000000001</v>
      </c>
      <c r="Y6650">
        <v>9.0641620000000006E-2</v>
      </c>
      <c r="Z6650">
        <v>-2.3092339999999999E-2</v>
      </c>
      <c r="AA6650">
        <v>0.99561580000000005</v>
      </c>
      <c r="AB6650">
        <v>15</v>
      </c>
      <c r="AC6650">
        <v>0.56120000000001302</v>
      </c>
      <c r="AD6650">
        <v>-0.17542189999999999</v>
      </c>
      <c r="AE6650">
        <v>-3.7399999999991003E-2</v>
      </c>
      <c r="AF6650">
        <v>5.9369013048929997E-2</v>
      </c>
      <c r="AG6650">
        <v>-0.17542189999999999</v>
      </c>
      <c r="AH6650">
        <v>0.50913285405612196</v>
      </c>
      <c r="AI6650">
        <v>108.892560238038</v>
      </c>
      <c r="AJ6650">
        <v>83.348885728563701</v>
      </c>
      <c r="AK6650">
        <v>0.54176912591005599</v>
      </c>
      <c r="AL6650">
        <v>89.603339936845202</v>
      </c>
      <c r="AM6650">
        <v>88.917814214077197</v>
      </c>
      <c r="AN6650">
        <v>1.0000000271657199</v>
      </c>
    </row>
    <row r="6651" spans="1:40" x14ac:dyDescent="0.25">
      <c r="A6651" t="str">
        <f>"20190305135957240"</f>
        <v>20190305135957240</v>
      </c>
      <c r="B6651" t="str">
        <f>"1551765597235574"</f>
        <v>1551765597235574</v>
      </c>
      <c r="C6651" t="s">
        <v>40</v>
      </c>
      <c r="D6651">
        <v>5.1784089999999896</v>
      </c>
      <c r="E6651">
        <v>0.52499119999999899</v>
      </c>
      <c r="F6651" t="s">
        <v>41</v>
      </c>
      <c r="G6651">
        <v>-147.99430000000001</v>
      </c>
      <c r="H6651">
        <v>0.93753310000000001</v>
      </c>
      <c r="I6651">
        <v>137.43549999999999</v>
      </c>
      <c r="J6651">
        <v>-148.542</v>
      </c>
      <c r="K6651">
        <v>1.111988</v>
      </c>
      <c r="L6651">
        <v>137.47149999999999</v>
      </c>
      <c r="M6651">
        <v>0.9981719</v>
      </c>
      <c r="N6651">
        <v>-3.6632079999999997E-2</v>
      </c>
      <c r="O6651">
        <v>4.8072450000000003E-2</v>
      </c>
      <c r="P6651">
        <v>0.99905770000000005</v>
      </c>
      <c r="Q6651">
        <v>-3.04052E-2</v>
      </c>
      <c r="R6651">
        <v>3.0969679999999999E-2</v>
      </c>
      <c r="S6651">
        <v>2.9845120000000001</v>
      </c>
      <c r="T6651">
        <v>-0.75061129999999998</v>
      </c>
      <c r="U6651">
        <v>-0.1320953</v>
      </c>
      <c r="V6651">
        <v>1.7135109999999999E-2</v>
      </c>
      <c r="W6651">
        <v>6.1986680000000001E-3</v>
      </c>
      <c r="X6651">
        <v>0.99983390000000005</v>
      </c>
      <c r="Y6651">
        <v>8.7985240000000006E-2</v>
      </c>
      <c r="Z6651">
        <v>-2.2692029999999998E-2</v>
      </c>
      <c r="AA6651">
        <v>0.99586330000000001</v>
      </c>
      <c r="AB6651">
        <v>15</v>
      </c>
      <c r="AC6651">
        <v>0.54769999999999097</v>
      </c>
      <c r="AD6651">
        <v>-0.174454899999999</v>
      </c>
      <c r="AE6651">
        <v>-3.6000000000001302E-2</v>
      </c>
      <c r="AF6651">
        <v>5.6588682061947802E-2</v>
      </c>
      <c r="AG6651">
        <v>-0.174454899999999</v>
      </c>
      <c r="AH6651">
        <v>0.49529891689808803</v>
      </c>
      <c r="AI6651">
        <v>109.28723169393</v>
      </c>
      <c r="AJ6651">
        <v>83.482128992780005</v>
      </c>
      <c r="AK6651">
        <v>0.52816456540735301</v>
      </c>
      <c r="AL6651">
        <v>89.644840186243101</v>
      </c>
      <c r="AM6651">
        <v>89.018163533895702</v>
      </c>
      <c r="AN6651">
        <v>0.999999931534445</v>
      </c>
    </row>
    <row r="6652" spans="1:40" x14ac:dyDescent="0.25">
      <c r="A6652" t="str">
        <f>"20190305135957262"</f>
        <v>20190305135957262</v>
      </c>
      <c r="B6652" t="str">
        <f>"1551765597255405"</f>
        <v>1551765597255405</v>
      </c>
      <c r="C6652" t="s">
        <v>40</v>
      </c>
      <c r="D6652">
        <v>5.1946079999999997</v>
      </c>
      <c r="E6652">
        <v>0.52513330000000003</v>
      </c>
      <c r="F6652" t="s">
        <v>41</v>
      </c>
      <c r="G6652">
        <v>-147.75550000000001</v>
      </c>
      <c r="H6652">
        <v>0.91487850000000004</v>
      </c>
      <c r="I6652">
        <v>137.43709999999999</v>
      </c>
      <c r="J6652">
        <v>-148.405</v>
      </c>
      <c r="K6652">
        <v>1.1122050000000001</v>
      </c>
      <c r="L6652">
        <v>137.47649999999999</v>
      </c>
      <c r="M6652">
        <v>0.99822379999999999</v>
      </c>
      <c r="N6652">
        <v>-3.6716100000000002E-2</v>
      </c>
      <c r="O6652">
        <v>4.6918939999999999E-2</v>
      </c>
      <c r="P6652">
        <v>0.99910370000000004</v>
      </c>
      <c r="Q6652">
        <v>-2.9003649999999999E-2</v>
      </c>
      <c r="R6652">
        <v>3.0836309999999999E-2</v>
      </c>
      <c r="S6652">
        <v>2.9841000000000002</v>
      </c>
      <c r="T6652">
        <v>-0.74780619999999998</v>
      </c>
      <c r="U6652">
        <v>-0.1300201</v>
      </c>
      <c r="V6652">
        <v>1.6114590000000002E-2</v>
      </c>
      <c r="W6652">
        <v>7.6944700000000001E-3</v>
      </c>
      <c r="X6652">
        <v>0.99984059999999997</v>
      </c>
      <c r="Y6652">
        <v>8.6266209999999996E-2</v>
      </c>
      <c r="Z6652">
        <v>-2.2125329999999999E-2</v>
      </c>
      <c r="AA6652">
        <v>0.99602639999999998</v>
      </c>
      <c r="AB6652">
        <v>14</v>
      </c>
      <c r="AC6652">
        <v>0.64949999999998898</v>
      </c>
      <c r="AD6652">
        <v>-0.19732649999999899</v>
      </c>
      <c r="AE6652">
        <v>-3.9400000000000497E-2</v>
      </c>
      <c r="AF6652">
        <v>6.39681960894697E-2</v>
      </c>
      <c r="AG6652">
        <v>-0.19732649999999899</v>
      </c>
      <c r="AH6652">
        <v>0.59244989435362705</v>
      </c>
      <c r="AI6652">
        <v>108.321980374893</v>
      </c>
      <c r="AJ6652">
        <v>83.837514601219397</v>
      </c>
      <c r="AK6652">
        <v>0.62771534554510899</v>
      </c>
      <c r="AL6652">
        <v>89.559135017422605</v>
      </c>
      <c r="AM6652">
        <v>89.076634753700702</v>
      </c>
      <c r="AN6652">
        <v>1.0000000551438999</v>
      </c>
    </row>
    <row r="6653" spans="1:40" x14ac:dyDescent="0.25">
      <c r="A6653" t="str">
        <f>"20190305135957284"</f>
        <v>20190305135957284</v>
      </c>
      <c r="B6653" t="str">
        <f>"1551765597275901"</f>
        <v>1551765597275901</v>
      </c>
      <c r="C6653" t="s">
        <v>40</v>
      </c>
      <c r="D6653">
        <v>5.5148979999999996</v>
      </c>
      <c r="E6653">
        <v>0.52481869999999997</v>
      </c>
      <c r="F6653" t="s">
        <v>41</v>
      </c>
      <c r="G6653">
        <v>-147.63339999999999</v>
      </c>
      <c r="H6653">
        <v>0.9209522</v>
      </c>
      <c r="I6653">
        <v>137.44229999999999</v>
      </c>
      <c r="J6653">
        <v>-148.27279999999999</v>
      </c>
      <c r="K6653">
        <v>1.1124259999999999</v>
      </c>
      <c r="L6653">
        <v>137.4813</v>
      </c>
      <c r="M6653">
        <v>0.99826280000000001</v>
      </c>
      <c r="N6653">
        <v>-3.684925E-2</v>
      </c>
      <c r="O6653">
        <v>4.5973140000000003E-2</v>
      </c>
      <c r="P6653">
        <v>0.99919179999999996</v>
      </c>
      <c r="Q6653">
        <v>-2.6840820000000001E-2</v>
      </c>
      <c r="R6653">
        <v>2.9925690000000001E-2</v>
      </c>
      <c r="S6653">
        <v>2.9852750000000001</v>
      </c>
      <c r="T6653">
        <v>-0.73988769999999904</v>
      </c>
      <c r="U6653">
        <v>-0.1318665</v>
      </c>
      <c r="V6653">
        <v>1.6080150000000001E-2</v>
      </c>
      <c r="W6653">
        <v>9.9975040000000008E-3</v>
      </c>
      <c r="X6653">
        <v>0.99982070000000001</v>
      </c>
      <c r="Y6653">
        <v>8.6037730000000007E-2</v>
      </c>
      <c r="Z6653">
        <v>-2.1658589999999998E-2</v>
      </c>
      <c r="AA6653">
        <v>0.99605639999999995</v>
      </c>
      <c r="AB6653">
        <v>14</v>
      </c>
      <c r="AC6653">
        <v>0.63939999999999397</v>
      </c>
      <c r="AD6653">
        <v>-0.1914738</v>
      </c>
      <c r="AE6653">
        <v>-3.9000000000015599E-2</v>
      </c>
      <c r="AF6653">
        <v>6.2766189442619497E-2</v>
      </c>
      <c r="AG6653">
        <v>-0.1914738</v>
      </c>
      <c r="AH6653">
        <v>0.58469080345574498</v>
      </c>
      <c r="AI6653">
        <v>108.035662053194</v>
      </c>
      <c r="AJ6653">
        <v>83.872798658670803</v>
      </c>
      <c r="AK6653">
        <v>0.61843766562953695</v>
      </c>
      <c r="AL6653">
        <v>89.427175659227302</v>
      </c>
      <c r="AM6653">
        <v>89.078589487669603</v>
      </c>
      <c r="AN6653">
        <v>0.99999997672937002</v>
      </c>
    </row>
    <row r="6654" spans="1:40" x14ac:dyDescent="0.25">
      <c r="A6654" t="str">
        <f>"20190305135957307"</f>
        <v>20190305135957307</v>
      </c>
      <c r="B6654" t="str">
        <f>"1551765597295421"</f>
        <v>1551765597295421</v>
      </c>
      <c r="C6654" t="s">
        <v>40</v>
      </c>
      <c r="D6654">
        <v>5.2042380000000001</v>
      </c>
      <c r="E6654">
        <v>0.52420710000000004</v>
      </c>
      <c r="F6654" t="s">
        <v>41</v>
      </c>
      <c r="G6654">
        <v>-147.51499999999999</v>
      </c>
      <c r="H6654">
        <v>0.92737000000000003</v>
      </c>
      <c r="I6654">
        <v>137.44799999999901</v>
      </c>
      <c r="J6654">
        <v>-148.14449999999999</v>
      </c>
      <c r="K6654">
        <v>1.1125989999999999</v>
      </c>
      <c r="L6654">
        <v>137.48609999999999</v>
      </c>
      <c r="M6654">
        <v>0.99829270000000003</v>
      </c>
      <c r="N6654">
        <v>-3.6975189999999998E-2</v>
      </c>
      <c r="O6654">
        <v>4.5215779999999997E-2</v>
      </c>
      <c r="P6654">
        <v>0.9992761</v>
      </c>
      <c r="Q6654">
        <v>-2.5260879999999999E-2</v>
      </c>
      <c r="R6654">
        <v>2.8449080000000002E-2</v>
      </c>
      <c r="S6654">
        <v>2.986755</v>
      </c>
      <c r="T6654">
        <v>-0.72941099999999903</v>
      </c>
      <c r="U6654">
        <v>-0.13108829999999999</v>
      </c>
      <c r="V6654">
        <v>1.6798380000000002E-2</v>
      </c>
      <c r="W6654">
        <v>1.170829E-2</v>
      </c>
      <c r="X6654">
        <v>0.99979039999999997</v>
      </c>
      <c r="Y6654">
        <v>8.5161500000000001E-2</v>
      </c>
      <c r="Z6654">
        <v>-2.107175E-2</v>
      </c>
      <c r="AA6654">
        <v>0.99614429999999998</v>
      </c>
      <c r="AB6654">
        <v>13</v>
      </c>
      <c r="AC6654">
        <v>0.62950000000000705</v>
      </c>
      <c r="AD6654">
        <v>-0.18522899999999901</v>
      </c>
      <c r="AE6654">
        <v>-3.8100000000014199E-2</v>
      </c>
      <c r="AF6654">
        <v>6.1259217341193599E-2</v>
      </c>
      <c r="AG6654">
        <v>-0.18522899999999901</v>
      </c>
      <c r="AH6654">
        <v>0.57732776844387801</v>
      </c>
      <c r="AI6654">
        <v>107.695153007429</v>
      </c>
      <c r="AJ6654">
        <v>83.9431108320383</v>
      </c>
      <c r="AK6654">
        <v>0.60940120312208401</v>
      </c>
      <c r="AL6654">
        <v>89.329149108020204</v>
      </c>
      <c r="AM6654">
        <v>89.037412519938101</v>
      </c>
      <c r="AN6654">
        <v>1.0000000567787499</v>
      </c>
    </row>
    <row r="6655" spans="1:40" x14ac:dyDescent="0.25">
      <c r="A6655" t="str">
        <f>"20190305135957328"</f>
        <v>20190305135957328</v>
      </c>
      <c r="B6655" t="str">
        <f>"1551765597315917"</f>
        <v>1551765597315917</v>
      </c>
      <c r="C6655" t="s">
        <v>40</v>
      </c>
      <c r="D6655">
        <v>4.9928299999999997</v>
      </c>
      <c r="E6655">
        <v>0.52394099999999999</v>
      </c>
      <c r="F6655" t="s">
        <v>41</v>
      </c>
      <c r="G6655">
        <v>-147.40090000000001</v>
      </c>
      <c r="H6655">
        <v>0.93321129999999997</v>
      </c>
      <c r="I6655">
        <v>137.4537</v>
      </c>
      <c r="J6655">
        <v>-148.02500000000001</v>
      </c>
      <c r="K6655">
        <v>1.112717</v>
      </c>
      <c r="L6655">
        <v>137.4906</v>
      </c>
      <c r="M6655">
        <v>0.99831499999999995</v>
      </c>
      <c r="N6655">
        <v>-3.7060089999999997E-2</v>
      </c>
      <c r="O6655">
        <v>4.4651349999999999E-2</v>
      </c>
      <c r="P6655">
        <v>0.99927719999999998</v>
      </c>
      <c r="Q6655">
        <v>-2.5566809999999999E-2</v>
      </c>
      <c r="R6655">
        <v>2.8129410000000001E-2</v>
      </c>
      <c r="S6655">
        <v>2.9876559999999999</v>
      </c>
      <c r="T6655">
        <v>-0.72077669999999905</v>
      </c>
      <c r="U6655">
        <v>-0.13006589999999901</v>
      </c>
      <c r="V6655">
        <v>1.6550169999999999E-2</v>
      </c>
      <c r="W6655">
        <v>1.1491349999999999E-2</v>
      </c>
      <c r="X6655">
        <v>0.99979700000000005</v>
      </c>
      <c r="Y6655">
        <v>8.4373760000000006E-2</v>
      </c>
      <c r="Z6655">
        <v>-2.0599559999999999E-2</v>
      </c>
      <c r="AA6655">
        <v>0.99622120000000003</v>
      </c>
      <c r="AB6655">
        <v>13</v>
      </c>
      <c r="AC6655">
        <v>0.62409999999999799</v>
      </c>
      <c r="AD6655">
        <v>-0.17950569999999899</v>
      </c>
      <c r="AE6655">
        <v>-3.6900000000002799E-2</v>
      </c>
      <c r="AF6655">
        <v>5.9817885171958102E-2</v>
      </c>
      <c r="AG6655">
        <v>-0.17950569999999899</v>
      </c>
      <c r="AH6655">
        <v>0.57446926236418605</v>
      </c>
      <c r="AI6655">
        <v>107.264821963185</v>
      </c>
      <c r="AJ6655">
        <v>84.055373028479394</v>
      </c>
      <c r="AK6655">
        <v>0.60482675959334697</v>
      </c>
      <c r="AL6655">
        <v>89.341579652843905</v>
      </c>
      <c r="AM6655">
        <v>89.051639190696093</v>
      </c>
      <c r="AN6655">
        <v>1.0000000002304199</v>
      </c>
    </row>
    <row r="6656" spans="1:40" x14ac:dyDescent="0.25">
      <c r="A6656" t="str">
        <f>"20190305135957353"</f>
        <v>20190305135957353</v>
      </c>
      <c r="B6656" t="str">
        <f>"1551765597346173"</f>
        <v>1551765597346173</v>
      </c>
      <c r="C6656" t="s">
        <v>40</v>
      </c>
      <c r="D6656">
        <v>5.203106</v>
      </c>
      <c r="E6656">
        <v>0.5052778</v>
      </c>
      <c r="F6656" t="s">
        <v>41</v>
      </c>
      <c r="G6656">
        <v>-147.2921</v>
      </c>
      <c r="H6656">
        <v>0.93608259999999999</v>
      </c>
      <c r="I6656">
        <v>137.459</v>
      </c>
      <c r="J6656">
        <v>-147.8998</v>
      </c>
      <c r="K6656">
        <v>1.1128180000000001</v>
      </c>
      <c r="L6656">
        <v>137.49549999999999</v>
      </c>
      <c r="M6656">
        <v>0.99833309999999997</v>
      </c>
      <c r="N6656">
        <v>-3.711354E-2</v>
      </c>
      <c r="O6656">
        <v>4.4201110000000002E-2</v>
      </c>
      <c r="P6656">
        <v>0.9992164</v>
      </c>
      <c r="Q6656">
        <v>-2.7417549999999999E-2</v>
      </c>
      <c r="R6656">
        <v>2.855152E-2</v>
      </c>
      <c r="S6656">
        <v>2.9873810000000001</v>
      </c>
      <c r="T6656">
        <v>-0.72005490000000005</v>
      </c>
      <c r="U6656">
        <v>-0.12852479999999999</v>
      </c>
      <c r="V6656">
        <v>1.5672309999999998E-2</v>
      </c>
      <c r="W6656">
        <v>9.6980620000000003E-3</v>
      </c>
      <c r="X6656">
        <v>0.99983010000000005</v>
      </c>
      <c r="Y6656">
        <v>8.3461510000000003E-2</v>
      </c>
      <c r="Z6656">
        <v>-2.0365350000000001E-2</v>
      </c>
      <c r="AA6656">
        <v>0.99630289999999999</v>
      </c>
      <c r="AB6656">
        <v>12</v>
      </c>
      <c r="AC6656">
        <v>0.60769999999999402</v>
      </c>
      <c r="AD6656">
        <v>-0.17673539999999999</v>
      </c>
      <c r="AE6656">
        <v>-3.6499999999989499E-2</v>
      </c>
      <c r="AF6656">
        <v>5.84203650903578E-2</v>
      </c>
      <c r="AG6656">
        <v>-0.17673539999999999</v>
      </c>
      <c r="AH6656">
        <v>0.55842857989971895</v>
      </c>
      <c r="AI6656">
        <v>107.47239776795701</v>
      </c>
      <c r="AJ6656">
        <v>84.027689794299604</v>
      </c>
      <c r="AK6656">
        <v>0.58863470804843598</v>
      </c>
      <c r="AL6656">
        <v>89.444333240343497</v>
      </c>
      <c r="AM6656">
        <v>89.101963738706502</v>
      </c>
      <c r="AN6656">
        <v>0.99999995128664898</v>
      </c>
    </row>
    <row r="6657" spans="1:40" x14ac:dyDescent="0.25">
      <c r="A6657" t="str">
        <f>"20190305135957378"</f>
        <v>20190305135957378</v>
      </c>
      <c r="B6657" t="str">
        <f>"1551765597375869"</f>
        <v>1551765597375869</v>
      </c>
      <c r="C6657" t="s">
        <v>40</v>
      </c>
      <c r="D6657">
        <v>5.1924140000000003</v>
      </c>
      <c r="E6657">
        <v>0.5048087</v>
      </c>
      <c r="F6657" t="s">
        <v>41</v>
      </c>
      <c r="G6657">
        <v>-147.19200000000001</v>
      </c>
      <c r="H6657">
        <v>0.93135919999999905</v>
      </c>
      <c r="I6657">
        <v>137.50030000000001</v>
      </c>
      <c r="J6657">
        <v>-147.77010000000001</v>
      </c>
      <c r="K6657">
        <v>1.1128960000000001</v>
      </c>
      <c r="L6657">
        <v>137.50069999999999</v>
      </c>
      <c r="M6657">
        <v>0.99834679999999998</v>
      </c>
      <c r="N6657">
        <v>-3.7131949999999997E-2</v>
      </c>
      <c r="O6657">
        <v>4.3876800000000001E-2</v>
      </c>
      <c r="P6657">
        <v>0.99912920000000005</v>
      </c>
      <c r="Q6657">
        <v>-2.982394E-2</v>
      </c>
      <c r="R6657">
        <v>2.9186139999999999E-2</v>
      </c>
      <c r="S6657">
        <v>2.980804</v>
      </c>
      <c r="T6657">
        <v>-0.76419209999999904</v>
      </c>
      <c r="U6657">
        <v>2.0462040000000001E-2</v>
      </c>
      <c r="V6657">
        <v>1.470868E-2</v>
      </c>
      <c r="W6657">
        <v>7.3125350000000002E-3</v>
      </c>
      <c r="X6657">
        <v>0.99986509999999995</v>
      </c>
      <c r="Y6657">
        <v>3.472095E-2</v>
      </c>
      <c r="Z6657">
        <v>-1.449495E-2</v>
      </c>
      <c r="AA6657">
        <v>0.99929190000000001</v>
      </c>
      <c r="AB6657">
        <v>12</v>
      </c>
      <c r="AC6657">
        <v>0.57810000000000605</v>
      </c>
      <c r="AD6657">
        <v>-0.1815368</v>
      </c>
      <c r="AE6657">
        <v>-3.9999999998485599E-4</v>
      </c>
      <c r="AF6657">
        <v>2.3468092698975301E-2</v>
      </c>
      <c r="AG6657">
        <v>-0.1815368</v>
      </c>
      <c r="AH6657">
        <v>0.52568669562727299</v>
      </c>
      <c r="AI6657">
        <v>109.033875368648</v>
      </c>
      <c r="AJ6657">
        <v>87.443856812980101</v>
      </c>
      <c r="AK6657">
        <v>0.55664428775357899</v>
      </c>
      <c r="AL6657">
        <v>89.581018880534799</v>
      </c>
      <c r="AM6657">
        <v>89.157201803474507</v>
      </c>
      <c r="AN6657">
        <v>1.0000000183167299</v>
      </c>
    </row>
    <row r="6658" spans="1:40" x14ac:dyDescent="0.25">
      <c r="A6658" t="str">
        <f>"20190305135957399"</f>
        <v>20190305135957399</v>
      </c>
      <c r="B6658" t="str">
        <f>"1551765597395389"</f>
        <v>1551765597395389</v>
      </c>
      <c r="C6658" t="s">
        <v>40</v>
      </c>
      <c r="D6658">
        <v>5.1703390000000002</v>
      </c>
      <c r="E6658">
        <v>0.50534809999999997</v>
      </c>
      <c r="F6658" t="s">
        <v>41</v>
      </c>
      <c r="G6658">
        <v>-147.09030000000001</v>
      </c>
      <c r="H6658">
        <v>0.93549009999999999</v>
      </c>
      <c r="I6658">
        <v>137.5067</v>
      </c>
      <c r="J6658">
        <v>-147.6756</v>
      </c>
      <c r="K6658">
        <v>1.1130469999999999</v>
      </c>
      <c r="L6658">
        <v>137.50460000000001</v>
      </c>
      <c r="M6658">
        <v>0.99833640000000001</v>
      </c>
      <c r="N6658">
        <v>-3.7611209999999999E-2</v>
      </c>
      <c r="O6658">
        <v>4.370375E-2</v>
      </c>
      <c r="P6658">
        <v>0.99905759999999999</v>
      </c>
      <c r="Q6658">
        <v>-3.1578509999999997E-2</v>
      </c>
      <c r="R6658">
        <v>2.977643E-2</v>
      </c>
      <c r="S6658">
        <v>2.9786380000000001</v>
      </c>
      <c r="T6658">
        <v>-0.77727889999999999</v>
      </c>
      <c r="U6658">
        <v>2.6382450000000002E-2</v>
      </c>
      <c r="V6658">
        <v>1.394337E-2</v>
      </c>
      <c r="W6658">
        <v>6.0375009999999998E-3</v>
      </c>
      <c r="X6658">
        <v>0.99988449999999995</v>
      </c>
      <c r="Y6658">
        <v>3.2561119999999999E-2</v>
      </c>
      <c r="Z6658">
        <v>-1.4394199999999999E-2</v>
      </c>
      <c r="AA6658">
        <v>0.99936610000000003</v>
      </c>
      <c r="AB6658">
        <v>12</v>
      </c>
      <c r="AC6658">
        <v>0.58529999999998905</v>
      </c>
      <c r="AD6658">
        <v>-0.17755689999999899</v>
      </c>
      <c r="AE6658">
        <v>2.0999999999844398E-3</v>
      </c>
      <c r="AF6658">
        <v>2.15195561848164E-2</v>
      </c>
      <c r="AG6658">
        <v>-0.17755689999999899</v>
      </c>
      <c r="AH6658">
        <v>0.53554732048125298</v>
      </c>
      <c r="AI6658">
        <v>108.328770994721</v>
      </c>
      <c r="AJ6658">
        <v>87.6989581637892</v>
      </c>
      <c r="AK6658">
        <v>0.56462419051139701</v>
      </c>
      <c r="AL6658">
        <v>89.654074551939999</v>
      </c>
      <c r="AM6658">
        <v>89.201063248691497</v>
      </c>
      <c r="AN6658">
        <v>0.99999994116276403</v>
      </c>
    </row>
    <row r="6659" spans="1:40" x14ac:dyDescent="0.25">
      <c r="A6659" t="str">
        <f>"20190305135957417"</f>
        <v>20190305135957417</v>
      </c>
      <c r="B6659" t="str">
        <f>"1551765597406126"</f>
        <v>1551765597406126</v>
      </c>
      <c r="C6659" t="s">
        <v>40</v>
      </c>
      <c r="D6659">
        <v>4.9789820000000002</v>
      </c>
      <c r="E6659">
        <v>0.50534809999999997</v>
      </c>
      <c r="F6659" t="s">
        <v>41</v>
      </c>
      <c r="G6659">
        <v>-146.9196</v>
      </c>
      <c r="H6659">
        <v>0.91168369999999999</v>
      </c>
      <c r="I6659">
        <v>137.51060000000001</v>
      </c>
      <c r="J6659">
        <v>-147.58869999999999</v>
      </c>
      <c r="K6659">
        <v>1.1132299999999999</v>
      </c>
      <c r="L6659">
        <v>137.50819999999999</v>
      </c>
      <c r="M6659">
        <v>0.99831349999999996</v>
      </c>
      <c r="N6659">
        <v>-3.8341149999999997E-2</v>
      </c>
      <c r="O6659">
        <v>4.3587929999999997E-2</v>
      </c>
      <c r="P6659">
        <v>0.99901600000000002</v>
      </c>
      <c r="Q6659">
        <v>-3.2650310000000002E-2</v>
      </c>
      <c r="R6659">
        <v>3.0017470000000001E-2</v>
      </c>
      <c r="S6659">
        <v>2.97702</v>
      </c>
      <c r="T6659">
        <v>-0.79292869999999904</v>
      </c>
      <c r="U6659">
        <v>2.4291989999999999E-2</v>
      </c>
      <c r="V6659">
        <v>1.358585E-2</v>
      </c>
      <c r="W6659">
        <v>5.6960919999999998E-3</v>
      </c>
      <c r="X6659">
        <v>0.99989150000000004</v>
      </c>
      <c r="Y6659">
        <v>3.3031400000000002E-2</v>
      </c>
      <c r="Z6659">
        <v>-1.4728990000000001E-2</v>
      </c>
      <c r="AA6659">
        <v>0.99934579999999995</v>
      </c>
      <c r="AB6659">
        <v>10</v>
      </c>
      <c r="AC6659">
        <v>0.66909999999998604</v>
      </c>
      <c r="AD6659">
        <v>-0.20154630000000001</v>
      </c>
      <c r="AE6659">
        <v>2.4000000000228201E-3</v>
      </c>
      <c r="AF6659">
        <v>2.4560042050640302E-2</v>
      </c>
      <c r="AG6659">
        <v>-0.20154630000000001</v>
      </c>
      <c r="AH6659">
        <v>0.61295317206087296</v>
      </c>
      <c r="AI6659">
        <v>108.18784821942801</v>
      </c>
      <c r="AJ6659">
        <v>87.705478207766305</v>
      </c>
      <c r="AK6659">
        <v>0.64570558139813605</v>
      </c>
      <c r="AL6659">
        <v>89.673636209140696</v>
      </c>
      <c r="AM6659">
        <v>89.221551569209396</v>
      </c>
      <c r="AN6659">
        <v>1.0000000162782701</v>
      </c>
    </row>
    <row r="6660" spans="1:40" x14ac:dyDescent="0.25">
      <c r="A6660" t="str">
        <f>"20190305135957441"</f>
        <v>20190305135957441</v>
      </c>
      <c r="B6660" t="str">
        <f>"1551765597435406"</f>
        <v>1551765597435406</v>
      </c>
      <c r="C6660" t="s">
        <v>40</v>
      </c>
      <c r="D6660">
        <v>5.1949360000000002</v>
      </c>
      <c r="E6660">
        <v>0.5060325</v>
      </c>
      <c r="F6660" t="s">
        <v>41</v>
      </c>
      <c r="G6660">
        <v>-146.90969999999999</v>
      </c>
      <c r="H6660">
        <v>0.93159340000000002</v>
      </c>
      <c r="I6660">
        <v>137.51390000000001</v>
      </c>
      <c r="J6660">
        <v>-147.49619999999999</v>
      </c>
      <c r="K6660">
        <v>1.1133980000000001</v>
      </c>
      <c r="L6660">
        <v>137.51220000000001</v>
      </c>
      <c r="M6660">
        <v>0.99828419999999896</v>
      </c>
      <c r="N6660">
        <v>-3.9161719999999997E-2</v>
      </c>
      <c r="O6660">
        <v>4.3531769999999997E-2</v>
      </c>
      <c r="P6660">
        <v>0.99898200000000004</v>
      </c>
      <c r="Q6660">
        <v>-3.3858609999999997E-2</v>
      </c>
      <c r="R6660">
        <v>2.9812729999999999E-2</v>
      </c>
      <c r="S6660">
        <v>2.9761660000000001</v>
      </c>
      <c r="T6660">
        <v>-0.79618449999999996</v>
      </c>
      <c r="U6660">
        <v>2.5650019999999999E-2</v>
      </c>
      <c r="V6660">
        <v>1.3734359999999999E-2</v>
      </c>
      <c r="W6660">
        <v>5.3084279999999996E-3</v>
      </c>
      <c r="X6660">
        <v>0.99989159999999999</v>
      </c>
      <c r="Y6660">
        <v>3.2522629999999997E-2</v>
      </c>
      <c r="Z6660">
        <v>-1.4684920000000001E-2</v>
      </c>
      <c r="AA6660">
        <v>0.99936309999999995</v>
      </c>
      <c r="AB6660">
        <v>10</v>
      </c>
      <c r="AC6660">
        <v>0.58650000000000002</v>
      </c>
      <c r="AD6660">
        <v>-0.18180459999999901</v>
      </c>
      <c r="AE6660">
        <v>1.6999999999995901E-3</v>
      </c>
      <c r="AF6660">
        <v>2.1761567788486199E-2</v>
      </c>
      <c r="AG6660">
        <v>-0.18180459999999901</v>
      </c>
      <c r="AH6660">
        <v>0.53464422873062001</v>
      </c>
      <c r="AI6660">
        <v>108.76603899120001</v>
      </c>
      <c r="AJ6660">
        <v>87.669182521811905</v>
      </c>
      <c r="AK6660">
        <v>0.56512912659739301</v>
      </c>
      <c r="AL6660">
        <v>89.695848054889098</v>
      </c>
      <c r="AM6660">
        <v>89.213043316363795</v>
      </c>
      <c r="AN6660">
        <v>1.0000000119015</v>
      </c>
    </row>
    <row r="6661" spans="1:40" x14ac:dyDescent="0.25">
      <c r="A6661" t="str">
        <f>"20190305135957463"</f>
        <v>20190305135957463</v>
      </c>
      <c r="B6661" t="str">
        <f>"1551765597455901"</f>
        <v>1551765597455901</v>
      </c>
      <c r="C6661" t="s">
        <v>40</v>
      </c>
      <c r="D6661">
        <v>5.2229369999999999</v>
      </c>
      <c r="E6661">
        <v>0.50649540000000004</v>
      </c>
      <c r="F6661" t="s">
        <v>41</v>
      </c>
      <c r="G6661">
        <v>-146.75649999999999</v>
      </c>
      <c r="H6661">
        <v>0.91317190000000004</v>
      </c>
      <c r="I6661">
        <v>137.517</v>
      </c>
      <c r="J6661">
        <v>-147.405</v>
      </c>
      <c r="K6661">
        <v>1.113407</v>
      </c>
      <c r="L6661">
        <v>137.51609999999999</v>
      </c>
      <c r="M6661">
        <v>0.9982704</v>
      </c>
      <c r="N6661">
        <v>-3.9489679999999999E-2</v>
      </c>
      <c r="O6661">
        <v>4.3552649999999998E-2</v>
      </c>
      <c r="P6661">
        <v>0.99898169999999997</v>
      </c>
      <c r="Q6661">
        <v>-3.4229019999999999E-2</v>
      </c>
      <c r="R6661">
        <v>2.9396220000000001E-2</v>
      </c>
      <c r="S6661">
        <v>2.975174</v>
      </c>
      <c r="T6661">
        <v>-0.80539419999999995</v>
      </c>
      <c r="U6661">
        <v>1.9927980000000001E-2</v>
      </c>
      <c r="V6661">
        <v>1.417178E-2</v>
      </c>
      <c r="W6661">
        <v>5.2659899999999999E-3</v>
      </c>
      <c r="X6661">
        <v>0.99988569999999999</v>
      </c>
      <c r="Y6661">
        <v>3.4329499999999999E-2</v>
      </c>
      <c r="Z6661">
        <v>-1.5139410000000001E-2</v>
      </c>
      <c r="AA6661">
        <v>0.99929590000000001</v>
      </c>
      <c r="AB6661">
        <v>9</v>
      </c>
      <c r="AC6661">
        <v>0.64850000000001196</v>
      </c>
      <c r="AD6661">
        <v>-0.200235099999999</v>
      </c>
      <c r="AE6661">
        <v>9.0000000000145497E-4</v>
      </c>
      <c r="AF6661">
        <v>2.4984827726897401E-2</v>
      </c>
      <c r="AG6661">
        <v>-0.200235099999999</v>
      </c>
      <c r="AH6661">
        <v>0.59152860534811202</v>
      </c>
      <c r="AI6661">
        <v>108.68568915807499</v>
      </c>
      <c r="AJ6661">
        <v>87.581393723026395</v>
      </c>
      <c r="AK6661">
        <v>0.62499954226674004</v>
      </c>
      <c r="AL6661">
        <v>89.698279600991995</v>
      </c>
      <c r="AM6661">
        <v>89.1879783690068</v>
      </c>
      <c r="AN6661">
        <v>0.99999999153176899</v>
      </c>
    </row>
    <row r="6662" spans="1:40" x14ac:dyDescent="0.25">
      <c r="A6662" t="str">
        <f>"20190305135957485"</f>
        <v>20190305135957485</v>
      </c>
      <c r="B6662" t="str">
        <f>"1551765597475422"</f>
        <v>1551765597475422</v>
      </c>
      <c r="C6662" t="s">
        <v>40</v>
      </c>
      <c r="D6662">
        <v>5.2088340000000004</v>
      </c>
      <c r="E6662">
        <v>0.50677850000000002</v>
      </c>
      <c r="F6662" t="s">
        <v>41</v>
      </c>
      <c r="G6662">
        <v>-146.67859999999999</v>
      </c>
      <c r="H6662">
        <v>0.91548989999999997</v>
      </c>
      <c r="I6662">
        <v>137.5198</v>
      </c>
      <c r="J6662">
        <v>-147.32409999999999</v>
      </c>
      <c r="K6662">
        <v>1.1132379999999999</v>
      </c>
      <c r="L6662">
        <v>137.5197</v>
      </c>
      <c r="M6662">
        <v>0.9982839</v>
      </c>
      <c r="N6662">
        <v>-3.9092509999999997E-2</v>
      </c>
      <c r="O6662">
        <v>4.3602009999999997E-2</v>
      </c>
      <c r="P6662">
        <v>0.99898790000000004</v>
      </c>
      <c r="Q6662">
        <v>-3.4375199999999898E-2</v>
      </c>
      <c r="R6662">
        <v>2.901165E-2</v>
      </c>
      <c r="S6662">
        <v>2.9748540000000001</v>
      </c>
      <c r="T6662">
        <v>-0.81052590000000002</v>
      </c>
      <c r="U6662">
        <v>1.524353E-2</v>
      </c>
      <c r="V6662">
        <v>1.460528E-2</v>
      </c>
      <c r="W6662">
        <v>4.722403E-3</v>
      </c>
      <c r="X6662">
        <v>0.99988220000000005</v>
      </c>
      <c r="Y6662">
        <v>3.5849680000000002E-2</v>
      </c>
      <c r="Z6662">
        <v>-1.549617E-2</v>
      </c>
      <c r="AA6662">
        <v>0.99923709999999999</v>
      </c>
      <c r="AB6662">
        <v>9</v>
      </c>
      <c r="AC6662">
        <v>0.64549999999999796</v>
      </c>
      <c r="AD6662">
        <v>-0.19774810000000001</v>
      </c>
      <c r="AE6662">
        <v>1.0000000000331901E-4</v>
      </c>
      <c r="AF6662">
        <v>2.5658667820125401E-2</v>
      </c>
      <c r="AG6662">
        <v>-0.19774810000000001</v>
      </c>
      <c r="AH6662">
        <v>0.58955964082212897</v>
      </c>
      <c r="AI6662">
        <v>108.52597006002399</v>
      </c>
      <c r="AJ6662">
        <v>87.507959989819398</v>
      </c>
      <c r="AK6662">
        <v>0.62236906122832802</v>
      </c>
      <c r="AL6662">
        <v>89.729425237194803</v>
      </c>
      <c r="AM6662">
        <v>89.163140023619306</v>
      </c>
      <c r="AN6662">
        <v>1.0000000145854</v>
      </c>
    </row>
    <row r="6663" spans="1:40" x14ac:dyDescent="0.25">
      <c r="A6663" t="str">
        <f>"20190305135957507"</f>
        <v>20190305135957507</v>
      </c>
      <c r="B6663" t="str">
        <f>"1551765597495918"</f>
        <v>1551765597495918</v>
      </c>
      <c r="C6663" t="s">
        <v>40</v>
      </c>
      <c r="D6663">
        <v>5.2050669999999997</v>
      </c>
      <c r="E6663">
        <v>0.5067642</v>
      </c>
      <c r="F6663" t="s">
        <v>41</v>
      </c>
      <c r="G6663">
        <v>-146.60409999999999</v>
      </c>
      <c r="H6663">
        <v>0.9159735</v>
      </c>
      <c r="I6663">
        <v>137.52250000000001</v>
      </c>
      <c r="J6663">
        <v>-147.2422</v>
      </c>
      <c r="K6663">
        <v>1.1130329999999999</v>
      </c>
      <c r="L6663">
        <v>137.52340000000001</v>
      </c>
      <c r="M6663">
        <v>0.99830700000000006</v>
      </c>
      <c r="N6663">
        <v>-3.8453620000000001E-2</v>
      </c>
      <c r="O6663">
        <v>4.3643179999999997E-2</v>
      </c>
      <c r="P6663">
        <v>0.99898489999999995</v>
      </c>
      <c r="Q6663">
        <v>-3.4479509999999998E-2</v>
      </c>
      <c r="R6663">
        <v>2.8994760000000001E-2</v>
      </c>
      <c r="S6663">
        <v>2.97464</v>
      </c>
      <c r="T6663">
        <v>-0.81499699999999997</v>
      </c>
      <c r="U6663">
        <v>1.217651E-2</v>
      </c>
      <c r="V6663">
        <v>1.466257E-2</v>
      </c>
      <c r="W6663">
        <v>3.9780670000000001E-3</v>
      </c>
      <c r="X6663">
        <v>0.99988460000000001</v>
      </c>
      <c r="Y6663">
        <v>3.684279E-2</v>
      </c>
      <c r="Z6663">
        <v>-1.5763849999999999E-2</v>
      </c>
      <c r="AA6663">
        <v>0.99919669999999905</v>
      </c>
      <c r="AB6663">
        <v>9</v>
      </c>
      <c r="AC6663">
        <v>0.63810000000000799</v>
      </c>
      <c r="AD6663">
        <v>-0.197059499999999</v>
      </c>
      <c r="AE6663">
        <v>-9.0000000000145497E-4</v>
      </c>
      <c r="AF6663">
        <v>2.6263670208981401E-2</v>
      </c>
      <c r="AG6663">
        <v>-0.197059499999999</v>
      </c>
      <c r="AH6663">
        <v>0.58195058157311397</v>
      </c>
      <c r="AI6663">
        <v>108.689374553001</v>
      </c>
      <c r="AJ6663">
        <v>87.415971187910998</v>
      </c>
      <c r="AK6663">
        <v>0.61497049222412403</v>
      </c>
      <c r="AL6663">
        <v>89.772072952457094</v>
      </c>
      <c r="AM6663">
        <v>89.159859881021205</v>
      </c>
      <c r="AN6663">
        <v>1.0000000146466099</v>
      </c>
    </row>
    <row r="6664" spans="1:40" x14ac:dyDescent="0.25">
      <c r="A6664" t="str">
        <f>"20190305135957530"</f>
        <v>20190305135957530</v>
      </c>
      <c r="B6664" t="str">
        <f>"1551765597526174"</f>
        <v>1551765597526174</v>
      </c>
      <c r="C6664" t="s">
        <v>40</v>
      </c>
      <c r="D6664">
        <v>5.2091539999999998</v>
      </c>
      <c r="E6664">
        <v>0.50649239999999995</v>
      </c>
      <c r="F6664" t="s">
        <v>41</v>
      </c>
      <c r="G6664">
        <v>-146.53270000000001</v>
      </c>
      <c r="H6664">
        <v>0.91772089999999995</v>
      </c>
      <c r="I6664">
        <v>137.52619999999999</v>
      </c>
      <c r="J6664">
        <v>-147.166</v>
      </c>
      <c r="K6664">
        <v>1.1129089999999999</v>
      </c>
      <c r="L6664">
        <v>137.52680000000001</v>
      </c>
      <c r="M6664">
        <v>0.99832019999999999</v>
      </c>
      <c r="N6664">
        <v>-3.8074139999999999E-2</v>
      </c>
      <c r="O6664">
        <v>4.3670859999999999E-2</v>
      </c>
      <c r="P6664">
        <v>0.99894989999999995</v>
      </c>
      <c r="Q6664">
        <v>-3.5083089999999997E-2</v>
      </c>
      <c r="R6664">
        <v>2.946356E-2</v>
      </c>
      <c r="S6664">
        <v>2.9744259999999998</v>
      </c>
      <c r="T6664">
        <v>-0.818774</v>
      </c>
      <c r="U6664">
        <v>1.228333E-2</v>
      </c>
      <c r="V6664">
        <v>1.422034E-2</v>
      </c>
      <c r="W6664">
        <v>2.9934039999999999E-3</v>
      </c>
      <c r="X6664">
        <v>0.99989439999999996</v>
      </c>
      <c r="Y6664">
        <v>3.6806209999999999E-2</v>
      </c>
      <c r="Z6664">
        <v>-1.5849970000000001E-2</v>
      </c>
      <c r="AA6664">
        <v>0.99919669999999905</v>
      </c>
      <c r="AB6664">
        <v>8</v>
      </c>
      <c r="AC6664">
        <v>0.63329999999999098</v>
      </c>
      <c r="AD6664">
        <v>-0.195188099999999</v>
      </c>
      <c r="AE6664">
        <v>-6.0000000001991696E-4</v>
      </c>
      <c r="AF6664">
        <v>2.5823246877028101E-2</v>
      </c>
      <c r="AG6664">
        <v>-0.195188099999999</v>
      </c>
      <c r="AH6664">
        <v>0.57778383836066805</v>
      </c>
      <c r="AI6664">
        <v>108.64877315551099</v>
      </c>
      <c r="AJ6664">
        <v>87.4409476546777</v>
      </c>
      <c r="AK6664">
        <v>0.61040920564132095</v>
      </c>
      <c r="AL6664">
        <v>89.828490327403003</v>
      </c>
      <c r="AM6664">
        <v>89.185203417275204</v>
      </c>
      <c r="AN6664">
        <v>0.99999999484429103</v>
      </c>
    </row>
    <row r="6665" spans="1:40" x14ac:dyDescent="0.25">
      <c r="A6665" t="str">
        <f>"20190305135957555"</f>
        <v>20190305135957555</v>
      </c>
      <c r="B6665" t="str">
        <f>"1551765597545693"</f>
        <v>1551765597545693</v>
      </c>
      <c r="C6665" t="s">
        <v>40</v>
      </c>
      <c r="D6665">
        <v>5.1136470000000003</v>
      </c>
      <c r="E6665">
        <v>0.50624309999999995</v>
      </c>
      <c r="F6665" t="s">
        <v>41</v>
      </c>
      <c r="G6665">
        <v>-146.465</v>
      </c>
      <c r="H6665">
        <v>0.9203827</v>
      </c>
      <c r="I6665">
        <v>137.53039999999999</v>
      </c>
      <c r="J6665">
        <v>-147.08580000000001</v>
      </c>
      <c r="K6665">
        <v>1.112854</v>
      </c>
      <c r="L6665">
        <v>137.53039999999999</v>
      </c>
      <c r="M6665">
        <v>0.99832449999999995</v>
      </c>
      <c r="N6665">
        <v>-3.7933389999999997E-2</v>
      </c>
      <c r="O6665">
        <v>4.3695299999999999E-2</v>
      </c>
      <c r="P6665">
        <v>0.9988901</v>
      </c>
      <c r="Q6665">
        <v>-3.6258650000000003E-2</v>
      </c>
      <c r="R6665">
        <v>3.0066140000000002E-2</v>
      </c>
      <c r="S6665">
        <v>2.9739840000000002</v>
      </c>
      <c r="T6665">
        <v>-0.81680629999999999</v>
      </c>
      <c r="U6665">
        <v>1.5838620000000001E-2</v>
      </c>
      <c r="V6665">
        <v>1.3640609999999999E-2</v>
      </c>
      <c r="W6665">
        <v>1.674477E-3</v>
      </c>
      <c r="X6665">
        <v>0.99990559999999995</v>
      </c>
      <c r="Y6665">
        <v>3.5693799999999998E-2</v>
      </c>
      <c r="Z6665">
        <v>-1.565076E-2</v>
      </c>
      <c r="AA6665">
        <v>0.99924020000000002</v>
      </c>
      <c r="AB6665">
        <v>8</v>
      </c>
      <c r="AC6665">
        <v>0.62080000000000202</v>
      </c>
      <c r="AD6665">
        <v>-0.19247130000000001</v>
      </c>
      <c r="AE6665">
        <v>0</v>
      </c>
      <c r="AF6665">
        <v>2.4765078936829901E-2</v>
      </c>
      <c r="AG6665">
        <v>-0.19247130000000001</v>
      </c>
      <c r="AH6665">
        <v>0.56581794946072606</v>
      </c>
      <c r="AI6665">
        <v>108.769782250148</v>
      </c>
      <c r="AJ6665">
        <v>87.493841503879295</v>
      </c>
      <c r="AK6665">
        <v>0.59817093074670402</v>
      </c>
      <c r="AL6665">
        <v>89.904059493964894</v>
      </c>
      <c r="AM6665">
        <v>89.218425313424405</v>
      </c>
      <c r="AN6665">
        <v>1.0000000395128701</v>
      </c>
    </row>
    <row r="6666" spans="1:40" x14ac:dyDescent="0.25">
      <c r="A6666" t="str">
        <f>"20190305135957577"</f>
        <v>20190305135957577</v>
      </c>
      <c r="B6666" t="str">
        <f>"1551765597565541"</f>
        <v>1551765597565541</v>
      </c>
      <c r="C6666" t="s">
        <v>40</v>
      </c>
      <c r="D6666">
        <v>5.2357760000000004</v>
      </c>
      <c r="E6666">
        <v>0.50613509999999995</v>
      </c>
      <c r="F6666" t="s">
        <v>41</v>
      </c>
      <c r="G6666">
        <v>-146.40090000000001</v>
      </c>
      <c r="H6666">
        <v>0.92414130000000005</v>
      </c>
      <c r="I6666">
        <v>137.53479999999999</v>
      </c>
      <c r="J6666">
        <v>-147.0197</v>
      </c>
      <c r="K6666">
        <v>1.1128199999999999</v>
      </c>
      <c r="L6666">
        <v>137.5334</v>
      </c>
      <c r="M6666">
        <v>0.99832779999999999</v>
      </c>
      <c r="N6666">
        <v>-3.7839369999999997E-2</v>
      </c>
      <c r="O6666">
        <v>4.370255E-2</v>
      </c>
      <c r="P6666">
        <v>0.99881799999999998</v>
      </c>
      <c r="Q6666">
        <v>-3.7309729999999999E-2</v>
      </c>
      <c r="R6666">
        <v>3.1156409999999999E-2</v>
      </c>
      <c r="S6666">
        <v>2.973007</v>
      </c>
      <c r="T6666">
        <v>-0.81920740000000003</v>
      </c>
      <c r="U6666">
        <v>1.9165040000000001E-2</v>
      </c>
      <c r="V6666">
        <v>1.2555439999999999E-2</v>
      </c>
      <c r="W6666">
        <v>5.2768390000000002E-4</v>
      </c>
      <c r="X6666">
        <v>0.99992099999999995</v>
      </c>
      <c r="Y6666">
        <v>3.4608590000000002E-2</v>
      </c>
      <c r="Z6666">
        <v>-1.553947E-2</v>
      </c>
      <c r="AA6666">
        <v>0.99928019999999995</v>
      </c>
      <c r="AB6666">
        <v>7</v>
      </c>
      <c r="AC6666">
        <v>0.61879999999999302</v>
      </c>
      <c r="AD6666">
        <v>-0.1886787</v>
      </c>
      <c r="AE6666">
        <v>1.39999999998963E-3</v>
      </c>
      <c r="AF6666">
        <v>2.3480842584868999E-2</v>
      </c>
      <c r="AG6666">
        <v>-0.1886787</v>
      </c>
      <c r="AH6666">
        <v>0.56567806931154596</v>
      </c>
      <c r="AI6666">
        <v>108.43102941776399</v>
      </c>
      <c r="AJ6666">
        <v>87.6230627222712</v>
      </c>
      <c r="AK6666">
        <v>0.59677690965906505</v>
      </c>
      <c r="AL6666">
        <v>89.969765937057403</v>
      </c>
      <c r="AM6666">
        <v>89.280607248909106</v>
      </c>
      <c r="AN6666">
        <v>0.999999961882445</v>
      </c>
    </row>
    <row r="6667" spans="1:40" x14ac:dyDescent="0.25">
      <c r="A6667" t="str">
        <f>"20190305135957596"</f>
        <v>20190305135957596</v>
      </c>
      <c r="B6667" t="str">
        <f>"1551765597586037"</f>
        <v>1551765597586037</v>
      </c>
      <c r="C6667" t="s">
        <v>40</v>
      </c>
      <c r="D6667">
        <v>5.2364449999999998</v>
      </c>
      <c r="E6667">
        <v>0.50613859999999999</v>
      </c>
      <c r="F6667" t="s">
        <v>41</v>
      </c>
      <c r="G6667">
        <v>-146.3417</v>
      </c>
      <c r="H6667">
        <v>0.92551019999999995</v>
      </c>
      <c r="I6667">
        <v>137.5384</v>
      </c>
      <c r="J6667">
        <v>-146.96600000000001</v>
      </c>
      <c r="K6667">
        <v>1.112773</v>
      </c>
      <c r="L6667">
        <v>137.53569999999999</v>
      </c>
      <c r="M6667">
        <v>0.99833550000000004</v>
      </c>
      <c r="N6667">
        <v>-3.7659320000000003E-2</v>
      </c>
      <c r="O6667">
        <v>4.3680280000000002E-2</v>
      </c>
      <c r="P6667">
        <v>0.99878160000000005</v>
      </c>
      <c r="Q6667">
        <v>-3.7281950000000001E-2</v>
      </c>
      <c r="R6667">
        <v>3.2329049999999998E-2</v>
      </c>
      <c r="S6667">
        <v>2.972153</v>
      </c>
      <c r="T6667">
        <v>-0.82123279999999999</v>
      </c>
      <c r="U6667">
        <v>2.2766109999999999E-2</v>
      </c>
      <c r="V6667">
        <v>1.135983E-2</v>
      </c>
      <c r="W6667">
        <v>3.75096E-4</v>
      </c>
      <c r="X6667">
        <v>0.99993540000000003</v>
      </c>
      <c r="Y6667">
        <v>3.3409300000000003E-2</v>
      </c>
      <c r="Z6667">
        <v>-1.539713E-2</v>
      </c>
      <c r="AA6667">
        <v>0.99932310000000002</v>
      </c>
      <c r="AB6667">
        <v>7</v>
      </c>
      <c r="AC6667">
        <v>0.62430000000000496</v>
      </c>
      <c r="AD6667">
        <v>-0.18726280000000001</v>
      </c>
      <c r="AE6667">
        <v>2.7000000000043599E-3</v>
      </c>
      <c r="AF6667">
        <v>2.2561619711290001E-2</v>
      </c>
      <c r="AG6667">
        <v>-0.18726280000000001</v>
      </c>
      <c r="AH6667">
        <v>0.57232774405924502</v>
      </c>
      <c r="AI6667">
        <v>108.104696325467</v>
      </c>
      <c r="AJ6667">
        <v>87.7425232055175</v>
      </c>
      <c r="AK6667">
        <v>0.60260719342518798</v>
      </c>
      <c r="AL6667">
        <v>89.978508581682803</v>
      </c>
      <c r="AM6667">
        <v>89.349115636680096</v>
      </c>
      <c r="AN6667">
        <v>0.99999999530389905</v>
      </c>
    </row>
    <row r="6668" spans="1:40" x14ac:dyDescent="0.25">
      <c r="A6668" t="str">
        <f>"20190305135957620"</f>
        <v>20190305135957620</v>
      </c>
      <c r="B6668" t="str">
        <f>"1551765597615316"</f>
        <v>1551765597615316</v>
      </c>
      <c r="C6668" t="s">
        <v>40</v>
      </c>
      <c r="D6668">
        <v>5.4351500000000001</v>
      </c>
      <c r="E6668">
        <v>0.50594280000000003</v>
      </c>
      <c r="F6668" t="s">
        <v>41</v>
      </c>
      <c r="G6668">
        <v>-146.2867</v>
      </c>
      <c r="H6668">
        <v>0.92539910000000003</v>
      </c>
      <c r="I6668">
        <v>137.54150000000001</v>
      </c>
      <c r="J6668">
        <v>-146.90819999999999</v>
      </c>
      <c r="K6668">
        <v>1.112706</v>
      </c>
      <c r="L6668">
        <v>137.53819999999999</v>
      </c>
      <c r="M6668">
        <v>0.99834809999999996</v>
      </c>
      <c r="N6668">
        <v>-3.7393309999999999E-2</v>
      </c>
      <c r="O6668">
        <v>4.3622210000000002E-2</v>
      </c>
      <c r="P6668">
        <v>0.99872209999999995</v>
      </c>
      <c r="Q6668">
        <v>-3.7452600000000003E-2</v>
      </c>
      <c r="R6668">
        <v>3.3933480000000002E-2</v>
      </c>
      <c r="S6668">
        <v>2.9722140000000001</v>
      </c>
      <c r="T6668">
        <v>-0.81992009999999904</v>
      </c>
      <c r="U6668">
        <v>2.575684E-2</v>
      </c>
      <c r="V6668">
        <v>9.6957720000000001E-3</v>
      </c>
      <c r="W6668" s="1">
        <v>-6.1612819999999995E-5</v>
      </c>
      <c r="X6668">
        <v>0.99995299999999998</v>
      </c>
      <c r="Y6668">
        <v>3.2397450000000001E-2</v>
      </c>
      <c r="Z6668">
        <v>-1.5208350000000001E-2</v>
      </c>
      <c r="AA6668">
        <v>0.99935940000000001</v>
      </c>
      <c r="AB6668">
        <v>7</v>
      </c>
      <c r="AC6668">
        <v>0.62149999999999705</v>
      </c>
      <c r="AD6668">
        <v>-0.187306899999999</v>
      </c>
      <c r="AE6668">
        <v>3.30000000002428E-3</v>
      </c>
      <c r="AF6668">
        <v>2.1848864197345198E-2</v>
      </c>
      <c r="AG6668">
        <v>-0.187306899999999</v>
      </c>
      <c r="AH6668">
        <v>0.56934037012240102</v>
      </c>
      <c r="AI6668">
        <v>108.198141810268</v>
      </c>
      <c r="AJ6668">
        <v>87.802309861631201</v>
      </c>
      <c r="AK6668">
        <v>0.59975803846671005</v>
      </c>
      <c r="AL6668">
        <v>90.003530154527397</v>
      </c>
      <c r="AM6668">
        <v>89.444464483751304</v>
      </c>
      <c r="AN6668">
        <v>1.0000000069999</v>
      </c>
    </row>
    <row r="6669" spans="1:40" x14ac:dyDescent="0.25">
      <c r="A6669" t="str">
        <f>"20190305135957654"</f>
        <v>20190305135957654</v>
      </c>
      <c r="B6669" t="str">
        <f>"1551765597645572"</f>
        <v>1551765597645572</v>
      </c>
      <c r="C6669" t="s">
        <v>40</v>
      </c>
      <c r="D6669">
        <v>5.0886009999999997</v>
      </c>
      <c r="E6669">
        <v>0.50573210000000002</v>
      </c>
      <c r="F6669" t="s">
        <v>41</v>
      </c>
      <c r="G6669">
        <v>-146.19200000000001</v>
      </c>
      <c r="H6669">
        <v>0.91549029999999998</v>
      </c>
      <c r="I6669">
        <v>137.54580000000001</v>
      </c>
      <c r="J6669">
        <v>-146.82820000000001</v>
      </c>
      <c r="K6669">
        <v>1.1126609999999999</v>
      </c>
      <c r="L6669">
        <v>137.54169999999999</v>
      </c>
      <c r="M6669">
        <v>0.99836570000000002</v>
      </c>
      <c r="N6669">
        <v>-3.7058510000000003E-2</v>
      </c>
      <c r="O6669">
        <v>4.3505490000000001E-2</v>
      </c>
      <c r="P6669">
        <v>0.99855139999999998</v>
      </c>
      <c r="Q6669">
        <v>-4.0336799999999999E-2</v>
      </c>
      <c r="R6669">
        <v>3.5608939999999999E-2</v>
      </c>
      <c r="S6669">
        <v>2.9720610000000001</v>
      </c>
      <c r="T6669">
        <v>-0.81835579999999997</v>
      </c>
      <c r="U6669">
        <v>3.1890870000000002E-2</v>
      </c>
      <c r="V6669">
        <v>7.8968949999999993E-3</v>
      </c>
      <c r="W6669">
        <v>-3.2825839999999998E-3</v>
      </c>
      <c r="X6669">
        <v>0.99996339999999995</v>
      </c>
      <c r="Y6669">
        <v>3.031673E-2</v>
      </c>
      <c r="Z6669">
        <v>-1.4839949999999999E-2</v>
      </c>
      <c r="AA6669">
        <v>0.99943020000000005</v>
      </c>
      <c r="AB6669">
        <v>6</v>
      </c>
      <c r="AC6669">
        <v>0.63620000000000199</v>
      </c>
      <c r="AD6669">
        <v>-0.1971707</v>
      </c>
      <c r="AE6669">
        <v>4.1000000000224104E-3</v>
      </c>
      <c r="AF6669">
        <v>2.1532949306806101E-2</v>
      </c>
      <c r="AG6669">
        <v>-0.1971707</v>
      </c>
      <c r="AH6669">
        <v>0.58006259843015295</v>
      </c>
      <c r="AI6669">
        <v>108.76153693784801</v>
      </c>
      <c r="AJ6669">
        <v>87.874055532180705</v>
      </c>
      <c r="AK6669">
        <v>0.613035538074164</v>
      </c>
      <c r="AL6669">
        <v>90.188078552730701</v>
      </c>
      <c r="AM6669">
        <v>89.547534090579006</v>
      </c>
      <c r="AN6669">
        <v>0.99999996882395803</v>
      </c>
    </row>
    <row r="6670" spans="1:40" x14ac:dyDescent="0.25">
      <c r="A6670" t="str">
        <f>"20190305135957674"</f>
        <v>20190305135957674</v>
      </c>
      <c r="B6670" t="str">
        <f>"1551765597666069"</f>
        <v>1551765597666069</v>
      </c>
      <c r="C6670" t="s">
        <v>40</v>
      </c>
      <c r="D6670">
        <v>5.4648570000000003</v>
      </c>
      <c r="E6670">
        <v>0.50593999999999995</v>
      </c>
      <c r="F6670" t="s">
        <v>41</v>
      </c>
      <c r="G6670">
        <v>-146.1454</v>
      </c>
      <c r="H6670">
        <v>0.92024850000000002</v>
      </c>
      <c r="I6670">
        <v>137.55019999999999</v>
      </c>
      <c r="J6670">
        <v>-146.78319999999999</v>
      </c>
      <c r="K6670">
        <v>1.1126499999999999</v>
      </c>
      <c r="L6670">
        <v>137.5436</v>
      </c>
      <c r="M6670">
        <v>0.99837399999999998</v>
      </c>
      <c r="N6670">
        <v>-3.6911439999999997E-2</v>
      </c>
      <c r="O6670">
        <v>4.3440409999999999E-2</v>
      </c>
      <c r="P6670">
        <v>0.99834659999999997</v>
      </c>
      <c r="Q6670">
        <v>-4.3337859999999999E-2</v>
      </c>
      <c r="R6670">
        <v>3.7767950000000002E-2</v>
      </c>
      <c r="S6670">
        <v>2.9691770000000002</v>
      </c>
      <c r="T6670">
        <v>-0.83663960000000004</v>
      </c>
      <c r="U6670">
        <v>3.8192749999999998E-2</v>
      </c>
      <c r="V6670">
        <v>5.6651469999999997E-3</v>
      </c>
      <c r="W6670">
        <v>-6.4326990000000001E-3</v>
      </c>
      <c r="X6670">
        <v>0.9999633</v>
      </c>
      <c r="Y6670">
        <v>2.8098020000000001E-2</v>
      </c>
      <c r="Z6670">
        <v>-1.483758E-2</v>
      </c>
      <c r="AA6670">
        <v>0.99949500000000002</v>
      </c>
      <c r="AB6670">
        <v>5</v>
      </c>
      <c r="AC6670">
        <v>0.63779999999999804</v>
      </c>
      <c r="AD6670">
        <v>-0.192401499999999</v>
      </c>
      <c r="AE6670">
        <v>6.5999999999917201E-3</v>
      </c>
      <c r="AF6670">
        <v>1.9369006360112701E-2</v>
      </c>
      <c r="AG6670">
        <v>-0.192401499999999</v>
      </c>
      <c r="AH6670">
        <v>0.58431614051956005</v>
      </c>
      <c r="AI6670">
        <v>108.216148857227</v>
      </c>
      <c r="AJ6670">
        <v>88.101445365889703</v>
      </c>
      <c r="AK6670">
        <v>0.61548261363039503</v>
      </c>
      <c r="AL6670">
        <v>90.3685690316875</v>
      </c>
      <c r="AM6670">
        <v>89.675402546481706</v>
      </c>
      <c r="AN6670">
        <v>1.00000003742692</v>
      </c>
    </row>
    <row r="6671" spans="1:40" x14ac:dyDescent="0.25">
      <c r="A6671" t="str">
        <f>"20190305135957697"</f>
        <v>20190305135957697</v>
      </c>
      <c r="B6671" t="str">
        <f>"1551765597685589"</f>
        <v>1551765597685589</v>
      </c>
      <c r="C6671" t="s">
        <v>40</v>
      </c>
      <c r="D6671">
        <v>5.2017179999999996</v>
      </c>
      <c r="E6671">
        <v>0.50637969999999999</v>
      </c>
      <c r="F6671" t="s">
        <v>41</v>
      </c>
      <c r="G6671">
        <v>-146.10489999999999</v>
      </c>
      <c r="H6671">
        <v>0.91970609999999997</v>
      </c>
      <c r="I6671">
        <v>137.5531</v>
      </c>
      <c r="J6671">
        <v>-146.7423</v>
      </c>
      <c r="K6671">
        <v>1.1126510000000001</v>
      </c>
      <c r="L6671">
        <v>137.5453</v>
      </c>
      <c r="M6671">
        <v>0.99838099999999996</v>
      </c>
      <c r="N6671">
        <v>-3.6781330000000001E-2</v>
      </c>
      <c r="O6671">
        <v>4.3386510000000003E-2</v>
      </c>
      <c r="P6671">
        <v>0.99812540000000005</v>
      </c>
      <c r="Q6671">
        <v>-4.5902650000000003E-2</v>
      </c>
      <c r="R6671">
        <v>4.048011E-2</v>
      </c>
      <c r="S6671">
        <v>2.9667509999999999</v>
      </c>
      <c r="T6671">
        <v>-0.8439972</v>
      </c>
      <c r="U6671">
        <v>4.1854860000000001E-2</v>
      </c>
      <c r="V6671">
        <v>2.8916380000000002E-3</v>
      </c>
      <c r="W6671">
        <v>-9.1294489999999996E-3</v>
      </c>
      <c r="X6671">
        <v>0.99995420000000002</v>
      </c>
      <c r="Y6671">
        <v>2.6808510000000001E-2</v>
      </c>
      <c r="Z6671">
        <v>-1.4771650000000001E-2</v>
      </c>
      <c r="AA6671">
        <v>0.99953139999999996</v>
      </c>
      <c r="AB6671">
        <v>5</v>
      </c>
      <c r="AC6671">
        <v>0.63740000000001296</v>
      </c>
      <c r="AD6671">
        <v>-0.1929449</v>
      </c>
      <c r="AE6671">
        <v>7.80000000000313E-3</v>
      </c>
      <c r="AF6671">
        <v>1.82121000596683E-2</v>
      </c>
      <c r="AG6671">
        <v>-0.1929449</v>
      </c>
      <c r="AH6671">
        <v>0.58366392149687496</v>
      </c>
      <c r="AI6671">
        <v>108.284305630509</v>
      </c>
      <c r="AJ6671">
        <v>88.212776265391895</v>
      </c>
      <c r="AK6671">
        <v>0.61499836445449496</v>
      </c>
      <c r="AL6671">
        <v>90.523086134511402</v>
      </c>
      <c r="AM6671">
        <v>89.8343142201295</v>
      </c>
      <c r="AN6671">
        <v>1.0000000552535</v>
      </c>
    </row>
    <row r="6672" spans="1:40" x14ac:dyDescent="0.25">
      <c r="A6672" t="str">
        <f>"20190305135957720"</f>
        <v>20190305135957720</v>
      </c>
      <c r="B6672" t="str">
        <f>"1551765597715845"</f>
        <v>1551765597715845</v>
      </c>
      <c r="C6672" t="s">
        <v>40</v>
      </c>
      <c r="D6672">
        <v>3.9070480000000001</v>
      </c>
      <c r="E6672">
        <v>0.50714619999999999</v>
      </c>
      <c r="F6672" t="s">
        <v>41</v>
      </c>
      <c r="G6672">
        <v>-146.06829999999999</v>
      </c>
      <c r="H6672">
        <v>0.91890289999999997</v>
      </c>
      <c r="I6672">
        <v>137.55539999999999</v>
      </c>
      <c r="J6672">
        <v>-146.70439999999999</v>
      </c>
      <c r="K6672">
        <v>1.1126560000000001</v>
      </c>
      <c r="L6672">
        <v>137.54689999999999</v>
      </c>
      <c r="M6672">
        <v>0.99838819999999995</v>
      </c>
      <c r="N6672">
        <v>-3.664564E-2</v>
      </c>
      <c r="O6672">
        <v>4.3341020000000001E-2</v>
      </c>
      <c r="P6672">
        <v>0.99795489999999998</v>
      </c>
      <c r="Q6672">
        <v>-4.6986779999999999E-2</v>
      </c>
      <c r="R6672">
        <v>4.3341289999999998E-2</v>
      </c>
      <c r="S6672">
        <v>2.9646150000000002</v>
      </c>
      <c r="T6672">
        <v>-0.85230399999999995</v>
      </c>
      <c r="U6672">
        <v>4.501343E-2</v>
      </c>
      <c r="V6672" s="1">
        <v>-1.9769039999999999E-5</v>
      </c>
      <c r="W6672">
        <v>-1.035005E-2</v>
      </c>
      <c r="X6672">
        <v>0.99994640000000001</v>
      </c>
      <c r="Y6672">
        <v>2.5684930000000002E-2</v>
      </c>
      <c r="Z6672">
        <v>-1.47466E-2</v>
      </c>
      <c r="AA6672">
        <v>0.99956129999999999</v>
      </c>
      <c r="AB6672">
        <v>5</v>
      </c>
      <c r="AC6672">
        <v>0.636099999999999</v>
      </c>
      <c r="AD6672">
        <v>-0.19375309999999901</v>
      </c>
      <c r="AE6672">
        <v>8.4999999999979502E-3</v>
      </c>
      <c r="AF6672">
        <v>1.7474756779908E-2</v>
      </c>
      <c r="AG6672">
        <v>-0.19375309999999901</v>
      </c>
      <c r="AH6672">
        <v>0.58189272787132695</v>
      </c>
      <c r="AI6672">
        <v>108.40849650883401</v>
      </c>
      <c r="AJ6672">
        <v>88.279873697510894</v>
      </c>
      <c r="AK6672">
        <v>0.61355095765034995</v>
      </c>
      <c r="AL6672">
        <v>90.593024792594804</v>
      </c>
      <c r="AM6672">
        <v>90.001132743271896</v>
      </c>
      <c r="AN6672">
        <v>0.99999996339938801</v>
      </c>
    </row>
    <row r="6673" spans="1:40" x14ac:dyDescent="0.25">
      <c r="A6673" t="str">
        <f>"20190305135957786"</f>
        <v>20190305135957786</v>
      </c>
      <c r="B6673" t="str">
        <f>"1551765597776357"</f>
        <v>1551765597776357</v>
      </c>
      <c r="C6673" t="s">
        <v>40</v>
      </c>
      <c r="D6673">
        <v>4.5165730000000002</v>
      </c>
      <c r="E6673">
        <v>0.50714619999999999</v>
      </c>
      <c r="F6673" t="s">
        <v>41</v>
      </c>
      <c r="G6673">
        <v>-146.0086</v>
      </c>
      <c r="H6673">
        <v>0.91165289999999999</v>
      </c>
      <c r="I6673">
        <v>137.55760000000001</v>
      </c>
      <c r="J6673">
        <v>-146.62</v>
      </c>
      <c r="K6673">
        <v>1.1126910000000001</v>
      </c>
      <c r="L6673">
        <v>137.5505</v>
      </c>
      <c r="M6673">
        <v>0.99840180000000001</v>
      </c>
      <c r="N6673">
        <v>-3.6323950000000001E-2</v>
      </c>
      <c r="O6673">
        <v>4.3294220000000001E-2</v>
      </c>
      <c r="P6673">
        <v>0.99788120000000002</v>
      </c>
      <c r="Q6673">
        <v>-4.5372290000000003E-2</v>
      </c>
      <c r="R6673">
        <v>4.663316E-2</v>
      </c>
      <c r="S6673">
        <v>2.9638059999999999</v>
      </c>
      <c r="T6673">
        <v>-0.85613079999999997</v>
      </c>
      <c r="U6673">
        <v>4.6432500000000002E-2</v>
      </c>
      <c r="V6673">
        <v>-3.3585220000000001E-3</v>
      </c>
      <c r="W6673">
        <v>-9.0560359999999999E-3</v>
      </c>
      <c r="X6673">
        <v>0.99995330000000004</v>
      </c>
      <c r="Y6673">
        <v>2.5153970000000001E-2</v>
      </c>
      <c r="Z6673">
        <v>-1.473227E-2</v>
      </c>
      <c r="AA6673">
        <v>0.99957499999999999</v>
      </c>
      <c r="AB6673">
        <v>3</v>
      </c>
      <c r="AC6673">
        <v>0.61140000000000305</v>
      </c>
      <c r="AD6673">
        <v>-0.201038099999999</v>
      </c>
      <c r="AE6673">
        <v>7.1000000000083201E-3</v>
      </c>
      <c r="AF6673">
        <v>1.75021553083827E-2</v>
      </c>
      <c r="AG6673">
        <v>-0.201038099999999</v>
      </c>
      <c r="AH6673">
        <v>0.55151213520021203</v>
      </c>
      <c r="AI6673">
        <v>110.01861490860399</v>
      </c>
      <c r="AJ6673">
        <v>88.182337013540305</v>
      </c>
      <c r="AK6673">
        <v>0.58727189475161001</v>
      </c>
      <c r="AL6673">
        <v>90.518879762054198</v>
      </c>
      <c r="AM6673">
        <v>90.192437399253294</v>
      </c>
      <c r="AN6673">
        <v>0.99999994681947202</v>
      </c>
    </row>
    <row r="6674" spans="1:40" x14ac:dyDescent="0.25">
      <c r="A6674" t="str">
        <f>"20190305135957809"</f>
        <v>20190305135957809</v>
      </c>
      <c r="B6674" t="str">
        <f>"1551765597805637"</f>
        <v>1551765597805637</v>
      </c>
      <c r="C6674" t="s">
        <v>40</v>
      </c>
      <c r="D6674">
        <v>5.1440229999999998</v>
      </c>
      <c r="E6674">
        <v>0.58610909999999905</v>
      </c>
      <c r="F6674" t="s">
        <v>41</v>
      </c>
      <c r="G6674">
        <v>-145.9383</v>
      </c>
      <c r="H6674">
        <v>0.91695079999999995</v>
      </c>
      <c r="I6674">
        <v>137.56319999999999</v>
      </c>
      <c r="J6674">
        <v>-146.60040000000001</v>
      </c>
      <c r="K6674">
        <v>1.112676</v>
      </c>
      <c r="L6674">
        <v>137.5513</v>
      </c>
      <c r="M6674">
        <v>0.99840640000000003</v>
      </c>
      <c r="N6674">
        <v>-3.6185130000000003E-2</v>
      </c>
      <c r="O6674">
        <v>4.3305259999999998E-2</v>
      </c>
      <c r="P6674">
        <v>0.99775449999999999</v>
      </c>
      <c r="Q6674">
        <v>-4.6286529999999999E-2</v>
      </c>
      <c r="R6674">
        <v>4.8412499999999997E-2</v>
      </c>
      <c r="S6674">
        <v>2.9650729999999998</v>
      </c>
      <c r="T6674">
        <v>-0.85129809999999995</v>
      </c>
      <c r="U6674">
        <v>5.5862429999999998E-2</v>
      </c>
      <c r="V6674">
        <v>-5.1307849999999997E-3</v>
      </c>
      <c r="W6674">
        <v>-1.011044E-2</v>
      </c>
      <c r="X6674">
        <v>0.99993569999999998</v>
      </c>
      <c r="Y6674">
        <v>2.216042E-2</v>
      </c>
      <c r="Z6674">
        <v>-1.416925E-2</v>
      </c>
      <c r="AA6674">
        <v>0.99965400000000004</v>
      </c>
      <c r="AB6674">
        <v>3</v>
      </c>
      <c r="AC6674">
        <v>0.66210000000000901</v>
      </c>
      <c r="AD6674">
        <v>-0.19572519999999999</v>
      </c>
      <c r="AE6674">
        <v>1.18999999999971E-2</v>
      </c>
      <c r="AF6674">
        <v>1.5452472356032001E-2</v>
      </c>
      <c r="AG6674">
        <v>-0.19572519999999999</v>
      </c>
      <c r="AH6674">
        <v>0.60880898394021699</v>
      </c>
      <c r="AI6674">
        <v>107.816635595073</v>
      </c>
      <c r="AJ6674">
        <v>88.546060548568093</v>
      </c>
      <c r="AK6674">
        <v>0.63968391549520198</v>
      </c>
      <c r="AL6674">
        <v>90.579295425122993</v>
      </c>
      <c r="AM6674">
        <v>90.293988649665394</v>
      </c>
      <c r="AN6674">
        <v>0.99999997504309901</v>
      </c>
    </row>
    <row r="6675" spans="1:40" x14ac:dyDescent="0.25">
      <c r="A6675" t="str">
        <f>"20190305135957831"</f>
        <v>20190305135957831</v>
      </c>
      <c r="B6675" t="str">
        <f>"1551765597826133"</f>
        <v>1551765597826133</v>
      </c>
      <c r="C6675" t="s">
        <v>40</v>
      </c>
      <c r="D6675">
        <v>5.1418189999999999</v>
      </c>
      <c r="E6675">
        <v>0.57796320000000001</v>
      </c>
      <c r="F6675" t="s">
        <v>41</v>
      </c>
      <c r="G6675">
        <v>-145.91120000000001</v>
      </c>
      <c r="H6675">
        <v>0.92402770000000001</v>
      </c>
      <c r="I6675">
        <v>137.4205</v>
      </c>
      <c r="J6675">
        <v>-146.58449999999999</v>
      </c>
      <c r="K6675">
        <v>1.1126119999999999</v>
      </c>
      <c r="L6675">
        <v>137.5521</v>
      </c>
      <c r="M6675">
        <v>0.99841590000000002</v>
      </c>
      <c r="N6675">
        <v>-3.5900399999999999E-2</v>
      </c>
      <c r="O6675">
        <v>4.332039E-2</v>
      </c>
      <c r="P6675">
        <v>0.99756440000000002</v>
      </c>
      <c r="Q6675">
        <v>-4.8168549999999997E-2</v>
      </c>
      <c r="R6675">
        <v>5.0448590000000001E-2</v>
      </c>
      <c r="S6675">
        <v>2.9962620000000002</v>
      </c>
      <c r="T6675">
        <v>-0.82014370000000003</v>
      </c>
      <c r="U6675">
        <v>-0.56831359999999997</v>
      </c>
      <c r="V6675">
        <v>-7.1579800000000004E-3</v>
      </c>
      <c r="W6675">
        <v>-1.227985E-2</v>
      </c>
      <c r="X6675">
        <v>0.99989899999999998</v>
      </c>
      <c r="Y6675">
        <v>0.21872710000000001</v>
      </c>
      <c r="Z6675">
        <v>-4.3226319999999999E-2</v>
      </c>
      <c r="AA6675">
        <v>0.97482820000000003</v>
      </c>
      <c r="AB6675">
        <v>2</v>
      </c>
      <c r="AC6675">
        <v>0.67329999999998302</v>
      </c>
      <c r="AD6675">
        <v>-0.18858430000000001</v>
      </c>
      <c r="AE6675">
        <v>-0.131599999999991</v>
      </c>
      <c r="AF6675">
        <v>0.14937541546819</v>
      </c>
      <c r="AG6675">
        <v>-0.18858430000000001</v>
      </c>
      <c r="AH6675">
        <v>0.62010519375102502</v>
      </c>
      <c r="AI6675">
        <v>106.470815281979</v>
      </c>
      <c r="AJ6675">
        <v>76.456211077600599</v>
      </c>
      <c r="AK6675">
        <v>0.66513720710074598</v>
      </c>
      <c r="AL6675">
        <v>90.703601247400897</v>
      </c>
      <c r="AM6675">
        <v>90.410156464011905</v>
      </c>
      <c r="AN6675">
        <v>1.0000000207973501</v>
      </c>
    </row>
    <row r="6676" spans="1:40" x14ac:dyDescent="0.25">
      <c r="A6676" t="str">
        <f>"20190305135957853"</f>
        <v>20190305135957853</v>
      </c>
      <c r="B6676" t="str">
        <f>"1551765597845653"</f>
        <v>1551765597845653</v>
      </c>
      <c r="C6676" t="s">
        <v>40</v>
      </c>
      <c r="D6676">
        <v>5.1812709999999997</v>
      </c>
      <c r="E6676">
        <v>0.5733376</v>
      </c>
      <c r="F6676" t="s">
        <v>41</v>
      </c>
      <c r="G6676">
        <v>-145.89879999999999</v>
      </c>
      <c r="H6676">
        <v>0.92634360000000004</v>
      </c>
      <c r="I6676">
        <v>137.43799999999999</v>
      </c>
      <c r="J6676">
        <v>-146.572</v>
      </c>
      <c r="K6676">
        <v>1.112503</v>
      </c>
      <c r="L6676">
        <v>137.55269999999999</v>
      </c>
      <c r="M6676">
        <v>0.99843409999999999</v>
      </c>
      <c r="N6676">
        <v>-3.5379109999999998E-2</v>
      </c>
      <c r="O6676">
        <v>4.333617E-2</v>
      </c>
      <c r="P6676">
        <v>0.99744980000000005</v>
      </c>
      <c r="Q6676">
        <v>-4.8954919999999999E-2</v>
      </c>
      <c r="R6676">
        <v>5.1939399999999997E-2</v>
      </c>
      <c r="S6676">
        <v>2.9932099999999999</v>
      </c>
      <c r="T6676">
        <v>-0.81311250000000002</v>
      </c>
      <c r="U6676">
        <v>-0.49789430000000001</v>
      </c>
      <c r="V6676">
        <v>-8.6373019999999995E-3</v>
      </c>
      <c r="W6676">
        <v>-1.358905E-2</v>
      </c>
      <c r="X6676">
        <v>0.99987040000000005</v>
      </c>
      <c r="Y6676">
        <v>0.1976031</v>
      </c>
      <c r="Z6676">
        <v>-3.9777060000000003E-2</v>
      </c>
      <c r="AA6676">
        <v>0.97947479999999998</v>
      </c>
      <c r="AB6676">
        <v>2</v>
      </c>
      <c r="AC6676">
        <v>0.67320000000000801</v>
      </c>
      <c r="AD6676">
        <v>-0.1861594</v>
      </c>
      <c r="AE6676">
        <v>-0.114699999999999</v>
      </c>
      <c r="AF6676">
        <v>0.13383859109655899</v>
      </c>
      <c r="AG6676">
        <v>-0.1861594</v>
      </c>
      <c r="AH6676">
        <v>0.62141494264317898</v>
      </c>
      <c r="AI6676">
        <v>106.323089719149</v>
      </c>
      <c r="AJ6676">
        <v>77.845466037065705</v>
      </c>
      <c r="AK6676">
        <v>0.66236290778945095</v>
      </c>
      <c r="AL6676">
        <v>90.778619145495398</v>
      </c>
      <c r="AM6676">
        <v>90.494932785097305</v>
      </c>
      <c r="AN6676">
        <v>1.00000004103095</v>
      </c>
    </row>
    <row r="6677" spans="1:40" x14ac:dyDescent="0.25">
      <c r="A6677" t="str">
        <f>"20190305135957898"</f>
        <v>20190305135957898</v>
      </c>
      <c r="B6677" t="str">
        <f>"1551765597895430"</f>
        <v>1551765597895430</v>
      </c>
      <c r="C6677" t="s">
        <v>40</v>
      </c>
      <c r="D6677">
        <v>5.1784309999999998</v>
      </c>
      <c r="E6677">
        <v>0.57165339999999998</v>
      </c>
      <c r="F6677" t="s">
        <v>41</v>
      </c>
      <c r="G6677">
        <v>-145.88980000000001</v>
      </c>
      <c r="H6677">
        <v>0.92500640000000001</v>
      </c>
      <c r="I6677">
        <v>137.44829999999999</v>
      </c>
      <c r="J6677">
        <v>-146.5538</v>
      </c>
      <c r="K6677">
        <v>1.112155</v>
      </c>
      <c r="L6677">
        <v>137.55359999999999</v>
      </c>
      <c r="M6677">
        <v>0.99849690000000002</v>
      </c>
      <c r="N6677">
        <v>-3.351469E-2</v>
      </c>
      <c r="O6677">
        <v>4.336806E-2</v>
      </c>
      <c r="P6677">
        <v>0.99754359999999997</v>
      </c>
      <c r="Q6677">
        <v>-4.2520080000000002E-2</v>
      </c>
      <c r="R6677">
        <v>5.566811E-2</v>
      </c>
      <c r="S6677">
        <v>2.9911349999999999</v>
      </c>
      <c r="T6677">
        <v>-0.82212850000000004</v>
      </c>
      <c r="U6677">
        <v>-0.45721440000000002</v>
      </c>
      <c r="V6677">
        <v>-1.2330020000000001E-2</v>
      </c>
      <c r="W6677">
        <v>-9.0142929999999996E-3</v>
      </c>
      <c r="X6677">
        <v>0.99988339999999998</v>
      </c>
      <c r="Y6677">
        <v>0.185055</v>
      </c>
      <c r="Z6677">
        <v>-3.8237859999999999E-2</v>
      </c>
      <c r="AA6677">
        <v>0.98198399999999997</v>
      </c>
      <c r="AB6677">
        <v>1</v>
      </c>
      <c r="AC6677">
        <v>0.66399999999998705</v>
      </c>
      <c r="AD6677">
        <v>-0.1871486</v>
      </c>
      <c r="AE6677">
        <v>-0.10529999999999901</v>
      </c>
      <c r="AF6677">
        <v>0.124375445323424</v>
      </c>
      <c r="AG6677">
        <v>-0.1871486</v>
      </c>
      <c r="AH6677">
        <v>0.61142551933905698</v>
      </c>
      <c r="AI6677">
        <v>106.69624215475601</v>
      </c>
      <c r="AJ6677">
        <v>78.501843107023404</v>
      </c>
      <c r="AK6677">
        <v>0.65141002109301005</v>
      </c>
      <c r="AL6677">
        <v>90.516487913160901</v>
      </c>
      <c r="AM6677">
        <v>90.706504679874996</v>
      </c>
      <c r="AN6677">
        <v>1.00000005023352</v>
      </c>
    </row>
    <row r="6678" spans="1:40" x14ac:dyDescent="0.25">
      <c r="A6678" t="str">
        <f>"20190305135957921"</f>
        <v>20190305135957921</v>
      </c>
      <c r="B6678" t="str">
        <f>"1551765597915928"</f>
        <v>1551765597915928</v>
      </c>
      <c r="C6678" t="s">
        <v>40</v>
      </c>
      <c r="D6678">
        <v>5.0625619999999998</v>
      </c>
      <c r="E6678">
        <v>0.5701427</v>
      </c>
      <c r="F6678" t="s">
        <v>41</v>
      </c>
      <c r="G6678">
        <v>-145.87139999999999</v>
      </c>
      <c r="H6678">
        <v>0.93114070000000004</v>
      </c>
      <c r="I6678">
        <v>137.45490000000001</v>
      </c>
      <c r="J6678">
        <v>-146.547</v>
      </c>
      <c r="K6678">
        <v>1.111937</v>
      </c>
      <c r="L6678">
        <v>137.5539</v>
      </c>
      <c r="M6678">
        <v>0.99853910000000001</v>
      </c>
      <c r="N6678">
        <v>-3.221835E-2</v>
      </c>
      <c r="O6678">
        <v>4.3379229999999998E-2</v>
      </c>
      <c r="P6678">
        <v>0.99761369999999905</v>
      </c>
      <c r="Q6678">
        <v>-3.8346230000000002E-2</v>
      </c>
      <c r="R6678">
        <v>5.7416950000000001E-2</v>
      </c>
      <c r="S6678">
        <v>2.9976349999999998</v>
      </c>
      <c r="T6678">
        <v>-0.79524349999999999</v>
      </c>
      <c r="U6678">
        <v>-0.43276979999999998</v>
      </c>
      <c r="V6678">
        <v>-1.406484E-2</v>
      </c>
      <c r="W6678">
        <v>-6.1345840000000002E-3</v>
      </c>
      <c r="X6678">
        <v>0.9998823</v>
      </c>
      <c r="Y6678">
        <v>0.17776919999999999</v>
      </c>
      <c r="Z6678">
        <v>-3.5892090000000001E-2</v>
      </c>
      <c r="AA6678">
        <v>0.98341750000000006</v>
      </c>
      <c r="AB6678">
        <v>1</v>
      </c>
      <c r="AC6678">
        <v>0.67560000000000198</v>
      </c>
      <c r="AD6678">
        <v>-0.18079629999999999</v>
      </c>
      <c r="AE6678">
        <v>-9.8999999999989499E-2</v>
      </c>
      <c r="AF6678">
        <v>0.119827940008988</v>
      </c>
      <c r="AG6678">
        <v>-0.18079629999999999</v>
      </c>
      <c r="AH6678">
        <v>0.62672745695557197</v>
      </c>
      <c r="AI6678">
        <v>105.819773870804</v>
      </c>
      <c r="AJ6678">
        <v>79.175895418835694</v>
      </c>
      <c r="AK6678">
        <v>0.66319932343337495</v>
      </c>
      <c r="AL6678">
        <v>90.351487965168204</v>
      </c>
      <c r="AM6678">
        <v>90.805897681413398</v>
      </c>
      <c r="AN6678">
        <v>1.0000000333491801</v>
      </c>
    </row>
    <row r="6679" spans="1:40" x14ac:dyDescent="0.25">
      <c r="A6679" t="str">
        <f>"20190305135957944"</f>
        <v>20190305135957944</v>
      </c>
      <c r="B6679" t="str">
        <f>"1551765597935445"</f>
        <v>1551765597935445</v>
      </c>
      <c r="C6679" t="s">
        <v>40</v>
      </c>
      <c r="D6679">
        <v>5.1674660000000001</v>
      </c>
      <c r="E6679">
        <v>0.56979199999999997</v>
      </c>
      <c r="F6679" t="s">
        <v>41</v>
      </c>
      <c r="G6679">
        <v>-145.86080000000001</v>
      </c>
      <c r="H6679">
        <v>0.93120899999999995</v>
      </c>
      <c r="I6679">
        <v>137.4588</v>
      </c>
      <c r="J6679">
        <v>-146.54159999999999</v>
      </c>
      <c r="K6679">
        <v>1.111723</v>
      </c>
      <c r="L6679">
        <v>137.55420000000001</v>
      </c>
      <c r="M6679">
        <v>0.99858290000000005</v>
      </c>
      <c r="N6679">
        <v>-3.0821609999999999E-2</v>
      </c>
      <c r="O6679">
        <v>4.3385359999999998E-2</v>
      </c>
      <c r="P6679">
        <v>0.99762039999999996</v>
      </c>
      <c r="Q6679">
        <v>-3.5766779999999998E-2</v>
      </c>
      <c r="R6679">
        <v>5.8944040000000003E-2</v>
      </c>
      <c r="S6679">
        <v>3.000702</v>
      </c>
      <c r="T6679">
        <v>-0.79026219999999903</v>
      </c>
      <c r="U6679">
        <v>-0.41557309999999997</v>
      </c>
      <c r="V6679">
        <v>-1.5586330000000001E-2</v>
      </c>
      <c r="W6679">
        <v>-4.951151E-3</v>
      </c>
      <c r="X6679">
        <v>0.99986620000000004</v>
      </c>
      <c r="Y6679">
        <v>0.1724271</v>
      </c>
      <c r="Z6679">
        <v>-3.4821379999999999E-2</v>
      </c>
      <c r="AA6679">
        <v>0.98440660000000002</v>
      </c>
      <c r="AB6679">
        <v>1</v>
      </c>
      <c r="AC6679">
        <v>0.68079999999997598</v>
      </c>
      <c r="AD6679">
        <v>-0.18051399999999901</v>
      </c>
      <c r="AE6679">
        <v>-9.54000000000121E-2</v>
      </c>
      <c r="AF6679">
        <v>0.116806978775222</v>
      </c>
      <c r="AG6679">
        <v>-0.18051399999999901</v>
      </c>
      <c r="AH6679">
        <v>0.63241228189897503</v>
      </c>
      <c r="AI6679">
        <v>105.678878314876</v>
      </c>
      <c r="AJ6679">
        <v>79.535364965180705</v>
      </c>
      <c r="AK6679">
        <v>0.66796292470709995</v>
      </c>
      <c r="AL6679">
        <v>90.283681234142307</v>
      </c>
      <c r="AM6679">
        <v>90.893078096372406</v>
      </c>
      <c r="AN6679">
        <v>0.99999993274076404</v>
      </c>
    </row>
    <row r="6680" spans="1:40" x14ac:dyDescent="0.25">
      <c r="A6680" t="str">
        <f>"20190305135957967"</f>
        <v>20190305135957967</v>
      </c>
      <c r="B6680" t="str">
        <f>"1551765597955941"</f>
        <v>1551765597955941</v>
      </c>
      <c r="C6680" t="s">
        <v>40</v>
      </c>
      <c r="D6680">
        <v>5.0655839999999897</v>
      </c>
      <c r="E6680">
        <v>0.56904449999999995</v>
      </c>
      <c r="F6680" t="s">
        <v>41</v>
      </c>
      <c r="G6680">
        <v>-145.85560000000001</v>
      </c>
      <c r="H6680">
        <v>0.93387569999999998</v>
      </c>
      <c r="I6680">
        <v>137.46119999999999</v>
      </c>
      <c r="J6680">
        <v>-146.53700000000001</v>
      </c>
      <c r="K6680">
        <v>1.1115219999999999</v>
      </c>
      <c r="L6680">
        <v>137.55439999999999</v>
      </c>
      <c r="M6680">
        <v>0.99862740000000005</v>
      </c>
      <c r="N6680">
        <v>-2.934287E-2</v>
      </c>
      <c r="O6680">
        <v>4.3388669999999997E-2</v>
      </c>
      <c r="P6680">
        <v>0.9975716</v>
      </c>
      <c r="Q6680">
        <v>-3.4156159999999998E-2</v>
      </c>
      <c r="R6680">
        <v>6.0699110000000001E-2</v>
      </c>
      <c r="S6680">
        <v>3.0032809999999999</v>
      </c>
      <c r="T6680">
        <v>-0.77867889999999995</v>
      </c>
      <c r="U6680">
        <v>-0.40684510000000002</v>
      </c>
      <c r="V6680">
        <v>-1.733989E-2</v>
      </c>
      <c r="W6680">
        <v>-4.819416E-3</v>
      </c>
      <c r="X6680">
        <v>0.99983809999999995</v>
      </c>
      <c r="Y6680">
        <v>0.1698402</v>
      </c>
      <c r="Z6680">
        <v>-3.3889139999999998E-2</v>
      </c>
      <c r="AA6680">
        <v>0.98488869999999895</v>
      </c>
      <c r="AB6680">
        <v>1</v>
      </c>
      <c r="AC6680">
        <v>0.68139999999999601</v>
      </c>
      <c r="AD6680">
        <v>-0.17764629999999901</v>
      </c>
      <c r="AE6680">
        <v>-9.3199999999995897E-2</v>
      </c>
      <c r="AF6680">
        <v>0.11501601720718101</v>
      </c>
      <c r="AG6680">
        <v>-0.17764629999999901</v>
      </c>
      <c r="AH6680">
        <v>0.63438574287578697</v>
      </c>
      <c r="AI6680">
        <v>105.40484632437099</v>
      </c>
      <c r="AJ6680">
        <v>79.723731143909205</v>
      </c>
      <c r="AK6680">
        <v>0.668754187188354</v>
      </c>
      <c r="AL6680">
        <v>90.276133248245799</v>
      </c>
      <c r="AM6680">
        <v>90.993563785194596</v>
      </c>
      <c r="AN6680">
        <v>1.00000006238369</v>
      </c>
    </row>
    <row r="6681" spans="1:40" x14ac:dyDescent="0.25">
      <c r="A6681" t="str">
        <f>"20190305135957991"</f>
        <v>20190305135957991</v>
      </c>
      <c r="B6681" t="str">
        <f>"1551765597986197"</f>
        <v>1551765597986197</v>
      </c>
      <c r="C6681" t="s">
        <v>40</v>
      </c>
      <c r="D6681">
        <v>5.0262539999999998</v>
      </c>
      <c r="E6681">
        <v>0.56875209999999998</v>
      </c>
      <c r="F6681" t="s">
        <v>41</v>
      </c>
      <c r="G6681">
        <v>-145.8527</v>
      </c>
      <c r="H6681">
        <v>0.93355370000000004</v>
      </c>
      <c r="I6681">
        <v>137.46420000000001</v>
      </c>
      <c r="J6681">
        <v>-146.5333</v>
      </c>
      <c r="K6681">
        <v>1.1113580000000001</v>
      </c>
      <c r="L6681">
        <v>137.55459999999999</v>
      </c>
      <c r="M6681">
        <v>0.99866929999999998</v>
      </c>
      <c r="N6681">
        <v>-2.787241E-2</v>
      </c>
      <c r="O6681">
        <v>4.3391770000000003E-2</v>
      </c>
      <c r="P6681">
        <v>0.99757439999999997</v>
      </c>
      <c r="Q6681">
        <v>-3.0414489999999999E-2</v>
      </c>
      <c r="R6681">
        <v>6.2612989999999993E-2</v>
      </c>
      <c r="S6681">
        <v>3.004623</v>
      </c>
      <c r="T6681">
        <v>-0.78143409999999902</v>
      </c>
      <c r="U6681">
        <v>-0.39584350000000001</v>
      </c>
      <c r="V6681">
        <v>-1.9250880000000001E-2</v>
      </c>
      <c r="W6681">
        <v>-2.5473969999999999E-3</v>
      </c>
      <c r="X6681">
        <v>0.99981140000000002</v>
      </c>
      <c r="Y6681">
        <v>0.16633789999999901</v>
      </c>
      <c r="Z6681">
        <v>-3.3432959999999998E-2</v>
      </c>
      <c r="AA6681">
        <v>0.98550190000000004</v>
      </c>
      <c r="AB6681">
        <v>1</v>
      </c>
      <c r="AC6681">
        <v>0.68059999999999798</v>
      </c>
      <c r="AD6681">
        <v>-0.1778043</v>
      </c>
      <c r="AE6681">
        <v>-9.0399999999988198E-2</v>
      </c>
      <c r="AF6681">
        <v>0.112325433066223</v>
      </c>
      <c r="AG6681">
        <v>-0.1778043</v>
      </c>
      <c r="AH6681">
        <v>0.63354471248853494</v>
      </c>
      <c r="AI6681">
        <v>105.447621496887</v>
      </c>
      <c r="AJ6681">
        <v>79.9461194370882</v>
      </c>
      <c r="AK6681">
        <v>0.66754046673904799</v>
      </c>
      <c r="AL6681">
        <v>90.145955260452695</v>
      </c>
      <c r="AM6681">
        <v>91.103065937834401</v>
      </c>
      <c r="AN6681">
        <v>0.99999996059110396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2020-05-20T14:50:30Z</dcterms:created>
  <dcterms:modified xsi:type="dcterms:W3CDTF">2020-05-20T14:50:30Z</dcterms:modified>
</cp:coreProperties>
</file>